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drawings/drawing15.xml" ContentType="application/vnd.openxmlformats-officedocument.drawing+xml"/>
  <Override PartName="/xl/ctrlProps/ctrlProp17.xml" ContentType="application/vnd.ms-excel.controlproperties+xml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ctrlProps/ctrlProp18.xml" ContentType="application/vnd.ms-excel.controlproperties+xml"/>
  <Override PartName="/xl/drawings/drawing17.xml" ContentType="application/vnd.openxmlformats-officedocument.drawing+xml"/>
  <Override PartName="/xl/ctrlProps/ctrlProp19.xml" ContentType="application/vnd.ms-excel.controlproperties+xml"/>
  <Override PartName="/xl/drawings/drawing18.xml" ContentType="application/vnd.openxmlformats-officedocument.drawing+xml"/>
  <Override PartName="/xl/ctrlProps/ctrlProp20.xml" ContentType="application/vnd.ms-excel.controlproperties+xml"/>
  <Override PartName="/xl/drawings/drawing19.xml" ContentType="application/vnd.openxmlformats-officedocument.drawing+xml"/>
  <Override PartName="/xl/ctrlProps/ctrlProp21.xml" ContentType="application/vnd.ms-excel.controlproperties+xml"/>
  <Override PartName="/xl/drawings/drawing2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1.xml" ContentType="application/vnd.openxmlformats-officedocument.drawing+xml"/>
  <Override PartName="/xl/ctrlProps/ctrlProp24.xml" ContentType="application/vnd.ms-excel.controlproperties+xml"/>
  <Override PartName="/xl/drawings/drawing22.xml" ContentType="application/vnd.openxmlformats-officedocument.drawing+xml"/>
  <Override PartName="/xl/ctrlProps/ctrlProp25.xml" ContentType="application/vnd.ms-excel.controlproperties+xml"/>
  <Override PartName="/xl/drawings/drawing23.xml" ContentType="application/vnd.openxmlformats-officedocument.drawing+xml"/>
  <Override PartName="/xl/ctrlProps/ctrlProp26.xml" ContentType="application/vnd.ms-excel.controlproperties+xml"/>
  <Override PartName="/xl/drawings/drawing24.xml" ContentType="application/vnd.openxmlformats-officedocument.drawing+xml"/>
  <Override PartName="/xl/ctrlProps/ctrlProp27.xml" ContentType="application/vnd.ms-excel.controlproperties+xml"/>
  <Override PartName="/xl/drawings/drawing25.xml" ContentType="application/vnd.openxmlformats-officedocument.drawing+xml"/>
  <Override PartName="/xl/ctrlProps/ctrlProp28.xml" ContentType="application/vnd.ms-excel.controlproperties+xml"/>
  <Override PartName="/xl/drawings/drawing2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7.xml" ContentType="application/vnd.openxmlformats-officedocument.drawing+xml"/>
  <Override PartName="/xl/ctrlProps/ctrlProp31.xml" ContentType="application/vnd.ms-excel.controlproperties+xml"/>
  <Override PartName="/xl/drawings/drawing28.xml" ContentType="application/vnd.openxmlformats-officedocument.drawing+xml"/>
  <Override PartName="/xl/ctrlProps/ctrlProp32.xml" ContentType="application/vnd.ms-excel.controlproperties+xml"/>
  <Override PartName="/xl/drawings/drawing29.xml" ContentType="application/vnd.openxmlformats-officedocument.drawing+xml"/>
  <Override PartName="/xl/ctrlProps/ctrlProp33.xml" ContentType="application/vnd.ms-excel.controlproperties+xml"/>
  <Override PartName="/xl/drawings/drawing30.xml" ContentType="application/vnd.openxmlformats-officedocument.drawing+xml"/>
  <Override PartName="/xl/ctrlProps/ctrlProp34.xml" ContentType="application/vnd.ms-excel.controlproperties+xml"/>
  <Override PartName="/xl/drawings/drawing31.xml" ContentType="application/vnd.openxmlformats-officedocument.drawing+xml"/>
  <Override PartName="/xl/ctrlProps/ctrlProp35.xml" ContentType="application/vnd.ms-excel.controlproperties+xml"/>
  <Override PartName="/xl/drawings/drawing32.xml" ContentType="application/vnd.openxmlformats-officedocument.drawing+xml"/>
  <Override PartName="/xl/ctrlProps/ctrlProp36.xml" ContentType="application/vnd.ms-excel.controlproperties+xml"/>
  <Override PartName="/xl/drawings/drawing33.xml" ContentType="application/vnd.openxmlformats-officedocument.drawing+xml"/>
  <Override PartName="/xl/ctrlProps/ctrlProp37.xml" ContentType="application/vnd.ms-excel.controlproperties+xml"/>
  <Override PartName="/xl/drawings/drawing34.xml" ContentType="application/vnd.openxmlformats-officedocument.drawing+xml"/>
  <Override PartName="/xl/ctrlProps/ctrlProp38.xml" ContentType="application/vnd.ms-excel.controlproperties+xml"/>
  <Override PartName="/xl/drawings/drawing35.xml" ContentType="application/vnd.openxmlformats-officedocument.drawing+xml"/>
  <Override PartName="/xl/ctrlProps/ctrlProp39.xml" ContentType="application/vnd.ms-excel.controlproperties+xml"/>
  <Override PartName="/xl/drawings/drawing3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7.xml" ContentType="application/vnd.openxmlformats-officedocument.drawing+xml"/>
  <Override PartName="/xl/ctrlProps/ctrlProp42.xml" ContentType="application/vnd.ms-excel.controlproperties+xml"/>
  <Override PartName="/xl/drawings/drawing38.xml" ContentType="application/vnd.openxmlformats-officedocument.drawing+xml"/>
  <Override PartName="/xl/ctrlProps/ctrlProp43.xml" ContentType="application/vnd.ms-excel.controlproperties+xml"/>
  <Override PartName="/xl/drawings/drawing39.xml" ContentType="application/vnd.openxmlformats-officedocument.drawing+xml"/>
  <Override PartName="/xl/ctrlProps/ctrlProp44.xml" ContentType="application/vnd.ms-excel.controlproperties+xml"/>
  <Override PartName="/xl/drawings/drawing40.xml" ContentType="application/vnd.openxmlformats-officedocument.drawing+xml"/>
  <Override PartName="/xl/ctrlProps/ctrlProp45.xml" ContentType="application/vnd.ms-excel.controlproperties+xml"/>
  <Override PartName="/xl/drawings/drawing41.xml" ContentType="application/vnd.openxmlformats-officedocument.drawing+xml"/>
  <Override PartName="/xl/ctrlProps/ctrlProp46.xml" ContentType="application/vnd.ms-excel.controlproperties+xml"/>
  <Override PartName="/xl/drawings/drawing42.xml" ContentType="application/vnd.openxmlformats-officedocument.drawing+xml"/>
  <Override PartName="/xl/ctrlProps/ctrlProp47.xml" ContentType="application/vnd.ms-excel.controlproperties+xml"/>
  <Override PartName="/xl/drawings/drawing43.xml" ContentType="application/vnd.openxmlformats-officedocument.drawing+xml"/>
  <Override PartName="/xl/ctrlProps/ctrlProp48.xml" ContentType="application/vnd.ms-excel.controlproperties+xml"/>
  <Override PartName="/xl/drawings/drawing44.xml" ContentType="application/vnd.openxmlformats-officedocument.drawing+xml"/>
  <Override PartName="/xl/ctrlProps/ctrlProp49.xml" ContentType="application/vnd.ms-excel.controlproperties+xml"/>
  <Override PartName="/xl/drawings/drawing45.xml" ContentType="application/vnd.openxmlformats-officedocument.drawing+xml"/>
  <Override PartName="/xl/ctrlProps/ctrlProp50.xml" ContentType="application/vnd.ms-excel.controlproperties+xml"/>
  <Override PartName="/xl/drawings/drawing4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4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8.xml" ContentType="application/vnd.openxmlformats-officedocument.drawing+xml"/>
  <Override PartName="/xl/ctrlProps/ctrlProp55.xml" ContentType="application/vnd.ms-excel.controlproperties+xml"/>
  <Override PartName="/xl/drawings/drawing49.xml" ContentType="application/vnd.openxmlformats-officedocument.drawing+xml"/>
  <Override PartName="/xl/ctrlProps/ctrlProp56.xml" ContentType="application/vnd.ms-excel.controlproperties+xml"/>
  <Override PartName="/xl/drawings/drawing50.xml" ContentType="application/vnd.openxmlformats-officedocument.drawing+xml"/>
  <Override PartName="/xl/ctrlProps/ctrlProp57.xml" ContentType="application/vnd.ms-excel.controlproperties+xml"/>
  <Override PartName="/xl/drawings/drawing51.xml" ContentType="application/vnd.openxmlformats-officedocument.drawing+xml"/>
  <Override PartName="/xl/ctrlProps/ctrlProp58.xml" ContentType="application/vnd.ms-excel.controlproperties+xml"/>
  <Override PartName="/xl/drawings/drawing52.xml" ContentType="application/vnd.openxmlformats-officedocument.drawing+xml"/>
  <Override PartName="/xl/ctrlProps/ctrlProp59.xml" ContentType="application/vnd.ms-excel.controlproperties+xml"/>
  <Override PartName="/xl/drawings/drawing53.xml" ContentType="application/vnd.openxmlformats-officedocument.drawing+xml"/>
  <Override PartName="/xl/ctrlProps/ctrlProp60.xml" ContentType="application/vnd.ms-excel.controlproperties+xml"/>
  <Override PartName="/xl/drawings/drawing54.xml" ContentType="application/vnd.openxmlformats-officedocument.drawing+xml"/>
  <Override PartName="/xl/ctrlProps/ctrlProp61.xml" ContentType="application/vnd.ms-excel.controlproperties+xml"/>
  <Override PartName="/xl/drawings/drawing55.xml" ContentType="application/vnd.openxmlformats-officedocument.drawing+xml"/>
  <Override PartName="/xl/ctrlProps/ctrlProp62.xml" ContentType="application/vnd.ms-excel.controlproperties+xml"/>
  <Override PartName="/xl/drawings/drawing56.xml" ContentType="application/vnd.openxmlformats-officedocument.drawing+xml"/>
  <Override PartName="/xl/ctrlProps/ctrlProp63.xml" ContentType="application/vnd.ms-excel.controlproperties+xml"/>
  <Override PartName="/xl/drawings/drawing57.xml" ContentType="application/vnd.openxmlformats-officedocument.drawing+xml"/>
  <Override PartName="/xl/ctrlProps/ctrlProp64.xml" ContentType="application/vnd.ms-excel.controlproperties+xml"/>
  <Override PartName="/xl/drawings/drawing58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59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0.xml" ContentType="application/vnd.openxmlformats-officedocument.drawing+xml"/>
  <Override PartName="/xl/ctrlProps/ctrlProp199.xml" ContentType="application/vnd.ms-excel.controlproperties+xml"/>
  <Override PartName="/xl/drawings/drawing61.xml" ContentType="application/vnd.openxmlformats-officedocument.drawing+xml"/>
  <Override PartName="/xl/ctrlProps/ctrlProp200.xml" ContentType="application/vnd.ms-excel.controlproperties+xml"/>
  <Override PartName="/xl/drawings/drawing62.xml" ContentType="application/vnd.openxmlformats-officedocument.drawing+xml"/>
  <Override PartName="/xl/ctrlProps/ctrlProp201.xml" ContentType="application/vnd.ms-excel.controlproperties+xml"/>
  <Override PartName="/xl/drawings/drawing63.xml" ContentType="application/vnd.openxmlformats-officedocument.drawing+xml"/>
  <Override PartName="/xl/ctrlProps/ctrlProp202.xml" ContentType="application/vnd.ms-excel.controlproperties+xml"/>
  <Override PartName="/xl/drawings/drawing64.xml" ContentType="application/vnd.openxmlformats-officedocument.drawing+xml"/>
  <Override PartName="/xl/ctrlProps/ctrlProp203.xml" ContentType="application/vnd.ms-excel.controlproperties+xml"/>
  <Override PartName="/xl/drawings/drawing65.xml" ContentType="application/vnd.openxmlformats-officedocument.drawing+xml"/>
  <Override PartName="/xl/ctrlProps/ctrlProp204.xml" ContentType="application/vnd.ms-excel.controlproperties+xml"/>
  <Override PartName="/xl/drawings/drawing66.xml" ContentType="application/vnd.openxmlformats-officedocument.drawing+xml"/>
  <Override PartName="/xl/ctrlProps/ctrlProp205.xml" ContentType="application/vnd.ms-excel.controlproperties+xml"/>
  <Override PartName="/xl/drawings/drawing67.xml" ContentType="application/vnd.openxmlformats-officedocument.drawing+xml"/>
  <Override PartName="/xl/ctrlProps/ctrlProp206.xml" ContentType="application/vnd.ms-excel.controlproperties+xml"/>
  <Override PartName="/xl/drawings/drawing68.xml" ContentType="application/vnd.openxmlformats-officedocument.drawing+xml"/>
  <Override PartName="/xl/ctrlProps/ctrlProp207.xml" ContentType="application/vnd.ms-excel.controlproperties+xml"/>
  <Override PartName="/xl/drawings/drawing69.xml" ContentType="application/vnd.openxmlformats-officedocument.drawing+xml"/>
  <Override PartName="/xl/ctrlProps/ctrlProp208.xml" ContentType="application/vnd.ms-excel.controlproperties+xml"/>
  <Override PartName="/xl/drawings/drawing70.xml" ContentType="application/vnd.openxmlformats-officedocument.drawing+xml"/>
  <Override PartName="/xl/ctrlProps/ctrlProp209.xml" ContentType="application/vnd.ms-excel.controlproperties+xml"/>
  <Override PartName="/xl/drawings/drawing71.xml" ContentType="application/vnd.openxmlformats-officedocument.drawing+xml"/>
  <Override PartName="/xl/ctrlProps/ctrlProp210.xml" ContentType="application/vnd.ms-excel.controlproperties+xml"/>
  <Override PartName="/xl/drawings/drawing72.xml" ContentType="application/vnd.openxmlformats-officedocument.drawing+xml"/>
  <Override PartName="/xl/ctrlProps/ctrlProp211.xml" ContentType="application/vnd.ms-excel.controlproperties+xml"/>
  <Override PartName="/xl/comments5.xml" ContentType="application/vnd.openxmlformats-officedocument.spreadsheetml.comments+xml"/>
  <Override PartName="/xl/drawings/drawing73.xml" ContentType="application/vnd.openxmlformats-officedocument.drawing+xml"/>
  <Override PartName="/xl/ctrlProps/ctrlProp212.xml" ContentType="application/vnd.ms-excel.controlproperties+xml"/>
  <Override PartName="/xl/drawings/drawing74.xml" ContentType="application/vnd.openxmlformats-officedocument.drawing+xml"/>
  <Override PartName="/xl/ctrlProps/ctrlProp213.xml" ContentType="application/vnd.ms-excel.controlproperties+xml"/>
  <Override PartName="/xl/drawings/drawing75.xml" ContentType="application/vnd.openxmlformats-officedocument.drawing+xml"/>
  <Override PartName="/xl/ctrlProps/ctrlProp214.xml" ContentType="application/vnd.ms-excel.controlproperties+xml"/>
  <Override PartName="/xl/drawings/drawing76.xml" ContentType="application/vnd.openxmlformats-officedocument.drawing+xml"/>
  <Override PartName="/xl/ctrlProps/ctrlProp215.xml" ContentType="application/vnd.ms-excel.controlproperties+xml"/>
  <Override PartName="/xl/drawings/drawing77.xml" ContentType="application/vnd.openxmlformats-officedocument.drawing+xml"/>
  <Override PartName="/xl/ctrlProps/ctrlProp216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S:\Ресурсы подразделений\Бухгалтерия\Проект МСФО\8. Отчетность\8.2 РСБУ\50. ФСД ГОД 2022\ГОД 2022\ФСД рассылка\"/>
    </mc:Choice>
  </mc:AlternateContent>
  <workbookProtection workbookAlgorithmName="SHA-512" workbookHashValue="gHcElGfP57Nb7j+pAflWRmaoMeMC59t84cbvMVWs9GxDPSqQp+aqNtQTnkaidw6uc3AAWJ9WG4tbnsujy3qwRw==" workbookSaltValue="magkh8S0eyKQNUc/D/cosg==" workbookSpinCount="100000" lockStructure="1"/>
  <bookViews>
    <workbookView xWindow="0" yWindow="0" windowWidth="15360" windowHeight="7190" tabRatio="866" firstSheet="5" activeTab="5"/>
  </bookViews>
  <sheets>
    <sheet name="потоки" sheetId="1" state="hidden" r:id="rId1"/>
    <sheet name="Титул" sheetId="2" r:id="rId2"/>
    <sheet name="Технич_лист" sheetId="3" r:id="rId3"/>
    <sheet name="Содержание" sheetId="4" r:id="rId4"/>
    <sheet name="Параметры_загрузки" sheetId="5" r:id="rId5"/>
    <sheet name="Список_компаний" sheetId="6" r:id="rId6"/>
    <sheet name="Справочник" sheetId="7" r:id="rId7"/>
    <sheet name="Проверки" sheetId="8" r:id="rId8"/>
    <sheet name="Проверка_форматов_даты" sheetId="156" state="hidden" r:id="rId9"/>
    <sheet name="Проверка_ГИД" sheetId="163" r:id="rId10"/>
    <sheet name="Лист_ошибок" sheetId="157" r:id="rId11"/>
    <sheet name="mapping" sheetId="158" state="hidden" r:id="rId12"/>
    <sheet name="tech" sheetId="159" state="hidden" r:id="rId13"/>
    <sheet name="Баланс" sheetId="9" r:id="rId14"/>
    <sheet name="ОФР" sheetId="10" r:id="rId15"/>
    <sheet name="ДДС" sheetId="11" r:id="rId16"/>
    <sheet name="ДДС_приложение" sheetId="12" r:id="rId17"/>
    <sheet name="ОСВ_авт" sheetId="13" r:id="rId18"/>
    <sheet name="ОСВ_система" sheetId="14" r:id="rId19"/>
    <sheet name="Свод_по_счетам" sheetId="16" r:id="rId20"/>
    <sheet name="01" sheetId="17" r:id="rId21"/>
    <sheet name="02" sheetId="19" r:id="rId22"/>
    <sheet name="03" sheetId="21" r:id="rId23"/>
    <sheet name="04" sheetId="23" r:id="rId24"/>
    <sheet name="05" sheetId="25" r:id="rId25"/>
    <sheet name="07" sheetId="26" r:id="rId26"/>
    <sheet name="07_расш" sheetId="27" r:id="rId27"/>
    <sheet name="08" sheetId="28" r:id="rId28"/>
    <sheet name="08_расш" sheetId="30" r:id="rId29"/>
    <sheet name="08_НИОКР" sheetId="164" r:id="rId30"/>
    <sheet name="09" sheetId="32" r:id="rId31"/>
    <sheet name="10" sheetId="33" r:id="rId32"/>
    <sheet name="10_расш" sheetId="34" r:id="rId33"/>
    <sheet name="14" sheetId="35" r:id="rId34"/>
    <sheet name="15" sheetId="36" r:id="rId35"/>
    <sheet name="16" sheetId="37" r:id="rId36"/>
    <sheet name="19" sheetId="38" r:id="rId37"/>
    <sheet name="Затраты_Вход_1" sheetId="42" r:id="rId38"/>
    <sheet name="Затраты_Вход_2" sheetId="43" r:id="rId39"/>
    <sheet name="Затраты_Выход" sheetId="44" r:id="rId40"/>
    <sheet name="21" sheetId="48" r:id="rId41"/>
    <sheet name="40" sheetId="50" r:id="rId42"/>
    <sheet name="41_01" sheetId="51" r:id="rId43"/>
    <sheet name="41_02" sheetId="52" r:id="rId44"/>
    <sheet name="43" sheetId="55" r:id="rId45"/>
    <sheet name="45" sheetId="57" r:id="rId46"/>
    <sheet name="НЗП_ГП" sheetId="58" r:id="rId47"/>
    <sheet name="Долгосроч_договоры" sheetId="59" r:id="rId48"/>
    <sheet name="46" sheetId="60" r:id="rId49"/>
    <sheet name="50" sheetId="65" r:id="rId50"/>
    <sheet name="51" sheetId="66" r:id="rId51"/>
    <sheet name="52" sheetId="67" r:id="rId52"/>
    <sheet name="55" sheetId="68" r:id="rId53"/>
    <sheet name="57" sheetId="69" r:id="rId54"/>
    <sheet name="50_51_52_55_57_движ" sheetId="70" r:id="rId55"/>
    <sheet name="Фин_договоры" sheetId="71" r:id="rId56"/>
    <sheet name="58_01_1" sheetId="72" r:id="rId57"/>
    <sheet name="58_01_2" sheetId="73" r:id="rId58"/>
    <sheet name="58_02" sheetId="75" r:id="rId59"/>
    <sheet name="58_02_движ" sheetId="76" r:id="rId60"/>
    <sheet name="58_03_1" sheetId="77" r:id="rId61"/>
    <sheet name="58_03_2" sheetId="78" r:id="rId62"/>
    <sheet name="58_04" sheetId="80" r:id="rId63"/>
    <sheet name="59_01" sheetId="81" r:id="rId64"/>
    <sheet name="59_02" sheetId="82" r:id="rId65"/>
    <sheet name="59_03" sheetId="83" r:id="rId66"/>
    <sheet name="ДП_полученные" sheetId="85" r:id="rId67"/>
    <sheet name="ДП_выданные" sheetId="87" r:id="rId68"/>
    <sheet name="60_01" sheetId="89" r:id="rId69"/>
    <sheet name="60_02" sheetId="90" r:id="rId70"/>
    <sheet name="62_01" sheetId="91" r:id="rId71"/>
    <sheet name="62_02" sheetId="92" r:id="rId72"/>
    <sheet name="ОКХ" sheetId="94" r:id="rId73"/>
    <sheet name="60,62,63,76_контр" sheetId="95" r:id="rId74"/>
    <sheet name="66" sheetId="99" r:id="rId75"/>
    <sheet name="67" sheetId="100" r:id="rId76"/>
    <sheet name="68" sheetId="162" r:id="rId77"/>
    <sheet name="Налог_на_прибыль" sheetId="105" r:id="rId78"/>
    <sheet name="Налог_пров" sheetId="106" r:id="rId79"/>
    <sheet name="Налоговые_льготы_имущество" sheetId="107" r:id="rId80"/>
    <sheet name="Налоговые_льготы_прочие" sheetId="108" r:id="rId81"/>
    <sheet name="69" sheetId="109" r:id="rId82"/>
    <sheet name="73" sheetId="112" r:id="rId83"/>
    <sheet name="75_01" sheetId="113" r:id="rId84"/>
    <sheet name="75_01_Неденеж" sheetId="114" r:id="rId85"/>
    <sheet name="75_02" sheetId="115" r:id="rId86"/>
    <sheet name="76" sheetId="116" r:id="rId87"/>
    <sheet name="76_01_%" sheetId="117" r:id="rId88"/>
    <sheet name="77" sheetId="119" r:id="rId89"/>
    <sheet name="78" sheetId="120" r:id="rId90"/>
    <sheet name="80" sheetId="121" r:id="rId91"/>
    <sheet name="83" sheetId="124" r:id="rId92"/>
    <sheet name="83_расш" sheetId="125" r:id="rId93"/>
    <sheet name="84" sheetId="126" r:id="rId94"/>
    <sheet name="84_расш" sheetId="127" r:id="rId95"/>
    <sheet name="86" sheetId="128" r:id="rId96"/>
    <sheet name="90" sheetId="129" r:id="rId97"/>
    <sheet name="90_ОРВГ" sheetId="132" r:id="rId98"/>
    <sheet name="90_контр" sheetId="133" r:id="rId99"/>
    <sheet name="91_01" sheetId="134" r:id="rId100"/>
    <sheet name="91_01_ВГО" sheetId="135" r:id="rId101"/>
    <sheet name="91_02" sheetId="136" r:id="rId102"/>
    <sheet name="91_02_ВГО" sheetId="137" r:id="rId103"/>
    <sheet name="Прочие_расш" sheetId="160" r:id="rId104"/>
    <sheet name="ОСС" sheetId="140" r:id="rId105"/>
    <sheet name="96" sheetId="141" r:id="rId106"/>
    <sheet name="96_движ" sheetId="142" r:id="rId107"/>
    <sheet name="97" sheetId="143" r:id="rId108"/>
    <sheet name="98_01" sheetId="145" r:id="rId109"/>
    <sheet name="98_02" sheetId="146" r:id="rId110"/>
    <sheet name="98_04" sheetId="148" r:id="rId111"/>
    <sheet name="99" sheetId="149" r:id="rId112"/>
    <sheet name="Зарубежная_выручка" sheetId="165" r:id="rId113"/>
    <sheet name="Список изменений в ФСД(2022г) " sheetId="161" r:id="rId114"/>
  </sheets>
  <functionGroups builtInGroupCount="18"/>
  <externalReferences>
    <externalReference r:id="rId115"/>
    <externalReference r:id="rId116"/>
    <externalReference r:id="rId117"/>
    <externalReference r:id="rId118"/>
    <externalReference r:id="rId119"/>
    <externalReference r:id="rId120"/>
  </externalReferences>
  <definedNames>
    <definedName name="_10015_01">Справочник!$EM$4:$EM$21</definedName>
    <definedName name="_10015_02">Справочник!$EN$4:$EN$21</definedName>
    <definedName name="_10019_1_96">Справочник!$AO$4:$AO$389</definedName>
    <definedName name="_10019_1_96_движ">Справочник!$AP$4:$AP$388</definedName>
    <definedName name="_10019_1_96_движХ">Справочник!$AP$4:$AP$388</definedName>
    <definedName name="_10019_96_движ">Справочник!$EG$4:$EG$11</definedName>
    <definedName name="_10022_60_62_76">Справочник!$BC$4:$BC$84</definedName>
    <definedName name="_1003">Справочник!$A$4:$A$6</definedName>
    <definedName name="_1008">Справочник!$B$4:$B$5</definedName>
    <definedName name="_1008_Д">Справочник!$B$5</definedName>
    <definedName name="_1008_К">Справочник!$B$4</definedName>
    <definedName name="_1009">Справочник!$C$4:$C$11</definedName>
    <definedName name="_1010">Справочник!$D$4:$D$48</definedName>
    <definedName name="_1010_60_02">Справочник!$EE$4:$EE$5</definedName>
    <definedName name="_1014">Справочник!$DO$2:$DO$159</definedName>
    <definedName name="_1015">Справочник!$AU$4:$AU$193</definedName>
    <definedName name="_1015_10">Справочник!$AV$4:$AV$18</definedName>
    <definedName name="_1015_86">Справочник!$AW$4:$AW$121</definedName>
    <definedName name="_1015_86_ГК">Справочник!$AW$4:$AW$121</definedName>
    <definedName name="_1015_opex">Справочник!$AX$4:$AX$192</definedName>
    <definedName name="_1015_ГК">Справочник!$AU$4:$AU$193</definedName>
    <definedName name="_1015_общий">Справочник!$AY$4:$AY$155</definedName>
    <definedName name="_1100">Справочник!$EI$4:$EI$3890</definedName>
    <definedName name="_2">Справочник!$DQ$3:$DQ$4</definedName>
    <definedName name="_20_23_25_29">Справочник!$BT$4:$BT$17</definedName>
    <definedName name="_2018">Справочник!$AG$4:$AG$16</definedName>
    <definedName name="_2018_14">Справочник!$AJ$4:$AJ$8</definedName>
    <definedName name="_2018_16">Справочник!$AI$4:$AI$9</definedName>
    <definedName name="_2018_45">Справочник!$AK$4:$AK$7</definedName>
    <definedName name="_2018_залоги">Справочник!$AH$4:$AH$11</definedName>
    <definedName name="_2040_">Справочник!$EK$4:$EK$10</definedName>
    <definedName name="_2080_2013">Справочник!$EC$4:$EC$6</definedName>
    <definedName name="_21">Справочник!$BT$4:$BT$17</definedName>
    <definedName name="_2101_">Справочник!$EP$4:$EP$11</definedName>
    <definedName name="_2111">Справочник!$AZ$4:$AZ$47</definedName>
    <definedName name="_2112">Справочник!$E$4:$E$23</definedName>
    <definedName name="_2113">Справочник!$F$4:$F$5</definedName>
    <definedName name="_2142">Справочник!$G$4:$G$5</definedName>
    <definedName name="_2145">Справочник!$AR$4:$AR$777</definedName>
    <definedName name="_2145_tmc">Справочник!$AR$4:$AR$483</definedName>
    <definedName name="_2240">Справочник!$H$4:$H$443</definedName>
    <definedName name="_2240_9220_Д">Справочник!$J$4:$J$166</definedName>
    <definedName name="_2240_9220_Р">Справочник!$K$4:$K$287</definedName>
    <definedName name="_2240_l" localSheetId="9">#REF!</definedName>
    <definedName name="_2240_p" localSheetId="9">#REF!</definedName>
    <definedName name="_2240_доп">Справочник!$CP$4:$CP$53</definedName>
    <definedName name="_2240_Доходы">Справочник!$J$4:$J$162</definedName>
    <definedName name="_2240_доходы_ВГО">Справочник!$L$4:$L$104</definedName>
    <definedName name="_2240_Расходы">Справочник!$K$4:$K$283</definedName>
    <definedName name="_2240_расходы_ВГО">Справочник!$M$4:$M$199</definedName>
    <definedName name="_2240_Расходы_проч">Справочник!$CS$4:$CS$234</definedName>
    <definedName name="_2241">Справочник!$N$4:$N$15</definedName>
    <definedName name="_2250">Справочник!$O$4:$O$19</definedName>
    <definedName name="_2310_">Справочник!$P$4:$P$36</definedName>
    <definedName name="_2310_товары">Справочник!$P$4:$P$6</definedName>
    <definedName name="_2310_услуги">Справочник!$P$6:$P$36</definedName>
    <definedName name="_2311">Справочник!$Q$4:$Q$10</definedName>
    <definedName name="_2330">Справочник!$R$4:$R$5</definedName>
    <definedName name="_2420">Справочник!$S$4:$S$14</definedName>
    <definedName name="_2420X">Фин_договоры!$AT$9:$AT$15</definedName>
    <definedName name="_2420х">Фин_договоры!$AT$16:$AT$17</definedName>
    <definedName name="_2422">Справочник!$T$4:$T$6</definedName>
    <definedName name="_2423">Справочник!$U$4:$U$5</definedName>
    <definedName name="_2425">Справочник!$CJ$4:$CJ$10</definedName>
    <definedName name="_2426">Справочник!$CK$4:$CK$6</definedName>
    <definedName name="_2427">Справочник!$CL$4:$CL$6</definedName>
    <definedName name="_2430">Справочник!$V$4:$V$5</definedName>
    <definedName name="_2450">Справочник!$W$4:$W$9</definedName>
    <definedName name="_2451">Справочник!$X$4:$X$7</definedName>
    <definedName name="_2454">Справочник!$CI$4:$CI$8</definedName>
    <definedName name="_2530">Справочник!$Y$4:$Y$7</definedName>
    <definedName name="_2540">Справочник!$Z$4:$Z$6</definedName>
    <definedName name="_2552">Справочник!$AA$4:$AA$7</definedName>
    <definedName name="_2561_">Справочник!$DI$4:$DI$10</definedName>
    <definedName name="_2610">Справочник!$AB$4:$AB$13</definedName>
    <definedName name="_2612">Справочник!$BS$4:$BS$5</definedName>
    <definedName name="_2613">Справочник!$BW$4:$BW$5</definedName>
    <definedName name="_2620_96">Справочник!$AC$4:$AC$19</definedName>
    <definedName name="_2630">Справочник!$BA$4:$BA$6</definedName>
    <definedName name="_2640">Справочник!$AD$4:$AD$6</definedName>
    <definedName name="_2720">Справочник!$BO$4:$BO$22</definedName>
    <definedName name="_2720_">Справочник!$BO$24:$BO$25</definedName>
    <definedName name="_2720_other">Справочник!$BP$4:$BP$6</definedName>
    <definedName name="_2730_124">Справочник!$DC$4:$DC$6</definedName>
    <definedName name="_2730_14">Справочник!$DD$4:$DD$5</definedName>
    <definedName name="_2730_24">Справочник!$DE$4:$DE$5</definedName>
    <definedName name="_2730_4">Справочник!$DF$4</definedName>
    <definedName name="_2730_прочие" localSheetId="9">Справочник!#REF!</definedName>
    <definedName name="_2730_прочие">Справочник!#REF!</definedName>
    <definedName name="_2751">Справочник!$BQ$4:$BQ$8</definedName>
    <definedName name="_2752">Справочник!$DG$4:$DG$7</definedName>
    <definedName name="_2755">Справочник!$DR$12</definedName>
    <definedName name="_2755_1">Справочник!$DR$2:$DR$4</definedName>
    <definedName name="_2755_5">Справочник!$DR$5:$DR$11</definedName>
    <definedName name="_2780">Справочник!$BR$4:$BR$8</definedName>
    <definedName name="_3">Справочник!$DQ$2:$DQ$4</definedName>
    <definedName name="_41">Справочник!$BT$18:$BT$21</definedName>
    <definedName name="_43">Справочник!$BT$22:$BT$28</definedName>
    <definedName name="_45">Справочник!$BT$29:$BT$33</definedName>
    <definedName name="_5100_fin">Справочник!$AF$4:$AF$16</definedName>
    <definedName name="_60_62">Справочник!$BX$4:$BX$5</definedName>
    <definedName name="_60_62_76">Справочник!$BY$4:$BY$6</definedName>
    <definedName name="_6001">Справочник!$DB$4:$DB$258</definedName>
    <definedName name="_6001_">Справочник!$DB$199</definedName>
    <definedName name="_6003">Справочник!$CA$4:$CA$173</definedName>
    <definedName name="_6003_СОД_">Справочник!$BZ$4:$BZ$173</definedName>
    <definedName name="_6018">Справочник!$AE$4:$AE$112</definedName>
    <definedName name="_606276_контр">Справочник!$CX$4:$CX$6</definedName>
    <definedName name="_606276_контр_">Справочник!$CX$4:$CX$7</definedName>
    <definedName name="_84_расш1">Справочник!$DW$4:$DW$116</definedName>
    <definedName name="_84_расш2" localSheetId="9">Справочник!#REF!</definedName>
    <definedName name="_84_расш2">Справочник!#REF!</definedName>
    <definedName name="_84_расш3" localSheetId="9">Справочник!#REF!</definedName>
    <definedName name="_84_расш3">Справочник!#REF!</definedName>
    <definedName name="_84_расш4" localSheetId="9">Справочник!#REF!</definedName>
    <definedName name="_84_расш4">Справочник!#REF!</definedName>
    <definedName name="_84_расш5" localSheetId="9">Справочник!#REF!</definedName>
    <definedName name="_84_расш5">Справочник!#REF!</definedName>
    <definedName name="_84_расш6" localSheetId="9">Справочник!#REF!</definedName>
    <definedName name="_84_расш6">Справочник!#REF!</definedName>
    <definedName name="_84_расш7" localSheetId="9">Справочник!#REF!</definedName>
    <definedName name="_84_расш7">Справочник!#REF!</definedName>
    <definedName name="_84_расш8" localSheetId="9">Справочник!#REF!</definedName>
    <definedName name="_84_расш8">Справочник!#REF!</definedName>
    <definedName name="_9018">Справочник!$AL$4:$AL$13</definedName>
    <definedName name="_9018_ДП_пол">Справочник!$AL$10:$AL$11</definedName>
    <definedName name="_9019">Справочник!$AQ$4:$AQ$391</definedName>
    <definedName name="_9019_1">Справочник!$AN$4:$AN$388</definedName>
    <definedName name="_9022">Справочник!$BG$4:$BG$12</definedName>
    <definedName name="_9022_60">Справочник!$BE$4:$BE$16</definedName>
    <definedName name="_9022_62">Справочник!$BD$4:$BD$7</definedName>
    <definedName name="_9022_other">Справочник!$BB$4:$BB$80</definedName>
    <definedName name="_9022_per">Справочник!$BF$4:$BF$12</definedName>
    <definedName name="_9023">Справочник!$AS$4:$AS$7</definedName>
    <definedName name="_9023_60">Справочник!$CB$4:$CB$6</definedName>
    <definedName name="_9023_62">Справочник!$CC$4:$CC$6</definedName>
    <definedName name="_9058">Справочник!$AT$4:$AT$9</definedName>
    <definedName name="_9069">Справочник!$CO$4:$CO$7</definedName>
    <definedName name="_9073">Справочник!$CM$4:$CM$7</definedName>
    <definedName name="_96_X">Справочник!$CV$4:$CV$52</definedName>
    <definedName name="_96_Кс">Справочник!$CV$4:$CV$52</definedName>
    <definedName name="_99_X">Справочник!$CV$51:$CV$52</definedName>
    <definedName name="_comp">Список_компаний!$A$4:$A$289</definedName>
    <definedName name="_comp_нзп">Список_компаний!$A$3:$A$289</definedName>
    <definedName name="_comp0102">Список_компаний!$A$7:$A$289</definedName>
    <definedName name="_country">Справочник!$CT$4:$CT$253</definedName>
    <definedName name="_g" localSheetId="9">#REF!</definedName>
    <definedName name="_g">#REF!</definedName>
    <definedName name="_grup_prod">Справочник!$BT$4:$BT$33</definedName>
    <definedName name="_icomp">Список_компаний!$A$8:$A$289</definedName>
    <definedName name="_icompindex">Список_компаний!$B$8:$B$289</definedName>
    <definedName name="_icompindex_">Список_компаний!$B$8:$B$525</definedName>
    <definedName name="_index">Справочник!$BH$4:$BH$1511</definedName>
    <definedName name="_name">Справочник!$BI$4:$BI$1511</definedName>
    <definedName name="_not_tara">Справочник!$BL$6</definedName>
    <definedName name="_nzp">Справочник!$BT$4:$BT$17</definedName>
    <definedName name="_op_pa">Справочник!$BK$4:$BK$18</definedName>
    <definedName name="_strana">[1]Справочники!$C$4:$C$258</definedName>
    <definedName name="_tara">Справочник!$BL$4:$BL$5</definedName>
    <definedName name="_tara_no">Справочник!$BL$6</definedName>
    <definedName name="_tc">Справочник!$BN$4:$BN$6</definedName>
    <definedName name="_X">НЗП_ГП!$E$9</definedName>
    <definedName name="_yn">Справочник!$BM$4:$BM$5</definedName>
    <definedName name="_ддс">Справочник!$BU$4:$BU$241</definedName>
    <definedName name="_ДДС_">Справочник!$BV$4:$BV$241</definedName>
    <definedName name="_ИФ_НИОКР_ГОД">Справочник!$EB$4:$EB$33</definedName>
    <definedName name="_комп">[1]Список_компаний!$A$8:$A$217</definedName>
    <definedName name="_НДС">Справочник!$DY$4:$DY$8</definedName>
    <definedName name="_нерасш">Справочник!$CN$4</definedName>
    <definedName name="_орг_НИОКР">Список_компаний!$A$7:$A$435</definedName>
    <definedName name="_организации_ниокр">Список_компаний!$A$4:$A$435</definedName>
    <definedName name="_оценка_вер_">Справочник!$DS$2:$DS$6</definedName>
    <definedName name="_период">Справочник!$CE$4:$CE$7</definedName>
    <definedName name="_поручит">Справочник!$CD$4:$CD$5</definedName>
    <definedName name="_Проверка_">Справочник!$DT$2:$DT$99</definedName>
    <definedName name="_расш_корр">Справочник!$CZ$4:$CZ$10</definedName>
    <definedName name="_списокЛ">Справочник!$DK$3:$DK$126</definedName>
    <definedName name="_ставкаНдс">Справочник!$DU$2:$DU$6</definedName>
    <definedName name="_счет20_46">Справочник!$CQ$4:$CQ$5</definedName>
    <definedName name="_счета">Справочник!$CH$4:$CH$13</definedName>
    <definedName name="_xlnm._FilterDatabase" localSheetId="20" hidden="1">'01'!$C$7:$Z$7</definedName>
    <definedName name="_xlnm._FilterDatabase" localSheetId="21" hidden="1">'02'!$C$7:$W$7</definedName>
    <definedName name="_xlnm._FilterDatabase" localSheetId="22" hidden="1">'03'!$C$8:$Y$8</definedName>
    <definedName name="_xlnm._FilterDatabase" localSheetId="23" hidden="1">'04'!$C$8:$U$8</definedName>
    <definedName name="_xlnm._FilterDatabase" localSheetId="24" hidden="1">'05'!$C$7:$P$7</definedName>
    <definedName name="_xlnm._FilterDatabase" localSheetId="25" hidden="1">'07'!$A$8:$U$8</definedName>
    <definedName name="_xlnm._FilterDatabase" localSheetId="26" hidden="1">'07_расш'!$C$6:$F$6</definedName>
    <definedName name="_xlnm._FilterDatabase" localSheetId="27" hidden="1">'08'!$C$7:$AB$7</definedName>
    <definedName name="_xlnm._FilterDatabase" localSheetId="29" hidden="1">'08_НИОКР'!$C$7:$G$7</definedName>
    <definedName name="_xlnm._FilterDatabase" localSheetId="28" hidden="1">'08_расш'!$C$7:$F$7</definedName>
    <definedName name="_xlnm._FilterDatabase" localSheetId="30" hidden="1">'09'!$C$7:$L$7</definedName>
    <definedName name="_xlnm._FilterDatabase" localSheetId="31" hidden="1">'10'!$C$8:$Y$8</definedName>
    <definedName name="_xlnm._FilterDatabase" localSheetId="32" hidden="1">'10_расш'!$C$9:$X$9</definedName>
    <definedName name="_xlnm._FilterDatabase" localSheetId="33" hidden="1">'14'!$C$6:$K$6</definedName>
    <definedName name="_xlnm._FilterDatabase" localSheetId="34" hidden="1">'15'!$C$7:$P$83</definedName>
    <definedName name="_xlnm._FilterDatabase" localSheetId="35" hidden="1">'16'!$C$7:$N$75</definedName>
    <definedName name="_xlnm._FilterDatabase" localSheetId="36" hidden="1">'19'!$C$7:$R$7</definedName>
    <definedName name="_xlnm._FilterDatabase" localSheetId="40" hidden="1">'21'!$C$9:$N$9</definedName>
    <definedName name="_xlnm._FilterDatabase" localSheetId="41" hidden="1">'40'!$C$8:$L$8</definedName>
    <definedName name="_xlnm._FilterDatabase" localSheetId="42" hidden="1">'41_01'!$C$9:$AA$9</definedName>
    <definedName name="_xlnm._FilterDatabase" localSheetId="43" hidden="1">'41_02'!$C$12:$Q$12</definedName>
    <definedName name="_xlnm._FilterDatabase" localSheetId="44" hidden="1">'43'!$C$7:$P$7</definedName>
    <definedName name="_xlnm._FilterDatabase" localSheetId="45" hidden="1">'45'!$C$7:$V$7</definedName>
    <definedName name="_xlnm._FilterDatabase" localSheetId="48" hidden="1">'46'!$C$8:$AK$8</definedName>
    <definedName name="_xlnm._FilterDatabase" localSheetId="49" hidden="1">'50'!$C$6:$G$6</definedName>
    <definedName name="_xlnm._FilterDatabase" localSheetId="54" hidden="1">'50_51_52_55_57_движ'!$C$6:$N$6</definedName>
    <definedName name="_xlnm._FilterDatabase" localSheetId="50" hidden="1">'51'!$C$6:$G$6</definedName>
    <definedName name="_xlnm._FilterDatabase" localSheetId="51" hidden="1">'52'!$C$6:$H$6</definedName>
    <definedName name="_xlnm._FilterDatabase" localSheetId="52" hidden="1">'55'!$C$6:$J$6</definedName>
    <definedName name="_xlnm._FilterDatabase" localSheetId="53" hidden="1">'57'!$C$6:$H$6</definedName>
    <definedName name="_xlnm._FilterDatabase" localSheetId="56" hidden="1">'58_01_1'!$C$8:$AA$8</definedName>
    <definedName name="_xlnm._FilterDatabase" localSheetId="57" hidden="1">'58_01_2'!$C$8:$AA$8</definedName>
    <definedName name="_xlnm._FilterDatabase" localSheetId="58" hidden="1">'58_02'!$C$10:$AE$10</definedName>
    <definedName name="_xlnm._FilterDatabase" localSheetId="59" hidden="1">'58_02_движ'!$C$11:$AE$11</definedName>
    <definedName name="_xlnm._FilterDatabase" localSheetId="60" hidden="1">'58_03_1'!$C$9:$AK$9</definedName>
    <definedName name="_xlnm._FilterDatabase" localSheetId="61" hidden="1">'58_03_2'!$C$9:$AK$9</definedName>
    <definedName name="_xlnm._FilterDatabase" localSheetId="62" hidden="1">'58_04'!$C$10:$AH$10</definedName>
    <definedName name="_xlnm._FilterDatabase" localSheetId="63" hidden="1">'59_01'!$C$9:$P$9</definedName>
    <definedName name="_xlnm._FilterDatabase" localSheetId="64" hidden="1">'59_02'!$C$9:$W$9</definedName>
    <definedName name="_xlnm._FilterDatabase" localSheetId="65" hidden="1">'59_03'!$C$9:$R$9</definedName>
    <definedName name="_xlnm._FilterDatabase" localSheetId="73" hidden="1">'60,62,63,76_контр'!$C$8:$CG$8</definedName>
    <definedName name="_xlnm._FilterDatabase" localSheetId="68" hidden="1">'60_01'!$C$8:$AC$8</definedName>
    <definedName name="_xlnm._FilterDatabase" localSheetId="69" hidden="1">'60_02'!$C$8:$V$8</definedName>
    <definedName name="_xlnm._FilterDatabase" localSheetId="70" hidden="1">'62_01'!$C$8:$Z$8</definedName>
    <definedName name="_xlnm._FilterDatabase" localSheetId="71" hidden="1">'62_02'!$C$8:$X$8</definedName>
    <definedName name="_xlnm._FilterDatabase" localSheetId="74" hidden="1">'66'!$C$10:$BG$10</definedName>
    <definedName name="_xlnm._FilterDatabase" localSheetId="75" hidden="1">'67'!$C$10:$BD$10</definedName>
    <definedName name="_xlnm._FilterDatabase" localSheetId="76" hidden="1">'68'!$A$9:$BD$9</definedName>
    <definedName name="_xlnm._FilterDatabase" localSheetId="81" hidden="1">'69'!$C$9:$T$9</definedName>
    <definedName name="_xlnm._FilterDatabase" localSheetId="82" hidden="1">'73'!$C$8:$W$8</definedName>
    <definedName name="_xlnm._FilterDatabase" localSheetId="83" hidden="1">'75_01'!$C$8:$T$8</definedName>
    <definedName name="_xlnm._FilterDatabase" localSheetId="84" hidden="1">'75_01_Неденеж'!$C$8:$M$8</definedName>
    <definedName name="_xlnm._FilterDatabase" localSheetId="85" hidden="1">'75_02'!$C$7:$U$7</definedName>
    <definedName name="_xlnm._FilterDatabase" localSheetId="86" hidden="1">'76'!$C$7:$AT$74</definedName>
    <definedName name="_xlnm._FilterDatabase" localSheetId="87" hidden="1">'76_01_%'!$C$9:$AD$9</definedName>
    <definedName name="_xlnm._FilterDatabase" localSheetId="88" hidden="1">'77'!$C$6:$L$6</definedName>
    <definedName name="_xlnm._FilterDatabase" localSheetId="89" hidden="1">'78'!$C$8:$P$8</definedName>
    <definedName name="_xlnm._FilterDatabase" localSheetId="90" hidden="1">'80'!$C$10:$AB$10</definedName>
    <definedName name="_xlnm._FilterDatabase" localSheetId="91" hidden="1">'83'!$C$9:$Q$9</definedName>
    <definedName name="_xlnm._FilterDatabase" localSheetId="92" hidden="1">'83_расш'!$C$7:$H$7</definedName>
    <definedName name="_xlnm._FilterDatabase" localSheetId="93" hidden="1">'84'!$C$10:$W$10</definedName>
    <definedName name="_xlnm._FilterDatabase" localSheetId="94" hidden="1">'84_расш'!$C$7:$M$7</definedName>
    <definedName name="_xlnm._FilterDatabase" localSheetId="95" hidden="1">'86'!$C$9:$AF$9</definedName>
    <definedName name="_xlnm._FilterDatabase" localSheetId="96" hidden="1">'90'!$C$8:$M$8</definedName>
    <definedName name="_xlnm._FilterDatabase" localSheetId="98" hidden="1">'90_контр'!$C$8:$K$25</definedName>
    <definedName name="_xlnm._FilterDatabase" localSheetId="97" hidden="1">'90_ОРВГ'!$C$8:$S$8</definedName>
    <definedName name="_xlnm._FilterDatabase" localSheetId="99" hidden="1">'91_01'!$C$29:$I$29</definedName>
    <definedName name="_xlnm._FilterDatabase" localSheetId="100" hidden="1">'91_01_ВГО'!$C$9:$Q$9</definedName>
    <definedName name="_xlnm._FilterDatabase" localSheetId="101" hidden="1">'91_02'!$C$8:$G$8</definedName>
    <definedName name="_xlnm._FilterDatabase" localSheetId="102" hidden="1">'91_02_ВГО'!$C$8:$J$8</definedName>
    <definedName name="_xlnm._FilterDatabase" localSheetId="105" hidden="1">'96'!$C$8:$T$66</definedName>
    <definedName name="_xlnm._FilterDatabase" localSheetId="106" hidden="1">'96_движ'!$C$9:$U$9</definedName>
    <definedName name="_xlnm._FilterDatabase" localSheetId="107" hidden="1">'97'!$C$8:$V$8</definedName>
    <definedName name="_xlnm._FilterDatabase" localSheetId="108" hidden="1">'98_01'!$C$9:$Z$9</definedName>
    <definedName name="_xlnm._FilterDatabase" localSheetId="109" hidden="1">'98_02'!$C$9:$X$9</definedName>
    <definedName name="_xlnm._FilterDatabase" localSheetId="110" hidden="1">'98_04'!$C$9:$T$9</definedName>
    <definedName name="_xlnm._FilterDatabase" localSheetId="13" hidden="1">Баланс!$C$4:$O$77</definedName>
    <definedName name="_xlnm._FilterDatabase" localSheetId="15" hidden="1">ДДС!$C$6:$M$6</definedName>
    <definedName name="_xlnm._FilterDatabase" localSheetId="16" hidden="1">ДДС_приложение!$C$4:$M$272</definedName>
    <definedName name="_xlnm._FilterDatabase" localSheetId="47" hidden="1">Долгосроч_договоры!$A$8:$CM$40</definedName>
    <definedName name="_xlnm._FilterDatabase" localSheetId="67" hidden="1">ДП_выданные!$C$8:$Z$8</definedName>
    <definedName name="_xlnm._FilterDatabase" localSheetId="66" hidden="1">ДП_полученные!$C$8:$AB$8</definedName>
    <definedName name="_xlnm._FilterDatabase" localSheetId="112" hidden="1">Зарубежная_выручка!$A$11:$W$11</definedName>
    <definedName name="_xlnm._FilterDatabase" localSheetId="37" hidden="1">Затраты_Вход_1!$C$9:$M$44</definedName>
    <definedName name="_xlnm._FilterDatabase" localSheetId="38" hidden="1">Затраты_Вход_2!$C$9:$L$9</definedName>
    <definedName name="_xlnm._FilterDatabase" localSheetId="39" hidden="1">Затраты_Выход!$C$11:$G$11</definedName>
    <definedName name="_xlnm._FilterDatabase" localSheetId="77" hidden="1">Налог_на_прибыль!$C$7:$G$185</definedName>
    <definedName name="_xlnm._FilterDatabase" localSheetId="78" hidden="1">Налог_пров!$H$10:$AI$10</definedName>
    <definedName name="_xlnm._FilterDatabase" localSheetId="79" hidden="1">Налоговые_льготы_имущество!$C$7:$Q$7</definedName>
    <definedName name="_xlnm._FilterDatabase" localSheetId="80" hidden="1">Налоговые_льготы_прочие!$C$7:$J$7</definedName>
    <definedName name="_xlnm._FilterDatabase" localSheetId="46" hidden="1">НЗП_ГП!$C$8:$AF$8</definedName>
    <definedName name="_xlnm._FilterDatabase" localSheetId="72" hidden="1">ОКХ!$C$8:$Y$8</definedName>
    <definedName name="_xlnm._FilterDatabase" localSheetId="17" hidden="1">ОСВ_авт!$A$8:$N$269</definedName>
    <definedName name="_xlnm._FilterDatabase" localSheetId="18" hidden="1">ОСВ_система!$C$3:$S$4</definedName>
    <definedName name="_xlnm._FilterDatabase" localSheetId="104" hidden="1">ОСС!$C$7:$J$7</definedName>
    <definedName name="_xlnm._FilterDatabase" localSheetId="14" hidden="1">ОФР!$C$6:$K$6</definedName>
    <definedName name="_xlnm._FilterDatabase" localSheetId="4" hidden="1">Параметры_загрузки!$A$6:$E$6</definedName>
    <definedName name="_xlnm._FilterDatabase" localSheetId="7" hidden="1">Проверки!$B$7:$G$525</definedName>
    <definedName name="_xlnm._FilterDatabase" localSheetId="103" hidden="1">Прочие_расш!$A$33:$X$33</definedName>
    <definedName name="_xlnm._FilterDatabase" localSheetId="19" hidden="1">Свод_по_счетам!$B$8:$T$37</definedName>
    <definedName name="_xlnm._FilterDatabase" localSheetId="3" hidden="1">Содержание!$B$18:$E$123</definedName>
    <definedName name="_xlnm._FilterDatabase" localSheetId="113" hidden="1">'Список изменений в ФСД(2022г) '!$A$6:$J$245</definedName>
    <definedName name="_xlnm._FilterDatabase" localSheetId="5" hidden="1">Список_компаний!$A$2:$Y$525</definedName>
    <definedName name="_xlnm._FilterDatabase" localSheetId="6" hidden="1">Справочник!$A$1:$EP$1403</definedName>
    <definedName name="_xlnm._FilterDatabase" localSheetId="55" hidden="1">Фин_договоры!$A$8:$BL$8</definedName>
    <definedName name="_Х76">Справочник!$DZ$4:$DZ$5</definedName>
    <definedName name="dogovor_fin">Фин_договоры!$C$9:$C$9938</definedName>
    <definedName name="dogovor_stroy">Долгосроч_договоры!$C$10:$C$2788</definedName>
    <definedName name="icompindex">'60,62,63,76_контр'!$AY$19</definedName>
    <definedName name="q">[2]Справочник!$DG$3:$DG$110</definedName>
    <definedName name="sdfsfdsf">[3]Справочник!$DK$3:$DK$120</definedName>
    <definedName name="ssfsf">[4]Справочник!$J$4:$J$132</definedName>
    <definedName name="Z_1C36793E_2B7E_411E_AA99_985D5D59B75A_.wvu.Cols" localSheetId="33" hidden="1">'14'!#REF!</definedName>
    <definedName name="Z_1C36793E_2B7E_411E_AA99_985D5D59B75A_.wvu.Cols" localSheetId="34" hidden="1">'15'!#REF!</definedName>
    <definedName name="Z_1C36793E_2B7E_411E_AA99_985D5D59B75A_.wvu.Cols" localSheetId="95" hidden="1">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</definedName>
    <definedName name="Z_1C36793E_2B7E_411E_AA99_985D5D59B75A_.wvu.Cols" localSheetId="4" hidden="1">Параметры_загрузки!$C:$C</definedName>
    <definedName name="Z_1C36793E_2B7E_411E_AA99_985D5D59B75A_.wvu.Cols" localSheetId="7" hidden="1">Проверки!#REF!,Проверки!$D:$G</definedName>
    <definedName name="Z_1C36793E_2B7E_411E_AA99_985D5D59B75A_.wvu.FilterData" localSheetId="86" hidden="1">'76'!$A$6:$X$45</definedName>
    <definedName name="Z_1C36793E_2B7E_411E_AA99_985D5D59B75A_.wvu.FilterData" localSheetId="16" hidden="1">ДДС_приложение!$B$5:$F$272</definedName>
    <definedName name="Z_1C36793E_2B7E_411E_AA99_985D5D59B75A_.wvu.FilterData" localSheetId="7" hidden="1">Проверки!$B$7:$H$216</definedName>
    <definedName name="Z_1C36793E_2B7E_411E_AA99_985D5D59B75A_.wvu.Rows" localSheetId="99" hidden="1">'91_01'!$13:$28</definedName>
    <definedName name="Z_1C36793E_2B7E_411E_AA99_985D5D59B75A_.wvu.Rows" localSheetId="100" hidden="1">'91_01_ВГО'!$12:$27</definedName>
    <definedName name="Z_1C36793E_2B7E_411E_AA99_985D5D59B75A_.wvu.Rows" localSheetId="101" hidden="1">'91_02'!$9:$40</definedName>
    <definedName name="Z_1C36793E_2B7E_411E_AA99_985D5D59B75A_.wvu.Rows" localSheetId="102" hidden="1">'91_02_ВГО'!$7:$30</definedName>
    <definedName name="Z_1C36793E_2B7E_411E_AA99_985D5D59B75A_.wvu.Rows" localSheetId="103" hidden="1">Прочие_расш!#REF!</definedName>
    <definedName name="Z_3769259D_9653_4B34_A2F6_4FB6F9F4E533_.wvu.Cols" localSheetId="20" hidden="1">'01'!$A:$A,'01'!$X:$X</definedName>
    <definedName name="Z_3769259D_9653_4B34_A2F6_4FB6F9F4E533_.wvu.Cols" localSheetId="21" hidden="1">'02'!$A:$A</definedName>
    <definedName name="Z_3769259D_9653_4B34_A2F6_4FB6F9F4E533_.wvu.Cols" localSheetId="22" hidden="1">'03'!$A:$A</definedName>
    <definedName name="Z_3769259D_9653_4B34_A2F6_4FB6F9F4E533_.wvu.Cols" localSheetId="23" hidden="1">'04'!$A:$A,'04'!$S:$S</definedName>
    <definedName name="Z_3769259D_9653_4B34_A2F6_4FB6F9F4E533_.wvu.Cols" localSheetId="24" hidden="1">'05'!$A:$A</definedName>
    <definedName name="Z_3769259D_9653_4B34_A2F6_4FB6F9F4E533_.wvu.Cols" localSheetId="25" hidden="1">'07'!$A:$A</definedName>
    <definedName name="Z_3769259D_9653_4B34_A2F6_4FB6F9F4E533_.wvu.Cols" localSheetId="27" hidden="1">'08'!$A:$A,'08'!$V:$V</definedName>
    <definedName name="Z_3769259D_9653_4B34_A2F6_4FB6F9F4E533_.wvu.Cols" localSheetId="29" hidden="1">'08_НИОКР'!$A:$A,'08_НИОКР'!$S:$S</definedName>
    <definedName name="Z_3769259D_9653_4B34_A2F6_4FB6F9F4E533_.wvu.Cols" localSheetId="28" hidden="1">'08_расш'!$A:$A</definedName>
    <definedName name="Z_3769259D_9653_4B34_A2F6_4FB6F9F4E533_.wvu.Cols" localSheetId="30" hidden="1">'09'!$A:$A,'09'!$N:$N</definedName>
    <definedName name="Z_3769259D_9653_4B34_A2F6_4FB6F9F4E533_.wvu.Cols" localSheetId="31" hidden="1">'10'!$A:$A</definedName>
    <definedName name="Z_3769259D_9653_4B34_A2F6_4FB6F9F4E533_.wvu.Cols" localSheetId="32" hidden="1">'10_расш'!$A:$A</definedName>
    <definedName name="Z_3769259D_9653_4B34_A2F6_4FB6F9F4E533_.wvu.Cols" localSheetId="33" hidden="1">'14'!$A:$A</definedName>
    <definedName name="Z_3769259D_9653_4B34_A2F6_4FB6F9F4E533_.wvu.Cols" localSheetId="34" hidden="1">'15'!$A:$A</definedName>
    <definedName name="Z_3769259D_9653_4B34_A2F6_4FB6F9F4E533_.wvu.Cols" localSheetId="35" hidden="1">'16'!$A:$A</definedName>
    <definedName name="Z_3769259D_9653_4B34_A2F6_4FB6F9F4E533_.wvu.Cols" localSheetId="36" hidden="1">'19'!$A:$A</definedName>
    <definedName name="Z_3769259D_9653_4B34_A2F6_4FB6F9F4E533_.wvu.Cols" localSheetId="40" hidden="1">'21'!$A:$A</definedName>
    <definedName name="Z_3769259D_9653_4B34_A2F6_4FB6F9F4E533_.wvu.Cols" localSheetId="41" hidden="1">'40'!$A:$A</definedName>
    <definedName name="Z_3769259D_9653_4B34_A2F6_4FB6F9F4E533_.wvu.Cols" localSheetId="42" hidden="1">'41_01'!$A:$A,'41_01'!#REF!,'41_01'!$X:$X</definedName>
    <definedName name="Z_3769259D_9653_4B34_A2F6_4FB6F9F4E533_.wvu.Cols" localSheetId="43" hidden="1">'41_02'!$A:$A,'41_02'!#REF!</definedName>
    <definedName name="Z_3769259D_9653_4B34_A2F6_4FB6F9F4E533_.wvu.Cols" localSheetId="44" hidden="1">'43'!$A:$A,'43'!#REF!</definedName>
    <definedName name="Z_3769259D_9653_4B34_A2F6_4FB6F9F4E533_.wvu.Cols" localSheetId="45" hidden="1">'45'!$A:$A</definedName>
    <definedName name="Z_3769259D_9653_4B34_A2F6_4FB6F9F4E533_.wvu.Cols" localSheetId="48" hidden="1">'46'!$A:$A</definedName>
    <definedName name="Z_3769259D_9653_4B34_A2F6_4FB6F9F4E533_.wvu.Cols" localSheetId="49" hidden="1">'50'!$A:$A</definedName>
    <definedName name="Z_3769259D_9653_4B34_A2F6_4FB6F9F4E533_.wvu.Cols" localSheetId="54" hidden="1">'50_51_52_55_57_движ'!$A:$A,'50_51_52_55_57_движ'!$N:$V</definedName>
    <definedName name="Z_3769259D_9653_4B34_A2F6_4FB6F9F4E533_.wvu.Cols" localSheetId="50" hidden="1">'51'!$A:$A</definedName>
    <definedName name="Z_3769259D_9653_4B34_A2F6_4FB6F9F4E533_.wvu.Cols" localSheetId="51" hidden="1">'52'!$A:$A</definedName>
    <definedName name="Z_3769259D_9653_4B34_A2F6_4FB6F9F4E533_.wvu.Cols" localSheetId="52" hidden="1">'55'!$A:$A</definedName>
    <definedName name="Z_3769259D_9653_4B34_A2F6_4FB6F9F4E533_.wvu.Cols" localSheetId="53" hidden="1">'57'!$A:$A</definedName>
    <definedName name="Z_3769259D_9653_4B34_A2F6_4FB6F9F4E533_.wvu.Cols" localSheetId="56" hidden="1">'58_01_1'!$A:$A</definedName>
    <definedName name="Z_3769259D_9653_4B34_A2F6_4FB6F9F4E533_.wvu.Cols" localSheetId="57" hidden="1">'58_01_2'!$A:$A</definedName>
    <definedName name="Z_3769259D_9653_4B34_A2F6_4FB6F9F4E533_.wvu.Cols" localSheetId="58" hidden="1">'58_02'!$A:$A</definedName>
    <definedName name="Z_3769259D_9653_4B34_A2F6_4FB6F9F4E533_.wvu.Cols" localSheetId="59" hidden="1">'58_02_движ'!$A:$A</definedName>
    <definedName name="Z_3769259D_9653_4B34_A2F6_4FB6F9F4E533_.wvu.Cols" localSheetId="60" hidden="1">'58_03_1'!$A:$A</definedName>
    <definedName name="Z_3769259D_9653_4B34_A2F6_4FB6F9F4E533_.wvu.Cols" localSheetId="61" hidden="1">'58_03_2'!$A:$A</definedName>
    <definedName name="Z_3769259D_9653_4B34_A2F6_4FB6F9F4E533_.wvu.Cols" localSheetId="62" hidden="1">'58_04'!$A:$A</definedName>
    <definedName name="Z_3769259D_9653_4B34_A2F6_4FB6F9F4E533_.wvu.Cols" localSheetId="63" hidden="1">'59_01'!$A:$A</definedName>
    <definedName name="Z_3769259D_9653_4B34_A2F6_4FB6F9F4E533_.wvu.Cols" localSheetId="64" hidden="1">'59_02'!$A:$A</definedName>
    <definedName name="Z_3769259D_9653_4B34_A2F6_4FB6F9F4E533_.wvu.Cols" localSheetId="65" hidden="1">'59_03'!$A:$A</definedName>
    <definedName name="Z_3769259D_9653_4B34_A2F6_4FB6F9F4E533_.wvu.Cols" localSheetId="73" hidden="1">'60,62,63,76_контр'!$A:$A</definedName>
    <definedName name="Z_3769259D_9653_4B34_A2F6_4FB6F9F4E533_.wvu.Cols" localSheetId="68" hidden="1">'60_01'!$A:$A,'60_01'!$V:$V</definedName>
    <definedName name="Z_3769259D_9653_4B34_A2F6_4FB6F9F4E533_.wvu.Cols" localSheetId="69" hidden="1">'60_02'!$A:$A</definedName>
    <definedName name="Z_3769259D_9653_4B34_A2F6_4FB6F9F4E533_.wvu.Cols" localSheetId="70" hidden="1">'62_01'!$A:$A,'62_01'!$U:$U</definedName>
    <definedName name="Z_3769259D_9653_4B34_A2F6_4FB6F9F4E533_.wvu.Cols" localSheetId="71" hidden="1">'62_02'!$A:$A</definedName>
    <definedName name="Z_3769259D_9653_4B34_A2F6_4FB6F9F4E533_.wvu.Cols" localSheetId="74" hidden="1">'66'!$A:$A,'66'!$BE:$BE</definedName>
    <definedName name="Z_3769259D_9653_4B34_A2F6_4FB6F9F4E533_.wvu.Cols" localSheetId="75" hidden="1">'67'!$A:$A,'67'!$BF:$BF</definedName>
    <definedName name="Z_3769259D_9653_4B34_A2F6_4FB6F9F4E533_.wvu.Cols" localSheetId="76" hidden="1">'68'!$A:$A</definedName>
    <definedName name="Z_3769259D_9653_4B34_A2F6_4FB6F9F4E533_.wvu.Cols" localSheetId="81" hidden="1">'69'!$A:$A,'69'!$V:$V</definedName>
    <definedName name="Z_3769259D_9653_4B34_A2F6_4FB6F9F4E533_.wvu.Cols" localSheetId="82" hidden="1">'73'!$Y:$Y</definedName>
    <definedName name="Z_3769259D_9653_4B34_A2F6_4FB6F9F4E533_.wvu.Cols" localSheetId="83" hidden="1">'75_01'!$A:$A,'75_01'!$V:$V</definedName>
    <definedName name="Z_3769259D_9653_4B34_A2F6_4FB6F9F4E533_.wvu.Cols" localSheetId="84" hidden="1">'75_01_Неденеж'!$A:$A</definedName>
    <definedName name="Z_3769259D_9653_4B34_A2F6_4FB6F9F4E533_.wvu.Cols" localSheetId="85" hidden="1">'75_02'!$A:$A</definedName>
    <definedName name="Z_3769259D_9653_4B34_A2F6_4FB6F9F4E533_.wvu.Cols" localSheetId="86" hidden="1">'76'!$A:$A</definedName>
    <definedName name="Z_3769259D_9653_4B34_A2F6_4FB6F9F4E533_.wvu.Cols" localSheetId="87" hidden="1">'76_01_%'!$A:$A</definedName>
    <definedName name="Z_3769259D_9653_4B34_A2F6_4FB6F9F4E533_.wvu.Cols" localSheetId="88" hidden="1">'77'!$A:$A,'77'!$N:$N</definedName>
    <definedName name="Z_3769259D_9653_4B34_A2F6_4FB6F9F4E533_.wvu.Cols" localSheetId="89" hidden="1">'78'!$A:$A</definedName>
    <definedName name="Z_3769259D_9653_4B34_A2F6_4FB6F9F4E533_.wvu.Cols" localSheetId="90" hidden="1">'80'!$A:$A</definedName>
    <definedName name="Z_3769259D_9653_4B34_A2F6_4FB6F9F4E533_.wvu.Cols" localSheetId="91" hidden="1">'83'!$A:$A</definedName>
    <definedName name="Z_3769259D_9653_4B34_A2F6_4FB6F9F4E533_.wvu.Cols" localSheetId="92" hidden="1">'83_расш'!$A:$A</definedName>
    <definedName name="Z_3769259D_9653_4B34_A2F6_4FB6F9F4E533_.wvu.Cols" localSheetId="93" hidden="1">'84'!$A:$A</definedName>
    <definedName name="Z_3769259D_9653_4B34_A2F6_4FB6F9F4E533_.wvu.Cols" localSheetId="94" hidden="1">'84_расш'!$A:$A</definedName>
    <definedName name="Z_3769259D_9653_4B34_A2F6_4FB6F9F4E533_.wvu.Cols" localSheetId="95" hidden="1">'86'!$A:$A</definedName>
    <definedName name="Z_3769259D_9653_4B34_A2F6_4FB6F9F4E533_.wvu.Cols" localSheetId="96" hidden="1">'90'!$A:$A</definedName>
    <definedName name="Z_3769259D_9653_4B34_A2F6_4FB6F9F4E533_.wvu.Cols" localSheetId="98" hidden="1">'90_контр'!$A:$A</definedName>
    <definedName name="Z_3769259D_9653_4B34_A2F6_4FB6F9F4E533_.wvu.Cols" localSheetId="97" hidden="1">'90_ОРВГ'!$A:$A</definedName>
    <definedName name="Z_3769259D_9653_4B34_A2F6_4FB6F9F4E533_.wvu.Cols" localSheetId="99" hidden="1">'91_01'!$A:$A</definedName>
    <definedName name="Z_3769259D_9653_4B34_A2F6_4FB6F9F4E533_.wvu.Cols" localSheetId="100" hidden="1">'91_01_ВГО'!$A:$A</definedName>
    <definedName name="Z_3769259D_9653_4B34_A2F6_4FB6F9F4E533_.wvu.Cols" localSheetId="101" hidden="1">'91_02'!$A:$A</definedName>
    <definedName name="Z_3769259D_9653_4B34_A2F6_4FB6F9F4E533_.wvu.Cols" localSheetId="102" hidden="1">'91_02_ВГО'!$A:$A</definedName>
    <definedName name="Z_3769259D_9653_4B34_A2F6_4FB6F9F4E533_.wvu.Cols" localSheetId="105" hidden="1">'96'!$A:$A,'96'!$V:$V</definedName>
    <definedName name="Z_3769259D_9653_4B34_A2F6_4FB6F9F4E533_.wvu.Cols" localSheetId="106" hidden="1">'96_движ'!$A:$A,'96_движ'!$L:$M</definedName>
    <definedName name="Z_3769259D_9653_4B34_A2F6_4FB6F9F4E533_.wvu.Cols" localSheetId="107" hidden="1">'97'!$A:$A</definedName>
    <definedName name="Z_3769259D_9653_4B34_A2F6_4FB6F9F4E533_.wvu.Cols" localSheetId="108" hidden="1">'98_01'!$A:$A</definedName>
    <definedName name="Z_3769259D_9653_4B34_A2F6_4FB6F9F4E533_.wvu.Cols" localSheetId="109" hidden="1">'98_02'!$A:$A</definedName>
    <definedName name="Z_3769259D_9653_4B34_A2F6_4FB6F9F4E533_.wvu.Cols" localSheetId="110" hidden="1">'98_04'!$A:$A</definedName>
    <definedName name="Z_3769259D_9653_4B34_A2F6_4FB6F9F4E533_.wvu.Cols" localSheetId="111" hidden="1">'99'!$A:$A</definedName>
    <definedName name="Z_3769259D_9653_4B34_A2F6_4FB6F9F4E533_.wvu.Cols" localSheetId="13" hidden="1">Баланс!$A:$A</definedName>
    <definedName name="Z_3769259D_9653_4B34_A2F6_4FB6F9F4E533_.wvu.Cols" localSheetId="47" hidden="1">Долгосроч_договоры!$A:$A</definedName>
    <definedName name="Z_3769259D_9653_4B34_A2F6_4FB6F9F4E533_.wvu.Cols" localSheetId="67" hidden="1">ДП_выданные!$A:$A</definedName>
    <definedName name="Z_3769259D_9653_4B34_A2F6_4FB6F9F4E533_.wvu.Cols" localSheetId="112" hidden="1">Зарубежная_выручка!$A:$A</definedName>
    <definedName name="Z_3769259D_9653_4B34_A2F6_4FB6F9F4E533_.wvu.Cols" localSheetId="37" hidden="1">Затраты_Вход_1!$A:$A,Затраты_Вход_1!$L:$M</definedName>
    <definedName name="Z_3769259D_9653_4B34_A2F6_4FB6F9F4E533_.wvu.Cols" localSheetId="38" hidden="1">Затраты_Вход_2!$A:$A</definedName>
    <definedName name="Z_3769259D_9653_4B34_A2F6_4FB6F9F4E533_.wvu.Cols" localSheetId="39" hidden="1">Затраты_Выход!$A:$A</definedName>
    <definedName name="Z_3769259D_9653_4B34_A2F6_4FB6F9F4E533_.wvu.Cols" localSheetId="77" hidden="1">Налог_на_прибыль!$A:$A</definedName>
    <definedName name="Z_3769259D_9653_4B34_A2F6_4FB6F9F4E533_.wvu.Cols" localSheetId="78" hidden="1">Налог_пров!$A:$A</definedName>
    <definedName name="Z_3769259D_9653_4B34_A2F6_4FB6F9F4E533_.wvu.Cols" localSheetId="79" hidden="1">Налоговые_льготы_имущество!$A:$A</definedName>
    <definedName name="Z_3769259D_9653_4B34_A2F6_4FB6F9F4E533_.wvu.Cols" localSheetId="80" hidden="1">Налоговые_льготы_прочие!$A:$A</definedName>
    <definedName name="Z_3769259D_9653_4B34_A2F6_4FB6F9F4E533_.wvu.Cols" localSheetId="46" hidden="1">НЗП_ГП!$A:$A</definedName>
    <definedName name="Z_3769259D_9653_4B34_A2F6_4FB6F9F4E533_.wvu.Cols" localSheetId="72" hidden="1">ОКХ!$A:$A,ОКХ!$S:$S</definedName>
    <definedName name="Z_3769259D_9653_4B34_A2F6_4FB6F9F4E533_.wvu.Cols" localSheetId="17" hidden="1">ОСВ_авт!$A:$A</definedName>
    <definedName name="Z_3769259D_9653_4B34_A2F6_4FB6F9F4E533_.wvu.Cols" localSheetId="18" hidden="1">ОСВ_система!$A:$A</definedName>
    <definedName name="Z_3769259D_9653_4B34_A2F6_4FB6F9F4E533_.wvu.Cols" localSheetId="104" hidden="1">ОСС!$A:$A</definedName>
    <definedName name="Z_3769259D_9653_4B34_A2F6_4FB6F9F4E533_.wvu.Cols" localSheetId="14" hidden="1">ОФР!$A:$A</definedName>
    <definedName name="Z_3769259D_9653_4B34_A2F6_4FB6F9F4E533_.wvu.Cols" localSheetId="4" hidden="1">Параметры_загрузки!$F:$IV</definedName>
    <definedName name="Z_3769259D_9653_4B34_A2F6_4FB6F9F4E533_.wvu.Cols" localSheetId="103" hidden="1">Прочие_расш!$A:$A</definedName>
    <definedName name="Z_3769259D_9653_4B34_A2F6_4FB6F9F4E533_.wvu.Cols" localSheetId="19" hidden="1">Свод_по_счетам!$A:$A</definedName>
    <definedName name="Z_3769259D_9653_4B34_A2F6_4FB6F9F4E533_.wvu.Cols" localSheetId="55" hidden="1">Фин_договоры!$A:$A</definedName>
    <definedName name="Z_3769259D_9653_4B34_A2F6_4FB6F9F4E533_.wvu.FilterData" localSheetId="20" hidden="1">'01'!$A$7:$V$7</definedName>
    <definedName name="Z_3769259D_9653_4B34_A2F6_4FB6F9F4E533_.wvu.FilterData" localSheetId="21" hidden="1">'02'!$C$7:$U$7</definedName>
    <definedName name="Z_3769259D_9653_4B34_A2F6_4FB6F9F4E533_.wvu.FilterData" localSheetId="22" hidden="1">'03'!$A$8:$U$8</definedName>
    <definedName name="Z_3769259D_9653_4B34_A2F6_4FB6F9F4E533_.wvu.FilterData" localSheetId="23" hidden="1">'04'!$C$8:$R$8</definedName>
    <definedName name="Z_3769259D_9653_4B34_A2F6_4FB6F9F4E533_.wvu.FilterData" localSheetId="24" hidden="1">'05'!$C$7:$O$7</definedName>
    <definedName name="Z_3769259D_9653_4B34_A2F6_4FB6F9F4E533_.wvu.FilterData" localSheetId="25" hidden="1">'07'!$A$8:$S$8</definedName>
    <definedName name="Z_3769259D_9653_4B34_A2F6_4FB6F9F4E533_.wvu.FilterData" localSheetId="26" hidden="1">'07_расш'!$A$6:$G$6</definedName>
    <definedName name="Z_3769259D_9653_4B34_A2F6_4FB6F9F4E533_.wvu.FilterData" localSheetId="27" hidden="1">'08'!$A$7:$Z$7</definedName>
    <definedName name="Z_3769259D_9653_4B34_A2F6_4FB6F9F4E533_.wvu.FilterData" localSheetId="29" hidden="1">'08_НИОКР'!$A$7:$G$7</definedName>
    <definedName name="Z_3769259D_9653_4B34_A2F6_4FB6F9F4E533_.wvu.FilterData" localSheetId="28" hidden="1">'08_расш'!$C$7:$F$7</definedName>
    <definedName name="Z_3769259D_9653_4B34_A2F6_4FB6F9F4E533_.wvu.FilterData" localSheetId="30" hidden="1">'09'!$A$7:$L$7</definedName>
    <definedName name="Z_3769259D_9653_4B34_A2F6_4FB6F9F4E533_.wvu.FilterData" localSheetId="31" hidden="1">'10'!$C$8:$W$8</definedName>
    <definedName name="Z_3769259D_9653_4B34_A2F6_4FB6F9F4E533_.wvu.FilterData" localSheetId="33" hidden="1">'14'!$A$6:$K$6</definedName>
    <definedName name="Z_3769259D_9653_4B34_A2F6_4FB6F9F4E533_.wvu.FilterData" localSheetId="34" hidden="1">'15'!$A$7:$P$7</definedName>
    <definedName name="Z_3769259D_9653_4B34_A2F6_4FB6F9F4E533_.wvu.FilterData" localSheetId="35" hidden="1">'16'!$A$7:$N$7</definedName>
    <definedName name="Z_3769259D_9653_4B34_A2F6_4FB6F9F4E533_.wvu.FilterData" localSheetId="36" hidden="1">'19'!$A$7:$R$7</definedName>
    <definedName name="Z_3769259D_9653_4B34_A2F6_4FB6F9F4E533_.wvu.FilterData" localSheetId="40" hidden="1">'21'!$C$9:$N$9</definedName>
    <definedName name="Z_3769259D_9653_4B34_A2F6_4FB6F9F4E533_.wvu.FilterData" localSheetId="41" hidden="1">'40'!$C$8:$J$8</definedName>
    <definedName name="Z_3769259D_9653_4B34_A2F6_4FB6F9F4E533_.wvu.FilterData" localSheetId="42" hidden="1">'41_01'!$C$9:$V$9</definedName>
    <definedName name="Z_3769259D_9653_4B34_A2F6_4FB6F9F4E533_.wvu.FilterData" localSheetId="43" hidden="1">'41_02'!$A$12:$O$12</definedName>
    <definedName name="Z_3769259D_9653_4B34_A2F6_4FB6F9F4E533_.wvu.FilterData" localSheetId="44" hidden="1">'43'!$C$7:$N$7</definedName>
    <definedName name="Z_3769259D_9653_4B34_A2F6_4FB6F9F4E533_.wvu.FilterData" localSheetId="45" hidden="1">'45'!$A$7:$S$7</definedName>
    <definedName name="Z_3769259D_9653_4B34_A2F6_4FB6F9F4E533_.wvu.FilterData" localSheetId="48" hidden="1">'46'!$C$8:$AG$8</definedName>
    <definedName name="Z_3769259D_9653_4B34_A2F6_4FB6F9F4E533_.wvu.FilterData" localSheetId="49" hidden="1">'50'!$C$6:$F$6</definedName>
    <definedName name="Z_3769259D_9653_4B34_A2F6_4FB6F9F4E533_.wvu.FilterData" localSheetId="54" hidden="1">'50_51_52_55_57_движ'!$A$7:$K$10</definedName>
    <definedName name="Z_3769259D_9653_4B34_A2F6_4FB6F9F4E533_.wvu.FilterData" localSheetId="50" hidden="1">'51'!$C$6:$G$6</definedName>
    <definedName name="Z_3769259D_9653_4B34_A2F6_4FB6F9F4E533_.wvu.FilterData" localSheetId="51" hidden="1">'52'!$C$6:$H$6</definedName>
    <definedName name="Z_3769259D_9653_4B34_A2F6_4FB6F9F4E533_.wvu.FilterData" localSheetId="52" hidden="1">'55'!$C$6:$I$6</definedName>
    <definedName name="Z_3769259D_9653_4B34_A2F6_4FB6F9F4E533_.wvu.FilterData" localSheetId="53" hidden="1">'57'!$C$6:$H$6</definedName>
    <definedName name="Z_3769259D_9653_4B34_A2F6_4FB6F9F4E533_.wvu.FilterData" localSheetId="56" hidden="1">'58_01_1'!$C$8:$AA$8</definedName>
    <definedName name="Z_3769259D_9653_4B34_A2F6_4FB6F9F4E533_.wvu.FilterData" localSheetId="57" hidden="1">'58_01_2'!$C$8:$AA$8</definedName>
    <definedName name="Z_3769259D_9653_4B34_A2F6_4FB6F9F4E533_.wvu.FilterData" localSheetId="59" hidden="1">'58_02_движ'!$C$11:$V$11</definedName>
    <definedName name="Z_3769259D_9653_4B34_A2F6_4FB6F9F4E533_.wvu.FilterData" localSheetId="60" hidden="1">'58_03_1'!$C$9:$AH$9</definedName>
    <definedName name="Z_3769259D_9653_4B34_A2F6_4FB6F9F4E533_.wvu.FilterData" localSheetId="61" hidden="1">'58_03_2'!$C$9:$AH$9</definedName>
    <definedName name="Z_3769259D_9653_4B34_A2F6_4FB6F9F4E533_.wvu.FilterData" localSheetId="62" hidden="1">'58_04'!$C$10:$Y$10</definedName>
    <definedName name="Z_3769259D_9653_4B34_A2F6_4FB6F9F4E533_.wvu.FilterData" localSheetId="63" hidden="1">'59_01'!$C$9:$P$9</definedName>
    <definedName name="Z_3769259D_9653_4B34_A2F6_4FB6F9F4E533_.wvu.FilterData" localSheetId="64" hidden="1">'59_02'!$C$9:$W$9</definedName>
    <definedName name="Z_3769259D_9653_4B34_A2F6_4FB6F9F4E533_.wvu.FilterData" localSheetId="65" hidden="1">'59_03'!$C$9:$R$9</definedName>
    <definedName name="Z_3769259D_9653_4B34_A2F6_4FB6F9F4E533_.wvu.FilterData" localSheetId="73" hidden="1">'60,62,63,76_контр'!$C$9:$AJ$9</definedName>
    <definedName name="Z_3769259D_9653_4B34_A2F6_4FB6F9F4E533_.wvu.FilterData" localSheetId="68" hidden="1">'60_01'!$C$8:$T$8</definedName>
    <definedName name="Z_3769259D_9653_4B34_A2F6_4FB6F9F4E533_.wvu.FilterData" localSheetId="69" hidden="1">'60_02'!$C$8:$O$8</definedName>
    <definedName name="Z_3769259D_9653_4B34_A2F6_4FB6F9F4E533_.wvu.FilterData" localSheetId="70" hidden="1">'62_01'!$C$8:$S$8</definedName>
    <definedName name="Z_3769259D_9653_4B34_A2F6_4FB6F9F4E533_.wvu.FilterData" localSheetId="74" hidden="1">'66'!$C$10:$BC$10</definedName>
    <definedName name="Z_3769259D_9653_4B34_A2F6_4FB6F9F4E533_.wvu.FilterData" localSheetId="75" hidden="1">'67'!$C$10:$BD$10</definedName>
    <definedName name="Z_3769259D_9653_4B34_A2F6_4FB6F9F4E533_.wvu.FilterData" localSheetId="76" hidden="1">'68'!$C$8:$X$8</definedName>
    <definedName name="Z_3769259D_9653_4B34_A2F6_4FB6F9F4E533_.wvu.FilterData" localSheetId="81" hidden="1">'69'!$C$9:$T$9</definedName>
    <definedName name="Z_3769259D_9653_4B34_A2F6_4FB6F9F4E533_.wvu.FilterData" localSheetId="82" hidden="1">'73'!$C$8:$W$8</definedName>
    <definedName name="Z_3769259D_9653_4B34_A2F6_4FB6F9F4E533_.wvu.FilterData" localSheetId="83" hidden="1">'75_01'!$C$8:$T$8</definedName>
    <definedName name="Z_3769259D_9653_4B34_A2F6_4FB6F9F4E533_.wvu.FilterData" localSheetId="84" hidden="1">'75_01_Неденеж'!$C$8:$J$8</definedName>
    <definedName name="Z_3769259D_9653_4B34_A2F6_4FB6F9F4E533_.wvu.FilterData" localSheetId="85" hidden="1">'75_02'!$C$7:$U$7</definedName>
    <definedName name="Z_3769259D_9653_4B34_A2F6_4FB6F9F4E533_.wvu.FilterData" localSheetId="86" hidden="1">'76'!$C$7:$X$45</definedName>
    <definedName name="Z_3769259D_9653_4B34_A2F6_4FB6F9F4E533_.wvu.FilterData" localSheetId="87" hidden="1">'76_01_%'!$C$9:$AD$9</definedName>
    <definedName name="Z_3769259D_9653_4B34_A2F6_4FB6F9F4E533_.wvu.FilterData" localSheetId="88" hidden="1">'77'!$C$7:$L$7</definedName>
    <definedName name="Z_3769259D_9653_4B34_A2F6_4FB6F9F4E533_.wvu.FilterData" localSheetId="89" hidden="1">'78'!$C$8:$P$8</definedName>
    <definedName name="Z_3769259D_9653_4B34_A2F6_4FB6F9F4E533_.wvu.FilterData" localSheetId="90" hidden="1">'80'!$C$10:$AB$10</definedName>
    <definedName name="Z_3769259D_9653_4B34_A2F6_4FB6F9F4E533_.wvu.FilterData" localSheetId="91" hidden="1">'83'!$C$9:$Q$9</definedName>
    <definedName name="Z_3769259D_9653_4B34_A2F6_4FB6F9F4E533_.wvu.FilterData" localSheetId="92" hidden="1">'83_расш'!$C$7:$H$7</definedName>
    <definedName name="Z_3769259D_9653_4B34_A2F6_4FB6F9F4E533_.wvu.FilterData" localSheetId="93" hidden="1">'84'!$C$10:$R$10</definedName>
    <definedName name="Z_3769259D_9653_4B34_A2F6_4FB6F9F4E533_.wvu.FilterData" localSheetId="94" hidden="1">'84_расш'!$C$7:$I$7</definedName>
    <definedName name="Z_3769259D_9653_4B34_A2F6_4FB6F9F4E533_.wvu.FilterData" localSheetId="95" hidden="1">'86'!$C$9:$AF$9</definedName>
    <definedName name="Z_3769259D_9653_4B34_A2F6_4FB6F9F4E533_.wvu.FilterData" localSheetId="96" hidden="1">'90'!$C$8:$M$8</definedName>
    <definedName name="Z_3769259D_9653_4B34_A2F6_4FB6F9F4E533_.wvu.FilterData" localSheetId="98" hidden="1">'90_контр'!$C$8:$J$8</definedName>
    <definedName name="Z_3769259D_9653_4B34_A2F6_4FB6F9F4E533_.wvu.FilterData" localSheetId="97" hidden="1">'90_ОРВГ'!$C$8:$S$8</definedName>
    <definedName name="Z_3769259D_9653_4B34_A2F6_4FB6F9F4E533_.wvu.FilterData" localSheetId="99" hidden="1">'91_01'!$C$29:$I$29</definedName>
    <definedName name="Z_3769259D_9653_4B34_A2F6_4FB6F9F4E533_.wvu.FilterData" localSheetId="100" hidden="1">'91_01_ВГО'!$C$9:$Q$9</definedName>
    <definedName name="Z_3769259D_9653_4B34_A2F6_4FB6F9F4E533_.wvu.FilterData" localSheetId="101" hidden="1">'91_02'!$C$8:$G$46</definedName>
    <definedName name="Z_3769259D_9653_4B34_A2F6_4FB6F9F4E533_.wvu.FilterData" localSheetId="102" hidden="1">'91_02_ВГО'!$C$8:$J$8</definedName>
    <definedName name="Z_3769259D_9653_4B34_A2F6_4FB6F9F4E533_.wvu.FilterData" localSheetId="105" hidden="1">'96'!$C$8:$T$8</definedName>
    <definedName name="Z_3769259D_9653_4B34_A2F6_4FB6F9F4E533_.wvu.FilterData" localSheetId="106" hidden="1">'96_движ'!$C$9:$U$9</definedName>
    <definedName name="Z_3769259D_9653_4B34_A2F6_4FB6F9F4E533_.wvu.FilterData" localSheetId="107" hidden="1">'97'!$C$8:$U$8</definedName>
    <definedName name="Z_3769259D_9653_4B34_A2F6_4FB6F9F4E533_.wvu.FilterData" localSheetId="108" hidden="1">'98_01'!$C$9:$Z$9</definedName>
    <definedName name="Z_3769259D_9653_4B34_A2F6_4FB6F9F4E533_.wvu.FilterData" localSheetId="109" hidden="1">'98_02'!$C$9:$J$9</definedName>
    <definedName name="Z_3769259D_9653_4B34_A2F6_4FB6F9F4E533_.wvu.FilterData" localSheetId="110" hidden="1">'98_04'!$C$9:$Q$9</definedName>
    <definedName name="Z_3769259D_9653_4B34_A2F6_4FB6F9F4E533_.wvu.FilterData" localSheetId="111" hidden="1">'99'!$C$8:$Q$10</definedName>
    <definedName name="Z_3769259D_9653_4B34_A2F6_4FB6F9F4E533_.wvu.FilterData" localSheetId="16" hidden="1">ДДС_приложение!$C$4:$F$272</definedName>
    <definedName name="Z_3769259D_9653_4B34_A2F6_4FB6F9F4E533_.wvu.FilterData" localSheetId="47" hidden="1">Долгосроч_договоры!$C$8:$K$8</definedName>
    <definedName name="Z_3769259D_9653_4B34_A2F6_4FB6F9F4E533_.wvu.FilterData" localSheetId="67" hidden="1">ДП_выданные!$C$8:$Q$8</definedName>
    <definedName name="Z_3769259D_9653_4B34_A2F6_4FB6F9F4E533_.wvu.FilterData" localSheetId="66" hidden="1">ДП_полученные!$C$8:$S$8</definedName>
    <definedName name="Z_3769259D_9653_4B34_A2F6_4FB6F9F4E533_.wvu.FilterData" localSheetId="112" hidden="1">Зарубежная_выручка!$C$11:$L$11</definedName>
    <definedName name="Z_3769259D_9653_4B34_A2F6_4FB6F9F4E533_.wvu.FilterData" localSheetId="37" hidden="1">Затраты_Вход_1!$C$9:$I$9</definedName>
    <definedName name="Z_3769259D_9653_4B34_A2F6_4FB6F9F4E533_.wvu.FilterData" localSheetId="38" hidden="1">Затраты_Вход_2!$C$9:$K$9</definedName>
    <definedName name="Z_3769259D_9653_4B34_A2F6_4FB6F9F4E533_.wvu.FilterData" localSheetId="39" hidden="1">Затраты_Выход!$C$11:$G$11</definedName>
    <definedName name="Z_3769259D_9653_4B34_A2F6_4FB6F9F4E533_.wvu.FilterData" localSheetId="77" hidden="1">Налог_на_прибыль!$C$8:$G$8</definedName>
    <definedName name="Z_3769259D_9653_4B34_A2F6_4FB6F9F4E533_.wvu.FilterData" localSheetId="78" hidden="1">Налог_пров!$C$10:$AG$10</definedName>
    <definedName name="Z_3769259D_9653_4B34_A2F6_4FB6F9F4E533_.wvu.FilterData" localSheetId="79" hidden="1">Налоговые_льготы_имущество!$C$8:$Q$8</definedName>
    <definedName name="Z_3769259D_9653_4B34_A2F6_4FB6F9F4E533_.wvu.FilterData" localSheetId="80" hidden="1">Налоговые_льготы_прочие!$C$8:$H$8</definedName>
    <definedName name="Z_3769259D_9653_4B34_A2F6_4FB6F9F4E533_.wvu.FilterData" localSheetId="46" hidden="1">НЗП_ГП!$C$8:$P$8</definedName>
    <definedName name="Z_3769259D_9653_4B34_A2F6_4FB6F9F4E533_.wvu.FilterData" localSheetId="72" hidden="1">ОКХ!$C$8:$Q$8</definedName>
    <definedName name="Z_3769259D_9653_4B34_A2F6_4FB6F9F4E533_.wvu.FilterData" localSheetId="17" hidden="1">ОСВ_авт!$A$8:$N$268</definedName>
    <definedName name="Z_3769259D_9653_4B34_A2F6_4FB6F9F4E533_.wvu.FilterData" localSheetId="104" hidden="1">ОСС!$C$7:$H$7</definedName>
    <definedName name="Z_3769259D_9653_4B34_A2F6_4FB6F9F4E533_.wvu.FilterData" localSheetId="7" hidden="1">Проверки!$B$7:$G$525</definedName>
    <definedName name="Z_3769259D_9653_4B34_A2F6_4FB6F9F4E533_.wvu.FilterData" localSheetId="103" hidden="1">Прочие_расш!$C$33:$K$34</definedName>
    <definedName name="Z_3769259D_9653_4B34_A2F6_4FB6F9F4E533_.wvu.FilterData" localSheetId="19" hidden="1">Свод_по_счетам!$A$8:$S$8</definedName>
    <definedName name="Z_3769259D_9653_4B34_A2F6_4FB6F9F4E533_.wvu.FilterData" localSheetId="5" hidden="1">Список_компаний!$A$2:$K$251</definedName>
    <definedName name="Z_3769259D_9653_4B34_A2F6_4FB6F9F4E533_.wvu.FilterData" localSheetId="6" hidden="1">Справочник!$A$3:$CL$1448</definedName>
    <definedName name="Z_3769259D_9653_4B34_A2F6_4FB6F9F4E533_.wvu.FilterData" localSheetId="55" hidden="1">Фин_договоры!$C$8:$AE$8</definedName>
    <definedName name="Z_3769259D_9653_4B34_A2F6_4FB6F9F4E533_.wvu.Rows" localSheetId="20" hidden="1">'01'!$1:$1</definedName>
    <definedName name="Z_3769259D_9653_4B34_A2F6_4FB6F9F4E533_.wvu.Rows" localSheetId="21" hidden="1">'02'!$1:$1</definedName>
    <definedName name="Z_3769259D_9653_4B34_A2F6_4FB6F9F4E533_.wvu.Rows" localSheetId="22" hidden="1">'03'!$1:$1</definedName>
    <definedName name="Z_3769259D_9653_4B34_A2F6_4FB6F9F4E533_.wvu.Rows" localSheetId="23" hidden="1">'04'!$1:$1</definedName>
    <definedName name="Z_3769259D_9653_4B34_A2F6_4FB6F9F4E533_.wvu.Rows" localSheetId="24" hidden="1">'05'!$1:$1</definedName>
    <definedName name="Z_3769259D_9653_4B34_A2F6_4FB6F9F4E533_.wvu.Rows" localSheetId="25" hidden="1">'07'!$1:$1</definedName>
    <definedName name="Z_3769259D_9653_4B34_A2F6_4FB6F9F4E533_.wvu.Rows" localSheetId="27" hidden="1">'08'!$1:$1</definedName>
    <definedName name="Z_3769259D_9653_4B34_A2F6_4FB6F9F4E533_.wvu.Rows" localSheetId="29" hidden="1">'08_НИОКР'!$1:$1</definedName>
    <definedName name="Z_3769259D_9653_4B34_A2F6_4FB6F9F4E533_.wvu.Rows" localSheetId="28" hidden="1">'08_расш'!$1:$1</definedName>
    <definedName name="Z_3769259D_9653_4B34_A2F6_4FB6F9F4E533_.wvu.Rows" localSheetId="30" hidden="1">'09'!$1:$1</definedName>
    <definedName name="Z_3769259D_9653_4B34_A2F6_4FB6F9F4E533_.wvu.Rows" localSheetId="31" hidden="1">'10'!$1:$1</definedName>
    <definedName name="Z_3769259D_9653_4B34_A2F6_4FB6F9F4E533_.wvu.Rows" localSheetId="32" hidden="1">'10_расш'!$1:$1</definedName>
    <definedName name="Z_3769259D_9653_4B34_A2F6_4FB6F9F4E533_.wvu.Rows" localSheetId="33" hidden="1">'14'!$1:$1</definedName>
    <definedName name="Z_3769259D_9653_4B34_A2F6_4FB6F9F4E533_.wvu.Rows" localSheetId="34" hidden="1">'15'!$1:$1</definedName>
    <definedName name="Z_3769259D_9653_4B34_A2F6_4FB6F9F4E533_.wvu.Rows" localSheetId="35" hidden="1">'16'!$1:$1</definedName>
    <definedName name="Z_3769259D_9653_4B34_A2F6_4FB6F9F4E533_.wvu.Rows" localSheetId="36" hidden="1">'19'!$1:$1</definedName>
    <definedName name="Z_3769259D_9653_4B34_A2F6_4FB6F9F4E533_.wvu.Rows" localSheetId="40" hidden="1">'21'!$1:$1</definedName>
    <definedName name="Z_3769259D_9653_4B34_A2F6_4FB6F9F4E533_.wvu.Rows" localSheetId="41" hidden="1">'40'!$1:$1</definedName>
    <definedName name="Z_3769259D_9653_4B34_A2F6_4FB6F9F4E533_.wvu.Rows" localSheetId="42" hidden="1">'41_01'!$1:$1</definedName>
    <definedName name="Z_3769259D_9653_4B34_A2F6_4FB6F9F4E533_.wvu.Rows" localSheetId="43" hidden="1">'41_02'!$1:$1</definedName>
    <definedName name="Z_3769259D_9653_4B34_A2F6_4FB6F9F4E533_.wvu.Rows" localSheetId="44" hidden="1">'43'!$1:$1</definedName>
    <definedName name="Z_3769259D_9653_4B34_A2F6_4FB6F9F4E533_.wvu.Rows" localSheetId="45" hidden="1">'45'!$1:$1</definedName>
    <definedName name="Z_3769259D_9653_4B34_A2F6_4FB6F9F4E533_.wvu.Rows" localSheetId="48" hidden="1">'46'!$1:$1</definedName>
    <definedName name="Z_3769259D_9653_4B34_A2F6_4FB6F9F4E533_.wvu.Rows" localSheetId="49" hidden="1">'50'!$1:$1</definedName>
    <definedName name="Z_3769259D_9653_4B34_A2F6_4FB6F9F4E533_.wvu.Rows" localSheetId="54" hidden="1">'50_51_52_55_57_движ'!$1:$1</definedName>
    <definedName name="Z_3769259D_9653_4B34_A2F6_4FB6F9F4E533_.wvu.Rows" localSheetId="50" hidden="1">'51'!$1:$1</definedName>
    <definedName name="Z_3769259D_9653_4B34_A2F6_4FB6F9F4E533_.wvu.Rows" localSheetId="51" hidden="1">'52'!$1:$1</definedName>
    <definedName name="Z_3769259D_9653_4B34_A2F6_4FB6F9F4E533_.wvu.Rows" localSheetId="52" hidden="1">'55'!$1:$1</definedName>
    <definedName name="Z_3769259D_9653_4B34_A2F6_4FB6F9F4E533_.wvu.Rows" localSheetId="53" hidden="1">'57'!$1:$1</definedName>
    <definedName name="Z_3769259D_9653_4B34_A2F6_4FB6F9F4E533_.wvu.Rows" localSheetId="56" hidden="1">'58_01_1'!$1:$1</definedName>
    <definedName name="Z_3769259D_9653_4B34_A2F6_4FB6F9F4E533_.wvu.Rows" localSheetId="57" hidden="1">'58_01_2'!$1:$1</definedName>
    <definedName name="Z_3769259D_9653_4B34_A2F6_4FB6F9F4E533_.wvu.Rows" localSheetId="58" hidden="1">'58_02'!$1:$1</definedName>
    <definedName name="Z_3769259D_9653_4B34_A2F6_4FB6F9F4E533_.wvu.Rows" localSheetId="59" hidden="1">'58_02_движ'!$1:$1</definedName>
    <definedName name="Z_3769259D_9653_4B34_A2F6_4FB6F9F4E533_.wvu.Rows" localSheetId="60" hidden="1">'58_03_1'!$1:$1</definedName>
    <definedName name="Z_3769259D_9653_4B34_A2F6_4FB6F9F4E533_.wvu.Rows" localSheetId="61" hidden="1">'58_03_2'!$1:$1</definedName>
    <definedName name="Z_3769259D_9653_4B34_A2F6_4FB6F9F4E533_.wvu.Rows" localSheetId="62" hidden="1">'58_04'!$1:$1</definedName>
    <definedName name="Z_3769259D_9653_4B34_A2F6_4FB6F9F4E533_.wvu.Rows" localSheetId="63" hidden="1">'59_01'!$1:$1</definedName>
    <definedName name="Z_3769259D_9653_4B34_A2F6_4FB6F9F4E533_.wvu.Rows" localSheetId="64" hidden="1">'59_02'!$1:$1</definedName>
    <definedName name="Z_3769259D_9653_4B34_A2F6_4FB6F9F4E533_.wvu.Rows" localSheetId="65" hidden="1">'59_03'!$1:$1</definedName>
    <definedName name="Z_3769259D_9653_4B34_A2F6_4FB6F9F4E533_.wvu.Rows" localSheetId="73" hidden="1">'60,62,63,76_контр'!$1:$1</definedName>
    <definedName name="Z_3769259D_9653_4B34_A2F6_4FB6F9F4E533_.wvu.Rows" localSheetId="68" hidden="1">'60_01'!$1:$1</definedName>
    <definedName name="Z_3769259D_9653_4B34_A2F6_4FB6F9F4E533_.wvu.Rows" localSheetId="69" hidden="1">'60_02'!$1:$1</definedName>
    <definedName name="Z_3769259D_9653_4B34_A2F6_4FB6F9F4E533_.wvu.Rows" localSheetId="70" hidden="1">'62_01'!$1:$1</definedName>
    <definedName name="Z_3769259D_9653_4B34_A2F6_4FB6F9F4E533_.wvu.Rows" localSheetId="71" hidden="1">'62_02'!$1:$1</definedName>
    <definedName name="Z_3769259D_9653_4B34_A2F6_4FB6F9F4E533_.wvu.Rows" localSheetId="74" hidden="1">'66'!$1:$1</definedName>
    <definedName name="Z_3769259D_9653_4B34_A2F6_4FB6F9F4E533_.wvu.Rows" localSheetId="75" hidden="1">'67'!$1:$1</definedName>
    <definedName name="Z_3769259D_9653_4B34_A2F6_4FB6F9F4E533_.wvu.Rows" localSheetId="76" hidden="1">'68'!$1:$1</definedName>
    <definedName name="Z_3769259D_9653_4B34_A2F6_4FB6F9F4E533_.wvu.Rows" localSheetId="81" hidden="1">'69'!$1:$1</definedName>
    <definedName name="Z_3769259D_9653_4B34_A2F6_4FB6F9F4E533_.wvu.Rows" localSheetId="83" hidden="1">'75_01'!$1:$1</definedName>
    <definedName name="Z_3769259D_9653_4B34_A2F6_4FB6F9F4E533_.wvu.Rows" localSheetId="84" hidden="1">'75_01_Неденеж'!$1:$1</definedName>
    <definedName name="Z_3769259D_9653_4B34_A2F6_4FB6F9F4E533_.wvu.Rows" localSheetId="85" hidden="1">'75_02'!$1:$1</definedName>
    <definedName name="Z_3769259D_9653_4B34_A2F6_4FB6F9F4E533_.wvu.Rows" localSheetId="86" hidden="1">'76'!$1:$1</definedName>
    <definedName name="Z_3769259D_9653_4B34_A2F6_4FB6F9F4E533_.wvu.Rows" localSheetId="87" hidden="1">'76_01_%'!$1:$1</definedName>
    <definedName name="Z_3769259D_9653_4B34_A2F6_4FB6F9F4E533_.wvu.Rows" localSheetId="88" hidden="1">'77'!$1:$1</definedName>
    <definedName name="Z_3769259D_9653_4B34_A2F6_4FB6F9F4E533_.wvu.Rows" localSheetId="89" hidden="1">'78'!$1:$1</definedName>
    <definedName name="Z_3769259D_9653_4B34_A2F6_4FB6F9F4E533_.wvu.Rows" localSheetId="90" hidden="1">'80'!$1:$1</definedName>
    <definedName name="Z_3769259D_9653_4B34_A2F6_4FB6F9F4E533_.wvu.Rows" localSheetId="91" hidden="1">'83'!$1:$1</definedName>
    <definedName name="Z_3769259D_9653_4B34_A2F6_4FB6F9F4E533_.wvu.Rows" localSheetId="92" hidden="1">'83_расш'!$1:$1</definedName>
    <definedName name="Z_3769259D_9653_4B34_A2F6_4FB6F9F4E533_.wvu.Rows" localSheetId="93" hidden="1">'84'!$1:$1</definedName>
    <definedName name="Z_3769259D_9653_4B34_A2F6_4FB6F9F4E533_.wvu.Rows" localSheetId="94" hidden="1">'84_расш'!$1:$1</definedName>
    <definedName name="Z_3769259D_9653_4B34_A2F6_4FB6F9F4E533_.wvu.Rows" localSheetId="95" hidden="1">'86'!$1:$1</definedName>
    <definedName name="Z_3769259D_9653_4B34_A2F6_4FB6F9F4E533_.wvu.Rows" localSheetId="96" hidden="1">'90'!$1:$1</definedName>
    <definedName name="Z_3769259D_9653_4B34_A2F6_4FB6F9F4E533_.wvu.Rows" localSheetId="98" hidden="1">'90_контр'!$1:$1</definedName>
    <definedName name="Z_3769259D_9653_4B34_A2F6_4FB6F9F4E533_.wvu.Rows" localSheetId="97" hidden="1">'90_ОРВГ'!$1:$1</definedName>
    <definedName name="Z_3769259D_9653_4B34_A2F6_4FB6F9F4E533_.wvu.Rows" localSheetId="99" hidden="1">'91_01'!$1:$1,'91_01'!$13:$28</definedName>
    <definedName name="Z_3769259D_9653_4B34_A2F6_4FB6F9F4E533_.wvu.Rows" localSheetId="100" hidden="1">'91_01_ВГО'!$1:$1</definedName>
    <definedName name="Z_3769259D_9653_4B34_A2F6_4FB6F9F4E533_.wvu.Rows" localSheetId="101" hidden="1">'91_02'!$1:$1,'91_02'!$9:$40</definedName>
    <definedName name="Z_3769259D_9653_4B34_A2F6_4FB6F9F4E533_.wvu.Rows" localSheetId="102" hidden="1">'91_02_ВГО'!$1:$1,'91_02_ВГО'!$7:$7,'91_02_ВГО'!$9:$30</definedName>
    <definedName name="Z_3769259D_9653_4B34_A2F6_4FB6F9F4E533_.wvu.Rows" localSheetId="105" hidden="1">'96'!$1:$1</definedName>
    <definedName name="Z_3769259D_9653_4B34_A2F6_4FB6F9F4E533_.wvu.Rows" localSheetId="106" hidden="1">'96_движ'!$1:$1</definedName>
    <definedName name="Z_3769259D_9653_4B34_A2F6_4FB6F9F4E533_.wvu.Rows" localSheetId="107" hidden="1">'97'!$1:$1</definedName>
    <definedName name="Z_3769259D_9653_4B34_A2F6_4FB6F9F4E533_.wvu.Rows" localSheetId="108" hidden="1">'98_01'!$1:$1</definedName>
    <definedName name="Z_3769259D_9653_4B34_A2F6_4FB6F9F4E533_.wvu.Rows" localSheetId="109" hidden="1">'98_02'!$1:$1</definedName>
    <definedName name="Z_3769259D_9653_4B34_A2F6_4FB6F9F4E533_.wvu.Rows" localSheetId="110" hidden="1">'98_04'!$1:$1</definedName>
    <definedName name="Z_3769259D_9653_4B34_A2F6_4FB6F9F4E533_.wvu.Rows" localSheetId="111" hidden="1">'99'!$1:$1</definedName>
    <definedName name="Z_3769259D_9653_4B34_A2F6_4FB6F9F4E533_.wvu.Rows" localSheetId="13" hidden="1">Баланс!$1:$1</definedName>
    <definedName name="Z_3769259D_9653_4B34_A2F6_4FB6F9F4E533_.wvu.Rows" localSheetId="47" hidden="1">Долгосроч_договоры!$1:$1</definedName>
    <definedName name="Z_3769259D_9653_4B34_A2F6_4FB6F9F4E533_.wvu.Rows" localSheetId="67" hidden="1">ДП_выданные!$1:$1</definedName>
    <definedName name="Z_3769259D_9653_4B34_A2F6_4FB6F9F4E533_.wvu.Rows" localSheetId="112" hidden="1">Зарубежная_выручка!$1:$1</definedName>
    <definedName name="Z_3769259D_9653_4B34_A2F6_4FB6F9F4E533_.wvu.Rows" localSheetId="37" hidden="1">Затраты_Вход_1!$1:$1</definedName>
    <definedName name="Z_3769259D_9653_4B34_A2F6_4FB6F9F4E533_.wvu.Rows" localSheetId="38" hidden="1">Затраты_Вход_2!$1:$1</definedName>
    <definedName name="Z_3769259D_9653_4B34_A2F6_4FB6F9F4E533_.wvu.Rows" localSheetId="39" hidden="1">Затраты_Выход!$1:$1</definedName>
    <definedName name="Z_3769259D_9653_4B34_A2F6_4FB6F9F4E533_.wvu.Rows" localSheetId="77" hidden="1">Налог_на_прибыль!$1:$1</definedName>
    <definedName name="Z_3769259D_9653_4B34_A2F6_4FB6F9F4E533_.wvu.Rows" localSheetId="78" hidden="1">Налог_пров!$1:$1</definedName>
    <definedName name="Z_3769259D_9653_4B34_A2F6_4FB6F9F4E533_.wvu.Rows" localSheetId="79" hidden="1">Налоговые_льготы_имущество!$1:$1</definedName>
    <definedName name="Z_3769259D_9653_4B34_A2F6_4FB6F9F4E533_.wvu.Rows" localSheetId="80" hidden="1">Налоговые_льготы_прочие!$1:$1</definedName>
    <definedName name="Z_3769259D_9653_4B34_A2F6_4FB6F9F4E533_.wvu.Rows" localSheetId="46" hidden="1">НЗП_ГП!$1:$1</definedName>
    <definedName name="Z_3769259D_9653_4B34_A2F6_4FB6F9F4E533_.wvu.Rows" localSheetId="72" hidden="1">ОКХ!$1:$1</definedName>
    <definedName name="Z_3769259D_9653_4B34_A2F6_4FB6F9F4E533_.wvu.Rows" localSheetId="17" hidden="1">ОСВ_авт!$1:$1</definedName>
    <definedName name="Z_3769259D_9653_4B34_A2F6_4FB6F9F4E533_.wvu.Rows" localSheetId="18" hidden="1">ОСВ_система!$1:$1</definedName>
    <definedName name="Z_3769259D_9653_4B34_A2F6_4FB6F9F4E533_.wvu.Rows" localSheetId="104" hidden="1">ОСС!$1:$1</definedName>
    <definedName name="Z_3769259D_9653_4B34_A2F6_4FB6F9F4E533_.wvu.Rows" localSheetId="14" hidden="1">ОФР!$1:$1</definedName>
    <definedName name="Z_3769259D_9653_4B34_A2F6_4FB6F9F4E533_.wvu.Rows" localSheetId="103" hidden="1">Прочие_расш!$1:$1,Прочие_расш!#REF!</definedName>
    <definedName name="Z_3769259D_9653_4B34_A2F6_4FB6F9F4E533_.wvu.Rows" localSheetId="19" hidden="1">Свод_по_счетам!$1:$1</definedName>
    <definedName name="Z_3769259D_9653_4B34_A2F6_4FB6F9F4E533_.wvu.Rows" localSheetId="55" hidden="1">Фин_договоры!$1:$1</definedName>
    <definedName name="Z_37A53DB6_0B7A_489A_B77D_83B6940F42A9_.wvu.FilterData" localSheetId="7" hidden="1">Проверки!$B$7:$G$525</definedName>
    <definedName name="Z_47AEACC4_6EA5_412C_AF39_A6C5357B313A_.wvu.Cols" localSheetId="20" hidden="1">'01'!$A:$A</definedName>
    <definedName name="Z_47AEACC4_6EA5_412C_AF39_A6C5357B313A_.wvu.Cols" localSheetId="21" hidden="1">'02'!$A:$A</definedName>
    <definedName name="Z_47AEACC4_6EA5_412C_AF39_A6C5357B313A_.wvu.Cols" localSheetId="22" hidden="1">'03'!$A:$A</definedName>
    <definedName name="Z_47AEACC4_6EA5_412C_AF39_A6C5357B313A_.wvu.Cols" localSheetId="23" hidden="1">'04'!$A:$A</definedName>
    <definedName name="Z_47AEACC4_6EA5_412C_AF39_A6C5357B313A_.wvu.Cols" localSheetId="24" hidden="1">'05'!$A:$A</definedName>
    <definedName name="Z_47AEACC4_6EA5_412C_AF39_A6C5357B313A_.wvu.Cols" localSheetId="25" hidden="1">'07'!$A:$A</definedName>
    <definedName name="Z_47AEACC4_6EA5_412C_AF39_A6C5357B313A_.wvu.Cols" localSheetId="26" hidden="1">'07_расш'!$A:$A</definedName>
    <definedName name="Z_47AEACC4_6EA5_412C_AF39_A6C5357B313A_.wvu.Cols" localSheetId="27" hidden="1">'08'!$A:$A</definedName>
    <definedName name="Z_47AEACC4_6EA5_412C_AF39_A6C5357B313A_.wvu.Cols" localSheetId="29" hidden="1">'08_НИОКР'!$A:$A</definedName>
    <definedName name="Z_47AEACC4_6EA5_412C_AF39_A6C5357B313A_.wvu.Cols" localSheetId="28" hidden="1">'08_расш'!$A:$A</definedName>
    <definedName name="Z_47AEACC4_6EA5_412C_AF39_A6C5357B313A_.wvu.Cols" localSheetId="30" hidden="1">'09'!$A:$A</definedName>
    <definedName name="Z_47AEACC4_6EA5_412C_AF39_A6C5357B313A_.wvu.Cols" localSheetId="31" hidden="1">'10'!$A:$A</definedName>
    <definedName name="Z_47AEACC4_6EA5_412C_AF39_A6C5357B313A_.wvu.Cols" localSheetId="32" hidden="1">'10_расш'!$A:$A</definedName>
    <definedName name="Z_47AEACC4_6EA5_412C_AF39_A6C5357B313A_.wvu.Cols" localSheetId="33" hidden="1">'14'!$A:$A</definedName>
    <definedName name="Z_47AEACC4_6EA5_412C_AF39_A6C5357B313A_.wvu.Cols" localSheetId="34" hidden="1">'15'!$A:$A</definedName>
    <definedName name="Z_47AEACC4_6EA5_412C_AF39_A6C5357B313A_.wvu.Cols" localSheetId="35" hidden="1">'16'!$A:$A</definedName>
    <definedName name="Z_47AEACC4_6EA5_412C_AF39_A6C5357B313A_.wvu.Cols" localSheetId="36" hidden="1">'19'!$A:$A</definedName>
    <definedName name="Z_47AEACC4_6EA5_412C_AF39_A6C5357B313A_.wvu.Cols" localSheetId="40" hidden="1">'21'!$A:$A</definedName>
    <definedName name="Z_47AEACC4_6EA5_412C_AF39_A6C5357B313A_.wvu.Cols" localSheetId="41" hidden="1">'40'!$A:$A</definedName>
    <definedName name="Z_47AEACC4_6EA5_412C_AF39_A6C5357B313A_.wvu.Cols" localSheetId="42" hidden="1">'41_01'!$A:$A,'41_01'!#REF!</definedName>
    <definedName name="Z_47AEACC4_6EA5_412C_AF39_A6C5357B313A_.wvu.Cols" localSheetId="43" hidden="1">'41_02'!$A:$A,'41_02'!#REF!</definedName>
    <definedName name="Z_47AEACC4_6EA5_412C_AF39_A6C5357B313A_.wvu.Cols" localSheetId="44" hidden="1">'43'!$A:$A,'43'!#REF!</definedName>
    <definedName name="Z_47AEACC4_6EA5_412C_AF39_A6C5357B313A_.wvu.Cols" localSheetId="45" hidden="1">'45'!$A:$A</definedName>
    <definedName name="Z_47AEACC4_6EA5_412C_AF39_A6C5357B313A_.wvu.Cols" localSheetId="48" hidden="1">'46'!$A:$A</definedName>
    <definedName name="Z_47AEACC4_6EA5_412C_AF39_A6C5357B313A_.wvu.Cols" localSheetId="49" hidden="1">'50'!$A:$A</definedName>
    <definedName name="Z_47AEACC4_6EA5_412C_AF39_A6C5357B313A_.wvu.Cols" localSheetId="54" hidden="1">'50_51_52_55_57_движ'!$A:$A</definedName>
    <definedName name="Z_47AEACC4_6EA5_412C_AF39_A6C5357B313A_.wvu.Cols" localSheetId="50" hidden="1">'51'!$A:$A</definedName>
    <definedName name="Z_47AEACC4_6EA5_412C_AF39_A6C5357B313A_.wvu.Cols" localSheetId="51" hidden="1">'52'!$A:$A</definedName>
    <definedName name="Z_47AEACC4_6EA5_412C_AF39_A6C5357B313A_.wvu.Cols" localSheetId="52" hidden="1">'55'!$A:$A</definedName>
    <definedName name="Z_47AEACC4_6EA5_412C_AF39_A6C5357B313A_.wvu.Cols" localSheetId="53" hidden="1">'57'!$A:$A</definedName>
    <definedName name="Z_47AEACC4_6EA5_412C_AF39_A6C5357B313A_.wvu.Cols" localSheetId="56" hidden="1">'58_01_1'!$A:$A</definedName>
    <definedName name="Z_47AEACC4_6EA5_412C_AF39_A6C5357B313A_.wvu.Cols" localSheetId="57" hidden="1">'58_01_2'!$A:$A</definedName>
    <definedName name="Z_47AEACC4_6EA5_412C_AF39_A6C5357B313A_.wvu.Cols" localSheetId="58" hidden="1">'58_02'!$A:$A</definedName>
    <definedName name="Z_47AEACC4_6EA5_412C_AF39_A6C5357B313A_.wvu.Cols" localSheetId="59" hidden="1">'58_02_движ'!$A:$A</definedName>
    <definedName name="Z_47AEACC4_6EA5_412C_AF39_A6C5357B313A_.wvu.Cols" localSheetId="60" hidden="1">'58_03_1'!$A:$A</definedName>
    <definedName name="Z_47AEACC4_6EA5_412C_AF39_A6C5357B313A_.wvu.Cols" localSheetId="61" hidden="1">'58_03_2'!$A:$A</definedName>
    <definedName name="Z_47AEACC4_6EA5_412C_AF39_A6C5357B313A_.wvu.Cols" localSheetId="62" hidden="1">'58_04'!$A:$A</definedName>
    <definedName name="Z_47AEACC4_6EA5_412C_AF39_A6C5357B313A_.wvu.Cols" localSheetId="63" hidden="1">'59_01'!$A:$A</definedName>
    <definedName name="Z_47AEACC4_6EA5_412C_AF39_A6C5357B313A_.wvu.Cols" localSheetId="64" hidden="1">'59_02'!$A:$A</definedName>
    <definedName name="Z_47AEACC4_6EA5_412C_AF39_A6C5357B313A_.wvu.Cols" localSheetId="65" hidden="1">'59_03'!$A:$A</definedName>
    <definedName name="Z_47AEACC4_6EA5_412C_AF39_A6C5357B313A_.wvu.Cols" localSheetId="73" hidden="1">'60,62,63,76_контр'!$A:$A</definedName>
    <definedName name="Z_47AEACC4_6EA5_412C_AF39_A6C5357B313A_.wvu.Cols" localSheetId="68" hidden="1">'60_01'!$A:$A</definedName>
    <definedName name="Z_47AEACC4_6EA5_412C_AF39_A6C5357B313A_.wvu.Cols" localSheetId="69" hidden="1">'60_02'!$A:$A</definedName>
    <definedName name="Z_47AEACC4_6EA5_412C_AF39_A6C5357B313A_.wvu.Cols" localSheetId="70" hidden="1">'62_01'!$A:$A</definedName>
    <definedName name="Z_47AEACC4_6EA5_412C_AF39_A6C5357B313A_.wvu.Cols" localSheetId="71" hidden="1">'62_02'!$A:$A</definedName>
    <definedName name="Z_47AEACC4_6EA5_412C_AF39_A6C5357B313A_.wvu.Cols" localSheetId="74" hidden="1">'66'!$A:$A</definedName>
    <definedName name="Z_47AEACC4_6EA5_412C_AF39_A6C5357B313A_.wvu.Cols" localSheetId="75" hidden="1">'67'!$A:$A</definedName>
    <definedName name="Z_47AEACC4_6EA5_412C_AF39_A6C5357B313A_.wvu.Cols" localSheetId="76" hidden="1">'68'!$A:$A</definedName>
    <definedName name="Z_47AEACC4_6EA5_412C_AF39_A6C5357B313A_.wvu.Cols" localSheetId="81" hidden="1">'69'!$A:$A</definedName>
    <definedName name="Z_47AEACC4_6EA5_412C_AF39_A6C5357B313A_.wvu.Cols" localSheetId="82" hidden="1">'73'!$A:$A</definedName>
    <definedName name="Z_47AEACC4_6EA5_412C_AF39_A6C5357B313A_.wvu.Cols" localSheetId="83" hidden="1">'75_01'!$A:$A</definedName>
    <definedName name="Z_47AEACC4_6EA5_412C_AF39_A6C5357B313A_.wvu.Cols" localSheetId="84" hidden="1">'75_01_Неденеж'!$A:$A</definedName>
    <definedName name="Z_47AEACC4_6EA5_412C_AF39_A6C5357B313A_.wvu.Cols" localSheetId="85" hidden="1">'75_02'!$A:$A</definedName>
    <definedName name="Z_47AEACC4_6EA5_412C_AF39_A6C5357B313A_.wvu.Cols" localSheetId="86" hidden="1">'76'!$A:$A</definedName>
    <definedName name="Z_47AEACC4_6EA5_412C_AF39_A6C5357B313A_.wvu.Cols" localSheetId="87" hidden="1">'76_01_%'!$A:$A</definedName>
    <definedName name="Z_47AEACC4_6EA5_412C_AF39_A6C5357B313A_.wvu.Cols" localSheetId="88" hidden="1">'77'!$A:$A</definedName>
    <definedName name="Z_47AEACC4_6EA5_412C_AF39_A6C5357B313A_.wvu.Cols" localSheetId="89" hidden="1">'78'!$A:$A</definedName>
    <definedName name="Z_47AEACC4_6EA5_412C_AF39_A6C5357B313A_.wvu.Cols" localSheetId="90" hidden="1">'80'!$A:$A</definedName>
    <definedName name="Z_47AEACC4_6EA5_412C_AF39_A6C5357B313A_.wvu.Cols" localSheetId="91" hidden="1">'83'!$A:$A</definedName>
    <definedName name="Z_47AEACC4_6EA5_412C_AF39_A6C5357B313A_.wvu.Cols" localSheetId="92" hidden="1">'83_расш'!$A:$A</definedName>
    <definedName name="Z_47AEACC4_6EA5_412C_AF39_A6C5357B313A_.wvu.Cols" localSheetId="93" hidden="1">'84'!$A:$A</definedName>
    <definedName name="Z_47AEACC4_6EA5_412C_AF39_A6C5357B313A_.wvu.Cols" localSheetId="94" hidden="1">'84_расш'!$A:$A</definedName>
    <definedName name="Z_47AEACC4_6EA5_412C_AF39_A6C5357B313A_.wvu.Cols" localSheetId="95" hidden="1">'86'!$A:$A</definedName>
    <definedName name="Z_47AEACC4_6EA5_412C_AF39_A6C5357B313A_.wvu.Cols" localSheetId="96" hidden="1">'90'!$A:$A</definedName>
    <definedName name="Z_47AEACC4_6EA5_412C_AF39_A6C5357B313A_.wvu.Cols" localSheetId="98" hidden="1">'90_контр'!$A:$A</definedName>
    <definedName name="Z_47AEACC4_6EA5_412C_AF39_A6C5357B313A_.wvu.Cols" localSheetId="97" hidden="1">'90_ОРВГ'!$A:$A</definedName>
    <definedName name="Z_47AEACC4_6EA5_412C_AF39_A6C5357B313A_.wvu.Cols" localSheetId="99" hidden="1">'91_01'!$A:$A</definedName>
    <definedName name="Z_47AEACC4_6EA5_412C_AF39_A6C5357B313A_.wvu.Cols" localSheetId="100" hidden="1">'91_01_ВГО'!$A:$A</definedName>
    <definedName name="Z_47AEACC4_6EA5_412C_AF39_A6C5357B313A_.wvu.Cols" localSheetId="101" hidden="1">'91_02'!$A:$A</definedName>
    <definedName name="Z_47AEACC4_6EA5_412C_AF39_A6C5357B313A_.wvu.Cols" localSheetId="102" hidden="1">'91_02_ВГО'!$A:$A</definedName>
    <definedName name="Z_47AEACC4_6EA5_412C_AF39_A6C5357B313A_.wvu.Cols" localSheetId="105" hidden="1">'96'!$A:$A</definedName>
    <definedName name="Z_47AEACC4_6EA5_412C_AF39_A6C5357B313A_.wvu.Cols" localSheetId="106" hidden="1">'96_движ'!$A:$A</definedName>
    <definedName name="Z_47AEACC4_6EA5_412C_AF39_A6C5357B313A_.wvu.Cols" localSheetId="107" hidden="1">'97'!$A:$A</definedName>
    <definedName name="Z_47AEACC4_6EA5_412C_AF39_A6C5357B313A_.wvu.Cols" localSheetId="108" hidden="1">'98_01'!$A:$A</definedName>
    <definedName name="Z_47AEACC4_6EA5_412C_AF39_A6C5357B313A_.wvu.Cols" localSheetId="109" hidden="1">'98_02'!$A:$A</definedName>
    <definedName name="Z_47AEACC4_6EA5_412C_AF39_A6C5357B313A_.wvu.Cols" localSheetId="110" hidden="1">'98_04'!$A:$A</definedName>
    <definedName name="Z_47AEACC4_6EA5_412C_AF39_A6C5357B313A_.wvu.Cols" localSheetId="111" hidden="1">'99'!$A:$A</definedName>
    <definedName name="Z_47AEACC4_6EA5_412C_AF39_A6C5357B313A_.wvu.Cols" localSheetId="13" hidden="1">Баланс!$A:$A</definedName>
    <definedName name="Z_47AEACC4_6EA5_412C_AF39_A6C5357B313A_.wvu.Cols" localSheetId="15" hidden="1">ДДС!$A:$A</definedName>
    <definedName name="Z_47AEACC4_6EA5_412C_AF39_A6C5357B313A_.wvu.Cols" localSheetId="16" hidden="1">ДДС_приложение!$A:$A</definedName>
    <definedName name="Z_47AEACC4_6EA5_412C_AF39_A6C5357B313A_.wvu.Cols" localSheetId="47" hidden="1">Долгосроч_договоры!$A:$A</definedName>
    <definedName name="Z_47AEACC4_6EA5_412C_AF39_A6C5357B313A_.wvu.Cols" localSheetId="67" hidden="1">ДП_выданные!$A:$A</definedName>
    <definedName name="Z_47AEACC4_6EA5_412C_AF39_A6C5357B313A_.wvu.Cols" localSheetId="66" hidden="1">ДП_полученные!$A:$A</definedName>
    <definedName name="Z_47AEACC4_6EA5_412C_AF39_A6C5357B313A_.wvu.Cols" localSheetId="112" hidden="1">Зарубежная_выручка!$A:$A</definedName>
    <definedName name="Z_47AEACC4_6EA5_412C_AF39_A6C5357B313A_.wvu.Cols" localSheetId="37" hidden="1">Затраты_Вход_1!$A:$A</definedName>
    <definedName name="Z_47AEACC4_6EA5_412C_AF39_A6C5357B313A_.wvu.Cols" localSheetId="38" hidden="1">Затраты_Вход_2!$A:$A</definedName>
    <definedName name="Z_47AEACC4_6EA5_412C_AF39_A6C5357B313A_.wvu.Cols" localSheetId="39" hidden="1">Затраты_Выход!$A:$A</definedName>
    <definedName name="Z_47AEACC4_6EA5_412C_AF39_A6C5357B313A_.wvu.Cols" localSheetId="77" hidden="1">Налог_на_прибыль!$A:$A</definedName>
    <definedName name="Z_47AEACC4_6EA5_412C_AF39_A6C5357B313A_.wvu.Cols" localSheetId="78" hidden="1">Налог_пров!$A:$A</definedName>
    <definedName name="Z_47AEACC4_6EA5_412C_AF39_A6C5357B313A_.wvu.Cols" localSheetId="79" hidden="1">Налоговые_льготы_имущество!$A:$A</definedName>
    <definedName name="Z_47AEACC4_6EA5_412C_AF39_A6C5357B313A_.wvu.Cols" localSheetId="80" hidden="1">Налоговые_льготы_прочие!$A:$A</definedName>
    <definedName name="Z_47AEACC4_6EA5_412C_AF39_A6C5357B313A_.wvu.Cols" localSheetId="46" hidden="1">НЗП_ГП!$A:$A</definedName>
    <definedName name="Z_47AEACC4_6EA5_412C_AF39_A6C5357B313A_.wvu.Cols" localSheetId="72" hidden="1">ОКХ!$A:$A</definedName>
    <definedName name="Z_47AEACC4_6EA5_412C_AF39_A6C5357B313A_.wvu.Cols" localSheetId="17" hidden="1">ОСВ_авт!$A:$A</definedName>
    <definedName name="Z_47AEACC4_6EA5_412C_AF39_A6C5357B313A_.wvu.Cols" localSheetId="18" hidden="1">ОСВ_система!$A:$A</definedName>
    <definedName name="Z_47AEACC4_6EA5_412C_AF39_A6C5357B313A_.wvu.Cols" localSheetId="104" hidden="1">ОСС!$A:$A</definedName>
    <definedName name="Z_47AEACC4_6EA5_412C_AF39_A6C5357B313A_.wvu.Cols" localSheetId="14" hidden="1">ОФР!$A:$A</definedName>
    <definedName name="Z_47AEACC4_6EA5_412C_AF39_A6C5357B313A_.wvu.Cols" localSheetId="4" hidden="1">Параметры_загрузки!$C:$C,Параметры_загрузки!$E:$IV</definedName>
    <definedName name="Z_47AEACC4_6EA5_412C_AF39_A6C5357B313A_.wvu.Cols" localSheetId="103" hidden="1">Прочие_расш!$A:$A</definedName>
    <definedName name="Z_47AEACC4_6EA5_412C_AF39_A6C5357B313A_.wvu.Cols" localSheetId="19" hidden="1">Свод_по_счетам!$A:$A</definedName>
    <definedName name="Z_47AEACC4_6EA5_412C_AF39_A6C5357B313A_.wvu.Cols" localSheetId="55" hidden="1">Фин_договоры!$A:$A</definedName>
    <definedName name="Z_47AEACC4_6EA5_412C_AF39_A6C5357B313A_.wvu.FilterData" localSheetId="20" hidden="1">'01'!$A$7:$V$7</definedName>
    <definedName name="Z_47AEACC4_6EA5_412C_AF39_A6C5357B313A_.wvu.FilterData" localSheetId="21" hidden="1">'02'!$C$7:$U$7</definedName>
    <definedName name="Z_47AEACC4_6EA5_412C_AF39_A6C5357B313A_.wvu.FilterData" localSheetId="22" hidden="1">'03'!$A$8:$U$8</definedName>
    <definedName name="Z_47AEACC4_6EA5_412C_AF39_A6C5357B313A_.wvu.FilterData" localSheetId="23" hidden="1">'04'!$C$8:$R$8</definedName>
    <definedName name="Z_47AEACC4_6EA5_412C_AF39_A6C5357B313A_.wvu.FilterData" localSheetId="24" hidden="1">'05'!$C$7:$O$7</definedName>
    <definedName name="Z_47AEACC4_6EA5_412C_AF39_A6C5357B313A_.wvu.FilterData" localSheetId="25" hidden="1">'07'!$A$8:$S$8</definedName>
    <definedName name="Z_47AEACC4_6EA5_412C_AF39_A6C5357B313A_.wvu.FilterData" localSheetId="26" hidden="1">'07_расш'!$A$6:$G$6</definedName>
    <definedName name="Z_47AEACC4_6EA5_412C_AF39_A6C5357B313A_.wvu.FilterData" localSheetId="27" hidden="1">'08'!$A$7:$Z$7</definedName>
    <definedName name="Z_47AEACC4_6EA5_412C_AF39_A6C5357B313A_.wvu.FilterData" localSheetId="29" hidden="1">'08_НИОКР'!$A$7:$G$7</definedName>
    <definedName name="Z_47AEACC4_6EA5_412C_AF39_A6C5357B313A_.wvu.FilterData" localSheetId="28" hidden="1">'08_расш'!$C$7:$F$7</definedName>
    <definedName name="Z_47AEACC4_6EA5_412C_AF39_A6C5357B313A_.wvu.FilterData" localSheetId="30" hidden="1">'09'!$A$7:$L$7</definedName>
    <definedName name="Z_47AEACC4_6EA5_412C_AF39_A6C5357B313A_.wvu.FilterData" localSheetId="31" hidden="1">'10'!$C$8:$W$8</definedName>
    <definedName name="Z_47AEACC4_6EA5_412C_AF39_A6C5357B313A_.wvu.FilterData" localSheetId="33" hidden="1">'14'!$A$6:$K$6</definedName>
    <definedName name="Z_47AEACC4_6EA5_412C_AF39_A6C5357B313A_.wvu.FilterData" localSheetId="34" hidden="1">'15'!$A$7:$P$7</definedName>
    <definedName name="Z_47AEACC4_6EA5_412C_AF39_A6C5357B313A_.wvu.FilterData" localSheetId="35" hidden="1">'16'!$A$7:$N$7</definedName>
    <definedName name="Z_47AEACC4_6EA5_412C_AF39_A6C5357B313A_.wvu.FilterData" localSheetId="36" hidden="1">'19'!$A$7:$R$7</definedName>
    <definedName name="Z_47AEACC4_6EA5_412C_AF39_A6C5357B313A_.wvu.FilterData" localSheetId="40" hidden="1">'21'!$C$9:$N$9</definedName>
    <definedName name="Z_47AEACC4_6EA5_412C_AF39_A6C5357B313A_.wvu.FilterData" localSheetId="41" hidden="1">'40'!$C$8:$J$8</definedName>
    <definedName name="Z_47AEACC4_6EA5_412C_AF39_A6C5357B313A_.wvu.FilterData" localSheetId="42" hidden="1">'41_01'!$C$9:$V$9</definedName>
    <definedName name="Z_47AEACC4_6EA5_412C_AF39_A6C5357B313A_.wvu.FilterData" localSheetId="43" hidden="1">'41_02'!$A$12:$O$12</definedName>
    <definedName name="Z_47AEACC4_6EA5_412C_AF39_A6C5357B313A_.wvu.FilterData" localSheetId="44" hidden="1">'43'!$C$7:$N$7</definedName>
    <definedName name="Z_47AEACC4_6EA5_412C_AF39_A6C5357B313A_.wvu.FilterData" localSheetId="45" hidden="1">'45'!$A$7:$S$7</definedName>
    <definedName name="Z_47AEACC4_6EA5_412C_AF39_A6C5357B313A_.wvu.FilterData" localSheetId="48" hidden="1">'46'!$C$8:$AG$8</definedName>
    <definedName name="Z_47AEACC4_6EA5_412C_AF39_A6C5357B313A_.wvu.FilterData" localSheetId="49" hidden="1">'50'!$C$6:$F$6</definedName>
    <definedName name="Z_47AEACC4_6EA5_412C_AF39_A6C5357B313A_.wvu.FilterData" localSheetId="54" hidden="1">'50_51_52_55_57_движ'!$A$7:$K$10</definedName>
    <definedName name="Z_47AEACC4_6EA5_412C_AF39_A6C5357B313A_.wvu.FilterData" localSheetId="50" hidden="1">'51'!$C$6:$G$6</definedName>
    <definedName name="Z_47AEACC4_6EA5_412C_AF39_A6C5357B313A_.wvu.FilterData" localSheetId="51" hidden="1">'52'!$C$6:$H$6</definedName>
    <definedName name="Z_47AEACC4_6EA5_412C_AF39_A6C5357B313A_.wvu.FilterData" localSheetId="52" hidden="1">'55'!$C$6:$I$6</definedName>
    <definedName name="Z_47AEACC4_6EA5_412C_AF39_A6C5357B313A_.wvu.FilterData" localSheetId="53" hidden="1">'57'!$C$6:$H$6</definedName>
    <definedName name="Z_47AEACC4_6EA5_412C_AF39_A6C5357B313A_.wvu.FilterData" localSheetId="56" hidden="1">'58_01_1'!$C$8:$AA$8</definedName>
    <definedName name="Z_47AEACC4_6EA5_412C_AF39_A6C5357B313A_.wvu.FilterData" localSheetId="57" hidden="1">'58_01_2'!$C$8:$AA$8</definedName>
    <definedName name="Z_47AEACC4_6EA5_412C_AF39_A6C5357B313A_.wvu.FilterData" localSheetId="59" hidden="1">'58_02_движ'!$C$11:$V$11</definedName>
    <definedName name="Z_47AEACC4_6EA5_412C_AF39_A6C5357B313A_.wvu.FilterData" localSheetId="60" hidden="1">'58_03_1'!$C$9:$AH$9</definedName>
    <definedName name="Z_47AEACC4_6EA5_412C_AF39_A6C5357B313A_.wvu.FilterData" localSheetId="61" hidden="1">'58_03_2'!$C$9:$AH$9</definedName>
    <definedName name="Z_47AEACC4_6EA5_412C_AF39_A6C5357B313A_.wvu.FilterData" localSheetId="62" hidden="1">'58_04'!$C$10:$Y$10</definedName>
    <definedName name="Z_47AEACC4_6EA5_412C_AF39_A6C5357B313A_.wvu.FilterData" localSheetId="63" hidden="1">'59_01'!$C$9:$P$9</definedName>
    <definedName name="Z_47AEACC4_6EA5_412C_AF39_A6C5357B313A_.wvu.FilterData" localSheetId="64" hidden="1">'59_02'!$C$9:$W$9</definedName>
    <definedName name="Z_47AEACC4_6EA5_412C_AF39_A6C5357B313A_.wvu.FilterData" localSheetId="65" hidden="1">'59_03'!$C$9:$R$9</definedName>
    <definedName name="Z_47AEACC4_6EA5_412C_AF39_A6C5357B313A_.wvu.FilterData" localSheetId="73" hidden="1">'60,62,63,76_контр'!$C$9:$AJ$9</definedName>
    <definedName name="Z_47AEACC4_6EA5_412C_AF39_A6C5357B313A_.wvu.FilterData" localSheetId="68" hidden="1">'60_01'!$C$8:$T$8</definedName>
    <definedName name="Z_47AEACC4_6EA5_412C_AF39_A6C5357B313A_.wvu.FilterData" localSheetId="69" hidden="1">'60_02'!$C$8:$O$8</definedName>
    <definedName name="Z_47AEACC4_6EA5_412C_AF39_A6C5357B313A_.wvu.FilterData" localSheetId="70" hidden="1">'62_01'!$C$8:$S$8</definedName>
    <definedName name="Z_47AEACC4_6EA5_412C_AF39_A6C5357B313A_.wvu.FilterData" localSheetId="74" hidden="1">'66'!$C$10:$BC$10</definedName>
    <definedName name="Z_47AEACC4_6EA5_412C_AF39_A6C5357B313A_.wvu.FilterData" localSheetId="75" hidden="1">'67'!$C$10:$BD$10</definedName>
    <definedName name="Z_47AEACC4_6EA5_412C_AF39_A6C5357B313A_.wvu.FilterData" localSheetId="76" hidden="1">'68'!$C$8:$X$8</definedName>
    <definedName name="Z_47AEACC4_6EA5_412C_AF39_A6C5357B313A_.wvu.FilterData" localSheetId="81" hidden="1">'69'!$C$9:$T$9</definedName>
    <definedName name="Z_47AEACC4_6EA5_412C_AF39_A6C5357B313A_.wvu.FilterData" localSheetId="82" hidden="1">'73'!$C$8:$W$8</definedName>
    <definedName name="Z_47AEACC4_6EA5_412C_AF39_A6C5357B313A_.wvu.FilterData" localSheetId="83" hidden="1">'75_01'!$C$8:$T$8</definedName>
    <definedName name="Z_47AEACC4_6EA5_412C_AF39_A6C5357B313A_.wvu.FilterData" localSheetId="84" hidden="1">'75_01_Неденеж'!$C$8:$J$8</definedName>
    <definedName name="Z_47AEACC4_6EA5_412C_AF39_A6C5357B313A_.wvu.FilterData" localSheetId="85" hidden="1">'75_02'!$C$7:$U$7</definedName>
    <definedName name="Z_47AEACC4_6EA5_412C_AF39_A6C5357B313A_.wvu.FilterData" localSheetId="86" hidden="1">'76'!$C$7:$X$45</definedName>
    <definedName name="Z_47AEACC4_6EA5_412C_AF39_A6C5357B313A_.wvu.FilterData" localSheetId="87" hidden="1">'76_01_%'!$C$9:$AD$9</definedName>
    <definedName name="Z_47AEACC4_6EA5_412C_AF39_A6C5357B313A_.wvu.FilterData" localSheetId="88" hidden="1">'77'!$C$7:$L$7</definedName>
    <definedName name="Z_47AEACC4_6EA5_412C_AF39_A6C5357B313A_.wvu.FilterData" localSheetId="89" hidden="1">'78'!$C$8:$P$8</definedName>
    <definedName name="Z_47AEACC4_6EA5_412C_AF39_A6C5357B313A_.wvu.FilterData" localSheetId="90" hidden="1">'80'!$C$10:$AB$10</definedName>
    <definedName name="Z_47AEACC4_6EA5_412C_AF39_A6C5357B313A_.wvu.FilterData" localSheetId="91" hidden="1">'83'!$C$9:$Q$9</definedName>
    <definedName name="Z_47AEACC4_6EA5_412C_AF39_A6C5357B313A_.wvu.FilterData" localSheetId="92" hidden="1">'83_расш'!$C$7:$H$7</definedName>
    <definedName name="Z_47AEACC4_6EA5_412C_AF39_A6C5357B313A_.wvu.FilterData" localSheetId="93" hidden="1">'84'!$C$10:$R$10</definedName>
    <definedName name="Z_47AEACC4_6EA5_412C_AF39_A6C5357B313A_.wvu.FilterData" localSheetId="94" hidden="1">'84_расш'!$C$7:$I$7</definedName>
    <definedName name="Z_47AEACC4_6EA5_412C_AF39_A6C5357B313A_.wvu.FilterData" localSheetId="95" hidden="1">'86'!$C$9:$AF$9</definedName>
    <definedName name="Z_47AEACC4_6EA5_412C_AF39_A6C5357B313A_.wvu.FilterData" localSheetId="96" hidden="1">'90'!$C$8:$M$8</definedName>
    <definedName name="Z_47AEACC4_6EA5_412C_AF39_A6C5357B313A_.wvu.FilterData" localSheetId="98" hidden="1">'90_контр'!$C$8:$J$8</definedName>
    <definedName name="Z_47AEACC4_6EA5_412C_AF39_A6C5357B313A_.wvu.FilterData" localSheetId="97" hidden="1">'90_ОРВГ'!$C$8:$S$8</definedName>
    <definedName name="Z_47AEACC4_6EA5_412C_AF39_A6C5357B313A_.wvu.FilterData" localSheetId="99" hidden="1">'91_01'!$C$29:$I$29</definedName>
    <definedName name="Z_47AEACC4_6EA5_412C_AF39_A6C5357B313A_.wvu.FilterData" localSheetId="100" hidden="1">'91_01_ВГО'!$C$9:$Q$9</definedName>
    <definedName name="Z_47AEACC4_6EA5_412C_AF39_A6C5357B313A_.wvu.FilterData" localSheetId="101" hidden="1">'91_02'!$C$8:$G$46</definedName>
    <definedName name="Z_47AEACC4_6EA5_412C_AF39_A6C5357B313A_.wvu.FilterData" localSheetId="102" hidden="1">'91_02_ВГО'!$C$8:$J$8</definedName>
    <definedName name="Z_47AEACC4_6EA5_412C_AF39_A6C5357B313A_.wvu.FilterData" localSheetId="105" hidden="1">'96'!$C$8:$T$8</definedName>
    <definedName name="Z_47AEACC4_6EA5_412C_AF39_A6C5357B313A_.wvu.FilterData" localSheetId="106" hidden="1">'96_движ'!$C$9:$U$9</definedName>
    <definedName name="Z_47AEACC4_6EA5_412C_AF39_A6C5357B313A_.wvu.FilterData" localSheetId="107" hidden="1">'97'!$C$8:$U$8</definedName>
    <definedName name="Z_47AEACC4_6EA5_412C_AF39_A6C5357B313A_.wvu.FilterData" localSheetId="108" hidden="1">'98_01'!$C$9:$Z$9</definedName>
    <definedName name="Z_47AEACC4_6EA5_412C_AF39_A6C5357B313A_.wvu.FilterData" localSheetId="109" hidden="1">'98_02'!$C$9:$J$9</definedName>
    <definedName name="Z_47AEACC4_6EA5_412C_AF39_A6C5357B313A_.wvu.FilterData" localSheetId="110" hidden="1">'98_04'!$C$9:$Q$9</definedName>
    <definedName name="Z_47AEACC4_6EA5_412C_AF39_A6C5357B313A_.wvu.FilterData" localSheetId="111" hidden="1">'99'!$C$8:$Q$8</definedName>
    <definedName name="Z_47AEACC4_6EA5_412C_AF39_A6C5357B313A_.wvu.FilterData" localSheetId="16" hidden="1">ДДС_приложение!$C$4:$F$272</definedName>
    <definedName name="Z_47AEACC4_6EA5_412C_AF39_A6C5357B313A_.wvu.FilterData" localSheetId="47" hidden="1">Долгосроч_договоры!$C$8:$K$8</definedName>
    <definedName name="Z_47AEACC4_6EA5_412C_AF39_A6C5357B313A_.wvu.FilterData" localSheetId="67" hidden="1">ДП_выданные!$C$8:$Q$8</definedName>
    <definedName name="Z_47AEACC4_6EA5_412C_AF39_A6C5357B313A_.wvu.FilterData" localSheetId="66" hidden="1">ДП_полученные!$C$8:$S$8</definedName>
    <definedName name="Z_47AEACC4_6EA5_412C_AF39_A6C5357B313A_.wvu.FilterData" localSheetId="112" hidden="1">Зарубежная_выручка!$C$11:$L$11</definedName>
    <definedName name="Z_47AEACC4_6EA5_412C_AF39_A6C5357B313A_.wvu.FilterData" localSheetId="37" hidden="1">Затраты_Вход_1!$C$9:$I$9</definedName>
    <definedName name="Z_47AEACC4_6EA5_412C_AF39_A6C5357B313A_.wvu.FilterData" localSheetId="38" hidden="1">Затраты_Вход_2!$C$9:$K$9</definedName>
    <definedName name="Z_47AEACC4_6EA5_412C_AF39_A6C5357B313A_.wvu.FilterData" localSheetId="39" hidden="1">Затраты_Выход!$C$11:$G$11</definedName>
    <definedName name="Z_47AEACC4_6EA5_412C_AF39_A6C5357B313A_.wvu.FilterData" localSheetId="77" hidden="1">Налог_на_прибыль!$C$8:$G$8</definedName>
    <definedName name="Z_47AEACC4_6EA5_412C_AF39_A6C5357B313A_.wvu.FilterData" localSheetId="78" hidden="1">Налог_пров!$C$10:$AG$10</definedName>
    <definedName name="Z_47AEACC4_6EA5_412C_AF39_A6C5357B313A_.wvu.FilterData" localSheetId="79" hidden="1">Налоговые_льготы_имущество!$C$8:$Q$8</definedName>
    <definedName name="Z_47AEACC4_6EA5_412C_AF39_A6C5357B313A_.wvu.FilterData" localSheetId="80" hidden="1">Налоговые_льготы_прочие!$C$8:$H$8</definedName>
    <definedName name="Z_47AEACC4_6EA5_412C_AF39_A6C5357B313A_.wvu.FilterData" localSheetId="46" hidden="1">НЗП_ГП!$C$8:$P$8</definedName>
    <definedName name="Z_47AEACC4_6EA5_412C_AF39_A6C5357B313A_.wvu.FilterData" localSheetId="72" hidden="1">ОКХ!$C$8:$Q$8</definedName>
    <definedName name="Z_47AEACC4_6EA5_412C_AF39_A6C5357B313A_.wvu.FilterData" localSheetId="17" hidden="1">ОСВ_авт!$A$8:$N$268</definedName>
    <definedName name="Z_47AEACC4_6EA5_412C_AF39_A6C5357B313A_.wvu.FilterData" localSheetId="104" hidden="1">ОСС!$C$7:$H$7</definedName>
    <definedName name="Z_47AEACC4_6EA5_412C_AF39_A6C5357B313A_.wvu.FilterData" localSheetId="103" hidden="1">Прочие_расш!$C$33:$K$34</definedName>
    <definedName name="Z_47AEACC4_6EA5_412C_AF39_A6C5357B313A_.wvu.FilterData" localSheetId="19" hidden="1">Свод_по_счетам!$A$8:$S$8</definedName>
    <definedName name="Z_47AEACC4_6EA5_412C_AF39_A6C5357B313A_.wvu.FilterData" localSheetId="5" hidden="1">Список_компаний!$A$2:$K$251</definedName>
    <definedName name="Z_47AEACC4_6EA5_412C_AF39_A6C5357B313A_.wvu.FilterData" localSheetId="6" hidden="1">Справочник!$A$3:$CL$1448</definedName>
    <definedName name="Z_47AEACC4_6EA5_412C_AF39_A6C5357B313A_.wvu.FilterData" localSheetId="55" hidden="1">Фин_договоры!$C$8:$AE$8</definedName>
    <definedName name="Z_47AEACC4_6EA5_412C_AF39_A6C5357B313A_.wvu.Rows" localSheetId="20" hidden="1">'01'!$1:$1</definedName>
    <definedName name="Z_47AEACC4_6EA5_412C_AF39_A6C5357B313A_.wvu.Rows" localSheetId="21" hidden="1">'02'!$1:$1</definedName>
    <definedName name="Z_47AEACC4_6EA5_412C_AF39_A6C5357B313A_.wvu.Rows" localSheetId="22" hidden="1">'03'!$1:$1</definedName>
    <definedName name="Z_47AEACC4_6EA5_412C_AF39_A6C5357B313A_.wvu.Rows" localSheetId="23" hidden="1">'04'!$1:$1</definedName>
    <definedName name="Z_47AEACC4_6EA5_412C_AF39_A6C5357B313A_.wvu.Rows" localSheetId="24" hidden="1">'05'!$1:$1</definedName>
    <definedName name="Z_47AEACC4_6EA5_412C_AF39_A6C5357B313A_.wvu.Rows" localSheetId="25" hidden="1">'07'!$1:$1</definedName>
    <definedName name="Z_47AEACC4_6EA5_412C_AF39_A6C5357B313A_.wvu.Rows" localSheetId="26" hidden="1">'07_расш'!$1:$1</definedName>
    <definedName name="Z_47AEACC4_6EA5_412C_AF39_A6C5357B313A_.wvu.Rows" localSheetId="27" hidden="1">'08'!$1:$1</definedName>
    <definedName name="Z_47AEACC4_6EA5_412C_AF39_A6C5357B313A_.wvu.Rows" localSheetId="29" hidden="1">'08_НИОКР'!$1:$1</definedName>
    <definedName name="Z_47AEACC4_6EA5_412C_AF39_A6C5357B313A_.wvu.Rows" localSheetId="28" hidden="1">'08_расш'!$1:$1</definedName>
    <definedName name="Z_47AEACC4_6EA5_412C_AF39_A6C5357B313A_.wvu.Rows" localSheetId="30" hidden="1">'09'!$1:$1</definedName>
    <definedName name="Z_47AEACC4_6EA5_412C_AF39_A6C5357B313A_.wvu.Rows" localSheetId="31" hidden="1">'10'!$1:$1</definedName>
    <definedName name="Z_47AEACC4_6EA5_412C_AF39_A6C5357B313A_.wvu.Rows" localSheetId="32" hidden="1">'10_расш'!$1:$1</definedName>
    <definedName name="Z_47AEACC4_6EA5_412C_AF39_A6C5357B313A_.wvu.Rows" localSheetId="33" hidden="1">'14'!$1:$1</definedName>
    <definedName name="Z_47AEACC4_6EA5_412C_AF39_A6C5357B313A_.wvu.Rows" localSheetId="34" hidden="1">'15'!$1:$1</definedName>
    <definedName name="Z_47AEACC4_6EA5_412C_AF39_A6C5357B313A_.wvu.Rows" localSheetId="35" hidden="1">'16'!$1:$1</definedName>
    <definedName name="Z_47AEACC4_6EA5_412C_AF39_A6C5357B313A_.wvu.Rows" localSheetId="36" hidden="1">'19'!$1:$1</definedName>
    <definedName name="Z_47AEACC4_6EA5_412C_AF39_A6C5357B313A_.wvu.Rows" localSheetId="40" hidden="1">'21'!$1:$1</definedName>
    <definedName name="Z_47AEACC4_6EA5_412C_AF39_A6C5357B313A_.wvu.Rows" localSheetId="41" hidden="1">'40'!$1:$1</definedName>
    <definedName name="Z_47AEACC4_6EA5_412C_AF39_A6C5357B313A_.wvu.Rows" localSheetId="42" hidden="1">'41_01'!$1:$1</definedName>
    <definedName name="Z_47AEACC4_6EA5_412C_AF39_A6C5357B313A_.wvu.Rows" localSheetId="43" hidden="1">'41_02'!$1:$1</definedName>
    <definedName name="Z_47AEACC4_6EA5_412C_AF39_A6C5357B313A_.wvu.Rows" localSheetId="44" hidden="1">'43'!$1:$1</definedName>
    <definedName name="Z_47AEACC4_6EA5_412C_AF39_A6C5357B313A_.wvu.Rows" localSheetId="45" hidden="1">'45'!$1:$1</definedName>
    <definedName name="Z_47AEACC4_6EA5_412C_AF39_A6C5357B313A_.wvu.Rows" localSheetId="48" hidden="1">'46'!$1:$1</definedName>
    <definedName name="Z_47AEACC4_6EA5_412C_AF39_A6C5357B313A_.wvu.Rows" localSheetId="49" hidden="1">'50'!$1:$1</definedName>
    <definedName name="Z_47AEACC4_6EA5_412C_AF39_A6C5357B313A_.wvu.Rows" localSheetId="54" hidden="1">'50_51_52_55_57_движ'!$1:$1</definedName>
    <definedName name="Z_47AEACC4_6EA5_412C_AF39_A6C5357B313A_.wvu.Rows" localSheetId="50" hidden="1">'51'!$1:$1</definedName>
    <definedName name="Z_47AEACC4_6EA5_412C_AF39_A6C5357B313A_.wvu.Rows" localSheetId="51" hidden="1">'52'!$1:$1</definedName>
    <definedName name="Z_47AEACC4_6EA5_412C_AF39_A6C5357B313A_.wvu.Rows" localSheetId="52" hidden="1">'55'!$1:$1</definedName>
    <definedName name="Z_47AEACC4_6EA5_412C_AF39_A6C5357B313A_.wvu.Rows" localSheetId="53" hidden="1">'57'!$1:$1</definedName>
    <definedName name="Z_47AEACC4_6EA5_412C_AF39_A6C5357B313A_.wvu.Rows" localSheetId="56" hidden="1">'58_01_1'!$1:$1</definedName>
    <definedName name="Z_47AEACC4_6EA5_412C_AF39_A6C5357B313A_.wvu.Rows" localSheetId="57" hidden="1">'58_01_2'!$1:$1</definedName>
    <definedName name="Z_47AEACC4_6EA5_412C_AF39_A6C5357B313A_.wvu.Rows" localSheetId="58" hidden="1">'58_02'!$1:$1</definedName>
    <definedName name="Z_47AEACC4_6EA5_412C_AF39_A6C5357B313A_.wvu.Rows" localSheetId="59" hidden="1">'58_02_движ'!$1:$1</definedName>
    <definedName name="Z_47AEACC4_6EA5_412C_AF39_A6C5357B313A_.wvu.Rows" localSheetId="60" hidden="1">'58_03_1'!$1:$1</definedName>
    <definedName name="Z_47AEACC4_6EA5_412C_AF39_A6C5357B313A_.wvu.Rows" localSheetId="61" hidden="1">'58_03_2'!$1:$1</definedName>
    <definedName name="Z_47AEACC4_6EA5_412C_AF39_A6C5357B313A_.wvu.Rows" localSheetId="62" hidden="1">'58_04'!$1:$1</definedName>
    <definedName name="Z_47AEACC4_6EA5_412C_AF39_A6C5357B313A_.wvu.Rows" localSheetId="63" hidden="1">'59_01'!$1:$1</definedName>
    <definedName name="Z_47AEACC4_6EA5_412C_AF39_A6C5357B313A_.wvu.Rows" localSheetId="64" hidden="1">'59_02'!$1:$1</definedName>
    <definedName name="Z_47AEACC4_6EA5_412C_AF39_A6C5357B313A_.wvu.Rows" localSheetId="65" hidden="1">'59_03'!$1:$1</definedName>
    <definedName name="Z_47AEACC4_6EA5_412C_AF39_A6C5357B313A_.wvu.Rows" localSheetId="73" hidden="1">'60,62,63,76_контр'!$1:$1</definedName>
    <definedName name="Z_47AEACC4_6EA5_412C_AF39_A6C5357B313A_.wvu.Rows" localSheetId="68" hidden="1">'60_01'!$1:$1</definedName>
    <definedName name="Z_47AEACC4_6EA5_412C_AF39_A6C5357B313A_.wvu.Rows" localSheetId="69" hidden="1">'60_02'!$1:$1</definedName>
    <definedName name="Z_47AEACC4_6EA5_412C_AF39_A6C5357B313A_.wvu.Rows" localSheetId="70" hidden="1">'62_01'!$1:$1</definedName>
    <definedName name="Z_47AEACC4_6EA5_412C_AF39_A6C5357B313A_.wvu.Rows" localSheetId="71" hidden="1">'62_02'!$1:$1</definedName>
    <definedName name="Z_47AEACC4_6EA5_412C_AF39_A6C5357B313A_.wvu.Rows" localSheetId="74" hidden="1">'66'!$1:$1</definedName>
    <definedName name="Z_47AEACC4_6EA5_412C_AF39_A6C5357B313A_.wvu.Rows" localSheetId="75" hidden="1">'67'!$1:$1</definedName>
    <definedName name="Z_47AEACC4_6EA5_412C_AF39_A6C5357B313A_.wvu.Rows" localSheetId="76" hidden="1">'68'!$1:$1</definedName>
    <definedName name="Z_47AEACC4_6EA5_412C_AF39_A6C5357B313A_.wvu.Rows" localSheetId="81" hidden="1">'69'!$1:$1</definedName>
    <definedName name="Z_47AEACC4_6EA5_412C_AF39_A6C5357B313A_.wvu.Rows" localSheetId="82" hidden="1">'73'!$1:$1</definedName>
    <definedName name="Z_47AEACC4_6EA5_412C_AF39_A6C5357B313A_.wvu.Rows" localSheetId="83" hidden="1">'75_01'!$1:$1</definedName>
    <definedName name="Z_47AEACC4_6EA5_412C_AF39_A6C5357B313A_.wvu.Rows" localSheetId="84" hidden="1">'75_01_Неденеж'!$1:$1</definedName>
    <definedName name="Z_47AEACC4_6EA5_412C_AF39_A6C5357B313A_.wvu.Rows" localSheetId="85" hidden="1">'75_02'!$1:$1</definedName>
    <definedName name="Z_47AEACC4_6EA5_412C_AF39_A6C5357B313A_.wvu.Rows" localSheetId="86" hidden="1">'76'!$1:$1</definedName>
    <definedName name="Z_47AEACC4_6EA5_412C_AF39_A6C5357B313A_.wvu.Rows" localSheetId="87" hidden="1">'76_01_%'!$1:$1</definedName>
    <definedName name="Z_47AEACC4_6EA5_412C_AF39_A6C5357B313A_.wvu.Rows" localSheetId="88" hidden="1">'77'!$1:$1</definedName>
    <definedName name="Z_47AEACC4_6EA5_412C_AF39_A6C5357B313A_.wvu.Rows" localSheetId="89" hidden="1">'78'!$1:$1</definedName>
    <definedName name="Z_47AEACC4_6EA5_412C_AF39_A6C5357B313A_.wvu.Rows" localSheetId="90" hidden="1">'80'!$1:$1</definedName>
    <definedName name="Z_47AEACC4_6EA5_412C_AF39_A6C5357B313A_.wvu.Rows" localSheetId="91" hidden="1">'83'!$1:$1</definedName>
    <definedName name="Z_47AEACC4_6EA5_412C_AF39_A6C5357B313A_.wvu.Rows" localSheetId="92" hidden="1">'83_расш'!$1:$1</definedName>
    <definedName name="Z_47AEACC4_6EA5_412C_AF39_A6C5357B313A_.wvu.Rows" localSheetId="93" hidden="1">'84'!$1:$1</definedName>
    <definedName name="Z_47AEACC4_6EA5_412C_AF39_A6C5357B313A_.wvu.Rows" localSheetId="94" hidden="1">'84_расш'!$1:$1</definedName>
    <definedName name="Z_47AEACC4_6EA5_412C_AF39_A6C5357B313A_.wvu.Rows" localSheetId="95" hidden="1">'86'!$1:$1</definedName>
    <definedName name="Z_47AEACC4_6EA5_412C_AF39_A6C5357B313A_.wvu.Rows" localSheetId="96" hidden="1">'90'!$1:$1</definedName>
    <definedName name="Z_47AEACC4_6EA5_412C_AF39_A6C5357B313A_.wvu.Rows" localSheetId="98" hidden="1">'90_контр'!$1:$1</definedName>
    <definedName name="Z_47AEACC4_6EA5_412C_AF39_A6C5357B313A_.wvu.Rows" localSheetId="97" hidden="1">'90_ОРВГ'!$1:$1</definedName>
    <definedName name="Z_47AEACC4_6EA5_412C_AF39_A6C5357B313A_.wvu.Rows" localSheetId="99" hidden="1">'91_01'!$1:$1,'91_01'!$13:$28</definedName>
    <definedName name="Z_47AEACC4_6EA5_412C_AF39_A6C5357B313A_.wvu.Rows" localSheetId="100" hidden="1">'91_01_ВГО'!$1:$1,'91_01_ВГО'!$12:$27</definedName>
    <definedName name="Z_47AEACC4_6EA5_412C_AF39_A6C5357B313A_.wvu.Rows" localSheetId="101" hidden="1">'91_02'!$1:$1,'91_02'!$9:$40</definedName>
    <definedName name="Z_47AEACC4_6EA5_412C_AF39_A6C5357B313A_.wvu.Rows" localSheetId="102" hidden="1">'91_02_ВГО'!$1:$1,'91_02_ВГО'!$7:$7,'91_02_ВГО'!$9:$30</definedName>
    <definedName name="Z_47AEACC4_6EA5_412C_AF39_A6C5357B313A_.wvu.Rows" localSheetId="105" hidden="1">'96'!$1:$1</definedName>
    <definedName name="Z_47AEACC4_6EA5_412C_AF39_A6C5357B313A_.wvu.Rows" localSheetId="106" hidden="1">'96_движ'!$1:$1</definedName>
    <definedName name="Z_47AEACC4_6EA5_412C_AF39_A6C5357B313A_.wvu.Rows" localSheetId="107" hidden="1">'97'!$1:$1</definedName>
    <definedName name="Z_47AEACC4_6EA5_412C_AF39_A6C5357B313A_.wvu.Rows" localSheetId="108" hidden="1">'98_01'!$1:$1</definedName>
    <definedName name="Z_47AEACC4_6EA5_412C_AF39_A6C5357B313A_.wvu.Rows" localSheetId="109" hidden="1">'98_02'!$1:$1</definedName>
    <definedName name="Z_47AEACC4_6EA5_412C_AF39_A6C5357B313A_.wvu.Rows" localSheetId="110" hidden="1">'98_04'!$1:$1</definedName>
    <definedName name="Z_47AEACC4_6EA5_412C_AF39_A6C5357B313A_.wvu.Rows" localSheetId="111" hidden="1">'99'!$1:$1</definedName>
    <definedName name="Z_47AEACC4_6EA5_412C_AF39_A6C5357B313A_.wvu.Rows" localSheetId="13" hidden="1">Баланс!$1:$1</definedName>
    <definedName name="Z_47AEACC4_6EA5_412C_AF39_A6C5357B313A_.wvu.Rows" localSheetId="15" hidden="1">ДДС!$1:$1</definedName>
    <definedName name="Z_47AEACC4_6EA5_412C_AF39_A6C5357B313A_.wvu.Rows" localSheetId="16" hidden="1">ДДС_приложение!$1:$1</definedName>
    <definedName name="Z_47AEACC4_6EA5_412C_AF39_A6C5357B313A_.wvu.Rows" localSheetId="47" hidden="1">Долгосроч_договоры!$1:$1</definedName>
    <definedName name="Z_47AEACC4_6EA5_412C_AF39_A6C5357B313A_.wvu.Rows" localSheetId="67" hidden="1">ДП_выданные!$1:$1</definedName>
    <definedName name="Z_47AEACC4_6EA5_412C_AF39_A6C5357B313A_.wvu.Rows" localSheetId="66" hidden="1">ДП_полученные!$1:$1</definedName>
    <definedName name="Z_47AEACC4_6EA5_412C_AF39_A6C5357B313A_.wvu.Rows" localSheetId="112" hidden="1">Зарубежная_выручка!$1:$1</definedName>
    <definedName name="Z_47AEACC4_6EA5_412C_AF39_A6C5357B313A_.wvu.Rows" localSheetId="37" hidden="1">Затраты_Вход_1!$1:$1</definedName>
    <definedName name="Z_47AEACC4_6EA5_412C_AF39_A6C5357B313A_.wvu.Rows" localSheetId="38" hidden="1">Затраты_Вход_2!$1:$1</definedName>
    <definedName name="Z_47AEACC4_6EA5_412C_AF39_A6C5357B313A_.wvu.Rows" localSheetId="39" hidden="1">Затраты_Выход!$1:$1</definedName>
    <definedName name="Z_47AEACC4_6EA5_412C_AF39_A6C5357B313A_.wvu.Rows" localSheetId="77" hidden="1">Налог_на_прибыль!$1:$1</definedName>
    <definedName name="Z_47AEACC4_6EA5_412C_AF39_A6C5357B313A_.wvu.Rows" localSheetId="78" hidden="1">Налог_пров!$1:$1</definedName>
    <definedName name="Z_47AEACC4_6EA5_412C_AF39_A6C5357B313A_.wvu.Rows" localSheetId="79" hidden="1">Налоговые_льготы_имущество!$1:$1</definedName>
    <definedName name="Z_47AEACC4_6EA5_412C_AF39_A6C5357B313A_.wvu.Rows" localSheetId="80" hidden="1">Налоговые_льготы_прочие!$1:$1</definedName>
    <definedName name="Z_47AEACC4_6EA5_412C_AF39_A6C5357B313A_.wvu.Rows" localSheetId="46" hidden="1">НЗП_ГП!$1:$1</definedName>
    <definedName name="Z_47AEACC4_6EA5_412C_AF39_A6C5357B313A_.wvu.Rows" localSheetId="72" hidden="1">ОКХ!$1:$1</definedName>
    <definedName name="Z_47AEACC4_6EA5_412C_AF39_A6C5357B313A_.wvu.Rows" localSheetId="17" hidden="1">ОСВ_авт!$1:$1</definedName>
    <definedName name="Z_47AEACC4_6EA5_412C_AF39_A6C5357B313A_.wvu.Rows" localSheetId="104" hidden="1">ОСС!$1:$1</definedName>
    <definedName name="Z_47AEACC4_6EA5_412C_AF39_A6C5357B313A_.wvu.Rows" localSheetId="103" hidden="1">Прочие_расш!$1:$1,Прочие_расш!#REF!</definedName>
    <definedName name="Z_47AEACC4_6EA5_412C_AF39_A6C5357B313A_.wvu.Rows" localSheetId="19" hidden="1">Свод_по_счетам!$1:$1,Свод_по_счетам!$4:$5</definedName>
    <definedName name="Z_47AEACC4_6EA5_412C_AF39_A6C5357B313A_.wvu.Rows" localSheetId="55" hidden="1">Фин_договоры!$1:$1</definedName>
    <definedName name="Z_4D957B38_5430_481E_B791_E0A66F913B50_.wvu.Cols" localSheetId="33" hidden="1">'14'!#REF!</definedName>
    <definedName name="Z_4D957B38_5430_481E_B791_E0A66F913B50_.wvu.Cols" localSheetId="34" hidden="1">'15'!#REF!</definedName>
    <definedName name="Z_4D957B38_5430_481E_B791_E0A66F913B50_.wvu.Cols" localSheetId="54" hidden="1">'50_51_52_55_57_движ'!#REF!</definedName>
    <definedName name="Z_4D957B38_5430_481E_B791_E0A66F913B50_.wvu.Cols" localSheetId="56" hidden="1">'58_01_1'!$D:$E,'58_01_1'!$H:$H,'58_01_1'!#REF!,'58_01_1'!#REF!</definedName>
    <definedName name="Z_4D957B38_5430_481E_B791_E0A66F913B50_.wvu.Cols" localSheetId="57" hidden="1">'58_01_2'!$C:$D,'58_01_2'!$G:$G,'58_01_2'!#REF!,'58_01_2'!#REF!</definedName>
    <definedName name="Z_4D957B38_5430_481E_B791_E0A66F913B50_.wvu.Cols" localSheetId="59" hidden="1">'58_02_движ'!$C:$C,'58_02_движ'!#REF!,'58_02_движ'!$J:$J</definedName>
    <definedName name="Z_4D957B38_5430_481E_B791_E0A66F913B50_.wvu.Cols" localSheetId="60" hidden="1">'58_03_1'!#REF!,'58_03_1'!$G:$G,'58_03_1'!$J:$M,'58_03_1'!$AE:$AG</definedName>
    <definedName name="Z_4D957B38_5430_481E_B791_E0A66F913B50_.wvu.Cols" localSheetId="61" hidden="1">'58_03_2'!#REF!,'58_03_2'!$G:$G,'58_03_2'!$K:$M,'58_03_2'!$AE:$AG</definedName>
    <definedName name="Z_4D957B38_5430_481E_B791_E0A66F913B50_.wvu.Cols" localSheetId="63" hidden="1">'59_01'!#REF!,'59_01'!$C:$C,'59_01'!#REF!</definedName>
    <definedName name="Z_4D957B38_5430_481E_B791_E0A66F913B50_.wvu.Cols" localSheetId="64" hidden="1">'59_02'!#REF!</definedName>
    <definedName name="Z_4D957B38_5430_481E_B791_E0A66F913B50_.wvu.Cols" localSheetId="65" hidden="1">'59_03'!$C:$C,'59_03'!$G:$G,'59_03'!#REF!</definedName>
    <definedName name="Z_4D957B38_5430_481E_B791_E0A66F913B50_.wvu.Cols" localSheetId="4" hidden="1">Параметры_загрузки!$C:$C</definedName>
    <definedName name="Z_4D957B38_5430_481E_B791_E0A66F913B50_.wvu.Cols" localSheetId="7" hidden="1">Проверки!#REF!</definedName>
    <definedName name="Z_4D957B38_5430_481E_B791_E0A66F913B50_.wvu.FilterData" localSheetId="28" hidden="1">'08_расш'!$C$6:$E$10</definedName>
    <definedName name="Z_4D957B38_5430_481E_B791_E0A66F913B50_.wvu.FilterData" localSheetId="86" hidden="1">'76'!$A$6:$X$45</definedName>
    <definedName name="Z_4D957B38_5430_481E_B791_E0A66F913B50_.wvu.FilterData" localSheetId="16" hidden="1">ДДС_приложение!$B$5:$F$272</definedName>
    <definedName name="Z_4D957B38_5430_481E_B791_E0A66F913B50_.wvu.FilterData" localSheetId="7" hidden="1">Проверки!$B$7:$H$216</definedName>
    <definedName name="Z_4D957B38_5430_481E_B791_E0A66F913B50_.wvu.Rows" localSheetId="95" hidden="1">'86'!#REF!</definedName>
    <definedName name="Z_4D957B38_5430_481E_B791_E0A66F913B50_.wvu.Rows" localSheetId="99" hidden="1">'91_01'!$13:$28</definedName>
    <definedName name="Z_4D957B38_5430_481E_B791_E0A66F913B50_.wvu.Rows" localSheetId="100" hidden="1">'91_01_ВГО'!$12:$27</definedName>
    <definedName name="Z_4D957B38_5430_481E_B791_E0A66F913B50_.wvu.Rows" localSheetId="101" hidden="1">'91_02'!$9:$40</definedName>
    <definedName name="Z_4D957B38_5430_481E_B791_E0A66F913B50_.wvu.Rows" localSheetId="102" hidden="1">'91_02_ВГО'!$7:$30</definedName>
    <definedName name="Z_4D957B38_5430_481E_B791_E0A66F913B50_.wvu.Rows" localSheetId="103" hidden="1">Прочие_расш!#REF!</definedName>
    <definedName name="Z_5D121940_0CE8_4A0E_A493_67FAAA6E0FF8_.wvu.Cols" localSheetId="20" hidden="1">'01'!$A:$A,'01'!$X:$X</definedName>
    <definedName name="Z_5D121940_0CE8_4A0E_A493_67FAAA6E0FF8_.wvu.Cols" localSheetId="21" hidden="1">'02'!$A:$A</definedName>
    <definedName name="Z_5D121940_0CE8_4A0E_A493_67FAAA6E0FF8_.wvu.Cols" localSheetId="22" hidden="1">'03'!$A:$A</definedName>
    <definedName name="Z_5D121940_0CE8_4A0E_A493_67FAAA6E0FF8_.wvu.Cols" localSheetId="23" hidden="1">'04'!$A:$A,'04'!$S:$S</definedName>
    <definedName name="Z_5D121940_0CE8_4A0E_A493_67FAAA6E0FF8_.wvu.Cols" localSheetId="24" hidden="1">'05'!$A:$A</definedName>
    <definedName name="Z_5D121940_0CE8_4A0E_A493_67FAAA6E0FF8_.wvu.Cols" localSheetId="25" hidden="1">'07'!$A:$A</definedName>
    <definedName name="Z_5D121940_0CE8_4A0E_A493_67FAAA6E0FF8_.wvu.Cols" localSheetId="26" hidden="1">'07_расш'!$A:$A</definedName>
    <definedName name="Z_5D121940_0CE8_4A0E_A493_67FAAA6E0FF8_.wvu.Cols" localSheetId="27" hidden="1">'08'!$A:$A,'08'!$V:$V</definedName>
    <definedName name="Z_5D121940_0CE8_4A0E_A493_67FAAA6E0FF8_.wvu.Cols" localSheetId="29" hidden="1">'08_НИОКР'!$A:$A,'08_НИОКР'!$S:$S</definedName>
    <definedName name="Z_5D121940_0CE8_4A0E_A493_67FAAA6E0FF8_.wvu.Cols" localSheetId="28" hidden="1">'08_расш'!$A:$A</definedName>
    <definedName name="Z_5D121940_0CE8_4A0E_A493_67FAAA6E0FF8_.wvu.Cols" localSheetId="30" hidden="1">'09'!$A:$A,'09'!$N:$N</definedName>
    <definedName name="Z_5D121940_0CE8_4A0E_A493_67FAAA6E0FF8_.wvu.Cols" localSheetId="31" hidden="1">'10'!$A:$A</definedName>
    <definedName name="Z_5D121940_0CE8_4A0E_A493_67FAAA6E0FF8_.wvu.Cols" localSheetId="32" hidden="1">'10_расш'!$A:$A</definedName>
    <definedName name="Z_5D121940_0CE8_4A0E_A493_67FAAA6E0FF8_.wvu.Cols" localSheetId="33" hidden="1">'14'!$A:$A</definedName>
    <definedName name="Z_5D121940_0CE8_4A0E_A493_67FAAA6E0FF8_.wvu.Cols" localSheetId="34" hidden="1">'15'!$A:$A</definedName>
    <definedName name="Z_5D121940_0CE8_4A0E_A493_67FAAA6E0FF8_.wvu.Cols" localSheetId="35" hidden="1">'16'!$A:$A</definedName>
    <definedName name="Z_5D121940_0CE8_4A0E_A493_67FAAA6E0FF8_.wvu.Cols" localSheetId="36" hidden="1">'19'!$A:$A</definedName>
    <definedName name="Z_5D121940_0CE8_4A0E_A493_67FAAA6E0FF8_.wvu.Cols" localSheetId="40" hidden="1">'21'!$A:$A</definedName>
    <definedName name="Z_5D121940_0CE8_4A0E_A493_67FAAA6E0FF8_.wvu.Cols" localSheetId="41" hidden="1">'40'!$A:$A</definedName>
    <definedName name="Z_5D121940_0CE8_4A0E_A493_67FAAA6E0FF8_.wvu.Cols" localSheetId="42" hidden="1">'41_01'!$A:$A,'41_01'!#REF!,'41_01'!$X:$X</definedName>
    <definedName name="Z_5D121940_0CE8_4A0E_A493_67FAAA6E0FF8_.wvu.Cols" localSheetId="43" hidden="1">'41_02'!$A:$A,'41_02'!#REF!</definedName>
    <definedName name="Z_5D121940_0CE8_4A0E_A493_67FAAA6E0FF8_.wvu.Cols" localSheetId="44" hidden="1">'43'!$A:$A,'43'!#REF!</definedName>
    <definedName name="Z_5D121940_0CE8_4A0E_A493_67FAAA6E0FF8_.wvu.Cols" localSheetId="45" hidden="1">'45'!$A:$A</definedName>
    <definedName name="Z_5D121940_0CE8_4A0E_A493_67FAAA6E0FF8_.wvu.Cols" localSheetId="48" hidden="1">'46'!$A:$A</definedName>
    <definedName name="Z_5D121940_0CE8_4A0E_A493_67FAAA6E0FF8_.wvu.Cols" localSheetId="49" hidden="1">'50'!$A:$A</definedName>
    <definedName name="Z_5D121940_0CE8_4A0E_A493_67FAAA6E0FF8_.wvu.Cols" localSheetId="54" hidden="1">'50_51_52_55_57_движ'!$A:$A,'50_51_52_55_57_движ'!$N:$V</definedName>
    <definedName name="Z_5D121940_0CE8_4A0E_A493_67FAAA6E0FF8_.wvu.Cols" localSheetId="50" hidden="1">'51'!$A:$A</definedName>
    <definedName name="Z_5D121940_0CE8_4A0E_A493_67FAAA6E0FF8_.wvu.Cols" localSheetId="51" hidden="1">'52'!$A:$A</definedName>
    <definedName name="Z_5D121940_0CE8_4A0E_A493_67FAAA6E0FF8_.wvu.Cols" localSheetId="52" hidden="1">'55'!$A:$A</definedName>
    <definedName name="Z_5D121940_0CE8_4A0E_A493_67FAAA6E0FF8_.wvu.Cols" localSheetId="53" hidden="1">'57'!$A:$A</definedName>
    <definedName name="Z_5D121940_0CE8_4A0E_A493_67FAAA6E0FF8_.wvu.Cols" localSheetId="56" hidden="1">'58_01_1'!$A:$A</definedName>
    <definedName name="Z_5D121940_0CE8_4A0E_A493_67FAAA6E0FF8_.wvu.Cols" localSheetId="57" hidden="1">'58_01_2'!$A:$A</definedName>
    <definedName name="Z_5D121940_0CE8_4A0E_A493_67FAAA6E0FF8_.wvu.Cols" localSheetId="58" hidden="1">'58_02'!$A:$A</definedName>
    <definedName name="Z_5D121940_0CE8_4A0E_A493_67FAAA6E0FF8_.wvu.Cols" localSheetId="59" hidden="1">'58_02_движ'!$A:$A</definedName>
    <definedName name="Z_5D121940_0CE8_4A0E_A493_67FAAA6E0FF8_.wvu.Cols" localSheetId="60" hidden="1">'58_03_1'!$A:$A</definedName>
    <definedName name="Z_5D121940_0CE8_4A0E_A493_67FAAA6E0FF8_.wvu.Cols" localSheetId="61" hidden="1">'58_03_2'!$A:$A</definedName>
    <definedName name="Z_5D121940_0CE8_4A0E_A493_67FAAA6E0FF8_.wvu.Cols" localSheetId="62" hidden="1">'58_04'!$A:$A</definedName>
    <definedName name="Z_5D121940_0CE8_4A0E_A493_67FAAA6E0FF8_.wvu.Cols" localSheetId="63" hidden="1">'59_01'!$A:$A</definedName>
    <definedName name="Z_5D121940_0CE8_4A0E_A493_67FAAA6E0FF8_.wvu.Cols" localSheetId="64" hidden="1">'59_02'!$A:$A</definedName>
    <definedName name="Z_5D121940_0CE8_4A0E_A493_67FAAA6E0FF8_.wvu.Cols" localSheetId="65" hidden="1">'59_03'!$A:$A</definedName>
    <definedName name="Z_5D121940_0CE8_4A0E_A493_67FAAA6E0FF8_.wvu.Cols" localSheetId="73" hidden="1">'60,62,63,76_контр'!$A:$A</definedName>
    <definedName name="Z_5D121940_0CE8_4A0E_A493_67FAAA6E0FF8_.wvu.Cols" localSheetId="68" hidden="1">'60_01'!$A:$A,'60_01'!$V:$V</definedName>
    <definedName name="Z_5D121940_0CE8_4A0E_A493_67FAAA6E0FF8_.wvu.Cols" localSheetId="69" hidden="1">'60_02'!$A:$A</definedName>
    <definedName name="Z_5D121940_0CE8_4A0E_A493_67FAAA6E0FF8_.wvu.Cols" localSheetId="70" hidden="1">'62_01'!$A:$A,'62_01'!$U:$U</definedName>
    <definedName name="Z_5D121940_0CE8_4A0E_A493_67FAAA6E0FF8_.wvu.Cols" localSheetId="71" hidden="1">'62_02'!$A:$A</definedName>
    <definedName name="Z_5D121940_0CE8_4A0E_A493_67FAAA6E0FF8_.wvu.Cols" localSheetId="74" hidden="1">'66'!$A:$A,'66'!$BE:$BE</definedName>
    <definedName name="Z_5D121940_0CE8_4A0E_A493_67FAAA6E0FF8_.wvu.Cols" localSheetId="75" hidden="1">'67'!$A:$A,'67'!$BF:$BF</definedName>
    <definedName name="Z_5D121940_0CE8_4A0E_A493_67FAAA6E0FF8_.wvu.Cols" localSheetId="76" hidden="1">'68'!$A:$A</definedName>
    <definedName name="Z_5D121940_0CE8_4A0E_A493_67FAAA6E0FF8_.wvu.Cols" localSheetId="81" hidden="1">'69'!$A:$A,'69'!$V:$V</definedName>
    <definedName name="Z_5D121940_0CE8_4A0E_A493_67FAAA6E0FF8_.wvu.Cols" localSheetId="82" hidden="1">'73'!$A:$A,'73'!$Y:$Y</definedName>
    <definedName name="Z_5D121940_0CE8_4A0E_A493_67FAAA6E0FF8_.wvu.Cols" localSheetId="83" hidden="1">'75_01'!$A:$A,'75_01'!$V:$V</definedName>
    <definedName name="Z_5D121940_0CE8_4A0E_A493_67FAAA6E0FF8_.wvu.Cols" localSheetId="84" hidden="1">'75_01_Неденеж'!$A:$A</definedName>
    <definedName name="Z_5D121940_0CE8_4A0E_A493_67FAAA6E0FF8_.wvu.Cols" localSheetId="85" hidden="1">'75_02'!$A:$A</definedName>
    <definedName name="Z_5D121940_0CE8_4A0E_A493_67FAAA6E0FF8_.wvu.Cols" localSheetId="86" hidden="1">'76'!$A:$A</definedName>
    <definedName name="Z_5D121940_0CE8_4A0E_A493_67FAAA6E0FF8_.wvu.Cols" localSheetId="87" hidden="1">'76_01_%'!$A:$A</definedName>
    <definedName name="Z_5D121940_0CE8_4A0E_A493_67FAAA6E0FF8_.wvu.Cols" localSheetId="88" hidden="1">'77'!$A:$A,'77'!$N:$N</definedName>
    <definedName name="Z_5D121940_0CE8_4A0E_A493_67FAAA6E0FF8_.wvu.Cols" localSheetId="89" hidden="1">'78'!$A:$A</definedName>
    <definedName name="Z_5D121940_0CE8_4A0E_A493_67FAAA6E0FF8_.wvu.Cols" localSheetId="90" hidden="1">'80'!$A:$A</definedName>
    <definedName name="Z_5D121940_0CE8_4A0E_A493_67FAAA6E0FF8_.wvu.Cols" localSheetId="91" hidden="1">'83'!$A:$A</definedName>
    <definedName name="Z_5D121940_0CE8_4A0E_A493_67FAAA6E0FF8_.wvu.Cols" localSheetId="92" hidden="1">'83_расш'!$A:$A</definedName>
    <definedName name="Z_5D121940_0CE8_4A0E_A493_67FAAA6E0FF8_.wvu.Cols" localSheetId="93" hidden="1">'84'!$A:$A</definedName>
    <definedName name="Z_5D121940_0CE8_4A0E_A493_67FAAA6E0FF8_.wvu.Cols" localSheetId="94" hidden="1">'84_расш'!$A:$A</definedName>
    <definedName name="Z_5D121940_0CE8_4A0E_A493_67FAAA6E0FF8_.wvu.Cols" localSheetId="95" hidden="1">'86'!$A:$A</definedName>
    <definedName name="Z_5D121940_0CE8_4A0E_A493_67FAAA6E0FF8_.wvu.Cols" localSheetId="96" hidden="1">'90'!$A:$A</definedName>
    <definedName name="Z_5D121940_0CE8_4A0E_A493_67FAAA6E0FF8_.wvu.Cols" localSheetId="98" hidden="1">'90_контр'!$A:$A</definedName>
    <definedName name="Z_5D121940_0CE8_4A0E_A493_67FAAA6E0FF8_.wvu.Cols" localSheetId="97" hidden="1">'90_ОРВГ'!$A:$A</definedName>
    <definedName name="Z_5D121940_0CE8_4A0E_A493_67FAAA6E0FF8_.wvu.Cols" localSheetId="99" hidden="1">'91_01'!$A:$A</definedName>
    <definedName name="Z_5D121940_0CE8_4A0E_A493_67FAAA6E0FF8_.wvu.Cols" localSheetId="100" hidden="1">'91_01_ВГО'!$A:$A</definedName>
    <definedName name="Z_5D121940_0CE8_4A0E_A493_67FAAA6E0FF8_.wvu.Cols" localSheetId="101" hidden="1">'91_02'!$A:$A</definedName>
    <definedName name="Z_5D121940_0CE8_4A0E_A493_67FAAA6E0FF8_.wvu.Cols" localSheetId="102" hidden="1">'91_02_ВГО'!$A:$A</definedName>
    <definedName name="Z_5D121940_0CE8_4A0E_A493_67FAAA6E0FF8_.wvu.Cols" localSheetId="105" hidden="1">'96'!$A:$A,'96'!$V:$V</definedName>
    <definedName name="Z_5D121940_0CE8_4A0E_A493_67FAAA6E0FF8_.wvu.Cols" localSheetId="106" hidden="1">'96_движ'!$A:$A</definedName>
    <definedName name="Z_5D121940_0CE8_4A0E_A493_67FAAA6E0FF8_.wvu.Cols" localSheetId="107" hidden="1">'97'!$A:$A</definedName>
    <definedName name="Z_5D121940_0CE8_4A0E_A493_67FAAA6E0FF8_.wvu.Cols" localSheetId="108" hidden="1">'98_01'!$A:$A</definedName>
    <definedName name="Z_5D121940_0CE8_4A0E_A493_67FAAA6E0FF8_.wvu.Cols" localSheetId="109" hidden="1">'98_02'!$A:$A</definedName>
    <definedName name="Z_5D121940_0CE8_4A0E_A493_67FAAA6E0FF8_.wvu.Cols" localSheetId="110" hidden="1">'98_04'!$A:$A</definedName>
    <definedName name="Z_5D121940_0CE8_4A0E_A493_67FAAA6E0FF8_.wvu.Cols" localSheetId="111" hidden="1">'99'!$A:$A</definedName>
    <definedName name="Z_5D121940_0CE8_4A0E_A493_67FAAA6E0FF8_.wvu.Cols" localSheetId="13" hidden="1">Баланс!$A:$A</definedName>
    <definedName name="Z_5D121940_0CE8_4A0E_A493_67FAAA6E0FF8_.wvu.Cols" localSheetId="15" hidden="1">ДДС!$A:$A</definedName>
    <definedName name="Z_5D121940_0CE8_4A0E_A493_67FAAA6E0FF8_.wvu.Cols" localSheetId="16" hidden="1">ДДС_приложение!$A:$A</definedName>
    <definedName name="Z_5D121940_0CE8_4A0E_A493_67FAAA6E0FF8_.wvu.Cols" localSheetId="47" hidden="1">Долгосроч_договоры!$A:$A</definedName>
    <definedName name="Z_5D121940_0CE8_4A0E_A493_67FAAA6E0FF8_.wvu.Cols" localSheetId="67" hidden="1">ДП_выданные!$A:$A</definedName>
    <definedName name="Z_5D121940_0CE8_4A0E_A493_67FAAA6E0FF8_.wvu.Cols" localSheetId="66" hidden="1">ДП_полученные!$A:$A</definedName>
    <definedName name="Z_5D121940_0CE8_4A0E_A493_67FAAA6E0FF8_.wvu.Cols" localSheetId="112" hidden="1">Зарубежная_выручка!$A:$A</definedName>
    <definedName name="Z_5D121940_0CE8_4A0E_A493_67FAAA6E0FF8_.wvu.Cols" localSheetId="37" hidden="1">Затраты_Вход_1!$A:$A</definedName>
    <definedName name="Z_5D121940_0CE8_4A0E_A493_67FAAA6E0FF8_.wvu.Cols" localSheetId="38" hidden="1">Затраты_Вход_2!$A:$A</definedName>
    <definedName name="Z_5D121940_0CE8_4A0E_A493_67FAAA6E0FF8_.wvu.Cols" localSheetId="39" hidden="1">Затраты_Выход!$A:$A</definedName>
    <definedName name="Z_5D121940_0CE8_4A0E_A493_67FAAA6E0FF8_.wvu.Cols" localSheetId="77" hidden="1">Налог_на_прибыль!$A:$A</definedName>
    <definedName name="Z_5D121940_0CE8_4A0E_A493_67FAAA6E0FF8_.wvu.Cols" localSheetId="78" hidden="1">Налог_пров!$A:$A</definedName>
    <definedName name="Z_5D121940_0CE8_4A0E_A493_67FAAA6E0FF8_.wvu.Cols" localSheetId="79" hidden="1">Налоговые_льготы_имущество!$A:$A</definedName>
    <definedName name="Z_5D121940_0CE8_4A0E_A493_67FAAA6E0FF8_.wvu.Cols" localSheetId="80" hidden="1">Налоговые_льготы_прочие!$A:$A</definedName>
    <definedName name="Z_5D121940_0CE8_4A0E_A493_67FAAA6E0FF8_.wvu.Cols" localSheetId="46" hidden="1">НЗП_ГП!$A:$A</definedName>
    <definedName name="Z_5D121940_0CE8_4A0E_A493_67FAAA6E0FF8_.wvu.Cols" localSheetId="72" hidden="1">ОКХ!$A:$A,ОКХ!$S:$S</definedName>
    <definedName name="Z_5D121940_0CE8_4A0E_A493_67FAAA6E0FF8_.wvu.Cols" localSheetId="17" hidden="1">ОСВ_авт!$A:$A</definedName>
    <definedName name="Z_5D121940_0CE8_4A0E_A493_67FAAA6E0FF8_.wvu.Cols" localSheetId="18" hidden="1">ОСВ_система!$A:$A</definedName>
    <definedName name="Z_5D121940_0CE8_4A0E_A493_67FAAA6E0FF8_.wvu.Cols" localSheetId="104" hidden="1">ОСС!$A:$A</definedName>
    <definedName name="Z_5D121940_0CE8_4A0E_A493_67FAAA6E0FF8_.wvu.Cols" localSheetId="14" hidden="1">ОФР!$A:$A</definedName>
    <definedName name="Z_5D121940_0CE8_4A0E_A493_67FAAA6E0FF8_.wvu.Cols" localSheetId="4" hidden="1">Параметры_загрузки!$F:$IV</definedName>
    <definedName name="Z_5D121940_0CE8_4A0E_A493_67FAAA6E0FF8_.wvu.Cols" localSheetId="103" hidden="1">Прочие_расш!$A:$A</definedName>
    <definedName name="Z_5D121940_0CE8_4A0E_A493_67FAAA6E0FF8_.wvu.Cols" localSheetId="19" hidden="1">Свод_по_счетам!$A:$A</definedName>
    <definedName name="Z_5D121940_0CE8_4A0E_A493_67FAAA6E0FF8_.wvu.Cols" localSheetId="55" hidden="1">Фин_договоры!$A:$A</definedName>
    <definedName name="Z_5D121940_0CE8_4A0E_A493_67FAAA6E0FF8_.wvu.FilterData" localSheetId="20" hidden="1">'01'!$A$7:$V$7</definedName>
    <definedName name="Z_5D121940_0CE8_4A0E_A493_67FAAA6E0FF8_.wvu.FilterData" localSheetId="21" hidden="1">'02'!$C$7:$U$7</definedName>
    <definedName name="Z_5D121940_0CE8_4A0E_A493_67FAAA6E0FF8_.wvu.FilterData" localSheetId="22" hidden="1">'03'!$A$8:$U$8</definedName>
    <definedName name="Z_5D121940_0CE8_4A0E_A493_67FAAA6E0FF8_.wvu.FilterData" localSheetId="23" hidden="1">'04'!$C$8:$R$8</definedName>
    <definedName name="Z_5D121940_0CE8_4A0E_A493_67FAAA6E0FF8_.wvu.FilterData" localSheetId="24" hidden="1">'05'!$C$7:$O$7</definedName>
    <definedName name="Z_5D121940_0CE8_4A0E_A493_67FAAA6E0FF8_.wvu.FilterData" localSheetId="25" hidden="1">'07'!$A$8:$S$8</definedName>
    <definedName name="Z_5D121940_0CE8_4A0E_A493_67FAAA6E0FF8_.wvu.FilterData" localSheetId="26" hidden="1">'07_расш'!$A$6:$G$6</definedName>
    <definedName name="Z_5D121940_0CE8_4A0E_A493_67FAAA6E0FF8_.wvu.FilterData" localSheetId="27" hidden="1">'08'!$A$7:$Z$7</definedName>
    <definedName name="Z_5D121940_0CE8_4A0E_A493_67FAAA6E0FF8_.wvu.FilterData" localSheetId="29" hidden="1">'08_НИОКР'!$A$7:$G$7</definedName>
    <definedName name="Z_5D121940_0CE8_4A0E_A493_67FAAA6E0FF8_.wvu.FilterData" localSheetId="28" hidden="1">'08_расш'!$C$7:$F$7</definedName>
    <definedName name="Z_5D121940_0CE8_4A0E_A493_67FAAA6E0FF8_.wvu.FilterData" localSheetId="30" hidden="1">'09'!$A$7:$L$7</definedName>
    <definedName name="Z_5D121940_0CE8_4A0E_A493_67FAAA6E0FF8_.wvu.FilterData" localSheetId="31" hidden="1">'10'!$C$8:$W$8</definedName>
    <definedName name="Z_5D121940_0CE8_4A0E_A493_67FAAA6E0FF8_.wvu.FilterData" localSheetId="33" hidden="1">'14'!$A$6:$K$6</definedName>
    <definedName name="Z_5D121940_0CE8_4A0E_A493_67FAAA6E0FF8_.wvu.FilterData" localSheetId="34" hidden="1">'15'!$A$7:$P$7</definedName>
    <definedName name="Z_5D121940_0CE8_4A0E_A493_67FAAA6E0FF8_.wvu.FilterData" localSheetId="35" hidden="1">'16'!$A$7:$N$7</definedName>
    <definedName name="Z_5D121940_0CE8_4A0E_A493_67FAAA6E0FF8_.wvu.FilterData" localSheetId="36" hidden="1">'19'!$A$7:$R$7</definedName>
    <definedName name="Z_5D121940_0CE8_4A0E_A493_67FAAA6E0FF8_.wvu.FilterData" localSheetId="40" hidden="1">'21'!$C$9:$N$9</definedName>
    <definedName name="Z_5D121940_0CE8_4A0E_A493_67FAAA6E0FF8_.wvu.FilterData" localSheetId="41" hidden="1">'40'!$C$8:$J$8</definedName>
    <definedName name="Z_5D121940_0CE8_4A0E_A493_67FAAA6E0FF8_.wvu.FilterData" localSheetId="42" hidden="1">'41_01'!$C$9:$V$9</definedName>
    <definedName name="Z_5D121940_0CE8_4A0E_A493_67FAAA6E0FF8_.wvu.FilterData" localSheetId="43" hidden="1">'41_02'!$A$12:$O$12</definedName>
    <definedName name="Z_5D121940_0CE8_4A0E_A493_67FAAA6E0FF8_.wvu.FilterData" localSheetId="44" hidden="1">'43'!$C$7:$N$7</definedName>
    <definedName name="Z_5D121940_0CE8_4A0E_A493_67FAAA6E0FF8_.wvu.FilterData" localSheetId="45" hidden="1">'45'!$A$7:$S$7</definedName>
    <definedName name="Z_5D121940_0CE8_4A0E_A493_67FAAA6E0FF8_.wvu.FilterData" localSheetId="48" hidden="1">'46'!$C$8:$AG$8</definedName>
    <definedName name="Z_5D121940_0CE8_4A0E_A493_67FAAA6E0FF8_.wvu.FilterData" localSheetId="49" hidden="1">'50'!$C$6:$F$6</definedName>
    <definedName name="Z_5D121940_0CE8_4A0E_A493_67FAAA6E0FF8_.wvu.FilterData" localSheetId="54" hidden="1">'50_51_52_55_57_движ'!$A$7:$K$10</definedName>
    <definedName name="Z_5D121940_0CE8_4A0E_A493_67FAAA6E0FF8_.wvu.FilterData" localSheetId="50" hidden="1">'51'!$C$6:$G$6</definedName>
    <definedName name="Z_5D121940_0CE8_4A0E_A493_67FAAA6E0FF8_.wvu.FilterData" localSheetId="51" hidden="1">'52'!$C$6:$H$6</definedName>
    <definedName name="Z_5D121940_0CE8_4A0E_A493_67FAAA6E0FF8_.wvu.FilterData" localSheetId="52" hidden="1">'55'!$C$6:$I$6</definedName>
    <definedName name="Z_5D121940_0CE8_4A0E_A493_67FAAA6E0FF8_.wvu.FilterData" localSheetId="53" hidden="1">'57'!$C$6:$H$6</definedName>
    <definedName name="Z_5D121940_0CE8_4A0E_A493_67FAAA6E0FF8_.wvu.FilterData" localSheetId="56" hidden="1">'58_01_1'!$C$8:$AA$8</definedName>
    <definedName name="Z_5D121940_0CE8_4A0E_A493_67FAAA6E0FF8_.wvu.FilterData" localSheetId="57" hidden="1">'58_01_2'!$C$8:$AA$8</definedName>
    <definedName name="Z_5D121940_0CE8_4A0E_A493_67FAAA6E0FF8_.wvu.FilterData" localSheetId="59" hidden="1">'58_02_движ'!$C$11:$V$11</definedName>
    <definedName name="Z_5D121940_0CE8_4A0E_A493_67FAAA6E0FF8_.wvu.FilterData" localSheetId="60" hidden="1">'58_03_1'!$C$9:$AH$9</definedName>
    <definedName name="Z_5D121940_0CE8_4A0E_A493_67FAAA6E0FF8_.wvu.FilterData" localSheetId="61" hidden="1">'58_03_2'!$C$9:$AH$9</definedName>
    <definedName name="Z_5D121940_0CE8_4A0E_A493_67FAAA6E0FF8_.wvu.FilterData" localSheetId="62" hidden="1">'58_04'!$C$10:$Y$10</definedName>
    <definedName name="Z_5D121940_0CE8_4A0E_A493_67FAAA6E0FF8_.wvu.FilterData" localSheetId="63" hidden="1">'59_01'!$C$9:$P$9</definedName>
    <definedName name="Z_5D121940_0CE8_4A0E_A493_67FAAA6E0FF8_.wvu.FilterData" localSheetId="64" hidden="1">'59_02'!$C$9:$W$9</definedName>
    <definedName name="Z_5D121940_0CE8_4A0E_A493_67FAAA6E0FF8_.wvu.FilterData" localSheetId="65" hidden="1">'59_03'!$C$9:$R$9</definedName>
    <definedName name="Z_5D121940_0CE8_4A0E_A493_67FAAA6E0FF8_.wvu.FilterData" localSheetId="73" hidden="1">'60,62,63,76_контр'!$C$9:$AJ$9</definedName>
    <definedName name="Z_5D121940_0CE8_4A0E_A493_67FAAA6E0FF8_.wvu.FilterData" localSheetId="68" hidden="1">'60_01'!$C$8:$T$8</definedName>
    <definedName name="Z_5D121940_0CE8_4A0E_A493_67FAAA6E0FF8_.wvu.FilterData" localSheetId="69" hidden="1">'60_02'!$C$8:$O$8</definedName>
    <definedName name="Z_5D121940_0CE8_4A0E_A493_67FAAA6E0FF8_.wvu.FilterData" localSheetId="70" hidden="1">'62_01'!$C$8:$S$8</definedName>
    <definedName name="Z_5D121940_0CE8_4A0E_A493_67FAAA6E0FF8_.wvu.FilterData" localSheetId="74" hidden="1">'66'!$C$10:$BC$10</definedName>
    <definedName name="Z_5D121940_0CE8_4A0E_A493_67FAAA6E0FF8_.wvu.FilterData" localSheetId="75" hidden="1">'67'!$C$10:$BD$10</definedName>
    <definedName name="Z_5D121940_0CE8_4A0E_A493_67FAAA6E0FF8_.wvu.FilterData" localSheetId="76" hidden="1">'68'!$C$8:$X$8</definedName>
    <definedName name="Z_5D121940_0CE8_4A0E_A493_67FAAA6E0FF8_.wvu.FilterData" localSheetId="81" hidden="1">'69'!$C$9:$T$9</definedName>
    <definedName name="Z_5D121940_0CE8_4A0E_A493_67FAAA6E0FF8_.wvu.FilterData" localSheetId="82" hidden="1">'73'!$C$8:$W$8</definedName>
    <definedName name="Z_5D121940_0CE8_4A0E_A493_67FAAA6E0FF8_.wvu.FilterData" localSheetId="83" hidden="1">'75_01'!$C$8:$T$8</definedName>
    <definedName name="Z_5D121940_0CE8_4A0E_A493_67FAAA6E0FF8_.wvu.FilterData" localSheetId="84" hidden="1">'75_01_Неденеж'!$C$8:$J$8</definedName>
    <definedName name="Z_5D121940_0CE8_4A0E_A493_67FAAA6E0FF8_.wvu.FilterData" localSheetId="85" hidden="1">'75_02'!$C$7:$U$7</definedName>
    <definedName name="Z_5D121940_0CE8_4A0E_A493_67FAAA6E0FF8_.wvu.FilterData" localSheetId="86" hidden="1">'76'!$C$7:$X$45</definedName>
    <definedName name="Z_5D121940_0CE8_4A0E_A493_67FAAA6E0FF8_.wvu.FilterData" localSheetId="87" hidden="1">'76_01_%'!$C$9:$AD$9</definedName>
    <definedName name="Z_5D121940_0CE8_4A0E_A493_67FAAA6E0FF8_.wvu.FilterData" localSheetId="88" hidden="1">'77'!$C$7:$L$7</definedName>
    <definedName name="Z_5D121940_0CE8_4A0E_A493_67FAAA6E0FF8_.wvu.FilterData" localSheetId="89" hidden="1">'78'!$C$8:$P$8</definedName>
    <definedName name="Z_5D121940_0CE8_4A0E_A493_67FAAA6E0FF8_.wvu.FilterData" localSheetId="90" hidden="1">'80'!$C$10:$AB$10</definedName>
    <definedName name="Z_5D121940_0CE8_4A0E_A493_67FAAA6E0FF8_.wvu.FilterData" localSheetId="91" hidden="1">'83'!$C$9:$Q$9</definedName>
    <definedName name="Z_5D121940_0CE8_4A0E_A493_67FAAA6E0FF8_.wvu.FilterData" localSheetId="92" hidden="1">'83_расш'!$C$7:$H$7</definedName>
    <definedName name="Z_5D121940_0CE8_4A0E_A493_67FAAA6E0FF8_.wvu.FilterData" localSheetId="93" hidden="1">'84'!$C$10:$R$10</definedName>
    <definedName name="Z_5D121940_0CE8_4A0E_A493_67FAAA6E0FF8_.wvu.FilterData" localSheetId="94" hidden="1">'84_расш'!$C$7:$I$7</definedName>
    <definedName name="Z_5D121940_0CE8_4A0E_A493_67FAAA6E0FF8_.wvu.FilterData" localSheetId="95" hidden="1">'86'!$C$9:$AF$9</definedName>
    <definedName name="Z_5D121940_0CE8_4A0E_A493_67FAAA6E0FF8_.wvu.FilterData" localSheetId="96" hidden="1">'90'!$C$8:$M$8</definedName>
    <definedName name="Z_5D121940_0CE8_4A0E_A493_67FAAA6E0FF8_.wvu.FilterData" localSheetId="98" hidden="1">'90_контр'!$C$8:$J$8</definedName>
    <definedName name="Z_5D121940_0CE8_4A0E_A493_67FAAA6E0FF8_.wvu.FilterData" localSheetId="97" hidden="1">'90_ОРВГ'!$C$8:$S$8</definedName>
    <definedName name="Z_5D121940_0CE8_4A0E_A493_67FAAA6E0FF8_.wvu.FilterData" localSheetId="99" hidden="1">'91_01'!$C$29:$I$29</definedName>
    <definedName name="Z_5D121940_0CE8_4A0E_A493_67FAAA6E0FF8_.wvu.FilterData" localSheetId="100" hidden="1">'91_01_ВГО'!$C$9:$Q$9</definedName>
    <definedName name="Z_5D121940_0CE8_4A0E_A493_67FAAA6E0FF8_.wvu.FilterData" localSheetId="101" hidden="1">'91_02'!$C$8:$G$46</definedName>
    <definedName name="Z_5D121940_0CE8_4A0E_A493_67FAAA6E0FF8_.wvu.FilterData" localSheetId="102" hidden="1">'91_02_ВГО'!$C$8:$J$8</definedName>
    <definedName name="Z_5D121940_0CE8_4A0E_A493_67FAAA6E0FF8_.wvu.FilterData" localSheetId="105" hidden="1">'96'!$C$8:$T$8</definedName>
    <definedName name="Z_5D121940_0CE8_4A0E_A493_67FAAA6E0FF8_.wvu.FilterData" localSheetId="106" hidden="1">'96_движ'!$C$9:$U$9</definedName>
    <definedName name="Z_5D121940_0CE8_4A0E_A493_67FAAA6E0FF8_.wvu.FilterData" localSheetId="107" hidden="1">'97'!$C$8:$U$8</definedName>
    <definedName name="Z_5D121940_0CE8_4A0E_A493_67FAAA6E0FF8_.wvu.FilterData" localSheetId="108" hidden="1">'98_01'!$C$9:$Z$9</definedName>
    <definedName name="Z_5D121940_0CE8_4A0E_A493_67FAAA6E0FF8_.wvu.FilterData" localSheetId="109" hidden="1">'98_02'!$C$9:$J$9</definedName>
    <definedName name="Z_5D121940_0CE8_4A0E_A493_67FAAA6E0FF8_.wvu.FilterData" localSheetId="110" hidden="1">'98_04'!$C$9:$Q$9</definedName>
    <definedName name="Z_5D121940_0CE8_4A0E_A493_67FAAA6E0FF8_.wvu.FilterData" localSheetId="111" hidden="1">'99'!$C$8:$Q$10</definedName>
    <definedName name="Z_5D121940_0CE8_4A0E_A493_67FAAA6E0FF8_.wvu.FilterData" localSheetId="16" hidden="1">ДДС_приложение!$C$4:$F$272</definedName>
    <definedName name="Z_5D121940_0CE8_4A0E_A493_67FAAA6E0FF8_.wvu.FilterData" localSheetId="47" hidden="1">Долгосроч_договоры!$C$8:$K$8</definedName>
    <definedName name="Z_5D121940_0CE8_4A0E_A493_67FAAA6E0FF8_.wvu.FilterData" localSheetId="67" hidden="1">ДП_выданные!$C$8:$Q$8</definedName>
    <definedName name="Z_5D121940_0CE8_4A0E_A493_67FAAA6E0FF8_.wvu.FilterData" localSheetId="66" hidden="1">ДП_полученные!$C$8:$S$8</definedName>
    <definedName name="Z_5D121940_0CE8_4A0E_A493_67FAAA6E0FF8_.wvu.FilterData" localSheetId="112" hidden="1">Зарубежная_выручка!$C$11:$L$11</definedName>
    <definedName name="Z_5D121940_0CE8_4A0E_A493_67FAAA6E0FF8_.wvu.FilterData" localSheetId="37" hidden="1">Затраты_Вход_1!$C$9:$I$9</definedName>
    <definedName name="Z_5D121940_0CE8_4A0E_A493_67FAAA6E0FF8_.wvu.FilterData" localSheetId="38" hidden="1">Затраты_Вход_2!$C$9:$K$9</definedName>
    <definedName name="Z_5D121940_0CE8_4A0E_A493_67FAAA6E0FF8_.wvu.FilterData" localSheetId="39" hidden="1">Затраты_Выход!$C$11:$G$11</definedName>
    <definedName name="Z_5D121940_0CE8_4A0E_A493_67FAAA6E0FF8_.wvu.FilterData" localSheetId="77" hidden="1">Налог_на_прибыль!$C$8:$G$8</definedName>
    <definedName name="Z_5D121940_0CE8_4A0E_A493_67FAAA6E0FF8_.wvu.FilterData" localSheetId="78" hidden="1">Налог_пров!$C$10:$AG$10</definedName>
    <definedName name="Z_5D121940_0CE8_4A0E_A493_67FAAA6E0FF8_.wvu.FilterData" localSheetId="79" hidden="1">Налоговые_льготы_имущество!$C$8:$Q$8</definedName>
    <definedName name="Z_5D121940_0CE8_4A0E_A493_67FAAA6E0FF8_.wvu.FilterData" localSheetId="80" hidden="1">Налоговые_льготы_прочие!$C$8:$H$8</definedName>
    <definedName name="Z_5D121940_0CE8_4A0E_A493_67FAAA6E0FF8_.wvu.FilterData" localSheetId="46" hidden="1">НЗП_ГП!$C$8:$P$8</definedName>
    <definedName name="Z_5D121940_0CE8_4A0E_A493_67FAAA6E0FF8_.wvu.FilterData" localSheetId="72" hidden="1">ОКХ!$C$8:$Q$8</definedName>
    <definedName name="Z_5D121940_0CE8_4A0E_A493_67FAAA6E0FF8_.wvu.FilterData" localSheetId="17" hidden="1">ОСВ_авт!$A$8:$N$268</definedName>
    <definedName name="Z_5D121940_0CE8_4A0E_A493_67FAAA6E0FF8_.wvu.FilterData" localSheetId="104" hidden="1">ОСС!$C$7:$H$7</definedName>
    <definedName name="Z_5D121940_0CE8_4A0E_A493_67FAAA6E0FF8_.wvu.FilterData" localSheetId="7" hidden="1">Проверки!$B$7:$G$310</definedName>
    <definedName name="Z_5D121940_0CE8_4A0E_A493_67FAAA6E0FF8_.wvu.FilterData" localSheetId="103" hidden="1">Прочие_расш!$C$33:$K$34</definedName>
    <definedName name="Z_5D121940_0CE8_4A0E_A493_67FAAA6E0FF8_.wvu.FilterData" localSheetId="19" hidden="1">Свод_по_счетам!$A$8:$S$8</definedName>
    <definedName name="Z_5D121940_0CE8_4A0E_A493_67FAAA6E0FF8_.wvu.FilterData" localSheetId="5" hidden="1">Список_компаний!$A$2:$K$251</definedName>
    <definedName name="Z_5D121940_0CE8_4A0E_A493_67FAAA6E0FF8_.wvu.FilterData" localSheetId="6" hidden="1">Справочник!$A$3:$CL$1448</definedName>
    <definedName name="Z_5D121940_0CE8_4A0E_A493_67FAAA6E0FF8_.wvu.FilterData" localSheetId="55" hidden="1">Фин_договоры!$C$8:$AE$8</definedName>
    <definedName name="Z_5D121940_0CE8_4A0E_A493_67FAAA6E0FF8_.wvu.Rows" localSheetId="20" hidden="1">'01'!$1:$1</definedName>
    <definedName name="Z_5D121940_0CE8_4A0E_A493_67FAAA6E0FF8_.wvu.Rows" localSheetId="21" hidden="1">'02'!$1:$1</definedName>
    <definedName name="Z_5D121940_0CE8_4A0E_A493_67FAAA6E0FF8_.wvu.Rows" localSheetId="22" hidden="1">'03'!$1:$1</definedName>
    <definedName name="Z_5D121940_0CE8_4A0E_A493_67FAAA6E0FF8_.wvu.Rows" localSheetId="23" hidden="1">'04'!$1:$1</definedName>
    <definedName name="Z_5D121940_0CE8_4A0E_A493_67FAAA6E0FF8_.wvu.Rows" localSheetId="24" hidden="1">'05'!$1:$1</definedName>
    <definedName name="Z_5D121940_0CE8_4A0E_A493_67FAAA6E0FF8_.wvu.Rows" localSheetId="25" hidden="1">'07'!$1:$1</definedName>
    <definedName name="Z_5D121940_0CE8_4A0E_A493_67FAAA6E0FF8_.wvu.Rows" localSheetId="26" hidden="1">'07_расш'!$1:$1</definedName>
    <definedName name="Z_5D121940_0CE8_4A0E_A493_67FAAA6E0FF8_.wvu.Rows" localSheetId="27" hidden="1">'08'!$1:$1</definedName>
    <definedName name="Z_5D121940_0CE8_4A0E_A493_67FAAA6E0FF8_.wvu.Rows" localSheetId="29" hidden="1">'08_НИОКР'!$1:$1</definedName>
    <definedName name="Z_5D121940_0CE8_4A0E_A493_67FAAA6E0FF8_.wvu.Rows" localSheetId="28" hidden="1">'08_расш'!$1:$1</definedName>
    <definedName name="Z_5D121940_0CE8_4A0E_A493_67FAAA6E0FF8_.wvu.Rows" localSheetId="30" hidden="1">'09'!$1:$1</definedName>
    <definedName name="Z_5D121940_0CE8_4A0E_A493_67FAAA6E0FF8_.wvu.Rows" localSheetId="31" hidden="1">'10'!$1:$1</definedName>
    <definedName name="Z_5D121940_0CE8_4A0E_A493_67FAAA6E0FF8_.wvu.Rows" localSheetId="32" hidden="1">'10_расш'!$1:$1</definedName>
    <definedName name="Z_5D121940_0CE8_4A0E_A493_67FAAA6E0FF8_.wvu.Rows" localSheetId="33" hidden="1">'14'!$1:$1</definedName>
    <definedName name="Z_5D121940_0CE8_4A0E_A493_67FAAA6E0FF8_.wvu.Rows" localSheetId="34" hidden="1">'15'!$1:$1</definedName>
    <definedName name="Z_5D121940_0CE8_4A0E_A493_67FAAA6E0FF8_.wvu.Rows" localSheetId="35" hidden="1">'16'!$1:$1</definedName>
    <definedName name="Z_5D121940_0CE8_4A0E_A493_67FAAA6E0FF8_.wvu.Rows" localSheetId="36" hidden="1">'19'!$1:$1</definedName>
    <definedName name="Z_5D121940_0CE8_4A0E_A493_67FAAA6E0FF8_.wvu.Rows" localSheetId="40" hidden="1">'21'!$1:$1</definedName>
    <definedName name="Z_5D121940_0CE8_4A0E_A493_67FAAA6E0FF8_.wvu.Rows" localSheetId="41" hidden="1">'40'!$1:$1</definedName>
    <definedName name="Z_5D121940_0CE8_4A0E_A493_67FAAA6E0FF8_.wvu.Rows" localSheetId="42" hidden="1">'41_01'!$1:$1</definedName>
    <definedName name="Z_5D121940_0CE8_4A0E_A493_67FAAA6E0FF8_.wvu.Rows" localSheetId="43" hidden="1">'41_02'!$1:$1</definedName>
    <definedName name="Z_5D121940_0CE8_4A0E_A493_67FAAA6E0FF8_.wvu.Rows" localSheetId="44" hidden="1">'43'!$1:$1</definedName>
    <definedName name="Z_5D121940_0CE8_4A0E_A493_67FAAA6E0FF8_.wvu.Rows" localSheetId="45" hidden="1">'45'!$1:$1</definedName>
    <definedName name="Z_5D121940_0CE8_4A0E_A493_67FAAA6E0FF8_.wvu.Rows" localSheetId="48" hidden="1">'46'!$1:$1</definedName>
    <definedName name="Z_5D121940_0CE8_4A0E_A493_67FAAA6E0FF8_.wvu.Rows" localSheetId="49" hidden="1">'50'!$1:$1</definedName>
    <definedName name="Z_5D121940_0CE8_4A0E_A493_67FAAA6E0FF8_.wvu.Rows" localSheetId="54" hidden="1">'50_51_52_55_57_движ'!$1:$1</definedName>
    <definedName name="Z_5D121940_0CE8_4A0E_A493_67FAAA6E0FF8_.wvu.Rows" localSheetId="50" hidden="1">'51'!$1:$1</definedName>
    <definedName name="Z_5D121940_0CE8_4A0E_A493_67FAAA6E0FF8_.wvu.Rows" localSheetId="51" hidden="1">'52'!$1:$1</definedName>
    <definedName name="Z_5D121940_0CE8_4A0E_A493_67FAAA6E0FF8_.wvu.Rows" localSheetId="52" hidden="1">'55'!$1:$1</definedName>
    <definedName name="Z_5D121940_0CE8_4A0E_A493_67FAAA6E0FF8_.wvu.Rows" localSheetId="53" hidden="1">'57'!$1:$1</definedName>
    <definedName name="Z_5D121940_0CE8_4A0E_A493_67FAAA6E0FF8_.wvu.Rows" localSheetId="56" hidden="1">'58_01_1'!$1:$1</definedName>
    <definedName name="Z_5D121940_0CE8_4A0E_A493_67FAAA6E0FF8_.wvu.Rows" localSheetId="57" hidden="1">'58_01_2'!$1:$1</definedName>
    <definedName name="Z_5D121940_0CE8_4A0E_A493_67FAAA6E0FF8_.wvu.Rows" localSheetId="58" hidden="1">'58_02'!$1:$1</definedName>
    <definedName name="Z_5D121940_0CE8_4A0E_A493_67FAAA6E0FF8_.wvu.Rows" localSheetId="59" hidden="1">'58_02_движ'!$1:$1</definedName>
    <definedName name="Z_5D121940_0CE8_4A0E_A493_67FAAA6E0FF8_.wvu.Rows" localSheetId="60" hidden="1">'58_03_1'!$1:$1</definedName>
    <definedName name="Z_5D121940_0CE8_4A0E_A493_67FAAA6E0FF8_.wvu.Rows" localSheetId="61" hidden="1">'58_03_2'!$1:$1</definedName>
    <definedName name="Z_5D121940_0CE8_4A0E_A493_67FAAA6E0FF8_.wvu.Rows" localSheetId="62" hidden="1">'58_04'!$1:$1</definedName>
    <definedName name="Z_5D121940_0CE8_4A0E_A493_67FAAA6E0FF8_.wvu.Rows" localSheetId="63" hidden="1">'59_01'!$1:$1</definedName>
    <definedName name="Z_5D121940_0CE8_4A0E_A493_67FAAA6E0FF8_.wvu.Rows" localSheetId="64" hidden="1">'59_02'!$1:$1</definedName>
    <definedName name="Z_5D121940_0CE8_4A0E_A493_67FAAA6E0FF8_.wvu.Rows" localSheetId="65" hidden="1">'59_03'!$1:$1</definedName>
    <definedName name="Z_5D121940_0CE8_4A0E_A493_67FAAA6E0FF8_.wvu.Rows" localSheetId="73" hidden="1">'60,62,63,76_контр'!$1:$1</definedName>
    <definedName name="Z_5D121940_0CE8_4A0E_A493_67FAAA6E0FF8_.wvu.Rows" localSheetId="68" hidden="1">'60_01'!$1:$1</definedName>
    <definedName name="Z_5D121940_0CE8_4A0E_A493_67FAAA6E0FF8_.wvu.Rows" localSheetId="69" hidden="1">'60_02'!$1:$1</definedName>
    <definedName name="Z_5D121940_0CE8_4A0E_A493_67FAAA6E0FF8_.wvu.Rows" localSheetId="70" hidden="1">'62_01'!$1:$1</definedName>
    <definedName name="Z_5D121940_0CE8_4A0E_A493_67FAAA6E0FF8_.wvu.Rows" localSheetId="71" hidden="1">'62_02'!$1:$1</definedName>
    <definedName name="Z_5D121940_0CE8_4A0E_A493_67FAAA6E0FF8_.wvu.Rows" localSheetId="74" hidden="1">'66'!$1:$1</definedName>
    <definedName name="Z_5D121940_0CE8_4A0E_A493_67FAAA6E0FF8_.wvu.Rows" localSheetId="75" hidden="1">'67'!$1:$1</definedName>
    <definedName name="Z_5D121940_0CE8_4A0E_A493_67FAAA6E0FF8_.wvu.Rows" localSheetId="76" hidden="1">'68'!$1:$1</definedName>
    <definedName name="Z_5D121940_0CE8_4A0E_A493_67FAAA6E0FF8_.wvu.Rows" localSheetId="81" hidden="1">'69'!$1:$1</definedName>
    <definedName name="Z_5D121940_0CE8_4A0E_A493_67FAAA6E0FF8_.wvu.Rows" localSheetId="82" hidden="1">'73'!$1:$1</definedName>
    <definedName name="Z_5D121940_0CE8_4A0E_A493_67FAAA6E0FF8_.wvu.Rows" localSheetId="83" hidden="1">'75_01'!$1:$1</definedName>
    <definedName name="Z_5D121940_0CE8_4A0E_A493_67FAAA6E0FF8_.wvu.Rows" localSheetId="84" hidden="1">'75_01_Неденеж'!$1:$1</definedName>
    <definedName name="Z_5D121940_0CE8_4A0E_A493_67FAAA6E0FF8_.wvu.Rows" localSheetId="85" hidden="1">'75_02'!$1:$1</definedName>
    <definedName name="Z_5D121940_0CE8_4A0E_A493_67FAAA6E0FF8_.wvu.Rows" localSheetId="86" hidden="1">'76'!$1:$1</definedName>
    <definedName name="Z_5D121940_0CE8_4A0E_A493_67FAAA6E0FF8_.wvu.Rows" localSheetId="87" hidden="1">'76_01_%'!$1:$1</definedName>
    <definedName name="Z_5D121940_0CE8_4A0E_A493_67FAAA6E0FF8_.wvu.Rows" localSheetId="88" hidden="1">'77'!$1:$1</definedName>
    <definedName name="Z_5D121940_0CE8_4A0E_A493_67FAAA6E0FF8_.wvu.Rows" localSheetId="89" hidden="1">'78'!$1:$1</definedName>
    <definedName name="Z_5D121940_0CE8_4A0E_A493_67FAAA6E0FF8_.wvu.Rows" localSheetId="90" hidden="1">'80'!$1:$1</definedName>
    <definedName name="Z_5D121940_0CE8_4A0E_A493_67FAAA6E0FF8_.wvu.Rows" localSheetId="91" hidden="1">'83'!$1:$1</definedName>
    <definedName name="Z_5D121940_0CE8_4A0E_A493_67FAAA6E0FF8_.wvu.Rows" localSheetId="92" hidden="1">'83_расш'!$1:$1</definedName>
    <definedName name="Z_5D121940_0CE8_4A0E_A493_67FAAA6E0FF8_.wvu.Rows" localSheetId="93" hidden="1">'84'!$1:$1</definedName>
    <definedName name="Z_5D121940_0CE8_4A0E_A493_67FAAA6E0FF8_.wvu.Rows" localSheetId="94" hidden="1">'84_расш'!$1:$1</definedName>
    <definedName name="Z_5D121940_0CE8_4A0E_A493_67FAAA6E0FF8_.wvu.Rows" localSheetId="95" hidden="1">'86'!$1:$1</definedName>
    <definedName name="Z_5D121940_0CE8_4A0E_A493_67FAAA6E0FF8_.wvu.Rows" localSheetId="96" hidden="1">'90'!$1:$1</definedName>
    <definedName name="Z_5D121940_0CE8_4A0E_A493_67FAAA6E0FF8_.wvu.Rows" localSheetId="98" hidden="1">'90_контр'!$1:$1</definedName>
    <definedName name="Z_5D121940_0CE8_4A0E_A493_67FAAA6E0FF8_.wvu.Rows" localSheetId="97" hidden="1">'90_ОРВГ'!$1:$1</definedName>
    <definedName name="Z_5D121940_0CE8_4A0E_A493_67FAAA6E0FF8_.wvu.Rows" localSheetId="99" hidden="1">'91_01'!$1:$1,'91_01'!$13:$28</definedName>
    <definedName name="Z_5D121940_0CE8_4A0E_A493_67FAAA6E0FF8_.wvu.Rows" localSheetId="100" hidden="1">'91_01_ВГО'!$1:$1,'91_01_ВГО'!$12:$27</definedName>
    <definedName name="Z_5D121940_0CE8_4A0E_A493_67FAAA6E0FF8_.wvu.Rows" localSheetId="101" hidden="1">'91_02'!$1:$1,'91_02'!$9:$40</definedName>
    <definedName name="Z_5D121940_0CE8_4A0E_A493_67FAAA6E0FF8_.wvu.Rows" localSheetId="102" hidden="1">'91_02_ВГО'!$1:$1,'91_02_ВГО'!$7:$7,'91_02_ВГО'!$9:$30</definedName>
    <definedName name="Z_5D121940_0CE8_4A0E_A493_67FAAA6E0FF8_.wvu.Rows" localSheetId="105" hidden="1">'96'!$1:$1</definedName>
    <definedName name="Z_5D121940_0CE8_4A0E_A493_67FAAA6E0FF8_.wvu.Rows" localSheetId="106" hidden="1">'96_движ'!$1:$1</definedName>
    <definedName name="Z_5D121940_0CE8_4A0E_A493_67FAAA6E0FF8_.wvu.Rows" localSheetId="107" hidden="1">'97'!$1:$1</definedName>
    <definedName name="Z_5D121940_0CE8_4A0E_A493_67FAAA6E0FF8_.wvu.Rows" localSheetId="108" hidden="1">'98_01'!$1:$1</definedName>
    <definedName name="Z_5D121940_0CE8_4A0E_A493_67FAAA6E0FF8_.wvu.Rows" localSheetId="109" hidden="1">'98_02'!$1:$1</definedName>
    <definedName name="Z_5D121940_0CE8_4A0E_A493_67FAAA6E0FF8_.wvu.Rows" localSheetId="110" hidden="1">'98_04'!$1:$1</definedName>
    <definedName name="Z_5D121940_0CE8_4A0E_A493_67FAAA6E0FF8_.wvu.Rows" localSheetId="111" hidden="1">'99'!$1:$1</definedName>
    <definedName name="Z_5D121940_0CE8_4A0E_A493_67FAAA6E0FF8_.wvu.Rows" localSheetId="13" hidden="1">Баланс!$1:$1</definedName>
    <definedName name="Z_5D121940_0CE8_4A0E_A493_67FAAA6E0FF8_.wvu.Rows" localSheetId="15" hidden="1">ДДС!$1:$1</definedName>
    <definedName name="Z_5D121940_0CE8_4A0E_A493_67FAAA6E0FF8_.wvu.Rows" localSheetId="16" hidden="1">ДДС_приложение!$1:$1</definedName>
    <definedName name="Z_5D121940_0CE8_4A0E_A493_67FAAA6E0FF8_.wvu.Rows" localSheetId="47" hidden="1">Долгосроч_договоры!$1:$1</definedName>
    <definedName name="Z_5D121940_0CE8_4A0E_A493_67FAAA6E0FF8_.wvu.Rows" localSheetId="67" hidden="1">ДП_выданные!$1:$1</definedName>
    <definedName name="Z_5D121940_0CE8_4A0E_A493_67FAAA6E0FF8_.wvu.Rows" localSheetId="66" hidden="1">ДП_полученные!$1:$1</definedName>
    <definedName name="Z_5D121940_0CE8_4A0E_A493_67FAAA6E0FF8_.wvu.Rows" localSheetId="112" hidden="1">Зарубежная_выручка!$1:$1</definedName>
    <definedName name="Z_5D121940_0CE8_4A0E_A493_67FAAA6E0FF8_.wvu.Rows" localSheetId="37" hidden="1">Затраты_Вход_1!$1:$1</definedName>
    <definedName name="Z_5D121940_0CE8_4A0E_A493_67FAAA6E0FF8_.wvu.Rows" localSheetId="38" hidden="1">Затраты_Вход_2!$1:$1</definedName>
    <definedName name="Z_5D121940_0CE8_4A0E_A493_67FAAA6E0FF8_.wvu.Rows" localSheetId="39" hidden="1">Затраты_Выход!$1:$1</definedName>
    <definedName name="Z_5D121940_0CE8_4A0E_A493_67FAAA6E0FF8_.wvu.Rows" localSheetId="77" hidden="1">Налог_на_прибыль!$1:$1</definedName>
    <definedName name="Z_5D121940_0CE8_4A0E_A493_67FAAA6E0FF8_.wvu.Rows" localSheetId="78" hidden="1">Налог_пров!$1:$1</definedName>
    <definedName name="Z_5D121940_0CE8_4A0E_A493_67FAAA6E0FF8_.wvu.Rows" localSheetId="79" hidden="1">Налоговые_льготы_имущество!$1:$1</definedName>
    <definedName name="Z_5D121940_0CE8_4A0E_A493_67FAAA6E0FF8_.wvu.Rows" localSheetId="80" hidden="1">Налоговые_льготы_прочие!$1:$1</definedName>
    <definedName name="Z_5D121940_0CE8_4A0E_A493_67FAAA6E0FF8_.wvu.Rows" localSheetId="46" hidden="1">НЗП_ГП!$1:$1</definedName>
    <definedName name="Z_5D121940_0CE8_4A0E_A493_67FAAA6E0FF8_.wvu.Rows" localSheetId="72" hidden="1">ОКХ!$1:$1</definedName>
    <definedName name="Z_5D121940_0CE8_4A0E_A493_67FAAA6E0FF8_.wvu.Rows" localSheetId="17" hidden="1">ОСВ_авт!$1:$1</definedName>
    <definedName name="Z_5D121940_0CE8_4A0E_A493_67FAAA6E0FF8_.wvu.Rows" localSheetId="104" hidden="1">ОСС!$1:$1</definedName>
    <definedName name="Z_5D121940_0CE8_4A0E_A493_67FAAA6E0FF8_.wvu.Rows" localSheetId="103" hidden="1">Прочие_расш!$1:$1,Прочие_расш!#REF!</definedName>
    <definedName name="Z_5D121940_0CE8_4A0E_A493_67FAAA6E0FF8_.wvu.Rows" localSheetId="19" hidden="1">Свод_по_счетам!$1:$1,Свод_по_счетам!$4:$5</definedName>
    <definedName name="Z_5D121940_0CE8_4A0E_A493_67FAAA6E0FF8_.wvu.Rows" localSheetId="55" hidden="1">Фин_договоры!$1:$1</definedName>
    <definedName name="Z_6A2B1A46_F5B9_4112_B893_613F82577BA3_.wvu.FilterData" localSheetId="111" hidden="1">'99'!$C$8:$Q$8</definedName>
    <definedName name="Z_923C497B_B3DD_4D51_A12E_F283EA54CD9C_.wvu.FilterData" localSheetId="7" hidden="1">Проверки!$B$7:$G$310</definedName>
    <definedName name="Z_C913A9E8_661B_40A4_A3C9_1BC5F2B2E9F0_.wvu.Cols" localSheetId="20" hidden="1">'01'!$A:$A</definedName>
    <definedName name="Z_C913A9E8_661B_40A4_A3C9_1BC5F2B2E9F0_.wvu.Cols" localSheetId="21" hidden="1">'02'!$A:$A</definedName>
    <definedName name="Z_C913A9E8_661B_40A4_A3C9_1BC5F2B2E9F0_.wvu.Cols" localSheetId="22" hidden="1">'03'!$A:$A</definedName>
    <definedName name="Z_C913A9E8_661B_40A4_A3C9_1BC5F2B2E9F0_.wvu.Cols" localSheetId="23" hidden="1">'04'!$A:$A</definedName>
    <definedName name="Z_C913A9E8_661B_40A4_A3C9_1BC5F2B2E9F0_.wvu.Cols" localSheetId="24" hidden="1">'05'!$A:$A</definedName>
    <definedName name="Z_C913A9E8_661B_40A4_A3C9_1BC5F2B2E9F0_.wvu.Cols" localSheetId="25" hidden="1">'07'!$A:$A</definedName>
    <definedName name="Z_C913A9E8_661B_40A4_A3C9_1BC5F2B2E9F0_.wvu.Cols" localSheetId="26" hidden="1">'07_расш'!$A:$A</definedName>
    <definedName name="Z_C913A9E8_661B_40A4_A3C9_1BC5F2B2E9F0_.wvu.Cols" localSheetId="27" hidden="1">'08'!$A:$A</definedName>
    <definedName name="Z_C913A9E8_661B_40A4_A3C9_1BC5F2B2E9F0_.wvu.Cols" localSheetId="29" hidden="1">'08_НИОКР'!$A:$A</definedName>
    <definedName name="Z_C913A9E8_661B_40A4_A3C9_1BC5F2B2E9F0_.wvu.Cols" localSheetId="28" hidden="1">'08_расш'!$A:$A</definedName>
    <definedName name="Z_C913A9E8_661B_40A4_A3C9_1BC5F2B2E9F0_.wvu.Cols" localSheetId="30" hidden="1">'09'!$A:$A</definedName>
    <definedName name="Z_C913A9E8_661B_40A4_A3C9_1BC5F2B2E9F0_.wvu.Cols" localSheetId="31" hidden="1">'10'!$A:$A</definedName>
    <definedName name="Z_C913A9E8_661B_40A4_A3C9_1BC5F2B2E9F0_.wvu.Cols" localSheetId="32" hidden="1">'10_расш'!$A:$A</definedName>
    <definedName name="Z_C913A9E8_661B_40A4_A3C9_1BC5F2B2E9F0_.wvu.Cols" localSheetId="33" hidden="1">'14'!$A:$A</definedName>
    <definedName name="Z_C913A9E8_661B_40A4_A3C9_1BC5F2B2E9F0_.wvu.Cols" localSheetId="34" hidden="1">'15'!$A:$A</definedName>
    <definedName name="Z_C913A9E8_661B_40A4_A3C9_1BC5F2B2E9F0_.wvu.Cols" localSheetId="35" hidden="1">'16'!$A:$A</definedName>
    <definedName name="Z_C913A9E8_661B_40A4_A3C9_1BC5F2B2E9F0_.wvu.Cols" localSheetId="36" hidden="1">'19'!$A:$A</definedName>
    <definedName name="Z_C913A9E8_661B_40A4_A3C9_1BC5F2B2E9F0_.wvu.Cols" localSheetId="40" hidden="1">'21'!$A:$A</definedName>
    <definedName name="Z_C913A9E8_661B_40A4_A3C9_1BC5F2B2E9F0_.wvu.Cols" localSheetId="41" hidden="1">'40'!$A:$A</definedName>
    <definedName name="Z_C913A9E8_661B_40A4_A3C9_1BC5F2B2E9F0_.wvu.Cols" localSheetId="42" hidden="1">'41_01'!$A:$A,'41_01'!#REF!</definedName>
    <definedName name="Z_C913A9E8_661B_40A4_A3C9_1BC5F2B2E9F0_.wvu.Cols" localSheetId="43" hidden="1">'41_02'!$A:$A,'41_02'!#REF!</definedName>
    <definedName name="Z_C913A9E8_661B_40A4_A3C9_1BC5F2B2E9F0_.wvu.Cols" localSheetId="44" hidden="1">'43'!$A:$A,'43'!#REF!</definedName>
    <definedName name="Z_C913A9E8_661B_40A4_A3C9_1BC5F2B2E9F0_.wvu.Cols" localSheetId="45" hidden="1">'45'!$A:$A</definedName>
    <definedName name="Z_C913A9E8_661B_40A4_A3C9_1BC5F2B2E9F0_.wvu.Cols" localSheetId="48" hidden="1">'46'!$A:$A</definedName>
    <definedName name="Z_C913A9E8_661B_40A4_A3C9_1BC5F2B2E9F0_.wvu.Cols" localSheetId="49" hidden="1">'50'!$A:$A</definedName>
    <definedName name="Z_C913A9E8_661B_40A4_A3C9_1BC5F2B2E9F0_.wvu.Cols" localSheetId="54" hidden="1">'50_51_52_55_57_движ'!$A:$A</definedName>
    <definedName name="Z_C913A9E8_661B_40A4_A3C9_1BC5F2B2E9F0_.wvu.Cols" localSheetId="50" hidden="1">'51'!$A:$A</definedName>
    <definedName name="Z_C913A9E8_661B_40A4_A3C9_1BC5F2B2E9F0_.wvu.Cols" localSheetId="51" hidden="1">'52'!$A:$A</definedName>
    <definedName name="Z_C913A9E8_661B_40A4_A3C9_1BC5F2B2E9F0_.wvu.Cols" localSheetId="52" hidden="1">'55'!$A:$A</definedName>
    <definedName name="Z_C913A9E8_661B_40A4_A3C9_1BC5F2B2E9F0_.wvu.Cols" localSheetId="53" hidden="1">'57'!$A:$A</definedName>
    <definedName name="Z_C913A9E8_661B_40A4_A3C9_1BC5F2B2E9F0_.wvu.Cols" localSheetId="56" hidden="1">'58_01_1'!$A:$A</definedName>
    <definedName name="Z_C913A9E8_661B_40A4_A3C9_1BC5F2B2E9F0_.wvu.Cols" localSheetId="57" hidden="1">'58_01_2'!$A:$A</definedName>
    <definedName name="Z_C913A9E8_661B_40A4_A3C9_1BC5F2B2E9F0_.wvu.Cols" localSheetId="58" hidden="1">'58_02'!$A:$A</definedName>
    <definedName name="Z_C913A9E8_661B_40A4_A3C9_1BC5F2B2E9F0_.wvu.Cols" localSheetId="59" hidden="1">'58_02_движ'!$A:$A</definedName>
    <definedName name="Z_C913A9E8_661B_40A4_A3C9_1BC5F2B2E9F0_.wvu.Cols" localSheetId="60" hidden="1">'58_03_1'!$A:$A</definedName>
    <definedName name="Z_C913A9E8_661B_40A4_A3C9_1BC5F2B2E9F0_.wvu.Cols" localSheetId="61" hidden="1">'58_03_2'!$A:$A</definedName>
    <definedName name="Z_C913A9E8_661B_40A4_A3C9_1BC5F2B2E9F0_.wvu.Cols" localSheetId="62" hidden="1">'58_04'!$A:$A</definedName>
    <definedName name="Z_C913A9E8_661B_40A4_A3C9_1BC5F2B2E9F0_.wvu.Cols" localSheetId="63" hidden="1">'59_01'!$A:$A</definedName>
    <definedName name="Z_C913A9E8_661B_40A4_A3C9_1BC5F2B2E9F0_.wvu.Cols" localSheetId="64" hidden="1">'59_02'!$A:$A</definedName>
    <definedName name="Z_C913A9E8_661B_40A4_A3C9_1BC5F2B2E9F0_.wvu.Cols" localSheetId="65" hidden="1">'59_03'!$A:$A</definedName>
    <definedName name="Z_C913A9E8_661B_40A4_A3C9_1BC5F2B2E9F0_.wvu.Cols" localSheetId="73" hidden="1">'60,62,63,76_контр'!$A:$A</definedName>
    <definedName name="Z_C913A9E8_661B_40A4_A3C9_1BC5F2B2E9F0_.wvu.Cols" localSheetId="68" hidden="1">'60_01'!$A:$A</definedName>
    <definedName name="Z_C913A9E8_661B_40A4_A3C9_1BC5F2B2E9F0_.wvu.Cols" localSheetId="69" hidden="1">'60_02'!$A:$A</definedName>
    <definedName name="Z_C913A9E8_661B_40A4_A3C9_1BC5F2B2E9F0_.wvu.Cols" localSheetId="70" hidden="1">'62_01'!$A:$A</definedName>
    <definedName name="Z_C913A9E8_661B_40A4_A3C9_1BC5F2B2E9F0_.wvu.Cols" localSheetId="71" hidden="1">'62_02'!$A:$A</definedName>
    <definedName name="Z_C913A9E8_661B_40A4_A3C9_1BC5F2B2E9F0_.wvu.Cols" localSheetId="74" hidden="1">'66'!$A:$A</definedName>
    <definedName name="Z_C913A9E8_661B_40A4_A3C9_1BC5F2B2E9F0_.wvu.Cols" localSheetId="75" hidden="1">'67'!$A:$A</definedName>
    <definedName name="Z_C913A9E8_661B_40A4_A3C9_1BC5F2B2E9F0_.wvu.Cols" localSheetId="76" hidden="1">'68'!$A:$A</definedName>
    <definedName name="Z_C913A9E8_661B_40A4_A3C9_1BC5F2B2E9F0_.wvu.Cols" localSheetId="81" hidden="1">'69'!$A:$A</definedName>
    <definedName name="Z_C913A9E8_661B_40A4_A3C9_1BC5F2B2E9F0_.wvu.Cols" localSheetId="82" hidden="1">'73'!$A:$A</definedName>
    <definedName name="Z_C913A9E8_661B_40A4_A3C9_1BC5F2B2E9F0_.wvu.Cols" localSheetId="83" hidden="1">'75_01'!$A:$A</definedName>
    <definedName name="Z_C913A9E8_661B_40A4_A3C9_1BC5F2B2E9F0_.wvu.Cols" localSheetId="84" hidden="1">'75_01_Неденеж'!$A:$A</definedName>
    <definedName name="Z_C913A9E8_661B_40A4_A3C9_1BC5F2B2E9F0_.wvu.Cols" localSheetId="85" hidden="1">'75_02'!$A:$A</definedName>
    <definedName name="Z_C913A9E8_661B_40A4_A3C9_1BC5F2B2E9F0_.wvu.Cols" localSheetId="86" hidden="1">'76'!$A:$A</definedName>
    <definedName name="Z_C913A9E8_661B_40A4_A3C9_1BC5F2B2E9F0_.wvu.Cols" localSheetId="87" hidden="1">'76_01_%'!$A:$A</definedName>
    <definedName name="Z_C913A9E8_661B_40A4_A3C9_1BC5F2B2E9F0_.wvu.Cols" localSheetId="88" hidden="1">'77'!$A:$A</definedName>
    <definedName name="Z_C913A9E8_661B_40A4_A3C9_1BC5F2B2E9F0_.wvu.Cols" localSheetId="89" hidden="1">'78'!$A:$A</definedName>
    <definedName name="Z_C913A9E8_661B_40A4_A3C9_1BC5F2B2E9F0_.wvu.Cols" localSheetId="90" hidden="1">'80'!$A:$A</definedName>
    <definedName name="Z_C913A9E8_661B_40A4_A3C9_1BC5F2B2E9F0_.wvu.Cols" localSheetId="91" hidden="1">'83'!$A:$A</definedName>
    <definedName name="Z_C913A9E8_661B_40A4_A3C9_1BC5F2B2E9F0_.wvu.Cols" localSheetId="92" hidden="1">'83_расш'!$A:$A</definedName>
    <definedName name="Z_C913A9E8_661B_40A4_A3C9_1BC5F2B2E9F0_.wvu.Cols" localSheetId="93" hidden="1">'84'!$A:$A</definedName>
    <definedName name="Z_C913A9E8_661B_40A4_A3C9_1BC5F2B2E9F0_.wvu.Cols" localSheetId="94" hidden="1">'84_расш'!$A:$A</definedName>
    <definedName name="Z_C913A9E8_661B_40A4_A3C9_1BC5F2B2E9F0_.wvu.Cols" localSheetId="95" hidden="1">'86'!$A:$A</definedName>
    <definedName name="Z_C913A9E8_661B_40A4_A3C9_1BC5F2B2E9F0_.wvu.Cols" localSheetId="96" hidden="1">'90'!$A:$A</definedName>
    <definedName name="Z_C913A9E8_661B_40A4_A3C9_1BC5F2B2E9F0_.wvu.Cols" localSheetId="98" hidden="1">'90_контр'!$A:$A</definedName>
    <definedName name="Z_C913A9E8_661B_40A4_A3C9_1BC5F2B2E9F0_.wvu.Cols" localSheetId="97" hidden="1">'90_ОРВГ'!$A:$A</definedName>
    <definedName name="Z_C913A9E8_661B_40A4_A3C9_1BC5F2B2E9F0_.wvu.Cols" localSheetId="99" hidden="1">'91_01'!$A:$A</definedName>
    <definedName name="Z_C913A9E8_661B_40A4_A3C9_1BC5F2B2E9F0_.wvu.Cols" localSheetId="100" hidden="1">'91_01_ВГО'!$A:$A</definedName>
    <definedName name="Z_C913A9E8_661B_40A4_A3C9_1BC5F2B2E9F0_.wvu.Cols" localSheetId="101" hidden="1">'91_02'!$A:$A</definedName>
    <definedName name="Z_C913A9E8_661B_40A4_A3C9_1BC5F2B2E9F0_.wvu.Cols" localSheetId="102" hidden="1">'91_02_ВГО'!$A:$A</definedName>
    <definedName name="Z_C913A9E8_661B_40A4_A3C9_1BC5F2B2E9F0_.wvu.Cols" localSheetId="105" hidden="1">'96'!$A:$A</definedName>
    <definedName name="Z_C913A9E8_661B_40A4_A3C9_1BC5F2B2E9F0_.wvu.Cols" localSheetId="106" hidden="1">'96_движ'!$A:$A</definedName>
    <definedName name="Z_C913A9E8_661B_40A4_A3C9_1BC5F2B2E9F0_.wvu.Cols" localSheetId="107" hidden="1">'97'!$A:$A</definedName>
    <definedName name="Z_C913A9E8_661B_40A4_A3C9_1BC5F2B2E9F0_.wvu.Cols" localSheetId="108" hidden="1">'98_01'!$A:$A</definedName>
    <definedName name="Z_C913A9E8_661B_40A4_A3C9_1BC5F2B2E9F0_.wvu.Cols" localSheetId="109" hidden="1">'98_02'!$A:$A</definedName>
    <definedName name="Z_C913A9E8_661B_40A4_A3C9_1BC5F2B2E9F0_.wvu.Cols" localSheetId="110" hidden="1">'98_04'!$A:$A</definedName>
    <definedName name="Z_C913A9E8_661B_40A4_A3C9_1BC5F2B2E9F0_.wvu.Cols" localSheetId="111" hidden="1">'99'!$A:$A</definedName>
    <definedName name="Z_C913A9E8_661B_40A4_A3C9_1BC5F2B2E9F0_.wvu.Cols" localSheetId="13" hidden="1">Баланс!$A:$A</definedName>
    <definedName name="Z_C913A9E8_661B_40A4_A3C9_1BC5F2B2E9F0_.wvu.Cols" localSheetId="15" hidden="1">ДДС!$A:$A</definedName>
    <definedName name="Z_C913A9E8_661B_40A4_A3C9_1BC5F2B2E9F0_.wvu.Cols" localSheetId="16" hidden="1">ДДС_приложение!$A:$A</definedName>
    <definedName name="Z_C913A9E8_661B_40A4_A3C9_1BC5F2B2E9F0_.wvu.Cols" localSheetId="47" hidden="1">Долгосроч_договоры!$A:$A</definedName>
    <definedName name="Z_C913A9E8_661B_40A4_A3C9_1BC5F2B2E9F0_.wvu.Cols" localSheetId="67" hidden="1">ДП_выданные!$A:$A</definedName>
    <definedName name="Z_C913A9E8_661B_40A4_A3C9_1BC5F2B2E9F0_.wvu.Cols" localSheetId="66" hidden="1">ДП_полученные!$A:$A</definedName>
    <definedName name="Z_C913A9E8_661B_40A4_A3C9_1BC5F2B2E9F0_.wvu.Cols" localSheetId="112" hidden="1">Зарубежная_выручка!$A:$A</definedName>
    <definedName name="Z_C913A9E8_661B_40A4_A3C9_1BC5F2B2E9F0_.wvu.Cols" localSheetId="37" hidden="1">Затраты_Вход_1!$A:$A</definedName>
    <definedName name="Z_C913A9E8_661B_40A4_A3C9_1BC5F2B2E9F0_.wvu.Cols" localSheetId="38" hidden="1">Затраты_Вход_2!$A:$A</definedName>
    <definedName name="Z_C913A9E8_661B_40A4_A3C9_1BC5F2B2E9F0_.wvu.Cols" localSheetId="39" hidden="1">Затраты_Выход!$A:$A</definedName>
    <definedName name="Z_C913A9E8_661B_40A4_A3C9_1BC5F2B2E9F0_.wvu.Cols" localSheetId="77" hidden="1">Налог_на_прибыль!$A:$A</definedName>
    <definedName name="Z_C913A9E8_661B_40A4_A3C9_1BC5F2B2E9F0_.wvu.Cols" localSheetId="78" hidden="1">Налог_пров!$A:$A</definedName>
    <definedName name="Z_C913A9E8_661B_40A4_A3C9_1BC5F2B2E9F0_.wvu.Cols" localSheetId="79" hidden="1">Налоговые_льготы_имущество!$A:$A</definedName>
    <definedName name="Z_C913A9E8_661B_40A4_A3C9_1BC5F2B2E9F0_.wvu.Cols" localSheetId="80" hidden="1">Налоговые_льготы_прочие!$A:$A</definedName>
    <definedName name="Z_C913A9E8_661B_40A4_A3C9_1BC5F2B2E9F0_.wvu.Cols" localSheetId="46" hidden="1">НЗП_ГП!$A:$A</definedName>
    <definedName name="Z_C913A9E8_661B_40A4_A3C9_1BC5F2B2E9F0_.wvu.Cols" localSheetId="72" hidden="1">ОКХ!$A:$A</definedName>
    <definedName name="Z_C913A9E8_661B_40A4_A3C9_1BC5F2B2E9F0_.wvu.Cols" localSheetId="17" hidden="1">ОСВ_авт!$A:$A</definedName>
    <definedName name="Z_C913A9E8_661B_40A4_A3C9_1BC5F2B2E9F0_.wvu.Cols" localSheetId="18" hidden="1">ОСВ_система!$A:$A</definedName>
    <definedName name="Z_C913A9E8_661B_40A4_A3C9_1BC5F2B2E9F0_.wvu.Cols" localSheetId="104" hidden="1">ОСС!$A:$A</definedName>
    <definedName name="Z_C913A9E8_661B_40A4_A3C9_1BC5F2B2E9F0_.wvu.Cols" localSheetId="14" hidden="1">ОФР!$A:$A</definedName>
    <definedName name="Z_C913A9E8_661B_40A4_A3C9_1BC5F2B2E9F0_.wvu.Cols" localSheetId="4" hidden="1">Параметры_загрузки!$F:$IV</definedName>
    <definedName name="Z_C913A9E8_661B_40A4_A3C9_1BC5F2B2E9F0_.wvu.Cols" localSheetId="103" hidden="1">Прочие_расш!$A:$A</definedName>
    <definedName name="Z_C913A9E8_661B_40A4_A3C9_1BC5F2B2E9F0_.wvu.Cols" localSheetId="19" hidden="1">Свод_по_счетам!$A:$A</definedName>
    <definedName name="Z_C913A9E8_661B_40A4_A3C9_1BC5F2B2E9F0_.wvu.Cols" localSheetId="55" hidden="1">Фин_договоры!$A:$A</definedName>
    <definedName name="Z_C913A9E8_661B_40A4_A3C9_1BC5F2B2E9F0_.wvu.FilterData" localSheetId="20" hidden="1">'01'!$A$7:$V$7</definedName>
    <definedName name="Z_C913A9E8_661B_40A4_A3C9_1BC5F2B2E9F0_.wvu.FilterData" localSheetId="21" hidden="1">'02'!$C$7:$U$7</definedName>
    <definedName name="Z_C913A9E8_661B_40A4_A3C9_1BC5F2B2E9F0_.wvu.FilterData" localSheetId="22" hidden="1">'03'!$A$8:$U$8</definedName>
    <definedName name="Z_C913A9E8_661B_40A4_A3C9_1BC5F2B2E9F0_.wvu.FilterData" localSheetId="23" hidden="1">'04'!$C$8:$R$8</definedName>
    <definedName name="Z_C913A9E8_661B_40A4_A3C9_1BC5F2B2E9F0_.wvu.FilterData" localSheetId="24" hidden="1">'05'!$C$7:$O$7</definedName>
    <definedName name="Z_C913A9E8_661B_40A4_A3C9_1BC5F2B2E9F0_.wvu.FilterData" localSheetId="25" hidden="1">'07'!$A$8:$S$8</definedName>
    <definedName name="Z_C913A9E8_661B_40A4_A3C9_1BC5F2B2E9F0_.wvu.FilterData" localSheetId="26" hidden="1">'07_расш'!$A$6:$G$6</definedName>
    <definedName name="Z_C913A9E8_661B_40A4_A3C9_1BC5F2B2E9F0_.wvu.FilterData" localSheetId="27" hidden="1">'08'!$A$7:$Z$7</definedName>
    <definedName name="Z_C913A9E8_661B_40A4_A3C9_1BC5F2B2E9F0_.wvu.FilterData" localSheetId="29" hidden="1">'08_НИОКР'!$A$7:$G$7</definedName>
    <definedName name="Z_C913A9E8_661B_40A4_A3C9_1BC5F2B2E9F0_.wvu.FilterData" localSheetId="28" hidden="1">'08_расш'!$C$7:$F$7</definedName>
    <definedName name="Z_C913A9E8_661B_40A4_A3C9_1BC5F2B2E9F0_.wvu.FilterData" localSheetId="30" hidden="1">'09'!$A$7:$L$7</definedName>
    <definedName name="Z_C913A9E8_661B_40A4_A3C9_1BC5F2B2E9F0_.wvu.FilterData" localSheetId="31" hidden="1">'10'!$C$8:$W$8</definedName>
    <definedName name="Z_C913A9E8_661B_40A4_A3C9_1BC5F2B2E9F0_.wvu.FilterData" localSheetId="33" hidden="1">'14'!$A$6:$K$6</definedName>
    <definedName name="Z_C913A9E8_661B_40A4_A3C9_1BC5F2B2E9F0_.wvu.FilterData" localSheetId="34" hidden="1">'15'!$A$7:$P$7</definedName>
    <definedName name="Z_C913A9E8_661B_40A4_A3C9_1BC5F2B2E9F0_.wvu.FilterData" localSheetId="35" hidden="1">'16'!$A$7:$N$7</definedName>
    <definedName name="Z_C913A9E8_661B_40A4_A3C9_1BC5F2B2E9F0_.wvu.FilterData" localSheetId="36" hidden="1">'19'!$A$7:$R$7</definedName>
    <definedName name="Z_C913A9E8_661B_40A4_A3C9_1BC5F2B2E9F0_.wvu.FilterData" localSheetId="40" hidden="1">'21'!$C$9:$N$9</definedName>
    <definedName name="Z_C913A9E8_661B_40A4_A3C9_1BC5F2B2E9F0_.wvu.FilterData" localSheetId="41" hidden="1">'40'!$C$8:$J$8</definedName>
    <definedName name="Z_C913A9E8_661B_40A4_A3C9_1BC5F2B2E9F0_.wvu.FilterData" localSheetId="42" hidden="1">'41_01'!$C$9:$V$9</definedName>
    <definedName name="Z_C913A9E8_661B_40A4_A3C9_1BC5F2B2E9F0_.wvu.FilterData" localSheetId="43" hidden="1">'41_02'!$A$12:$O$12</definedName>
    <definedName name="Z_C913A9E8_661B_40A4_A3C9_1BC5F2B2E9F0_.wvu.FilterData" localSheetId="44" hidden="1">'43'!$C$7:$N$7</definedName>
    <definedName name="Z_C913A9E8_661B_40A4_A3C9_1BC5F2B2E9F0_.wvu.FilterData" localSheetId="45" hidden="1">'45'!$A$7:$S$7</definedName>
    <definedName name="Z_C913A9E8_661B_40A4_A3C9_1BC5F2B2E9F0_.wvu.FilterData" localSheetId="48" hidden="1">'46'!$C$8:$AG$8</definedName>
    <definedName name="Z_C913A9E8_661B_40A4_A3C9_1BC5F2B2E9F0_.wvu.FilterData" localSheetId="49" hidden="1">'50'!$C$6:$F$6</definedName>
    <definedName name="Z_C913A9E8_661B_40A4_A3C9_1BC5F2B2E9F0_.wvu.FilterData" localSheetId="54" hidden="1">'50_51_52_55_57_движ'!$A$7:$K$10</definedName>
    <definedName name="Z_C913A9E8_661B_40A4_A3C9_1BC5F2B2E9F0_.wvu.FilterData" localSheetId="50" hidden="1">'51'!$C$6:$G$6</definedName>
    <definedName name="Z_C913A9E8_661B_40A4_A3C9_1BC5F2B2E9F0_.wvu.FilterData" localSheetId="51" hidden="1">'52'!$C$6:$H$6</definedName>
    <definedName name="Z_C913A9E8_661B_40A4_A3C9_1BC5F2B2E9F0_.wvu.FilterData" localSheetId="52" hidden="1">'55'!$C$6:$I$6</definedName>
    <definedName name="Z_C913A9E8_661B_40A4_A3C9_1BC5F2B2E9F0_.wvu.FilterData" localSheetId="53" hidden="1">'57'!$C$6:$H$6</definedName>
    <definedName name="Z_C913A9E8_661B_40A4_A3C9_1BC5F2B2E9F0_.wvu.FilterData" localSheetId="56" hidden="1">'58_01_1'!$C$8:$AA$8</definedName>
    <definedName name="Z_C913A9E8_661B_40A4_A3C9_1BC5F2B2E9F0_.wvu.FilterData" localSheetId="57" hidden="1">'58_01_2'!$C$8:$AA$8</definedName>
    <definedName name="Z_C913A9E8_661B_40A4_A3C9_1BC5F2B2E9F0_.wvu.FilterData" localSheetId="59" hidden="1">'58_02_движ'!$C$11:$V$11</definedName>
    <definedName name="Z_C913A9E8_661B_40A4_A3C9_1BC5F2B2E9F0_.wvu.FilterData" localSheetId="60" hidden="1">'58_03_1'!$C$9:$AH$9</definedName>
    <definedName name="Z_C913A9E8_661B_40A4_A3C9_1BC5F2B2E9F0_.wvu.FilterData" localSheetId="61" hidden="1">'58_03_2'!$C$9:$AH$9</definedName>
    <definedName name="Z_C913A9E8_661B_40A4_A3C9_1BC5F2B2E9F0_.wvu.FilterData" localSheetId="62" hidden="1">'58_04'!$C$10:$Y$10</definedName>
    <definedName name="Z_C913A9E8_661B_40A4_A3C9_1BC5F2B2E9F0_.wvu.FilterData" localSheetId="63" hidden="1">'59_01'!$C$9:$P$9</definedName>
    <definedName name="Z_C913A9E8_661B_40A4_A3C9_1BC5F2B2E9F0_.wvu.FilterData" localSheetId="64" hidden="1">'59_02'!$C$9:$W$9</definedName>
    <definedName name="Z_C913A9E8_661B_40A4_A3C9_1BC5F2B2E9F0_.wvu.FilterData" localSheetId="65" hidden="1">'59_03'!$C$9:$R$9</definedName>
    <definedName name="Z_C913A9E8_661B_40A4_A3C9_1BC5F2B2E9F0_.wvu.FilterData" localSheetId="73" hidden="1">'60,62,63,76_контр'!$C$9:$AJ$9</definedName>
    <definedName name="Z_C913A9E8_661B_40A4_A3C9_1BC5F2B2E9F0_.wvu.FilterData" localSheetId="68" hidden="1">'60_01'!$C$8:$T$8</definedName>
    <definedName name="Z_C913A9E8_661B_40A4_A3C9_1BC5F2B2E9F0_.wvu.FilterData" localSheetId="69" hidden="1">'60_02'!$C$8:$O$8</definedName>
    <definedName name="Z_C913A9E8_661B_40A4_A3C9_1BC5F2B2E9F0_.wvu.FilterData" localSheetId="70" hidden="1">'62_01'!$C$8:$S$8</definedName>
    <definedName name="Z_C913A9E8_661B_40A4_A3C9_1BC5F2B2E9F0_.wvu.FilterData" localSheetId="74" hidden="1">'66'!$C$10:$BC$10</definedName>
    <definedName name="Z_C913A9E8_661B_40A4_A3C9_1BC5F2B2E9F0_.wvu.FilterData" localSheetId="75" hidden="1">'67'!$C$10:$BD$10</definedName>
    <definedName name="Z_C913A9E8_661B_40A4_A3C9_1BC5F2B2E9F0_.wvu.FilterData" localSheetId="76" hidden="1">'68'!$C$8:$X$8</definedName>
    <definedName name="Z_C913A9E8_661B_40A4_A3C9_1BC5F2B2E9F0_.wvu.FilterData" localSheetId="81" hidden="1">'69'!$C$9:$T$9</definedName>
    <definedName name="Z_C913A9E8_661B_40A4_A3C9_1BC5F2B2E9F0_.wvu.FilterData" localSheetId="82" hidden="1">'73'!$C$8:$W$8</definedName>
    <definedName name="Z_C913A9E8_661B_40A4_A3C9_1BC5F2B2E9F0_.wvu.FilterData" localSheetId="83" hidden="1">'75_01'!$C$8:$T$8</definedName>
    <definedName name="Z_C913A9E8_661B_40A4_A3C9_1BC5F2B2E9F0_.wvu.FilterData" localSheetId="84" hidden="1">'75_01_Неденеж'!$C$8:$J$8</definedName>
    <definedName name="Z_C913A9E8_661B_40A4_A3C9_1BC5F2B2E9F0_.wvu.FilterData" localSheetId="85" hidden="1">'75_02'!$C$7:$U$7</definedName>
    <definedName name="Z_C913A9E8_661B_40A4_A3C9_1BC5F2B2E9F0_.wvu.FilterData" localSheetId="86" hidden="1">'76'!$C$7:$X$45</definedName>
    <definedName name="Z_C913A9E8_661B_40A4_A3C9_1BC5F2B2E9F0_.wvu.FilterData" localSheetId="87" hidden="1">'76_01_%'!$C$9:$AD$9</definedName>
    <definedName name="Z_C913A9E8_661B_40A4_A3C9_1BC5F2B2E9F0_.wvu.FilterData" localSheetId="88" hidden="1">'77'!$C$7:$L$7</definedName>
    <definedName name="Z_C913A9E8_661B_40A4_A3C9_1BC5F2B2E9F0_.wvu.FilterData" localSheetId="89" hidden="1">'78'!$C$8:$P$8</definedName>
    <definedName name="Z_C913A9E8_661B_40A4_A3C9_1BC5F2B2E9F0_.wvu.FilterData" localSheetId="90" hidden="1">'80'!$C$10:$AB$10</definedName>
    <definedName name="Z_C913A9E8_661B_40A4_A3C9_1BC5F2B2E9F0_.wvu.FilterData" localSheetId="91" hidden="1">'83'!$C$9:$Q$9</definedName>
    <definedName name="Z_C913A9E8_661B_40A4_A3C9_1BC5F2B2E9F0_.wvu.FilterData" localSheetId="92" hidden="1">'83_расш'!$C$7:$H$7</definedName>
    <definedName name="Z_C913A9E8_661B_40A4_A3C9_1BC5F2B2E9F0_.wvu.FilterData" localSheetId="93" hidden="1">'84'!$C$10:$R$10</definedName>
    <definedName name="Z_C913A9E8_661B_40A4_A3C9_1BC5F2B2E9F0_.wvu.FilterData" localSheetId="94" hidden="1">'84_расш'!$C$7:$I$7</definedName>
    <definedName name="Z_C913A9E8_661B_40A4_A3C9_1BC5F2B2E9F0_.wvu.FilterData" localSheetId="95" hidden="1">'86'!$C$9:$AF$9</definedName>
    <definedName name="Z_C913A9E8_661B_40A4_A3C9_1BC5F2B2E9F0_.wvu.FilterData" localSheetId="96" hidden="1">'90'!$C$8:$M$8</definedName>
    <definedName name="Z_C913A9E8_661B_40A4_A3C9_1BC5F2B2E9F0_.wvu.FilterData" localSheetId="98" hidden="1">'90_контр'!$C$8:$J$8</definedName>
    <definedName name="Z_C913A9E8_661B_40A4_A3C9_1BC5F2B2E9F0_.wvu.FilterData" localSheetId="97" hidden="1">'90_ОРВГ'!$C$8:$S$8</definedName>
    <definedName name="Z_C913A9E8_661B_40A4_A3C9_1BC5F2B2E9F0_.wvu.FilterData" localSheetId="99" hidden="1">'91_01'!$C$29:$I$29</definedName>
    <definedName name="Z_C913A9E8_661B_40A4_A3C9_1BC5F2B2E9F0_.wvu.FilterData" localSheetId="100" hidden="1">'91_01_ВГО'!$C$9:$Q$9</definedName>
    <definedName name="Z_C913A9E8_661B_40A4_A3C9_1BC5F2B2E9F0_.wvu.FilterData" localSheetId="101" hidden="1">'91_02'!$C$8:$G$46</definedName>
    <definedName name="Z_C913A9E8_661B_40A4_A3C9_1BC5F2B2E9F0_.wvu.FilterData" localSheetId="102" hidden="1">'91_02_ВГО'!$C$8:$J$8</definedName>
    <definedName name="Z_C913A9E8_661B_40A4_A3C9_1BC5F2B2E9F0_.wvu.FilterData" localSheetId="105" hidden="1">'96'!$C$8:$T$8</definedName>
    <definedName name="Z_C913A9E8_661B_40A4_A3C9_1BC5F2B2E9F0_.wvu.FilterData" localSheetId="106" hidden="1">'96_движ'!$C$9:$U$9</definedName>
    <definedName name="Z_C913A9E8_661B_40A4_A3C9_1BC5F2B2E9F0_.wvu.FilterData" localSheetId="107" hidden="1">'97'!$C$8:$U$8</definedName>
    <definedName name="Z_C913A9E8_661B_40A4_A3C9_1BC5F2B2E9F0_.wvu.FilterData" localSheetId="108" hidden="1">'98_01'!$C$9:$Z$9</definedName>
    <definedName name="Z_C913A9E8_661B_40A4_A3C9_1BC5F2B2E9F0_.wvu.FilterData" localSheetId="109" hidden="1">'98_02'!$C$9:$J$9</definedName>
    <definedName name="Z_C913A9E8_661B_40A4_A3C9_1BC5F2B2E9F0_.wvu.FilterData" localSheetId="110" hidden="1">'98_04'!$C$9:$Q$9</definedName>
    <definedName name="Z_C913A9E8_661B_40A4_A3C9_1BC5F2B2E9F0_.wvu.FilterData" localSheetId="111" hidden="1">'99'!$C$8:$Q$10</definedName>
    <definedName name="Z_C913A9E8_661B_40A4_A3C9_1BC5F2B2E9F0_.wvu.FilterData" localSheetId="16" hidden="1">ДДС_приложение!$C$4:$F$272</definedName>
    <definedName name="Z_C913A9E8_661B_40A4_A3C9_1BC5F2B2E9F0_.wvu.FilterData" localSheetId="47" hidden="1">Долгосроч_договоры!$C$8:$K$8</definedName>
    <definedName name="Z_C913A9E8_661B_40A4_A3C9_1BC5F2B2E9F0_.wvu.FilterData" localSheetId="67" hidden="1">ДП_выданные!$C$8:$Q$8</definedName>
    <definedName name="Z_C913A9E8_661B_40A4_A3C9_1BC5F2B2E9F0_.wvu.FilterData" localSheetId="66" hidden="1">ДП_полученные!$C$8:$S$8</definedName>
    <definedName name="Z_C913A9E8_661B_40A4_A3C9_1BC5F2B2E9F0_.wvu.FilterData" localSheetId="112" hidden="1">Зарубежная_выручка!$C$11:$L$11</definedName>
    <definedName name="Z_C913A9E8_661B_40A4_A3C9_1BC5F2B2E9F0_.wvu.FilterData" localSheetId="37" hidden="1">Затраты_Вход_1!$C$9:$I$9</definedName>
    <definedName name="Z_C913A9E8_661B_40A4_A3C9_1BC5F2B2E9F0_.wvu.FilterData" localSheetId="38" hidden="1">Затраты_Вход_2!$C$9:$K$9</definedName>
    <definedName name="Z_C913A9E8_661B_40A4_A3C9_1BC5F2B2E9F0_.wvu.FilterData" localSheetId="39" hidden="1">Затраты_Выход!$C$11:$G$11</definedName>
    <definedName name="Z_C913A9E8_661B_40A4_A3C9_1BC5F2B2E9F0_.wvu.FilterData" localSheetId="77" hidden="1">Налог_на_прибыль!$C$8:$G$8</definedName>
    <definedName name="Z_C913A9E8_661B_40A4_A3C9_1BC5F2B2E9F0_.wvu.FilterData" localSheetId="78" hidden="1">Налог_пров!$C$10:$AG$10</definedName>
    <definedName name="Z_C913A9E8_661B_40A4_A3C9_1BC5F2B2E9F0_.wvu.FilterData" localSheetId="79" hidden="1">Налоговые_льготы_имущество!$C$8:$Q$8</definedName>
    <definedName name="Z_C913A9E8_661B_40A4_A3C9_1BC5F2B2E9F0_.wvu.FilterData" localSheetId="80" hidden="1">Налоговые_льготы_прочие!$C$8:$H$8</definedName>
    <definedName name="Z_C913A9E8_661B_40A4_A3C9_1BC5F2B2E9F0_.wvu.FilterData" localSheetId="46" hidden="1">НЗП_ГП!$C$8:$P$8</definedName>
    <definedName name="Z_C913A9E8_661B_40A4_A3C9_1BC5F2B2E9F0_.wvu.FilterData" localSheetId="72" hidden="1">ОКХ!$C$8:$Q$8</definedName>
    <definedName name="Z_C913A9E8_661B_40A4_A3C9_1BC5F2B2E9F0_.wvu.FilterData" localSheetId="17" hidden="1">ОСВ_авт!$A$8:$N$268</definedName>
    <definedName name="Z_C913A9E8_661B_40A4_A3C9_1BC5F2B2E9F0_.wvu.FilterData" localSheetId="104" hidden="1">ОСС!$C$7:$H$7</definedName>
    <definedName name="Z_C913A9E8_661B_40A4_A3C9_1BC5F2B2E9F0_.wvu.FilterData" localSheetId="103" hidden="1">Прочие_расш!$C$33:$K$34</definedName>
    <definedName name="Z_C913A9E8_661B_40A4_A3C9_1BC5F2B2E9F0_.wvu.FilterData" localSheetId="19" hidden="1">Свод_по_счетам!$A$8:$S$8</definedName>
    <definedName name="Z_C913A9E8_661B_40A4_A3C9_1BC5F2B2E9F0_.wvu.FilterData" localSheetId="5" hidden="1">Список_компаний!$A$2:$K$251</definedName>
    <definedName name="Z_C913A9E8_661B_40A4_A3C9_1BC5F2B2E9F0_.wvu.FilterData" localSheetId="6" hidden="1">Справочник!$A$3:$CL$1448</definedName>
    <definedName name="Z_C913A9E8_661B_40A4_A3C9_1BC5F2B2E9F0_.wvu.FilterData" localSheetId="55" hidden="1">Фин_договоры!$C$8:$AE$8</definedName>
    <definedName name="Z_C913A9E8_661B_40A4_A3C9_1BC5F2B2E9F0_.wvu.Rows" localSheetId="20" hidden="1">'01'!$1:$1</definedName>
    <definedName name="Z_C913A9E8_661B_40A4_A3C9_1BC5F2B2E9F0_.wvu.Rows" localSheetId="21" hidden="1">'02'!$1:$1</definedName>
    <definedName name="Z_C913A9E8_661B_40A4_A3C9_1BC5F2B2E9F0_.wvu.Rows" localSheetId="22" hidden="1">'03'!$1:$1</definedName>
    <definedName name="Z_C913A9E8_661B_40A4_A3C9_1BC5F2B2E9F0_.wvu.Rows" localSheetId="23" hidden="1">'04'!$1:$1</definedName>
    <definedName name="Z_C913A9E8_661B_40A4_A3C9_1BC5F2B2E9F0_.wvu.Rows" localSheetId="24" hidden="1">'05'!$1:$1</definedName>
    <definedName name="Z_C913A9E8_661B_40A4_A3C9_1BC5F2B2E9F0_.wvu.Rows" localSheetId="25" hidden="1">'07'!$1:$1</definedName>
    <definedName name="Z_C913A9E8_661B_40A4_A3C9_1BC5F2B2E9F0_.wvu.Rows" localSheetId="26" hidden="1">'07_расш'!$1:$1</definedName>
    <definedName name="Z_C913A9E8_661B_40A4_A3C9_1BC5F2B2E9F0_.wvu.Rows" localSheetId="27" hidden="1">'08'!$1:$1</definedName>
    <definedName name="Z_C913A9E8_661B_40A4_A3C9_1BC5F2B2E9F0_.wvu.Rows" localSheetId="29" hidden="1">'08_НИОКР'!$1:$1</definedName>
    <definedName name="Z_C913A9E8_661B_40A4_A3C9_1BC5F2B2E9F0_.wvu.Rows" localSheetId="28" hidden="1">'08_расш'!$1:$1</definedName>
    <definedName name="Z_C913A9E8_661B_40A4_A3C9_1BC5F2B2E9F0_.wvu.Rows" localSheetId="30" hidden="1">'09'!$1:$1</definedName>
    <definedName name="Z_C913A9E8_661B_40A4_A3C9_1BC5F2B2E9F0_.wvu.Rows" localSheetId="31" hidden="1">'10'!$1:$1</definedName>
    <definedName name="Z_C913A9E8_661B_40A4_A3C9_1BC5F2B2E9F0_.wvu.Rows" localSheetId="32" hidden="1">'10_расш'!$1:$1</definedName>
    <definedName name="Z_C913A9E8_661B_40A4_A3C9_1BC5F2B2E9F0_.wvu.Rows" localSheetId="33" hidden="1">'14'!$1:$1</definedName>
    <definedName name="Z_C913A9E8_661B_40A4_A3C9_1BC5F2B2E9F0_.wvu.Rows" localSheetId="34" hidden="1">'15'!$1:$1</definedName>
    <definedName name="Z_C913A9E8_661B_40A4_A3C9_1BC5F2B2E9F0_.wvu.Rows" localSheetId="35" hidden="1">'16'!$1:$1</definedName>
    <definedName name="Z_C913A9E8_661B_40A4_A3C9_1BC5F2B2E9F0_.wvu.Rows" localSheetId="36" hidden="1">'19'!$1:$1</definedName>
    <definedName name="Z_C913A9E8_661B_40A4_A3C9_1BC5F2B2E9F0_.wvu.Rows" localSheetId="40" hidden="1">'21'!$1:$1</definedName>
    <definedName name="Z_C913A9E8_661B_40A4_A3C9_1BC5F2B2E9F0_.wvu.Rows" localSheetId="41" hidden="1">'40'!$1:$1</definedName>
    <definedName name="Z_C913A9E8_661B_40A4_A3C9_1BC5F2B2E9F0_.wvu.Rows" localSheetId="42" hidden="1">'41_01'!$1:$1</definedName>
    <definedName name="Z_C913A9E8_661B_40A4_A3C9_1BC5F2B2E9F0_.wvu.Rows" localSheetId="43" hidden="1">'41_02'!$1:$1</definedName>
    <definedName name="Z_C913A9E8_661B_40A4_A3C9_1BC5F2B2E9F0_.wvu.Rows" localSheetId="44" hidden="1">'43'!$1:$1</definedName>
    <definedName name="Z_C913A9E8_661B_40A4_A3C9_1BC5F2B2E9F0_.wvu.Rows" localSheetId="45" hidden="1">'45'!$1:$1</definedName>
    <definedName name="Z_C913A9E8_661B_40A4_A3C9_1BC5F2B2E9F0_.wvu.Rows" localSheetId="48" hidden="1">'46'!$1:$1</definedName>
    <definedName name="Z_C913A9E8_661B_40A4_A3C9_1BC5F2B2E9F0_.wvu.Rows" localSheetId="49" hidden="1">'50'!$1:$1</definedName>
    <definedName name="Z_C913A9E8_661B_40A4_A3C9_1BC5F2B2E9F0_.wvu.Rows" localSheetId="54" hidden="1">'50_51_52_55_57_движ'!$1:$1</definedName>
    <definedName name="Z_C913A9E8_661B_40A4_A3C9_1BC5F2B2E9F0_.wvu.Rows" localSheetId="50" hidden="1">'51'!$1:$1</definedName>
    <definedName name="Z_C913A9E8_661B_40A4_A3C9_1BC5F2B2E9F0_.wvu.Rows" localSheetId="51" hidden="1">'52'!$1:$1</definedName>
    <definedName name="Z_C913A9E8_661B_40A4_A3C9_1BC5F2B2E9F0_.wvu.Rows" localSheetId="52" hidden="1">'55'!$1:$1</definedName>
    <definedName name="Z_C913A9E8_661B_40A4_A3C9_1BC5F2B2E9F0_.wvu.Rows" localSheetId="53" hidden="1">'57'!$1:$1</definedName>
    <definedName name="Z_C913A9E8_661B_40A4_A3C9_1BC5F2B2E9F0_.wvu.Rows" localSheetId="56" hidden="1">'58_01_1'!$1:$1</definedName>
    <definedName name="Z_C913A9E8_661B_40A4_A3C9_1BC5F2B2E9F0_.wvu.Rows" localSheetId="57" hidden="1">'58_01_2'!$1:$1</definedName>
    <definedName name="Z_C913A9E8_661B_40A4_A3C9_1BC5F2B2E9F0_.wvu.Rows" localSheetId="58" hidden="1">'58_02'!$1:$1</definedName>
    <definedName name="Z_C913A9E8_661B_40A4_A3C9_1BC5F2B2E9F0_.wvu.Rows" localSheetId="59" hidden="1">'58_02_движ'!$1:$1</definedName>
    <definedName name="Z_C913A9E8_661B_40A4_A3C9_1BC5F2B2E9F0_.wvu.Rows" localSheetId="60" hidden="1">'58_03_1'!$1:$1</definedName>
    <definedName name="Z_C913A9E8_661B_40A4_A3C9_1BC5F2B2E9F0_.wvu.Rows" localSheetId="61" hidden="1">'58_03_2'!$1:$1</definedName>
    <definedName name="Z_C913A9E8_661B_40A4_A3C9_1BC5F2B2E9F0_.wvu.Rows" localSheetId="62" hidden="1">'58_04'!$1:$1</definedName>
    <definedName name="Z_C913A9E8_661B_40A4_A3C9_1BC5F2B2E9F0_.wvu.Rows" localSheetId="63" hidden="1">'59_01'!$1:$1</definedName>
    <definedName name="Z_C913A9E8_661B_40A4_A3C9_1BC5F2B2E9F0_.wvu.Rows" localSheetId="64" hidden="1">'59_02'!$1:$1</definedName>
    <definedName name="Z_C913A9E8_661B_40A4_A3C9_1BC5F2B2E9F0_.wvu.Rows" localSheetId="65" hidden="1">'59_03'!$1:$1</definedName>
    <definedName name="Z_C913A9E8_661B_40A4_A3C9_1BC5F2B2E9F0_.wvu.Rows" localSheetId="73" hidden="1">'60,62,63,76_контр'!$1:$1</definedName>
    <definedName name="Z_C913A9E8_661B_40A4_A3C9_1BC5F2B2E9F0_.wvu.Rows" localSheetId="68" hidden="1">'60_01'!$1:$1</definedName>
    <definedName name="Z_C913A9E8_661B_40A4_A3C9_1BC5F2B2E9F0_.wvu.Rows" localSheetId="69" hidden="1">'60_02'!$1:$1</definedName>
    <definedName name="Z_C913A9E8_661B_40A4_A3C9_1BC5F2B2E9F0_.wvu.Rows" localSheetId="70" hidden="1">'62_01'!$1:$1</definedName>
    <definedName name="Z_C913A9E8_661B_40A4_A3C9_1BC5F2B2E9F0_.wvu.Rows" localSheetId="71" hidden="1">'62_02'!$1:$1</definedName>
    <definedName name="Z_C913A9E8_661B_40A4_A3C9_1BC5F2B2E9F0_.wvu.Rows" localSheetId="74" hidden="1">'66'!$1:$1</definedName>
    <definedName name="Z_C913A9E8_661B_40A4_A3C9_1BC5F2B2E9F0_.wvu.Rows" localSheetId="75" hidden="1">'67'!$1:$1</definedName>
    <definedName name="Z_C913A9E8_661B_40A4_A3C9_1BC5F2B2E9F0_.wvu.Rows" localSheetId="76" hidden="1">'68'!$1:$1</definedName>
    <definedName name="Z_C913A9E8_661B_40A4_A3C9_1BC5F2B2E9F0_.wvu.Rows" localSheetId="81" hidden="1">'69'!$1:$1</definedName>
    <definedName name="Z_C913A9E8_661B_40A4_A3C9_1BC5F2B2E9F0_.wvu.Rows" localSheetId="82" hidden="1">'73'!$1:$1</definedName>
    <definedName name="Z_C913A9E8_661B_40A4_A3C9_1BC5F2B2E9F0_.wvu.Rows" localSheetId="83" hidden="1">'75_01'!$1:$1</definedName>
    <definedName name="Z_C913A9E8_661B_40A4_A3C9_1BC5F2B2E9F0_.wvu.Rows" localSheetId="84" hidden="1">'75_01_Неденеж'!$1:$1</definedName>
    <definedName name="Z_C913A9E8_661B_40A4_A3C9_1BC5F2B2E9F0_.wvu.Rows" localSheetId="85" hidden="1">'75_02'!$1:$1</definedName>
    <definedName name="Z_C913A9E8_661B_40A4_A3C9_1BC5F2B2E9F0_.wvu.Rows" localSheetId="86" hidden="1">'76'!$1:$1</definedName>
    <definedName name="Z_C913A9E8_661B_40A4_A3C9_1BC5F2B2E9F0_.wvu.Rows" localSheetId="87" hidden="1">'76_01_%'!$1:$1</definedName>
    <definedName name="Z_C913A9E8_661B_40A4_A3C9_1BC5F2B2E9F0_.wvu.Rows" localSheetId="88" hidden="1">'77'!$1:$1</definedName>
    <definedName name="Z_C913A9E8_661B_40A4_A3C9_1BC5F2B2E9F0_.wvu.Rows" localSheetId="89" hidden="1">'78'!$1:$1</definedName>
    <definedName name="Z_C913A9E8_661B_40A4_A3C9_1BC5F2B2E9F0_.wvu.Rows" localSheetId="90" hidden="1">'80'!$1:$1</definedName>
    <definedName name="Z_C913A9E8_661B_40A4_A3C9_1BC5F2B2E9F0_.wvu.Rows" localSheetId="91" hidden="1">'83'!$1:$1</definedName>
    <definedName name="Z_C913A9E8_661B_40A4_A3C9_1BC5F2B2E9F0_.wvu.Rows" localSheetId="92" hidden="1">'83_расш'!$1:$1</definedName>
    <definedName name="Z_C913A9E8_661B_40A4_A3C9_1BC5F2B2E9F0_.wvu.Rows" localSheetId="93" hidden="1">'84'!$1:$1</definedName>
    <definedName name="Z_C913A9E8_661B_40A4_A3C9_1BC5F2B2E9F0_.wvu.Rows" localSheetId="94" hidden="1">'84_расш'!$1:$1</definedName>
    <definedName name="Z_C913A9E8_661B_40A4_A3C9_1BC5F2B2E9F0_.wvu.Rows" localSheetId="95" hidden="1">'86'!$1:$1</definedName>
    <definedName name="Z_C913A9E8_661B_40A4_A3C9_1BC5F2B2E9F0_.wvu.Rows" localSheetId="96" hidden="1">'90'!$1:$1</definedName>
    <definedName name="Z_C913A9E8_661B_40A4_A3C9_1BC5F2B2E9F0_.wvu.Rows" localSheetId="98" hidden="1">'90_контр'!$1:$1</definedName>
    <definedName name="Z_C913A9E8_661B_40A4_A3C9_1BC5F2B2E9F0_.wvu.Rows" localSheetId="97" hidden="1">'90_ОРВГ'!$1:$1</definedName>
    <definedName name="Z_C913A9E8_661B_40A4_A3C9_1BC5F2B2E9F0_.wvu.Rows" localSheetId="99" hidden="1">'91_01'!$1:$1,'91_01'!$13:$28</definedName>
    <definedName name="Z_C913A9E8_661B_40A4_A3C9_1BC5F2B2E9F0_.wvu.Rows" localSheetId="100" hidden="1">'91_01_ВГО'!$1:$1,'91_01_ВГО'!$12:$27</definedName>
    <definedName name="Z_C913A9E8_661B_40A4_A3C9_1BC5F2B2E9F0_.wvu.Rows" localSheetId="101" hidden="1">'91_02'!$1:$1,'91_02'!$9:$40</definedName>
    <definedName name="Z_C913A9E8_661B_40A4_A3C9_1BC5F2B2E9F0_.wvu.Rows" localSheetId="102" hidden="1">'91_02_ВГО'!$1:$1,'91_02_ВГО'!$7:$7,'91_02_ВГО'!$9:$30</definedName>
    <definedName name="Z_C913A9E8_661B_40A4_A3C9_1BC5F2B2E9F0_.wvu.Rows" localSheetId="105" hidden="1">'96'!$1:$1</definedName>
    <definedName name="Z_C913A9E8_661B_40A4_A3C9_1BC5F2B2E9F0_.wvu.Rows" localSheetId="106" hidden="1">'96_движ'!$1:$1</definedName>
    <definedName name="Z_C913A9E8_661B_40A4_A3C9_1BC5F2B2E9F0_.wvu.Rows" localSheetId="107" hidden="1">'97'!$1:$1</definedName>
    <definedName name="Z_C913A9E8_661B_40A4_A3C9_1BC5F2B2E9F0_.wvu.Rows" localSheetId="108" hidden="1">'98_01'!$1:$1</definedName>
    <definedName name="Z_C913A9E8_661B_40A4_A3C9_1BC5F2B2E9F0_.wvu.Rows" localSheetId="109" hidden="1">'98_02'!$1:$1</definedName>
    <definedName name="Z_C913A9E8_661B_40A4_A3C9_1BC5F2B2E9F0_.wvu.Rows" localSheetId="110" hidden="1">'98_04'!$1:$1</definedName>
    <definedName name="Z_C913A9E8_661B_40A4_A3C9_1BC5F2B2E9F0_.wvu.Rows" localSheetId="111" hidden="1">'99'!$1:$1</definedName>
    <definedName name="Z_C913A9E8_661B_40A4_A3C9_1BC5F2B2E9F0_.wvu.Rows" localSheetId="13" hidden="1">Баланс!$1:$1</definedName>
    <definedName name="Z_C913A9E8_661B_40A4_A3C9_1BC5F2B2E9F0_.wvu.Rows" localSheetId="15" hidden="1">ДДС!$1:$1</definedName>
    <definedName name="Z_C913A9E8_661B_40A4_A3C9_1BC5F2B2E9F0_.wvu.Rows" localSheetId="16" hidden="1">ДДС_приложение!$1:$1</definedName>
    <definedName name="Z_C913A9E8_661B_40A4_A3C9_1BC5F2B2E9F0_.wvu.Rows" localSheetId="47" hidden="1">Долгосроч_договоры!$1:$1</definedName>
    <definedName name="Z_C913A9E8_661B_40A4_A3C9_1BC5F2B2E9F0_.wvu.Rows" localSheetId="67" hidden="1">ДП_выданные!$1:$1</definedName>
    <definedName name="Z_C913A9E8_661B_40A4_A3C9_1BC5F2B2E9F0_.wvu.Rows" localSheetId="66" hidden="1">ДП_полученные!$1:$1</definedName>
    <definedName name="Z_C913A9E8_661B_40A4_A3C9_1BC5F2B2E9F0_.wvu.Rows" localSheetId="112" hidden="1">Зарубежная_выручка!$1:$1</definedName>
    <definedName name="Z_C913A9E8_661B_40A4_A3C9_1BC5F2B2E9F0_.wvu.Rows" localSheetId="37" hidden="1">Затраты_Вход_1!$1:$1</definedName>
    <definedName name="Z_C913A9E8_661B_40A4_A3C9_1BC5F2B2E9F0_.wvu.Rows" localSheetId="38" hidden="1">Затраты_Вход_2!$1:$1</definedName>
    <definedName name="Z_C913A9E8_661B_40A4_A3C9_1BC5F2B2E9F0_.wvu.Rows" localSheetId="39" hidden="1">Затраты_Выход!$1:$1</definedName>
    <definedName name="Z_C913A9E8_661B_40A4_A3C9_1BC5F2B2E9F0_.wvu.Rows" localSheetId="77" hidden="1">Налог_на_прибыль!$1:$1</definedName>
    <definedName name="Z_C913A9E8_661B_40A4_A3C9_1BC5F2B2E9F0_.wvu.Rows" localSheetId="78" hidden="1">Налог_пров!$1:$1</definedName>
    <definedName name="Z_C913A9E8_661B_40A4_A3C9_1BC5F2B2E9F0_.wvu.Rows" localSheetId="79" hidden="1">Налоговые_льготы_имущество!$1:$1</definedName>
    <definedName name="Z_C913A9E8_661B_40A4_A3C9_1BC5F2B2E9F0_.wvu.Rows" localSheetId="80" hidden="1">Налоговые_льготы_прочие!$1:$1</definedName>
    <definedName name="Z_C913A9E8_661B_40A4_A3C9_1BC5F2B2E9F0_.wvu.Rows" localSheetId="46" hidden="1">НЗП_ГП!$1:$1</definedName>
    <definedName name="Z_C913A9E8_661B_40A4_A3C9_1BC5F2B2E9F0_.wvu.Rows" localSheetId="72" hidden="1">ОКХ!$1:$1</definedName>
    <definedName name="Z_C913A9E8_661B_40A4_A3C9_1BC5F2B2E9F0_.wvu.Rows" localSheetId="17" hidden="1">ОСВ_авт!$1:$1</definedName>
    <definedName name="Z_C913A9E8_661B_40A4_A3C9_1BC5F2B2E9F0_.wvu.Rows" localSheetId="104" hidden="1">ОСС!$1:$1</definedName>
    <definedName name="Z_C913A9E8_661B_40A4_A3C9_1BC5F2B2E9F0_.wvu.Rows" localSheetId="103" hidden="1">Прочие_расш!$1:$1,Прочие_расш!#REF!</definedName>
    <definedName name="Z_C913A9E8_661B_40A4_A3C9_1BC5F2B2E9F0_.wvu.Rows" localSheetId="19" hidden="1">Свод_по_счетам!$1:$1,Свод_по_счетам!$4:$5</definedName>
    <definedName name="Z_C913A9E8_661B_40A4_A3C9_1BC5F2B2E9F0_.wvu.Rows" localSheetId="55" hidden="1">Фин_договоры!$1:$1</definedName>
    <definedName name="Z_D03DFE91_19D2_43BA_897C_B86D033537EB_.wvu.Cols" localSheetId="65" hidden="1">'59_03'!#REF!</definedName>
    <definedName name="Z_D03DFE91_19D2_43BA_897C_B86D033537EB_.wvu.Cols" localSheetId="74" hidden="1">'66'!#REF!</definedName>
    <definedName name="Z_D03DFE91_19D2_43BA_897C_B86D033537EB_.wvu.Cols" localSheetId="75" hidden="1">'67'!#REF!</definedName>
    <definedName name="Z_D03DFE91_19D2_43BA_897C_B86D033537EB_.wvu.Cols" localSheetId="95" hidden="1">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,'86'!#REF!</definedName>
    <definedName name="Z_D03DFE91_19D2_43BA_897C_B86D033537EB_.wvu.Cols" localSheetId="16" hidden="1">ДДС_приложение!#REF!</definedName>
    <definedName name="Z_D03DFE91_19D2_43BA_897C_B86D033537EB_.wvu.FilterData" localSheetId="16" hidden="1">ДДС_приложение!$B$5:$F$272</definedName>
    <definedName name="Z_F45E675F_5E14_4311_9ED3_A2BEDD664878_.wvu.FilterData" localSheetId="111" hidden="1">'99'!$C$8:$Q$10</definedName>
    <definedName name="Z_F45E675F_5E14_4311_9ED3_A2BEDD664878_.wvu.FilterData" localSheetId="6" hidden="1">Справочник!$A$3:$CL$1448</definedName>
    <definedName name="_xlnm.Print_Titles" localSheetId="20">'01'!$C:$C</definedName>
    <definedName name="_xlnm.Print_Titles" localSheetId="21">'02'!$C:$C</definedName>
    <definedName name="_xlnm.Print_Titles" localSheetId="22">'03'!$C:$C</definedName>
    <definedName name="_xlnm.Print_Titles" localSheetId="23">'04'!$C:$C</definedName>
    <definedName name="_xlnm.Print_Titles" localSheetId="24">'05'!$C:$C</definedName>
    <definedName name="_xlnm.Print_Titles" localSheetId="27">'08'!$C:$C</definedName>
    <definedName name="_xlnm.Print_Titles" localSheetId="29">'08_НИОКР'!$C:$C</definedName>
    <definedName name="_xlnm.Print_Titles" localSheetId="30">'09'!$C:$C</definedName>
    <definedName name="_xlnm.Print_Titles" localSheetId="31">'10'!$C:$C</definedName>
    <definedName name="_xlnm.Print_Titles" localSheetId="32">'10_расш'!$C:$C</definedName>
    <definedName name="_xlnm.Print_Titles" localSheetId="33">'14'!$2:$6</definedName>
    <definedName name="_xlnm.Print_Titles" localSheetId="34">'15'!$C:$C,'15'!$2:$7</definedName>
    <definedName name="_xlnm.Print_Titles" localSheetId="35">'16'!$C:$C,'16'!$2:$7</definedName>
    <definedName name="_xlnm.Print_Titles" localSheetId="36">'19'!$C:$C</definedName>
    <definedName name="_xlnm.Print_Titles" localSheetId="42">'41_01'!$C:$C</definedName>
    <definedName name="_xlnm.Print_Titles" localSheetId="43">'41_02'!$C:$C</definedName>
    <definedName name="_xlnm.Print_Titles" localSheetId="44">'43'!$C:$C</definedName>
    <definedName name="_xlnm.Print_Titles" localSheetId="45">'45'!$C:$C</definedName>
    <definedName name="_xlnm.Print_Titles" localSheetId="48">'46'!$C:$C</definedName>
    <definedName name="_xlnm.Print_Titles" localSheetId="54">'50_51_52_55_57_движ'!$C:$C</definedName>
    <definedName name="_xlnm.Print_Titles" localSheetId="52">'55'!$C:$C</definedName>
    <definedName name="_xlnm.Print_Titles" localSheetId="56">'58_01_1'!$C:$C</definedName>
    <definedName name="_xlnm.Print_Titles" localSheetId="58">'58_02'!$C:$C,'58_02'!$2:$10</definedName>
    <definedName name="_xlnm.Print_Titles" localSheetId="59">'58_02_движ'!$C:$C</definedName>
    <definedName name="_xlnm.Print_Titles" localSheetId="60">'58_03_1'!$C:$C</definedName>
    <definedName name="_xlnm.Print_Titles" localSheetId="61">'58_03_2'!$C:$C</definedName>
    <definedName name="_xlnm.Print_Titles" localSheetId="62">'58_04'!$C:$E</definedName>
    <definedName name="_xlnm.Print_Titles" localSheetId="63">'59_01'!$C:$C</definedName>
    <definedName name="_xlnm.Print_Titles" localSheetId="64">'59_02'!$C:$C</definedName>
    <definedName name="_xlnm.Print_Titles" localSheetId="65">'59_03'!$C:$C,'59_03'!$2:$7</definedName>
    <definedName name="_xlnm.Print_Titles" localSheetId="73">'60,62,63,76_контр'!$2:$13</definedName>
    <definedName name="_xlnm.Print_Titles" localSheetId="70">'62_01'!$2:$8</definedName>
    <definedName name="_xlnm.Print_Titles" localSheetId="71">'62_02'!$2:$9</definedName>
    <definedName name="_xlnm.Print_Titles" localSheetId="74">'66'!$2:$12</definedName>
    <definedName name="_xlnm.Print_Titles" localSheetId="75">'67'!$2:$12</definedName>
    <definedName name="_xlnm.Print_Titles" localSheetId="81">'69'!$2:$10</definedName>
    <definedName name="_xlnm.Print_Titles" localSheetId="82">'73'!$2:$9</definedName>
    <definedName name="_xlnm.Print_Titles" localSheetId="83">'75_01'!$2:$9</definedName>
    <definedName name="_xlnm.Print_Titles" localSheetId="86">'76'!$2:$8</definedName>
    <definedName name="_xlnm.Print_Titles" localSheetId="87">'76_01_%'!$2:$10</definedName>
    <definedName name="_xlnm.Print_Titles" localSheetId="95">'86'!$2:$14</definedName>
    <definedName name="_xlnm.Print_Titles" localSheetId="96">'90'!$2:$10</definedName>
    <definedName name="_xlnm.Print_Titles" localSheetId="98">'90_контр'!$2:$10</definedName>
    <definedName name="_xlnm.Print_Titles" localSheetId="97">'90_ОРВГ'!$2:$9</definedName>
    <definedName name="_xlnm.Print_Titles" localSheetId="99">'91_01'!$2:$35</definedName>
    <definedName name="_xlnm.Print_Titles" localSheetId="100">'91_01_ВГО'!$2:$32</definedName>
    <definedName name="_xlnm.Print_Titles" localSheetId="101">'91_02'!$2:$45</definedName>
    <definedName name="_xlnm.Print_Titles" localSheetId="102">'91_02_ВГО'!$2:$42</definedName>
    <definedName name="_xlnm.Print_Titles" localSheetId="105">'96'!$2:$9</definedName>
    <definedName name="_xlnm.Print_Titles" localSheetId="106">'96_движ'!$2:$10</definedName>
    <definedName name="_xlnm.Print_Titles" localSheetId="107">'97'!$2:$9</definedName>
    <definedName name="_xlnm.Print_Titles" localSheetId="108">'98_01'!$2:$14</definedName>
    <definedName name="_xlnm.Print_Titles" localSheetId="109">'98_02'!$2:$10</definedName>
    <definedName name="_xlnm.Print_Titles" localSheetId="110">'98_04'!$2:$10</definedName>
    <definedName name="_xlnm.Print_Titles" localSheetId="16">ДДС_приложение!$1:$4</definedName>
    <definedName name="_xlnm.Print_Titles" localSheetId="112">Зарубежная_выручка!$2:$11</definedName>
    <definedName name="_xlnm.Print_Titles" localSheetId="37">Затраты_Вход_1!$C:$C</definedName>
    <definedName name="_xlnm.Print_Titles" localSheetId="38">Затраты_Вход_2!$C:$C</definedName>
    <definedName name="_xlnm.Print_Titles" localSheetId="77">Налог_на_прибыль!$2:$8</definedName>
    <definedName name="_xlnm.Print_Titles" localSheetId="78">Налог_пров!$C:$F</definedName>
    <definedName name="_xlnm.Print_Titles" localSheetId="72">ОКХ!$2:$9</definedName>
    <definedName name="_xlnm.Print_Titles" localSheetId="17">ОСВ_авт!$2:$8</definedName>
    <definedName name="_xlnm.Print_Titles" localSheetId="18">ОСВ_система!$2:$4</definedName>
    <definedName name="_xlnm.Print_Titles" localSheetId="104">ОСС!$2:$8</definedName>
    <definedName name="_xlnm.Print_Titles" localSheetId="7">Проверки!$1:$7</definedName>
    <definedName name="_xlnm.Print_Titles" localSheetId="5">Список_компаний!$1:$2</definedName>
    <definedName name="_xlnm.Print_Titles" localSheetId="55">Фин_договоры!$C:$C</definedName>
    <definedName name="исключения_вна" localSheetId="9">Список_компаний!#REF!</definedName>
    <definedName name="исключения_вна">Список_компаний!#REF!</definedName>
    <definedName name="Колво_уникальных_долгосроч_догов">OFFSET(Долгосроч_договоры!$CC$9,0,0,COUNTA(Долгосроч_договоры!$CC:$CC),1)</definedName>
    <definedName name="НДС">Справочник!$DY$8</definedName>
    <definedName name="не_требуется">Справочник!$DU$7</definedName>
    <definedName name="НИОКР_год">[5]Лист3!$A$4:$A$33</definedName>
    <definedName name="_xlnm.Print_Area" localSheetId="20">'01'!$A$1:$U$9</definedName>
    <definedName name="_xlnm.Print_Area" localSheetId="21">'02'!$A$1:$U$9</definedName>
    <definedName name="_xlnm.Print_Area" localSheetId="24">'05'!$A$1:$O$31</definedName>
    <definedName name="_xlnm.Print_Area" localSheetId="25">'07'!$A$1:$Q$10</definedName>
    <definedName name="_xlnm.Print_Area" localSheetId="28">'08_расш'!$A$1:$F$16</definedName>
    <definedName name="_xlnm.Print_Area" localSheetId="32">'10_расш'!$A$1:$U$20</definedName>
    <definedName name="_xlnm.Print_Area" localSheetId="44">'43'!$A$1:$N$14</definedName>
    <definedName name="_xlnm.Print_Area" localSheetId="45">'45'!$A$1:$S$15</definedName>
    <definedName name="_xlnm.Print_Area" localSheetId="48">'46'!$A$1:$AG$16</definedName>
    <definedName name="_xlnm.Print_Area" localSheetId="54">'50_51_52_55_57_движ'!$A$1:$L$14</definedName>
    <definedName name="_xlnm.Print_Area" localSheetId="50">'51'!$A$1:$J$13</definedName>
    <definedName name="_xlnm.Print_Area" localSheetId="51">'52'!$A$1:$K$12</definedName>
    <definedName name="_xlnm.Print_Area" localSheetId="52">'55'!$A$1:$M$13</definedName>
    <definedName name="_xlnm.Print_Area" localSheetId="58">'58_02'!$A$1:$AE$24</definedName>
    <definedName name="_xlnm.Print_Area" localSheetId="73">'60,62,63,76_контр'!$A$2:$AJ$29</definedName>
    <definedName name="_xlnm.Print_Area" localSheetId="71">'62_02'!$A$1:$N$13</definedName>
    <definedName name="_xlnm.Print_Area" localSheetId="74">'66'!$A$1:$BC$19</definedName>
    <definedName name="_xlnm.Print_Area" localSheetId="81">'69'!$A$1:$T$26</definedName>
    <definedName name="_xlnm.Print_Area" localSheetId="82">'73'!$A$1:$W$14</definedName>
    <definedName name="_xlnm.Print_Area" localSheetId="83">'75_01'!$A$1:$T$16</definedName>
    <definedName name="_xlnm.Print_Area" localSheetId="84">'75_01_Неденеж'!$A$1:$J$14</definedName>
    <definedName name="_xlnm.Print_Area" localSheetId="86">'76'!$A$1:$X$57</definedName>
    <definedName name="_xlnm.Print_Area" localSheetId="91">'83'!$A$1:$Q$34</definedName>
    <definedName name="_xlnm.Print_Area" localSheetId="94">'84_расш'!$A$1:$I$13</definedName>
    <definedName name="_xlnm.Print_Area" localSheetId="95">'86'!$A$1:$AF$23</definedName>
    <definedName name="_xlnm.Print_Area" localSheetId="98">'90_контр'!$A$1:$L$18</definedName>
    <definedName name="_xlnm.Print_Area" localSheetId="97">'90_ОРВГ'!$A$1:$S$12</definedName>
    <definedName name="_xlnm.Print_Area" localSheetId="99">'91_01'!$A$1:$I$44</definedName>
    <definedName name="_xlnm.Print_Area" localSheetId="100">'91_01_ВГО'!$A$1:$Q$40</definedName>
    <definedName name="_xlnm.Print_Area" localSheetId="101">'91_02'!$A$1:$G$49</definedName>
    <definedName name="_xlnm.Print_Area" localSheetId="102">'91_02_ВГО'!$A$1:$J$45</definedName>
    <definedName name="_xlnm.Print_Area" localSheetId="105">'96'!$A$1:$T$61</definedName>
    <definedName name="_xlnm.Print_Area" localSheetId="106">'96_движ'!$A$1:$J$17</definedName>
    <definedName name="_xlnm.Print_Area" localSheetId="108">'98_01'!$A$1:$Z$20</definedName>
    <definedName name="_xlnm.Print_Area" localSheetId="109">'98_02'!$A$1:$R$16</definedName>
    <definedName name="_xlnm.Print_Area" localSheetId="110">'98_04'!$A$1:$Q$14</definedName>
    <definedName name="_xlnm.Print_Area" localSheetId="13">Баланс!$A$1:$L$78</definedName>
    <definedName name="_xlnm.Print_Area" localSheetId="15">ДДС!$A$1:$M$57</definedName>
    <definedName name="_xlnm.Print_Area" localSheetId="47">Долгосроч_договоры!$A$1:$R$37</definedName>
    <definedName name="_xlnm.Print_Area" localSheetId="67">ДП_выданные!$A$1:$P$16</definedName>
    <definedName name="_xlnm.Print_Area" localSheetId="66">ДП_полученные!$A$1:$S$15</definedName>
    <definedName name="_xlnm.Print_Area" localSheetId="112">Зарубежная_выручка!$A$1:$O$13</definedName>
    <definedName name="_xlnm.Print_Area" localSheetId="37">Затраты_Вход_1!$A$1:$I$28</definedName>
    <definedName name="_xlnm.Print_Area" localSheetId="38">Затраты_Вход_2!$A$1:$K$18</definedName>
    <definedName name="_xlnm.Print_Area" localSheetId="39">Затраты_Выход!$A$1:$G$41</definedName>
    <definedName name="_xlnm.Print_Area" localSheetId="77">Налог_на_прибыль!$A$1:$G$185</definedName>
    <definedName name="_xlnm.Print_Area" localSheetId="46">НЗП_ГП!$A$1:$P$19</definedName>
    <definedName name="_xlnm.Print_Area" localSheetId="72">ОКХ!$A$1:$Q$15</definedName>
    <definedName name="_xlnm.Print_Area" localSheetId="18">ОСВ_система!$A$1:$J$66</definedName>
    <definedName name="_xlnm.Print_Area" localSheetId="7">Проверки!$A$1:$G$572</definedName>
    <definedName name="_xlnm.Print_Area" localSheetId="19">Свод_по_счетам!$A$1:$S$37</definedName>
    <definedName name="_xlnm.Print_Area" localSheetId="6">Справочник!$A$1:$CQ$1504</definedName>
    <definedName name="_xlnm.Print_Area" localSheetId="55">Фин_договоры!$A$1:$AE$15</definedName>
    <definedName name="Перечень_видов_долгосроч_дог">OFFSET(Долгосроч_договоры!$CC$9,0,0,COUNTA(Долгосроч_договоры!$CC:$CC),2)</definedName>
    <definedName name="Список_уникальных_видов_долгосроч_дог">OFFSET(Долгосроч_договоры!$CE$10,0,0,MAX(Долгосроч_договоры!$CC:$CC),1)</definedName>
  </definedNames>
  <calcPr calcId="162913"/>
  <customWorkbookViews>
    <customWorkbookView name="NiVKozlov - Личное представление" guid="{3769259D-9653-4B34-A2F6-4FB6F9F4E533}" mergeInterval="0" personalView="1" maximized="1" xWindow="1" yWindow="1" windowWidth="1276" windowHeight="604" tabRatio="813" activeSheetId="74"/>
    <customWorkbookView name="Vinogradova E.A. - Личное представление" guid="{40D7A2BB-326C-4ED3-999C-17852F56D6F4}" mergeInterval="0" personalView="1" maximized="1" xWindow="1" yWindow="1" windowWidth="1436" windowHeight="554" tabRatio="867" activeSheetId="8"/>
    <customWorkbookView name="Андреев - Личное представление" guid="{5D121940-0CE8-4A0E-A493-67FAAA6E0FF8}" mergeInterval="0" personalView="1" maximized="1" xWindow="1" yWindow="1" windowWidth="1276" windowHeight="773" tabRatio="834" activeSheetId="4"/>
    <customWorkbookView name="avtereshin - Личное представление" guid="{47AEACC4-6EA5-412C-AF39-A6C5357B313A}" mergeInterval="0" personalView="1" maximized="1" xWindow="1" yWindow="1" windowWidth="1680" windowHeight="718" tabRatio="717" activeSheetId="81"/>
    <customWorkbookView name="Kayrat S Duysenbaev - Personal View" guid="{4D957B38-5430-481E-B791-E0A66F913B50}" mergeInterval="0" personalView="1" maximized="1" windowWidth="1596" windowHeight="675" tabRatio="909" activeSheetId="27"/>
    <customWorkbookView name="Богословский Илья Алексеевич - Личное представление" guid="{D03DFE91-19D2-43BA-897C-B86D033537EB}" mergeInterval="0" personalView="1" maximized="1" windowWidth="1436" windowHeight="595" tabRatio="909" activeSheetId="45" showComments="commIndAndComment"/>
    <customWorkbookView name="Kayrat.Duysenbaev - Личное представление" guid="{1C36793E-2B7E-411E-AA99-985D5D59B75A}" mergeInterval="0" personalView="1" maximized="1" xWindow="1" yWindow="1" windowWidth="1440" windowHeight="649" tabRatio="909" activeSheetId="55"/>
    <customWorkbookView name="Жуйкова Ирина Николаевна - Личное представление" guid="{C913A9E8-661B-40A4-A3C9-1BC5F2B2E9F0}" mergeInterval="0" personalView="1" maximized="1" xWindow="1" yWindow="1" windowWidth="1436" windowHeight="669" tabRatio="883" activeSheetId="118"/>
  </customWorkbookViews>
</workbook>
</file>

<file path=xl/calcChain.xml><?xml version="1.0" encoding="utf-8"?>
<calcChain xmlns="http://schemas.openxmlformats.org/spreadsheetml/2006/main">
  <c r="I327" i="161" l="1"/>
  <c r="I326" i="161" l="1"/>
  <c r="I316" i="161"/>
  <c r="I317" i="161"/>
  <c r="I318" i="161"/>
  <c r="I319" i="161"/>
  <c r="I320" i="161"/>
  <c r="I321" i="161"/>
  <c r="I322" i="161"/>
  <c r="I323" i="161"/>
  <c r="I324" i="161"/>
  <c r="I325" i="161"/>
  <c r="I315" i="161" l="1"/>
  <c r="I314" i="161" l="1"/>
  <c r="I313" i="161"/>
  <c r="I296" i="161" l="1"/>
  <c r="I297" i="161"/>
  <c r="I298" i="161"/>
  <c r="I299" i="161"/>
  <c r="I300" i="161"/>
  <c r="I301" i="161"/>
  <c r="I302" i="161"/>
  <c r="I303" i="161"/>
  <c r="I304" i="161"/>
  <c r="I305" i="161"/>
  <c r="I306" i="161"/>
  <c r="I307" i="161"/>
  <c r="I308" i="161"/>
  <c r="I309" i="161"/>
  <c r="I310" i="161"/>
  <c r="I311" i="161"/>
  <c r="I312" i="161"/>
  <c r="I295" i="161" l="1"/>
  <c r="I294" i="161"/>
  <c r="I293" i="161"/>
  <c r="I292" i="161"/>
  <c r="I291" i="161"/>
  <c r="I290" i="161"/>
  <c r="I289" i="161"/>
  <c r="I288" i="161"/>
  <c r="I287" i="161"/>
  <c r="I286" i="161"/>
  <c r="I285" i="161"/>
  <c r="I284" i="161"/>
  <c r="I283" i="161"/>
  <c r="I282" i="161"/>
  <c r="I281" i="161"/>
  <c r="I280" i="161"/>
  <c r="I279" i="161"/>
  <c r="I278" i="161"/>
  <c r="I277" i="161"/>
  <c r="I276" i="161"/>
  <c r="I275" i="161"/>
  <c r="I274" i="161"/>
  <c r="I273" i="161"/>
  <c r="I272" i="161"/>
  <c r="I271" i="161"/>
  <c r="I270" i="161"/>
  <c r="I269" i="161"/>
  <c r="I268" i="161"/>
  <c r="I267" i="161"/>
  <c r="I266" i="161"/>
  <c r="I265" i="161"/>
  <c r="I264" i="161"/>
  <c r="I263" i="161"/>
  <c r="I262" i="161"/>
  <c r="I261" i="161"/>
  <c r="I260" i="161"/>
  <c r="I259" i="161"/>
  <c r="I258" i="161"/>
  <c r="I257" i="161"/>
  <c r="I256" i="161"/>
  <c r="I255" i="161"/>
  <c r="I254" i="161"/>
  <c r="I253" i="161"/>
  <c r="I252" i="161"/>
  <c r="I251" i="161"/>
  <c r="I250" i="161"/>
  <c r="I249" i="161"/>
  <c r="I248" i="161" l="1"/>
  <c r="I247" i="161" l="1"/>
  <c r="I246" i="161" l="1"/>
  <c r="A26" i="119" l="1"/>
  <c r="A35" i="32"/>
  <c r="A12" i="83"/>
  <c r="A13" i="83"/>
  <c r="A14" i="83"/>
  <c r="A11" i="83"/>
  <c r="A12" i="82"/>
  <c r="A13" i="82"/>
  <c r="A14" i="82"/>
  <c r="A11" i="82"/>
  <c r="A12" i="81"/>
  <c r="A13" i="81"/>
  <c r="A14" i="81"/>
  <c r="A11" i="81"/>
  <c r="A13" i="73"/>
  <c r="A14" i="73"/>
  <c r="A15" i="73"/>
  <c r="A16" i="73"/>
  <c r="A17" i="73"/>
  <c r="A18" i="73"/>
  <c r="A12" i="73"/>
  <c r="A11" i="73"/>
  <c r="A10" i="73"/>
  <c r="A13" i="72"/>
  <c r="A14" i="72"/>
  <c r="A15" i="72"/>
  <c r="A16" i="72"/>
  <c r="A17" i="72"/>
  <c r="A18" i="72"/>
  <c r="A19" i="72"/>
  <c r="A20" i="72"/>
  <c r="A21" i="72"/>
  <c r="A22" i="72"/>
  <c r="A23" i="72"/>
  <c r="A24" i="72"/>
  <c r="A25" i="72"/>
  <c r="A26" i="72"/>
  <c r="A27" i="72"/>
  <c r="A28" i="72"/>
  <c r="A29" i="72"/>
  <c r="A30" i="72"/>
  <c r="A31" i="72"/>
  <c r="A12" i="72"/>
  <c r="A11" i="72"/>
  <c r="A10" i="72"/>
  <c r="O12" i="92" l="1"/>
  <c r="O13" i="92"/>
  <c r="O14" i="92"/>
  <c r="O15" i="92"/>
  <c r="T12" i="91"/>
  <c r="T13" i="91"/>
  <c r="T14" i="91"/>
  <c r="T15" i="91"/>
  <c r="T16" i="91"/>
  <c r="T17" i="91"/>
  <c r="T18" i="91"/>
  <c r="P16" i="90"/>
  <c r="P17" i="90"/>
  <c r="P18" i="90"/>
  <c r="P19" i="90"/>
  <c r="P20" i="90"/>
  <c r="P21" i="90"/>
  <c r="P22" i="90"/>
  <c r="U12" i="89"/>
  <c r="U13" i="89"/>
  <c r="U14" i="89"/>
  <c r="U15" i="89"/>
  <c r="U16" i="89"/>
  <c r="U17" i="89"/>
  <c r="I245" i="161"/>
  <c r="I243" i="161" l="1"/>
  <c r="I244" i="161"/>
  <c r="K26" i="119"/>
  <c r="K35" i="32"/>
  <c r="N35" i="32" s="1"/>
  <c r="I242" i="161" l="1"/>
  <c r="I241" i="161" l="1"/>
  <c r="F39" i="9" l="1"/>
  <c r="E39" i="9"/>
  <c r="D330" i="8" l="1"/>
  <c r="D329" i="8"/>
  <c r="D328" i="8"/>
  <c r="D326" i="8"/>
  <c r="V12" i="133"/>
  <c r="D327" i="8"/>
  <c r="V25" i="133"/>
  <c r="V13" i="133"/>
  <c r="V14" i="133"/>
  <c r="V15" i="133"/>
  <c r="V16" i="133"/>
  <c r="V17" i="133"/>
  <c r="V18" i="133"/>
  <c r="V19" i="133"/>
  <c r="V20" i="133"/>
  <c r="V21" i="133"/>
  <c r="V22" i="133"/>
  <c r="V23" i="133"/>
  <c r="V24" i="133"/>
  <c r="Z24" i="132"/>
  <c r="Y24" i="132"/>
  <c r="Z23" i="132"/>
  <c r="Y23" i="132"/>
  <c r="Z22" i="132"/>
  <c r="Y22" i="132"/>
  <c r="Z21" i="132"/>
  <c r="Y21" i="132"/>
  <c r="Z20" i="132"/>
  <c r="Y20" i="132"/>
  <c r="Z19" i="132"/>
  <c r="Y19" i="132"/>
  <c r="Z18" i="132"/>
  <c r="Y18" i="132"/>
  <c r="Z17" i="132"/>
  <c r="Y17" i="132"/>
  <c r="Z16" i="132"/>
  <c r="Y16" i="132"/>
  <c r="Z15" i="132"/>
  <c r="Y15" i="132"/>
  <c r="Z14" i="132"/>
  <c r="Y14" i="132"/>
  <c r="Z13" i="132"/>
  <c r="Y13" i="132"/>
  <c r="Z12" i="132"/>
  <c r="Y12" i="132"/>
  <c r="Z11" i="132"/>
  <c r="Y11" i="132"/>
  <c r="Z10" i="132"/>
  <c r="Y10" i="132"/>
  <c r="P15" i="129"/>
  <c r="P14" i="129"/>
  <c r="P13" i="129"/>
  <c r="P12" i="129"/>
  <c r="P11" i="129"/>
  <c r="O15" i="129"/>
  <c r="O12" i="129"/>
  <c r="O13" i="129"/>
  <c r="O14" i="129"/>
  <c r="O11" i="129"/>
  <c r="I234" i="161"/>
  <c r="I235" i="161"/>
  <c r="I236" i="161"/>
  <c r="I237" i="161"/>
  <c r="I238" i="161"/>
  <c r="I239" i="161"/>
  <c r="I240" i="161"/>
  <c r="D192" i="8" l="1"/>
  <c r="AA13" i="80"/>
  <c r="AA14" i="80"/>
  <c r="AA9" i="80" s="1"/>
  <c r="AA15" i="80"/>
  <c r="AA16" i="80"/>
  <c r="AA17" i="80"/>
  <c r="AA18" i="80"/>
  <c r="AA19" i="80"/>
  <c r="AA20" i="80"/>
  <c r="AA21" i="80"/>
  <c r="AA12" i="80"/>
  <c r="K35" i="134" l="1"/>
  <c r="AA10" i="28" l="1"/>
  <c r="AA11" i="28"/>
  <c r="AA12" i="28"/>
  <c r="AA13" i="28"/>
  <c r="AA14" i="28"/>
  <c r="AA15" i="28"/>
  <c r="AA16" i="28"/>
  <c r="AA17" i="28"/>
  <c r="AA18" i="28"/>
  <c r="AA19" i="28"/>
  <c r="AA20" i="28"/>
  <c r="AA21" i="28"/>
  <c r="AA22" i="28"/>
  <c r="AA23" i="28"/>
  <c r="AA24" i="28"/>
  <c r="AA25" i="28"/>
  <c r="AA26" i="28"/>
  <c r="AA9" i="28"/>
  <c r="T9" i="26"/>
  <c r="P22" i="25"/>
  <c r="P23" i="25"/>
  <c r="P24" i="25"/>
  <c r="P25" i="25"/>
  <c r="P26" i="25"/>
  <c r="P27" i="25"/>
  <c r="P28" i="25"/>
  <c r="P29" i="25"/>
  <c r="P30" i="25"/>
  <c r="P31" i="25"/>
  <c r="P11" i="25"/>
  <c r="P12" i="25"/>
  <c r="P13" i="25"/>
  <c r="P14" i="25"/>
  <c r="P15" i="25"/>
  <c r="P16" i="25"/>
  <c r="P17" i="25"/>
  <c r="P18" i="25"/>
  <c r="P19" i="25"/>
  <c r="P20" i="25"/>
  <c r="P10" i="25"/>
  <c r="U12" i="23"/>
  <c r="U13" i="23"/>
  <c r="U14" i="23"/>
  <c r="U15" i="23"/>
  <c r="U16" i="23"/>
  <c r="U17" i="23"/>
  <c r="U18" i="23"/>
  <c r="U19" i="23"/>
  <c r="U20" i="23"/>
  <c r="U21" i="23"/>
  <c r="U11" i="23"/>
  <c r="X11" i="21"/>
  <c r="X12" i="21"/>
  <c r="X13" i="21"/>
  <c r="X14" i="21"/>
  <c r="X15" i="21"/>
  <c r="X10" i="21"/>
  <c r="V10" i="19"/>
  <c r="V11" i="19"/>
  <c r="V12" i="19"/>
  <c r="V13" i="19"/>
  <c r="V14" i="19"/>
  <c r="V15" i="19"/>
  <c r="V16" i="19"/>
  <c r="V17" i="19"/>
  <c r="V18" i="19"/>
  <c r="V9" i="19"/>
  <c r="Y11" i="17" l="1"/>
  <c r="Y12" i="17"/>
  <c r="Y13" i="17"/>
  <c r="Y14" i="17"/>
  <c r="Y15" i="17"/>
  <c r="Y16" i="17"/>
  <c r="U23" i="23" l="1"/>
  <c r="G210" i="161" l="1"/>
  <c r="G211" i="161" s="1"/>
  <c r="D7" i="160" l="1"/>
  <c r="D8" i="160" l="1"/>
  <c r="I7" i="160"/>
  <c r="F70" i="9" l="1"/>
  <c r="E70" i="9"/>
  <c r="E140" i="13" l="1"/>
  <c r="E141" i="13"/>
  <c r="F140" i="13"/>
  <c r="F141" i="13"/>
  <c r="F133" i="13"/>
  <c r="E133" i="13"/>
  <c r="F139" i="13" l="1"/>
  <c r="E139" i="13"/>
  <c r="I206" i="161" l="1"/>
  <c r="H555" i="8" l="1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BJ15" i="95" l="1"/>
  <c r="I202" i="161" l="1"/>
  <c r="DC11" i="59" l="1"/>
  <c r="DC12" i="59"/>
  <c r="DC13" i="59"/>
  <c r="DC14" i="59"/>
  <c r="DC15" i="59"/>
  <c r="DC16" i="59"/>
  <c r="DC17" i="59"/>
  <c r="DC18" i="59"/>
  <c r="DC19" i="59"/>
  <c r="DC20" i="59"/>
  <c r="DC21" i="59"/>
  <c r="DC22" i="59"/>
  <c r="DC23" i="59"/>
  <c r="DC24" i="59"/>
  <c r="DC25" i="59"/>
  <c r="DC26" i="59"/>
  <c r="DC27" i="59"/>
  <c r="DC28" i="59"/>
  <c r="DC29" i="59"/>
  <c r="DC30" i="59"/>
  <c r="DC31" i="59"/>
  <c r="DC32" i="59"/>
  <c r="DC33" i="59"/>
  <c r="DC34" i="59"/>
  <c r="DC35" i="59"/>
  <c r="DC36" i="59"/>
  <c r="DC37" i="59"/>
  <c r="DC38" i="59"/>
  <c r="DC39" i="59"/>
  <c r="DC40" i="59"/>
  <c r="DC41" i="59"/>
  <c r="DC42" i="59"/>
  <c r="DC10" i="59"/>
  <c r="A12" i="69" l="1"/>
  <c r="I12" i="69"/>
  <c r="K12" i="69"/>
  <c r="A9" i="69" l="1"/>
  <c r="A10" i="69"/>
  <c r="A11" i="69"/>
  <c r="A8" i="69"/>
  <c r="A8" i="68"/>
  <c r="D386" i="8" l="1"/>
  <c r="D384" i="8"/>
  <c r="D382" i="8"/>
  <c r="I6" i="66"/>
  <c r="J6" i="67"/>
  <c r="L6" i="68"/>
  <c r="I9" i="69"/>
  <c r="I10" i="69"/>
  <c r="I11" i="69"/>
  <c r="I8" i="69"/>
  <c r="I6" i="69" s="1"/>
  <c r="D388" i="8" s="1"/>
  <c r="L9" i="68"/>
  <c r="L10" i="68"/>
  <c r="L11" i="68"/>
  <c r="L12" i="68"/>
  <c r="L13" i="68"/>
  <c r="L14" i="68"/>
  <c r="L8" i="68"/>
  <c r="I199" i="161" l="1"/>
  <c r="I28" i="160" l="1"/>
  <c r="E28" i="160"/>
  <c r="N28" i="160" s="1"/>
  <c r="D28" i="160"/>
  <c r="I27" i="160"/>
  <c r="E27" i="160"/>
  <c r="D27" i="160"/>
  <c r="F27" i="160" l="1"/>
  <c r="N27" i="160"/>
  <c r="AE35" i="141"/>
  <c r="G196" i="161" l="1"/>
  <c r="G197" i="161" s="1"/>
  <c r="G198" i="161" s="1"/>
  <c r="G199" i="161" s="1"/>
  <c r="G200" i="161" s="1"/>
  <c r="I195" i="161"/>
  <c r="I196" i="161"/>
  <c r="I197" i="161"/>
  <c r="I198" i="161"/>
  <c r="I200" i="161"/>
  <c r="I201" i="161"/>
  <c r="I203" i="161"/>
  <c r="I204" i="161"/>
  <c r="I205" i="161"/>
  <c r="I209" i="161"/>
  <c r="I210" i="161"/>
  <c r="I212" i="161"/>
  <c r="I213" i="161"/>
  <c r="I214" i="161"/>
  <c r="I215" i="161"/>
  <c r="I216" i="161"/>
  <c r="I217" i="161"/>
  <c r="I218" i="161"/>
  <c r="I219" i="161"/>
  <c r="I220" i="161"/>
  <c r="I221" i="161"/>
  <c r="I222" i="161"/>
  <c r="I223" i="161"/>
  <c r="I224" i="161"/>
  <c r="I225" i="161"/>
  <c r="I226" i="161"/>
  <c r="I227" i="161"/>
  <c r="I228" i="161"/>
  <c r="I229" i="161"/>
  <c r="I230" i="161"/>
  <c r="I231" i="161"/>
  <c r="I232" i="161"/>
  <c r="I233" i="161"/>
  <c r="G201" i="161" l="1"/>
  <c r="I194" i="161"/>
  <c r="G202" i="161" l="1"/>
  <c r="G203" i="161" s="1"/>
  <c r="P7" i="14"/>
  <c r="O7" i="14"/>
  <c r="F142" i="8"/>
  <c r="F141" i="8"/>
  <c r="I193" i="161"/>
  <c r="G204" i="161" l="1"/>
  <c r="G205" i="161" s="1"/>
  <c r="I192" i="161"/>
  <c r="G212" i="161" l="1"/>
  <c r="G206" i="161"/>
  <c r="I191" i="161"/>
  <c r="G213" i="161" l="1"/>
  <c r="G214" i="161" s="1"/>
  <c r="G215" i="161" s="1"/>
  <c r="G216" i="161" s="1"/>
  <c r="G217" i="161" s="1"/>
  <c r="G218" i="161" s="1"/>
  <c r="G219" i="161" s="1"/>
  <c r="G220" i="161" s="1"/>
  <c r="E56" i="9"/>
  <c r="E62" i="9"/>
  <c r="G221" i="161" l="1"/>
  <c r="G222" i="161" s="1"/>
  <c r="G223" i="161" s="1"/>
  <c r="G224" i="161" s="1"/>
  <c r="G225" i="161" s="1"/>
  <c r="G226" i="161" s="1"/>
  <c r="G227" i="161" s="1"/>
  <c r="G228" i="161" s="1"/>
  <c r="G229" i="161" s="1"/>
  <c r="G230" i="161" s="1"/>
  <c r="G231" i="161" s="1"/>
  <c r="G232" i="161" s="1"/>
  <c r="G233" i="161" s="1"/>
  <c r="G234" i="161" s="1"/>
  <c r="G235" i="161" s="1"/>
  <c r="G236" i="161" s="1"/>
  <c r="G237" i="161" s="1"/>
  <c r="G238" i="161" s="1"/>
  <c r="G239" i="161" s="1"/>
  <c r="G240" i="161" s="1"/>
  <c r="G241" i="161" s="1"/>
  <c r="G242" i="161" s="1"/>
  <c r="G243" i="161" s="1"/>
  <c r="G244" i="161" s="1"/>
  <c r="G245" i="161" s="1"/>
  <c r="G246" i="161" s="1"/>
  <c r="G247" i="161" s="1"/>
  <c r="G248" i="161" s="1"/>
  <c r="D472" i="8"/>
  <c r="I188" i="161"/>
  <c r="I189" i="161"/>
  <c r="I190" i="161"/>
  <c r="M43" i="137"/>
  <c r="D473" i="8" s="1"/>
  <c r="M44" i="137"/>
  <c r="M45" i="137"/>
  <c r="M46" i="137"/>
  <c r="M47" i="137"/>
  <c r="M46" i="136"/>
  <c r="M47" i="136"/>
  <c r="M48" i="136"/>
  <c r="M49" i="136"/>
  <c r="M50" i="136"/>
  <c r="M51" i="136"/>
  <c r="M52" i="136"/>
  <c r="M53" i="136"/>
  <c r="M54" i="136"/>
  <c r="M55" i="136"/>
  <c r="M56" i="136"/>
  <c r="M57" i="136"/>
  <c r="M58" i="136"/>
  <c r="M59" i="136"/>
  <c r="M60" i="136"/>
  <c r="K36" i="134"/>
  <c r="L9" i="127"/>
  <c r="M42" i="137" l="1"/>
  <c r="M45" i="136"/>
  <c r="I187" i="161"/>
  <c r="I186" i="161" l="1"/>
  <c r="AM15" i="95"/>
  <c r="AM16" i="95"/>
  <c r="AM17" i="95"/>
  <c r="AM18" i="95"/>
  <c r="AM19" i="95"/>
  <c r="AM20" i="95"/>
  <c r="AM21" i="95"/>
  <c r="AM22" i="95"/>
  <c r="AM23" i="95"/>
  <c r="AM24" i="95"/>
  <c r="AM25" i="95"/>
  <c r="AM26" i="95"/>
  <c r="AM27" i="95"/>
  <c r="AM28" i="95"/>
  <c r="AM29" i="95"/>
  <c r="AM30" i="95"/>
  <c r="AM31" i="95"/>
  <c r="AM32" i="95"/>
  <c r="AM33" i="95"/>
  <c r="AM34" i="95"/>
  <c r="AM35" i="95"/>
  <c r="AM36" i="95"/>
  <c r="AM37" i="95"/>
  <c r="AM38" i="95"/>
  <c r="AM39" i="95"/>
  <c r="AM40" i="95"/>
  <c r="AM41" i="95"/>
  <c r="AM42" i="95"/>
  <c r="AM43" i="95"/>
  <c r="AM44" i="95"/>
  <c r="AM45" i="95"/>
  <c r="AM46" i="95"/>
  <c r="AM47" i="95"/>
  <c r="AM48" i="95"/>
  <c r="I183" i="161" l="1"/>
  <c r="I184" i="161"/>
  <c r="I185" i="161"/>
  <c r="I182" i="161" l="1"/>
  <c r="S21" i="9" l="1"/>
  <c r="R21" i="9"/>
  <c r="S15" i="9"/>
  <c r="R15" i="9"/>
  <c r="S22" i="9" l="1"/>
  <c r="R22" i="9"/>
  <c r="I181" i="161" l="1"/>
  <c r="I180" i="161"/>
  <c r="S16" i="9" l="1"/>
  <c r="R16" i="9"/>
  <c r="Z74" i="116" l="1"/>
  <c r="Z73" i="116"/>
  <c r="Z72" i="116"/>
  <c r="Z71" i="116"/>
  <c r="Z70" i="116"/>
  <c r="Z69" i="116"/>
  <c r="Z68" i="116"/>
  <c r="Z67" i="116"/>
  <c r="Z66" i="116"/>
  <c r="Z65" i="116"/>
  <c r="Z64" i="116"/>
  <c r="Z63" i="116"/>
  <c r="Z62" i="116"/>
  <c r="Z61" i="116"/>
  <c r="Z60" i="116"/>
  <c r="Z59" i="116"/>
  <c r="Z58" i="116"/>
  <c r="Z57" i="116"/>
  <c r="Z56" i="116"/>
  <c r="Z55" i="116"/>
  <c r="Z54" i="116"/>
  <c r="Z53" i="116"/>
  <c r="Z52" i="116"/>
  <c r="Z51" i="116"/>
  <c r="Z50" i="116"/>
  <c r="Z49" i="116"/>
  <c r="Z48" i="116"/>
  <c r="Z47" i="116"/>
  <c r="Z46" i="116"/>
  <c r="Z45" i="116"/>
  <c r="Y74" i="116"/>
  <c r="Y73" i="116"/>
  <c r="Y72" i="116"/>
  <c r="Y71" i="116"/>
  <c r="Y70" i="116"/>
  <c r="Y69" i="116"/>
  <c r="Y68" i="116"/>
  <c r="Y67" i="116"/>
  <c r="Y66" i="116"/>
  <c r="Y65" i="116"/>
  <c r="Y64" i="116"/>
  <c r="Y63" i="116"/>
  <c r="Y62" i="116"/>
  <c r="Y61" i="116"/>
  <c r="Y60" i="116"/>
  <c r="Y59" i="116"/>
  <c r="Y58" i="116"/>
  <c r="Y57" i="116"/>
  <c r="Y56" i="116"/>
  <c r="Y55" i="116"/>
  <c r="Y54" i="116"/>
  <c r="Y53" i="116"/>
  <c r="Y52" i="116"/>
  <c r="Y51" i="116"/>
  <c r="Y50" i="116"/>
  <c r="Y49" i="116"/>
  <c r="AC41" i="116" l="1"/>
  <c r="S41" i="116"/>
  <c r="K41" i="116"/>
  <c r="R40" i="116"/>
  <c r="W41" i="116" l="1"/>
  <c r="S46" i="116" l="1"/>
  <c r="S45" i="116"/>
  <c r="J40" i="116"/>
  <c r="W46" i="116" l="1"/>
  <c r="AI31" i="25"/>
  <c r="AI30" i="25"/>
  <c r="AI29" i="25"/>
  <c r="AI28" i="25"/>
  <c r="AI27" i="25"/>
  <c r="AI26" i="25"/>
  <c r="AI25" i="25"/>
  <c r="AI24" i="25"/>
  <c r="AI23" i="25"/>
  <c r="AI22" i="25"/>
  <c r="AI20" i="25"/>
  <c r="AI19" i="25"/>
  <c r="AI18" i="25"/>
  <c r="AI17" i="25"/>
  <c r="AI16" i="25"/>
  <c r="AI15" i="25"/>
  <c r="AI14" i="25"/>
  <c r="AI13" i="25"/>
  <c r="AI12" i="25"/>
  <c r="AI11" i="25"/>
  <c r="AI10" i="25"/>
  <c r="AX18" i="19" l="1"/>
  <c r="AX17" i="19"/>
  <c r="AX16" i="19"/>
  <c r="AX15" i="19"/>
  <c r="AX14" i="19"/>
  <c r="AX13" i="19"/>
  <c r="AX12" i="19"/>
  <c r="AX11" i="19"/>
  <c r="AX10" i="19"/>
  <c r="AX9" i="19"/>
  <c r="S17" i="9" l="1"/>
  <c r="S18" i="9" l="1"/>
  <c r="Z12" i="34"/>
  <c r="Z13" i="34"/>
  <c r="Z14" i="34"/>
  <c r="Z15" i="34"/>
  <c r="Z16" i="34"/>
  <c r="Z17" i="34"/>
  <c r="Z18" i="34"/>
  <c r="Z19" i="34"/>
  <c r="Z20" i="34"/>
  <c r="Z21" i="34"/>
  <c r="Z11" i="34"/>
  <c r="Z10" i="34" l="1"/>
  <c r="AT46" i="116"/>
  <c r="AT47" i="116"/>
  <c r="AT48" i="116"/>
  <c r="AT49" i="116"/>
  <c r="AT50" i="116"/>
  <c r="AT51" i="116"/>
  <c r="AT52" i="116"/>
  <c r="AT53" i="116"/>
  <c r="AT54" i="116"/>
  <c r="AT55" i="116"/>
  <c r="AT56" i="116"/>
  <c r="AT57" i="116"/>
  <c r="AT58" i="116"/>
  <c r="AT59" i="116"/>
  <c r="AT60" i="116"/>
  <c r="AT61" i="116"/>
  <c r="AT62" i="116"/>
  <c r="AT63" i="116"/>
  <c r="AT64" i="116"/>
  <c r="AT65" i="116"/>
  <c r="AT66" i="116"/>
  <c r="AT67" i="116"/>
  <c r="AT68" i="116"/>
  <c r="AT69" i="116"/>
  <c r="AT70" i="116"/>
  <c r="AT71" i="116"/>
  <c r="AT72" i="116"/>
  <c r="AT73" i="116"/>
  <c r="AT74" i="116"/>
  <c r="AT45" i="116"/>
  <c r="AX6" i="19" l="1"/>
  <c r="AI7" i="25" l="1"/>
  <c r="D459" i="8" s="1"/>
  <c r="BK16" i="95" l="1"/>
  <c r="BK17" i="95"/>
  <c r="BK18" i="95"/>
  <c r="BK19" i="95"/>
  <c r="BK20" i="95"/>
  <c r="BK21" i="95"/>
  <c r="BK22" i="95"/>
  <c r="BK23" i="95"/>
  <c r="BK24" i="95"/>
  <c r="BK25" i="95"/>
  <c r="BK26" i="95"/>
  <c r="BK27" i="95"/>
  <c r="BK28" i="95"/>
  <c r="BK29" i="95"/>
  <c r="BK30" i="95"/>
  <c r="BK31" i="95"/>
  <c r="BK32" i="95"/>
  <c r="BK33" i="95"/>
  <c r="BK34" i="95"/>
  <c r="BK35" i="95"/>
  <c r="BK36" i="95"/>
  <c r="BK37" i="95"/>
  <c r="BK38" i="95"/>
  <c r="BK39" i="95"/>
  <c r="BK40" i="95"/>
  <c r="BK41" i="95"/>
  <c r="BK42" i="95"/>
  <c r="BK43" i="95"/>
  <c r="BK44" i="95"/>
  <c r="BK45" i="95"/>
  <c r="BK46" i="95"/>
  <c r="BK47" i="95"/>
  <c r="BK48" i="95"/>
  <c r="AN8" i="17" l="1"/>
  <c r="I167" i="161" l="1"/>
  <c r="E125" i="8" l="1"/>
  <c r="F74" i="8" l="1"/>
  <c r="U39" i="9" l="1"/>
  <c r="V39" i="9"/>
  <c r="V25" i="9" l="1"/>
  <c r="Y35" i="160" l="1"/>
  <c r="Y36" i="160"/>
  <c r="Y37" i="160"/>
  <c r="Y34" i="160"/>
  <c r="G162" i="161" l="1"/>
  <c r="G163" i="161" s="1"/>
  <c r="G164" i="161" s="1"/>
  <c r="G165" i="161" s="1"/>
  <c r="I163" i="161"/>
  <c r="I164" i="161"/>
  <c r="I165" i="161"/>
  <c r="I166" i="161"/>
  <c r="I168" i="161"/>
  <c r="I169" i="161"/>
  <c r="I171" i="161"/>
  <c r="I172" i="161"/>
  <c r="I173" i="161"/>
  <c r="I174" i="161"/>
  <c r="I175" i="161"/>
  <c r="I176" i="161"/>
  <c r="I177" i="161"/>
  <c r="I178" i="161"/>
  <c r="I179" i="161"/>
  <c r="Q59" i="141"/>
  <c r="Q56" i="141"/>
  <c r="Q53" i="141"/>
  <c r="Q50" i="141"/>
  <c r="Q49" i="141" s="1"/>
  <c r="G52" i="141"/>
  <c r="G51" i="141"/>
  <c r="G50" i="141" s="1"/>
  <c r="G49" i="141" s="1"/>
  <c r="G55" i="141"/>
  <c r="G54" i="141"/>
  <c r="G53" i="141" s="1"/>
  <c r="G58" i="141"/>
  <c r="G57" i="141"/>
  <c r="G56" i="141" s="1"/>
  <c r="G61" i="141"/>
  <c r="G60" i="141"/>
  <c r="G62" i="141"/>
  <c r="G59" i="141"/>
  <c r="E59" i="141"/>
  <c r="E56" i="141"/>
  <c r="E53" i="141"/>
  <c r="E50" i="141"/>
  <c r="E49" i="141" s="1"/>
  <c r="G166" i="161" l="1"/>
  <c r="G167" i="161" s="1"/>
  <c r="G168" i="161" s="1"/>
  <c r="G169" i="161" s="1"/>
  <c r="G172" i="161" s="1"/>
  <c r="G173" i="161" s="1"/>
  <c r="G174" i="161" s="1"/>
  <c r="G175" i="161" s="1"/>
  <c r="G176" i="161" s="1"/>
  <c r="G177" i="161" s="1"/>
  <c r="G178" i="161" s="1"/>
  <c r="G179" i="161" s="1"/>
  <c r="G180" i="161" s="1"/>
  <c r="G181" i="161" s="1"/>
  <c r="G182" i="161" s="1"/>
  <c r="G183" i="161" s="1"/>
  <c r="G184" i="161" s="1"/>
  <c r="G185" i="161" s="1"/>
  <c r="G186" i="161" s="1"/>
  <c r="G187" i="161" s="1"/>
  <c r="G188" i="161" s="1"/>
  <c r="G189" i="161" s="1"/>
  <c r="G190" i="161" s="1"/>
  <c r="G191" i="161" s="1"/>
  <c r="G192" i="161" s="1"/>
  <c r="I157" i="161"/>
  <c r="AS16" i="95"/>
  <c r="AS17" i="95"/>
  <c r="AS18" i="95"/>
  <c r="AS19" i="95"/>
  <c r="AS20" i="95"/>
  <c r="AS21" i="95"/>
  <c r="AS22" i="95"/>
  <c r="AS23" i="95"/>
  <c r="AS24" i="95"/>
  <c r="AS25" i="95"/>
  <c r="AS26" i="95"/>
  <c r="AS27" i="95"/>
  <c r="AS28" i="95"/>
  <c r="AS29" i="95"/>
  <c r="AS30" i="95"/>
  <c r="AS31" i="95"/>
  <c r="AS32" i="95"/>
  <c r="AS33" i="95"/>
  <c r="AS34" i="95"/>
  <c r="AS35" i="95"/>
  <c r="AS36" i="95"/>
  <c r="AS37" i="95"/>
  <c r="AS38" i="95"/>
  <c r="AS39" i="95"/>
  <c r="AS40" i="95"/>
  <c r="AS41" i="95"/>
  <c r="AS42" i="95"/>
  <c r="AS43" i="95"/>
  <c r="AS44" i="95"/>
  <c r="AS45" i="95"/>
  <c r="AS46" i="95"/>
  <c r="AS47" i="95"/>
  <c r="AS48" i="95"/>
  <c r="I158" i="161" l="1"/>
  <c r="I159" i="161"/>
  <c r="I160" i="161"/>
  <c r="I161" i="161"/>
  <c r="I162" i="161"/>
  <c r="I156" i="161"/>
  <c r="AS15" i="95"/>
  <c r="I154" i="161" l="1"/>
  <c r="I153" i="161"/>
  <c r="AP45" i="116"/>
  <c r="AD45" i="116" l="1"/>
  <c r="AK9" i="21" l="1"/>
  <c r="AK10" i="21"/>
  <c r="AK11" i="21"/>
  <c r="AK12" i="21"/>
  <c r="AK13" i="21"/>
  <c r="AK14" i="21"/>
  <c r="AK8" i="21"/>
  <c r="AN9" i="17"/>
  <c r="AN10" i="17"/>
  <c r="AN11" i="17"/>
  <c r="AN12" i="17"/>
  <c r="AN13" i="17"/>
  <c r="AM16" i="19"/>
  <c r="AN16" i="19"/>
  <c r="AO16" i="19"/>
  <c r="AP16" i="19"/>
  <c r="AQ16" i="19"/>
  <c r="AR16" i="19"/>
  <c r="AM17" i="19"/>
  <c r="AN17" i="19"/>
  <c r="AO17" i="19"/>
  <c r="AP17" i="19"/>
  <c r="AQ17" i="19"/>
  <c r="AR17" i="19"/>
  <c r="AM18" i="19"/>
  <c r="AN18" i="19"/>
  <c r="AO18" i="19"/>
  <c r="AP18" i="19"/>
  <c r="AQ18" i="19"/>
  <c r="AR18" i="19"/>
  <c r="AS18" i="19" l="1"/>
  <c r="AS17" i="19"/>
  <c r="AS16" i="19"/>
  <c r="AC35" i="116" l="1"/>
  <c r="AC36" i="116"/>
  <c r="AC37" i="116"/>
  <c r="AC39" i="116"/>
  <c r="AC40" i="116"/>
  <c r="AC43" i="116"/>
  <c r="S43" i="116"/>
  <c r="K43" i="116"/>
  <c r="S39" i="116"/>
  <c r="W39" i="116" s="1"/>
  <c r="K39" i="116"/>
  <c r="U38" i="9" s="1"/>
  <c r="S37" i="116"/>
  <c r="W37" i="116" s="1"/>
  <c r="K37" i="116"/>
  <c r="R36" i="116"/>
  <c r="V36" i="116" s="1"/>
  <c r="J36" i="116"/>
  <c r="R35" i="116"/>
  <c r="V35" i="116" s="1"/>
  <c r="J35" i="116"/>
  <c r="V40" i="116" l="1"/>
  <c r="W43" i="116"/>
  <c r="J10" i="142"/>
  <c r="G13" i="141"/>
  <c r="G14" i="141"/>
  <c r="G16" i="141"/>
  <c r="G15" i="141" s="1"/>
  <c r="G17" i="141"/>
  <c r="G20" i="141"/>
  <c r="A19" i="52" l="1"/>
  <c r="O19" i="52"/>
  <c r="Q19" i="52"/>
  <c r="R62" i="44" l="1"/>
  <c r="AK7" i="21" l="1"/>
  <c r="AN6" i="17" l="1"/>
  <c r="B139" i="161"/>
  <c r="B140" i="161" s="1"/>
  <c r="B141" i="161" s="1"/>
  <c r="B142" i="161" s="1"/>
  <c r="B143" i="161" s="1"/>
  <c r="B144" i="161" s="1"/>
  <c r="B145" i="161" s="1"/>
  <c r="B146" i="161" s="1"/>
  <c r="B147" i="161" s="1"/>
  <c r="B148" i="161" s="1"/>
  <c r="B149" i="161" s="1"/>
  <c r="B150" i="161" s="1"/>
  <c r="B151" i="161" s="1"/>
  <c r="B152" i="161" s="1"/>
  <c r="B153" i="161" s="1"/>
  <c r="B154" i="161" s="1"/>
  <c r="B155" i="161" s="1"/>
  <c r="B156" i="161" s="1"/>
  <c r="B157" i="161" s="1"/>
  <c r="B158" i="161" s="1"/>
  <c r="B159" i="161" s="1"/>
  <c r="B160" i="161" s="1"/>
  <c r="B161" i="161" s="1"/>
  <c r="B162" i="161" s="1"/>
  <c r="B163" i="161" s="1"/>
  <c r="B164" i="161" s="1"/>
  <c r="B165" i="161" s="1"/>
  <c r="B166" i="161" s="1"/>
  <c r="B167" i="161" s="1"/>
  <c r="B168" i="161" s="1"/>
  <c r="B169" i="161" s="1"/>
  <c r="B171" i="161" s="1"/>
  <c r="B172" i="161" s="1"/>
  <c r="B173" i="161" s="1"/>
  <c r="B174" i="161" s="1"/>
  <c r="B175" i="161" s="1"/>
  <c r="B176" i="161" s="1"/>
  <c r="B177" i="161" s="1"/>
  <c r="B178" i="161" s="1"/>
  <c r="B179" i="161" s="1"/>
  <c r="B180" i="161" s="1"/>
  <c r="B181" i="161" s="1"/>
  <c r="B182" i="161" s="1"/>
  <c r="B183" i="161" s="1"/>
  <c r="B184" i="161" s="1"/>
  <c r="B185" i="161" s="1"/>
  <c r="B186" i="161" s="1"/>
  <c r="B187" i="161" s="1"/>
  <c r="B188" i="161" s="1"/>
  <c r="B189" i="161" s="1"/>
  <c r="B190" i="161" s="1"/>
  <c r="X12" i="142" l="1"/>
  <c r="X13" i="142"/>
  <c r="X14" i="142"/>
  <c r="X15" i="142"/>
  <c r="X16" i="142"/>
  <c r="X17" i="142"/>
  <c r="X18" i="142"/>
  <c r="X19" i="142"/>
  <c r="X20" i="142"/>
  <c r="X21" i="142"/>
  <c r="X11" i="142"/>
  <c r="AI11" i="142"/>
  <c r="G140" i="161"/>
  <c r="G141" i="161" s="1"/>
  <c r="G142" i="161" s="1"/>
  <c r="G143" i="161" s="1"/>
  <c r="G146" i="161" s="1"/>
  <c r="G147" i="161" s="1"/>
  <c r="I140" i="161"/>
  <c r="I141" i="161"/>
  <c r="I142" i="161"/>
  <c r="I143" i="161"/>
  <c r="I144" i="161"/>
  <c r="I145" i="161"/>
  <c r="I146" i="161"/>
  <c r="I147" i="161"/>
  <c r="I148" i="161"/>
  <c r="I149" i="161"/>
  <c r="I150" i="161"/>
  <c r="I151" i="161"/>
  <c r="I152" i="161"/>
  <c r="I155" i="161"/>
  <c r="I139" i="161" l="1"/>
  <c r="BB11" i="60"/>
  <c r="BC11" i="60"/>
  <c r="BB12" i="60"/>
  <c r="BC12" i="60"/>
  <c r="BB13" i="60"/>
  <c r="BC13" i="60"/>
  <c r="BB14" i="60"/>
  <c r="BC14" i="60"/>
  <c r="BB15" i="60"/>
  <c r="BC15" i="60"/>
  <c r="BB16" i="60"/>
  <c r="BC16" i="60"/>
  <c r="BB17" i="60"/>
  <c r="BC17" i="60"/>
  <c r="BB18" i="60"/>
  <c r="BC18" i="60"/>
  <c r="BB19" i="60"/>
  <c r="BC19" i="60"/>
  <c r="BB20" i="60"/>
  <c r="BC20" i="60"/>
  <c r="BB21" i="60"/>
  <c r="BC21" i="60"/>
  <c r="BB22" i="60"/>
  <c r="BC22" i="60"/>
  <c r="BB23" i="60"/>
  <c r="BC23" i="60"/>
  <c r="BB24" i="60"/>
  <c r="BC24" i="60"/>
  <c r="BB25" i="60"/>
  <c r="BC25" i="60"/>
  <c r="BB26" i="60"/>
  <c r="BC26" i="60"/>
  <c r="BB27" i="60"/>
  <c r="BC27" i="60"/>
  <c r="BB28" i="60"/>
  <c r="BC28" i="60"/>
  <c r="BB29" i="60"/>
  <c r="BC29" i="60"/>
  <c r="BB30" i="60"/>
  <c r="BC30" i="60"/>
  <c r="BB31" i="60"/>
  <c r="BC31" i="60"/>
  <c r="BB32" i="60"/>
  <c r="BC32" i="60"/>
  <c r="BB33" i="60"/>
  <c r="BC33" i="60"/>
  <c r="BB34" i="60"/>
  <c r="BC34" i="60"/>
  <c r="BB35" i="60"/>
  <c r="BC35" i="60"/>
  <c r="BB36" i="60"/>
  <c r="BC36" i="60"/>
  <c r="BB37" i="60"/>
  <c r="BC37" i="60"/>
  <c r="BC10" i="60"/>
  <c r="BB10" i="60"/>
  <c r="E13" i="9" l="1"/>
  <c r="CQ11" i="59" l="1"/>
  <c r="CQ12" i="59"/>
  <c r="CQ13" i="59"/>
  <c r="CQ14" i="59"/>
  <c r="CQ15" i="59"/>
  <c r="CQ16" i="59"/>
  <c r="CQ17" i="59"/>
  <c r="CQ18" i="59"/>
  <c r="CQ19" i="59"/>
  <c r="CQ20" i="59"/>
  <c r="CQ21" i="59"/>
  <c r="CQ22" i="59"/>
  <c r="CQ23" i="59"/>
  <c r="CQ24" i="59"/>
  <c r="CQ25" i="59"/>
  <c r="CQ26" i="59"/>
  <c r="CQ27" i="59"/>
  <c r="CQ28" i="59"/>
  <c r="CQ29" i="59"/>
  <c r="CQ30" i="59"/>
  <c r="CQ31" i="59"/>
  <c r="CQ32" i="59"/>
  <c r="CQ33" i="59"/>
  <c r="CQ34" i="59"/>
  <c r="CQ35" i="59"/>
  <c r="CQ36" i="59"/>
  <c r="CQ37" i="59"/>
  <c r="CQ38" i="59"/>
  <c r="CQ39" i="59"/>
  <c r="CQ40" i="59"/>
  <c r="CQ41" i="59"/>
  <c r="CQ42" i="59"/>
  <c r="CQ10" i="59"/>
  <c r="F5" i="133" l="1" a="1"/>
  <c r="F5" i="133" s="1"/>
  <c r="AM10" i="19" l="1"/>
  <c r="AN10" i="19"/>
  <c r="AO10" i="19"/>
  <c r="AP10" i="19"/>
  <c r="AQ10" i="19"/>
  <c r="AM11" i="19"/>
  <c r="AN11" i="19"/>
  <c r="AO11" i="19"/>
  <c r="AP11" i="19"/>
  <c r="AQ11" i="19"/>
  <c r="AR11" i="19"/>
  <c r="AM12" i="19"/>
  <c r="AN12" i="19"/>
  <c r="AO12" i="19"/>
  <c r="AP12" i="19"/>
  <c r="AQ12" i="19"/>
  <c r="AR12" i="19"/>
  <c r="AM13" i="19"/>
  <c r="AN13" i="19"/>
  <c r="AO13" i="19"/>
  <c r="AP13" i="19"/>
  <c r="AQ13" i="19"/>
  <c r="AR13" i="19"/>
  <c r="AM14" i="19"/>
  <c r="AN14" i="19"/>
  <c r="AO14" i="19"/>
  <c r="AP14" i="19"/>
  <c r="AQ14" i="19"/>
  <c r="AR14" i="19"/>
  <c r="AM15" i="19"/>
  <c r="AN15" i="19"/>
  <c r="AO15" i="19"/>
  <c r="AP15" i="19"/>
  <c r="AQ15" i="19"/>
  <c r="AR15" i="19"/>
  <c r="AQ9" i="19"/>
  <c r="AO9" i="19"/>
  <c r="AN9" i="19"/>
  <c r="AM9" i="19"/>
  <c r="AS15" i="19" l="1"/>
  <c r="AS13" i="19"/>
  <c r="AS11" i="19"/>
  <c r="AS14" i="19"/>
  <c r="AS12" i="19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10" i="141"/>
  <c r="A35" i="116"/>
  <c r="A19" i="116"/>
  <c r="A74" i="116" l="1"/>
  <c r="J74" i="116"/>
  <c r="K74" i="116"/>
  <c r="S74" i="116"/>
  <c r="V74" i="116"/>
  <c r="W74" i="116"/>
  <c r="AB74" i="116"/>
  <c r="AC74" i="116"/>
  <c r="AD74" i="116"/>
  <c r="AI74" i="116"/>
  <c r="AE74" i="116" s="1"/>
  <c r="AJ74" i="116" s="1"/>
  <c r="AP74" i="116"/>
  <c r="AQ74" i="116"/>
  <c r="A73" i="116"/>
  <c r="J73" i="116"/>
  <c r="K73" i="116"/>
  <c r="S73" i="116"/>
  <c r="V73" i="116"/>
  <c r="W73" i="116"/>
  <c r="AB73" i="116"/>
  <c r="AC73" i="116"/>
  <c r="AD73" i="116"/>
  <c r="AI73" i="116"/>
  <c r="AF73" i="116" s="1"/>
  <c r="AK73" i="116" s="1"/>
  <c r="AP73" i="116"/>
  <c r="AQ73" i="116"/>
  <c r="A72" i="116"/>
  <c r="J72" i="116"/>
  <c r="K72" i="116"/>
  <c r="S72" i="116"/>
  <c r="V72" i="116"/>
  <c r="W72" i="116"/>
  <c r="AB72" i="116"/>
  <c r="AC72" i="116"/>
  <c r="AD72" i="116"/>
  <c r="AI72" i="116"/>
  <c r="AE72" i="116" s="1"/>
  <c r="AJ72" i="116" s="1"/>
  <c r="AP72" i="116"/>
  <c r="AQ72" i="116"/>
  <c r="A71" i="116"/>
  <c r="J71" i="116"/>
  <c r="K71" i="116"/>
  <c r="S71" i="116"/>
  <c r="V71" i="116"/>
  <c r="W71" i="116"/>
  <c r="AB71" i="116"/>
  <c r="AC71" i="116"/>
  <c r="AD71" i="116"/>
  <c r="AI71" i="116"/>
  <c r="AE71" i="116" s="1"/>
  <c r="AJ71" i="116" s="1"/>
  <c r="AP71" i="116"/>
  <c r="AQ71" i="116"/>
  <c r="A70" i="116"/>
  <c r="J70" i="116"/>
  <c r="K70" i="116"/>
  <c r="S70" i="116"/>
  <c r="V70" i="116"/>
  <c r="W70" i="116"/>
  <c r="AB70" i="116"/>
  <c r="AC70" i="116"/>
  <c r="AD70" i="116"/>
  <c r="AI70" i="116"/>
  <c r="AE70" i="116" s="1"/>
  <c r="AJ70" i="116" s="1"/>
  <c r="AP70" i="116"/>
  <c r="AQ70" i="116"/>
  <c r="A69" i="116"/>
  <c r="J69" i="116"/>
  <c r="K69" i="116"/>
  <c r="S69" i="116"/>
  <c r="V69" i="116"/>
  <c r="W69" i="116"/>
  <c r="AB69" i="116"/>
  <c r="AC69" i="116"/>
  <c r="AD69" i="116"/>
  <c r="AI69" i="116"/>
  <c r="AE69" i="116" s="1"/>
  <c r="AJ69" i="116" s="1"/>
  <c r="AP69" i="116"/>
  <c r="AQ69" i="116"/>
  <c r="A68" i="116"/>
  <c r="J68" i="116"/>
  <c r="K68" i="116"/>
  <c r="S68" i="116"/>
  <c r="V68" i="116"/>
  <c r="W68" i="116"/>
  <c r="AB68" i="116"/>
  <c r="AC68" i="116"/>
  <c r="AD68" i="116"/>
  <c r="AI68" i="116"/>
  <c r="AE68" i="116" s="1"/>
  <c r="AJ68" i="116" s="1"/>
  <c r="AP68" i="116"/>
  <c r="AQ68" i="116"/>
  <c r="A67" i="116"/>
  <c r="J67" i="116"/>
  <c r="K67" i="116"/>
  <c r="S67" i="116"/>
  <c r="V67" i="116"/>
  <c r="W67" i="116"/>
  <c r="AB67" i="116"/>
  <c r="AC67" i="116"/>
  <c r="AD67" i="116"/>
  <c r="AI67" i="116"/>
  <c r="AE67" i="116" s="1"/>
  <c r="AJ67" i="116" s="1"/>
  <c r="AP67" i="116"/>
  <c r="AQ67" i="116"/>
  <c r="A66" i="116"/>
  <c r="J66" i="116"/>
  <c r="K66" i="116"/>
  <c r="S66" i="116"/>
  <c r="V66" i="116"/>
  <c r="W66" i="116"/>
  <c r="AB66" i="116"/>
  <c r="AC66" i="116"/>
  <c r="AD66" i="116"/>
  <c r="AI66" i="116"/>
  <c r="AE66" i="116" s="1"/>
  <c r="AJ66" i="116" s="1"/>
  <c r="AP66" i="116"/>
  <c r="AQ66" i="116"/>
  <c r="A65" i="116"/>
  <c r="J65" i="116"/>
  <c r="K65" i="116"/>
  <c r="S65" i="116"/>
  <c r="V65" i="116"/>
  <c r="W65" i="116"/>
  <c r="AB65" i="116"/>
  <c r="AC65" i="116"/>
  <c r="AD65" i="116"/>
  <c r="AI65" i="116"/>
  <c r="AE65" i="116" s="1"/>
  <c r="AJ65" i="116" s="1"/>
  <c r="AP65" i="116"/>
  <c r="AQ65" i="116"/>
  <c r="A21" i="142"/>
  <c r="I21" i="142"/>
  <c r="R21" i="142"/>
  <c r="Y21" i="142"/>
  <c r="Z21" i="142"/>
  <c r="AC21" i="142"/>
  <c r="AD21" i="142"/>
  <c r="AE21" i="142"/>
  <c r="AF21" i="142"/>
  <c r="AG21" i="142"/>
  <c r="AH21" i="142"/>
  <c r="AI21" i="142"/>
  <c r="AJ21" i="142"/>
  <c r="AK21" i="142"/>
  <c r="AL21" i="142"/>
  <c r="AM21" i="142"/>
  <c r="A64" i="116"/>
  <c r="J64" i="116"/>
  <c r="K64" i="116"/>
  <c r="S64" i="116"/>
  <c r="V64" i="116"/>
  <c r="W64" i="116"/>
  <c r="AB64" i="116"/>
  <c r="AC64" i="116"/>
  <c r="AD64" i="116"/>
  <c r="AI64" i="116"/>
  <c r="AE64" i="116" s="1"/>
  <c r="AJ64" i="116" s="1"/>
  <c r="AP64" i="116"/>
  <c r="AQ64" i="116"/>
  <c r="A63" i="116"/>
  <c r="J63" i="116"/>
  <c r="K63" i="116"/>
  <c r="S63" i="116"/>
  <c r="W63" i="116" s="1"/>
  <c r="V63" i="116"/>
  <c r="AB63" i="116"/>
  <c r="AC63" i="116"/>
  <c r="AD63" i="116"/>
  <c r="AI63" i="116"/>
  <c r="AE63" i="116" s="1"/>
  <c r="AJ63" i="116" s="1"/>
  <c r="AP63" i="116"/>
  <c r="AQ63" i="116"/>
  <c r="F16" i="17"/>
  <c r="G16" i="17"/>
  <c r="V16" i="17"/>
  <c r="Z16" i="17"/>
  <c r="AA16" i="17"/>
  <c r="AC16" i="17"/>
  <c r="AD16" i="17"/>
  <c r="AE16" i="17"/>
  <c r="AF16" i="17"/>
  <c r="AG16" i="17"/>
  <c r="AH16" i="17"/>
  <c r="AR65" i="116" l="1"/>
  <c r="AS67" i="116"/>
  <c r="AR68" i="116"/>
  <c r="AR70" i="116"/>
  <c r="AR72" i="116"/>
  <c r="AR74" i="116"/>
  <c r="AS66" i="116"/>
  <c r="AR64" i="116"/>
  <c r="AH68" i="116"/>
  <c r="AM68" i="116" s="1"/>
  <c r="AH70" i="116"/>
  <c r="AM70" i="116" s="1"/>
  <c r="AR71" i="116"/>
  <c r="AH72" i="116"/>
  <c r="AM72" i="116" s="1"/>
  <c r="AH74" i="116"/>
  <c r="AM74" i="116" s="1"/>
  <c r="AS72" i="116"/>
  <c r="AS63" i="116"/>
  <c r="AH64" i="116"/>
  <c r="AM64" i="116" s="1"/>
  <c r="AH71" i="116"/>
  <c r="AM71" i="116" s="1"/>
  <c r="AS71" i="116"/>
  <c r="AS70" i="116"/>
  <c r="AR73" i="116"/>
  <c r="AS65" i="116"/>
  <c r="AR66" i="116"/>
  <c r="AH66" i="116"/>
  <c r="AM66" i="116" s="1"/>
  <c r="AR69" i="116"/>
  <c r="AH69" i="116"/>
  <c r="AM69" i="116" s="1"/>
  <c r="AS69" i="116"/>
  <c r="AS73" i="116"/>
  <c r="AS74" i="116"/>
  <c r="AF74" i="116"/>
  <c r="AK74" i="116" s="1"/>
  <c r="A16" i="17"/>
  <c r="AI16" i="17"/>
  <c r="AG74" i="116"/>
  <c r="AL74" i="116" s="1"/>
  <c r="AF72" i="116"/>
  <c r="AK72" i="116" s="1"/>
  <c r="AG73" i="116"/>
  <c r="AL73" i="116" s="1"/>
  <c r="AE73" i="116"/>
  <c r="AJ73" i="116" s="1"/>
  <c r="AH73" i="116"/>
  <c r="AM73" i="116" s="1"/>
  <c r="AF71" i="116"/>
  <c r="AK71" i="116" s="1"/>
  <c r="AG72" i="116"/>
  <c r="AL72" i="116" s="1"/>
  <c r="AF70" i="116"/>
  <c r="AK70" i="116" s="1"/>
  <c r="AG71" i="116"/>
  <c r="AL71" i="116" s="1"/>
  <c r="AF69" i="116"/>
  <c r="AK69" i="116" s="1"/>
  <c r="AG70" i="116"/>
  <c r="AL70" i="116" s="1"/>
  <c r="AS68" i="116"/>
  <c r="AF68" i="116"/>
  <c r="AK68" i="116" s="1"/>
  <c r="AG69" i="116"/>
  <c r="AL69" i="116" s="1"/>
  <c r="AF67" i="116"/>
  <c r="AK67" i="116" s="1"/>
  <c r="AR67" i="116"/>
  <c r="AH67" i="116"/>
  <c r="AM67" i="116" s="1"/>
  <c r="AG68" i="116"/>
  <c r="AL68" i="116" s="1"/>
  <c r="AF66" i="116"/>
  <c r="AK66" i="116" s="1"/>
  <c r="AG67" i="116"/>
  <c r="AL67" i="116" s="1"/>
  <c r="AH65" i="116"/>
  <c r="AM65" i="116" s="1"/>
  <c r="AF65" i="116"/>
  <c r="AK65" i="116" s="1"/>
  <c r="AG66" i="116"/>
  <c r="AL66" i="116" s="1"/>
  <c r="AS64" i="116"/>
  <c r="AF64" i="116"/>
  <c r="AK64" i="116" s="1"/>
  <c r="AG65" i="116"/>
  <c r="AL65" i="116" s="1"/>
  <c r="AG63" i="116"/>
  <c r="AL63" i="116" s="1"/>
  <c r="AR63" i="116"/>
  <c r="AH63" i="116"/>
  <c r="AM63" i="116" s="1"/>
  <c r="AF63" i="116"/>
  <c r="AK63" i="116" s="1"/>
  <c r="AG64" i="116"/>
  <c r="AL64" i="116" s="1"/>
  <c r="U37" i="9" l="1"/>
  <c r="U36" i="9"/>
  <c r="U35" i="9"/>
  <c r="U34" i="9"/>
  <c r="U33" i="9"/>
  <c r="U32" i="9"/>
  <c r="V37" i="9"/>
  <c r="V36" i="9"/>
  <c r="V35" i="9"/>
  <c r="V33" i="9"/>
  <c r="V32" i="9"/>
  <c r="V31" i="9"/>
  <c r="U31" i="9"/>
  <c r="V30" i="9"/>
  <c r="U30" i="9"/>
  <c r="U21" i="9" l="1"/>
  <c r="V21" i="9"/>
  <c r="U25" i="9"/>
  <c r="AT4" i="116"/>
  <c r="D294" i="8" s="1"/>
  <c r="A42" i="116"/>
  <c r="A41" i="116"/>
  <c r="V34" i="9"/>
  <c r="A37" i="116"/>
  <c r="A43" i="116"/>
  <c r="A40" i="116"/>
  <c r="V38" i="9"/>
  <c r="A39" i="116"/>
  <c r="A38" i="116"/>
  <c r="A36" i="116"/>
  <c r="AC9" i="17" l="1"/>
  <c r="AH7" i="19" l="1"/>
  <c r="AF7" i="19"/>
  <c r="AD7" i="19"/>
  <c r="AB7" i="19"/>
  <c r="AA7" i="19"/>
  <c r="Z7" i="19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17" i="42"/>
  <c r="AE9" i="17" l="1"/>
  <c r="AD9" i="17"/>
  <c r="F16" i="13" l="1"/>
  <c r="E21" i="13"/>
  <c r="E16" i="13"/>
  <c r="E15" i="13"/>
  <c r="E11" i="13"/>
  <c r="AL12" i="142" l="1"/>
  <c r="AL13" i="142"/>
  <c r="AL14" i="142"/>
  <c r="AL15" i="142"/>
  <c r="AL16" i="142"/>
  <c r="AL17" i="142"/>
  <c r="AL18" i="142"/>
  <c r="AL19" i="142"/>
  <c r="AL20" i="142"/>
  <c r="AL11" i="142"/>
  <c r="F32" i="8" l="1"/>
  <c r="E32" i="8"/>
  <c r="E51" i="8"/>
  <c r="E31" i="28"/>
  <c r="G32" i="8" l="1"/>
  <c r="D32" i="8" s="1"/>
  <c r="N37" i="60" l="1"/>
  <c r="AT37" i="60"/>
  <c r="AA37" i="60" s="1"/>
  <c r="AW37" i="60"/>
  <c r="AY37" i="60"/>
  <c r="AZ37" i="60" s="1"/>
  <c r="N36" i="60"/>
  <c r="AT36" i="60"/>
  <c r="AA36" i="60" s="1"/>
  <c r="AW36" i="60"/>
  <c r="AY36" i="60"/>
  <c r="AZ36" i="60" s="1"/>
  <c r="N35" i="60"/>
  <c r="AW35" i="60"/>
  <c r="AY35" i="60"/>
  <c r="AZ35" i="60" s="1"/>
  <c r="AZ11" i="60"/>
  <c r="BA11" i="60"/>
  <c r="BE11" i="60"/>
  <c r="AZ12" i="60"/>
  <c r="BA12" i="60" s="1"/>
  <c r="BE12" i="60"/>
  <c r="AZ13" i="60"/>
  <c r="BA13" i="60"/>
  <c r="BE13" i="60"/>
  <c r="AZ14" i="60"/>
  <c r="BA14" i="60" s="1"/>
  <c r="BE14" i="60"/>
  <c r="AZ15" i="60"/>
  <c r="BA15" i="60"/>
  <c r="BE15" i="60"/>
  <c r="AZ16" i="60"/>
  <c r="BA16" i="60" s="1"/>
  <c r="BE16" i="60"/>
  <c r="AZ17" i="60"/>
  <c r="BA17" i="60"/>
  <c r="BE17" i="60"/>
  <c r="AZ18" i="60"/>
  <c r="BA18" i="60" s="1"/>
  <c r="BE18" i="60"/>
  <c r="AZ19" i="60"/>
  <c r="BA19" i="60"/>
  <c r="BE19" i="60"/>
  <c r="AZ20" i="60"/>
  <c r="BA20" i="60" s="1"/>
  <c r="BE20" i="60"/>
  <c r="AZ21" i="60"/>
  <c r="BA21" i="60"/>
  <c r="BE21" i="60"/>
  <c r="AZ22" i="60"/>
  <c r="BA22" i="60" s="1"/>
  <c r="BE22" i="60"/>
  <c r="AZ23" i="60"/>
  <c r="BA23" i="60"/>
  <c r="BE23" i="60"/>
  <c r="AZ24" i="60"/>
  <c r="BA24" i="60" s="1"/>
  <c r="BE24" i="60"/>
  <c r="AZ25" i="60"/>
  <c r="BA25" i="60"/>
  <c r="BE25" i="60"/>
  <c r="AZ26" i="60"/>
  <c r="BA26" i="60" s="1"/>
  <c r="BE26" i="60"/>
  <c r="AZ27" i="60"/>
  <c r="BA27" i="60"/>
  <c r="BE27" i="60"/>
  <c r="AZ28" i="60"/>
  <c r="BA28" i="60" s="1"/>
  <c r="BE28" i="60"/>
  <c r="AZ29" i="60"/>
  <c r="BA29" i="60"/>
  <c r="BE29" i="60"/>
  <c r="AZ30" i="60"/>
  <c r="BA30" i="60" s="1"/>
  <c r="BE30" i="60"/>
  <c r="AZ31" i="60"/>
  <c r="BA31" i="60"/>
  <c r="BE31" i="60"/>
  <c r="AZ32" i="60"/>
  <c r="BA32" i="60" s="1"/>
  <c r="BE32" i="60"/>
  <c r="AZ33" i="60"/>
  <c r="BA33" i="60"/>
  <c r="BE33" i="60"/>
  <c r="BE10" i="60"/>
  <c r="BA10" i="60"/>
  <c r="AZ10" i="60"/>
  <c r="A32" i="165"/>
  <c r="R32" i="165"/>
  <c r="S32" i="165"/>
  <c r="T32" i="165"/>
  <c r="U32" i="165"/>
  <c r="V32" i="165"/>
  <c r="W32" i="165"/>
  <c r="X32" i="165"/>
  <c r="Y32" i="165"/>
  <c r="X13" i="165"/>
  <c r="Y13" i="165"/>
  <c r="X14" i="165"/>
  <c r="Y14" i="165"/>
  <c r="X15" i="165"/>
  <c r="Y15" i="165"/>
  <c r="X16" i="165"/>
  <c r="Y16" i="165"/>
  <c r="X17" i="165"/>
  <c r="Y17" i="165"/>
  <c r="X18" i="165"/>
  <c r="Y18" i="165"/>
  <c r="X19" i="165"/>
  <c r="Y19" i="165"/>
  <c r="X20" i="165"/>
  <c r="Y20" i="165"/>
  <c r="X21" i="165"/>
  <c r="Y21" i="165"/>
  <c r="X22" i="165"/>
  <c r="Y22" i="165"/>
  <c r="X23" i="165"/>
  <c r="Y23" i="165"/>
  <c r="X24" i="165"/>
  <c r="Y24" i="165"/>
  <c r="X25" i="165"/>
  <c r="Y25" i="165"/>
  <c r="X26" i="165"/>
  <c r="Y26" i="165"/>
  <c r="X27" i="165"/>
  <c r="Y27" i="165"/>
  <c r="X28" i="165"/>
  <c r="Y28" i="165"/>
  <c r="X29" i="165"/>
  <c r="Y29" i="165"/>
  <c r="X30" i="165"/>
  <c r="Y30" i="165"/>
  <c r="X31" i="165"/>
  <c r="Y31" i="165"/>
  <c r="Y12" i="165"/>
  <c r="X12" i="165"/>
  <c r="AY10" i="60"/>
  <c r="AY11" i="60"/>
  <c r="AY12" i="60"/>
  <c r="AY13" i="60"/>
  <c r="AY14" i="60"/>
  <c r="AY15" i="60"/>
  <c r="AY16" i="60"/>
  <c r="AY17" i="60"/>
  <c r="AY18" i="60"/>
  <c r="AY19" i="60"/>
  <c r="AY20" i="60"/>
  <c r="AY21" i="60"/>
  <c r="AY22" i="60"/>
  <c r="AY23" i="60"/>
  <c r="AY24" i="60"/>
  <c r="AY25" i="60"/>
  <c r="AY26" i="60"/>
  <c r="AY27" i="60"/>
  <c r="AY28" i="60"/>
  <c r="AY29" i="60"/>
  <c r="AY30" i="60"/>
  <c r="AY31" i="60"/>
  <c r="AY32" i="60"/>
  <c r="AY33" i="60"/>
  <c r="AY34" i="60"/>
  <c r="AZ34" i="60" s="1"/>
  <c r="I122" i="161"/>
  <c r="BE37" i="60" l="1"/>
  <c r="BA37" i="60"/>
  <c r="Z37" i="60"/>
  <c r="AC37" i="60" s="1"/>
  <c r="BE36" i="60"/>
  <c r="BA36" i="60"/>
  <c r="Z36" i="60"/>
  <c r="AC36" i="60" s="1"/>
  <c r="BA34" i="60"/>
  <c r="BE34" i="60"/>
  <c r="AY9" i="60"/>
  <c r="BE35" i="60"/>
  <c r="BA35" i="60"/>
  <c r="BE9" i="60" l="1"/>
  <c r="E15" i="141" l="1"/>
  <c r="E12" i="141" l="1"/>
  <c r="E11" i="141" s="1"/>
  <c r="Q12" i="141"/>
  <c r="Q11" i="141" s="1"/>
  <c r="Q15" i="141"/>
  <c r="F260" i="8" l="1"/>
  <c r="AC15" i="21" l="1"/>
  <c r="AC14" i="21"/>
  <c r="AC13" i="21"/>
  <c r="AC12" i="21"/>
  <c r="AC11" i="21"/>
  <c r="K16" i="44" l="1"/>
  <c r="AF12" i="142"/>
  <c r="AF13" i="142"/>
  <c r="AF14" i="142"/>
  <c r="AF15" i="142"/>
  <c r="AF16" i="142"/>
  <c r="AF17" i="142"/>
  <c r="AF18" i="142"/>
  <c r="AF19" i="142"/>
  <c r="AF20" i="142"/>
  <c r="AF11" i="142"/>
  <c r="X7" i="25"/>
  <c r="AE7" i="19"/>
  <c r="F244" i="8" l="1"/>
  <c r="F121" i="8" l="1"/>
  <c r="F120" i="8"/>
  <c r="F119" i="8"/>
  <c r="F118" i="8"/>
  <c r="F117" i="8"/>
  <c r="F258" i="8" l="1"/>
  <c r="AC7" i="19" l="1"/>
  <c r="I111" i="161" l="1"/>
  <c r="I112" i="161"/>
  <c r="I113" i="161"/>
  <c r="I114" i="161"/>
  <c r="I115" i="161"/>
  <c r="I116" i="161"/>
  <c r="I117" i="161"/>
  <c r="I118" i="161"/>
  <c r="I119" i="161"/>
  <c r="I120" i="161"/>
  <c r="I121" i="161"/>
  <c r="I123" i="161"/>
  <c r="I124" i="161"/>
  <c r="I125" i="161"/>
  <c r="I126" i="161"/>
  <c r="I127" i="161"/>
  <c r="I128" i="161"/>
  <c r="I129" i="161"/>
  <c r="I130" i="161"/>
  <c r="I131" i="161"/>
  <c r="I132" i="161"/>
  <c r="I133" i="161"/>
  <c r="I134" i="161"/>
  <c r="I135" i="161"/>
  <c r="I136" i="161"/>
  <c r="I137" i="161"/>
  <c r="I138" i="161"/>
  <c r="I97" i="161"/>
  <c r="I98" i="161"/>
  <c r="I99" i="161"/>
  <c r="I100" i="161"/>
  <c r="I101" i="161"/>
  <c r="I102" i="161"/>
  <c r="I103" i="161"/>
  <c r="I104" i="161"/>
  <c r="I105" i="161"/>
  <c r="I106" i="161"/>
  <c r="I107" i="161"/>
  <c r="I108" i="161"/>
  <c r="I109" i="161"/>
  <c r="I110" i="161"/>
  <c r="F259" i="8"/>
  <c r="F257" i="8"/>
  <c r="I96" i="161" l="1"/>
  <c r="I95" i="161" l="1"/>
  <c r="AB12" i="51" l="1"/>
  <c r="AB13" i="51"/>
  <c r="AB14" i="51"/>
  <c r="AB15" i="51"/>
  <c r="AB16" i="51"/>
  <c r="AB17" i="51"/>
  <c r="AB18" i="51"/>
  <c r="AB11" i="51"/>
  <c r="BP34" i="134" l="1"/>
  <c r="BP33" i="134"/>
  <c r="BP32" i="134"/>
  <c r="BP31" i="134"/>
  <c r="BO31" i="134"/>
  <c r="BO34" i="134"/>
  <c r="BO33" i="134"/>
  <c r="BO32" i="134"/>
  <c r="I94" i="161"/>
  <c r="BO37" i="134" l="1"/>
  <c r="BP37" i="134"/>
  <c r="BO35" i="134"/>
  <c r="BO36" i="134" s="1"/>
  <c r="BP35" i="134"/>
  <c r="BP36" i="134" s="1"/>
  <c r="I93" i="161"/>
  <c r="AG7" i="19"/>
  <c r="AA7" i="25"/>
  <c r="I91" i="161" l="1"/>
  <c r="I92" i="161"/>
  <c r="I90" i="161" l="1"/>
  <c r="I89" i="161" l="1"/>
  <c r="F18" i="19" l="1"/>
  <c r="G18" i="19"/>
  <c r="S18" i="19"/>
  <c r="W18" i="19"/>
  <c r="A20" i="27"/>
  <c r="A18" i="19" l="1"/>
  <c r="I88" i="161"/>
  <c r="I86" i="161" l="1"/>
  <c r="I87" i="161"/>
  <c r="F16" i="136"/>
  <c r="F17" i="136"/>
  <c r="I15" i="137"/>
  <c r="I14" i="137" l="1"/>
  <c r="AI12" i="142" l="1"/>
  <c r="AI13" i="142"/>
  <c r="AI14" i="142"/>
  <c r="AI15" i="142"/>
  <c r="AI16" i="142"/>
  <c r="AI17" i="142"/>
  <c r="AI18" i="142"/>
  <c r="AI19" i="142"/>
  <c r="AI20" i="142"/>
  <c r="I85" i="161" l="1"/>
  <c r="I84" i="161" l="1"/>
  <c r="G152" i="105" l="1"/>
  <c r="G153" i="105"/>
  <c r="G154" i="105"/>
  <c r="G155" i="105"/>
  <c r="G172" i="105"/>
  <c r="G173" i="105"/>
  <c r="G174" i="105"/>
  <c r="G175" i="105"/>
  <c r="I83" i="161" l="1"/>
  <c r="I81" i="161" l="1"/>
  <c r="I82" i="161"/>
  <c r="F17" i="19" l="1"/>
  <c r="G17" i="19"/>
  <c r="S17" i="19"/>
  <c r="W17" i="19"/>
  <c r="A17" i="19" l="1"/>
  <c r="W11" i="19"/>
  <c r="W12" i="19"/>
  <c r="W13" i="19"/>
  <c r="W14" i="19"/>
  <c r="W15" i="19"/>
  <c r="Y11" i="21"/>
  <c r="Y12" i="21"/>
  <c r="Y13" i="21"/>
  <c r="Y14" i="21"/>
  <c r="AA12" i="17"/>
  <c r="AA13" i="17"/>
  <c r="AA14" i="17"/>
  <c r="W16" i="19"/>
  <c r="Y15" i="21"/>
  <c r="AA15" i="17"/>
  <c r="AA11" i="17"/>
  <c r="AA10" i="17"/>
  <c r="Y10" i="21"/>
  <c r="AA9" i="17"/>
  <c r="W10" i="19"/>
  <c r="W9" i="19"/>
  <c r="F10" i="19" l="1"/>
  <c r="G10" i="19"/>
  <c r="F11" i="19"/>
  <c r="G11" i="19"/>
  <c r="F12" i="19"/>
  <c r="G12" i="19"/>
  <c r="F13" i="19"/>
  <c r="G13" i="19"/>
  <c r="F14" i="19"/>
  <c r="G14" i="19"/>
  <c r="F15" i="19"/>
  <c r="G15" i="19"/>
  <c r="F16" i="19"/>
  <c r="G16" i="19"/>
  <c r="G9" i="19"/>
  <c r="F9" i="19"/>
  <c r="F11" i="21"/>
  <c r="G11" i="21"/>
  <c r="F12" i="21"/>
  <c r="G12" i="21"/>
  <c r="F13" i="21"/>
  <c r="G13" i="21"/>
  <c r="F14" i="21"/>
  <c r="G14" i="21"/>
  <c r="F15" i="21"/>
  <c r="G15" i="21"/>
  <c r="G10" i="21"/>
  <c r="F10" i="21"/>
  <c r="F10" i="17"/>
  <c r="G10" i="17"/>
  <c r="F11" i="17"/>
  <c r="G11" i="17"/>
  <c r="F12" i="17"/>
  <c r="G12" i="17"/>
  <c r="F13" i="17"/>
  <c r="G13" i="17"/>
  <c r="F14" i="17"/>
  <c r="G14" i="17"/>
  <c r="F15" i="17"/>
  <c r="G15" i="17"/>
  <c r="F9" i="17"/>
  <c r="G9" i="17"/>
  <c r="V11" i="58" l="1"/>
  <c r="V12" i="58"/>
  <c r="V13" i="58"/>
  <c r="V14" i="58"/>
  <c r="V15" i="58"/>
  <c r="V16" i="58"/>
  <c r="V17" i="58"/>
  <c r="V18" i="58"/>
  <c r="V19" i="58"/>
  <c r="V20" i="58"/>
  <c r="V21" i="58"/>
  <c r="S10" i="58" l="1"/>
  <c r="S11" i="58"/>
  <c r="S12" i="58"/>
  <c r="S13" i="58"/>
  <c r="S14" i="58"/>
  <c r="S15" i="58"/>
  <c r="S16" i="58"/>
  <c r="S17" i="58"/>
  <c r="S18" i="58"/>
  <c r="S19" i="58"/>
  <c r="S20" i="58"/>
  <c r="S21" i="58"/>
  <c r="AE15" i="21" l="1"/>
  <c r="AD15" i="21"/>
  <c r="AB15" i="21"/>
  <c r="AA15" i="21"/>
  <c r="Z15" i="21"/>
  <c r="AE14" i="21"/>
  <c r="AD14" i="21"/>
  <c r="AB14" i="21"/>
  <c r="AA14" i="21"/>
  <c r="Z14" i="21"/>
  <c r="AE13" i="21"/>
  <c r="AD13" i="21"/>
  <c r="AB13" i="21"/>
  <c r="AA13" i="21"/>
  <c r="Z13" i="21"/>
  <c r="AE12" i="21"/>
  <c r="AD12" i="21"/>
  <c r="AB12" i="21"/>
  <c r="AA12" i="21"/>
  <c r="Z12" i="21"/>
  <c r="AE11" i="21"/>
  <c r="AD11" i="21"/>
  <c r="AB11" i="21"/>
  <c r="AA11" i="21"/>
  <c r="Z11" i="21"/>
  <c r="AE10" i="21"/>
  <c r="AD10" i="21"/>
  <c r="AA10" i="21"/>
  <c r="AB10" i="21"/>
  <c r="Z10" i="21"/>
  <c r="AF14" i="21" l="1"/>
  <c r="AF15" i="21"/>
  <c r="I79" i="161"/>
  <c r="U15" i="21"/>
  <c r="Y7" i="21"/>
  <c r="D458" i="8" s="1"/>
  <c r="A11" i="21"/>
  <c r="A12" i="21"/>
  <c r="A13" i="21"/>
  <c r="A14" i="21"/>
  <c r="I77" i="161"/>
  <c r="I78" i="161"/>
  <c r="A15" i="21" l="1"/>
  <c r="A10" i="21"/>
  <c r="I75" i="161"/>
  <c r="I74" i="161"/>
  <c r="AA8" i="17" l="1"/>
  <c r="D456" i="8" s="1"/>
  <c r="W6" i="19"/>
  <c r="D457" i="8" s="1"/>
  <c r="S16" i="19"/>
  <c r="A15" i="17"/>
  <c r="V15" i="17"/>
  <c r="Z15" i="17"/>
  <c r="AC15" i="17"/>
  <c r="AD15" i="17"/>
  <c r="AE15" i="17"/>
  <c r="AF15" i="17"/>
  <c r="AG15" i="17"/>
  <c r="AH15" i="17"/>
  <c r="S15" i="19"/>
  <c r="A14" i="17"/>
  <c r="V14" i="17"/>
  <c r="Z14" i="17"/>
  <c r="AC14" i="17"/>
  <c r="AD14" i="17"/>
  <c r="AE14" i="17"/>
  <c r="AF14" i="17"/>
  <c r="AG14" i="17"/>
  <c r="AH14" i="17"/>
  <c r="A10" i="17"/>
  <c r="A11" i="17"/>
  <c r="A12" i="17"/>
  <c r="A13" i="17"/>
  <c r="A9" i="17" l="1"/>
  <c r="A9" i="19"/>
  <c r="A15" i="19"/>
  <c r="A14" i="19"/>
  <c r="A13" i="19"/>
  <c r="A12" i="19"/>
  <c r="A11" i="19"/>
  <c r="A10" i="19"/>
  <c r="A16" i="19"/>
  <c r="AI15" i="17"/>
  <c r="AI14" i="17"/>
  <c r="Z12" i="142"/>
  <c r="Z13" i="142"/>
  <c r="Z14" i="142"/>
  <c r="Z15" i="142"/>
  <c r="Z16" i="142"/>
  <c r="Z17" i="142"/>
  <c r="Z18" i="142"/>
  <c r="Z19" i="142"/>
  <c r="Z20" i="142"/>
  <c r="Z11" i="142"/>
  <c r="A20" i="143" l="1"/>
  <c r="F20" i="143"/>
  <c r="R20" i="143"/>
  <c r="T20" i="143" s="1"/>
  <c r="V20" i="143" s="1"/>
  <c r="I69" i="161" l="1"/>
  <c r="I67" i="161" l="1"/>
  <c r="I68" i="161"/>
  <c r="I70" i="161"/>
  <c r="I71" i="161"/>
  <c r="I72" i="161"/>
  <c r="I73" i="161"/>
  <c r="I76" i="161"/>
  <c r="I80" i="161"/>
  <c r="F61" i="8"/>
  <c r="F63" i="8"/>
  <c r="F66" i="8"/>
  <c r="I66" i="161" l="1"/>
  <c r="I65" i="161" l="1"/>
  <c r="V10" i="58"/>
  <c r="V9" i="58" l="1"/>
  <c r="I64" i="161"/>
  <c r="J25" i="164" l="1"/>
  <c r="K25" i="164"/>
  <c r="A201" i="30"/>
  <c r="A11" i="142" l="1"/>
  <c r="A128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133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9" i="13"/>
  <c r="A130" i="13"/>
  <c r="A131" i="13"/>
  <c r="A132" i="13"/>
  <c r="A21" i="13"/>
  <c r="A10" i="13"/>
  <c r="A11" i="13"/>
  <c r="A12" i="13"/>
  <c r="A13" i="13"/>
  <c r="A14" i="13"/>
  <c r="A15" i="13"/>
  <c r="A16" i="13"/>
  <c r="A17" i="13"/>
  <c r="A18" i="13"/>
  <c r="A19" i="13"/>
  <c r="A20" i="13"/>
  <c r="A9" i="13"/>
  <c r="A19" i="9" l="1"/>
  <c r="A36" i="9"/>
  <c r="A17" i="9"/>
  <c r="A15" i="9"/>
  <c r="A25" i="119"/>
  <c r="A24" i="119"/>
  <c r="A23" i="119"/>
  <c r="A32" i="32"/>
  <c r="A33" i="32"/>
  <c r="A34" i="32"/>
  <c r="A39" i="37"/>
  <c r="A67" i="37"/>
  <c r="A39" i="36"/>
  <c r="A67" i="36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25" i="28"/>
  <c r="A24" i="28"/>
  <c r="I63" i="161" l="1"/>
  <c r="K10" i="142" l="1"/>
  <c r="L10" i="142"/>
  <c r="M10" i="142"/>
  <c r="N10" i="142"/>
  <c r="O10" i="142"/>
  <c r="P10" i="142"/>
  <c r="Q10" i="142"/>
  <c r="S10" i="142"/>
  <c r="T10" i="142"/>
  <c r="I62" i="161" l="1"/>
  <c r="CA16" i="95" l="1"/>
  <c r="CA17" i="95"/>
  <c r="CA18" i="95"/>
  <c r="CA19" i="95"/>
  <c r="CA20" i="95"/>
  <c r="CA21" i="95"/>
  <c r="CA22" i="95"/>
  <c r="CA23" i="95"/>
  <c r="CA24" i="95"/>
  <c r="CA25" i="95"/>
  <c r="CA26" i="95"/>
  <c r="CA27" i="95"/>
  <c r="CA28" i="95"/>
  <c r="CA29" i="95"/>
  <c r="CA30" i="95"/>
  <c r="CA31" i="95"/>
  <c r="CA32" i="95"/>
  <c r="CA33" i="95"/>
  <c r="CA34" i="95"/>
  <c r="CA35" i="95"/>
  <c r="CA36" i="95"/>
  <c r="CA37" i="95"/>
  <c r="CA38" i="95"/>
  <c r="CA39" i="95"/>
  <c r="CA40" i="95"/>
  <c r="CA41" i="95"/>
  <c r="CA42" i="95"/>
  <c r="CA43" i="95"/>
  <c r="CA44" i="95"/>
  <c r="CA45" i="95"/>
  <c r="CA46" i="95"/>
  <c r="CA47" i="95"/>
  <c r="CA48" i="95"/>
  <c r="CA15" i="95"/>
  <c r="A15" i="112" l="1"/>
  <c r="F15" i="112"/>
  <c r="I15" i="112"/>
  <c r="Q15" i="112"/>
  <c r="S15" i="112" s="1"/>
  <c r="V15" i="112"/>
  <c r="Y15" i="112" l="1"/>
  <c r="S42" i="141"/>
  <c r="R42" i="141"/>
  <c r="O42" i="141"/>
  <c r="N42" i="141"/>
  <c r="M42" i="141"/>
  <c r="J42" i="141"/>
  <c r="F42" i="141"/>
  <c r="D42" i="141"/>
  <c r="AM12" i="142" l="1"/>
  <c r="AM13" i="142"/>
  <c r="AM14" i="142"/>
  <c r="AM15" i="142"/>
  <c r="AM16" i="142"/>
  <c r="AM17" i="142"/>
  <c r="AM18" i="142"/>
  <c r="AM19" i="142"/>
  <c r="AM20" i="142"/>
  <c r="AM11" i="142"/>
  <c r="H61" i="141"/>
  <c r="Y61" i="141" s="1"/>
  <c r="H60" i="141"/>
  <c r="Y60" i="141" s="1"/>
  <c r="H58" i="141"/>
  <c r="Y58" i="141" s="1"/>
  <c r="H57" i="141"/>
  <c r="Y57" i="141" s="1"/>
  <c r="H55" i="141"/>
  <c r="Y55" i="141" s="1"/>
  <c r="H54" i="141"/>
  <c r="Y54" i="141" s="1"/>
  <c r="H52" i="141"/>
  <c r="Y52" i="141" s="1"/>
  <c r="H51" i="141"/>
  <c r="H48" i="141"/>
  <c r="K45" i="141"/>
  <c r="H44" i="141"/>
  <c r="K42" i="141"/>
  <c r="H42" i="141"/>
  <c r="O41" i="141"/>
  <c r="N41" i="141"/>
  <c r="M41" i="141"/>
  <c r="K41" i="141"/>
  <c r="J41" i="141"/>
  <c r="H41" i="141"/>
  <c r="F41" i="141"/>
  <c r="D41" i="141"/>
  <c r="H39" i="141"/>
  <c r="S41" i="141"/>
  <c r="R41" i="141"/>
  <c r="Y51" i="141"/>
  <c r="AM10" i="142" l="1"/>
  <c r="D443" i="8" s="1"/>
  <c r="P42" i="141"/>
  <c r="Y12" i="142"/>
  <c r="AC12" i="142"/>
  <c r="AD12" i="142"/>
  <c r="AE12" i="142"/>
  <c r="AG12" i="142"/>
  <c r="AH12" i="142"/>
  <c r="AJ12" i="142"/>
  <c r="AK12" i="142"/>
  <c r="Y13" i="142"/>
  <c r="AC13" i="142"/>
  <c r="AD13" i="142"/>
  <c r="AE13" i="142"/>
  <c r="AG13" i="142"/>
  <c r="AH13" i="142"/>
  <c r="AJ13" i="142"/>
  <c r="AK13" i="142"/>
  <c r="Y14" i="142"/>
  <c r="AC14" i="142"/>
  <c r="AD14" i="142"/>
  <c r="AE14" i="142"/>
  <c r="AG14" i="142"/>
  <c r="AH14" i="142"/>
  <c r="AJ14" i="142"/>
  <c r="AK14" i="142"/>
  <c r="Y15" i="142"/>
  <c r="AC15" i="142"/>
  <c r="AD15" i="142"/>
  <c r="AE15" i="142"/>
  <c r="AG15" i="142"/>
  <c r="AH15" i="142"/>
  <c r="AJ15" i="142"/>
  <c r="AK15" i="142"/>
  <c r="Y16" i="142"/>
  <c r="AC16" i="142"/>
  <c r="AD16" i="142"/>
  <c r="AE16" i="142"/>
  <c r="AG16" i="142"/>
  <c r="AH16" i="142"/>
  <c r="AJ16" i="142"/>
  <c r="AK16" i="142"/>
  <c r="Y17" i="142"/>
  <c r="AC17" i="142"/>
  <c r="AD17" i="142"/>
  <c r="AE17" i="142"/>
  <c r="AG17" i="142"/>
  <c r="AH17" i="142"/>
  <c r="AJ17" i="142"/>
  <c r="AK17" i="142"/>
  <c r="Y18" i="142"/>
  <c r="AC18" i="142"/>
  <c r="AD18" i="142"/>
  <c r="AE18" i="142"/>
  <c r="AG18" i="142"/>
  <c r="AH18" i="142"/>
  <c r="AJ18" i="142"/>
  <c r="AK18" i="142"/>
  <c r="Y19" i="142"/>
  <c r="AC19" i="142"/>
  <c r="AD19" i="142"/>
  <c r="AE19" i="142"/>
  <c r="AG19" i="142"/>
  <c r="AH19" i="142"/>
  <c r="AJ19" i="142"/>
  <c r="AK19" i="142"/>
  <c r="Y20" i="142"/>
  <c r="AC20" i="142"/>
  <c r="AD20" i="142"/>
  <c r="AE20" i="142"/>
  <c r="AG20" i="142"/>
  <c r="AH20" i="142"/>
  <c r="AJ20" i="142"/>
  <c r="AK20" i="142"/>
  <c r="AK11" i="142"/>
  <c r="AJ11" i="142"/>
  <c r="AI10" i="142"/>
  <c r="AH11" i="142"/>
  <c r="AG11" i="142"/>
  <c r="AG10" i="142" s="1"/>
  <c r="AE11" i="142"/>
  <c r="AD11" i="142"/>
  <c r="AC11" i="142"/>
  <c r="Y11" i="142"/>
  <c r="Y10" i="142" s="1"/>
  <c r="V10" i="142"/>
  <c r="R20" i="142"/>
  <c r="R19" i="142"/>
  <c r="R18" i="142"/>
  <c r="R17" i="142"/>
  <c r="R16" i="142"/>
  <c r="R15" i="142"/>
  <c r="R14" i="142"/>
  <c r="R13" i="142"/>
  <c r="R12" i="142"/>
  <c r="R11" i="142"/>
  <c r="I20" i="142"/>
  <c r="I19" i="142"/>
  <c r="I18" i="142"/>
  <c r="I17" i="142"/>
  <c r="I16" i="142"/>
  <c r="I15" i="142"/>
  <c r="I14" i="142"/>
  <c r="I13" i="142"/>
  <c r="I12" i="142"/>
  <c r="I11" i="142"/>
  <c r="AK10" i="142" l="1"/>
  <c r="R10" i="142"/>
  <c r="I10" i="142"/>
  <c r="AE10" i="142"/>
  <c r="AJ10" i="142"/>
  <c r="AF10" i="142"/>
  <c r="AH10" i="142"/>
  <c r="AD10" i="142"/>
  <c r="AC10" i="142"/>
  <c r="X10" i="142"/>
  <c r="Z10" i="142"/>
  <c r="AL10" i="142"/>
  <c r="D442" i="8" s="1"/>
  <c r="I54" i="161"/>
  <c r="I55" i="161"/>
  <c r="I56" i="161"/>
  <c r="I57" i="161"/>
  <c r="I58" i="161"/>
  <c r="I59" i="161"/>
  <c r="I60" i="161"/>
  <c r="I61" i="161"/>
  <c r="I53" i="161" l="1"/>
  <c r="I52" i="161" l="1"/>
  <c r="I50" i="161"/>
  <c r="I51" i="161"/>
  <c r="I49" i="161" l="1"/>
  <c r="I48" i="161"/>
  <c r="AH13" i="17" l="1"/>
  <c r="AG13" i="17"/>
  <c r="AF13" i="17"/>
  <c r="AH12" i="17"/>
  <c r="AG12" i="17"/>
  <c r="AF12" i="17"/>
  <c r="AH11" i="17"/>
  <c r="AH10" i="17"/>
  <c r="AE13" i="17"/>
  <c r="AD13" i="17"/>
  <c r="AC13" i="17"/>
  <c r="AE12" i="17"/>
  <c r="AD12" i="17"/>
  <c r="AC12" i="17"/>
  <c r="AE11" i="17"/>
  <c r="AD11" i="17"/>
  <c r="AC11" i="17"/>
  <c r="AE10" i="17"/>
  <c r="AD10" i="17"/>
  <c r="AC10" i="17"/>
  <c r="AI13" i="17" l="1"/>
  <c r="AI12" i="17"/>
  <c r="AF11" i="21"/>
  <c r="AF12" i="21"/>
  <c r="AF13" i="21"/>
  <c r="F138" i="13" l="1"/>
  <c r="E138" i="13"/>
  <c r="E132" i="13"/>
  <c r="F137" i="13"/>
  <c r="E137" i="13"/>
  <c r="F136" i="13"/>
  <c r="E136" i="13"/>
  <c r="V23" i="9" l="1"/>
  <c r="E36" i="9" l="1"/>
  <c r="I47" i="161"/>
  <c r="I37" i="137" l="1"/>
  <c r="I31" i="137"/>
  <c r="I32" i="137"/>
  <c r="I33" i="137"/>
  <c r="I34" i="137"/>
  <c r="I35" i="137"/>
  <c r="I36" i="137"/>
  <c r="F33" i="136"/>
  <c r="F39" i="136"/>
  <c r="F32" i="136"/>
  <c r="F34" i="136"/>
  <c r="F35" i="136"/>
  <c r="F36" i="136"/>
  <c r="F37" i="136"/>
  <c r="F38" i="136"/>
  <c r="I46" i="161" l="1"/>
  <c r="F17" i="9" l="1"/>
  <c r="I44" i="161" l="1"/>
  <c r="U14" i="21"/>
  <c r="I9" i="21"/>
  <c r="J9" i="21"/>
  <c r="K9" i="21"/>
  <c r="L9" i="21"/>
  <c r="M9" i="21"/>
  <c r="N9" i="21"/>
  <c r="O9" i="21"/>
  <c r="P9" i="21"/>
  <c r="Q9" i="21"/>
  <c r="R9" i="21"/>
  <c r="S9" i="21"/>
  <c r="T9" i="21"/>
  <c r="V9" i="21"/>
  <c r="H9" i="21"/>
  <c r="E19" i="13" s="1"/>
  <c r="U13" i="21"/>
  <c r="U11" i="21"/>
  <c r="U12" i="21"/>
  <c r="E13" i="13" l="1"/>
  <c r="E14" i="13"/>
  <c r="E12" i="13" l="1"/>
  <c r="J24" i="164"/>
  <c r="K24" i="164"/>
  <c r="D47" i="137"/>
  <c r="L47" i="137"/>
  <c r="I42" i="161" l="1"/>
  <c r="I43" i="161"/>
  <c r="I45" i="161"/>
  <c r="AC33" i="141"/>
  <c r="AC43" i="141"/>
  <c r="I41" i="161" l="1"/>
  <c r="AA44" i="141"/>
  <c r="I40" i="161" l="1"/>
  <c r="I39" i="161" l="1"/>
  <c r="V13" i="17" l="1"/>
  <c r="Z13" i="17"/>
  <c r="S14" i="19"/>
  <c r="I38" i="161" l="1"/>
  <c r="I36" i="161" l="1"/>
  <c r="I37" i="161"/>
  <c r="I35" i="161"/>
  <c r="I34" i="161"/>
  <c r="BK32" i="134" l="1"/>
  <c r="BK31" i="134"/>
  <c r="BJ32" i="134"/>
  <c r="BJ31" i="134"/>
  <c r="BG32" i="134"/>
  <c r="BG31" i="134"/>
  <c r="I33" i="161" l="1"/>
  <c r="I32" i="161" l="1"/>
  <c r="V12" i="17"/>
  <c r="Z12" i="17"/>
  <c r="X25" i="28" l="1"/>
  <c r="X24" i="28"/>
  <c r="I31" i="161"/>
  <c r="F15" i="9" l="1"/>
  <c r="I30" i="161" l="1"/>
  <c r="I29" i="161"/>
  <c r="I8" i="17" l="1"/>
  <c r="E10" i="13" s="1"/>
  <c r="J8" i="17"/>
  <c r="K8" i="17"/>
  <c r="L8" i="17"/>
  <c r="M8" i="17"/>
  <c r="N8" i="17"/>
  <c r="O8" i="17"/>
  <c r="P8" i="17"/>
  <c r="Q8" i="17"/>
  <c r="R8" i="17"/>
  <c r="S8" i="17"/>
  <c r="T8" i="17"/>
  <c r="U8" i="17"/>
  <c r="W8" i="17"/>
  <c r="F10" i="13" s="1"/>
  <c r="H8" i="17"/>
  <c r="I8" i="19"/>
  <c r="E17" i="13" s="1"/>
  <c r="J8" i="19"/>
  <c r="K8" i="19"/>
  <c r="L8" i="19"/>
  <c r="M8" i="19"/>
  <c r="N8" i="19"/>
  <c r="O8" i="19"/>
  <c r="P8" i="19"/>
  <c r="Q8" i="19"/>
  <c r="R8" i="19"/>
  <c r="T8" i="19"/>
  <c r="F17" i="13" s="1"/>
  <c r="H8" i="19"/>
  <c r="S13" i="19"/>
  <c r="V11" i="17"/>
  <c r="Z11" i="17"/>
  <c r="S12" i="19"/>
  <c r="V10" i="17"/>
  <c r="Y10" i="17" s="1"/>
  <c r="Z10" i="17"/>
  <c r="AC3" i="17"/>
  <c r="S11" i="19"/>
  <c r="S9" i="19"/>
  <c r="S10" i="19"/>
  <c r="AR10" i="19" s="1"/>
  <c r="AS10" i="19" s="1"/>
  <c r="A19" i="27"/>
  <c r="AR9" i="19" l="1"/>
  <c r="F14" i="13"/>
  <c r="F15" i="13"/>
  <c r="AH9" i="17"/>
  <c r="AG10" i="17"/>
  <c r="AG11" i="17"/>
  <c r="AG9" i="17"/>
  <c r="F13" i="13"/>
  <c r="AF10" i="17"/>
  <c r="E9" i="13"/>
  <c r="F12" i="9" s="1"/>
  <c r="S11" i="107" s="1"/>
  <c r="E240" i="8"/>
  <c r="E238" i="8"/>
  <c r="T4" i="17"/>
  <c r="S5" i="21"/>
  <c r="S8" i="19"/>
  <c r="BN34" i="134"/>
  <c r="BN33" i="134"/>
  <c r="BM34" i="134"/>
  <c r="BM33" i="134"/>
  <c r="BK34" i="134"/>
  <c r="BK33" i="134"/>
  <c r="BN32" i="134"/>
  <c r="BN31" i="134"/>
  <c r="BM32" i="134"/>
  <c r="BM31" i="134"/>
  <c r="BI31" i="134"/>
  <c r="BL34" i="134"/>
  <c r="BL33" i="134"/>
  <c r="BL32" i="134"/>
  <c r="BL31" i="134"/>
  <c r="BI34" i="134"/>
  <c r="BI33" i="134"/>
  <c r="BI32" i="134"/>
  <c r="BJ34" i="134"/>
  <c r="BJ33" i="134"/>
  <c r="BG34" i="134"/>
  <c r="BG33" i="134"/>
  <c r="BH34" i="134"/>
  <c r="BH33" i="134"/>
  <c r="BH32" i="134"/>
  <c r="BH31" i="134"/>
  <c r="BE34" i="134"/>
  <c r="BD33" i="134"/>
  <c r="BF32" i="134"/>
  <c r="BA31" i="134"/>
  <c r="AU31" i="134"/>
  <c r="I28" i="161"/>
  <c r="K10" i="135"/>
  <c r="K11" i="135"/>
  <c r="H12" i="134"/>
  <c r="H11" i="134"/>
  <c r="H13" i="134"/>
  <c r="I27" i="161"/>
  <c r="V6" i="19" l="1"/>
  <c r="F12" i="13"/>
  <c r="P6" i="14" s="1"/>
  <c r="AI10" i="17"/>
  <c r="O5" i="14"/>
  <c r="BK37" i="134"/>
  <c r="BH37" i="134"/>
  <c r="BG35" i="134"/>
  <c r="BG36" i="134" s="1"/>
  <c r="BJ37" i="134"/>
  <c r="BI37" i="134"/>
  <c r="BL35" i="134"/>
  <c r="BL36" i="134" s="1"/>
  <c r="BK35" i="134"/>
  <c r="BK36" i="134" s="1"/>
  <c r="BM35" i="134"/>
  <c r="BM36" i="134" s="1"/>
  <c r="BJ35" i="134"/>
  <c r="BJ36" i="134" s="1"/>
  <c r="BM37" i="134"/>
  <c r="BL37" i="134"/>
  <c r="BG37" i="134"/>
  <c r="BN35" i="134"/>
  <c r="BN36" i="134" s="1"/>
  <c r="BN37" i="134"/>
  <c r="BH35" i="134"/>
  <c r="BH36" i="134" s="1"/>
  <c r="BI35" i="134"/>
  <c r="BI36" i="134" s="1"/>
  <c r="I26" i="161" l="1"/>
  <c r="D31" i="4" l="1"/>
  <c r="I25" i="161" l="1"/>
  <c r="I24" i="161" l="1"/>
  <c r="I22" i="161" l="1"/>
  <c r="I23" i="161"/>
  <c r="I21" i="161"/>
  <c r="I11" i="9"/>
  <c r="I22" i="9" s="1"/>
  <c r="H11" i="9"/>
  <c r="H22" i="9" s="1"/>
  <c r="I31" i="9"/>
  <c r="H31" i="9"/>
  <c r="I63" i="9"/>
  <c r="H63" i="9"/>
  <c r="K36" i="9"/>
  <c r="N36" i="9" s="1"/>
  <c r="L17" i="9"/>
  <c r="O17" i="9" s="1"/>
  <c r="L15" i="9"/>
  <c r="O15" i="9" s="1"/>
  <c r="M7" i="35" l="1"/>
  <c r="I20" i="161" l="1"/>
  <c r="K23" i="119"/>
  <c r="K24" i="119"/>
  <c r="H172" i="105" s="1"/>
  <c r="K25" i="119"/>
  <c r="H173" i="105" s="1"/>
  <c r="K27" i="119"/>
  <c r="H174" i="105" s="1"/>
  <c r="K32" i="32"/>
  <c r="K33" i="32"/>
  <c r="K34" i="32"/>
  <c r="K36" i="32"/>
  <c r="H155" i="105" s="1"/>
  <c r="I16" i="161"/>
  <c r="I17" i="161"/>
  <c r="I18" i="161"/>
  <c r="I19" i="161"/>
  <c r="N34" i="32" l="1"/>
  <c r="H154" i="105"/>
  <c r="N32" i="32"/>
  <c r="H152" i="105"/>
  <c r="N33" i="32"/>
  <c r="H153" i="105"/>
  <c r="I15" i="161"/>
  <c r="I14" i="161"/>
  <c r="I10" i="161" l="1"/>
  <c r="I12" i="161"/>
  <c r="I13" i="161"/>
  <c r="I11" i="161"/>
  <c r="M67" i="37"/>
  <c r="M39" i="37"/>
  <c r="O39" i="36"/>
  <c r="O67" i="36"/>
  <c r="J63" i="35"/>
  <c r="G576" i="8"/>
  <c r="D576" i="8"/>
  <c r="C576" i="8"/>
  <c r="C555" i="8"/>
  <c r="D555" i="8"/>
  <c r="E555" i="8" l="1"/>
  <c r="E576" i="8"/>
  <c r="AB24" i="28" l="1"/>
  <c r="AB25" i="28"/>
  <c r="I9" i="161"/>
  <c r="I8" i="161"/>
  <c r="I7" i="161"/>
  <c r="F62" i="8" l="1"/>
  <c r="X10" i="94" l="1"/>
  <c r="X12" i="94"/>
  <c r="X13" i="94"/>
  <c r="X14" i="94"/>
  <c r="X15" i="94"/>
  <c r="X16" i="94"/>
  <c r="X17" i="94"/>
  <c r="X18" i="94"/>
  <c r="X19" i="94"/>
  <c r="X20" i="94"/>
  <c r="X21" i="94"/>
  <c r="X22" i="94"/>
  <c r="X11" i="94"/>
  <c r="W12" i="94"/>
  <c r="W13" i="94"/>
  <c r="W14" i="94"/>
  <c r="W15" i="94"/>
  <c r="W16" i="94"/>
  <c r="W17" i="94"/>
  <c r="W18" i="94"/>
  <c r="W19" i="94"/>
  <c r="W20" i="94"/>
  <c r="W21" i="94"/>
  <c r="W22" i="94"/>
  <c r="W11" i="94"/>
  <c r="Y11" i="87"/>
  <c r="Z11" i="87"/>
  <c r="Y12" i="87"/>
  <c r="Z12" i="87"/>
  <c r="Y13" i="87"/>
  <c r="Z13" i="87"/>
  <c r="Y14" i="87"/>
  <c r="Z14" i="87"/>
  <c r="Y15" i="87"/>
  <c r="Z15" i="87"/>
  <c r="Y16" i="87"/>
  <c r="Z16" i="87"/>
  <c r="Y17" i="87"/>
  <c r="Z17" i="87"/>
  <c r="Y18" i="87"/>
  <c r="Z18" i="87"/>
  <c r="Y19" i="87"/>
  <c r="Z19" i="87"/>
  <c r="Y10" i="87"/>
  <c r="AA11" i="85"/>
  <c r="AB11" i="85"/>
  <c r="AA12" i="85"/>
  <c r="AB12" i="85"/>
  <c r="AA13" i="85"/>
  <c r="AB13" i="85"/>
  <c r="AA14" i="85"/>
  <c r="AB14" i="85"/>
  <c r="AA15" i="85"/>
  <c r="AB15" i="85"/>
  <c r="AA16" i="85"/>
  <c r="AB16" i="85"/>
  <c r="AA17" i="85"/>
  <c r="AB17" i="85"/>
  <c r="AB10" i="85"/>
  <c r="AA10" i="85"/>
  <c r="AE14" i="76"/>
  <c r="AE15" i="76"/>
  <c r="AE16" i="76"/>
  <c r="AE17" i="76"/>
  <c r="AE18" i="76"/>
  <c r="AE19" i="76"/>
  <c r="AE20" i="76"/>
  <c r="AE21" i="76"/>
  <c r="AE13" i="76"/>
  <c r="BC10" i="71"/>
  <c r="BD10" i="71"/>
  <c r="BE10" i="71"/>
  <c r="BF10" i="71"/>
  <c r="BG10" i="71"/>
  <c r="BH10" i="71"/>
  <c r="BI10" i="71"/>
  <c r="BJ10" i="71"/>
  <c r="BC11" i="71"/>
  <c r="BD11" i="71"/>
  <c r="BE11" i="71"/>
  <c r="BF11" i="71"/>
  <c r="BG11" i="71"/>
  <c r="BH11" i="71"/>
  <c r="BI11" i="71"/>
  <c r="BJ11" i="71"/>
  <c r="BC12" i="71"/>
  <c r="BD12" i="71"/>
  <c r="BE12" i="71"/>
  <c r="BF12" i="71"/>
  <c r="BG12" i="71"/>
  <c r="BH12" i="71"/>
  <c r="BI12" i="71"/>
  <c r="BJ12" i="71"/>
  <c r="BC13" i="71"/>
  <c r="BD13" i="71"/>
  <c r="BE13" i="71"/>
  <c r="BF13" i="71"/>
  <c r="BG13" i="71"/>
  <c r="BH13" i="71"/>
  <c r="BI13" i="71"/>
  <c r="BJ13" i="71"/>
  <c r="BC14" i="71"/>
  <c r="BD14" i="71"/>
  <c r="BE14" i="71"/>
  <c r="BF14" i="71"/>
  <c r="BG14" i="71"/>
  <c r="BH14" i="71"/>
  <c r="BI14" i="71"/>
  <c r="BJ14" i="71"/>
  <c r="BC15" i="71"/>
  <c r="BD15" i="71"/>
  <c r="BE15" i="71"/>
  <c r="BF15" i="71"/>
  <c r="BG15" i="71"/>
  <c r="BH15" i="71"/>
  <c r="BI15" i="71"/>
  <c r="BJ15" i="71"/>
  <c r="BC16" i="71"/>
  <c r="BD16" i="71"/>
  <c r="BE16" i="71"/>
  <c r="BF16" i="71"/>
  <c r="BG16" i="71"/>
  <c r="BH16" i="71"/>
  <c r="BI16" i="71"/>
  <c r="BJ16" i="71"/>
  <c r="BC17" i="71"/>
  <c r="BD17" i="71"/>
  <c r="BE17" i="71"/>
  <c r="BF17" i="71"/>
  <c r="BG17" i="71"/>
  <c r="BH17" i="71"/>
  <c r="BI17" i="71"/>
  <c r="BJ17" i="71"/>
  <c r="BC18" i="71"/>
  <c r="BD18" i="71"/>
  <c r="BE18" i="71"/>
  <c r="BF18" i="71"/>
  <c r="BG18" i="71"/>
  <c r="BH18" i="71"/>
  <c r="BI18" i="71"/>
  <c r="BJ18" i="71"/>
  <c r="BC19" i="71"/>
  <c r="BD19" i="71"/>
  <c r="BE19" i="71"/>
  <c r="BF19" i="71"/>
  <c r="BG19" i="71"/>
  <c r="BH19" i="71"/>
  <c r="BI19" i="71"/>
  <c r="BJ19" i="71"/>
  <c r="BJ9" i="71"/>
  <c r="BI9" i="71"/>
  <c r="BH9" i="71"/>
  <c r="BG9" i="71"/>
  <c r="BF9" i="71"/>
  <c r="BE9" i="71"/>
  <c r="BD9" i="71"/>
  <c r="BC9" i="71"/>
  <c r="CW11" i="59"/>
  <c r="CX11" i="59"/>
  <c r="CY11" i="59"/>
  <c r="CW12" i="59"/>
  <c r="CX12" i="59"/>
  <c r="CY12" i="59"/>
  <c r="CW13" i="59"/>
  <c r="CX13" i="59"/>
  <c r="CY13" i="59"/>
  <c r="CW14" i="59"/>
  <c r="CX14" i="59"/>
  <c r="CY14" i="59"/>
  <c r="CW15" i="59"/>
  <c r="CX15" i="59"/>
  <c r="CY15" i="59"/>
  <c r="CW16" i="59"/>
  <c r="CX16" i="59"/>
  <c r="CY16" i="59"/>
  <c r="CW17" i="59"/>
  <c r="CX17" i="59"/>
  <c r="CY17" i="59"/>
  <c r="CW18" i="59"/>
  <c r="CX18" i="59"/>
  <c r="CY18" i="59"/>
  <c r="CW19" i="59"/>
  <c r="CX19" i="59"/>
  <c r="CY19" i="59"/>
  <c r="CW20" i="59"/>
  <c r="CX20" i="59"/>
  <c r="CY20" i="59"/>
  <c r="CW21" i="59"/>
  <c r="CX21" i="59"/>
  <c r="CY21" i="59"/>
  <c r="CW22" i="59"/>
  <c r="CX22" i="59"/>
  <c r="CY22" i="59"/>
  <c r="CW23" i="59"/>
  <c r="CX23" i="59"/>
  <c r="CY23" i="59"/>
  <c r="CW24" i="59"/>
  <c r="CX24" i="59"/>
  <c r="CY24" i="59"/>
  <c r="CW25" i="59"/>
  <c r="CX25" i="59"/>
  <c r="CY25" i="59"/>
  <c r="CW26" i="59"/>
  <c r="CX26" i="59"/>
  <c r="CY26" i="59"/>
  <c r="CW27" i="59"/>
  <c r="CX27" i="59"/>
  <c r="CY27" i="59"/>
  <c r="CW28" i="59"/>
  <c r="CX28" i="59"/>
  <c r="CY28" i="59"/>
  <c r="CW29" i="59"/>
  <c r="CX29" i="59"/>
  <c r="CY29" i="59"/>
  <c r="CW30" i="59"/>
  <c r="CX30" i="59"/>
  <c r="CY30" i="59"/>
  <c r="CW31" i="59"/>
  <c r="CX31" i="59"/>
  <c r="CY31" i="59"/>
  <c r="CW32" i="59"/>
  <c r="CX32" i="59"/>
  <c r="CY32" i="59"/>
  <c r="CW33" i="59"/>
  <c r="CX33" i="59"/>
  <c r="CY33" i="59"/>
  <c r="CW34" i="59"/>
  <c r="CX34" i="59"/>
  <c r="CY34" i="59"/>
  <c r="CW35" i="59"/>
  <c r="CX35" i="59"/>
  <c r="CY35" i="59"/>
  <c r="CW36" i="59"/>
  <c r="CX36" i="59"/>
  <c r="CY36" i="59"/>
  <c r="CW37" i="59"/>
  <c r="CX37" i="59"/>
  <c r="CY37" i="59"/>
  <c r="CW38" i="59"/>
  <c r="CX38" i="59"/>
  <c r="CY38" i="59"/>
  <c r="CW39" i="59"/>
  <c r="CX39" i="59"/>
  <c r="CY39" i="59"/>
  <c r="CW40" i="59"/>
  <c r="CX40" i="59"/>
  <c r="CY40" i="59"/>
  <c r="CW41" i="59"/>
  <c r="CX41" i="59"/>
  <c r="CY41" i="59"/>
  <c r="CW42" i="59"/>
  <c r="CX42" i="59"/>
  <c r="CY42" i="59"/>
  <c r="CY10" i="59"/>
  <c r="CX10" i="59"/>
  <c r="CW10" i="59"/>
  <c r="AM16" i="128"/>
  <c r="AM17" i="128"/>
  <c r="AM18" i="128"/>
  <c r="AM19" i="128"/>
  <c r="AM20" i="128"/>
  <c r="AM21" i="128"/>
  <c r="AM22" i="128"/>
  <c r="AM23" i="128"/>
  <c r="AM24" i="128"/>
  <c r="AM15" i="128"/>
  <c r="K11" i="114"/>
  <c r="K12" i="114"/>
  <c r="K13" i="114"/>
  <c r="K14" i="114"/>
  <c r="K10" i="114"/>
  <c r="AI13" i="106"/>
  <c r="AI14" i="106"/>
  <c r="AI15" i="106"/>
  <c r="AI16" i="106"/>
  <c r="AI17" i="106"/>
  <c r="AI18" i="106"/>
  <c r="AI12" i="106"/>
  <c r="W10" i="94"/>
  <c r="Z10" i="87"/>
  <c r="BZ16" i="95" l="1"/>
  <c r="CB16" i="95"/>
  <c r="BZ17" i="95"/>
  <c r="CB17" i="95"/>
  <c r="BZ18" i="95"/>
  <c r="CB18" i="95"/>
  <c r="BZ19" i="95"/>
  <c r="CB19" i="95"/>
  <c r="BZ20" i="95"/>
  <c r="CB20" i="95"/>
  <c r="BZ21" i="95"/>
  <c r="CB21" i="95"/>
  <c r="BZ22" i="95"/>
  <c r="CB22" i="95"/>
  <c r="BZ23" i="95"/>
  <c r="CB23" i="95"/>
  <c r="BZ24" i="95"/>
  <c r="CB24" i="95"/>
  <c r="BZ25" i="95"/>
  <c r="CB25" i="95"/>
  <c r="BZ26" i="95"/>
  <c r="CB26" i="95"/>
  <c r="BZ27" i="95"/>
  <c r="CB27" i="95"/>
  <c r="BZ28" i="95"/>
  <c r="CB28" i="95"/>
  <c r="BZ29" i="95"/>
  <c r="CB29" i="95"/>
  <c r="BZ30" i="95"/>
  <c r="CB30" i="95"/>
  <c r="BZ31" i="95"/>
  <c r="CB31" i="95"/>
  <c r="BZ32" i="95"/>
  <c r="CB32" i="95"/>
  <c r="BZ33" i="95"/>
  <c r="CB33" i="95"/>
  <c r="BZ34" i="95"/>
  <c r="CB34" i="95"/>
  <c r="BZ35" i="95"/>
  <c r="CB35" i="95"/>
  <c r="BZ36" i="95"/>
  <c r="CB36" i="95"/>
  <c r="BZ37" i="95"/>
  <c r="CB37" i="95"/>
  <c r="BZ38" i="95"/>
  <c r="CB38" i="95"/>
  <c r="BZ39" i="95"/>
  <c r="CB39" i="95"/>
  <c r="BZ40" i="95"/>
  <c r="CB40" i="95"/>
  <c r="BZ41" i="95"/>
  <c r="CB41" i="95"/>
  <c r="BZ42" i="95"/>
  <c r="CB42" i="95"/>
  <c r="BZ43" i="95"/>
  <c r="CB43" i="95"/>
  <c r="BZ44" i="95"/>
  <c r="CB44" i="95"/>
  <c r="BZ45" i="95"/>
  <c r="CB45" i="95"/>
  <c r="BZ46" i="95"/>
  <c r="CB46" i="95"/>
  <c r="BZ47" i="95"/>
  <c r="CB47" i="95"/>
  <c r="BZ48" i="95"/>
  <c r="CB48" i="95"/>
  <c r="BZ15" i="95"/>
  <c r="CB15" i="95"/>
  <c r="W12" i="109" l="1"/>
  <c r="W13" i="109"/>
  <c r="W14" i="109"/>
  <c r="W15" i="109"/>
  <c r="W16" i="109"/>
  <c r="W17" i="109"/>
  <c r="W18" i="109"/>
  <c r="W19" i="109"/>
  <c r="W20" i="109"/>
  <c r="W21" i="109"/>
  <c r="W22" i="109"/>
  <c r="W23" i="109"/>
  <c r="W24" i="109"/>
  <c r="W25" i="109"/>
  <c r="W26" i="109"/>
  <c r="W11" i="109"/>
  <c r="BK10" i="71" l="1"/>
  <c r="BK11" i="71"/>
  <c r="BK12" i="71"/>
  <c r="BK13" i="71"/>
  <c r="BK14" i="71"/>
  <c r="BK15" i="71"/>
  <c r="BK16" i="71"/>
  <c r="BK17" i="71"/>
  <c r="BK18" i="71"/>
  <c r="BK19" i="71"/>
  <c r="BK9" i="71"/>
  <c r="Y22" i="94"/>
  <c r="Y11" i="94"/>
  <c r="Y12" i="94"/>
  <c r="Y13" i="94"/>
  <c r="Y14" i="94"/>
  <c r="Y15" i="94"/>
  <c r="Y16" i="94"/>
  <c r="Y17" i="94"/>
  <c r="Y18" i="94"/>
  <c r="Y19" i="94"/>
  <c r="Y20" i="94"/>
  <c r="Y21" i="94"/>
  <c r="Y10" i="94"/>
  <c r="CG16" i="95"/>
  <c r="CG17" i="95"/>
  <c r="CG18" i="95"/>
  <c r="CG19" i="95"/>
  <c r="CG20" i="95"/>
  <c r="CG21" i="95"/>
  <c r="CG22" i="95"/>
  <c r="CG23" i="95"/>
  <c r="CG24" i="95"/>
  <c r="CG25" i="95"/>
  <c r="CG26" i="95"/>
  <c r="CG27" i="95"/>
  <c r="CG28" i="95"/>
  <c r="CG29" i="95"/>
  <c r="CG30" i="95"/>
  <c r="CG31" i="95"/>
  <c r="CG32" i="95"/>
  <c r="CG33" i="95"/>
  <c r="CG34" i="95"/>
  <c r="CG35" i="95"/>
  <c r="CG36" i="95"/>
  <c r="CG37" i="95"/>
  <c r="CG38" i="95"/>
  <c r="CG39" i="95"/>
  <c r="CG40" i="95"/>
  <c r="CG41" i="95"/>
  <c r="CG42" i="95"/>
  <c r="CG43" i="95"/>
  <c r="CG44" i="95"/>
  <c r="CG45" i="95"/>
  <c r="CG46" i="95"/>
  <c r="CG47" i="95"/>
  <c r="CG48" i="95"/>
  <c r="CG15" i="95"/>
  <c r="AN16" i="128"/>
  <c r="AN17" i="128"/>
  <c r="AN18" i="128"/>
  <c r="AN19" i="128"/>
  <c r="AN20" i="128"/>
  <c r="AN21" i="128"/>
  <c r="AN22" i="128"/>
  <c r="AN23" i="128"/>
  <c r="AN24" i="128"/>
  <c r="AN15" i="128"/>
  <c r="DA11" i="59"/>
  <c r="DA12" i="59"/>
  <c r="DA13" i="59"/>
  <c r="DA14" i="59"/>
  <c r="DA15" i="59"/>
  <c r="DA16" i="59"/>
  <c r="DA17" i="59"/>
  <c r="DA18" i="59"/>
  <c r="DA19" i="59"/>
  <c r="DA20" i="59"/>
  <c r="DA21" i="59"/>
  <c r="DA22" i="59"/>
  <c r="DA23" i="59"/>
  <c r="DA24" i="59"/>
  <c r="DA25" i="59"/>
  <c r="DA26" i="59"/>
  <c r="DA27" i="59"/>
  <c r="DA28" i="59"/>
  <c r="DA29" i="59"/>
  <c r="DA30" i="59"/>
  <c r="DA31" i="59"/>
  <c r="DA32" i="59"/>
  <c r="DA33" i="59"/>
  <c r="DA34" i="59"/>
  <c r="DA35" i="59"/>
  <c r="DA36" i="59"/>
  <c r="DA37" i="59"/>
  <c r="DA38" i="59"/>
  <c r="DA39" i="59"/>
  <c r="DA40" i="59"/>
  <c r="DA41" i="59"/>
  <c r="DA42" i="59"/>
  <c r="DA10" i="59"/>
  <c r="W13" i="165" l="1"/>
  <c r="W14" i="165"/>
  <c r="W15" i="165"/>
  <c r="W16" i="165"/>
  <c r="W17" i="165"/>
  <c r="W18" i="165"/>
  <c r="W19" i="165"/>
  <c r="W20" i="165"/>
  <c r="W21" i="165"/>
  <c r="W22" i="165"/>
  <c r="W23" i="165"/>
  <c r="W24" i="165"/>
  <c r="W25" i="165"/>
  <c r="W26" i="165"/>
  <c r="W27" i="165"/>
  <c r="W28" i="165"/>
  <c r="W29" i="165"/>
  <c r="W30" i="165"/>
  <c r="W31" i="165"/>
  <c r="W12" i="165"/>
  <c r="BK6" i="71" l="1"/>
  <c r="D477" i="8" s="1"/>
  <c r="Y5" i="94"/>
  <c r="D478" i="8" s="1"/>
  <c r="CG6" i="95"/>
  <c r="D479" i="8" s="1"/>
  <c r="AN11" i="128"/>
  <c r="D480" i="8" s="1"/>
  <c r="DA9" i="59" l="1"/>
  <c r="D481" i="8" s="1"/>
  <c r="W10" i="165" l="1"/>
  <c r="D476" i="8" s="1"/>
  <c r="B42" i="59"/>
  <c r="C42" i="59"/>
  <c r="A42" i="59" s="1"/>
  <c r="R42" i="59"/>
  <c r="AB42" i="59"/>
  <c r="AO42" i="59"/>
  <c r="AP42" i="59"/>
  <c r="AQ42" i="59"/>
  <c r="AS42" i="59"/>
  <c r="AT42" i="59"/>
  <c r="AV42" i="59"/>
  <c r="AW42" i="59"/>
  <c r="AX42" i="59"/>
  <c r="AN42" i="59" s="1"/>
  <c r="AY42" i="59"/>
  <c r="BA42" i="59"/>
  <c r="BB42" i="59"/>
  <c r="BG42" i="59"/>
  <c r="BI42" i="59"/>
  <c r="BN42" i="59"/>
  <c r="BO42" i="59" s="1"/>
  <c r="BR42" i="59" s="1"/>
  <c r="BW42" i="59"/>
  <c r="BX42" i="59"/>
  <c r="BZ42" i="59"/>
  <c r="CB42" i="59"/>
  <c r="CD42" i="59"/>
  <c r="CM42" i="59"/>
  <c r="CN42" i="59"/>
  <c r="CS42" i="59"/>
  <c r="BF42" i="59"/>
  <c r="CL42" i="59" l="1"/>
  <c r="BQ42" i="59"/>
  <c r="BP42" i="59" s="1"/>
  <c r="BV42" i="59" s="1"/>
  <c r="AU42" i="59"/>
  <c r="AR42" i="59"/>
  <c r="BS42" i="59" l="1"/>
  <c r="A48" i="95" l="1"/>
  <c r="AI48" i="95"/>
  <c r="BP48" i="95" s="1"/>
  <c r="AP48" i="95"/>
  <c r="AR48" i="95"/>
  <c r="AT48" i="95"/>
  <c r="AU48" i="95"/>
  <c r="AW48" i="95"/>
  <c r="AX48" i="95"/>
  <c r="AZ48" i="95"/>
  <c r="BB48" i="95"/>
  <c r="BF48" i="95"/>
  <c r="BG48" i="95"/>
  <c r="BJ48" i="95"/>
  <c r="AY48" i="95" s="1"/>
  <c r="BM48" i="95"/>
  <c r="BO48" i="95"/>
  <c r="BQ48" i="95"/>
  <c r="BR48" i="95"/>
  <c r="BS48" i="95"/>
  <c r="BT48" i="95"/>
  <c r="BU48" i="95"/>
  <c r="CC48" i="95"/>
  <c r="CD48" i="95"/>
  <c r="BC48" i="95" l="1"/>
  <c r="CC18" i="95"/>
  <c r="CC19" i="95"/>
  <c r="CC20" i="95"/>
  <c r="CC21" i="95"/>
  <c r="CC22" i="95"/>
  <c r="CC23" i="95"/>
  <c r="CC24" i="95"/>
  <c r="CC25" i="95"/>
  <c r="CC26" i="95"/>
  <c r="CC27" i="95"/>
  <c r="CC28" i="95"/>
  <c r="CC29" i="95"/>
  <c r="CC30" i="95"/>
  <c r="CC31" i="95"/>
  <c r="CC32" i="95"/>
  <c r="CC33" i="95"/>
  <c r="CC34" i="95"/>
  <c r="CC35" i="95"/>
  <c r="CC36" i="95"/>
  <c r="CC37" i="95"/>
  <c r="CC38" i="95"/>
  <c r="CC39" i="95"/>
  <c r="CC40" i="95"/>
  <c r="CC41" i="95"/>
  <c r="CC42" i="95"/>
  <c r="CC43" i="95"/>
  <c r="CC44" i="95"/>
  <c r="CC45" i="95"/>
  <c r="CC46" i="95"/>
  <c r="CC47" i="95"/>
  <c r="CD38" i="95"/>
  <c r="CD39" i="95"/>
  <c r="CD40" i="95"/>
  <c r="CD41" i="95"/>
  <c r="CD42" i="95"/>
  <c r="CD43" i="95"/>
  <c r="CD44" i="95"/>
  <c r="CD45" i="95"/>
  <c r="CD46" i="95"/>
  <c r="CD47" i="95"/>
  <c r="CC16" i="95"/>
  <c r="CC17" i="95"/>
  <c r="CC15" i="95"/>
  <c r="CC6" i="95" l="1"/>
  <c r="D175" i="8" s="1"/>
  <c r="CS10" i="59" l="1"/>
  <c r="CS11" i="59"/>
  <c r="CS12" i="59"/>
  <c r="CS13" i="59"/>
  <c r="CS14" i="59"/>
  <c r="CS15" i="59"/>
  <c r="CS16" i="59"/>
  <c r="CS17" i="59"/>
  <c r="CS18" i="59"/>
  <c r="CS19" i="59"/>
  <c r="CS20" i="59"/>
  <c r="CS21" i="59"/>
  <c r="CS22" i="59"/>
  <c r="CS23" i="59"/>
  <c r="CS24" i="59"/>
  <c r="CS25" i="59"/>
  <c r="CS26" i="59"/>
  <c r="CS27" i="59"/>
  <c r="CS28" i="59"/>
  <c r="CS29" i="59"/>
  <c r="CS30" i="59"/>
  <c r="CS31" i="59"/>
  <c r="CS32" i="59"/>
  <c r="CS33" i="59"/>
  <c r="CS34" i="59"/>
  <c r="CS35" i="59"/>
  <c r="CS36" i="59"/>
  <c r="CS37" i="59"/>
  <c r="CS38" i="59"/>
  <c r="CS39" i="59"/>
  <c r="CS40" i="59"/>
  <c r="CS41" i="59"/>
  <c r="R11" i="59" l="1"/>
  <c r="R12" i="59"/>
  <c r="R13" i="59"/>
  <c r="R14" i="59"/>
  <c r="R15" i="59"/>
  <c r="R16" i="59"/>
  <c r="R17" i="59"/>
  <c r="R18" i="59"/>
  <c r="R19" i="59"/>
  <c r="R20" i="59"/>
  <c r="R21" i="59"/>
  <c r="R22" i="59"/>
  <c r="R23" i="59"/>
  <c r="R24" i="59"/>
  <c r="R25" i="59"/>
  <c r="R26" i="59"/>
  <c r="R27" i="59"/>
  <c r="R28" i="59"/>
  <c r="R29" i="59"/>
  <c r="R30" i="59"/>
  <c r="R31" i="59"/>
  <c r="R32" i="59"/>
  <c r="R33" i="59"/>
  <c r="R34" i="59"/>
  <c r="R35" i="59"/>
  <c r="R36" i="59"/>
  <c r="R37" i="59"/>
  <c r="R38" i="59"/>
  <c r="R39" i="59"/>
  <c r="R40" i="59"/>
  <c r="F65" i="8" l="1"/>
  <c r="F64" i="8"/>
  <c r="V14" i="165" l="1"/>
  <c r="V15" i="165"/>
  <c r="V16" i="165"/>
  <c r="V17" i="165"/>
  <c r="V18" i="165"/>
  <c r="V19" i="165"/>
  <c r="V20" i="165"/>
  <c r="V21" i="165"/>
  <c r="V22" i="165"/>
  <c r="V23" i="165"/>
  <c r="V24" i="165"/>
  <c r="V25" i="165"/>
  <c r="V26" i="165"/>
  <c r="V27" i="165"/>
  <c r="V28" i="165"/>
  <c r="V29" i="165"/>
  <c r="V30" i="165"/>
  <c r="V31" i="165"/>
  <c r="V12" i="165"/>
  <c r="F29" i="158"/>
  <c r="V13" i="165"/>
  <c r="V10" i="165" l="1"/>
  <c r="AM11" i="128"/>
  <c r="K9" i="114"/>
  <c r="AI11" i="106"/>
  <c r="CB6" i="95"/>
  <c r="CA6" i="95"/>
  <c r="BZ6" i="95"/>
  <c r="W5" i="94"/>
  <c r="X5" i="94"/>
  <c r="E21" i="158" l="1"/>
  <c r="D517" i="8"/>
  <c r="E22" i="158"/>
  <c r="D518" i="8"/>
  <c r="E23" i="158"/>
  <c r="D519" i="8"/>
  <c r="E24" i="158"/>
  <c r="D520" i="8"/>
  <c r="E25" i="158"/>
  <c r="D521" i="8"/>
  <c r="E26" i="158"/>
  <c r="D522" i="8"/>
  <c r="E27" i="158"/>
  <c r="D523" i="8"/>
  <c r="E28" i="158"/>
  <c r="D524" i="8"/>
  <c r="E29" i="158"/>
  <c r="D525" i="8"/>
  <c r="Y9" i="87" l="1"/>
  <c r="Z9" i="87"/>
  <c r="AB9" i="85"/>
  <c r="AA9" i="85"/>
  <c r="B41" i="59"/>
  <c r="C41" i="59"/>
  <c r="R41" i="59"/>
  <c r="AB41" i="59"/>
  <c r="AO41" i="59"/>
  <c r="AP41" i="59"/>
  <c r="AQ41" i="59"/>
  <c r="AS41" i="59"/>
  <c r="AT41" i="59"/>
  <c r="AV41" i="59"/>
  <c r="AW41" i="59"/>
  <c r="AX41" i="59"/>
  <c r="AN41" i="59" s="1"/>
  <c r="AY41" i="59"/>
  <c r="BA41" i="59"/>
  <c r="BB41" i="59"/>
  <c r="BF41" i="59"/>
  <c r="BG41" i="59"/>
  <c r="BI41" i="59"/>
  <c r="BN41" i="59"/>
  <c r="BO41" i="59" s="1"/>
  <c r="BW41" i="59"/>
  <c r="BX41" i="59"/>
  <c r="BZ41" i="59"/>
  <c r="CB41" i="59"/>
  <c r="CD41" i="59"/>
  <c r="CM41" i="59"/>
  <c r="CN41" i="59"/>
  <c r="A41" i="59" l="1"/>
  <c r="E16" i="158"/>
  <c r="D512" i="8"/>
  <c r="E17" i="158"/>
  <c r="D513" i="8"/>
  <c r="E19" i="158"/>
  <c r="D515" i="8"/>
  <c r="E20" i="158"/>
  <c r="D516" i="8"/>
  <c r="AE12" i="76"/>
  <c r="CL41" i="59"/>
  <c r="BR41" i="59"/>
  <c r="BQ41" i="59"/>
  <c r="BP41" i="59" s="1"/>
  <c r="BV41" i="59" s="1"/>
  <c r="BG6" i="71"/>
  <c r="BC6" i="71"/>
  <c r="BE6" i="71"/>
  <c r="BI6" i="71"/>
  <c r="BJ6" i="71"/>
  <c r="BH6" i="71"/>
  <c r="BF6" i="71"/>
  <c r="BD6" i="71"/>
  <c r="AU41" i="59"/>
  <c r="AR41" i="59"/>
  <c r="CY9" i="59"/>
  <c r="CX9" i="59"/>
  <c r="CW9" i="59"/>
  <c r="F28" i="158"/>
  <c r="F27" i="158"/>
  <c r="F26" i="158"/>
  <c r="F25" i="158"/>
  <c r="F24" i="158"/>
  <c r="F23" i="158"/>
  <c r="F22" i="158"/>
  <c r="F21" i="158"/>
  <c r="F20" i="158"/>
  <c r="F19" i="158"/>
  <c r="F18" i="158"/>
  <c r="F17" i="158"/>
  <c r="F16" i="158"/>
  <c r="F15" i="158"/>
  <c r="F14" i="158"/>
  <c r="F13" i="158"/>
  <c r="F12" i="158"/>
  <c r="F11" i="158"/>
  <c r="F10" i="158"/>
  <c r="F9" i="158"/>
  <c r="F8" i="158"/>
  <c r="F7" i="158"/>
  <c r="F6" i="158"/>
  <c r="F5" i="158"/>
  <c r="F4" i="158"/>
  <c r="F3" i="158"/>
  <c r="F2" i="158"/>
  <c r="E2" i="158" l="1"/>
  <c r="D498" i="8"/>
  <c r="E3" i="158"/>
  <c r="D499" i="8"/>
  <c r="E4" i="158"/>
  <c r="D500" i="8"/>
  <c r="E5" i="158"/>
  <c r="D501" i="8"/>
  <c r="E6" i="158"/>
  <c r="D502" i="8"/>
  <c r="E7" i="158"/>
  <c r="D503" i="8"/>
  <c r="E8" i="158"/>
  <c r="D504" i="8"/>
  <c r="E9" i="158"/>
  <c r="D505" i="8"/>
  <c r="E10" i="158"/>
  <c r="D506" i="8"/>
  <c r="E11" i="158"/>
  <c r="D507" i="8"/>
  <c r="E12" i="158"/>
  <c r="D508" i="8"/>
  <c r="E13" i="158"/>
  <c r="D509" i="8"/>
  <c r="BS41" i="59"/>
  <c r="U13" i="165" l="1"/>
  <c r="U14" i="165"/>
  <c r="U15" i="165"/>
  <c r="U16" i="165"/>
  <c r="U17" i="165"/>
  <c r="U18" i="165"/>
  <c r="U19" i="165"/>
  <c r="U20" i="165"/>
  <c r="U21" i="165"/>
  <c r="U22" i="165"/>
  <c r="U23" i="165"/>
  <c r="U24" i="165"/>
  <c r="U25" i="165"/>
  <c r="U26" i="165"/>
  <c r="U27" i="165"/>
  <c r="U28" i="165"/>
  <c r="U29" i="165"/>
  <c r="U30" i="165"/>
  <c r="U31" i="165"/>
  <c r="U12" i="165"/>
  <c r="U10" i="165" l="1"/>
  <c r="D265" i="8" s="1"/>
  <c r="A13" i="165"/>
  <c r="A14" i="165"/>
  <c r="A15" i="165"/>
  <c r="A16" i="165"/>
  <c r="A17" i="165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12" i="165"/>
  <c r="AW11" i="59" l="1"/>
  <c r="AW12" i="59"/>
  <c r="AW13" i="59"/>
  <c r="AW14" i="59"/>
  <c r="AW15" i="59"/>
  <c r="AW16" i="59"/>
  <c r="AW17" i="59"/>
  <c r="AW18" i="59"/>
  <c r="AW19" i="59"/>
  <c r="AW20" i="59"/>
  <c r="AW21" i="59"/>
  <c r="AW22" i="59"/>
  <c r="AW23" i="59"/>
  <c r="AW24" i="59"/>
  <c r="AW25" i="59"/>
  <c r="AW26" i="59"/>
  <c r="AW27" i="59"/>
  <c r="AW28" i="59"/>
  <c r="AW29" i="59"/>
  <c r="AW30" i="59"/>
  <c r="AW31" i="59"/>
  <c r="AW32" i="59"/>
  <c r="AW33" i="59"/>
  <c r="AW34" i="59"/>
  <c r="AW35" i="59"/>
  <c r="AW36" i="59"/>
  <c r="AW37" i="59"/>
  <c r="AW38" i="59"/>
  <c r="AW39" i="59"/>
  <c r="AW40" i="59"/>
  <c r="AW10" i="59"/>
  <c r="S9" i="59" l="1"/>
  <c r="AW11" i="60" l="1"/>
  <c r="AW12" i="60"/>
  <c r="AW13" i="60"/>
  <c r="AW14" i="60"/>
  <c r="AW15" i="60"/>
  <c r="AW16" i="60"/>
  <c r="AW17" i="60"/>
  <c r="AW18" i="60"/>
  <c r="AW19" i="60"/>
  <c r="AW20" i="60"/>
  <c r="AW21" i="60"/>
  <c r="AW22" i="60"/>
  <c r="AW23" i="60"/>
  <c r="AW24" i="60"/>
  <c r="AW25" i="60"/>
  <c r="AW26" i="60"/>
  <c r="AW27" i="60"/>
  <c r="AW28" i="60"/>
  <c r="AW29" i="60"/>
  <c r="AW30" i="60"/>
  <c r="AW31" i="60"/>
  <c r="AW32" i="60"/>
  <c r="AW33" i="60"/>
  <c r="AW34" i="60"/>
  <c r="AW10" i="60"/>
  <c r="CQ9" i="59" l="1"/>
  <c r="D177" i="8" s="1"/>
  <c r="CS9" i="59"/>
  <c r="D178" i="8" s="1"/>
  <c r="T13" i="165"/>
  <c r="T14" i="165"/>
  <c r="T15" i="165"/>
  <c r="T16" i="165"/>
  <c r="T17" i="165"/>
  <c r="T18" i="165"/>
  <c r="T19" i="165"/>
  <c r="T20" i="165"/>
  <c r="T21" i="165"/>
  <c r="T22" i="165"/>
  <c r="T23" i="165"/>
  <c r="T24" i="165"/>
  <c r="T25" i="165"/>
  <c r="T26" i="165"/>
  <c r="T27" i="165"/>
  <c r="T28" i="165"/>
  <c r="T29" i="165"/>
  <c r="T30" i="165"/>
  <c r="T31" i="165"/>
  <c r="T12" i="165"/>
  <c r="T10" i="165" l="1"/>
  <c r="D264" i="8" s="1"/>
  <c r="AB7" i="25"/>
  <c r="Z7" i="25"/>
  <c r="C11" i="59" l="1"/>
  <c r="A11" i="59" s="1"/>
  <c r="C12" i="59"/>
  <c r="A12" i="59" s="1"/>
  <c r="C13" i="59"/>
  <c r="A13" i="59" s="1"/>
  <c r="C14" i="59"/>
  <c r="A14" i="59" s="1"/>
  <c r="C15" i="59"/>
  <c r="A15" i="59" s="1"/>
  <c r="C16" i="59"/>
  <c r="A16" i="59" s="1"/>
  <c r="C17" i="59"/>
  <c r="A17" i="59" s="1"/>
  <c r="C18" i="59"/>
  <c r="A18" i="59" s="1"/>
  <c r="C19" i="59"/>
  <c r="A19" i="59" s="1"/>
  <c r="C20" i="59"/>
  <c r="A20" i="59" s="1"/>
  <c r="C21" i="59"/>
  <c r="A21" i="59" s="1"/>
  <c r="C22" i="59"/>
  <c r="A22" i="59" s="1"/>
  <c r="C23" i="59"/>
  <c r="A23" i="59" s="1"/>
  <c r="C24" i="59"/>
  <c r="A24" i="59" s="1"/>
  <c r="C25" i="59"/>
  <c r="A25" i="59" s="1"/>
  <c r="C26" i="59"/>
  <c r="A26" i="59" s="1"/>
  <c r="C27" i="59"/>
  <c r="A27" i="59" s="1"/>
  <c r="C28" i="59"/>
  <c r="A28" i="59" s="1"/>
  <c r="C29" i="59"/>
  <c r="C30" i="59"/>
  <c r="A30" i="59" s="1"/>
  <c r="C31" i="59"/>
  <c r="A31" i="59" s="1"/>
  <c r="C32" i="59"/>
  <c r="A32" i="59" s="1"/>
  <c r="C33" i="59"/>
  <c r="A33" i="59" s="1"/>
  <c r="C34" i="59"/>
  <c r="A34" i="59" s="1"/>
  <c r="C35" i="59"/>
  <c r="A35" i="59" s="1"/>
  <c r="C36" i="59"/>
  <c r="A36" i="59" s="1"/>
  <c r="C37" i="59"/>
  <c r="A37" i="59" s="1"/>
  <c r="C38" i="59"/>
  <c r="A38" i="59" s="1"/>
  <c r="C39" i="59"/>
  <c r="A39" i="59" s="1"/>
  <c r="C40" i="59"/>
  <c r="C10" i="59"/>
  <c r="A10" i="59" l="1"/>
  <c r="E37" i="60"/>
  <c r="G37" i="60"/>
  <c r="D36" i="60"/>
  <c r="F36" i="60"/>
  <c r="H36" i="60"/>
  <c r="AV36" i="60"/>
  <c r="AX36" i="60" s="1"/>
  <c r="E35" i="60"/>
  <c r="G35" i="60"/>
  <c r="AV35" i="60"/>
  <c r="AX35" i="60" s="1"/>
  <c r="D37" i="60"/>
  <c r="F37" i="60"/>
  <c r="H37" i="60"/>
  <c r="AV37" i="60"/>
  <c r="AX37" i="60" s="1"/>
  <c r="E36" i="60"/>
  <c r="G36" i="60"/>
  <c r="D35" i="60"/>
  <c r="F35" i="60"/>
  <c r="H35" i="60"/>
  <c r="A29" i="59"/>
  <c r="F11" i="60"/>
  <c r="D13" i="60"/>
  <c r="E14" i="60"/>
  <c r="F15" i="60"/>
  <c r="D17" i="60"/>
  <c r="E18" i="60"/>
  <c r="F19" i="60"/>
  <c r="D21" i="60"/>
  <c r="E22" i="60"/>
  <c r="F23" i="60"/>
  <c r="D25" i="60"/>
  <c r="E26" i="60"/>
  <c r="E28" i="60"/>
  <c r="F31" i="60"/>
  <c r="E11" i="60"/>
  <c r="F12" i="60"/>
  <c r="D14" i="60"/>
  <c r="E15" i="60"/>
  <c r="F16" i="60"/>
  <c r="D18" i="60"/>
  <c r="E19" i="60"/>
  <c r="F20" i="60"/>
  <c r="D22" i="60"/>
  <c r="E23" i="60"/>
  <c r="F24" i="60"/>
  <c r="D26" i="60"/>
  <c r="E27" i="60"/>
  <c r="F28" i="60"/>
  <c r="D30" i="60"/>
  <c r="E31" i="60"/>
  <c r="F32" i="60"/>
  <c r="D34" i="60"/>
  <c r="F27" i="60"/>
  <c r="F29" i="60"/>
  <c r="AP29" i="60" s="1"/>
  <c r="E32" i="60"/>
  <c r="E34" i="60"/>
  <c r="D11" i="60"/>
  <c r="E12" i="60"/>
  <c r="F13" i="60"/>
  <c r="D15" i="60"/>
  <c r="E16" i="60"/>
  <c r="F17" i="60"/>
  <c r="D19" i="60"/>
  <c r="E20" i="60"/>
  <c r="F21" i="60"/>
  <c r="D23" i="60"/>
  <c r="E24" i="60"/>
  <c r="F25" i="60"/>
  <c r="D27" i="60"/>
  <c r="E30" i="60"/>
  <c r="F33" i="60"/>
  <c r="AP33" i="60" s="1"/>
  <c r="D12" i="60"/>
  <c r="E13" i="60"/>
  <c r="F14" i="60"/>
  <c r="D16" i="60"/>
  <c r="E17" i="60"/>
  <c r="F18" i="60"/>
  <c r="D20" i="60"/>
  <c r="E21" i="60"/>
  <c r="F22" i="60"/>
  <c r="D24" i="60"/>
  <c r="E25" i="60"/>
  <c r="F26" i="60"/>
  <c r="D28" i="60"/>
  <c r="E29" i="60"/>
  <c r="F30" i="60"/>
  <c r="AP30" i="60" s="1"/>
  <c r="D32" i="60"/>
  <c r="E33" i="60"/>
  <c r="F34" i="60"/>
  <c r="D29" i="60"/>
  <c r="D31" i="60"/>
  <c r="D33" i="60"/>
  <c r="F10" i="60"/>
  <c r="D10" i="60"/>
  <c r="E10" i="60"/>
  <c r="A40" i="59"/>
  <c r="G34" i="60"/>
  <c r="H34" i="60"/>
  <c r="N34" i="60"/>
  <c r="AT35" i="60" s="1"/>
  <c r="AV34" i="60"/>
  <c r="G33" i="60"/>
  <c r="H33" i="60"/>
  <c r="N33" i="60"/>
  <c r="AV33" i="60"/>
  <c r="G32" i="60"/>
  <c r="H32" i="60"/>
  <c r="N32" i="60"/>
  <c r="AV32" i="60"/>
  <c r="G31" i="60"/>
  <c r="H31" i="60"/>
  <c r="N31" i="60"/>
  <c r="AP31" i="60"/>
  <c r="AV31" i="60"/>
  <c r="AX31" i="60" s="1"/>
  <c r="G30" i="60"/>
  <c r="H30" i="60"/>
  <c r="N30" i="60"/>
  <c r="AV30" i="60"/>
  <c r="AX30" i="60" s="1"/>
  <c r="G29" i="60"/>
  <c r="H29" i="60"/>
  <c r="N29" i="60"/>
  <c r="AV29" i="60"/>
  <c r="G28" i="60"/>
  <c r="H28" i="60"/>
  <c r="N28" i="60"/>
  <c r="AV28" i="60"/>
  <c r="AX28" i="60" s="1"/>
  <c r="AP35" i="60" l="1"/>
  <c r="AR35" i="60"/>
  <c r="A35" i="60"/>
  <c r="A37" i="60"/>
  <c r="AP37" i="60"/>
  <c r="AR37" i="60"/>
  <c r="A36" i="60"/>
  <c r="AP36" i="60"/>
  <c r="AR36" i="60"/>
  <c r="AO37" i="60"/>
  <c r="AO36" i="60"/>
  <c r="AO35" i="60"/>
  <c r="AA35" i="60"/>
  <c r="Z35" i="60"/>
  <c r="AC35" i="60" s="1"/>
  <c r="A29" i="60"/>
  <c r="AR28" i="60"/>
  <c r="AR29" i="60"/>
  <c r="AR30" i="60"/>
  <c r="AR31" i="60"/>
  <c r="AP32" i="60"/>
  <c r="AR32" i="60"/>
  <c r="AR33" i="60"/>
  <c r="A34" i="60"/>
  <c r="AR34" i="60"/>
  <c r="A28" i="60"/>
  <c r="AX33" i="60"/>
  <c r="AP34" i="60"/>
  <c r="AP28" i="60"/>
  <c r="AX29" i="60"/>
  <c r="A30" i="60"/>
  <c r="A31" i="60"/>
  <c r="AX32" i="60"/>
  <c r="A32" i="60"/>
  <c r="A33" i="60"/>
  <c r="AX34" i="60"/>
  <c r="G27" i="60" l="1"/>
  <c r="H27" i="60"/>
  <c r="N27" i="60"/>
  <c r="AP27" i="60"/>
  <c r="AV27" i="60"/>
  <c r="AP26" i="60"/>
  <c r="G26" i="60"/>
  <c r="H26" i="60"/>
  <c r="N26" i="60"/>
  <c r="AV26" i="60"/>
  <c r="G25" i="60"/>
  <c r="H25" i="60"/>
  <c r="N25" i="60"/>
  <c r="AV25" i="60"/>
  <c r="AX25" i="60" s="1"/>
  <c r="AP24" i="60"/>
  <c r="G24" i="60"/>
  <c r="H24" i="60"/>
  <c r="N24" i="60"/>
  <c r="AV24" i="60"/>
  <c r="G23" i="60"/>
  <c r="H23" i="60"/>
  <c r="N23" i="60"/>
  <c r="AV23" i="60"/>
  <c r="AP22" i="60"/>
  <c r="G22" i="60"/>
  <c r="H22" i="60"/>
  <c r="N22" i="60"/>
  <c r="AV22" i="60"/>
  <c r="G21" i="60"/>
  <c r="H21" i="60"/>
  <c r="N21" i="60"/>
  <c r="AV21" i="60"/>
  <c r="A24" i="60" l="1"/>
  <c r="AR25" i="60"/>
  <c r="AR26" i="60"/>
  <c r="AP21" i="60"/>
  <c r="AR21" i="60"/>
  <c r="AR22" i="60"/>
  <c r="A23" i="60"/>
  <c r="AR23" i="60"/>
  <c r="AR24" i="60"/>
  <c r="AR27" i="60"/>
  <c r="AX22" i="60"/>
  <c r="AP23" i="60"/>
  <c r="A25" i="60"/>
  <c r="AX21" i="60"/>
  <c r="A21" i="60"/>
  <c r="A22" i="60"/>
  <c r="AX23" i="60"/>
  <c r="AX24" i="60"/>
  <c r="AP25" i="60"/>
  <c r="AX26" i="60"/>
  <c r="A26" i="60"/>
  <c r="AX27" i="60"/>
  <c r="A27" i="60"/>
  <c r="P9" i="60" l="1"/>
  <c r="Q9" i="60"/>
  <c r="R9" i="60"/>
  <c r="S9" i="60"/>
  <c r="T9" i="60"/>
  <c r="U9" i="60"/>
  <c r="V9" i="60"/>
  <c r="BX11" i="59" l="1"/>
  <c r="BX12" i="59"/>
  <c r="BX13" i="59"/>
  <c r="BX14" i="59"/>
  <c r="BX15" i="59"/>
  <c r="BX16" i="59"/>
  <c r="BX17" i="59"/>
  <c r="BX18" i="59"/>
  <c r="BX19" i="59"/>
  <c r="BX20" i="59"/>
  <c r="BX21" i="59"/>
  <c r="BX22" i="59"/>
  <c r="BX23" i="59"/>
  <c r="BX24" i="59"/>
  <c r="BX25" i="59"/>
  <c r="BX26" i="59"/>
  <c r="BX27" i="59"/>
  <c r="BX28" i="59"/>
  <c r="BX29" i="59"/>
  <c r="BX30" i="59"/>
  <c r="BX31" i="59"/>
  <c r="BX32" i="59"/>
  <c r="BX33" i="59"/>
  <c r="BX34" i="59"/>
  <c r="BX35" i="59"/>
  <c r="BX36" i="59"/>
  <c r="BX37" i="59"/>
  <c r="BX38" i="59"/>
  <c r="BX39" i="59"/>
  <c r="BX40" i="59"/>
  <c r="BX10" i="59"/>
  <c r="BW11" i="59"/>
  <c r="BW12" i="59"/>
  <c r="BW13" i="59"/>
  <c r="BW14" i="59"/>
  <c r="BW15" i="59"/>
  <c r="BW16" i="59"/>
  <c r="BW17" i="59"/>
  <c r="BW18" i="59"/>
  <c r="BW19" i="59"/>
  <c r="BW20" i="59"/>
  <c r="BW21" i="59"/>
  <c r="BW22" i="59"/>
  <c r="BW23" i="59"/>
  <c r="BW24" i="59"/>
  <c r="BW25" i="59"/>
  <c r="BW26" i="59"/>
  <c r="BW27" i="59"/>
  <c r="BW28" i="59"/>
  <c r="BW29" i="59"/>
  <c r="BW30" i="59"/>
  <c r="BW31" i="59"/>
  <c r="BW32" i="59"/>
  <c r="BW33" i="59"/>
  <c r="BW34" i="59"/>
  <c r="BW35" i="59"/>
  <c r="BW36" i="59"/>
  <c r="BW37" i="59"/>
  <c r="BW38" i="59"/>
  <c r="BW39" i="59"/>
  <c r="BW40" i="59"/>
  <c r="BW10" i="59"/>
  <c r="A13" i="133" l="1"/>
  <c r="A14" i="133"/>
  <c r="A15" i="133"/>
  <c r="A16" i="133"/>
  <c r="A17" i="133"/>
  <c r="A18" i="133"/>
  <c r="A19" i="133"/>
  <c r="A20" i="133"/>
  <c r="A21" i="133"/>
  <c r="A22" i="133"/>
  <c r="A23" i="133"/>
  <c r="A24" i="133"/>
  <c r="A25" i="133"/>
  <c r="A12" i="133"/>
  <c r="N25" i="133" l="1"/>
  <c r="O25" i="133"/>
  <c r="P25" i="133" s="1"/>
  <c r="Q25" i="133"/>
  <c r="R25" i="133"/>
  <c r="T25" i="133"/>
  <c r="U25" i="133"/>
  <c r="N24" i="133"/>
  <c r="O24" i="133"/>
  <c r="P24" i="133" s="1"/>
  <c r="Q24" i="133"/>
  <c r="R24" i="133"/>
  <c r="T24" i="133"/>
  <c r="U24" i="133"/>
  <c r="M24" i="133"/>
  <c r="M25" i="133"/>
  <c r="Y13" i="133" l="1"/>
  <c r="M14" i="133"/>
  <c r="M12" i="133"/>
  <c r="M20" i="133"/>
  <c r="M18" i="133"/>
  <c r="M23" i="133"/>
  <c r="M22" i="133"/>
  <c r="M13" i="133"/>
  <c r="M17" i="133"/>
  <c r="M16" i="133"/>
  <c r="M21" i="133"/>
  <c r="M19" i="133"/>
  <c r="M15" i="133"/>
  <c r="D331" i="8" l="1"/>
  <c r="I11" i="133"/>
  <c r="N23" i="133" l="1"/>
  <c r="O23" i="133"/>
  <c r="P23" i="133" s="1"/>
  <c r="Q23" i="133"/>
  <c r="R23" i="133"/>
  <c r="T23" i="133"/>
  <c r="U23" i="133"/>
  <c r="R31" i="165" l="1"/>
  <c r="S31" i="165"/>
  <c r="R30" i="165" l="1"/>
  <c r="S30" i="165"/>
  <c r="D124" i="4"/>
  <c r="N5" i="165"/>
  <c r="N4" i="165"/>
  <c r="S29" i="165" l="1"/>
  <c r="R29" i="165"/>
  <c r="S28" i="165"/>
  <c r="R28" i="165"/>
  <c r="S27" i="165"/>
  <c r="R27" i="165"/>
  <c r="S26" i="165"/>
  <c r="R26" i="165"/>
  <c r="S25" i="165"/>
  <c r="R25" i="165"/>
  <c r="S24" i="165"/>
  <c r="R24" i="165"/>
  <c r="S23" i="165"/>
  <c r="R23" i="165"/>
  <c r="S22" i="165"/>
  <c r="R22" i="165"/>
  <c r="S21" i="165"/>
  <c r="R21" i="165"/>
  <c r="S20" i="165"/>
  <c r="R20" i="165"/>
  <c r="S19" i="165"/>
  <c r="R19" i="165"/>
  <c r="S18" i="165"/>
  <c r="R18" i="165"/>
  <c r="S17" i="165"/>
  <c r="R17" i="165"/>
  <c r="S16" i="165"/>
  <c r="R16" i="165"/>
  <c r="S15" i="165"/>
  <c r="R15" i="165"/>
  <c r="S14" i="165"/>
  <c r="R14" i="165"/>
  <c r="S13" i="165"/>
  <c r="R13" i="165"/>
  <c r="S12" i="165"/>
  <c r="R12" i="165"/>
  <c r="S10" i="165" l="1"/>
  <c r="D263" i="8" s="1"/>
  <c r="R10" i="165"/>
  <c r="D262" i="8" s="1"/>
  <c r="U13" i="133" l="1"/>
  <c r="U14" i="133"/>
  <c r="U15" i="133"/>
  <c r="U16" i="133"/>
  <c r="U17" i="133"/>
  <c r="U18" i="133"/>
  <c r="U19" i="133"/>
  <c r="U20" i="133"/>
  <c r="U21" i="133"/>
  <c r="U22" i="133"/>
  <c r="U12" i="133"/>
  <c r="X10" i="132"/>
  <c r="X11" i="132"/>
  <c r="X12" i="132"/>
  <c r="X13" i="132"/>
  <c r="X14" i="132"/>
  <c r="X15" i="132"/>
  <c r="X16" i="132"/>
  <c r="X17" i="132"/>
  <c r="X18" i="132"/>
  <c r="X19" i="132"/>
  <c r="X20" i="132"/>
  <c r="X21" i="132"/>
  <c r="X22" i="132"/>
  <c r="X23" i="132"/>
  <c r="X24" i="132"/>
  <c r="D325" i="8" l="1"/>
  <c r="D324" i="8"/>
  <c r="W19" i="87" l="1"/>
  <c r="W18" i="87"/>
  <c r="W17" i="87"/>
  <c r="W16" i="87"/>
  <c r="W15" i="87"/>
  <c r="W14" i="87"/>
  <c r="W13" i="87"/>
  <c r="W12" i="87"/>
  <c r="W11" i="87"/>
  <c r="Y17" i="85"/>
  <c r="Y16" i="85"/>
  <c r="Y15" i="85"/>
  <c r="Y14" i="85"/>
  <c r="Y13" i="85"/>
  <c r="Y12" i="85"/>
  <c r="Y11" i="85"/>
  <c r="Y10" i="85"/>
  <c r="Y9" i="85" s="1"/>
  <c r="D462" i="8" s="1"/>
  <c r="W10" i="87"/>
  <c r="W9" i="87" s="1"/>
  <c r="CM11" i="59" l="1"/>
  <c r="CN11" i="59"/>
  <c r="CM12" i="59"/>
  <c r="CN12" i="59"/>
  <c r="CM13" i="59"/>
  <c r="CN13" i="59"/>
  <c r="CM14" i="59"/>
  <c r="CN14" i="59"/>
  <c r="CM15" i="59"/>
  <c r="CN15" i="59"/>
  <c r="CM16" i="59"/>
  <c r="CN16" i="59"/>
  <c r="CM17" i="59"/>
  <c r="CN17" i="59"/>
  <c r="CM18" i="59"/>
  <c r="CN18" i="59"/>
  <c r="CM19" i="59"/>
  <c r="CN19" i="59"/>
  <c r="CM20" i="59"/>
  <c r="CN20" i="59"/>
  <c r="CM21" i="59"/>
  <c r="CN21" i="59"/>
  <c r="CM22" i="59"/>
  <c r="CN22" i="59"/>
  <c r="CM23" i="59"/>
  <c r="CN23" i="59"/>
  <c r="CM24" i="59"/>
  <c r="CN24" i="59"/>
  <c r="CM25" i="59"/>
  <c r="CN25" i="59"/>
  <c r="CM26" i="59"/>
  <c r="CN26" i="59"/>
  <c r="CM27" i="59"/>
  <c r="CN27" i="59"/>
  <c r="CM28" i="59"/>
  <c r="CN28" i="59"/>
  <c r="CM29" i="59"/>
  <c r="CN29" i="59"/>
  <c r="CM30" i="59"/>
  <c r="CN30" i="59"/>
  <c r="CM31" i="59"/>
  <c r="CN31" i="59"/>
  <c r="CM32" i="59"/>
  <c r="CN32" i="59"/>
  <c r="CM33" i="59"/>
  <c r="CN33" i="59"/>
  <c r="CM34" i="59"/>
  <c r="CN34" i="59"/>
  <c r="CM35" i="59"/>
  <c r="CN35" i="59"/>
  <c r="CM36" i="59"/>
  <c r="CN36" i="59"/>
  <c r="CM37" i="59"/>
  <c r="CN37" i="59"/>
  <c r="CM38" i="59"/>
  <c r="CN38" i="59"/>
  <c r="CM39" i="59"/>
  <c r="CN39" i="59"/>
  <c r="CM40" i="59"/>
  <c r="CN40" i="59"/>
  <c r="CN10" i="59"/>
  <c r="CM10" i="59"/>
  <c r="CL40" i="59" l="1"/>
  <c r="CL39" i="59"/>
  <c r="CL38" i="59"/>
  <c r="CL37" i="59"/>
  <c r="CL36" i="59"/>
  <c r="CL35" i="59"/>
  <c r="CL34" i="59"/>
  <c r="CL33" i="59"/>
  <c r="CL32" i="59"/>
  <c r="CL31" i="59"/>
  <c r="CL30" i="59"/>
  <c r="CL29" i="59"/>
  <c r="CL28" i="59"/>
  <c r="CL27" i="59"/>
  <c r="CL26" i="59"/>
  <c r="CL25" i="59"/>
  <c r="CL24" i="59"/>
  <c r="CL23" i="59"/>
  <c r="CL22" i="59"/>
  <c r="CL21" i="59"/>
  <c r="CL20" i="59"/>
  <c r="CL19" i="59"/>
  <c r="CL18" i="59"/>
  <c r="CL17" i="59"/>
  <c r="CL16" i="59"/>
  <c r="CL15" i="59"/>
  <c r="CL14" i="59"/>
  <c r="CL13" i="59"/>
  <c r="CL12" i="59"/>
  <c r="CL11" i="59"/>
  <c r="CL10" i="59"/>
  <c r="CL9" i="59" l="1"/>
  <c r="D197" i="8" s="1"/>
  <c r="Z18" i="73" l="1"/>
  <c r="Z31" i="72"/>
  <c r="W10" i="107" l="1"/>
  <c r="W9" i="107"/>
  <c r="W8" i="107"/>
  <c r="W7" i="107"/>
  <c r="V7" i="107"/>
  <c r="V10" i="107" l="1"/>
  <c r="V9" i="107"/>
  <c r="V8" i="107" l="1"/>
  <c r="N9" i="70" l="1"/>
  <c r="N10" i="70"/>
  <c r="N11" i="70"/>
  <c r="N12" i="70"/>
  <c r="N13" i="70"/>
  <c r="N14" i="70"/>
  <c r="N15" i="70"/>
  <c r="N16" i="70"/>
  <c r="N17" i="70"/>
  <c r="J23" i="164" l="1"/>
  <c r="K23" i="164"/>
  <c r="E8" i="164"/>
  <c r="D8" i="164"/>
  <c r="A14" i="121" l="1"/>
  <c r="Y16" i="121" l="1"/>
  <c r="W16" i="121"/>
  <c r="U16" i="121"/>
  <c r="S16" i="121"/>
  <c r="Q16" i="121"/>
  <c r="O16" i="121"/>
  <c r="M16" i="121"/>
  <c r="K16" i="121"/>
  <c r="I16" i="121"/>
  <c r="G16" i="121"/>
  <c r="E16" i="121"/>
  <c r="AA13" i="121"/>
  <c r="Z13" i="121"/>
  <c r="A13" i="121"/>
  <c r="AC13" i="121" l="1"/>
  <c r="U11" i="126"/>
  <c r="D182" i="8" l="1"/>
  <c r="J65" i="35" l="1"/>
  <c r="W31" i="141" l="1"/>
  <c r="I15" i="160" l="1"/>
  <c r="N15" i="160" s="1"/>
  <c r="W35" i="160"/>
  <c r="W36" i="160"/>
  <c r="W37" i="160"/>
  <c r="W34" i="160"/>
  <c r="S34" i="160"/>
  <c r="S35" i="160"/>
  <c r="S36" i="160"/>
  <c r="S37" i="160"/>
  <c r="K9" i="164" l="1"/>
  <c r="E53" i="13" l="1"/>
  <c r="H68" i="35"/>
  <c r="A18" i="106" l="1"/>
  <c r="N18" i="106"/>
  <c r="R18" i="106"/>
  <c r="Y18" i="106"/>
  <c r="Z18" i="106"/>
  <c r="AD18" i="106"/>
  <c r="N20" i="60" l="1"/>
  <c r="W9" i="60" l="1"/>
  <c r="F10" i="9" l="1"/>
  <c r="E29" i="13"/>
  <c r="E24" i="13"/>
  <c r="E39" i="13"/>
  <c r="E38" i="13"/>
  <c r="E37" i="13"/>
  <c r="E36" i="13"/>
  <c r="E35" i="13"/>
  <c r="E30" i="13"/>
  <c r="E25" i="13"/>
  <c r="A20" i="16" l="1"/>
  <c r="N19" i="60" l="1"/>
  <c r="H19" i="16" l="1"/>
  <c r="A22" i="90" l="1"/>
  <c r="A21" i="90"/>
  <c r="A20" i="90"/>
  <c r="A19" i="90"/>
  <c r="A18" i="90"/>
  <c r="A17" i="90"/>
  <c r="A16" i="90"/>
  <c r="A15" i="90"/>
  <c r="T53" i="44"/>
  <c r="S53" i="44"/>
  <c r="R54" i="44"/>
  <c r="A9" i="127" l="1"/>
  <c r="A33" i="124"/>
  <c r="A26" i="16"/>
  <c r="A25" i="16"/>
  <c r="A24" i="16"/>
  <c r="A23" i="16"/>
  <c r="A21" i="16"/>
  <c r="A19" i="16"/>
  <c r="A18" i="16"/>
  <c r="A17" i="16"/>
  <c r="A16" i="16"/>
  <c r="A15" i="16"/>
  <c r="A14" i="16"/>
  <c r="A13" i="16"/>
  <c r="A12" i="16"/>
  <c r="A11" i="16"/>
  <c r="A134" i="13"/>
  <c r="N10" i="60" l="1"/>
  <c r="U21" i="58" l="1"/>
  <c r="U20" i="58"/>
  <c r="U19" i="58"/>
  <c r="U18" i="58"/>
  <c r="U17" i="58"/>
  <c r="U16" i="58"/>
  <c r="U15" i="58"/>
  <c r="U14" i="58"/>
  <c r="U13" i="58"/>
  <c r="U12" i="58"/>
  <c r="U11" i="58"/>
  <c r="U10" i="58" l="1"/>
  <c r="U9" i="58" l="1"/>
  <c r="Y21" i="34"/>
  <c r="Y20" i="34"/>
  <c r="Y19" i="34"/>
  <c r="Y18" i="34"/>
  <c r="Y17" i="34"/>
  <c r="Y16" i="34"/>
  <c r="Y15" i="34"/>
  <c r="Y14" i="34"/>
  <c r="Y13" i="34"/>
  <c r="Y12" i="34"/>
  <c r="Y11" i="34"/>
  <c r="Y10" i="34" l="1"/>
  <c r="D342" i="8" s="1"/>
  <c r="M11" i="35" l="1"/>
  <c r="Q17" i="35" l="1"/>
  <c r="M9" i="35" s="1"/>
  <c r="M3" i="35" s="1"/>
  <c r="D344" i="8" s="1"/>
  <c r="J67" i="35" l="1"/>
  <c r="F53" i="13" s="1"/>
  <c r="Q22" i="23" l="1"/>
  <c r="M31" i="25" l="1"/>
  <c r="M30" i="25"/>
  <c r="M29" i="25"/>
  <c r="M28" i="25"/>
  <c r="M27" i="25"/>
  <c r="M26" i="25"/>
  <c r="M25" i="25"/>
  <c r="M24" i="25"/>
  <c r="M23" i="25"/>
  <c r="M22" i="25"/>
  <c r="M20" i="25"/>
  <c r="F29" i="13" s="1"/>
  <c r="M19" i="25"/>
  <c r="M18" i="25"/>
  <c r="M17" i="25"/>
  <c r="M16" i="25"/>
  <c r="M15" i="25"/>
  <c r="F30" i="13" s="1"/>
  <c r="M14" i="25"/>
  <c r="M13" i="25"/>
  <c r="M12" i="25"/>
  <c r="M11" i="25"/>
  <c r="M10" i="25"/>
  <c r="N21" i="25"/>
  <c r="N9" i="25"/>
  <c r="E21" i="25"/>
  <c r="E9" i="25"/>
  <c r="P32" i="23"/>
  <c r="P31" i="23"/>
  <c r="P30" i="23"/>
  <c r="P29" i="23"/>
  <c r="P28" i="23"/>
  <c r="P27" i="23"/>
  <c r="P26" i="23"/>
  <c r="P25" i="23"/>
  <c r="P24" i="23"/>
  <c r="P23" i="23"/>
  <c r="P21" i="23"/>
  <c r="P20" i="23"/>
  <c r="P19" i="23"/>
  <c r="P18" i="23"/>
  <c r="P17" i="23"/>
  <c r="P16" i="23"/>
  <c r="F25" i="13" s="1"/>
  <c r="P15" i="23"/>
  <c r="P14" i="23"/>
  <c r="P13" i="23"/>
  <c r="P12" i="23"/>
  <c r="P11" i="23"/>
  <c r="Q10" i="23"/>
  <c r="E22" i="23"/>
  <c r="E10" i="23"/>
  <c r="U10" i="21"/>
  <c r="F20" i="13"/>
  <c r="E20" i="13"/>
  <c r="E18" i="13" s="1"/>
  <c r="F21" i="13" l="1"/>
  <c r="AC10" i="21"/>
  <c r="AF10" i="21" s="1"/>
  <c r="AF7" i="21" s="1"/>
  <c r="E17" i="9"/>
  <c r="U9" i="21"/>
  <c r="F19" i="13" s="1"/>
  <c r="F24" i="13"/>
  <c r="E9" i="23"/>
  <c r="E26" i="13" s="1"/>
  <c r="P22" i="23"/>
  <c r="E8" i="25"/>
  <c r="E31" i="13" s="1"/>
  <c r="N8" i="25"/>
  <c r="F31" i="13" s="1"/>
  <c r="X26" i="28"/>
  <c r="X23" i="28"/>
  <c r="F37" i="13" s="1"/>
  <c r="X22" i="28"/>
  <c r="X21" i="28"/>
  <c r="F35" i="13" s="1"/>
  <c r="X20" i="28"/>
  <c r="X19" i="28"/>
  <c r="X18" i="28"/>
  <c r="X17" i="28"/>
  <c r="X16" i="28"/>
  <c r="X15" i="28"/>
  <c r="X14" i="28"/>
  <c r="X13" i="28"/>
  <c r="X12" i="28"/>
  <c r="X11" i="28"/>
  <c r="X10" i="28"/>
  <c r="X9" i="28"/>
  <c r="Y8" i="28"/>
  <c r="F40" i="13" s="1"/>
  <c r="E8" i="28"/>
  <c r="E40" i="13" s="1"/>
  <c r="R9" i="26"/>
  <c r="K17" i="9" l="1"/>
  <c r="N17" i="9" s="1"/>
  <c r="F18" i="13"/>
  <c r="F36" i="13"/>
  <c r="F39" i="13"/>
  <c r="F38" i="13"/>
  <c r="E10" i="9"/>
  <c r="V9" i="17"/>
  <c r="Y9" i="17" s="1"/>
  <c r="F11" i="13" l="1"/>
  <c r="AP9" i="19"/>
  <c r="AS9" i="19" s="1"/>
  <c r="AS6" i="19" s="1"/>
  <c r="AF9" i="17"/>
  <c r="AI9" i="17" s="1"/>
  <c r="AF11" i="17"/>
  <c r="AI11" i="17" s="1"/>
  <c r="V8" i="17"/>
  <c r="Y8" i="17"/>
  <c r="AI6" i="17" l="1"/>
  <c r="F9" i="13"/>
  <c r="E12" i="9" s="1"/>
  <c r="E15" i="9"/>
  <c r="K15" i="9" s="1"/>
  <c r="N15" i="9" s="1"/>
  <c r="AR11" i="162"/>
  <c r="AR12" i="162"/>
  <c r="AR13" i="162"/>
  <c r="AR14" i="162"/>
  <c r="AR15" i="162"/>
  <c r="AR16" i="162"/>
  <c r="AR17" i="162"/>
  <c r="AR18" i="162"/>
  <c r="AR19" i="162"/>
  <c r="AR20" i="162"/>
  <c r="AR21" i="162"/>
  <c r="AR22" i="162"/>
  <c r="AR23" i="162"/>
  <c r="AR24" i="162"/>
  <c r="AR25" i="162"/>
  <c r="AR26" i="162"/>
  <c r="AR27" i="162"/>
  <c r="AR28" i="162"/>
  <c r="AR29" i="162"/>
  <c r="AR30" i="162"/>
  <c r="AR31" i="162"/>
  <c r="AR32" i="162"/>
  <c r="AR33" i="162"/>
  <c r="AR34" i="162"/>
  <c r="AR35" i="162"/>
  <c r="AR36" i="162"/>
  <c r="AR37" i="162"/>
  <c r="AR38" i="162"/>
  <c r="AR39" i="162"/>
  <c r="AR40" i="162"/>
  <c r="AR41" i="162"/>
  <c r="AR42" i="162"/>
  <c r="AR43" i="162"/>
  <c r="AR44" i="162"/>
  <c r="AR45" i="162"/>
  <c r="AR46" i="162"/>
  <c r="AR47" i="162"/>
  <c r="AR48" i="162"/>
  <c r="AR49" i="162"/>
  <c r="AR50" i="162"/>
  <c r="AR51" i="162"/>
  <c r="AR52" i="162"/>
  <c r="AR53" i="162"/>
  <c r="AR54" i="162"/>
  <c r="AR55" i="162"/>
  <c r="AR56" i="162"/>
  <c r="AR57" i="162"/>
  <c r="AR58" i="162"/>
  <c r="AR59" i="162"/>
  <c r="AR60" i="162"/>
  <c r="AR61" i="162"/>
  <c r="AR10" i="162"/>
  <c r="P5" i="14" l="1"/>
  <c r="F97" i="8"/>
  <c r="Y43" i="141"/>
  <c r="E57" i="8" l="1"/>
  <c r="E53" i="8"/>
  <c r="Y34" i="134"/>
  <c r="Y33" i="134"/>
  <c r="Y32" i="134"/>
  <c r="Y31" i="134"/>
  <c r="Y37" i="134" l="1"/>
  <c r="Y35" i="134"/>
  <c r="Y36" i="134" s="1"/>
  <c r="F10" i="124" l="1"/>
  <c r="I10" i="124"/>
  <c r="J10" i="124"/>
  <c r="J22" i="164" l="1"/>
  <c r="K22" i="164"/>
  <c r="J21" i="164"/>
  <c r="K21" i="164"/>
  <c r="N11" i="60" l="1"/>
  <c r="N12" i="60"/>
  <c r="N13" i="60"/>
  <c r="N14" i="60"/>
  <c r="N15" i="60"/>
  <c r="N16" i="60"/>
  <c r="N17" i="60"/>
  <c r="N18" i="60"/>
  <c r="M9" i="60"/>
  <c r="AT11" i="60" l="1"/>
  <c r="AT15" i="60"/>
  <c r="AT19" i="60"/>
  <c r="AT23" i="60"/>
  <c r="AT27" i="60"/>
  <c r="AT31" i="60"/>
  <c r="AT12" i="60"/>
  <c r="AT16" i="60"/>
  <c r="AT20" i="60"/>
  <c r="AT24" i="60"/>
  <c r="AT28" i="60"/>
  <c r="AT32" i="60"/>
  <c r="AT10" i="60"/>
  <c r="AT13" i="60"/>
  <c r="AT17" i="60"/>
  <c r="AT21" i="60"/>
  <c r="AT25" i="60"/>
  <c r="AT29" i="60"/>
  <c r="AT33" i="60"/>
  <c r="AT14" i="60"/>
  <c r="AT18" i="60"/>
  <c r="AT22" i="60"/>
  <c r="AT26" i="60"/>
  <c r="AT30" i="60"/>
  <c r="AT34" i="60"/>
  <c r="N9" i="60"/>
  <c r="F35" i="9" s="1"/>
  <c r="Q10" i="16"/>
  <c r="I10" i="16"/>
  <c r="Z14" i="60" l="1"/>
  <c r="AA14" i="60"/>
  <c r="Z21" i="60"/>
  <c r="AC21" i="60" s="1"/>
  <c r="AA21" i="60"/>
  <c r="Z30" i="60"/>
  <c r="AC30" i="60" s="1"/>
  <c r="AA30" i="60"/>
  <c r="Z22" i="60"/>
  <c r="AC22" i="60" s="1"/>
  <c r="AA22" i="60"/>
  <c r="Z29" i="60"/>
  <c r="AC29" i="60" s="1"/>
  <c r="AA29" i="60"/>
  <c r="Z13" i="60"/>
  <c r="AA13" i="60"/>
  <c r="Z32" i="60"/>
  <c r="AC32" i="60" s="1"/>
  <c r="AA32" i="60"/>
  <c r="Z24" i="60"/>
  <c r="AC24" i="60" s="1"/>
  <c r="AA24" i="60"/>
  <c r="Z16" i="60"/>
  <c r="AA16" i="60"/>
  <c r="Z31" i="60"/>
  <c r="AC31" i="60" s="1"/>
  <c r="AA31" i="60"/>
  <c r="Z23" i="60"/>
  <c r="AC23" i="60" s="1"/>
  <c r="AA23" i="60"/>
  <c r="Z15" i="60"/>
  <c r="AA15" i="60"/>
  <c r="Z34" i="60"/>
  <c r="AC34" i="60" s="1"/>
  <c r="AA34" i="60"/>
  <c r="Z26" i="60"/>
  <c r="AC26" i="60" s="1"/>
  <c r="AA26" i="60"/>
  <c r="Z18" i="60"/>
  <c r="AA18" i="60"/>
  <c r="Z33" i="60"/>
  <c r="AC33" i="60" s="1"/>
  <c r="AA33" i="60"/>
  <c r="Z25" i="60"/>
  <c r="AC25" i="60" s="1"/>
  <c r="AA25" i="60"/>
  <c r="Z17" i="60"/>
  <c r="AA17" i="60"/>
  <c r="AA10" i="60"/>
  <c r="Z10" i="60"/>
  <c r="Z28" i="60"/>
  <c r="AC28" i="60" s="1"/>
  <c r="AA28" i="60"/>
  <c r="Z20" i="60"/>
  <c r="AA20" i="60"/>
  <c r="Z12" i="60"/>
  <c r="AA12" i="60"/>
  <c r="Z27" i="60"/>
  <c r="AC27" i="60" s="1"/>
  <c r="AA27" i="60"/>
  <c r="Z19" i="60"/>
  <c r="AC19" i="60" s="1"/>
  <c r="AA19" i="60"/>
  <c r="Z11" i="60"/>
  <c r="AA11" i="60"/>
  <c r="AC20" i="60"/>
  <c r="G10" i="34" l="1"/>
  <c r="N28" i="16" l="1"/>
  <c r="E8" i="119" l="1"/>
  <c r="F8" i="119"/>
  <c r="G8" i="119"/>
  <c r="H8" i="119"/>
  <c r="I8" i="119"/>
  <c r="J8" i="119"/>
  <c r="I8" i="32"/>
  <c r="E32" i="10" s="1"/>
  <c r="E31" i="10" s="1"/>
  <c r="E8" i="32"/>
  <c r="F19" i="9" l="1"/>
  <c r="E19" i="9"/>
  <c r="K19" i="9" l="1"/>
  <c r="N19" i="9" s="1"/>
  <c r="L19" i="9"/>
  <c r="O19" i="9" s="1"/>
  <c r="J20" i="164" l="1"/>
  <c r="K20" i="164"/>
  <c r="J19" i="164"/>
  <c r="K19" i="164"/>
  <c r="J18" i="164" l="1"/>
  <c r="K18" i="164"/>
  <c r="E4" i="164" l="1"/>
  <c r="E3" i="164"/>
  <c r="D39" i="4"/>
  <c r="K17" i="164"/>
  <c r="J17" i="164"/>
  <c r="K16" i="164"/>
  <c r="J16" i="164"/>
  <c r="K15" i="164"/>
  <c r="J15" i="164"/>
  <c r="K14" i="164"/>
  <c r="J14" i="164"/>
  <c r="K13" i="164"/>
  <c r="J13" i="164"/>
  <c r="K12" i="164"/>
  <c r="J12" i="164"/>
  <c r="K11" i="164"/>
  <c r="J11" i="164"/>
  <c r="K10" i="164"/>
  <c r="J10" i="164"/>
  <c r="J9" i="164"/>
  <c r="J7" i="164" l="1"/>
  <c r="K7" i="164"/>
  <c r="D181" i="8" l="1"/>
  <c r="AB9" i="60"/>
  <c r="AC18" i="60" l="1"/>
  <c r="W64" i="141" l="1"/>
  <c r="W65" i="141"/>
  <c r="W66" i="141"/>
  <c r="AK64" i="141" l="1"/>
  <c r="AL64" i="141"/>
  <c r="AM64" i="141"/>
  <c r="AN64" i="141"/>
  <c r="AO64" i="141"/>
  <c r="AK65" i="141"/>
  <c r="AL65" i="141"/>
  <c r="AM65" i="141"/>
  <c r="AN65" i="141"/>
  <c r="AO65" i="141"/>
  <c r="AK66" i="141"/>
  <c r="AL66" i="141"/>
  <c r="AM66" i="141"/>
  <c r="AN66" i="141"/>
  <c r="AO66" i="141"/>
  <c r="AL31" i="141"/>
  <c r="AM31" i="141"/>
  <c r="AN31" i="141"/>
  <c r="AO31" i="141"/>
  <c r="AP31" i="141"/>
  <c r="AL32" i="141"/>
  <c r="AM32" i="141"/>
  <c r="AN32" i="141"/>
  <c r="AO32" i="141"/>
  <c r="AP32" i="141"/>
  <c r="AL34" i="141"/>
  <c r="AM34" i="141"/>
  <c r="AN34" i="141"/>
  <c r="AO34" i="141"/>
  <c r="AP34" i="141"/>
  <c r="AL35" i="141"/>
  <c r="AM35" i="141"/>
  <c r="AN35" i="141"/>
  <c r="AO35" i="141"/>
  <c r="AP35" i="141"/>
  <c r="AL37" i="141"/>
  <c r="AM37" i="141"/>
  <c r="AN37" i="141"/>
  <c r="AO37" i="141"/>
  <c r="AP37" i="141"/>
  <c r="AL38" i="141"/>
  <c r="AM38" i="141"/>
  <c r="AN38" i="141"/>
  <c r="AO38" i="141"/>
  <c r="AP38" i="141"/>
  <c r="AL39" i="141"/>
  <c r="AM39" i="141"/>
  <c r="AN39" i="141"/>
  <c r="AO39" i="141"/>
  <c r="AP39" i="141"/>
  <c r="AL40" i="141"/>
  <c r="AM40" i="141"/>
  <c r="AN40" i="141"/>
  <c r="AO40" i="141"/>
  <c r="AP40" i="141"/>
  <c r="AL41" i="141"/>
  <c r="AM41" i="141"/>
  <c r="AN41" i="141"/>
  <c r="AO41" i="141"/>
  <c r="AP41" i="141"/>
  <c r="AL42" i="141"/>
  <c r="AM42" i="141"/>
  <c r="AN42" i="141"/>
  <c r="AO42" i="141"/>
  <c r="AP42" i="141"/>
  <c r="AL43" i="141"/>
  <c r="AM43" i="141"/>
  <c r="AN43" i="141"/>
  <c r="AO43" i="141"/>
  <c r="AP43" i="141"/>
  <c r="AL44" i="141"/>
  <c r="AM44" i="141"/>
  <c r="AN44" i="141"/>
  <c r="AO44" i="141"/>
  <c r="AP44" i="141"/>
  <c r="AK45" i="141"/>
  <c r="AL45" i="141"/>
  <c r="AM45" i="141"/>
  <c r="AN45" i="141"/>
  <c r="AO45" i="141"/>
  <c r="AK46" i="141"/>
  <c r="AL46" i="141"/>
  <c r="AM46" i="141"/>
  <c r="AN46" i="141"/>
  <c r="AO46" i="141"/>
  <c r="AK47" i="141"/>
  <c r="AL47" i="141"/>
  <c r="AM47" i="141"/>
  <c r="AN47" i="141"/>
  <c r="AO47" i="141"/>
  <c r="AK48" i="141"/>
  <c r="AL48" i="141"/>
  <c r="AM48" i="141"/>
  <c r="AN48" i="141"/>
  <c r="AO48" i="141"/>
  <c r="AK51" i="141"/>
  <c r="AL51" i="141"/>
  <c r="AM51" i="141"/>
  <c r="AN51" i="141"/>
  <c r="AO51" i="141"/>
  <c r="AK52" i="141"/>
  <c r="AL52" i="141"/>
  <c r="AM52" i="141"/>
  <c r="AN52" i="141"/>
  <c r="AO52" i="141"/>
  <c r="AK54" i="141"/>
  <c r="AL54" i="141"/>
  <c r="AM54" i="141"/>
  <c r="AN54" i="141"/>
  <c r="AO54" i="141"/>
  <c r="AK55" i="141"/>
  <c r="AL55" i="141"/>
  <c r="AM55" i="141"/>
  <c r="AN55" i="141"/>
  <c r="AO55" i="141"/>
  <c r="AK57" i="141"/>
  <c r="AL57" i="141"/>
  <c r="AM57" i="141"/>
  <c r="AN57" i="141"/>
  <c r="AO57" i="141"/>
  <c r="AK58" i="141"/>
  <c r="AL58" i="141"/>
  <c r="AM58" i="141"/>
  <c r="AN58" i="141"/>
  <c r="AO58" i="141"/>
  <c r="AK60" i="141"/>
  <c r="AL60" i="141"/>
  <c r="AM60" i="141"/>
  <c r="AN60" i="141"/>
  <c r="AO60" i="141"/>
  <c r="AK61" i="141"/>
  <c r="AL61" i="141"/>
  <c r="AM61" i="141"/>
  <c r="AN61" i="141"/>
  <c r="AO61" i="141"/>
  <c r="AK62" i="141"/>
  <c r="AL62" i="141"/>
  <c r="AM62" i="141"/>
  <c r="AN62" i="141"/>
  <c r="AO62" i="141"/>
  <c r="P32" i="141" l="1"/>
  <c r="S32" i="141" s="1"/>
  <c r="G32" i="141"/>
  <c r="P31" i="141"/>
  <c r="S31" i="141" s="1"/>
  <c r="S30" i="141" s="1"/>
  <c r="G31" i="141"/>
  <c r="R30" i="141"/>
  <c r="O30" i="141"/>
  <c r="N30" i="141"/>
  <c r="M30" i="141"/>
  <c r="AP30" i="141" s="1"/>
  <c r="L30" i="141"/>
  <c r="K30" i="141"/>
  <c r="AO30" i="141" s="1"/>
  <c r="J30" i="141"/>
  <c r="AN30" i="141" s="1"/>
  <c r="I30" i="141"/>
  <c r="AM30" i="141" s="1"/>
  <c r="H30" i="141"/>
  <c r="AL30" i="141" s="1"/>
  <c r="F30" i="141"/>
  <c r="D30" i="141"/>
  <c r="G30" i="141" l="1"/>
  <c r="P30" i="141"/>
  <c r="V31" i="141"/>
  <c r="V32" i="141"/>
  <c r="AS10" i="71" l="1"/>
  <c r="AS11" i="71"/>
  <c r="AS12" i="71"/>
  <c r="AS13" i="71"/>
  <c r="AS14" i="71"/>
  <c r="AS15" i="71"/>
  <c r="AS16" i="71"/>
  <c r="AS17" i="71"/>
  <c r="AS18" i="71"/>
  <c r="AS19" i="71"/>
  <c r="AS9" i="71"/>
  <c r="B19" i="71"/>
  <c r="C19" i="71"/>
  <c r="M19" i="71"/>
  <c r="AF19" i="71"/>
  <c r="AG19" i="71"/>
  <c r="AH19" i="71"/>
  <c r="AI19" i="71"/>
  <c r="AJ19" i="71"/>
  <c r="AK19" i="71"/>
  <c r="AL19" i="71"/>
  <c r="AO19" i="71"/>
  <c r="AP19" i="71"/>
  <c r="BB19" i="71"/>
  <c r="AQ19" i="71"/>
  <c r="AR19" i="71"/>
  <c r="A19" i="71" l="1"/>
  <c r="BL19" i="71"/>
  <c r="AS6" i="71"/>
  <c r="D358" i="8" s="1"/>
  <c r="M12" i="43"/>
  <c r="M13" i="43"/>
  <c r="M14" i="43"/>
  <c r="M15" i="43"/>
  <c r="M16" i="43"/>
  <c r="M17" i="43"/>
  <c r="M18" i="43"/>
  <c r="M11" i="43"/>
  <c r="D496" i="8" l="1"/>
  <c r="K37" i="134" l="1"/>
  <c r="K38" i="134"/>
  <c r="K39" i="134"/>
  <c r="K40" i="134"/>
  <c r="K41" i="134"/>
  <c r="K42" i="134"/>
  <c r="K43" i="134"/>
  <c r="K44" i="134"/>
  <c r="K45" i="134"/>
  <c r="K46" i="134"/>
  <c r="K47" i="134"/>
  <c r="K48" i="134"/>
  <c r="K49" i="134"/>
  <c r="K50" i="134"/>
  <c r="K51" i="134"/>
  <c r="K52" i="134"/>
  <c r="K53" i="134"/>
  <c r="K54" i="134"/>
  <c r="K55" i="134"/>
  <c r="K56" i="134"/>
  <c r="K57" i="134"/>
  <c r="K58" i="134"/>
  <c r="AK13" i="78" l="1"/>
  <c r="AK14" i="78"/>
  <c r="AK15" i="78"/>
  <c r="AK16" i="78"/>
  <c r="AK12" i="78"/>
  <c r="AD21" i="77"/>
  <c r="AI21" i="77"/>
  <c r="AK21" i="77"/>
  <c r="AK13" i="77"/>
  <c r="AK14" i="77"/>
  <c r="AK15" i="77"/>
  <c r="AK16" i="77"/>
  <c r="AK17" i="77"/>
  <c r="AK18" i="77"/>
  <c r="AK19" i="77"/>
  <c r="AK20" i="77"/>
  <c r="AK12" i="77"/>
  <c r="D469" i="8" l="1"/>
  <c r="D470" i="8"/>
  <c r="I15" i="141" l="1"/>
  <c r="I18" i="141"/>
  <c r="I21" i="141"/>
  <c r="I24" i="141"/>
  <c r="I27" i="141"/>
  <c r="I33" i="141"/>
  <c r="AM33" i="141" s="1"/>
  <c r="I36" i="141"/>
  <c r="AM36" i="141" s="1"/>
  <c r="I12" i="141"/>
  <c r="W33" i="141" l="1"/>
  <c r="X35" i="160" l="1"/>
  <c r="X36" i="160"/>
  <c r="X37" i="160"/>
  <c r="X34" i="160"/>
  <c r="AH34" i="134" l="1"/>
  <c r="AH33" i="134"/>
  <c r="AH32" i="134"/>
  <c r="AH31" i="134"/>
  <c r="I23" i="160" l="1"/>
  <c r="E23" i="160"/>
  <c r="D23" i="160"/>
  <c r="N23" i="160" l="1"/>
  <c r="A11" i="94" l="1"/>
  <c r="A12" i="94"/>
  <c r="A13" i="94"/>
  <c r="A14" i="94"/>
  <c r="A15" i="94"/>
  <c r="A16" i="94"/>
  <c r="A17" i="94"/>
  <c r="A18" i="94"/>
  <c r="A19" i="94"/>
  <c r="A20" i="94"/>
  <c r="A21" i="94"/>
  <c r="A22" i="94"/>
  <c r="A10" i="94"/>
  <c r="Z11" i="33" l="1"/>
  <c r="Z12" i="33"/>
  <c r="Z13" i="33"/>
  <c r="Z10" i="33"/>
  <c r="Z9" i="33" l="1"/>
  <c r="D163" i="8" s="1"/>
  <c r="I13" i="160" l="1"/>
  <c r="E13" i="160"/>
  <c r="D13" i="160"/>
  <c r="N13" i="160" l="1"/>
  <c r="I11" i="160"/>
  <c r="E11" i="160"/>
  <c r="D11" i="160"/>
  <c r="N11" i="160" l="1"/>
  <c r="Q13" i="133" l="1"/>
  <c r="Q14" i="133"/>
  <c r="Q15" i="133"/>
  <c r="Q16" i="133"/>
  <c r="Q17" i="133"/>
  <c r="Q18" i="133"/>
  <c r="Q19" i="133"/>
  <c r="Q20" i="133"/>
  <c r="Q21" i="133"/>
  <c r="Q22" i="133"/>
  <c r="M37" i="134"/>
  <c r="M38" i="134"/>
  <c r="M39" i="134"/>
  <c r="M40" i="134"/>
  <c r="M41" i="134"/>
  <c r="M42" i="134"/>
  <c r="M43" i="134"/>
  <c r="M44" i="134"/>
  <c r="M45" i="134"/>
  <c r="M46" i="134"/>
  <c r="M47" i="134"/>
  <c r="M48" i="134"/>
  <c r="M49" i="134"/>
  <c r="M50" i="134"/>
  <c r="M51" i="134"/>
  <c r="M52" i="134"/>
  <c r="M53" i="134"/>
  <c r="M54" i="134"/>
  <c r="M55" i="134"/>
  <c r="M56" i="134"/>
  <c r="M57" i="134"/>
  <c r="M58" i="134"/>
  <c r="M36" i="134"/>
  <c r="Q12" i="133"/>
  <c r="Q10" i="35" l="1"/>
  <c r="Q11" i="35"/>
  <c r="Q12" i="35"/>
  <c r="Q13" i="35"/>
  <c r="Q14" i="35"/>
  <c r="Q15" i="35"/>
  <c r="Q16" i="35"/>
  <c r="Q9" i="35"/>
  <c r="M5" i="35" l="1"/>
  <c r="E64" i="13"/>
  <c r="E58" i="13"/>
  <c r="I38" i="137" l="1"/>
  <c r="I21" i="140" l="1"/>
  <c r="I20" i="140"/>
  <c r="I19" i="140"/>
  <c r="I18" i="140"/>
  <c r="I17" i="140"/>
  <c r="I16" i="140"/>
  <c r="I15" i="140"/>
  <c r="I14" i="140"/>
  <c r="I13" i="140"/>
  <c r="I12" i="140"/>
  <c r="I11" i="140"/>
  <c r="I10" i="140"/>
  <c r="I9" i="140"/>
  <c r="AI13" i="78" l="1"/>
  <c r="AI14" i="78"/>
  <c r="AI15" i="78"/>
  <c r="AI16" i="78"/>
  <c r="AI12" i="78"/>
  <c r="AI13" i="77"/>
  <c r="AI14" i="77"/>
  <c r="AI15" i="77"/>
  <c r="AI16" i="77"/>
  <c r="AI17" i="77"/>
  <c r="AI18" i="77"/>
  <c r="AI19" i="77"/>
  <c r="AI20" i="77"/>
  <c r="U35" i="160" l="1"/>
  <c r="U36" i="160"/>
  <c r="U37" i="160"/>
  <c r="U34" i="160"/>
  <c r="T34" i="160"/>
  <c r="M33" i="160"/>
  <c r="N33" i="160"/>
  <c r="U33" i="160" l="1"/>
  <c r="AR15" i="71" l="1"/>
  <c r="AR16" i="71"/>
  <c r="AR17" i="71"/>
  <c r="AR18" i="71"/>
  <c r="AR13" i="71"/>
  <c r="AR14" i="71"/>
  <c r="AR12" i="71"/>
  <c r="AR11" i="71"/>
  <c r="AR10" i="71"/>
  <c r="AQ15" i="71" l="1"/>
  <c r="AQ16" i="71"/>
  <c r="AQ17" i="71"/>
  <c r="AQ18" i="71"/>
  <c r="AQ14" i="71"/>
  <c r="AQ13" i="71"/>
  <c r="AQ12" i="71"/>
  <c r="AQ11" i="71"/>
  <c r="AQ10" i="71"/>
  <c r="AQ9" i="71"/>
  <c r="AR9" i="71"/>
  <c r="AR6" i="71" l="1"/>
  <c r="AQ6" i="71"/>
  <c r="D486" i="8" l="1"/>
  <c r="E26" i="160"/>
  <c r="E25" i="160"/>
  <c r="E24" i="160"/>
  <c r="E22" i="160"/>
  <c r="E21" i="160"/>
  <c r="E20" i="160"/>
  <c r="E19" i="160"/>
  <c r="E14" i="160"/>
  <c r="E12" i="160"/>
  <c r="E10" i="160"/>
  <c r="E9" i="160"/>
  <c r="A16" i="128" l="1"/>
  <c r="A17" i="128"/>
  <c r="A18" i="128"/>
  <c r="A19" i="128"/>
  <c r="A20" i="128"/>
  <c r="A21" i="128"/>
  <c r="A22" i="128"/>
  <c r="A23" i="128"/>
  <c r="A24" i="128"/>
  <c r="A15" i="128"/>
  <c r="AM11" i="117" l="1"/>
  <c r="AM12" i="117"/>
  <c r="AL12" i="117"/>
  <c r="AL11" i="117"/>
  <c r="AM10" i="117"/>
  <c r="AL10" i="117"/>
  <c r="AM9" i="117"/>
  <c r="AL9" i="117"/>
  <c r="AM8" i="117"/>
  <c r="AL8" i="117"/>
  <c r="AM7" i="117"/>
  <c r="AL7" i="117"/>
  <c r="AM6" i="117"/>
  <c r="AL6" i="117"/>
  <c r="AM5" i="117"/>
  <c r="AL5" i="117"/>
  <c r="AN13" i="141" l="1"/>
  <c r="AO13" i="141"/>
  <c r="AN14" i="141"/>
  <c r="AO14" i="141"/>
  <c r="AN16" i="141"/>
  <c r="AO16" i="141"/>
  <c r="AN17" i="141"/>
  <c r="AO17" i="141"/>
  <c r="AN19" i="141"/>
  <c r="AO19" i="141"/>
  <c r="AN20" i="141"/>
  <c r="AO20" i="141"/>
  <c r="AN22" i="141"/>
  <c r="AO22" i="141"/>
  <c r="AN23" i="141"/>
  <c r="AO23" i="141"/>
  <c r="AN25" i="141"/>
  <c r="AO25" i="141"/>
  <c r="AN26" i="141"/>
  <c r="AO26" i="141"/>
  <c r="AN28" i="141"/>
  <c r="AO28" i="141"/>
  <c r="AN29" i="141"/>
  <c r="AO29" i="141"/>
  <c r="AM29" i="141"/>
  <c r="AL29" i="141"/>
  <c r="AK29" i="141"/>
  <c r="AM28" i="141"/>
  <c r="AL28" i="141"/>
  <c r="AK28" i="141"/>
  <c r="AM26" i="141"/>
  <c r="AL26" i="141"/>
  <c r="AK26" i="141"/>
  <c r="AM25" i="141"/>
  <c r="AL25" i="141"/>
  <c r="AK25" i="141"/>
  <c r="AM23" i="141"/>
  <c r="AL23" i="141"/>
  <c r="AK23" i="141"/>
  <c r="AM22" i="141"/>
  <c r="AL22" i="141"/>
  <c r="AK22" i="141"/>
  <c r="AM20" i="141"/>
  <c r="AL20" i="141"/>
  <c r="AK20" i="141"/>
  <c r="AM19" i="141"/>
  <c r="AL19" i="141"/>
  <c r="AK19" i="141"/>
  <c r="AM17" i="141"/>
  <c r="AL17" i="141"/>
  <c r="AK17" i="141"/>
  <c r="AM16" i="141"/>
  <c r="AL16" i="141"/>
  <c r="AK16" i="141"/>
  <c r="AM14" i="141"/>
  <c r="AL14" i="141"/>
  <c r="AK14" i="141"/>
  <c r="AM13" i="141"/>
  <c r="AL13" i="141"/>
  <c r="AK13" i="141"/>
  <c r="T13" i="133" l="1"/>
  <c r="T14" i="133"/>
  <c r="T15" i="133"/>
  <c r="T16" i="133"/>
  <c r="T17" i="133"/>
  <c r="T18" i="133"/>
  <c r="T19" i="133"/>
  <c r="T20" i="133"/>
  <c r="T21" i="133"/>
  <c r="T22" i="133"/>
  <c r="T12" i="133"/>
  <c r="D26" i="160" l="1"/>
  <c r="F26" i="160" s="1"/>
  <c r="D25" i="160"/>
  <c r="D24" i="160"/>
  <c r="F24" i="160" s="1"/>
  <c r="D22" i="160"/>
  <c r="F22" i="160" s="1"/>
  <c r="D21" i="160"/>
  <c r="D20" i="160"/>
  <c r="F20" i="160" s="1"/>
  <c r="D19" i="160"/>
  <c r="D18" i="160"/>
  <c r="D17" i="160"/>
  <c r="D16" i="160"/>
  <c r="D14" i="160"/>
  <c r="F13" i="160"/>
  <c r="D12" i="160"/>
  <c r="F11" i="160"/>
  <c r="D10" i="160"/>
  <c r="D9" i="160"/>
  <c r="F9" i="160" s="1"/>
  <c r="E17" i="160" l="1"/>
  <c r="F17" i="160" s="1"/>
  <c r="E7" i="160"/>
  <c r="E16" i="160"/>
  <c r="F16" i="160" s="1"/>
  <c r="E18" i="160"/>
  <c r="F18" i="160" s="1"/>
  <c r="E8" i="160"/>
  <c r="F8" i="160" s="1"/>
  <c r="F10" i="160"/>
  <c r="F12" i="160"/>
  <c r="F14" i="160"/>
  <c r="F19" i="160"/>
  <c r="F21" i="160"/>
  <c r="F23" i="160"/>
  <c r="F25" i="160"/>
  <c r="F28" i="160"/>
  <c r="N7" i="160" l="1"/>
  <c r="F7" i="160"/>
  <c r="E29" i="160" s="1"/>
  <c r="AG13" i="80"/>
  <c r="AG14" i="80"/>
  <c r="AG15" i="80"/>
  <c r="AG16" i="80"/>
  <c r="AG17" i="80"/>
  <c r="AG18" i="80"/>
  <c r="AG19" i="80"/>
  <c r="AG20" i="80"/>
  <c r="AG21" i="80"/>
  <c r="AG12" i="80"/>
  <c r="AG9" i="80" l="1"/>
  <c r="D193" i="8" s="1"/>
  <c r="T20" i="23"/>
  <c r="A20" i="23"/>
  <c r="A18" i="25" l="1"/>
  <c r="A29" i="25"/>
  <c r="T30" i="23"/>
  <c r="U30" i="23"/>
  <c r="A30" i="23"/>
  <c r="D10" i="23"/>
  <c r="F20" i="116"/>
  <c r="F19" i="116"/>
  <c r="G19" i="116"/>
  <c r="H19" i="116"/>
  <c r="I19" i="116"/>
  <c r="J19" i="116"/>
  <c r="K19" i="116"/>
  <c r="L19" i="116"/>
  <c r="M19" i="116"/>
  <c r="P19" i="116"/>
  <c r="Q19" i="116"/>
  <c r="R19" i="116"/>
  <c r="S19" i="116"/>
  <c r="T19" i="116"/>
  <c r="U19" i="116"/>
  <c r="V19" i="116"/>
  <c r="W19" i="116"/>
  <c r="D179" i="8" l="1"/>
  <c r="D59" i="141" l="1"/>
  <c r="AD11" i="43" l="1"/>
  <c r="H10" i="43"/>
  <c r="Q78" i="9" l="1"/>
  <c r="Q76" i="9"/>
  <c r="Q74" i="9"/>
  <c r="Q68" i="9"/>
  <c r="Q44" i="9"/>
  <c r="BF31" i="134" l="1"/>
  <c r="BF33" i="134"/>
  <c r="BF34" i="134"/>
  <c r="BF37" i="134" l="1"/>
  <c r="BF35" i="134"/>
  <c r="BF36" i="134" s="1"/>
  <c r="N9" i="116"/>
  <c r="N8" i="116" l="1"/>
  <c r="E260" i="8"/>
  <c r="E259" i="8"/>
  <c r="E258" i="8"/>
  <c r="E257" i="8"/>
  <c r="G258" i="8" l="1"/>
  <c r="D258" i="8" s="1"/>
  <c r="G260" i="8"/>
  <c r="D260" i="8" s="1"/>
  <c r="N10" i="116"/>
  <c r="A11" i="117" l="1"/>
  <c r="A12" i="100"/>
  <c r="A12" i="99"/>
  <c r="A11" i="77"/>
  <c r="A14" i="95"/>
  <c r="A11" i="162"/>
  <c r="A12" i="162"/>
  <c r="A13" i="162"/>
  <c r="A14" i="162"/>
  <c r="A15" i="162"/>
  <c r="A16" i="162"/>
  <c r="A17" i="162"/>
  <c r="A18" i="162"/>
  <c r="A19" i="162"/>
  <c r="A20" i="162"/>
  <c r="A21" i="162"/>
  <c r="A22" i="162"/>
  <c r="A23" i="162"/>
  <c r="A24" i="162"/>
  <c r="A25" i="162"/>
  <c r="A26" i="162"/>
  <c r="A27" i="162"/>
  <c r="A28" i="162"/>
  <c r="A29" i="162"/>
  <c r="A30" i="162"/>
  <c r="A31" i="162"/>
  <c r="A32" i="162"/>
  <c r="A33" i="162"/>
  <c r="A34" i="162"/>
  <c r="A35" i="162"/>
  <c r="A36" i="162"/>
  <c r="A37" i="162"/>
  <c r="A38" i="162"/>
  <c r="A39" i="162"/>
  <c r="A40" i="162"/>
  <c r="A41" i="162"/>
  <c r="A42" i="162"/>
  <c r="A43" i="162"/>
  <c r="A44" i="162"/>
  <c r="A45" i="162"/>
  <c r="A46" i="162"/>
  <c r="A47" i="162"/>
  <c r="A48" i="162"/>
  <c r="A49" i="162"/>
  <c r="A50" i="162"/>
  <c r="A51" i="162"/>
  <c r="A52" i="162"/>
  <c r="A53" i="162"/>
  <c r="A54" i="162"/>
  <c r="A55" i="162"/>
  <c r="A56" i="162"/>
  <c r="A57" i="162"/>
  <c r="A58" i="162"/>
  <c r="A59" i="162"/>
  <c r="A60" i="162"/>
  <c r="A61" i="162"/>
  <c r="A10" i="162"/>
  <c r="A32" i="10" l="1"/>
  <c r="A26" i="10"/>
  <c r="A24" i="10"/>
  <c r="S12" i="148" l="1"/>
  <c r="J22" i="10" l="1"/>
  <c r="G22" i="10"/>
  <c r="AP10" i="71" l="1"/>
  <c r="AP11" i="71"/>
  <c r="AP12" i="71"/>
  <c r="AP13" i="71"/>
  <c r="AP14" i="71"/>
  <c r="AP15" i="71"/>
  <c r="AP16" i="71"/>
  <c r="AP17" i="71"/>
  <c r="AP18" i="71"/>
  <c r="AP9" i="71"/>
  <c r="AP6" i="71" l="1"/>
  <c r="D468" i="8" s="1"/>
  <c r="B18" i="71"/>
  <c r="C18" i="71"/>
  <c r="BL18" i="71" s="1"/>
  <c r="M18" i="71"/>
  <c r="AF18" i="71"/>
  <c r="AG18" i="71"/>
  <c r="AI18" i="71"/>
  <c r="AJ18" i="71"/>
  <c r="AK18" i="71"/>
  <c r="AL18" i="71"/>
  <c r="AO18" i="71"/>
  <c r="BB18" i="71"/>
  <c r="A18" i="71" l="1"/>
  <c r="AH18" i="71"/>
  <c r="C10" i="71"/>
  <c r="C11" i="71"/>
  <c r="C12" i="71"/>
  <c r="C13" i="71"/>
  <c r="C14" i="71"/>
  <c r="C15" i="71"/>
  <c r="C16" i="71"/>
  <c r="C17" i="71"/>
  <c r="C9" i="71"/>
  <c r="BL9" i="71" s="1"/>
  <c r="A16" i="71" l="1"/>
  <c r="BL16" i="71"/>
  <c r="A14" i="71"/>
  <c r="BL14" i="71"/>
  <c r="A12" i="71"/>
  <c r="BL12" i="71"/>
  <c r="A10" i="71"/>
  <c r="BL10" i="71"/>
  <c r="A17" i="71"/>
  <c r="BL17" i="71"/>
  <c r="A15" i="71"/>
  <c r="BL15" i="71"/>
  <c r="A13" i="71"/>
  <c r="BL13" i="71"/>
  <c r="A11" i="71"/>
  <c r="BL11" i="71"/>
  <c r="D18" i="73"/>
  <c r="F18" i="73"/>
  <c r="H18" i="73"/>
  <c r="J18" i="73"/>
  <c r="L18" i="73"/>
  <c r="O18" i="73"/>
  <c r="E31" i="72"/>
  <c r="G31" i="72"/>
  <c r="I31" i="72"/>
  <c r="AC31" i="72" s="1"/>
  <c r="K31" i="72"/>
  <c r="M31" i="72"/>
  <c r="E18" i="73"/>
  <c r="G18" i="73"/>
  <c r="I18" i="73"/>
  <c r="K18" i="73"/>
  <c r="F31" i="72"/>
  <c r="J31" i="72"/>
  <c r="O31" i="72"/>
  <c r="M18" i="73"/>
  <c r="D31" i="72"/>
  <c r="H31" i="72"/>
  <c r="L31" i="72"/>
  <c r="A9" i="71"/>
  <c r="H20" i="60"/>
  <c r="G20" i="60"/>
  <c r="AV20" i="60"/>
  <c r="AX20" i="60" s="1"/>
  <c r="H19" i="60"/>
  <c r="AV19" i="60"/>
  <c r="AX19" i="60" s="1"/>
  <c r="G19" i="60"/>
  <c r="G18" i="60"/>
  <c r="H18" i="60"/>
  <c r="AV18" i="60"/>
  <c r="AX18" i="60" s="1"/>
  <c r="M21" i="77"/>
  <c r="I21" i="77"/>
  <c r="E21" i="77"/>
  <c r="L21" i="77"/>
  <c r="H21" i="77"/>
  <c r="AJ21" i="77" s="1"/>
  <c r="D21" i="77"/>
  <c r="O21" i="77"/>
  <c r="K21" i="77"/>
  <c r="G21" i="77"/>
  <c r="N21" i="77"/>
  <c r="J21" i="77"/>
  <c r="F21" i="77"/>
  <c r="BL6" i="71" l="1"/>
  <c r="D487" i="8" s="1"/>
  <c r="AR18" i="60"/>
  <c r="AR19" i="60"/>
  <c r="AR20" i="60"/>
  <c r="AN31" i="72"/>
  <c r="AC18" i="73"/>
  <c r="AK18" i="73"/>
  <c r="AN18" i="73"/>
  <c r="A20" i="60"/>
  <c r="AP20" i="60"/>
  <c r="A18" i="60"/>
  <c r="AP18" i="60"/>
  <c r="A19" i="60"/>
  <c r="AP19" i="60"/>
  <c r="AO10" i="71"/>
  <c r="AO11" i="71"/>
  <c r="AO12" i="71"/>
  <c r="AO13" i="71"/>
  <c r="AO14" i="71"/>
  <c r="AO15" i="71"/>
  <c r="AO16" i="71"/>
  <c r="AO17" i="71"/>
  <c r="AO9" i="71"/>
  <c r="AL18" i="73" l="1"/>
  <c r="AM18" i="73"/>
  <c r="AL31" i="72"/>
  <c r="AM31" i="72"/>
  <c r="AK31" i="72" s="1"/>
  <c r="X12" i="146"/>
  <c r="X13" i="146"/>
  <c r="X14" i="146"/>
  <c r="X15" i="146"/>
  <c r="X16" i="146"/>
  <c r="X11" i="146"/>
  <c r="AI9" i="71"/>
  <c r="AI10" i="71" l="1"/>
  <c r="AI11" i="71"/>
  <c r="AI12" i="71"/>
  <c r="AI13" i="71"/>
  <c r="AI14" i="71"/>
  <c r="AI15" i="71"/>
  <c r="AI16" i="71"/>
  <c r="AI17" i="71"/>
  <c r="E10" i="140" l="1"/>
  <c r="E11" i="140"/>
  <c r="E12" i="140"/>
  <c r="E13" i="140"/>
  <c r="E14" i="140"/>
  <c r="E15" i="140"/>
  <c r="E16" i="140"/>
  <c r="E17" i="140"/>
  <c r="E18" i="140"/>
  <c r="E19" i="140"/>
  <c r="E20" i="140"/>
  <c r="E21" i="140"/>
  <c r="E9" i="140"/>
  <c r="D10" i="140"/>
  <c r="D11" i="140"/>
  <c r="D12" i="140"/>
  <c r="D13" i="140"/>
  <c r="D14" i="140"/>
  <c r="D15" i="140"/>
  <c r="D16" i="140"/>
  <c r="D17" i="140"/>
  <c r="D18" i="140"/>
  <c r="D19" i="140"/>
  <c r="D20" i="140"/>
  <c r="D21" i="140"/>
  <c r="D9" i="140"/>
  <c r="S12" i="92"/>
  <c r="S13" i="92"/>
  <c r="S14" i="92"/>
  <c r="S15" i="92"/>
  <c r="T12" i="92"/>
  <c r="T13" i="92"/>
  <c r="T14" i="92"/>
  <c r="T15" i="92"/>
  <c r="T11" i="92"/>
  <c r="S11" i="92"/>
  <c r="W12" i="91"/>
  <c r="W13" i="91"/>
  <c r="W14" i="91"/>
  <c r="W15" i="91"/>
  <c r="W16" i="91"/>
  <c r="W17" i="91"/>
  <c r="W18" i="91"/>
  <c r="W11" i="91"/>
  <c r="V12" i="91"/>
  <c r="V13" i="91"/>
  <c r="V14" i="91"/>
  <c r="V15" i="91"/>
  <c r="V16" i="91"/>
  <c r="V17" i="91"/>
  <c r="V18" i="91"/>
  <c r="V11" i="91"/>
  <c r="S16" i="90"/>
  <c r="S17" i="90"/>
  <c r="S18" i="90"/>
  <c r="S19" i="90"/>
  <c r="S20" i="90"/>
  <c r="S21" i="90"/>
  <c r="S22" i="90"/>
  <c r="S15" i="90"/>
  <c r="R16" i="90"/>
  <c r="R17" i="90"/>
  <c r="R18" i="90"/>
  <c r="R19" i="90"/>
  <c r="R20" i="90"/>
  <c r="R21" i="90"/>
  <c r="R22" i="90"/>
  <c r="R15" i="90"/>
  <c r="X12" i="89"/>
  <c r="X13" i="89"/>
  <c r="X14" i="89"/>
  <c r="X15" i="89"/>
  <c r="X16" i="89"/>
  <c r="X17" i="89"/>
  <c r="X11" i="89"/>
  <c r="W12" i="89"/>
  <c r="W13" i="89"/>
  <c r="W14" i="89"/>
  <c r="W15" i="89"/>
  <c r="W16" i="89"/>
  <c r="W17" i="89"/>
  <c r="W11" i="89"/>
  <c r="B17" i="71" l="1"/>
  <c r="M17" i="71"/>
  <c r="AF17" i="71"/>
  <c r="AG17" i="71"/>
  <c r="AH17" i="71"/>
  <c r="AJ17" i="71"/>
  <c r="AK17" i="71"/>
  <c r="AL17" i="71"/>
  <c r="BB17" i="71"/>
  <c r="B16" i="71"/>
  <c r="M16" i="71"/>
  <c r="AF16" i="71"/>
  <c r="AG16" i="71"/>
  <c r="AJ16" i="71"/>
  <c r="AK16" i="71"/>
  <c r="AL16" i="71"/>
  <c r="BB16" i="71"/>
  <c r="AH16" i="71" l="1"/>
  <c r="D354" i="8" l="1"/>
  <c r="L14" i="83"/>
  <c r="G14" i="83"/>
  <c r="L13" i="83"/>
  <c r="G13" i="83"/>
  <c r="L12" i="83"/>
  <c r="G12" i="83"/>
  <c r="L11" i="83"/>
  <c r="G11" i="83"/>
  <c r="L14" i="82"/>
  <c r="H14" i="82"/>
  <c r="D14" i="82"/>
  <c r="I13" i="82"/>
  <c r="E13" i="82"/>
  <c r="J12" i="82"/>
  <c r="F12" i="82"/>
  <c r="K11" i="82"/>
  <c r="G11" i="82"/>
  <c r="J14" i="81"/>
  <c r="E14" i="81"/>
  <c r="G13" i="81"/>
  <c r="J12" i="81"/>
  <c r="E12" i="81"/>
  <c r="G11" i="81"/>
  <c r="K21" i="80"/>
  <c r="AH21" i="80" s="1"/>
  <c r="G21" i="80"/>
  <c r="I20" i="80"/>
  <c r="K19" i="80"/>
  <c r="AH19" i="80" s="1"/>
  <c r="G19" i="80"/>
  <c r="I18" i="80"/>
  <c r="K17" i="80"/>
  <c r="AH17" i="80" s="1"/>
  <c r="G17" i="80"/>
  <c r="I16" i="80"/>
  <c r="K15" i="80"/>
  <c r="AH15" i="80" s="1"/>
  <c r="G15" i="80"/>
  <c r="I14" i="80"/>
  <c r="K13" i="80"/>
  <c r="AH13" i="80" s="1"/>
  <c r="G13" i="80"/>
  <c r="I12" i="80"/>
  <c r="O16" i="78"/>
  <c r="K16" i="78"/>
  <c r="G16" i="78"/>
  <c r="O15" i="78"/>
  <c r="K15" i="78"/>
  <c r="G15" i="78"/>
  <c r="O14" i="78"/>
  <c r="K14" i="78"/>
  <c r="G14" i="78"/>
  <c r="O13" i="78"/>
  <c r="K13" i="78"/>
  <c r="G13" i="78"/>
  <c r="O12" i="78"/>
  <c r="K12" i="78"/>
  <c r="G12" i="78"/>
  <c r="O20" i="77"/>
  <c r="K20" i="77"/>
  <c r="G20" i="77"/>
  <c r="O19" i="77"/>
  <c r="K19" i="77"/>
  <c r="G19" i="77"/>
  <c r="O18" i="77"/>
  <c r="K18" i="77"/>
  <c r="G18" i="77"/>
  <c r="O17" i="77"/>
  <c r="K17" i="77"/>
  <c r="G17" i="77"/>
  <c r="O16" i="77"/>
  <c r="K16" i="77"/>
  <c r="G16" i="77"/>
  <c r="O15" i="77"/>
  <c r="K15" i="77"/>
  <c r="G15" i="77"/>
  <c r="O14" i="77"/>
  <c r="K14" i="77"/>
  <c r="G14" i="77"/>
  <c r="O13" i="77"/>
  <c r="K13" i="77"/>
  <c r="G13" i="77"/>
  <c r="O12" i="77"/>
  <c r="K12" i="77"/>
  <c r="G12" i="77"/>
  <c r="I21" i="76"/>
  <c r="E21" i="76"/>
  <c r="G20" i="76"/>
  <c r="I19" i="76"/>
  <c r="E19" i="76"/>
  <c r="K14" i="83"/>
  <c r="F14" i="83"/>
  <c r="K13" i="83"/>
  <c r="F13" i="83"/>
  <c r="K12" i="83"/>
  <c r="F12" i="83"/>
  <c r="K11" i="83"/>
  <c r="F11" i="83"/>
  <c r="K14" i="82"/>
  <c r="G14" i="82"/>
  <c r="L13" i="82"/>
  <c r="H13" i="82"/>
  <c r="D13" i="82"/>
  <c r="I12" i="82"/>
  <c r="E12" i="82"/>
  <c r="J11" i="82"/>
  <c r="F11" i="82"/>
  <c r="I14" i="81"/>
  <c r="D14" i="81"/>
  <c r="F13" i="81"/>
  <c r="I12" i="81"/>
  <c r="D12" i="81"/>
  <c r="F11" i="81"/>
  <c r="J21" i="80"/>
  <c r="F21" i="80"/>
  <c r="H20" i="80"/>
  <c r="J19" i="80"/>
  <c r="F19" i="80"/>
  <c r="H18" i="80"/>
  <c r="J17" i="80"/>
  <c r="F17" i="80"/>
  <c r="H16" i="80"/>
  <c r="J15" i="80"/>
  <c r="F15" i="80"/>
  <c r="H14" i="80"/>
  <c r="J13" i="80"/>
  <c r="F13" i="80"/>
  <c r="H12" i="80"/>
  <c r="N16" i="78"/>
  <c r="J16" i="78"/>
  <c r="F16" i="78"/>
  <c r="N15" i="78"/>
  <c r="J15" i="78"/>
  <c r="F15" i="78"/>
  <c r="N14" i="78"/>
  <c r="J14" i="78"/>
  <c r="F14" i="78"/>
  <c r="N13" i="78"/>
  <c r="J13" i="78"/>
  <c r="F13" i="78"/>
  <c r="N12" i="78"/>
  <c r="J12" i="78"/>
  <c r="F12" i="78"/>
  <c r="N20" i="77"/>
  <c r="J20" i="77"/>
  <c r="F20" i="77"/>
  <c r="N19" i="77"/>
  <c r="J19" i="77"/>
  <c r="F19" i="77"/>
  <c r="N18" i="77"/>
  <c r="J18" i="77"/>
  <c r="F18" i="77"/>
  <c r="N17" i="77"/>
  <c r="J17" i="77"/>
  <c r="F17" i="77"/>
  <c r="N16" i="77"/>
  <c r="J16" i="77"/>
  <c r="F16" i="77"/>
  <c r="N15" i="77"/>
  <c r="J15" i="77"/>
  <c r="F15" i="77"/>
  <c r="N14" i="77"/>
  <c r="J14" i="77"/>
  <c r="F14" i="77"/>
  <c r="N13" i="77"/>
  <c r="J13" i="77"/>
  <c r="F13" i="77"/>
  <c r="N12" i="77"/>
  <c r="J12" i="77"/>
  <c r="F12" i="77"/>
  <c r="H21" i="76"/>
  <c r="D21" i="76"/>
  <c r="F20" i="76"/>
  <c r="H19" i="76"/>
  <c r="D19" i="76"/>
  <c r="J14" i="83"/>
  <c r="E14" i="83"/>
  <c r="J13" i="83"/>
  <c r="E13" i="83"/>
  <c r="J12" i="83"/>
  <c r="E12" i="83"/>
  <c r="J11" i="83"/>
  <c r="E11" i="83"/>
  <c r="J14" i="82"/>
  <c r="F14" i="82"/>
  <c r="K13" i="82"/>
  <c r="G13" i="82"/>
  <c r="L12" i="82"/>
  <c r="H12" i="82"/>
  <c r="D12" i="82"/>
  <c r="I11" i="82"/>
  <c r="E11" i="82"/>
  <c r="G14" i="81"/>
  <c r="J13" i="81"/>
  <c r="E13" i="81"/>
  <c r="G12" i="81"/>
  <c r="J11" i="81"/>
  <c r="E11" i="81"/>
  <c r="I21" i="80"/>
  <c r="K20" i="80"/>
  <c r="AH20" i="80" s="1"/>
  <c r="G20" i="80"/>
  <c r="I19" i="80"/>
  <c r="K18" i="80"/>
  <c r="AH18" i="80" s="1"/>
  <c r="G18" i="80"/>
  <c r="I17" i="80"/>
  <c r="K16" i="80"/>
  <c r="AH16" i="80" s="1"/>
  <c r="G16" i="80"/>
  <c r="I15" i="80"/>
  <c r="K14" i="80"/>
  <c r="AH14" i="80" s="1"/>
  <c r="G14" i="80"/>
  <c r="I13" i="80"/>
  <c r="K12" i="80"/>
  <c r="AH12" i="80" s="1"/>
  <c r="G12" i="80"/>
  <c r="M16" i="78"/>
  <c r="I16" i="78"/>
  <c r="E16" i="78"/>
  <c r="M15" i="78"/>
  <c r="I15" i="78"/>
  <c r="E15" i="78"/>
  <c r="M14" i="78"/>
  <c r="I14" i="78"/>
  <c r="E14" i="78"/>
  <c r="M13" i="78"/>
  <c r="I13" i="78"/>
  <c r="E13" i="78"/>
  <c r="M12" i="78"/>
  <c r="I12" i="78"/>
  <c r="E12" i="78"/>
  <c r="M20" i="77"/>
  <c r="I20" i="77"/>
  <c r="E20" i="77"/>
  <c r="M19" i="77"/>
  <c r="I19" i="77"/>
  <c r="E19" i="77"/>
  <c r="M18" i="77"/>
  <c r="I18" i="77"/>
  <c r="E18" i="77"/>
  <c r="M17" i="77"/>
  <c r="I17" i="77"/>
  <c r="E17" i="77"/>
  <c r="M16" i="77"/>
  <c r="I16" i="77"/>
  <c r="E16" i="77"/>
  <c r="M15" i="77"/>
  <c r="I15" i="77"/>
  <c r="E15" i="77"/>
  <c r="M14" i="77"/>
  <c r="I14" i="77"/>
  <c r="E14" i="77"/>
  <c r="M13" i="77"/>
  <c r="I13" i="77"/>
  <c r="E13" i="77"/>
  <c r="M12" i="77"/>
  <c r="I12" i="77"/>
  <c r="E12" i="77"/>
  <c r="G21" i="76"/>
  <c r="I20" i="76"/>
  <c r="E20" i="76"/>
  <c r="G19" i="76"/>
  <c r="I18" i="76"/>
  <c r="I14" i="83"/>
  <c r="D14" i="83"/>
  <c r="I13" i="83"/>
  <c r="D13" i="83"/>
  <c r="I12" i="83"/>
  <c r="D12" i="83"/>
  <c r="I11" i="83"/>
  <c r="D11" i="83"/>
  <c r="I14" i="82"/>
  <c r="E14" i="82"/>
  <c r="J13" i="82"/>
  <c r="F13" i="82"/>
  <c r="K12" i="82"/>
  <c r="G12" i="82"/>
  <c r="L11" i="82"/>
  <c r="H11" i="82"/>
  <c r="D11" i="82"/>
  <c r="F14" i="81"/>
  <c r="I13" i="81"/>
  <c r="D13" i="81"/>
  <c r="F12" i="81"/>
  <c r="I11" i="81"/>
  <c r="D11" i="81"/>
  <c r="H21" i="80"/>
  <c r="J20" i="80"/>
  <c r="F20" i="80"/>
  <c r="H19" i="80"/>
  <c r="J18" i="80"/>
  <c r="F18" i="80"/>
  <c r="H17" i="80"/>
  <c r="J16" i="80"/>
  <c r="F16" i="80"/>
  <c r="H15" i="80"/>
  <c r="J14" i="80"/>
  <c r="F14" i="80"/>
  <c r="H13" i="80"/>
  <c r="J12" i="80"/>
  <c r="F12" i="80"/>
  <c r="L16" i="78"/>
  <c r="H16" i="78"/>
  <c r="D16" i="78"/>
  <c r="L15" i="78"/>
  <c r="H15" i="78"/>
  <c r="D15" i="78"/>
  <c r="L14" i="78"/>
  <c r="H14" i="78"/>
  <c r="D14" i="78"/>
  <c r="L13" i="78"/>
  <c r="H13" i="78"/>
  <c r="D13" i="78"/>
  <c r="L12" i="78"/>
  <c r="H12" i="78"/>
  <c r="D12" i="78"/>
  <c r="L20" i="77"/>
  <c r="H20" i="77"/>
  <c r="D20" i="77"/>
  <c r="L19" i="77"/>
  <c r="H19" i="77"/>
  <c r="D19" i="77"/>
  <c r="L18" i="77"/>
  <c r="H18" i="77"/>
  <c r="D18" i="77"/>
  <c r="L17" i="77"/>
  <c r="H17" i="77"/>
  <c r="D17" i="77"/>
  <c r="L16" i="77"/>
  <c r="H16" i="77"/>
  <c r="D16" i="77"/>
  <c r="L15" i="77"/>
  <c r="H15" i="77"/>
  <c r="D15" i="77"/>
  <c r="L14" i="77"/>
  <c r="H14" i="77"/>
  <c r="D14" i="77"/>
  <c r="L13" i="77"/>
  <c r="H13" i="77"/>
  <c r="D13" i="77"/>
  <c r="L12" i="77"/>
  <c r="H12" i="77"/>
  <c r="AI12" i="77" s="1"/>
  <c r="D12" i="77"/>
  <c r="F21" i="76"/>
  <c r="H20" i="76"/>
  <c r="D20" i="76"/>
  <c r="F19" i="76"/>
  <c r="H18" i="76"/>
  <c r="G18" i="76"/>
  <c r="I17" i="76"/>
  <c r="E17" i="76"/>
  <c r="G16" i="76"/>
  <c r="I15" i="76"/>
  <c r="E15" i="76"/>
  <c r="G14" i="76"/>
  <c r="I13" i="76"/>
  <c r="E13" i="76"/>
  <c r="I27" i="75"/>
  <c r="E27" i="75"/>
  <c r="I26" i="75"/>
  <c r="E26" i="75"/>
  <c r="I25" i="75"/>
  <c r="E25" i="75"/>
  <c r="I24" i="75"/>
  <c r="E24" i="75"/>
  <c r="I23" i="75"/>
  <c r="E23" i="75"/>
  <c r="I22" i="75"/>
  <c r="E22" i="75"/>
  <c r="I21" i="75"/>
  <c r="E21" i="75"/>
  <c r="I20" i="75"/>
  <c r="E20" i="75"/>
  <c r="I19" i="75"/>
  <c r="E19" i="75"/>
  <c r="I18" i="75"/>
  <c r="E18" i="75"/>
  <c r="I17" i="75"/>
  <c r="E17" i="75"/>
  <c r="I16" i="75"/>
  <c r="E16" i="75"/>
  <c r="I15" i="75"/>
  <c r="E15" i="75"/>
  <c r="I14" i="75"/>
  <c r="E14" i="75"/>
  <c r="I13" i="75"/>
  <c r="E13" i="75"/>
  <c r="I12" i="75"/>
  <c r="E12" i="75"/>
  <c r="L17" i="73"/>
  <c r="H17" i="73"/>
  <c r="D17" i="73"/>
  <c r="K16" i="73"/>
  <c r="G16" i="73"/>
  <c r="O15" i="73"/>
  <c r="J15" i="73"/>
  <c r="F15" i="73"/>
  <c r="AN15" i="73" s="1"/>
  <c r="M14" i="73"/>
  <c r="I14" i="73"/>
  <c r="E14" i="73"/>
  <c r="L13" i="73"/>
  <c r="H13" i="73"/>
  <c r="D13" i="73"/>
  <c r="K12" i="73"/>
  <c r="G12" i="73"/>
  <c r="O30" i="72"/>
  <c r="J30" i="72"/>
  <c r="F30" i="72"/>
  <c r="AN30" i="72" s="1"/>
  <c r="M29" i="72"/>
  <c r="I29" i="72"/>
  <c r="AK29" i="72" s="1"/>
  <c r="E29" i="72"/>
  <c r="L28" i="72"/>
  <c r="H28" i="72"/>
  <c r="D28" i="72"/>
  <c r="K27" i="72"/>
  <c r="G27" i="72"/>
  <c r="O26" i="72"/>
  <c r="J26" i="72"/>
  <c r="F26" i="72"/>
  <c r="AN26" i="72" s="1"/>
  <c r="M25" i="72"/>
  <c r="I25" i="72"/>
  <c r="AK25" i="72" s="1"/>
  <c r="E25" i="72"/>
  <c r="L24" i="72"/>
  <c r="H24" i="72"/>
  <c r="D24" i="72"/>
  <c r="K23" i="72"/>
  <c r="G23" i="72"/>
  <c r="O22" i="72"/>
  <c r="J22" i="72"/>
  <c r="F22" i="72"/>
  <c r="AN22" i="72" s="1"/>
  <c r="M21" i="72"/>
  <c r="I21" i="72"/>
  <c r="E21" i="72"/>
  <c r="L20" i="72"/>
  <c r="F18" i="76"/>
  <c r="H17" i="76"/>
  <c r="D17" i="76"/>
  <c r="F16" i="76"/>
  <c r="H15" i="76"/>
  <c r="D15" i="76"/>
  <c r="F14" i="76"/>
  <c r="H13" i="76"/>
  <c r="D13" i="76"/>
  <c r="H27" i="75"/>
  <c r="D27" i="75"/>
  <c r="H26" i="75"/>
  <c r="D26" i="75"/>
  <c r="H25" i="75"/>
  <c r="D25" i="75"/>
  <c r="H24" i="75"/>
  <c r="D24" i="75"/>
  <c r="H23" i="75"/>
  <c r="D23" i="75"/>
  <c r="H22" i="75"/>
  <c r="D22" i="75"/>
  <c r="H21" i="75"/>
  <c r="D21" i="75"/>
  <c r="H20" i="75"/>
  <c r="D20" i="75"/>
  <c r="H19" i="75"/>
  <c r="D19" i="75"/>
  <c r="H18" i="75"/>
  <c r="D18" i="75"/>
  <c r="H17" i="75"/>
  <c r="D17" i="75"/>
  <c r="H16" i="75"/>
  <c r="D16" i="75"/>
  <c r="H15" i="75"/>
  <c r="D15" i="75"/>
  <c r="H14" i="75"/>
  <c r="D14" i="75"/>
  <c r="H13" i="75"/>
  <c r="D13" i="75"/>
  <c r="H12" i="75"/>
  <c r="D12" i="75"/>
  <c r="K17" i="73"/>
  <c r="G17" i="73"/>
  <c r="O16" i="73"/>
  <c r="J16" i="73"/>
  <c r="F16" i="73"/>
  <c r="AN16" i="73" s="1"/>
  <c r="M15" i="73"/>
  <c r="I15" i="73"/>
  <c r="E15" i="73"/>
  <c r="L14" i="73"/>
  <c r="H14" i="73"/>
  <c r="D14" i="73"/>
  <c r="K13" i="73"/>
  <c r="G13" i="73"/>
  <c r="O12" i="73"/>
  <c r="J12" i="73"/>
  <c r="F12" i="73"/>
  <c r="AN12" i="73" s="1"/>
  <c r="M30" i="72"/>
  <c r="I30" i="72"/>
  <c r="AK30" i="72" s="1"/>
  <c r="E30" i="72"/>
  <c r="L29" i="72"/>
  <c r="H29" i="72"/>
  <c r="D29" i="72"/>
  <c r="K28" i="72"/>
  <c r="G28" i="72"/>
  <c r="O27" i="72"/>
  <c r="J27" i="72"/>
  <c r="F27" i="72"/>
  <c r="AN27" i="72" s="1"/>
  <c r="M26" i="72"/>
  <c r="I26" i="72"/>
  <c r="AK26" i="72" s="1"/>
  <c r="E26" i="72"/>
  <c r="L25" i="72"/>
  <c r="H25" i="72"/>
  <c r="D25" i="72"/>
  <c r="K24" i="72"/>
  <c r="G24" i="72"/>
  <c r="O23" i="72"/>
  <c r="J23" i="72"/>
  <c r="F23" i="72"/>
  <c r="AN23" i="72" s="1"/>
  <c r="M22" i="72"/>
  <c r="I22" i="72"/>
  <c r="AK22" i="72" s="1"/>
  <c r="E22" i="72"/>
  <c r="L21" i="72"/>
  <c r="H21" i="72"/>
  <c r="D21" i="72"/>
  <c r="E18" i="76"/>
  <c r="G17" i="76"/>
  <c r="I16" i="76"/>
  <c r="E16" i="76"/>
  <c r="G15" i="76"/>
  <c r="I14" i="76"/>
  <c r="E14" i="76"/>
  <c r="G13" i="76"/>
  <c r="K27" i="75"/>
  <c r="G27" i="75"/>
  <c r="K26" i="75"/>
  <c r="G26" i="75"/>
  <c r="K25" i="75"/>
  <c r="G25" i="75"/>
  <c r="K24" i="75"/>
  <c r="G24" i="75"/>
  <c r="K23" i="75"/>
  <c r="G23" i="75"/>
  <c r="K22" i="75"/>
  <c r="G22" i="75"/>
  <c r="K21" i="75"/>
  <c r="G21" i="75"/>
  <c r="K20" i="75"/>
  <c r="G20" i="75"/>
  <c r="K19" i="75"/>
  <c r="G19" i="75"/>
  <c r="K18" i="75"/>
  <c r="G18" i="75"/>
  <c r="K17" i="75"/>
  <c r="G17" i="75"/>
  <c r="K16" i="75"/>
  <c r="G16" i="75"/>
  <c r="K15" i="75"/>
  <c r="G15" i="75"/>
  <c r="K14" i="75"/>
  <c r="G14" i="75"/>
  <c r="K13" i="75"/>
  <c r="G13" i="75"/>
  <c r="K12" i="75"/>
  <c r="G12" i="75"/>
  <c r="O17" i="73"/>
  <c r="J17" i="73"/>
  <c r="F17" i="73"/>
  <c r="AN17" i="73" s="1"/>
  <c r="M16" i="73"/>
  <c r="I16" i="73"/>
  <c r="AK16" i="73" s="1"/>
  <c r="E16" i="73"/>
  <c r="L15" i="73"/>
  <c r="H15" i="73"/>
  <c r="D15" i="73"/>
  <c r="K14" i="73"/>
  <c r="G14" i="73"/>
  <c r="O13" i="73"/>
  <c r="J13" i="73"/>
  <c r="F13" i="73"/>
  <c r="AN13" i="73" s="1"/>
  <c r="M12" i="73"/>
  <c r="I12" i="73"/>
  <c r="AK12" i="73" s="1"/>
  <c r="E12" i="73"/>
  <c r="L30" i="72"/>
  <c r="H30" i="72"/>
  <c r="D30" i="72"/>
  <c r="K29" i="72"/>
  <c r="G29" i="72"/>
  <c r="O28" i="72"/>
  <c r="J28" i="72"/>
  <c r="F28" i="72"/>
  <c r="AN28" i="72" s="1"/>
  <c r="M27" i="72"/>
  <c r="I27" i="72"/>
  <c r="AK27" i="72" s="1"/>
  <c r="E27" i="72"/>
  <c r="L26" i="72"/>
  <c r="H26" i="72"/>
  <c r="D26" i="72"/>
  <c r="K25" i="72"/>
  <c r="G25" i="72"/>
  <c r="O24" i="72"/>
  <c r="J24" i="72"/>
  <c r="F24" i="72"/>
  <c r="AN24" i="72" s="1"/>
  <c r="M23" i="72"/>
  <c r="I23" i="72"/>
  <c r="AK23" i="72" s="1"/>
  <c r="E23" i="72"/>
  <c r="L22" i="72"/>
  <c r="H22" i="72"/>
  <c r="D22" i="72"/>
  <c r="K21" i="72"/>
  <c r="G21" i="72"/>
  <c r="O20" i="72"/>
  <c r="D18" i="76"/>
  <c r="F17" i="76"/>
  <c r="H16" i="76"/>
  <c r="D16" i="76"/>
  <c r="F15" i="76"/>
  <c r="H14" i="76"/>
  <c r="D14" i="76"/>
  <c r="F13" i="76"/>
  <c r="J27" i="75"/>
  <c r="F27" i="75"/>
  <c r="J26" i="75"/>
  <c r="F26" i="75"/>
  <c r="J25" i="75"/>
  <c r="F25" i="75"/>
  <c r="J24" i="75"/>
  <c r="F24" i="75"/>
  <c r="J23" i="75"/>
  <c r="F23" i="75"/>
  <c r="J22" i="75"/>
  <c r="F22" i="75"/>
  <c r="J21" i="75"/>
  <c r="F21" i="75"/>
  <c r="J20" i="75"/>
  <c r="F20" i="75"/>
  <c r="J19" i="75"/>
  <c r="F19" i="75"/>
  <c r="J18" i="75"/>
  <c r="F18" i="75"/>
  <c r="J17" i="75"/>
  <c r="F17" i="75"/>
  <c r="J16" i="75"/>
  <c r="F16" i="75"/>
  <c r="J15" i="75"/>
  <c r="F15" i="75"/>
  <c r="J14" i="75"/>
  <c r="F14" i="75"/>
  <c r="J13" i="75"/>
  <c r="F13" i="75"/>
  <c r="J12" i="75"/>
  <c r="F12" i="75"/>
  <c r="M17" i="73"/>
  <c r="I17" i="73"/>
  <c r="AK17" i="73" s="1"/>
  <c r="E17" i="73"/>
  <c r="L16" i="73"/>
  <c r="H16" i="73"/>
  <c r="D16" i="73"/>
  <c r="K15" i="73"/>
  <c r="G15" i="73"/>
  <c r="O14" i="73"/>
  <c r="J14" i="73"/>
  <c r="F14" i="73"/>
  <c r="AN14" i="73" s="1"/>
  <c r="M13" i="73"/>
  <c r="I13" i="73"/>
  <c r="E13" i="73"/>
  <c r="L12" i="73"/>
  <c r="H12" i="73"/>
  <c r="D12" i="73"/>
  <c r="K30" i="72"/>
  <c r="G30" i="72"/>
  <c r="O29" i="72"/>
  <c r="J29" i="72"/>
  <c r="F29" i="72"/>
  <c r="AN29" i="72" s="1"/>
  <c r="M28" i="72"/>
  <c r="I28" i="72"/>
  <c r="AK28" i="72" s="1"/>
  <c r="E28" i="72"/>
  <c r="L27" i="72"/>
  <c r="H27" i="72"/>
  <c r="D27" i="72"/>
  <c r="K26" i="72"/>
  <c r="G26" i="72"/>
  <c r="O25" i="72"/>
  <c r="J25" i="72"/>
  <c r="F25" i="72"/>
  <c r="AN25" i="72" s="1"/>
  <c r="M24" i="72"/>
  <c r="I24" i="72"/>
  <c r="AK24" i="72" s="1"/>
  <c r="E24" i="72"/>
  <c r="L23" i="72"/>
  <c r="H23" i="72"/>
  <c r="D23" i="72"/>
  <c r="K22" i="72"/>
  <c r="G22" i="72"/>
  <c r="O21" i="72"/>
  <c r="J21" i="72"/>
  <c r="F21" i="72"/>
  <c r="AN21" i="72" s="1"/>
  <c r="M20" i="72"/>
  <c r="K20" i="72"/>
  <c r="G20" i="72"/>
  <c r="O19" i="72"/>
  <c r="J19" i="72"/>
  <c r="F19" i="72"/>
  <c r="AN19" i="72" s="1"/>
  <c r="M18" i="72"/>
  <c r="I18" i="72"/>
  <c r="AK18" i="72" s="1"/>
  <c r="E18" i="72"/>
  <c r="L17" i="72"/>
  <c r="H17" i="72"/>
  <c r="D17" i="72"/>
  <c r="K16" i="72"/>
  <c r="G16" i="72"/>
  <c r="O15" i="72"/>
  <c r="J15" i="72"/>
  <c r="F15" i="72"/>
  <c r="AN15" i="72" s="1"/>
  <c r="M14" i="72"/>
  <c r="I14" i="72"/>
  <c r="AK14" i="72" s="1"/>
  <c r="E14" i="72"/>
  <c r="L13" i="72"/>
  <c r="H13" i="72"/>
  <c r="D13" i="72"/>
  <c r="K12" i="72"/>
  <c r="G12" i="72"/>
  <c r="BB19" i="99"/>
  <c r="BB15" i="99"/>
  <c r="BA18" i="99"/>
  <c r="BA14" i="99"/>
  <c r="AZ17" i="99"/>
  <c r="AZ13" i="99"/>
  <c r="AY16" i="99"/>
  <c r="AX19" i="99"/>
  <c r="AX15" i="99"/>
  <c r="AW18" i="99"/>
  <c r="AW14" i="99"/>
  <c r="K17" i="99"/>
  <c r="K13" i="99"/>
  <c r="I16" i="99"/>
  <c r="H19" i="99"/>
  <c r="H15" i="99"/>
  <c r="G18" i="99"/>
  <c r="G14" i="99"/>
  <c r="F17" i="99"/>
  <c r="E16" i="99"/>
  <c r="J20" i="72"/>
  <c r="F20" i="72"/>
  <c r="AN20" i="72" s="1"/>
  <c r="M19" i="72"/>
  <c r="I19" i="72"/>
  <c r="AK19" i="72" s="1"/>
  <c r="E19" i="72"/>
  <c r="L18" i="72"/>
  <c r="H18" i="72"/>
  <c r="D18" i="72"/>
  <c r="K17" i="72"/>
  <c r="G17" i="72"/>
  <c r="O16" i="72"/>
  <c r="J16" i="72"/>
  <c r="F16" i="72"/>
  <c r="AN16" i="72" s="1"/>
  <c r="M15" i="72"/>
  <c r="I15" i="72"/>
  <c r="E15" i="72"/>
  <c r="L14" i="72"/>
  <c r="H14" i="72"/>
  <c r="D14" i="72"/>
  <c r="K13" i="72"/>
  <c r="G13" i="72"/>
  <c r="O12" i="72"/>
  <c r="J12" i="72"/>
  <c r="F12" i="72"/>
  <c r="AN12" i="72" s="1"/>
  <c r="BB18" i="99"/>
  <c r="BB14" i="99"/>
  <c r="BA17" i="99"/>
  <c r="BA13" i="99"/>
  <c r="AZ16" i="99"/>
  <c r="AY19" i="99"/>
  <c r="AY15" i="99"/>
  <c r="AX18" i="99"/>
  <c r="AX14" i="99"/>
  <c r="AW17" i="99"/>
  <c r="AW13" i="99"/>
  <c r="K16" i="99"/>
  <c r="I19" i="99"/>
  <c r="I15" i="99"/>
  <c r="H18" i="99"/>
  <c r="H14" i="99"/>
  <c r="G17" i="99"/>
  <c r="G13" i="99"/>
  <c r="F16" i="99"/>
  <c r="E19" i="99"/>
  <c r="E15" i="99"/>
  <c r="D18" i="99"/>
  <c r="D14" i="99"/>
  <c r="D19" i="99"/>
  <c r="I20" i="72"/>
  <c r="AK20" i="72" s="1"/>
  <c r="E20" i="72"/>
  <c r="L19" i="72"/>
  <c r="H19" i="72"/>
  <c r="D19" i="72"/>
  <c r="K18" i="72"/>
  <c r="G18" i="72"/>
  <c r="O17" i="72"/>
  <c r="J17" i="72"/>
  <c r="F17" i="72"/>
  <c r="AN17" i="72" s="1"/>
  <c r="M16" i="72"/>
  <c r="I16" i="72"/>
  <c r="AK16" i="72" s="1"/>
  <c r="E16" i="72"/>
  <c r="L15" i="72"/>
  <c r="H15" i="72"/>
  <c r="D15" i="72"/>
  <c r="K14" i="72"/>
  <c r="G14" i="72"/>
  <c r="O13" i="72"/>
  <c r="J13" i="72"/>
  <c r="F13" i="72"/>
  <c r="AN13" i="72" s="1"/>
  <c r="M12" i="72"/>
  <c r="I12" i="72"/>
  <c r="AK12" i="72" s="1"/>
  <c r="E12" i="72"/>
  <c r="BB17" i="99"/>
  <c r="BB13" i="99"/>
  <c r="BA16" i="99"/>
  <c r="AZ19" i="99"/>
  <c r="AZ15" i="99"/>
  <c r="AY18" i="99"/>
  <c r="AY14" i="99"/>
  <c r="AX17" i="99"/>
  <c r="AX13" i="99"/>
  <c r="AW16" i="99"/>
  <c r="K19" i="99"/>
  <c r="K15" i="99"/>
  <c r="I18" i="99"/>
  <c r="I14" i="99"/>
  <c r="H17" i="99"/>
  <c r="H13" i="99"/>
  <c r="G16" i="99"/>
  <c r="F19" i="99"/>
  <c r="F15" i="99"/>
  <c r="E18" i="99"/>
  <c r="E14" i="99"/>
  <c r="D17" i="99"/>
  <c r="D13" i="99"/>
  <c r="D15" i="99"/>
  <c r="H20" i="72"/>
  <c r="D20" i="72"/>
  <c r="K19" i="72"/>
  <c r="G19" i="72"/>
  <c r="O18" i="72"/>
  <c r="J18" i="72"/>
  <c r="F18" i="72"/>
  <c r="AN18" i="72" s="1"/>
  <c r="M17" i="72"/>
  <c r="I17" i="72"/>
  <c r="E17" i="72"/>
  <c r="L16" i="72"/>
  <c r="H16" i="72"/>
  <c r="D16" i="72"/>
  <c r="K15" i="72"/>
  <c r="G15" i="72"/>
  <c r="O14" i="72"/>
  <c r="J14" i="72"/>
  <c r="F14" i="72"/>
  <c r="AN14" i="72" s="1"/>
  <c r="M13" i="72"/>
  <c r="I13" i="72"/>
  <c r="E13" i="72"/>
  <c r="L12" i="72"/>
  <c r="H12" i="72"/>
  <c r="D12" i="72"/>
  <c r="BB16" i="99"/>
  <c r="BA19" i="99"/>
  <c r="BA15" i="99"/>
  <c r="AZ18" i="99"/>
  <c r="AZ14" i="99"/>
  <c r="AY17" i="99"/>
  <c r="AY13" i="99"/>
  <c r="AX16" i="99"/>
  <c r="AW19" i="99"/>
  <c r="AW15" i="99"/>
  <c r="K18" i="99"/>
  <c r="K14" i="99"/>
  <c r="I17" i="99"/>
  <c r="I13" i="99"/>
  <c r="H16" i="99"/>
  <c r="G19" i="99"/>
  <c r="G15" i="99"/>
  <c r="F18" i="99"/>
  <c r="F14" i="99"/>
  <c r="E17" i="99"/>
  <c r="E13" i="99"/>
  <c r="D16" i="99"/>
  <c r="F13" i="99"/>
  <c r="M10" i="127"/>
  <c r="M11" i="127"/>
  <c r="M12" i="127"/>
  <c r="M13" i="127"/>
  <c r="M14" i="127"/>
  <c r="M9" i="127"/>
  <c r="AH9" i="80" l="1"/>
  <c r="E14" i="158" s="1"/>
  <c r="AL14" i="72"/>
  <c r="AM14" i="72"/>
  <c r="AL17" i="72"/>
  <c r="AM17" i="72"/>
  <c r="AK17" i="72" s="1"/>
  <c r="AL20" i="72"/>
  <c r="AM20" i="72"/>
  <c r="AL15" i="72"/>
  <c r="AM15" i="72"/>
  <c r="AK15" i="72" s="1"/>
  <c r="AL25" i="72"/>
  <c r="AM25" i="72"/>
  <c r="AM14" i="73"/>
  <c r="AK14" i="73" s="1"/>
  <c r="AL14" i="73"/>
  <c r="AL24" i="72"/>
  <c r="AM24" i="72"/>
  <c r="AM13" i="73"/>
  <c r="AL13" i="73"/>
  <c r="AK13" i="73" s="1"/>
  <c r="AL23" i="72"/>
  <c r="AM23" i="72"/>
  <c r="AL26" i="72"/>
  <c r="AM26" i="72"/>
  <c r="AM15" i="73"/>
  <c r="AL15" i="73"/>
  <c r="AK15" i="73" s="1"/>
  <c r="AL18" i="72"/>
  <c r="AM18" i="72"/>
  <c r="AL13" i="72"/>
  <c r="AM13" i="72"/>
  <c r="AK13" i="72" s="1"/>
  <c r="AL16" i="72"/>
  <c r="AM16" i="72"/>
  <c r="AL19" i="72"/>
  <c r="AM19" i="72"/>
  <c r="AL21" i="72"/>
  <c r="AM21" i="72"/>
  <c r="AK21" i="72" s="1"/>
  <c r="AL29" i="72"/>
  <c r="AM29" i="72"/>
  <c r="AL28" i="72"/>
  <c r="AM28" i="72"/>
  <c r="AM17" i="73"/>
  <c r="AL17" i="73"/>
  <c r="AL27" i="72"/>
  <c r="AM27" i="72"/>
  <c r="AL16" i="73"/>
  <c r="AM16" i="73"/>
  <c r="AL22" i="72"/>
  <c r="AM22" i="72"/>
  <c r="AL30" i="72"/>
  <c r="AM30" i="72"/>
  <c r="AL12" i="73"/>
  <c r="AM12" i="73"/>
  <c r="AM12" i="72"/>
  <c r="AL12" i="72"/>
  <c r="AP13" i="72"/>
  <c r="A13" i="99"/>
  <c r="A13" i="76"/>
  <c r="A12" i="78"/>
  <c r="N13" i="127"/>
  <c r="O13" i="127"/>
  <c r="N14" i="127"/>
  <c r="O14" i="127"/>
  <c r="O12" i="127"/>
  <c r="N12" i="127"/>
  <c r="N10" i="127"/>
  <c r="O10" i="127"/>
  <c r="O9" i="127"/>
  <c r="N9" i="127"/>
  <c r="N11" i="127"/>
  <c r="O11" i="127"/>
  <c r="B22" i="94"/>
  <c r="S22" i="94"/>
  <c r="T22" i="94"/>
  <c r="U22" i="94"/>
  <c r="V22" i="94"/>
  <c r="B21" i="94"/>
  <c r="S21" i="94"/>
  <c r="T21" i="94"/>
  <c r="U21" i="94"/>
  <c r="V21" i="94"/>
  <c r="B20" i="94"/>
  <c r="S20" i="94"/>
  <c r="T20" i="94"/>
  <c r="U20" i="94"/>
  <c r="V20" i="94"/>
  <c r="B19" i="94"/>
  <c r="S19" i="94"/>
  <c r="T19" i="94"/>
  <c r="U19" i="94"/>
  <c r="V19" i="94"/>
  <c r="B18" i="94"/>
  <c r="S18" i="94"/>
  <c r="T18" i="94"/>
  <c r="U18" i="94"/>
  <c r="V18" i="94"/>
  <c r="D510" i="8" l="1"/>
  <c r="AK8" i="72"/>
  <c r="D364" i="8" s="1"/>
  <c r="AK8" i="73"/>
  <c r="D365" i="8" s="1"/>
  <c r="N8" i="127"/>
  <c r="O8" i="127"/>
  <c r="BZ10" i="59" l="1"/>
  <c r="BZ11" i="59"/>
  <c r="BZ12" i="59"/>
  <c r="BZ13" i="59"/>
  <c r="BZ14" i="59"/>
  <c r="BZ15" i="59"/>
  <c r="BZ16" i="59"/>
  <c r="BZ17" i="59"/>
  <c r="BZ18" i="59"/>
  <c r="BZ19" i="59"/>
  <c r="BZ20" i="59"/>
  <c r="BZ21" i="59"/>
  <c r="BZ22" i="59"/>
  <c r="BZ23" i="59"/>
  <c r="BZ24" i="59"/>
  <c r="BZ25" i="59"/>
  <c r="BZ26" i="59"/>
  <c r="BZ27" i="59"/>
  <c r="BZ28" i="59"/>
  <c r="BZ29" i="59"/>
  <c r="BZ30" i="59"/>
  <c r="BZ31" i="59"/>
  <c r="BZ32" i="59"/>
  <c r="BZ33" i="59"/>
  <c r="BZ34" i="59"/>
  <c r="BZ35" i="59"/>
  <c r="BZ36" i="59"/>
  <c r="BZ37" i="59"/>
  <c r="BZ38" i="59"/>
  <c r="BZ39" i="59"/>
  <c r="BZ40" i="59"/>
  <c r="BN10" i="59"/>
  <c r="BO10" i="59" s="1"/>
  <c r="BQ10" i="59" s="1"/>
  <c r="BP10" i="59" s="1"/>
  <c r="B17" i="94" l="1"/>
  <c r="S17" i="94"/>
  <c r="T17" i="94"/>
  <c r="U17" i="94"/>
  <c r="V17" i="94"/>
  <c r="B16" i="94"/>
  <c r="S16" i="94"/>
  <c r="T16" i="94"/>
  <c r="U16" i="94"/>
  <c r="V16" i="94"/>
  <c r="AH10" i="71" l="1"/>
  <c r="AH11" i="71"/>
  <c r="AH12" i="71"/>
  <c r="AH13" i="71"/>
  <c r="AH14" i="71"/>
  <c r="AH15" i="71"/>
  <c r="AH9" i="71"/>
  <c r="I69" i="37" l="1"/>
  <c r="K69" i="36" l="1"/>
  <c r="BA34" i="134" l="1"/>
  <c r="BA33" i="134"/>
  <c r="AZ34" i="134"/>
  <c r="AZ33" i="134"/>
  <c r="AY34" i="134"/>
  <c r="AY33" i="134"/>
  <c r="AX34" i="134"/>
  <c r="AX33" i="134"/>
  <c r="AW34" i="134"/>
  <c r="AW33" i="134"/>
  <c r="AV33" i="134"/>
  <c r="AV34" i="134"/>
  <c r="BV5" i="7" l="1"/>
  <c r="BV6" i="7"/>
  <c r="BV7" i="7"/>
  <c r="BV8" i="7"/>
  <c r="BV9" i="7"/>
  <c r="BV10" i="7"/>
  <c r="BV11" i="7"/>
  <c r="BV12" i="7"/>
  <c r="BV13" i="7"/>
  <c r="BV14" i="7"/>
  <c r="BV15" i="7"/>
  <c r="BV16" i="7"/>
  <c r="BV17" i="7"/>
  <c r="BV18" i="7"/>
  <c r="BV19" i="7"/>
  <c r="BV20" i="7"/>
  <c r="BV21" i="7"/>
  <c r="BV22" i="7"/>
  <c r="BV23" i="7"/>
  <c r="BV24" i="7"/>
  <c r="BV25" i="7"/>
  <c r="BV26" i="7"/>
  <c r="BV27" i="7"/>
  <c r="BV28" i="7"/>
  <c r="BV29" i="7"/>
  <c r="BV30" i="7"/>
  <c r="BV31" i="7"/>
  <c r="BV32" i="7"/>
  <c r="BV33" i="7"/>
  <c r="BV34" i="7"/>
  <c r="BV35" i="7"/>
  <c r="BV36" i="7"/>
  <c r="BV37" i="7"/>
  <c r="BV38" i="7"/>
  <c r="BV39" i="7"/>
  <c r="BV40" i="7"/>
  <c r="BV41" i="7"/>
  <c r="BV42" i="7"/>
  <c r="BV43" i="7"/>
  <c r="BV44" i="7"/>
  <c r="BV45" i="7"/>
  <c r="BV46" i="7"/>
  <c r="BV47" i="7"/>
  <c r="BV48" i="7"/>
  <c r="BV49" i="7"/>
  <c r="BV50" i="7"/>
  <c r="BV51" i="7"/>
  <c r="BV52" i="7"/>
  <c r="BV53" i="7"/>
  <c r="BV54" i="7"/>
  <c r="BV55" i="7"/>
  <c r="BV56" i="7"/>
  <c r="BV57" i="7"/>
  <c r="BV58" i="7"/>
  <c r="BV59" i="7"/>
  <c r="BV60" i="7"/>
  <c r="BV61" i="7"/>
  <c r="BV62" i="7"/>
  <c r="BV63" i="7"/>
  <c r="BV64" i="7"/>
  <c r="BV65" i="7"/>
  <c r="BV66" i="7"/>
  <c r="BV67" i="7"/>
  <c r="BV68" i="7"/>
  <c r="BV69" i="7"/>
  <c r="BV70" i="7"/>
  <c r="BV71" i="7"/>
  <c r="BV72" i="7"/>
  <c r="BV73" i="7"/>
  <c r="BV74" i="7"/>
  <c r="BV75" i="7"/>
  <c r="BV76" i="7"/>
  <c r="BV77" i="7"/>
  <c r="BV78" i="7"/>
  <c r="BV79" i="7"/>
  <c r="BV80" i="7"/>
  <c r="BV81" i="7"/>
  <c r="BV82" i="7"/>
  <c r="BV83" i="7"/>
  <c r="BV84" i="7"/>
  <c r="BV85" i="7"/>
  <c r="BV86" i="7"/>
  <c r="BV87" i="7"/>
  <c r="BV88" i="7"/>
  <c r="BV89" i="7"/>
  <c r="BV90" i="7"/>
  <c r="BV91" i="7"/>
  <c r="BV92" i="7"/>
  <c r="BV93" i="7"/>
  <c r="BV94" i="7"/>
  <c r="BV95" i="7"/>
  <c r="BV96" i="7"/>
  <c r="BV97" i="7"/>
  <c r="BV98" i="7"/>
  <c r="BV99" i="7"/>
  <c r="BV100" i="7"/>
  <c r="BV101" i="7"/>
  <c r="BV102" i="7"/>
  <c r="BV103" i="7"/>
  <c r="BV104" i="7"/>
  <c r="BV105" i="7"/>
  <c r="BV106" i="7"/>
  <c r="BV107" i="7"/>
  <c r="BV108" i="7"/>
  <c r="BV109" i="7"/>
  <c r="BV110" i="7"/>
  <c r="BV111" i="7"/>
  <c r="BV112" i="7"/>
  <c r="BV113" i="7"/>
  <c r="BV114" i="7"/>
  <c r="BV115" i="7"/>
  <c r="BV116" i="7"/>
  <c r="BV117" i="7"/>
  <c r="BV118" i="7"/>
  <c r="BV119" i="7"/>
  <c r="BV120" i="7"/>
  <c r="BV121" i="7"/>
  <c r="BV122" i="7"/>
  <c r="BV123" i="7"/>
  <c r="BV124" i="7"/>
  <c r="BV125" i="7"/>
  <c r="BV126" i="7"/>
  <c r="BV127" i="7"/>
  <c r="BV128" i="7"/>
  <c r="BV129" i="7"/>
  <c r="BV130" i="7"/>
  <c r="BV131" i="7"/>
  <c r="BV132" i="7"/>
  <c r="BV133" i="7"/>
  <c r="BV134" i="7"/>
  <c r="BV135" i="7"/>
  <c r="BV136" i="7"/>
  <c r="BV137" i="7"/>
  <c r="BV138" i="7"/>
  <c r="BV139" i="7"/>
  <c r="BV140" i="7"/>
  <c r="BV141" i="7"/>
  <c r="BV142" i="7"/>
  <c r="BV143" i="7"/>
  <c r="BV144" i="7"/>
  <c r="BV145" i="7"/>
  <c r="BV146" i="7"/>
  <c r="BV147" i="7"/>
  <c r="BV148" i="7"/>
  <c r="BV149" i="7"/>
  <c r="BV150" i="7"/>
  <c r="BV151" i="7"/>
  <c r="BV152" i="7"/>
  <c r="BV153" i="7"/>
  <c r="BV154" i="7"/>
  <c r="BV155" i="7"/>
  <c r="BV156" i="7"/>
  <c r="BV157" i="7"/>
  <c r="BV158" i="7"/>
  <c r="BV159" i="7"/>
  <c r="BV160" i="7"/>
  <c r="BV161" i="7"/>
  <c r="BV162" i="7"/>
  <c r="BV163" i="7"/>
  <c r="BV164" i="7"/>
  <c r="BV165" i="7"/>
  <c r="BV166" i="7"/>
  <c r="BV167" i="7"/>
  <c r="BV168" i="7"/>
  <c r="BV169" i="7"/>
  <c r="BV170" i="7"/>
  <c r="BV171" i="7"/>
  <c r="BV172" i="7"/>
  <c r="BV173" i="7"/>
  <c r="BV174" i="7"/>
  <c r="BV175" i="7"/>
  <c r="BV176" i="7"/>
  <c r="BV177" i="7"/>
  <c r="BV178" i="7"/>
  <c r="BV179" i="7"/>
  <c r="BV180" i="7"/>
  <c r="BV181" i="7"/>
  <c r="BV182" i="7"/>
  <c r="BV183" i="7"/>
  <c r="BV184" i="7"/>
  <c r="BV185" i="7"/>
  <c r="BV186" i="7"/>
  <c r="BV187" i="7"/>
  <c r="BV188" i="7"/>
  <c r="BV189" i="7"/>
  <c r="BV190" i="7"/>
  <c r="BV191" i="7"/>
  <c r="BV192" i="7"/>
  <c r="BV193" i="7"/>
  <c r="BV194" i="7"/>
  <c r="BV195" i="7"/>
  <c r="BV196" i="7"/>
  <c r="BV197" i="7"/>
  <c r="BV198" i="7"/>
  <c r="BV199" i="7"/>
  <c r="BV200" i="7"/>
  <c r="BV201" i="7"/>
  <c r="BV202" i="7"/>
  <c r="BV203" i="7"/>
  <c r="BV204" i="7"/>
  <c r="BV205" i="7"/>
  <c r="BV206" i="7"/>
  <c r="BV207" i="7"/>
  <c r="BV208" i="7"/>
  <c r="BV209" i="7"/>
  <c r="BV210" i="7"/>
  <c r="BV211" i="7"/>
  <c r="BV212" i="7"/>
  <c r="BV213" i="7"/>
  <c r="BV214" i="7"/>
  <c r="BV215" i="7"/>
  <c r="BV216" i="7"/>
  <c r="BV217" i="7"/>
  <c r="BV218" i="7"/>
  <c r="BV219" i="7"/>
  <c r="BV220" i="7"/>
  <c r="BV221" i="7"/>
  <c r="BV222" i="7"/>
  <c r="BV223" i="7"/>
  <c r="BV224" i="7"/>
  <c r="BV225" i="7"/>
  <c r="BV226" i="7"/>
  <c r="BV227" i="7"/>
  <c r="BV228" i="7"/>
  <c r="BV229" i="7"/>
  <c r="BV230" i="7"/>
  <c r="BV231" i="7"/>
  <c r="BV232" i="7"/>
  <c r="BV233" i="7"/>
  <c r="BV234" i="7"/>
  <c r="BV235" i="7"/>
  <c r="BV236" i="7"/>
  <c r="BV237" i="7"/>
  <c r="BV238" i="7"/>
  <c r="BV239" i="7"/>
  <c r="BV240" i="7"/>
  <c r="BV241" i="7"/>
  <c r="BV242" i="7"/>
  <c r="BV243" i="7"/>
  <c r="BV244" i="7"/>
  <c r="BV245" i="7"/>
  <c r="BV246" i="7"/>
  <c r="BV247" i="7"/>
  <c r="BV248" i="7"/>
  <c r="BV249" i="7"/>
  <c r="BV250" i="7"/>
  <c r="BV251" i="7"/>
  <c r="BV252" i="7"/>
  <c r="BV253" i="7"/>
  <c r="BV254" i="7"/>
  <c r="BV255" i="7"/>
  <c r="BV256" i="7"/>
  <c r="BV257" i="7"/>
  <c r="BV258" i="7"/>
  <c r="BV259" i="7"/>
  <c r="BV260" i="7"/>
  <c r="BV261" i="7"/>
  <c r="BV262" i="7"/>
  <c r="BV263" i="7"/>
  <c r="BV264" i="7"/>
  <c r="BV265" i="7"/>
  <c r="BV266" i="7"/>
  <c r="BV267" i="7"/>
  <c r="BV268" i="7"/>
  <c r="BV269" i="7"/>
  <c r="BV270" i="7"/>
  <c r="BV271" i="7"/>
  <c r="BV272" i="7"/>
  <c r="BV273" i="7"/>
  <c r="BV274" i="7"/>
  <c r="BV275" i="7"/>
  <c r="BV276" i="7"/>
  <c r="BV277" i="7"/>
  <c r="BV278" i="7"/>
  <c r="BV279" i="7"/>
  <c r="BV280" i="7"/>
  <c r="BV281" i="7"/>
  <c r="BV282" i="7"/>
  <c r="BV283" i="7"/>
  <c r="BV284" i="7"/>
  <c r="BV285" i="7"/>
  <c r="BV286" i="7"/>
  <c r="BV287" i="7"/>
  <c r="BV288" i="7"/>
  <c r="BV289" i="7"/>
  <c r="BV290" i="7"/>
  <c r="BV291" i="7"/>
  <c r="BV292" i="7"/>
  <c r="BV293" i="7"/>
  <c r="BV294" i="7"/>
  <c r="BV295" i="7"/>
  <c r="BV296" i="7"/>
  <c r="BV297" i="7"/>
  <c r="BV298" i="7"/>
  <c r="BV299" i="7"/>
  <c r="BV300" i="7"/>
  <c r="BV301" i="7"/>
  <c r="BV302" i="7"/>
  <c r="BV303" i="7"/>
  <c r="BV304" i="7"/>
  <c r="BV305" i="7"/>
  <c r="BV306" i="7"/>
  <c r="BV307" i="7"/>
  <c r="BV308" i="7"/>
  <c r="BV309" i="7"/>
  <c r="BV310" i="7"/>
  <c r="BV311" i="7"/>
  <c r="BV312" i="7"/>
  <c r="BV313" i="7"/>
  <c r="BV314" i="7"/>
  <c r="BV315" i="7"/>
  <c r="BV316" i="7"/>
  <c r="BV317" i="7"/>
  <c r="BV318" i="7"/>
  <c r="BV319" i="7"/>
  <c r="BV320" i="7"/>
  <c r="BV321" i="7"/>
  <c r="BV322" i="7"/>
  <c r="BV323" i="7"/>
  <c r="BV324" i="7"/>
  <c r="BV325" i="7"/>
  <c r="BV326" i="7"/>
  <c r="BV327" i="7"/>
  <c r="BV328" i="7"/>
  <c r="BV329" i="7"/>
  <c r="BV330" i="7"/>
  <c r="BV331" i="7"/>
  <c r="BV332" i="7"/>
  <c r="BV333" i="7"/>
  <c r="BV334" i="7"/>
  <c r="BV335" i="7"/>
  <c r="BV336" i="7"/>
  <c r="BV337" i="7"/>
  <c r="BV338" i="7"/>
  <c r="BV339" i="7"/>
  <c r="BV340" i="7"/>
  <c r="BV341" i="7"/>
  <c r="BV342" i="7"/>
  <c r="BV343" i="7"/>
  <c r="BV344" i="7"/>
  <c r="BV345" i="7"/>
  <c r="BV346" i="7"/>
  <c r="BV347" i="7"/>
  <c r="BV348" i="7"/>
  <c r="BV349" i="7"/>
  <c r="BV350" i="7"/>
  <c r="BV351" i="7"/>
  <c r="BV352" i="7"/>
  <c r="BV353" i="7"/>
  <c r="BV354" i="7"/>
  <c r="BV355" i="7"/>
  <c r="BV356" i="7"/>
  <c r="BV357" i="7"/>
  <c r="BV358" i="7"/>
  <c r="BV359" i="7"/>
  <c r="BV360" i="7"/>
  <c r="BV361" i="7"/>
  <c r="BV362" i="7"/>
  <c r="BV363" i="7"/>
  <c r="BV364" i="7"/>
  <c r="BV365" i="7"/>
  <c r="BV366" i="7"/>
  <c r="BV367" i="7"/>
  <c r="BV368" i="7"/>
  <c r="BV369" i="7"/>
  <c r="BV370" i="7"/>
  <c r="BV371" i="7"/>
  <c r="BV372" i="7"/>
  <c r="BV373" i="7"/>
  <c r="BV374" i="7"/>
  <c r="BV375" i="7"/>
  <c r="BV376" i="7"/>
  <c r="BV377" i="7"/>
  <c r="BV378" i="7"/>
  <c r="BV379" i="7"/>
  <c r="BV380" i="7"/>
  <c r="BV381" i="7"/>
  <c r="BV382" i="7"/>
  <c r="BV383" i="7"/>
  <c r="BV384" i="7"/>
  <c r="BV385" i="7"/>
  <c r="BV386" i="7"/>
  <c r="BV387" i="7"/>
  <c r="BV388" i="7"/>
  <c r="BV389" i="7"/>
  <c r="BV390" i="7"/>
  <c r="BV391" i="7"/>
  <c r="BV392" i="7"/>
  <c r="BV393" i="7"/>
  <c r="BV394" i="7"/>
  <c r="BV395" i="7"/>
  <c r="BV396" i="7"/>
  <c r="BV397" i="7"/>
  <c r="BV398" i="7"/>
  <c r="BV399" i="7"/>
  <c r="BV400" i="7"/>
  <c r="BV401" i="7"/>
  <c r="BV402" i="7"/>
  <c r="BV403" i="7"/>
  <c r="BV404" i="7"/>
  <c r="BV405" i="7"/>
  <c r="BV406" i="7"/>
  <c r="BV407" i="7"/>
  <c r="BV408" i="7"/>
  <c r="BV409" i="7"/>
  <c r="BV410" i="7"/>
  <c r="BV411" i="7"/>
  <c r="BV412" i="7"/>
  <c r="BV413" i="7"/>
  <c r="BV414" i="7"/>
  <c r="BV415" i="7"/>
  <c r="BV416" i="7"/>
  <c r="BV417" i="7"/>
  <c r="BV418" i="7"/>
  <c r="BV419" i="7"/>
  <c r="BV420" i="7"/>
  <c r="BV421" i="7"/>
  <c r="BV422" i="7"/>
  <c r="BV423" i="7"/>
  <c r="BV424" i="7"/>
  <c r="BV425" i="7"/>
  <c r="BV426" i="7"/>
  <c r="BV427" i="7"/>
  <c r="BV428" i="7"/>
  <c r="BV429" i="7"/>
  <c r="BV430" i="7"/>
  <c r="BV431" i="7"/>
  <c r="BV432" i="7"/>
  <c r="BV433" i="7"/>
  <c r="BV434" i="7"/>
  <c r="BV435" i="7"/>
  <c r="BV436" i="7"/>
  <c r="BV437" i="7"/>
  <c r="BV438" i="7"/>
  <c r="BV439" i="7"/>
  <c r="BV440" i="7"/>
  <c r="BV441" i="7"/>
  <c r="BV442" i="7"/>
  <c r="BV443" i="7"/>
  <c r="BV444" i="7"/>
  <c r="BV445" i="7"/>
  <c r="BV446" i="7"/>
  <c r="BV447" i="7"/>
  <c r="BV448" i="7"/>
  <c r="BV449" i="7"/>
  <c r="BV450" i="7"/>
  <c r="BV451" i="7"/>
  <c r="BV452" i="7"/>
  <c r="BV453" i="7"/>
  <c r="BV454" i="7"/>
  <c r="BV455" i="7"/>
  <c r="BV456" i="7"/>
  <c r="BV457" i="7"/>
  <c r="BV458" i="7"/>
  <c r="BV459" i="7"/>
  <c r="BV460" i="7"/>
  <c r="BV461" i="7"/>
  <c r="BV462" i="7"/>
  <c r="BV463" i="7"/>
  <c r="BV464" i="7"/>
  <c r="BV465" i="7"/>
  <c r="BV466" i="7"/>
  <c r="BV467" i="7"/>
  <c r="BV468" i="7"/>
  <c r="BV469" i="7"/>
  <c r="BV470" i="7"/>
  <c r="BV471" i="7"/>
  <c r="BV472" i="7"/>
  <c r="BV473" i="7"/>
  <c r="BV474" i="7"/>
  <c r="BV475" i="7"/>
  <c r="BV476" i="7"/>
  <c r="BV477" i="7"/>
  <c r="BV478" i="7"/>
  <c r="BV479" i="7"/>
  <c r="BV480" i="7"/>
  <c r="BV481" i="7"/>
  <c r="BV482" i="7"/>
  <c r="BV483" i="7"/>
  <c r="BV484" i="7"/>
  <c r="BV485" i="7"/>
  <c r="BV486" i="7"/>
  <c r="BV487" i="7"/>
  <c r="BV488" i="7"/>
  <c r="BV489" i="7"/>
  <c r="BV490" i="7"/>
  <c r="BV491" i="7"/>
  <c r="BV492" i="7"/>
  <c r="BV493" i="7"/>
  <c r="BV494" i="7"/>
  <c r="BV495" i="7"/>
  <c r="BV496" i="7"/>
  <c r="BV497" i="7"/>
  <c r="BV498" i="7"/>
  <c r="BV499" i="7"/>
  <c r="BV500" i="7"/>
  <c r="BV501" i="7"/>
  <c r="BV502" i="7"/>
  <c r="BV503" i="7"/>
  <c r="BV504" i="7"/>
  <c r="BV505" i="7"/>
  <c r="BV506" i="7"/>
  <c r="BV507" i="7"/>
  <c r="BV508" i="7"/>
  <c r="BV509" i="7"/>
  <c r="BV510" i="7"/>
  <c r="BV511" i="7"/>
  <c r="BV512" i="7"/>
  <c r="BV513" i="7"/>
  <c r="BV514" i="7"/>
  <c r="BV515" i="7"/>
  <c r="BV516" i="7"/>
  <c r="BV517" i="7"/>
  <c r="BV518" i="7"/>
  <c r="BV519" i="7"/>
  <c r="BV520" i="7"/>
  <c r="BV521" i="7"/>
  <c r="BV522" i="7"/>
  <c r="BV523" i="7"/>
  <c r="BV524" i="7"/>
  <c r="BV525" i="7"/>
  <c r="BV526" i="7"/>
  <c r="BV527" i="7"/>
  <c r="BV528" i="7"/>
  <c r="BV529" i="7"/>
  <c r="BV530" i="7"/>
  <c r="BV531" i="7"/>
  <c r="BV532" i="7"/>
  <c r="BV533" i="7"/>
  <c r="BV534" i="7"/>
  <c r="BV535" i="7"/>
  <c r="BV536" i="7"/>
  <c r="BV537" i="7"/>
  <c r="BV538" i="7"/>
  <c r="BV539" i="7"/>
  <c r="BV540" i="7"/>
  <c r="BV541" i="7"/>
  <c r="BV542" i="7"/>
  <c r="BV543" i="7"/>
  <c r="BV544" i="7"/>
  <c r="BV545" i="7"/>
  <c r="BV546" i="7"/>
  <c r="BV547" i="7"/>
  <c r="BV548" i="7"/>
  <c r="BV549" i="7"/>
  <c r="BV550" i="7"/>
  <c r="BV551" i="7"/>
  <c r="BV552" i="7"/>
  <c r="BV553" i="7"/>
  <c r="BV554" i="7"/>
  <c r="BV555" i="7"/>
  <c r="BV556" i="7"/>
  <c r="BV557" i="7"/>
  <c r="BV558" i="7"/>
  <c r="BV559" i="7"/>
  <c r="BV560" i="7"/>
  <c r="BV561" i="7"/>
  <c r="BV562" i="7"/>
  <c r="BV563" i="7"/>
  <c r="BV564" i="7"/>
  <c r="BV565" i="7"/>
  <c r="BV566" i="7"/>
  <c r="BV567" i="7"/>
  <c r="BV568" i="7"/>
  <c r="BV569" i="7"/>
  <c r="BV570" i="7"/>
  <c r="BV571" i="7"/>
  <c r="BV572" i="7"/>
  <c r="BV573" i="7"/>
  <c r="BV574" i="7"/>
  <c r="BV575" i="7"/>
  <c r="BV576" i="7"/>
  <c r="BV577" i="7"/>
  <c r="BV578" i="7"/>
  <c r="BV579" i="7"/>
  <c r="BV580" i="7"/>
  <c r="BV581" i="7"/>
  <c r="BV582" i="7"/>
  <c r="BV583" i="7"/>
  <c r="BV584" i="7"/>
  <c r="BV585" i="7"/>
  <c r="BV586" i="7"/>
  <c r="BV587" i="7"/>
  <c r="BV588" i="7"/>
  <c r="BV589" i="7"/>
  <c r="BV590" i="7"/>
  <c r="BV591" i="7"/>
  <c r="BV592" i="7"/>
  <c r="BV593" i="7"/>
  <c r="BV594" i="7"/>
  <c r="BV595" i="7"/>
  <c r="BV596" i="7"/>
  <c r="BV597" i="7"/>
  <c r="BV598" i="7"/>
  <c r="BV599" i="7"/>
  <c r="BV600" i="7"/>
  <c r="BV601" i="7"/>
  <c r="BV602" i="7"/>
  <c r="BV603" i="7"/>
  <c r="BV604" i="7"/>
  <c r="BV605" i="7"/>
  <c r="BV606" i="7"/>
  <c r="BV607" i="7"/>
  <c r="BV608" i="7"/>
  <c r="BV609" i="7"/>
  <c r="BV610" i="7"/>
  <c r="BV611" i="7"/>
  <c r="BV612" i="7"/>
  <c r="BV613" i="7"/>
  <c r="BV614" i="7"/>
  <c r="BV615" i="7"/>
  <c r="BV616" i="7"/>
  <c r="BV617" i="7"/>
  <c r="BV618" i="7"/>
  <c r="BV619" i="7"/>
  <c r="BV620" i="7"/>
  <c r="BV621" i="7"/>
  <c r="BV622" i="7"/>
  <c r="BV623" i="7"/>
  <c r="BV624" i="7"/>
  <c r="BV625" i="7"/>
  <c r="BV626" i="7"/>
  <c r="BV627" i="7"/>
  <c r="BV628" i="7"/>
  <c r="BV629" i="7"/>
  <c r="BV630" i="7"/>
  <c r="BV631" i="7"/>
  <c r="BV632" i="7"/>
  <c r="BV633" i="7"/>
  <c r="BV634" i="7"/>
  <c r="BV635" i="7"/>
  <c r="BV636" i="7"/>
  <c r="BV637" i="7"/>
  <c r="BV638" i="7"/>
  <c r="BV639" i="7"/>
  <c r="BV640" i="7"/>
  <c r="BV641" i="7"/>
  <c r="BV642" i="7"/>
  <c r="BV643" i="7"/>
  <c r="BV644" i="7"/>
  <c r="BV645" i="7"/>
  <c r="BV646" i="7"/>
  <c r="BV647" i="7"/>
  <c r="BV648" i="7"/>
  <c r="BV649" i="7"/>
  <c r="BV650" i="7"/>
  <c r="BV651" i="7"/>
  <c r="BV652" i="7"/>
  <c r="BV653" i="7"/>
  <c r="BV654" i="7"/>
  <c r="BV655" i="7"/>
  <c r="BV656" i="7"/>
  <c r="BV657" i="7"/>
  <c r="BV658" i="7"/>
  <c r="BV659" i="7"/>
  <c r="BV660" i="7"/>
  <c r="BV661" i="7"/>
  <c r="BV662" i="7"/>
  <c r="BV663" i="7"/>
  <c r="BV664" i="7"/>
  <c r="BV665" i="7"/>
  <c r="BV666" i="7"/>
  <c r="BV667" i="7"/>
  <c r="BV668" i="7"/>
  <c r="BV669" i="7"/>
  <c r="BV670" i="7"/>
  <c r="BV671" i="7"/>
  <c r="BV672" i="7"/>
  <c r="BV673" i="7"/>
  <c r="BV674" i="7"/>
  <c r="BV675" i="7"/>
  <c r="BV676" i="7"/>
  <c r="BV677" i="7"/>
  <c r="BV678" i="7"/>
  <c r="BV679" i="7"/>
  <c r="BV680" i="7"/>
  <c r="BV681" i="7"/>
  <c r="BV682" i="7"/>
  <c r="BV683" i="7"/>
  <c r="BV684" i="7"/>
  <c r="BV685" i="7"/>
  <c r="BV686" i="7"/>
  <c r="BV687" i="7"/>
  <c r="BV688" i="7"/>
  <c r="BV689" i="7"/>
  <c r="BV690" i="7"/>
  <c r="BV691" i="7"/>
  <c r="BV692" i="7"/>
  <c r="BV693" i="7"/>
  <c r="BV694" i="7"/>
  <c r="BV695" i="7"/>
  <c r="BV696" i="7"/>
  <c r="BV697" i="7"/>
  <c r="BV698" i="7"/>
  <c r="BV699" i="7"/>
  <c r="BV700" i="7"/>
  <c r="BV701" i="7"/>
  <c r="BV702" i="7"/>
  <c r="BV703" i="7"/>
  <c r="BV704" i="7"/>
  <c r="BV705" i="7"/>
  <c r="BV706" i="7"/>
  <c r="BV707" i="7"/>
  <c r="BV708" i="7"/>
  <c r="BV709" i="7"/>
  <c r="BV710" i="7"/>
  <c r="BV711" i="7"/>
  <c r="BV712" i="7"/>
  <c r="BV713" i="7"/>
  <c r="BV714" i="7"/>
  <c r="BV715" i="7"/>
  <c r="BV716" i="7"/>
  <c r="BV717" i="7"/>
  <c r="BV718" i="7"/>
  <c r="BV719" i="7"/>
  <c r="BV720" i="7"/>
  <c r="BV721" i="7"/>
  <c r="BV722" i="7"/>
  <c r="BV723" i="7"/>
  <c r="BV724" i="7"/>
  <c r="BV725" i="7"/>
  <c r="BV726" i="7"/>
  <c r="BV727" i="7"/>
  <c r="BV728" i="7"/>
  <c r="BV729" i="7"/>
  <c r="BV730" i="7"/>
  <c r="BV731" i="7"/>
  <c r="BV732" i="7"/>
  <c r="BV733" i="7"/>
  <c r="BV734" i="7"/>
  <c r="BV735" i="7"/>
  <c r="BV736" i="7"/>
  <c r="BV737" i="7"/>
  <c r="BV738" i="7"/>
  <c r="BV739" i="7"/>
  <c r="BV740" i="7"/>
  <c r="BV741" i="7"/>
  <c r="BV742" i="7"/>
  <c r="BV743" i="7"/>
  <c r="BV744" i="7"/>
  <c r="BV745" i="7"/>
  <c r="BV746" i="7"/>
  <c r="BV747" i="7"/>
  <c r="BV748" i="7"/>
  <c r="BV749" i="7"/>
  <c r="BV750" i="7"/>
  <c r="BV751" i="7"/>
  <c r="BV752" i="7"/>
  <c r="BV753" i="7"/>
  <c r="BV754" i="7"/>
  <c r="BV755" i="7"/>
  <c r="BV756" i="7"/>
  <c r="BV757" i="7"/>
  <c r="BV758" i="7"/>
  <c r="BV759" i="7"/>
  <c r="BV760" i="7"/>
  <c r="BV761" i="7"/>
  <c r="BV762" i="7"/>
  <c r="BV763" i="7"/>
  <c r="BV764" i="7"/>
  <c r="BV765" i="7"/>
  <c r="BV766" i="7"/>
  <c r="BV767" i="7"/>
  <c r="BV768" i="7"/>
  <c r="BV769" i="7"/>
  <c r="BV770" i="7"/>
  <c r="BV771" i="7"/>
  <c r="BV772" i="7"/>
  <c r="BV773" i="7"/>
  <c r="BV774" i="7"/>
  <c r="BV775" i="7"/>
  <c r="BV776" i="7"/>
  <c r="BV777" i="7"/>
  <c r="BV778" i="7"/>
  <c r="BV779" i="7"/>
  <c r="BV780" i="7"/>
  <c r="BV781" i="7"/>
  <c r="BV782" i="7"/>
  <c r="BV783" i="7"/>
  <c r="BV784" i="7"/>
  <c r="BV785" i="7"/>
  <c r="BV786" i="7"/>
  <c r="BV787" i="7"/>
  <c r="BV788" i="7"/>
  <c r="BV789" i="7"/>
  <c r="BV790" i="7"/>
  <c r="BV791" i="7"/>
  <c r="BV792" i="7"/>
  <c r="BV793" i="7"/>
  <c r="BV794" i="7"/>
  <c r="BV795" i="7"/>
  <c r="BV796" i="7"/>
  <c r="BV797" i="7"/>
  <c r="BV798" i="7"/>
  <c r="BV799" i="7"/>
  <c r="BV800" i="7"/>
  <c r="BV801" i="7"/>
  <c r="BV802" i="7"/>
  <c r="BV803" i="7"/>
  <c r="BV804" i="7"/>
  <c r="BV805" i="7"/>
  <c r="BV806" i="7"/>
  <c r="BV807" i="7"/>
  <c r="BV808" i="7"/>
  <c r="BV809" i="7"/>
  <c r="BV810" i="7"/>
  <c r="BV811" i="7"/>
  <c r="BV812" i="7"/>
  <c r="BV813" i="7"/>
  <c r="BV814" i="7"/>
  <c r="BV815" i="7"/>
  <c r="BV816" i="7"/>
  <c r="BV817" i="7"/>
  <c r="BV818" i="7"/>
  <c r="BV819" i="7"/>
  <c r="BV820" i="7"/>
  <c r="BV821" i="7"/>
  <c r="BV822" i="7"/>
  <c r="BV823" i="7"/>
  <c r="BV824" i="7"/>
  <c r="BV825" i="7"/>
  <c r="BV826" i="7"/>
  <c r="BV827" i="7"/>
  <c r="BV828" i="7"/>
  <c r="BV829" i="7"/>
  <c r="BV830" i="7"/>
  <c r="BV831" i="7"/>
  <c r="BV832" i="7"/>
  <c r="BV833" i="7"/>
  <c r="BV834" i="7"/>
  <c r="BV835" i="7"/>
  <c r="BV836" i="7"/>
  <c r="BV837" i="7"/>
  <c r="BV838" i="7"/>
  <c r="BV839" i="7"/>
  <c r="BV840" i="7"/>
  <c r="BV841" i="7"/>
  <c r="BV842" i="7"/>
  <c r="BV843" i="7"/>
  <c r="BV844" i="7"/>
  <c r="BV845" i="7"/>
  <c r="BV846" i="7"/>
  <c r="BV847" i="7"/>
  <c r="BV848" i="7"/>
  <c r="BV849" i="7"/>
  <c r="BV850" i="7"/>
  <c r="BV851" i="7"/>
  <c r="BV852" i="7"/>
  <c r="BV853" i="7"/>
  <c r="BV854" i="7"/>
  <c r="BV855" i="7"/>
  <c r="BV856" i="7"/>
  <c r="BV857" i="7"/>
  <c r="BV858" i="7"/>
  <c r="BV859" i="7"/>
  <c r="BV860" i="7"/>
  <c r="BV861" i="7"/>
  <c r="BV862" i="7"/>
  <c r="BV863" i="7"/>
  <c r="BV864" i="7"/>
  <c r="BV865" i="7"/>
  <c r="BV866" i="7"/>
  <c r="BV867" i="7"/>
  <c r="BV868" i="7"/>
  <c r="BV869" i="7"/>
  <c r="BV870" i="7"/>
  <c r="BV871" i="7"/>
  <c r="BV872" i="7"/>
  <c r="BV873" i="7"/>
  <c r="BV874" i="7"/>
  <c r="BV875" i="7"/>
  <c r="BV876" i="7"/>
  <c r="BV877" i="7"/>
  <c r="BV878" i="7"/>
  <c r="BV879" i="7"/>
  <c r="BV880" i="7"/>
  <c r="BV881" i="7"/>
  <c r="BV882" i="7"/>
  <c r="BV883" i="7"/>
  <c r="BV884" i="7"/>
  <c r="BV885" i="7"/>
  <c r="BV886" i="7"/>
  <c r="BV887" i="7"/>
  <c r="BV888" i="7"/>
  <c r="BV889" i="7"/>
  <c r="BV890" i="7"/>
  <c r="BV891" i="7"/>
  <c r="BV892" i="7"/>
  <c r="BV893" i="7"/>
  <c r="BV894" i="7"/>
  <c r="BV895" i="7"/>
  <c r="BV896" i="7"/>
  <c r="BV897" i="7"/>
  <c r="BV898" i="7"/>
  <c r="BV899" i="7"/>
  <c r="BV900" i="7"/>
  <c r="BV901" i="7"/>
  <c r="BV902" i="7"/>
  <c r="BV903" i="7"/>
  <c r="BV904" i="7"/>
  <c r="BV905" i="7"/>
  <c r="BV906" i="7"/>
  <c r="BV907" i="7"/>
  <c r="BV908" i="7"/>
  <c r="BV909" i="7"/>
  <c r="BV910" i="7"/>
  <c r="BV911" i="7"/>
  <c r="BV912" i="7"/>
  <c r="BV913" i="7"/>
  <c r="BV914" i="7"/>
  <c r="BV915" i="7"/>
  <c r="BV916" i="7"/>
  <c r="BV917" i="7"/>
  <c r="BV918" i="7"/>
  <c r="BV919" i="7"/>
  <c r="BV920" i="7"/>
  <c r="BV921" i="7"/>
  <c r="BV922" i="7"/>
  <c r="BV923" i="7"/>
  <c r="BV924" i="7"/>
  <c r="BV925" i="7"/>
  <c r="BV926" i="7"/>
  <c r="BV927" i="7"/>
  <c r="BV928" i="7"/>
  <c r="BV929" i="7"/>
  <c r="BV930" i="7"/>
  <c r="BV931" i="7"/>
  <c r="BV932" i="7"/>
  <c r="BV933" i="7"/>
  <c r="BV934" i="7"/>
  <c r="BV935" i="7"/>
  <c r="BV936" i="7"/>
  <c r="BV937" i="7"/>
  <c r="BV938" i="7"/>
  <c r="BV939" i="7"/>
  <c r="BV940" i="7"/>
  <c r="BV941" i="7"/>
  <c r="BV942" i="7"/>
  <c r="BV943" i="7"/>
  <c r="BV944" i="7"/>
  <c r="BV945" i="7"/>
  <c r="BV946" i="7"/>
  <c r="BV947" i="7"/>
  <c r="BV948" i="7"/>
  <c r="BV949" i="7"/>
  <c r="BV950" i="7"/>
  <c r="BV951" i="7"/>
  <c r="BV952" i="7"/>
  <c r="BV953" i="7"/>
  <c r="BV954" i="7"/>
  <c r="BV955" i="7"/>
  <c r="BV956" i="7"/>
  <c r="BV957" i="7"/>
  <c r="BV958" i="7"/>
  <c r="BV959" i="7"/>
  <c r="BV960" i="7"/>
  <c r="BV961" i="7"/>
  <c r="BV962" i="7"/>
  <c r="BV963" i="7"/>
  <c r="BV964" i="7"/>
  <c r="BV965" i="7"/>
  <c r="BV966" i="7"/>
  <c r="BV967" i="7"/>
  <c r="BV968" i="7"/>
  <c r="BV969" i="7"/>
  <c r="BV970" i="7"/>
  <c r="BV971" i="7"/>
  <c r="BV972" i="7"/>
  <c r="BV973" i="7"/>
  <c r="BV974" i="7"/>
  <c r="BV975" i="7"/>
  <c r="BV976" i="7"/>
  <c r="BV977" i="7"/>
  <c r="BV978" i="7"/>
  <c r="BV979" i="7"/>
  <c r="BV980" i="7"/>
  <c r="BV981" i="7"/>
  <c r="BV982" i="7"/>
  <c r="BV983" i="7"/>
  <c r="BV984" i="7"/>
  <c r="BV985" i="7"/>
  <c r="BV986" i="7"/>
  <c r="BV987" i="7"/>
  <c r="BV988" i="7"/>
  <c r="BV989" i="7"/>
  <c r="BV990" i="7"/>
  <c r="BV991" i="7"/>
  <c r="BV992" i="7"/>
  <c r="BV993" i="7"/>
  <c r="BV994" i="7"/>
  <c r="BV995" i="7"/>
  <c r="BV996" i="7"/>
  <c r="BV997" i="7"/>
  <c r="BV998" i="7"/>
  <c r="BV999" i="7"/>
  <c r="BV1000" i="7"/>
  <c r="BV1001" i="7"/>
  <c r="BV1002" i="7"/>
  <c r="BV1003" i="7"/>
  <c r="BV1004" i="7"/>
  <c r="BV1005" i="7"/>
  <c r="BV1006" i="7"/>
  <c r="BV1007" i="7"/>
  <c r="BV1008" i="7"/>
  <c r="BV1009" i="7"/>
  <c r="BV1010" i="7"/>
  <c r="BV1011" i="7"/>
  <c r="BV1012" i="7"/>
  <c r="BV1013" i="7"/>
  <c r="BV1014" i="7"/>
  <c r="BV1015" i="7"/>
  <c r="BV1016" i="7"/>
  <c r="BV1017" i="7"/>
  <c r="BV1018" i="7"/>
  <c r="BV1019" i="7"/>
  <c r="BV1020" i="7"/>
  <c r="BV1021" i="7"/>
  <c r="BV1022" i="7"/>
  <c r="BV1023" i="7"/>
  <c r="BV1024" i="7"/>
  <c r="BV1025" i="7"/>
  <c r="BV1026" i="7"/>
  <c r="BV1027" i="7"/>
  <c r="BV1028" i="7"/>
  <c r="BV1029" i="7"/>
  <c r="BV1030" i="7"/>
  <c r="BV1031" i="7"/>
  <c r="BV1032" i="7"/>
  <c r="BV1033" i="7"/>
  <c r="BV1034" i="7"/>
  <c r="BV1035" i="7"/>
  <c r="BV1036" i="7"/>
  <c r="BV1037" i="7"/>
  <c r="BV1038" i="7"/>
  <c r="BV1039" i="7"/>
  <c r="BV1040" i="7"/>
  <c r="BV1041" i="7"/>
  <c r="BV1042" i="7"/>
  <c r="BV1043" i="7"/>
  <c r="BV1044" i="7"/>
  <c r="BV1045" i="7"/>
  <c r="BV1046" i="7"/>
  <c r="BV1047" i="7"/>
  <c r="BV1048" i="7"/>
  <c r="BV1049" i="7"/>
  <c r="BV1050" i="7"/>
  <c r="BV1051" i="7"/>
  <c r="BV1052" i="7"/>
  <c r="BV1053" i="7"/>
  <c r="BV1054" i="7"/>
  <c r="BV1055" i="7"/>
  <c r="BV1056" i="7"/>
  <c r="BV1057" i="7"/>
  <c r="BV1058" i="7"/>
  <c r="BV1059" i="7"/>
  <c r="BV1060" i="7"/>
  <c r="BV1061" i="7"/>
  <c r="BV1062" i="7"/>
  <c r="BV1063" i="7"/>
  <c r="BV1064" i="7"/>
  <c r="BV1065" i="7"/>
  <c r="BV1066" i="7"/>
  <c r="BV1067" i="7"/>
  <c r="BV1068" i="7"/>
  <c r="BV1069" i="7"/>
  <c r="BV1070" i="7"/>
  <c r="BV1071" i="7"/>
  <c r="BV1072" i="7"/>
  <c r="BV1073" i="7"/>
  <c r="BV1074" i="7"/>
  <c r="BV1075" i="7"/>
  <c r="BV1076" i="7"/>
  <c r="BV1077" i="7"/>
  <c r="BV1078" i="7"/>
  <c r="BV1079" i="7"/>
  <c r="BV1080" i="7"/>
  <c r="BV1081" i="7"/>
  <c r="BV1082" i="7"/>
  <c r="BV1083" i="7"/>
  <c r="BV1084" i="7"/>
  <c r="BV1085" i="7"/>
  <c r="BV1086" i="7"/>
  <c r="BV1087" i="7"/>
  <c r="BV1088" i="7"/>
  <c r="BV1089" i="7"/>
  <c r="BV1090" i="7"/>
  <c r="BV1091" i="7"/>
  <c r="BV1092" i="7"/>
  <c r="BV1093" i="7"/>
  <c r="BV1094" i="7"/>
  <c r="BV1095" i="7"/>
  <c r="BV1096" i="7"/>
  <c r="BV1097" i="7"/>
  <c r="BV1098" i="7"/>
  <c r="BV1099" i="7"/>
  <c r="BV1100" i="7"/>
  <c r="BV1101" i="7"/>
  <c r="BV1102" i="7"/>
  <c r="BV1103" i="7"/>
  <c r="BV1104" i="7"/>
  <c r="BV1105" i="7"/>
  <c r="BV1106" i="7"/>
  <c r="BV1107" i="7"/>
  <c r="BV1108" i="7"/>
  <c r="BV1109" i="7"/>
  <c r="BV1110" i="7"/>
  <c r="BV1111" i="7"/>
  <c r="BV1112" i="7"/>
  <c r="BV1113" i="7"/>
  <c r="BV1114" i="7"/>
  <c r="BV1115" i="7"/>
  <c r="BV1116" i="7"/>
  <c r="BV1117" i="7"/>
  <c r="BV1118" i="7"/>
  <c r="BV1119" i="7"/>
  <c r="BV1120" i="7"/>
  <c r="BV1121" i="7"/>
  <c r="BV1122" i="7"/>
  <c r="BV1123" i="7"/>
  <c r="BV1124" i="7"/>
  <c r="BV1125" i="7"/>
  <c r="BV1126" i="7"/>
  <c r="BV1127" i="7"/>
  <c r="BV1128" i="7"/>
  <c r="BV1129" i="7"/>
  <c r="BV1130" i="7"/>
  <c r="BV1131" i="7"/>
  <c r="BV1132" i="7"/>
  <c r="BV1133" i="7"/>
  <c r="BV1134" i="7"/>
  <c r="BV1135" i="7"/>
  <c r="BV1136" i="7"/>
  <c r="BV1137" i="7"/>
  <c r="BV1138" i="7"/>
  <c r="BV1139" i="7"/>
  <c r="BV1140" i="7"/>
  <c r="BV1141" i="7"/>
  <c r="BV1142" i="7"/>
  <c r="BV1143" i="7"/>
  <c r="BV1144" i="7"/>
  <c r="BV1145" i="7"/>
  <c r="BV1146" i="7"/>
  <c r="BV1147" i="7"/>
  <c r="BV1148" i="7"/>
  <c r="BV1149" i="7"/>
  <c r="BV1150" i="7"/>
  <c r="BV1151" i="7"/>
  <c r="BV1152" i="7"/>
  <c r="BV1153" i="7"/>
  <c r="BV1154" i="7"/>
  <c r="BV1155" i="7"/>
  <c r="BV1156" i="7"/>
  <c r="BV1157" i="7"/>
  <c r="BV1158" i="7"/>
  <c r="BV1159" i="7"/>
  <c r="BV1160" i="7"/>
  <c r="BV1161" i="7"/>
  <c r="BV1162" i="7"/>
  <c r="BV1163" i="7"/>
  <c r="BV1164" i="7"/>
  <c r="BV1165" i="7"/>
  <c r="BV1166" i="7"/>
  <c r="BV1167" i="7"/>
  <c r="BV1168" i="7"/>
  <c r="BV1169" i="7"/>
  <c r="BV1170" i="7"/>
  <c r="BV1171" i="7"/>
  <c r="BV1172" i="7"/>
  <c r="BV1173" i="7"/>
  <c r="BV1174" i="7"/>
  <c r="BV1175" i="7"/>
  <c r="BV1176" i="7"/>
  <c r="BV1177" i="7"/>
  <c r="BV1178" i="7"/>
  <c r="BV1179" i="7"/>
  <c r="BV1180" i="7"/>
  <c r="BV1181" i="7"/>
  <c r="BV1182" i="7"/>
  <c r="BV1183" i="7"/>
  <c r="BV1184" i="7"/>
  <c r="BV1185" i="7"/>
  <c r="BV1186" i="7"/>
  <c r="BV1187" i="7"/>
  <c r="BV1188" i="7"/>
  <c r="BV1189" i="7"/>
  <c r="BV1190" i="7"/>
  <c r="BV1191" i="7"/>
  <c r="BV1192" i="7"/>
  <c r="BV1193" i="7"/>
  <c r="BV1194" i="7"/>
  <c r="BV1195" i="7"/>
  <c r="BV1196" i="7"/>
  <c r="BV1197" i="7"/>
  <c r="BV1198" i="7"/>
  <c r="BV1199" i="7"/>
  <c r="BV1200" i="7"/>
  <c r="BV1201" i="7"/>
  <c r="BV1202" i="7"/>
  <c r="BV1203" i="7"/>
  <c r="BV1204" i="7"/>
  <c r="BV1205" i="7"/>
  <c r="BV1206" i="7"/>
  <c r="BV1207" i="7"/>
  <c r="BV1208" i="7"/>
  <c r="BV1209" i="7"/>
  <c r="BV1210" i="7"/>
  <c r="BV1211" i="7"/>
  <c r="BV1212" i="7"/>
  <c r="BV1213" i="7"/>
  <c r="BV1214" i="7"/>
  <c r="BV1215" i="7"/>
  <c r="BV1216" i="7"/>
  <c r="BV1217" i="7"/>
  <c r="BV1218" i="7"/>
  <c r="BV1219" i="7"/>
  <c r="BV1220" i="7"/>
  <c r="BV1221" i="7"/>
  <c r="BV1222" i="7"/>
  <c r="BV1223" i="7"/>
  <c r="BV1224" i="7"/>
  <c r="BV1225" i="7"/>
  <c r="BV1226" i="7"/>
  <c r="BV1227" i="7"/>
  <c r="BV1228" i="7"/>
  <c r="BV1229" i="7"/>
  <c r="BV1230" i="7"/>
  <c r="BV1231" i="7"/>
  <c r="BV1232" i="7"/>
  <c r="BV1233" i="7"/>
  <c r="BV1234" i="7"/>
  <c r="BV1235" i="7"/>
  <c r="BV1236" i="7"/>
  <c r="BV1237" i="7"/>
  <c r="BV1238" i="7"/>
  <c r="BV1239" i="7"/>
  <c r="BV1240" i="7"/>
  <c r="BV1241" i="7"/>
  <c r="BV1242" i="7"/>
  <c r="BV1243" i="7"/>
  <c r="BV1244" i="7"/>
  <c r="BV1245" i="7"/>
  <c r="BV1246" i="7"/>
  <c r="BV1247" i="7"/>
  <c r="BV1248" i="7"/>
  <c r="BV1249" i="7"/>
  <c r="BV1250" i="7"/>
  <c r="BV1251" i="7"/>
  <c r="BV1252" i="7"/>
  <c r="BV1253" i="7"/>
  <c r="BV1254" i="7"/>
  <c r="BV1255" i="7"/>
  <c r="BV1256" i="7"/>
  <c r="BV1257" i="7"/>
  <c r="BV1258" i="7"/>
  <c r="BV1259" i="7"/>
  <c r="BV1260" i="7"/>
  <c r="BV1261" i="7"/>
  <c r="BV1262" i="7"/>
  <c r="BV1263" i="7"/>
  <c r="BV1264" i="7"/>
  <c r="BV1265" i="7"/>
  <c r="BV1266" i="7"/>
  <c r="BV1267" i="7"/>
  <c r="BV1268" i="7"/>
  <c r="BV1269" i="7"/>
  <c r="BV1270" i="7"/>
  <c r="BV1271" i="7"/>
  <c r="BV1272" i="7"/>
  <c r="BV1273" i="7"/>
  <c r="BV1274" i="7"/>
  <c r="BV1275" i="7"/>
  <c r="BV1276" i="7"/>
  <c r="BV1277" i="7"/>
  <c r="BV1278" i="7"/>
  <c r="BV1279" i="7"/>
  <c r="BV1280" i="7"/>
  <c r="BV1281" i="7"/>
  <c r="BV1282" i="7"/>
  <c r="BV1283" i="7"/>
  <c r="BV1284" i="7"/>
  <c r="BV1285" i="7"/>
  <c r="BV1286" i="7"/>
  <c r="BV1287" i="7"/>
  <c r="BV1288" i="7"/>
  <c r="BV1289" i="7"/>
  <c r="BV1290" i="7"/>
  <c r="BV1291" i="7"/>
  <c r="BV1292" i="7"/>
  <c r="BV1293" i="7"/>
  <c r="BV1294" i="7"/>
  <c r="BV1295" i="7"/>
  <c r="BV1296" i="7"/>
  <c r="BV1297" i="7"/>
  <c r="BV1298" i="7"/>
  <c r="BV1299" i="7"/>
  <c r="BV1300" i="7"/>
  <c r="BV1301" i="7"/>
  <c r="BV1302" i="7"/>
  <c r="BV1303" i="7"/>
  <c r="BV1304" i="7"/>
  <c r="BV1305" i="7"/>
  <c r="BV1306" i="7"/>
  <c r="BV1307" i="7"/>
  <c r="BV1308" i="7"/>
  <c r="BV1309" i="7"/>
  <c r="BV1310" i="7"/>
  <c r="BV1311" i="7"/>
  <c r="BV1312" i="7"/>
  <c r="BV1313" i="7"/>
  <c r="BV1314" i="7"/>
  <c r="BV1315" i="7"/>
  <c r="BV1316" i="7"/>
  <c r="BV1317" i="7"/>
  <c r="BV1318" i="7"/>
  <c r="BV1319" i="7"/>
  <c r="BV1320" i="7"/>
  <c r="BV1321" i="7"/>
  <c r="BV1322" i="7"/>
  <c r="BV1323" i="7"/>
  <c r="BV1324" i="7"/>
  <c r="BV1325" i="7"/>
  <c r="BV1326" i="7"/>
  <c r="BV1327" i="7"/>
  <c r="BV1328" i="7"/>
  <c r="BV1329" i="7"/>
  <c r="BV1330" i="7"/>
  <c r="BV1331" i="7"/>
  <c r="BV1332" i="7"/>
  <c r="BV1333" i="7"/>
  <c r="BV1334" i="7"/>
  <c r="BV1335" i="7"/>
  <c r="BV1336" i="7"/>
  <c r="BV1337" i="7"/>
  <c r="BV1338" i="7"/>
  <c r="BV1339" i="7"/>
  <c r="BV1340" i="7"/>
  <c r="BV1341" i="7"/>
  <c r="BV1342" i="7"/>
  <c r="BV1343" i="7"/>
  <c r="BV1344" i="7"/>
  <c r="BV1345" i="7"/>
  <c r="BV1346" i="7"/>
  <c r="BV4" i="7"/>
  <c r="BU16" i="95" l="1"/>
  <c r="BU17" i="95"/>
  <c r="BU18" i="95"/>
  <c r="BU19" i="95"/>
  <c r="BU20" i="95"/>
  <c r="BU21" i="95"/>
  <c r="BU22" i="95"/>
  <c r="BU23" i="95"/>
  <c r="BU24" i="95"/>
  <c r="BU25" i="95"/>
  <c r="BU26" i="95"/>
  <c r="BU27" i="95"/>
  <c r="BU28" i="95"/>
  <c r="BU29" i="95"/>
  <c r="BU30" i="95"/>
  <c r="BU31" i="95"/>
  <c r="BU32" i="95"/>
  <c r="BU33" i="95"/>
  <c r="BU34" i="95"/>
  <c r="BU35" i="95"/>
  <c r="BU36" i="95"/>
  <c r="BU37" i="95"/>
  <c r="BU38" i="95"/>
  <c r="BU39" i="95"/>
  <c r="BU40" i="95"/>
  <c r="BU41" i="95"/>
  <c r="BU42" i="95"/>
  <c r="BU43" i="95"/>
  <c r="BU44" i="95"/>
  <c r="BU45" i="95"/>
  <c r="BU46" i="95"/>
  <c r="BU47" i="95"/>
  <c r="BU15" i="95"/>
  <c r="L14" i="70"/>
  <c r="L10" i="70"/>
  <c r="L12" i="70"/>
  <c r="L13" i="70"/>
  <c r="L11" i="70"/>
  <c r="L17" i="70"/>
  <c r="L15" i="70"/>
  <c r="L9" i="70"/>
  <c r="L16" i="70"/>
  <c r="L8" i="70"/>
  <c r="BU6" i="95" l="1"/>
  <c r="D495" i="8" s="1"/>
  <c r="R11" i="83"/>
  <c r="Q10" i="83"/>
  <c r="R12" i="83"/>
  <c r="R13" i="83"/>
  <c r="R14" i="83"/>
  <c r="S10" i="82"/>
  <c r="P14" i="81"/>
  <c r="P12" i="81"/>
  <c r="P13" i="81"/>
  <c r="P11" i="81"/>
  <c r="AI15" i="95"/>
  <c r="AI16" i="95"/>
  <c r="AI17" i="95"/>
  <c r="AI18" i="95"/>
  <c r="AI19" i="95"/>
  <c r="AI20" i="95"/>
  <c r="AI21" i="95"/>
  <c r="AI22" i="95"/>
  <c r="AI23" i="95"/>
  <c r="AI24" i="95"/>
  <c r="AI25" i="95"/>
  <c r="AI26" i="95"/>
  <c r="AI27" i="95"/>
  <c r="AI28" i="95"/>
  <c r="AI29" i="95"/>
  <c r="AI30" i="95"/>
  <c r="AI31" i="95"/>
  <c r="AI32" i="95"/>
  <c r="AI33" i="95"/>
  <c r="AI34" i="95"/>
  <c r="AI35" i="95"/>
  <c r="AI36" i="95"/>
  <c r="AI37" i="95"/>
  <c r="AI38" i="95"/>
  <c r="AI39" i="95"/>
  <c r="AI40" i="95"/>
  <c r="AI41" i="95"/>
  <c r="AI42" i="95"/>
  <c r="AI43" i="95"/>
  <c r="AI44" i="95"/>
  <c r="AI45" i="95"/>
  <c r="AI46" i="95"/>
  <c r="AI47" i="95"/>
  <c r="AI14" i="95"/>
  <c r="AH10" i="95"/>
  <c r="O10" i="81"/>
  <c r="P10" i="81" l="1"/>
  <c r="BF11" i="59"/>
  <c r="BF12" i="59"/>
  <c r="BF13" i="59"/>
  <c r="BF14" i="59"/>
  <c r="BF15" i="59"/>
  <c r="BF16" i="59"/>
  <c r="BF17" i="59"/>
  <c r="BF18" i="59"/>
  <c r="BF19" i="59"/>
  <c r="BF20" i="59"/>
  <c r="BF21" i="59"/>
  <c r="BF22" i="59"/>
  <c r="BF23" i="59"/>
  <c r="BF24" i="59"/>
  <c r="BF25" i="59"/>
  <c r="BF26" i="59"/>
  <c r="BF27" i="59"/>
  <c r="BF28" i="59"/>
  <c r="BF29" i="59"/>
  <c r="BF30" i="59"/>
  <c r="BF31" i="59"/>
  <c r="BF32" i="59"/>
  <c r="BF33" i="59"/>
  <c r="BF34" i="59"/>
  <c r="BF36" i="59"/>
  <c r="BF37" i="59"/>
  <c r="BF38" i="59"/>
  <c r="BF39" i="59"/>
  <c r="BF40" i="59"/>
  <c r="BF35" i="59"/>
  <c r="BF10" i="59"/>
  <c r="I11" i="126" l="1"/>
  <c r="E100" i="8"/>
  <c r="G100" i="8" s="1"/>
  <c r="D100" i="8" s="1"/>
  <c r="L14" i="127"/>
  <c r="L13" i="127"/>
  <c r="L12" i="127"/>
  <c r="L11" i="127"/>
  <c r="L10" i="127"/>
  <c r="K14" i="127"/>
  <c r="K13" i="127"/>
  <c r="K12" i="127"/>
  <c r="K11" i="127"/>
  <c r="K10" i="127"/>
  <c r="K9" i="127"/>
  <c r="X10" i="143" l="1"/>
  <c r="X9" i="143"/>
  <c r="X11" i="143"/>
  <c r="Y10" i="143"/>
  <c r="Y9" i="143"/>
  <c r="Y11" i="143"/>
  <c r="Z11" i="143" l="1"/>
  <c r="Z9" i="143"/>
  <c r="Z10" i="143"/>
  <c r="Z8" i="143" s="1"/>
  <c r="D319" i="8" s="1"/>
  <c r="A17" i="70" l="1"/>
  <c r="J17" i="70"/>
  <c r="Q17" i="70"/>
  <c r="R17" i="70" s="1"/>
  <c r="I21" i="137" l="1"/>
  <c r="F31" i="136"/>
  <c r="J2" i="67" l="1"/>
  <c r="I2" i="66"/>
  <c r="AL10" i="71" l="1"/>
  <c r="AL11" i="71"/>
  <c r="AL12" i="71"/>
  <c r="AL13" i="71"/>
  <c r="AL14" i="71"/>
  <c r="AL15" i="71"/>
  <c r="AL9" i="71"/>
  <c r="F237" i="8" l="1"/>
  <c r="F236" i="8"/>
  <c r="E124" i="105" l="1"/>
  <c r="G171" i="105" l="1"/>
  <c r="H171" i="105" s="1"/>
  <c r="A31" i="32"/>
  <c r="A36" i="32"/>
  <c r="K31" i="32"/>
  <c r="N31" i="32" s="1"/>
  <c r="A22" i="119"/>
  <c r="A27" i="119"/>
  <c r="K22" i="119"/>
  <c r="H175" i="105" s="1"/>
  <c r="CB12" i="59" l="1"/>
  <c r="CB13" i="59"/>
  <c r="CB14" i="59"/>
  <c r="CB15" i="59"/>
  <c r="CB16" i="59"/>
  <c r="CB17" i="59"/>
  <c r="CB18" i="59"/>
  <c r="CB19" i="59"/>
  <c r="CB20" i="59"/>
  <c r="CB21" i="59"/>
  <c r="CB22" i="59"/>
  <c r="CB23" i="59"/>
  <c r="CB24" i="59"/>
  <c r="CB25" i="59"/>
  <c r="CB26" i="59"/>
  <c r="CB27" i="59"/>
  <c r="CB28" i="59"/>
  <c r="CB29" i="59"/>
  <c r="CB30" i="59"/>
  <c r="CB31" i="59"/>
  <c r="CB32" i="59"/>
  <c r="CB33" i="59"/>
  <c r="CB34" i="59"/>
  <c r="CB35" i="59"/>
  <c r="CB36" i="59"/>
  <c r="CB37" i="59"/>
  <c r="CB38" i="59"/>
  <c r="CB39" i="59"/>
  <c r="CB40" i="59"/>
  <c r="CB11" i="59"/>
  <c r="CB10" i="59"/>
  <c r="V11" i="94"/>
  <c r="V12" i="94"/>
  <c r="V13" i="94"/>
  <c r="V14" i="94"/>
  <c r="V15" i="94"/>
  <c r="V10" i="94"/>
  <c r="AC24" i="128"/>
  <c r="AD24" i="128" s="1"/>
  <c r="AH24" i="128"/>
  <c r="AI24" i="128"/>
  <c r="AJ24" i="128"/>
  <c r="AK24" i="128"/>
  <c r="AL24" i="128"/>
  <c r="AL16" i="128"/>
  <c r="AL17" i="128"/>
  <c r="AL18" i="128"/>
  <c r="AL19" i="128"/>
  <c r="AL20" i="128"/>
  <c r="AL21" i="128"/>
  <c r="AL22" i="128"/>
  <c r="AL23" i="128"/>
  <c r="AL15" i="128"/>
  <c r="V5" i="94" l="1"/>
  <c r="AL6" i="71"/>
  <c r="CB9" i="59"/>
  <c r="AL11" i="128"/>
  <c r="AG24" i="128"/>
  <c r="D467" i="8" l="1"/>
  <c r="A39" i="16" l="1"/>
  <c r="A18" i="51"/>
  <c r="A17" i="51"/>
  <c r="A16" i="51"/>
  <c r="A15" i="51"/>
  <c r="A14" i="51"/>
  <c r="A13" i="51"/>
  <c r="A12" i="51"/>
  <c r="A11" i="51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15" i="129"/>
  <c r="A14" i="129"/>
  <c r="A13" i="129"/>
  <c r="A12" i="129"/>
  <c r="A11" i="129"/>
  <c r="A16" i="57"/>
  <c r="A15" i="57"/>
  <c r="A14" i="57"/>
  <c r="A13" i="57"/>
  <c r="A12" i="57"/>
  <c r="A11" i="57"/>
  <c r="A10" i="57"/>
  <c r="A9" i="57"/>
  <c r="A14" i="55"/>
  <c r="A13" i="55"/>
  <c r="A12" i="55"/>
  <c r="A11" i="55"/>
  <c r="A10" i="55"/>
  <c r="A9" i="55"/>
  <c r="A18" i="52"/>
  <c r="A17" i="52"/>
  <c r="A16" i="52"/>
  <c r="A15" i="52"/>
  <c r="A14" i="52"/>
  <c r="A75" i="37"/>
  <c r="A74" i="37"/>
  <c r="A73" i="37"/>
  <c r="A72" i="37"/>
  <c r="A71" i="37"/>
  <c r="A70" i="37"/>
  <c r="A14" i="127" l="1"/>
  <c r="A13" i="127"/>
  <c r="A12" i="127"/>
  <c r="A11" i="127"/>
  <c r="A10" i="127"/>
  <c r="N27" i="75" l="1"/>
  <c r="P27" i="75" s="1"/>
  <c r="F48" i="8"/>
  <c r="AD14" i="76"/>
  <c r="AD15" i="76"/>
  <c r="AD16" i="76"/>
  <c r="AD17" i="76"/>
  <c r="AD18" i="76"/>
  <c r="AD19" i="76"/>
  <c r="AD20" i="76"/>
  <c r="AD21" i="76"/>
  <c r="AD13" i="76"/>
  <c r="W21" i="76"/>
  <c r="Y21" i="76"/>
  <c r="D466" i="8" l="1"/>
  <c r="D465" i="8"/>
  <c r="E461" i="8"/>
  <c r="E460" i="8"/>
  <c r="D4" i="95" l="1" a="1"/>
  <c r="D4" i="95" s="1"/>
  <c r="F110" i="8" l="1"/>
  <c r="J64" i="11"/>
  <c r="J65" i="11"/>
  <c r="J66" i="11"/>
  <c r="J67" i="11"/>
  <c r="J68" i="11"/>
  <c r="J69" i="11"/>
  <c r="J70" i="11"/>
  <c r="J71" i="11"/>
  <c r="J72" i="11"/>
  <c r="J73" i="11"/>
  <c r="J74" i="11"/>
  <c r="J63" i="11"/>
  <c r="J62" i="11" l="1"/>
  <c r="D19" i="8" s="1"/>
  <c r="D3" i="55" a="1"/>
  <c r="D3" i="55" s="1"/>
  <c r="E54" i="4" s="1"/>
  <c r="D3" i="35" l="1" a="1"/>
  <c r="D3" i="35" s="1"/>
  <c r="D3" i="36" a="1"/>
  <c r="D3" i="36" s="1"/>
  <c r="D3" i="37" a="1"/>
  <c r="D3" i="37" s="1"/>
  <c r="D5" i="42" a="1"/>
  <c r="D5" i="42" s="1"/>
  <c r="D5" i="43" a="1"/>
  <c r="D5" i="43" s="1"/>
  <c r="D4" i="51" a="1"/>
  <c r="D4" i="51" s="1"/>
  <c r="D8" i="52" a="1"/>
  <c r="D8" i="52" s="1"/>
  <c r="D3" i="57" l="1" a="1"/>
  <c r="D3" i="57" s="1"/>
  <c r="E55" i="4" s="1"/>
  <c r="E4" i="59" a="1"/>
  <c r="E4" i="59" s="1"/>
  <c r="E57" i="4" s="1"/>
  <c r="D5" i="60" a="1"/>
  <c r="D5" i="60" s="1"/>
  <c r="E58" i="4" s="1"/>
  <c r="E85" i="4"/>
  <c r="D4" i="116" a="1"/>
  <c r="D4" i="116" s="1"/>
  <c r="E98" i="4" s="1"/>
  <c r="D5" i="128" a="1"/>
  <c r="D5" i="128" s="1"/>
  <c r="E107" i="4" s="1"/>
  <c r="D5" i="129" a="1"/>
  <c r="D5" i="129" s="1"/>
  <c r="E108" i="4" s="1"/>
  <c r="D5" i="132" a="1"/>
  <c r="D5" i="132" s="1"/>
  <c r="E109" i="4" s="1"/>
  <c r="E110" i="4"/>
  <c r="D58" i="134"/>
  <c r="A58" i="134" s="1"/>
  <c r="J58" i="134"/>
  <c r="L58" i="134" s="1"/>
  <c r="O58" i="134"/>
  <c r="P58" i="134"/>
  <c r="Q58" i="134"/>
  <c r="D8" i="134" a="1"/>
  <c r="D8" i="134" s="1"/>
  <c r="D5" i="135" a="1"/>
  <c r="D5" i="135" s="1"/>
  <c r="E112" i="4" s="1"/>
  <c r="D5" i="136" a="1"/>
  <c r="D5" i="136" s="1"/>
  <c r="E113" i="4" s="1"/>
  <c r="D4" i="137" a="1"/>
  <c r="D4" i="137" s="1"/>
  <c r="E114" i="4" s="1"/>
  <c r="D5" i="160" a="1"/>
  <c r="D5" i="160" s="1"/>
  <c r="D4" i="140" a="1"/>
  <c r="D4" i="140" s="1"/>
  <c r="E116" i="4" s="1"/>
  <c r="E53" i="4"/>
  <c r="E52" i="4"/>
  <c r="E48" i="4"/>
  <c r="E47" i="4"/>
  <c r="E45" i="4"/>
  <c r="E44" i="4"/>
  <c r="E43" i="4"/>
  <c r="E3" i="33" a="1"/>
  <c r="E3" i="33" s="1"/>
  <c r="E41" i="4" s="1"/>
  <c r="D4" i="30" a="1"/>
  <c r="D4" i="30" s="1"/>
  <c r="E38" i="4" s="1"/>
  <c r="D3" i="27" a="1"/>
  <c r="D3" i="27" s="1"/>
  <c r="E36" i="4" s="1"/>
  <c r="E111" i="4" l="1"/>
  <c r="E115" i="4"/>
  <c r="K21" i="140"/>
  <c r="K20" i="140"/>
  <c r="K19" i="140"/>
  <c r="K18" i="140"/>
  <c r="K17" i="140"/>
  <c r="K16" i="140"/>
  <c r="K15" i="140"/>
  <c r="K14" i="140"/>
  <c r="K13" i="140"/>
  <c r="K12" i="140"/>
  <c r="K11" i="140"/>
  <c r="K9" i="140"/>
  <c r="K10" i="140"/>
  <c r="U10" i="94"/>
  <c r="B10" i="94"/>
  <c r="E17" i="4" l="1"/>
  <c r="K8" i="140"/>
  <c r="CD11" i="59" l="1"/>
  <c r="CD12" i="59"/>
  <c r="CD13" i="59"/>
  <c r="CD14" i="59"/>
  <c r="CD15" i="59"/>
  <c r="CD16" i="59"/>
  <c r="CD17" i="59"/>
  <c r="CD18" i="59"/>
  <c r="CD19" i="59"/>
  <c r="CD20" i="59"/>
  <c r="CD21" i="59"/>
  <c r="CD22" i="59"/>
  <c r="CD23" i="59"/>
  <c r="CD24" i="59"/>
  <c r="CD25" i="59"/>
  <c r="CD26" i="59"/>
  <c r="CD27" i="59"/>
  <c r="CD28" i="59"/>
  <c r="CD29" i="59"/>
  <c r="CD30" i="59"/>
  <c r="CD31" i="59"/>
  <c r="CD32" i="59"/>
  <c r="CD33" i="59"/>
  <c r="CD34" i="59"/>
  <c r="CD35" i="59"/>
  <c r="CD36" i="59"/>
  <c r="CD37" i="59"/>
  <c r="CD38" i="59"/>
  <c r="CD39" i="59"/>
  <c r="CD40" i="59"/>
  <c r="CD10" i="59"/>
  <c r="CC42" i="59" l="1"/>
  <c r="CC41" i="59"/>
  <c r="X9" i="60"/>
  <c r="Q37" i="134" l="1"/>
  <c r="Q38" i="134"/>
  <c r="Q39" i="134"/>
  <c r="Q40" i="134"/>
  <c r="Q41" i="134"/>
  <c r="Q42" i="134"/>
  <c r="Q43" i="134"/>
  <c r="Q44" i="134"/>
  <c r="Q45" i="134"/>
  <c r="Q46" i="134"/>
  <c r="Q47" i="134"/>
  <c r="Q48" i="134"/>
  <c r="Q49" i="134"/>
  <c r="Q50" i="134"/>
  <c r="Q51" i="134"/>
  <c r="Q52" i="134"/>
  <c r="Q53" i="134"/>
  <c r="Q54" i="134"/>
  <c r="Q55" i="134"/>
  <c r="Q56" i="134"/>
  <c r="Q57" i="134"/>
  <c r="Q36" i="134"/>
  <c r="Q35" i="134" l="1"/>
  <c r="D403" i="8" s="1"/>
  <c r="CC10" i="59" l="1"/>
  <c r="AC13" i="60" l="1"/>
  <c r="CC13" i="59"/>
  <c r="CC17" i="59"/>
  <c r="CC19" i="59"/>
  <c r="CC20" i="59"/>
  <c r="CC21" i="59"/>
  <c r="CC22" i="59"/>
  <c r="CC24" i="59"/>
  <c r="CC27" i="59"/>
  <c r="CC28" i="59"/>
  <c r="CC29" i="59"/>
  <c r="CC30" i="59"/>
  <c r="CC31" i="59"/>
  <c r="CC32" i="59"/>
  <c r="CC37" i="59"/>
  <c r="CC39" i="59"/>
  <c r="CC40" i="59"/>
  <c r="AA9" i="60" l="1"/>
  <c r="AC10" i="60"/>
  <c r="AC16" i="60"/>
  <c r="AC12" i="60"/>
  <c r="AC17" i="60"/>
  <c r="AC15" i="60"/>
  <c r="AC11" i="60"/>
  <c r="CC36" i="59"/>
  <c r="CC35" i="59"/>
  <c r="CC38" i="59"/>
  <c r="CC18" i="59"/>
  <c r="CC26" i="59"/>
  <c r="CC34" i="59"/>
  <c r="CC25" i="59"/>
  <c r="CC15" i="59"/>
  <c r="CC33" i="59"/>
  <c r="CC23" i="59"/>
  <c r="CC12" i="59"/>
  <c r="CC11" i="59"/>
  <c r="AC14" i="60"/>
  <c r="CC14" i="59" l="1"/>
  <c r="CC16" i="59" s="1"/>
  <c r="CE42" i="59" s="1"/>
  <c r="AC9" i="60"/>
  <c r="E35" i="9" s="1"/>
  <c r="AK10" i="71"/>
  <c r="AK11" i="71"/>
  <c r="AK12" i="71"/>
  <c r="AK13" i="71"/>
  <c r="AK14" i="71"/>
  <c r="AK15" i="71"/>
  <c r="AK9" i="71"/>
  <c r="CE41" i="59" l="1"/>
  <c r="P25" i="117"/>
  <c r="Q25" i="117"/>
  <c r="X25" i="117"/>
  <c r="AB25" i="117" s="1"/>
  <c r="AC25" i="117"/>
  <c r="AH25" i="117"/>
  <c r="E309" i="8" l="1"/>
  <c r="AD20" i="77" l="1"/>
  <c r="P24" i="117" l="1"/>
  <c r="Q24" i="117"/>
  <c r="X24" i="117"/>
  <c r="AB24" i="117" s="1"/>
  <c r="AC24" i="117"/>
  <c r="AH24" i="117"/>
  <c r="T11" i="58" l="1"/>
  <c r="T12" i="58"/>
  <c r="T13" i="58"/>
  <c r="T14" i="58"/>
  <c r="T15" i="58"/>
  <c r="T16" i="58"/>
  <c r="T17" i="58"/>
  <c r="T18" i="58"/>
  <c r="T19" i="58"/>
  <c r="T20" i="58"/>
  <c r="T21" i="58"/>
  <c r="S9" i="58" l="1"/>
  <c r="BT47" i="95"/>
  <c r="BT46" i="95"/>
  <c r="BT45" i="95"/>
  <c r="BT44" i="95"/>
  <c r="BT43" i="95"/>
  <c r="BT42" i="95"/>
  <c r="BT41" i="95"/>
  <c r="BT40" i="95"/>
  <c r="BT39" i="95"/>
  <c r="BT38" i="95"/>
  <c r="BT37" i="95"/>
  <c r="BT36" i="95"/>
  <c r="BT35" i="95"/>
  <c r="BT34" i="95"/>
  <c r="BT33" i="95"/>
  <c r="BT32" i="95"/>
  <c r="BT31" i="95"/>
  <c r="BT30" i="95"/>
  <c r="BT29" i="95"/>
  <c r="BT28" i="95"/>
  <c r="BT27" i="95"/>
  <c r="BT26" i="95"/>
  <c r="BT25" i="95"/>
  <c r="BT24" i="95"/>
  <c r="BT23" i="95"/>
  <c r="BT22" i="95"/>
  <c r="BT21" i="95"/>
  <c r="BT20" i="95"/>
  <c r="BT19" i="95"/>
  <c r="BT18" i="95"/>
  <c r="BT17" i="95"/>
  <c r="BT16" i="95"/>
  <c r="BT15" i="95"/>
  <c r="B40" i="59" l="1"/>
  <c r="AB40" i="59"/>
  <c r="AO40" i="59"/>
  <c r="AP40" i="59"/>
  <c r="AQ40" i="59"/>
  <c r="AS40" i="59"/>
  <c r="AT40" i="59"/>
  <c r="AV40" i="59"/>
  <c r="AX40" i="59"/>
  <c r="AN40" i="59" s="1"/>
  <c r="AY40" i="59"/>
  <c r="BA40" i="59"/>
  <c r="BB40" i="59"/>
  <c r="BG40" i="59"/>
  <c r="BI40" i="59"/>
  <c r="BN40" i="59"/>
  <c r="BO40" i="59" s="1"/>
  <c r="BR40" i="59" s="1"/>
  <c r="F21" i="58"/>
  <c r="G21" i="58"/>
  <c r="Q21" i="58"/>
  <c r="F20" i="58"/>
  <c r="G20" i="58"/>
  <c r="Q20" i="58"/>
  <c r="A20" i="58" l="1"/>
  <c r="A21" i="58"/>
  <c r="AR40" i="59"/>
  <c r="AU40" i="59"/>
  <c r="BQ40" i="59"/>
  <c r="AD21" i="58"/>
  <c r="AB21" i="58" s="1"/>
  <c r="AD20" i="58"/>
  <c r="AB20" i="58" s="1"/>
  <c r="BP40" i="59" l="1"/>
  <c r="BV40" i="59" s="1"/>
  <c r="BS40" i="59"/>
  <c r="B39" i="59" l="1"/>
  <c r="AB39" i="59"/>
  <c r="AO39" i="59"/>
  <c r="AP39" i="59"/>
  <c r="AQ39" i="59"/>
  <c r="AS39" i="59"/>
  <c r="AT39" i="59"/>
  <c r="AV39" i="59"/>
  <c r="AX39" i="59"/>
  <c r="AN39" i="59" s="1"/>
  <c r="AY39" i="59"/>
  <c r="BA39" i="59"/>
  <c r="BB39" i="59"/>
  <c r="BG39" i="59"/>
  <c r="BI39" i="59"/>
  <c r="BN39" i="59"/>
  <c r="BO39" i="59" s="1"/>
  <c r="BQ39" i="59" s="1"/>
  <c r="AR39" i="59" l="1"/>
  <c r="AU39" i="59"/>
  <c r="BP39" i="59"/>
  <c r="BV39" i="59" s="1"/>
  <c r="BR39" i="59"/>
  <c r="BS39" i="59" s="1"/>
  <c r="S13" i="148" l="1"/>
  <c r="W11" i="146"/>
  <c r="AE16" i="145"/>
  <c r="AJ16" i="128"/>
  <c r="F109" i="8" l="1"/>
  <c r="F108" i="8"/>
  <c r="F107" i="8"/>
  <c r="F106" i="8"/>
  <c r="F105" i="8"/>
  <c r="F104" i="8"/>
  <c r="F103" i="8"/>
  <c r="D19" i="107" l="1"/>
  <c r="E19" i="107" l="1"/>
  <c r="F19" i="107"/>
  <c r="G19" i="107"/>
  <c r="H19" i="107"/>
  <c r="I19" i="107"/>
  <c r="J19" i="107"/>
  <c r="K19" i="107"/>
  <c r="L19" i="107"/>
  <c r="M19" i="107"/>
  <c r="N19" i="107"/>
  <c r="O19" i="107"/>
  <c r="P19" i="107"/>
  <c r="A23" i="107" l="1"/>
  <c r="A22" i="107"/>
  <c r="A18" i="107"/>
  <c r="M8" i="127" l="1"/>
  <c r="Q19" i="58" l="1"/>
  <c r="Q18" i="58"/>
  <c r="Q17" i="58"/>
  <c r="Q16" i="58"/>
  <c r="Q15" i="58"/>
  <c r="Q14" i="58"/>
  <c r="Q13" i="58"/>
  <c r="Q12" i="58"/>
  <c r="Q10" i="58"/>
  <c r="Q11" i="58"/>
  <c r="I69" i="35" l="1"/>
  <c r="H69" i="35"/>
  <c r="G69" i="35"/>
  <c r="F69" i="35"/>
  <c r="E69" i="35"/>
  <c r="I68" i="35"/>
  <c r="G68" i="35"/>
  <c r="F68" i="35"/>
  <c r="E68" i="35"/>
  <c r="J69" i="35" l="1"/>
  <c r="J68" i="35"/>
  <c r="D13" i="107"/>
  <c r="D12" i="107" s="1"/>
  <c r="E109" i="8" l="1"/>
  <c r="D109" i="8" s="1"/>
  <c r="E108" i="8"/>
  <c r="E107" i="8"/>
  <c r="D107" i="8" s="1"/>
  <c r="E103" i="8"/>
  <c r="E104" i="8"/>
  <c r="D104" i="8" s="1"/>
  <c r="E105" i="8"/>
  <c r="D105" i="8" l="1"/>
  <c r="D108" i="8"/>
  <c r="D103" i="8"/>
  <c r="E106" i="8"/>
  <c r="D106" i="8" l="1"/>
  <c r="E60" i="136"/>
  <c r="A60" i="136" s="1"/>
  <c r="D57" i="134"/>
  <c r="A57" i="134" s="1"/>
  <c r="J57" i="134"/>
  <c r="L57" i="134" s="1"/>
  <c r="O57" i="134"/>
  <c r="P57" i="134"/>
  <c r="P62" i="141" l="1"/>
  <c r="S62" i="141" s="1"/>
  <c r="W62" i="141" l="1"/>
  <c r="V62" i="141"/>
  <c r="R63" i="141"/>
  <c r="Q63" i="141"/>
  <c r="I63" i="141"/>
  <c r="AL63" i="141" s="1"/>
  <c r="J63" i="141"/>
  <c r="AM63" i="141" s="1"/>
  <c r="K63" i="141"/>
  <c r="L63" i="141"/>
  <c r="M63" i="141"/>
  <c r="AO63" i="141" s="1"/>
  <c r="N63" i="141"/>
  <c r="O63" i="141"/>
  <c r="H63" i="141"/>
  <c r="AK63" i="141" s="1"/>
  <c r="F63" i="141"/>
  <c r="E63" i="141"/>
  <c r="D63" i="141"/>
  <c r="E248" i="13" s="1"/>
  <c r="AN63" i="141" l="1"/>
  <c r="Y44" i="141"/>
  <c r="AF44" i="141" s="1"/>
  <c r="P66" i="141"/>
  <c r="S66" i="141" s="1"/>
  <c r="G66" i="141"/>
  <c r="P65" i="141"/>
  <c r="S65" i="141" s="1"/>
  <c r="G65" i="141"/>
  <c r="P64" i="141"/>
  <c r="G64" i="141"/>
  <c r="G63" i="141"/>
  <c r="V66" i="141" l="1"/>
  <c r="P63" i="141"/>
  <c r="F248" i="13" s="1"/>
  <c r="S64" i="141"/>
  <c r="S63" i="141" s="1"/>
  <c r="V65" i="141"/>
  <c r="E199" i="8"/>
  <c r="E198" i="8"/>
  <c r="V64" i="141" l="1"/>
  <c r="X21" i="76" l="1"/>
  <c r="AV11" i="60"/>
  <c r="AV15" i="60"/>
  <c r="AV12" i="60"/>
  <c r="AV16" i="60"/>
  <c r="AV17" i="60"/>
  <c r="AV13" i="60"/>
  <c r="AV14" i="60"/>
  <c r="AV10" i="60"/>
  <c r="F25" i="117"/>
  <c r="AV25" i="117" s="1"/>
  <c r="AW25" i="117" s="1"/>
  <c r="K25" i="117"/>
  <c r="G25" i="117"/>
  <c r="H25" i="117"/>
  <c r="E25" i="117"/>
  <c r="J25" i="117"/>
  <c r="BB25" i="117" s="1"/>
  <c r="D25" i="117"/>
  <c r="AJ20" i="77"/>
  <c r="D24" i="117"/>
  <c r="F24" i="117"/>
  <c r="AV24" i="117" s="1"/>
  <c r="AW24" i="117" s="1"/>
  <c r="H24" i="117"/>
  <c r="K24" i="117"/>
  <c r="E24" i="117"/>
  <c r="G24" i="117"/>
  <c r="J24" i="117"/>
  <c r="BB24" i="117" s="1"/>
  <c r="AX25" i="117" l="1"/>
  <c r="AZ25" i="117"/>
  <c r="AY25" i="117"/>
  <c r="AY24" i="117"/>
  <c r="AX24" i="117"/>
  <c r="AZ24" i="117"/>
  <c r="AI24" i="117"/>
  <c r="BA24" i="117"/>
  <c r="AI25" i="117"/>
  <c r="BA25" i="117"/>
  <c r="AO24" i="117"/>
  <c r="AS24" i="117" s="1"/>
  <c r="AQ24" i="117"/>
  <c r="AU24" i="117" s="1"/>
  <c r="AN24" i="117"/>
  <c r="AR24" i="117" s="1"/>
  <c r="AP24" i="117"/>
  <c r="AT24" i="117" s="1"/>
  <c r="AO25" i="117"/>
  <c r="AS25" i="117" s="1"/>
  <c r="AQ25" i="117"/>
  <c r="AU25" i="117" s="1"/>
  <c r="AN25" i="117"/>
  <c r="AR25" i="117" s="1"/>
  <c r="AP25" i="117"/>
  <c r="AT25" i="117" s="1"/>
  <c r="AG24" i="117"/>
  <c r="AG25" i="117"/>
  <c r="A27" i="75"/>
  <c r="AG27" i="75"/>
  <c r="AH27" i="75"/>
  <c r="A21" i="76"/>
  <c r="A24" i="117"/>
  <c r="A25" i="117"/>
  <c r="L9" i="50" l="1"/>
  <c r="AD11" i="77" l="1"/>
  <c r="AG9" i="71" l="1"/>
  <c r="D415" i="8" l="1"/>
  <c r="D418" i="8" l="1"/>
  <c r="R10" i="77" l="1"/>
  <c r="S10" i="77"/>
  <c r="T10" i="77"/>
  <c r="U10" i="77"/>
  <c r="V10" i="77"/>
  <c r="W10" i="77"/>
  <c r="X10" i="77"/>
  <c r="Y10" i="77"/>
  <c r="Z10" i="77"/>
  <c r="AA10" i="77"/>
  <c r="AB10" i="77"/>
  <c r="AC10" i="77"/>
  <c r="Q10" i="77"/>
  <c r="F72" i="8" l="1"/>
  <c r="D69" i="36" l="1"/>
  <c r="D419" i="8" l="1"/>
  <c r="F75" i="8" l="1"/>
  <c r="F73" i="8"/>
  <c r="S8" i="127"/>
  <c r="G257" i="8" l="1"/>
  <c r="D257" i="8" s="1"/>
  <c r="AP47" i="95"/>
  <c r="AR47" i="95"/>
  <c r="AT47" i="95"/>
  <c r="AU47" i="95"/>
  <c r="AW47" i="95"/>
  <c r="AX47" i="95"/>
  <c r="AZ47" i="95"/>
  <c r="BF47" i="95"/>
  <c r="BG47" i="95"/>
  <c r="BJ47" i="95"/>
  <c r="BM47" i="95"/>
  <c r="BO47" i="95"/>
  <c r="BQ47" i="95"/>
  <c r="BR47" i="95"/>
  <c r="BS47" i="95"/>
  <c r="AP46" i="95"/>
  <c r="AR46" i="95"/>
  <c r="AT46" i="95"/>
  <c r="AU46" i="95"/>
  <c r="AW46" i="95"/>
  <c r="AX46" i="95"/>
  <c r="AZ46" i="95"/>
  <c r="BF46" i="95"/>
  <c r="BG46" i="95"/>
  <c r="BJ46" i="95"/>
  <c r="BM46" i="95"/>
  <c r="BO46" i="95"/>
  <c r="BQ46" i="95"/>
  <c r="BR46" i="95"/>
  <c r="BS46" i="95"/>
  <c r="AY46" i="95" l="1"/>
  <c r="AY47" i="95"/>
  <c r="BP46" i="95"/>
  <c r="D335" i="8"/>
  <c r="BP47" i="95"/>
  <c r="G259" i="8"/>
  <c r="D259" i="8" s="1"/>
  <c r="BC47" i="95"/>
  <c r="BC46" i="95"/>
  <c r="A34" i="116" l="1"/>
  <c r="A13" i="109" l="1"/>
  <c r="AC46" i="116" l="1"/>
  <c r="AC47" i="116"/>
  <c r="AC48" i="116"/>
  <c r="AC49" i="116"/>
  <c r="AC50" i="116"/>
  <c r="AC51" i="116"/>
  <c r="AC52" i="116"/>
  <c r="AC53" i="116"/>
  <c r="AC54" i="116"/>
  <c r="AC55" i="116"/>
  <c r="AC56" i="116"/>
  <c r="AC57" i="116"/>
  <c r="AC58" i="116"/>
  <c r="AC59" i="116"/>
  <c r="AC60" i="116"/>
  <c r="AC61" i="116"/>
  <c r="AC62" i="116"/>
  <c r="AC45" i="116"/>
  <c r="R34" i="160" l="1"/>
  <c r="O34" i="160" l="1"/>
  <c r="AE13" i="80" l="1"/>
  <c r="AE14" i="80"/>
  <c r="AE15" i="80"/>
  <c r="AE16" i="80"/>
  <c r="AE17" i="80"/>
  <c r="AE18" i="80"/>
  <c r="AE19" i="80"/>
  <c r="AE20" i="80"/>
  <c r="AE21" i="80"/>
  <c r="AE12" i="80"/>
  <c r="AE9" i="80" l="1"/>
  <c r="D190" i="8" s="1"/>
  <c r="N12" i="80"/>
  <c r="T13" i="80"/>
  <c r="AF13" i="80" s="1"/>
  <c r="V13" i="80" l="1"/>
  <c r="E59" i="136"/>
  <c r="A59" i="136" s="1"/>
  <c r="E58" i="136"/>
  <c r="A58" i="136" s="1"/>
  <c r="E57" i="136"/>
  <c r="A57" i="136" s="1"/>
  <c r="E56" i="136"/>
  <c r="A56" i="136" s="1"/>
  <c r="E55" i="136"/>
  <c r="A55" i="136" s="1"/>
  <c r="E54" i="136"/>
  <c r="A54" i="136" s="1"/>
  <c r="E53" i="136"/>
  <c r="A53" i="136" s="1"/>
  <c r="E52" i="136"/>
  <c r="A52" i="136" s="1"/>
  <c r="E51" i="136"/>
  <c r="A51" i="136" s="1"/>
  <c r="E50" i="136"/>
  <c r="A50" i="136" s="1"/>
  <c r="BS16" i="95" l="1"/>
  <c r="BS17" i="95"/>
  <c r="BS18" i="95"/>
  <c r="BS19" i="95"/>
  <c r="BS20" i="95"/>
  <c r="BS21" i="95"/>
  <c r="BS22" i="95"/>
  <c r="BS23" i="95"/>
  <c r="BS24" i="95"/>
  <c r="BS25" i="95"/>
  <c r="BS26" i="95"/>
  <c r="BS27" i="95"/>
  <c r="BS28" i="95"/>
  <c r="BS29" i="95"/>
  <c r="BS30" i="95"/>
  <c r="BS31" i="95"/>
  <c r="BS32" i="95"/>
  <c r="BS33" i="95"/>
  <c r="BS34" i="95"/>
  <c r="BS35" i="95"/>
  <c r="BS36" i="95"/>
  <c r="BS37" i="95"/>
  <c r="BS38" i="95"/>
  <c r="BS39" i="95"/>
  <c r="BS40" i="95"/>
  <c r="BS41" i="95"/>
  <c r="BS42" i="95"/>
  <c r="BS43" i="95"/>
  <c r="BS44" i="95"/>
  <c r="BS45" i="95"/>
  <c r="BS15" i="95"/>
  <c r="BQ15" i="95" l="1"/>
  <c r="BG15" i="95"/>
  <c r="V44" i="116" l="1"/>
  <c r="F17" i="116"/>
  <c r="H17" i="116"/>
  <c r="G16" i="116"/>
  <c r="AC34" i="116"/>
  <c r="AC44" i="116"/>
  <c r="S34" i="116"/>
  <c r="W34" i="116" s="1"/>
  <c r="K34" i="116"/>
  <c r="BS6" i="95" l="1"/>
  <c r="AF9" i="71" l="1"/>
  <c r="AF10" i="71"/>
  <c r="AF11" i="71"/>
  <c r="AF12" i="71"/>
  <c r="AF13" i="71"/>
  <c r="AF14" i="71"/>
  <c r="AF15" i="71"/>
  <c r="W14" i="76"/>
  <c r="W15" i="76"/>
  <c r="W16" i="76"/>
  <c r="W17" i="76"/>
  <c r="W18" i="76"/>
  <c r="W19" i="76"/>
  <c r="W20" i="76"/>
  <c r="W13" i="76"/>
  <c r="D359" i="8" l="1"/>
  <c r="D368" i="8"/>
  <c r="BE14" i="100"/>
  <c r="BE15" i="100"/>
  <c r="BE16" i="100"/>
  <c r="BE17" i="100"/>
  <c r="BE18" i="100"/>
  <c r="BE19" i="100"/>
  <c r="BE20" i="100"/>
  <c r="BE21" i="100"/>
  <c r="BD14" i="99"/>
  <c r="BD15" i="99"/>
  <c r="BD16" i="99"/>
  <c r="BD17" i="99"/>
  <c r="BD18" i="99"/>
  <c r="BD19" i="99"/>
  <c r="D50" i="141" l="1"/>
  <c r="Q13" i="109" l="1"/>
  <c r="S13" i="109" s="1"/>
  <c r="F13" i="109"/>
  <c r="V13" i="109" l="1"/>
  <c r="F50" i="8" l="1"/>
  <c r="F93" i="8" l="1"/>
  <c r="Y33" i="160" l="1"/>
  <c r="D447" i="8" s="1"/>
  <c r="B10" i="71" l="1"/>
  <c r="B11" i="71"/>
  <c r="B12" i="71"/>
  <c r="B13" i="71"/>
  <c r="B14" i="71"/>
  <c r="B15" i="71"/>
  <c r="B9" i="71"/>
  <c r="F2" i="71" l="1"/>
  <c r="B11" i="94"/>
  <c r="B12" i="94"/>
  <c r="B13" i="94"/>
  <c r="B14" i="94"/>
  <c r="B15" i="94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F2" i="94" l="1"/>
  <c r="D4" i="59"/>
  <c r="BY16" i="95" l="1"/>
  <c r="BY18" i="95"/>
  <c r="BY20" i="95"/>
  <c r="BY22" i="95"/>
  <c r="BY24" i="95"/>
  <c r="BY26" i="95"/>
  <c r="BY28" i="95"/>
  <c r="BY30" i="95"/>
  <c r="BY32" i="95"/>
  <c r="BY34" i="95"/>
  <c r="BY36" i="95"/>
  <c r="BY38" i="95"/>
  <c r="BY40" i="95"/>
  <c r="BY42" i="95"/>
  <c r="BY44" i="95"/>
  <c r="BY46" i="95"/>
  <c r="BY48" i="95"/>
  <c r="BY17" i="95"/>
  <c r="BY19" i="95"/>
  <c r="BY21" i="95"/>
  <c r="BY23" i="95"/>
  <c r="BY25" i="95"/>
  <c r="BY27" i="95"/>
  <c r="BY29" i="95"/>
  <c r="BY31" i="95"/>
  <c r="BY33" i="95"/>
  <c r="BY35" i="95"/>
  <c r="BY37" i="95"/>
  <c r="BY39" i="95"/>
  <c r="BY41" i="95"/>
  <c r="BY43" i="95"/>
  <c r="BY45" i="95"/>
  <c r="BY47" i="95"/>
  <c r="BY15" i="95"/>
  <c r="BD42" i="59"/>
  <c r="BC42" i="59"/>
  <c r="BX48" i="95"/>
  <c r="BD41" i="59"/>
  <c r="BC41" i="59"/>
  <c r="BX16" i="95"/>
  <c r="BX17" i="95"/>
  <c r="BX18" i="95"/>
  <c r="BX19" i="95"/>
  <c r="BX20" i="95"/>
  <c r="BX21" i="95"/>
  <c r="BX22" i="95"/>
  <c r="BX23" i="95"/>
  <c r="BX24" i="95"/>
  <c r="BX25" i="95"/>
  <c r="BX26" i="95"/>
  <c r="BX27" i="95"/>
  <c r="BX28" i="95"/>
  <c r="BX29" i="95"/>
  <c r="BX30" i="95"/>
  <c r="BX31" i="95"/>
  <c r="BX32" i="95"/>
  <c r="BX33" i="95"/>
  <c r="BX34" i="95"/>
  <c r="BX35" i="95"/>
  <c r="BX36" i="95"/>
  <c r="BX37" i="95"/>
  <c r="BX38" i="95"/>
  <c r="BX39" i="95"/>
  <c r="BX40" i="95"/>
  <c r="BX41" i="95"/>
  <c r="BX42" i="95"/>
  <c r="BX43" i="95"/>
  <c r="BX44" i="95"/>
  <c r="BX45" i="95"/>
  <c r="BX46" i="95"/>
  <c r="BX47" i="95"/>
  <c r="BX15" i="95"/>
  <c r="BD40" i="59"/>
  <c r="BC40" i="59"/>
  <c r="BD39" i="59"/>
  <c r="BC39" i="59"/>
  <c r="D452" i="8"/>
  <c r="BE42" i="59" l="1"/>
  <c r="BE41" i="59"/>
  <c r="BE39" i="59"/>
  <c r="BE40" i="59"/>
  <c r="AP45" i="95"/>
  <c r="AR45" i="95"/>
  <c r="AT45" i="95"/>
  <c r="AU45" i="95"/>
  <c r="AW45" i="95"/>
  <c r="AX45" i="95"/>
  <c r="AZ45" i="95"/>
  <c r="BF45" i="95"/>
  <c r="BG45" i="95"/>
  <c r="BJ45" i="95"/>
  <c r="BM45" i="95"/>
  <c r="BO45" i="95"/>
  <c r="BQ45" i="95"/>
  <c r="BR45" i="95"/>
  <c r="AP44" i="95"/>
  <c r="AR44" i="95"/>
  <c r="AT44" i="95"/>
  <c r="AU44" i="95"/>
  <c r="AW44" i="95"/>
  <c r="AX44" i="95"/>
  <c r="AZ44" i="95"/>
  <c r="BF44" i="95"/>
  <c r="BG44" i="95"/>
  <c r="BJ44" i="95"/>
  <c r="BM44" i="95"/>
  <c r="BO44" i="95"/>
  <c r="BQ44" i="95"/>
  <c r="BR44" i="95"/>
  <c r="AY44" i="95" l="1"/>
  <c r="AY45" i="95"/>
  <c r="BC44" i="95"/>
  <c r="BP44" i="95"/>
  <c r="BP45" i="95"/>
  <c r="BC45" i="95"/>
  <c r="D448" i="8" l="1"/>
  <c r="H7" i="70" l="1"/>
  <c r="O35" i="160" l="1"/>
  <c r="O36" i="160"/>
  <c r="O37" i="160"/>
  <c r="S33" i="160" l="1"/>
  <c r="O33" i="160"/>
  <c r="K22" i="23"/>
  <c r="K10" i="23"/>
  <c r="K9" i="23" l="1"/>
  <c r="K69" i="37" l="1"/>
  <c r="K8" i="37" s="1"/>
  <c r="BF9" i="59" l="1"/>
  <c r="D424" i="8" s="1"/>
  <c r="BR43" i="95" l="1"/>
  <c r="BR42" i="95"/>
  <c r="BR41" i="95"/>
  <c r="BR40" i="95"/>
  <c r="BR39" i="95"/>
  <c r="BR38" i="95"/>
  <c r="BR37" i="95"/>
  <c r="BR36" i="95"/>
  <c r="BR35" i="95"/>
  <c r="BR34" i="95"/>
  <c r="BR33" i="95"/>
  <c r="BR32" i="95"/>
  <c r="BR31" i="95"/>
  <c r="BR30" i="95"/>
  <c r="BR29" i="95"/>
  <c r="BR28" i="95"/>
  <c r="BR27" i="95"/>
  <c r="BR26" i="95"/>
  <c r="BR25" i="95"/>
  <c r="BR24" i="95"/>
  <c r="BR23" i="95"/>
  <c r="BR22" i="95"/>
  <c r="BR21" i="95"/>
  <c r="BR20" i="95"/>
  <c r="BR19" i="95"/>
  <c r="BR18" i="95"/>
  <c r="BR17" i="95"/>
  <c r="BR16" i="95"/>
  <c r="BR15" i="95"/>
  <c r="BR6" i="95" l="1"/>
  <c r="A17" i="106"/>
  <c r="N17" i="106"/>
  <c r="R17" i="106"/>
  <c r="Y17" i="106"/>
  <c r="Z17" i="106"/>
  <c r="AD17" i="106"/>
  <c r="D420" i="8" l="1"/>
  <c r="AF11" i="162"/>
  <c r="AF12" i="162"/>
  <c r="AF13" i="162"/>
  <c r="AF14" i="162"/>
  <c r="AF15" i="162"/>
  <c r="AF16" i="162"/>
  <c r="AF17" i="162"/>
  <c r="AF18" i="162"/>
  <c r="AF19" i="162"/>
  <c r="AF20" i="162"/>
  <c r="AF21" i="162"/>
  <c r="AF22" i="162"/>
  <c r="AF23" i="162"/>
  <c r="AF24" i="162"/>
  <c r="AF25" i="162"/>
  <c r="AF26" i="162"/>
  <c r="AF27" i="162"/>
  <c r="AF28" i="162"/>
  <c r="AF29" i="162"/>
  <c r="AF30" i="162"/>
  <c r="AF31" i="162"/>
  <c r="AF32" i="162"/>
  <c r="AF33" i="162"/>
  <c r="AF34" i="162"/>
  <c r="AF35" i="162"/>
  <c r="AF36" i="162"/>
  <c r="AF37" i="162"/>
  <c r="AF38" i="162"/>
  <c r="AF39" i="162"/>
  <c r="AF40" i="162"/>
  <c r="AF41" i="162"/>
  <c r="AF42" i="162"/>
  <c r="AF43" i="162"/>
  <c r="AF44" i="162"/>
  <c r="AF45" i="162"/>
  <c r="AF46" i="162"/>
  <c r="AF47" i="162"/>
  <c r="AF48" i="162"/>
  <c r="AF49" i="162"/>
  <c r="AF50" i="162"/>
  <c r="AF51" i="162"/>
  <c r="AF52" i="162"/>
  <c r="AF53" i="162"/>
  <c r="AF54" i="162"/>
  <c r="AF55" i="162"/>
  <c r="AF56" i="162"/>
  <c r="AF57" i="162"/>
  <c r="AF58" i="162"/>
  <c r="AF59" i="162"/>
  <c r="AF60" i="162"/>
  <c r="AF61" i="162"/>
  <c r="AF10" i="162"/>
  <c r="AB13" i="80" l="1"/>
  <c r="AB14" i="80"/>
  <c r="AB15" i="80"/>
  <c r="AB16" i="80"/>
  <c r="AB17" i="80"/>
  <c r="AB18" i="80"/>
  <c r="AB19" i="80"/>
  <c r="AB20" i="80"/>
  <c r="AB21" i="80"/>
  <c r="AB12" i="80"/>
  <c r="AB9" i="80" l="1"/>
  <c r="D189" i="8" s="1"/>
  <c r="D421" i="8" l="1"/>
  <c r="U17" i="85" l="1"/>
  <c r="V17" i="85"/>
  <c r="W17" i="85"/>
  <c r="S19" i="87"/>
  <c r="T19" i="87"/>
  <c r="U19" i="87"/>
  <c r="U11" i="87"/>
  <c r="U12" i="87"/>
  <c r="U13" i="87"/>
  <c r="U14" i="87"/>
  <c r="U15" i="87"/>
  <c r="U16" i="87"/>
  <c r="U17" i="87"/>
  <c r="U18" i="87"/>
  <c r="W11" i="85"/>
  <c r="W12" i="85"/>
  <c r="W13" i="85"/>
  <c r="W14" i="85"/>
  <c r="W15" i="85"/>
  <c r="W16" i="85"/>
  <c r="W10" i="85"/>
  <c r="W9" i="85" l="1"/>
  <c r="AP62" i="116"/>
  <c r="AP61" i="116"/>
  <c r="AP60" i="116"/>
  <c r="AP59" i="116"/>
  <c r="AP58" i="116"/>
  <c r="AP57" i="116"/>
  <c r="AP56" i="116"/>
  <c r="AP55" i="116"/>
  <c r="AP54" i="116"/>
  <c r="AP53" i="116"/>
  <c r="AP52" i="116"/>
  <c r="AP51" i="116"/>
  <c r="AP50" i="116"/>
  <c r="AP49" i="116"/>
  <c r="AP48" i="116"/>
  <c r="AP47" i="116"/>
  <c r="AP46" i="116"/>
  <c r="BF15" i="95"/>
  <c r="AW15" i="95"/>
  <c r="BF17" i="95"/>
  <c r="AW18" i="95"/>
  <c r="AW19" i="95"/>
  <c r="AW43" i="95"/>
  <c r="AW42" i="95"/>
  <c r="AW41" i="95"/>
  <c r="AW40" i="95"/>
  <c r="AW39" i="95"/>
  <c r="AW38" i="95"/>
  <c r="AW37" i="95"/>
  <c r="AW36" i="95"/>
  <c r="AW35" i="95"/>
  <c r="AW34" i="95"/>
  <c r="AW33" i="95"/>
  <c r="AW32" i="95"/>
  <c r="AW31" i="95"/>
  <c r="AW30" i="95"/>
  <c r="AW29" i="95"/>
  <c r="AW28" i="95"/>
  <c r="AW27" i="95"/>
  <c r="AW26" i="95"/>
  <c r="AW25" i="95"/>
  <c r="AW24" i="95"/>
  <c r="AW23" i="95"/>
  <c r="AW22" i="95"/>
  <c r="AW21" i="95"/>
  <c r="AW20" i="95"/>
  <c r="AW17" i="95"/>
  <c r="AW16" i="95"/>
  <c r="BF20" i="95"/>
  <c r="BF43" i="95"/>
  <c r="BF42" i="95"/>
  <c r="BF41" i="95"/>
  <c r="BF40" i="95"/>
  <c r="BF39" i="95"/>
  <c r="BF38" i="95"/>
  <c r="BF37" i="95"/>
  <c r="BF36" i="95"/>
  <c r="BF35" i="95"/>
  <c r="BF34" i="95"/>
  <c r="BF33" i="95"/>
  <c r="BF32" i="95"/>
  <c r="BF31" i="95"/>
  <c r="BF30" i="95"/>
  <c r="BF29" i="95"/>
  <c r="BF28" i="95"/>
  <c r="BF27" i="95"/>
  <c r="BF26" i="95"/>
  <c r="BF25" i="95"/>
  <c r="BF24" i="95"/>
  <c r="BF23" i="95"/>
  <c r="BF22" i="95"/>
  <c r="BF21" i="95"/>
  <c r="BF19" i="95"/>
  <c r="BF18" i="95"/>
  <c r="BF16" i="95"/>
  <c r="AG10" i="95"/>
  <c r="AF10" i="95"/>
  <c r="AE10" i="95"/>
  <c r="AD10" i="95"/>
  <c r="AC10" i="95"/>
  <c r="V10" i="95"/>
  <c r="P10" i="95"/>
  <c r="AW6" i="95" l="1"/>
  <c r="BF6" i="95"/>
  <c r="AM6" i="95" l="1"/>
  <c r="BQ16" i="95"/>
  <c r="BQ17" i="95"/>
  <c r="BQ18" i="95"/>
  <c r="BQ19" i="95"/>
  <c r="BQ20" i="95"/>
  <c r="BQ21" i="95"/>
  <c r="BQ22" i="95"/>
  <c r="BQ23" i="95"/>
  <c r="BQ24" i="95"/>
  <c r="BQ25" i="95"/>
  <c r="BQ26" i="95"/>
  <c r="BQ27" i="95"/>
  <c r="BQ28" i="95"/>
  <c r="BQ29" i="95"/>
  <c r="BQ30" i="95"/>
  <c r="BQ31" i="95"/>
  <c r="BQ32" i="95"/>
  <c r="BQ33" i="95"/>
  <c r="BQ34" i="95"/>
  <c r="BQ35" i="95"/>
  <c r="BQ36" i="95"/>
  <c r="BQ37" i="95"/>
  <c r="BQ38" i="95"/>
  <c r="BQ39" i="95"/>
  <c r="BQ40" i="95"/>
  <c r="BQ41" i="95"/>
  <c r="BQ42" i="95"/>
  <c r="BQ43" i="95"/>
  <c r="E129" i="13"/>
  <c r="F14" i="9" s="1"/>
  <c r="E131" i="13"/>
  <c r="E130" i="13"/>
  <c r="BQ6" i="95" l="1"/>
  <c r="A13" i="106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57" i="11"/>
  <c r="A55" i="11"/>
  <c r="A52" i="11"/>
  <c r="A51" i="11"/>
  <c r="A50" i="11"/>
  <c r="A49" i="11"/>
  <c r="A46" i="11"/>
  <c r="A45" i="11"/>
  <c r="A43" i="11"/>
  <c r="A44" i="11"/>
  <c r="A42" i="11"/>
  <c r="A41" i="11"/>
  <c r="A36" i="11"/>
  <c r="A35" i="11"/>
  <c r="A34" i="11"/>
  <c r="A33" i="11"/>
  <c r="A32" i="11"/>
  <c r="A29" i="11"/>
  <c r="A28" i="11"/>
  <c r="A27" i="11"/>
  <c r="A26" i="11"/>
  <c r="A25" i="11"/>
  <c r="A20" i="11"/>
  <c r="A19" i="11"/>
  <c r="A18" i="11"/>
  <c r="A17" i="11"/>
  <c r="A16" i="11"/>
  <c r="A13" i="11"/>
  <c r="A12" i="11"/>
  <c r="A11" i="11"/>
  <c r="A10" i="11"/>
  <c r="A61" i="11"/>
  <c r="A12" i="106" l="1"/>
  <c r="A14" i="106"/>
  <c r="A15" i="106"/>
  <c r="A16" i="106"/>
  <c r="A31" i="10"/>
  <c r="A30" i="10"/>
  <c r="A10" i="108"/>
  <c r="A11" i="108"/>
  <c r="A12" i="108"/>
  <c r="A13" i="108"/>
  <c r="S18" i="87" l="1"/>
  <c r="T18" i="87"/>
  <c r="U16" i="85"/>
  <c r="V16" i="85"/>
  <c r="Q10" i="55" l="1"/>
  <c r="Q11" i="55"/>
  <c r="Q12" i="55"/>
  <c r="Q13" i="55"/>
  <c r="Q14" i="55"/>
  <c r="Q9" i="55"/>
  <c r="O10" i="48"/>
  <c r="Y12" i="133" l="1"/>
  <c r="R13" i="133"/>
  <c r="R14" i="133"/>
  <c r="R15" i="133"/>
  <c r="R16" i="133"/>
  <c r="R17" i="133"/>
  <c r="R18" i="133"/>
  <c r="R19" i="133"/>
  <c r="R20" i="133"/>
  <c r="R21" i="133"/>
  <c r="R22" i="133"/>
  <c r="R12" i="133"/>
  <c r="E191" i="12" l="1"/>
  <c r="G191" i="12" s="1"/>
  <c r="E188" i="12"/>
  <c r="G188" i="12" s="1"/>
  <c r="I16" i="160"/>
  <c r="N16" i="160" s="1"/>
  <c r="AI46" i="116" l="1"/>
  <c r="AI54" i="116"/>
  <c r="AE11" i="117"/>
  <c r="BG28" i="95"/>
  <c r="AF54" i="116" l="1"/>
  <c r="AH54" i="116"/>
  <c r="AE54" i="116"/>
  <c r="AG54" i="116"/>
  <c r="J10" i="140" l="1"/>
  <c r="J11" i="140"/>
  <c r="J12" i="140"/>
  <c r="J13" i="140"/>
  <c r="J14" i="140"/>
  <c r="J15" i="140"/>
  <c r="J16" i="140"/>
  <c r="J17" i="140"/>
  <c r="J18" i="140"/>
  <c r="J19" i="140"/>
  <c r="J20" i="140"/>
  <c r="J21" i="140"/>
  <c r="J9" i="140"/>
  <c r="J8" i="140" l="1"/>
  <c r="M10" i="42"/>
  <c r="G11" i="58" l="1"/>
  <c r="G12" i="58"/>
  <c r="G13" i="58"/>
  <c r="G14" i="58"/>
  <c r="G15" i="58"/>
  <c r="G16" i="58"/>
  <c r="G17" i="58"/>
  <c r="G18" i="58"/>
  <c r="G19" i="58"/>
  <c r="F11" i="58"/>
  <c r="F12" i="58"/>
  <c r="F13" i="58"/>
  <c r="F14" i="58"/>
  <c r="F15" i="58"/>
  <c r="F16" i="58"/>
  <c r="F17" i="58"/>
  <c r="F18" i="58"/>
  <c r="F19" i="58"/>
  <c r="G10" i="58"/>
  <c r="F10" i="58"/>
  <c r="AZ16" i="95"/>
  <c r="AZ17" i="95"/>
  <c r="AZ18" i="95"/>
  <c r="AZ19" i="95"/>
  <c r="AZ20" i="95"/>
  <c r="AZ21" i="95"/>
  <c r="AZ22" i="95"/>
  <c r="AZ23" i="95"/>
  <c r="AZ24" i="95"/>
  <c r="AZ25" i="95"/>
  <c r="AZ26" i="95"/>
  <c r="AZ27" i="95"/>
  <c r="AZ28" i="95"/>
  <c r="AZ29" i="95"/>
  <c r="AZ30" i="95"/>
  <c r="AZ31" i="95"/>
  <c r="AZ32" i="95"/>
  <c r="AZ33" i="95"/>
  <c r="AZ34" i="95"/>
  <c r="AZ35" i="95"/>
  <c r="AZ36" i="95"/>
  <c r="AZ37" i="95"/>
  <c r="AZ38" i="95"/>
  <c r="AZ39" i="95"/>
  <c r="AZ40" i="95"/>
  <c r="AZ41" i="95"/>
  <c r="AZ42" i="95"/>
  <c r="AZ43" i="95"/>
  <c r="AZ15" i="95"/>
  <c r="A10" i="58" l="1"/>
  <c r="A17" i="58"/>
  <c r="A13" i="58"/>
  <c r="A19" i="58"/>
  <c r="A15" i="58"/>
  <c r="A11" i="58"/>
  <c r="A18" i="58"/>
  <c r="A14" i="58"/>
  <c r="A16" i="58"/>
  <c r="A12" i="58"/>
  <c r="AZ6" i="95"/>
  <c r="Z12" i="91"/>
  <c r="Z13" i="91"/>
  <c r="Z14" i="91"/>
  <c r="Z15" i="91"/>
  <c r="Z16" i="91"/>
  <c r="Z17" i="91"/>
  <c r="Z18" i="91"/>
  <c r="Z11" i="91"/>
  <c r="AQ46" i="116"/>
  <c r="AQ47" i="116"/>
  <c r="AQ48" i="116"/>
  <c r="AQ49" i="116"/>
  <c r="AQ50" i="116"/>
  <c r="AQ51" i="116"/>
  <c r="AQ52" i="116"/>
  <c r="AQ53" i="116"/>
  <c r="AQ54" i="116"/>
  <c r="AQ55" i="116"/>
  <c r="AQ56" i="116"/>
  <c r="AQ57" i="116"/>
  <c r="AQ58" i="116"/>
  <c r="AQ59" i="116"/>
  <c r="AQ60" i="116"/>
  <c r="AQ61" i="116"/>
  <c r="AQ62" i="116"/>
  <c r="AQ45" i="116"/>
  <c r="AC12" i="89" l="1"/>
  <c r="AC13" i="89"/>
  <c r="AC14" i="89"/>
  <c r="AC15" i="89"/>
  <c r="AC16" i="89"/>
  <c r="AC17" i="89"/>
  <c r="AC11" i="89"/>
  <c r="P8" i="28" l="1"/>
  <c r="Y11" i="33" l="1"/>
  <c r="Y12" i="33"/>
  <c r="Y13" i="33"/>
  <c r="Y10" i="33"/>
  <c r="Y15" i="121" l="1"/>
  <c r="W15" i="121"/>
  <c r="U15" i="121"/>
  <c r="S15" i="121"/>
  <c r="Q15" i="121"/>
  <c r="O15" i="121"/>
  <c r="M15" i="121"/>
  <c r="K15" i="121"/>
  <c r="I15" i="121"/>
  <c r="G15" i="121"/>
  <c r="E15" i="121"/>
  <c r="AC12" i="121" l="1"/>
  <c r="AS6" i="95" l="1"/>
  <c r="AL11" i="162" l="1"/>
  <c r="AL13" i="162"/>
  <c r="AL17" i="162"/>
  <c r="AL18" i="162"/>
  <c r="AL19" i="162"/>
  <c r="AL20" i="162"/>
  <c r="AL21" i="162"/>
  <c r="AL22" i="162"/>
  <c r="AL23" i="162"/>
  <c r="AL24" i="162"/>
  <c r="AL25" i="162"/>
  <c r="AL26" i="162"/>
  <c r="AL27" i="162"/>
  <c r="AL28" i="162"/>
  <c r="AL29" i="162"/>
  <c r="AL30" i="162"/>
  <c r="AL31" i="162"/>
  <c r="AL32" i="162"/>
  <c r="AL33" i="162"/>
  <c r="AL34" i="162"/>
  <c r="AL35" i="162"/>
  <c r="AL36" i="162"/>
  <c r="AL37" i="162"/>
  <c r="AL38" i="162"/>
  <c r="AL39" i="162"/>
  <c r="AL40" i="162"/>
  <c r="AL41" i="162"/>
  <c r="AL42" i="162"/>
  <c r="AL43" i="162"/>
  <c r="AL44" i="162"/>
  <c r="AL45" i="162"/>
  <c r="AL46" i="162"/>
  <c r="AL47" i="162"/>
  <c r="AL48" i="162"/>
  <c r="AL49" i="162"/>
  <c r="AL50" i="162"/>
  <c r="AL51" i="162"/>
  <c r="AL52" i="162"/>
  <c r="AL53" i="162"/>
  <c r="AL54" i="162"/>
  <c r="AL55" i="162"/>
  <c r="AL56" i="162"/>
  <c r="AL57" i="162"/>
  <c r="AL58" i="162"/>
  <c r="AL59" i="162"/>
  <c r="AL60" i="162"/>
  <c r="AL61" i="162"/>
  <c r="AQ43" i="162"/>
  <c r="AQ44" i="162"/>
  <c r="AQ45" i="162"/>
  <c r="AQ46" i="162"/>
  <c r="AI11" i="162" l="1"/>
  <c r="AI12" i="162"/>
  <c r="AI13" i="162"/>
  <c r="AI14" i="162"/>
  <c r="AI15" i="162"/>
  <c r="AI16" i="162"/>
  <c r="AI17" i="162"/>
  <c r="AI18" i="162"/>
  <c r="AI19" i="162"/>
  <c r="AI20" i="162"/>
  <c r="AI21" i="162"/>
  <c r="AI22" i="162"/>
  <c r="AI23" i="162"/>
  <c r="AI24" i="162"/>
  <c r="AI25" i="162"/>
  <c r="AI26" i="162"/>
  <c r="AI27" i="162"/>
  <c r="AI28" i="162"/>
  <c r="AI29" i="162"/>
  <c r="AI30" i="162"/>
  <c r="AI31" i="162"/>
  <c r="AI32" i="162"/>
  <c r="AI33" i="162"/>
  <c r="AI34" i="162"/>
  <c r="AI35" i="162"/>
  <c r="AI36" i="162"/>
  <c r="AI37" i="162"/>
  <c r="AI38" i="162"/>
  <c r="AI39" i="162"/>
  <c r="AI40" i="162"/>
  <c r="AI41" i="162"/>
  <c r="AI42" i="162"/>
  <c r="AI43" i="162"/>
  <c r="AI44" i="162"/>
  <c r="AI45" i="162"/>
  <c r="AI46" i="162"/>
  <c r="AI47" i="162"/>
  <c r="AI48" i="162"/>
  <c r="AI49" i="162"/>
  <c r="AI50" i="162"/>
  <c r="AI51" i="162"/>
  <c r="AI52" i="162"/>
  <c r="AI53" i="162"/>
  <c r="AI54" i="162"/>
  <c r="AI55" i="162"/>
  <c r="AI56" i="162"/>
  <c r="AI57" i="162"/>
  <c r="AI58" i="162"/>
  <c r="AI59" i="162"/>
  <c r="AI60" i="162"/>
  <c r="AI61" i="162"/>
  <c r="AI10" i="162"/>
  <c r="Q61" i="44" l="1"/>
  <c r="P61" i="44"/>
  <c r="O61" i="44"/>
  <c r="Q60" i="44"/>
  <c r="P60" i="44"/>
  <c r="O60" i="44"/>
  <c r="Q59" i="44"/>
  <c r="P59" i="44"/>
  <c r="O59" i="44"/>
  <c r="Q58" i="44"/>
  <c r="P58" i="44"/>
  <c r="O58" i="44"/>
  <c r="Q57" i="44"/>
  <c r="P57" i="44"/>
  <c r="O57" i="44"/>
  <c r="Q56" i="44"/>
  <c r="P56" i="44"/>
  <c r="O56" i="44"/>
  <c r="Q55" i="44"/>
  <c r="P55" i="44"/>
  <c r="D203" i="8" l="1"/>
  <c r="A61" i="44" l="1"/>
  <c r="P23" i="117" l="1"/>
  <c r="Q23" i="117"/>
  <c r="X23" i="117"/>
  <c r="AB23" i="117" s="1"/>
  <c r="AC23" i="117"/>
  <c r="AH23" i="117"/>
  <c r="P22" i="117"/>
  <c r="Q22" i="117"/>
  <c r="X22" i="117"/>
  <c r="AB22" i="117" s="1"/>
  <c r="AC22" i="117"/>
  <c r="AH22" i="117"/>
  <c r="P21" i="117"/>
  <c r="Q21" i="117"/>
  <c r="X21" i="117"/>
  <c r="AB21" i="117" s="1"/>
  <c r="AC21" i="117"/>
  <c r="AH21" i="117"/>
  <c r="P20" i="117"/>
  <c r="Q20" i="117"/>
  <c r="X20" i="117"/>
  <c r="AB20" i="117" s="1"/>
  <c r="AC20" i="117"/>
  <c r="AH20" i="117"/>
  <c r="P19" i="117"/>
  <c r="Q19" i="117"/>
  <c r="X19" i="117"/>
  <c r="AB19" i="117" s="1"/>
  <c r="AC19" i="117"/>
  <c r="AH19" i="117"/>
  <c r="P18" i="117"/>
  <c r="Q18" i="117"/>
  <c r="X18" i="117"/>
  <c r="AB18" i="117" s="1"/>
  <c r="AC18" i="117"/>
  <c r="AH18" i="117"/>
  <c r="P17" i="117"/>
  <c r="Q17" i="117"/>
  <c r="X17" i="117"/>
  <c r="AB17" i="117" s="1"/>
  <c r="AC17" i="117"/>
  <c r="AH17" i="117"/>
  <c r="P16" i="117"/>
  <c r="Q16" i="117"/>
  <c r="X16" i="117"/>
  <c r="AB16" i="117" s="1"/>
  <c r="AC16" i="117"/>
  <c r="AH16" i="117"/>
  <c r="P15" i="117"/>
  <c r="Q15" i="117"/>
  <c r="X15" i="117"/>
  <c r="AC15" i="117"/>
  <c r="AH15" i="117"/>
  <c r="P14" i="117"/>
  <c r="Q14" i="117"/>
  <c r="X14" i="117"/>
  <c r="AC14" i="117"/>
  <c r="AH14" i="117"/>
  <c r="AB15" i="117" l="1"/>
  <c r="AB14" i="117"/>
  <c r="G26" i="108"/>
  <c r="A26" i="108" s="1"/>
  <c r="K26" i="108"/>
  <c r="G25" i="108" l="1"/>
  <c r="A25" i="108" s="1"/>
  <c r="K25" i="108"/>
  <c r="A21" i="34" l="1"/>
  <c r="A20" i="34"/>
  <c r="A19" i="34"/>
  <c r="A18" i="34"/>
  <c r="A17" i="34"/>
  <c r="A16" i="34"/>
  <c r="A15" i="34"/>
  <c r="A14" i="34"/>
  <c r="A13" i="34"/>
  <c r="A11" i="34"/>
  <c r="A12" i="34"/>
  <c r="A60" i="44"/>
  <c r="G15" i="108"/>
  <c r="A15" i="108" s="1"/>
  <c r="G14" i="108"/>
  <c r="A14" i="108" s="1"/>
  <c r="BA10" i="162" l="1"/>
  <c r="BB10" i="162"/>
  <c r="BC10" i="162"/>
  <c r="BD10" i="162"/>
  <c r="BA11" i="162"/>
  <c r="BB11" i="162"/>
  <c r="BC11" i="162"/>
  <c r="BD11" i="162"/>
  <c r="BA12" i="162"/>
  <c r="BC12" i="162"/>
  <c r="BA13" i="162"/>
  <c r="BB13" i="162"/>
  <c r="BC13" i="162"/>
  <c r="BD13" i="162"/>
  <c r="BA14" i="162"/>
  <c r="BB14" i="162"/>
  <c r="BC14" i="162"/>
  <c r="BD14" i="162"/>
  <c r="BA15" i="162"/>
  <c r="BB15" i="162"/>
  <c r="BC15" i="162"/>
  <c r="BD15" i="162"/>
  <c r="BA16" i="162"/>
  <c r="BB16" i="162"/>
  <c r="BC16" i="162"/>
  <c r="BD16" i="162"/>
  <c r="BA17" i="162"/>
  <c r="BB17" i="162"/>
  <c r="BC17" i="162"/>
  <c r="BD17" i="162"/>
  <c r="BA18" i="162"/>
  <c r="BB18" i="162"/>
  <c r="BC18" i="162"/>
  <c r="BD18" i="162"/>
  <c r="BA19" i="162"/>
  <c r="BB19" i="162"/>
  <c r="BC19" i="162"/>
  <c r="BD19" i="162"/>
  <c r="BA20" i="162"/>
  <c r="BB20" i="162"/>
  <c r="BC20" i="162"/>
  <c r="BD20" i="162"/>
  <c r="BA21" i="162"/>
  <c r="BB21" i="162"/>
  <c r="BC21" i="162"/>
  <c r="BD21" i="162"/>
  <c r="BA22" i="162"/>
  <c r="BB22" i="162"/>
  <c r="BC22" i="162"/>
  <c r="BD22" i="162"/>
  <c r="BA23" i="162"/>
  <c r="BB23" i="162"/>
  <c r="BC23" i="162"/>
  <c r="BD23" i="162"/>
  <c r="BA24" i="162"/>
  <c r="BB24" i="162"/>
  <c r="BC24" i="162"/>
  <c r="BD24" i="162"/>
  <c r="BA9" i="162"/>
  <c r="BC9" i="162"/>
  <c r="AW10" i="162"/>
  <c r="AX10" i="162"/>
  <c r="AY10" i="162"/>
  <c r="AZ10" i="162"/>
  <c r="AW11" i="162"/>
  <c r="AX11" i="162"/>
  <c r="AY11" i="162"/>
  <c r="AZ11" i="162"/>
  <c r="AW12" i="162"/>
  <c r="AY12" i="162"/>
  <c r="AW13" i="162"/>
  <c r="AX13" i="162"/>
  <c r="AY13" i="162"/>
  <c r="AZ13" i="162"/>
  <c r="AW14" i="162"/>
  <c r="AX14" i="162"/>
  <c r="AY14" i="162"/>
  <c r="AZ14" i="162"/>
  <c r="AW15" i="162"/>
  <c r="AX15" i="162"/>
  <c r="AY15" i="162"/>
  <c r="AZ15" i="162"/>
  <c r="AW16" i="162"/>
  <c r="AX16" i="162"/>
  <c r="AY16" i="162"/>
  <c r="AZ16" i="162"/>
  <c r="AW17" i="162"/>
  <c r="AX17" i="162"/>
  <c r="AY17" i="162"/>
  <c r="AZ17" i="162"/>
  <c r="AW18" i="162"/>
  <c r="AX18" i="162"/>
  <c r="AY18" i="162"/>
  <c r="AZ18" i="162"/>
  <c r="AW19" i="162"/>
  <c r="AX19" i="162"/>
  <c r="AY19" i="162"/>
  <c r="AZ19" i="162"/>
  <c r="AW20" i="162"/>
  <c r="AX20" i="162"/>
  <c r="AY20" i="162"/>
  <c r="AZ20" i="162"/>
  <c r="AW21" i="162"/>
  <c r="AX21" i="162"/>
  <c r="AY21" i="162"/>
  <c r="AZ21" i="162"/>
  <c r="AW22" i="162"/>
  <c r="AX22" i="162"/>
  <c r="AY22" i="162"/>
  <c r="AZ22" i="162"/>
  <c r="AW23" i="162"/>
  <c r="AX23" i="162"/>
  <c r="AY23" i="162"/>
  <c r="AZ23" i="162"/>
  <c r="AW24" i="162"/>
  <c r="AX24" i="162"/>
  <c r="AY24" i="162"/>
  <c r="AZ24" i="162"/>
  <c r="AW9" i="162"/>
  <c r="AY9" i="162"/>
  <c r="AY8" i="162" l="1"/>
  <c r="AW8" i="162"/>
  <c r="BA8" i="162"/>
  <c r="BC8" i="162"/>
  <c r="G24" i="108" l="1"/>
  <c r="A24" i="108" s="1"/>
  <c r="K24" i="108"/>
  <c r="G16" i="108"/>
  <c r="A16" i="108" s="1"/>
  <c r="G17" i="108"/>
  <c r="A17" i="108" s="1"/>
  <c r="G18" i="108"/>
  <c r="A18" i="108" s="1"/>
  <c r="G19" i="108"/>
  <c r="A19" i="108" s="1"/>
  <c r="G20" i="108"/>
  <c r="A20" i="108" s="1"/>
  <c r="G21" i="108"/>
  <c r="A21" i="108" s="1"/>
  <c r="G22" i="108"/>
  <c r="A22" i="108" s="1"/>
  <c r="G23" i="108"/>
  <c r="A23" i="108" s="1"/>
  <c r="BO15" i="95" l="1"/>
  <c r="BG19" i="95" l="1"/>
  <c r="BO16" i="95" l="1"/>
  <c r="F131" i="13" l="1"/>
  <c r="F129" i="13"/>
  <c r="E14" i="9" s="1"/>
  <c r="F130" i="13"/>
  <c r="E16" i="9" s="1"/>
  <c r="F132" i="13"/>
  <c r="BP15" i="95"/>
  <c r="BP17" i="95"/>
  <c r="BP19" i="95"/>
  <c r="BP21" i="95"/>
  <c r="BP23" i="95"/>
  <c r="BP25" i="95"/>
  <c r="BP27" i="95"/>
  <c r="BP29" i="95"/>
  <c r="BP31" i="95"/>
  <c r="BP33" i="95"/>
  <c r="BP35" i="95"/>
  <c r="BP37" i="95"/>
  <c r="BP39" i="95"/>
  <c r="BP41" i="95"/>
  <c r="BP43" i="95"/>
  <c r="BP16" i="95"/>
  <c r="BP18" i="95"/>
  <c r="BP20" i="95"/>
  <c r="BP22" i="95"/>
  <c r="BP24" i="95"/>
  <c r="BP28" i="95"/>
  <c r="BP30" i="95"/>
  <c r="BP32" i="95"/>
  <c r="BP34" i="95"/>
  <c r="BP36" i="95"/>
  <c r="BP38" i="95"/>
  <c r="BP40" i="95"/>
  <c r="BP42" i="95"/>
  <c r="AI10" i="95"/>
  <c r="BP26" i="95"/>
  <c r="E128" i="13"/>
  <c r="BP6" i="95" l="1"/>
  <c r="AF4" i="95"/>
  <c r="BO43" i="95" l="1"/>
  <c r="BO42" i="95"/>
  <c r="BO41" i="95"/>
  <c r="BO40" i="95"/>
  <c r="BO39" i="95"/>
  <c r="BO38" i="95"/>
  <c r="BO37" i="95"/>
  <c r="BO36" i="95"/>
  <c r="BO35" i="95"/>
  <c r="BO34" i="95"/>
  <c r="BO33" i="95"/>
  <c r="BO32" i="95"/>
  <c r="BO31" i="95"/>
  <c r="BO30" i="95"/>
  <c r="BO29" i="95"/>
  <c r="BO28" i="95"/>
  <c r="BO27" i="95"/>
  <c r="BO26" i="95"/>
  <c r="BO25" i="95"/>
  <c r="BO24" i="95"/>
  <c r="BO23" i="95"/>
  <c r="BO22" i="95"/>
  <c r="BO21" i="95"/>
  <c r="BO20" i="95"/>
  <c r="BO19" i="95"/>
  <c r="BO18" i="95"/>
  <c r="BO17" i="95"/>
  <c r="BO6" i="95" l="1"/>
  <c r="F128" i="13"/>
  <c r="AU18" i="95"/>
  <c r="AT17" i="95"/>
  <c r="AR21" i="95"/>
  <c r="AP17" i="95"/>
  <c r="AP21" i="95"/>
  <c r="AR20" i="95"/>
  <c r="K145" i="12" l="1"/>
  <c r="K4" i="25" l="1"/>
  <c r="K3" i="25"/>
  <c r="Q13" i="95" l="1"/>
  <c r="AL13" i="95" s="1"/>
  <c r="Q12" i="95"/>
  <c r="AL12" i="95" s="1"/>
  <c r="Q11" i="95"/>
  <c r="AL11" i="95" l="1"/>
  <c r="Q15" i="52" l="1"/>
  <c r="Q16" i="52"/>
  <c r="Q17" i="52"/>
  <c r="Q18" i="52"/>
  <c r="Q14" i="52"/>
  <c r="AA12" i="51"/>
  <c r="AA13" i="51"/>
  <c r="AA14" i="51"/>
  <c r="AA15" i="51"/>
  <c r="AA16" i="51"/>
  <c r="AA17" i="51"/>
  <c r="AA18" i="51"/>
  <c r="AA11" i="51"/>
  <c r="V16" i="57"/>
  <c r="V15" i="57"/>
  <c r="V14" i="57"/>
  <c r="V13" i="57"/>
  <c r="V12" i="57"/>
  <c r="V11" i="57"/>
  <c r="V10" i="57"/>
  <c r="V9" i="57"/>
  <c r="Q8" i="55" l="1"/>
  <c r="AA10" i="51"/>
  <c r="Q13" i="52"/>
  <c r="Y9" i="33"/>
  <c r="I26" i="160" l="1"/>
  <c r="N26" i="160" s="1"/>
  <c r="I25" i="160"/>
  <c r="N25" i="160" s="1"/>
  <c r="N13" i="133"/>
  <c r="N14" i="133"/>
  <c r="N15" i="133"/>
  <c r="N16" i="133"/>
  <c r="N17" i="133"/>
  <c r="N18" i="133"/>
  <c r="N19" i="133"/>
  <c r="N20" i="133"/>
  <c r="N21" i="133"/>
  <c r="N22" i="133"/>
  <c r="N12" i="133"/>
  <c r="W7" i="25" l="1"/>
  <c r="AR22" i="95" l="1"/>
  <c r="AP15" i="95"/>
  <c r="AM2" i="117" l="1"/>
  <c r="BM15" i="95"/>
  <c r="AD55" i="116" l="1"/>
  <c r="AC5" i="121" l="1"/>
  <c r="D449" i="8" s="1"/>
  <c r="K23" i="108"/>
  <c r="L7" i="108"/>
  <c r="K22" i="108"/>
  <c r="K15" i="108" l="1"/>
  <c r="K13" i="108" l="1"/>
  <c r="K14" i="108"/>
  <c r="K16" i="108"/>
  <c r="K17" i="108"/>
  <c r="K18" i="108"/>
  <c r="K19" i="108"/>
  <c r="K20" i="108"/>
  <c r="K21" i="108"/>
  <c r="K11" i="108"/>
  <c r="K12" i="108"/>
  <c r="K10" i="108"/>
  <c r="K7" i="108" l="1"/>
  <c r="D450" i="8" s="1"/>
  <c r="BG10" i="59" l="1"/>
  <c r="BC10" i="59" l="1"/>
  <c r="BG11" i="59"/>
  <c r="BG12" i="59"/>
  <c r="BG13" i="59"/>
  <c r="BG14" i="59"/>
  <c r="BG15" i="59"/>
  <c r="BG16" i="59"/>
  <c r="BG17" i="59"/>
  <c r="BG18" i="59"/>
  <c r="BG19" i="59"/>
  <c r="BG20" i="59"/>
  <c r="BG21" i="59"/>
  <c r="BG22" i="59"/>
  <c r="BG23" i="59"/>
  <c r="BG24" i="59"/>
  <c r="BG25" i="59"/>
  <c r="BG26" i="59"/>
  <c r="BG27" i="59"/>
  <c r="BG28" i="59"/>
  <c r="BG29" i="59"/>
  <c r="BG30" i="59"/>
  <c r="BG31" i="59"/>
  <c r="BG32" i="59"/>
  <c r="BG33" i="59"/>
  <c r="BG34" i="59"/>
  <c r="BG35" i="59"/>
  <c r="BG36" i="59"/>
  <c r="BG37" i="59"/>
  <c r="BG38" i="59"/>
  <c r="BG9" i="59" l="1"/>
  <c r="D196" i="8" s="1"/>
  <c r="I9" i="160" l="1"/>
  <c r="N9" i="160" s="1"/>
  <c r="T7" i="25" l="1"/>
  <c r="U7" i="25"/>
  <c r="Q9" i="70" l="1"/>
  <c r="R9" i="70" s="1"/>
  <c r="Q10" i="70"/>
  <c r="R10" i="70" s="1"/>
  <c r="Q11" i="70"/>
  <c r="R11" i="70" s="1"/>
  <c r="Q12" i="70"/>
  <c r="R12" i="70" s="1"/>
  <c r="Q13" i="70"/>
  <c r="R13" i="70" s="1"/>
  <c r="Q14" i="70"/>
  <c r="R14" i="70" s="1"/>
  <c r="Q15" i="70"/>
  <c r="R15" i="70" s="1"/>
  <c r="Q16" i="70"/>
  <c r="R16" i="70" s="1"/>
  <c r="Q8" i="70"/>
  <c r="R8" i="70" s="1"/>
  <c r="T28" i="16" l="1"/>
  <c r="V8" i="57" l="1"/>
  <c r="BG13" i="99" l="1"/>
  <c r="BG14" i="99"/>
  <c r="BG15" i="99"/>
  <c r="BG16" i="99"/>
  <c r="BG17" i="99"/>
  <c r="BG18" i="99"/>
  <c r="BG19" i="99"/>
  <c r="BG12" i="99"/>
  <c r="BG13" i="100"/>
  <c r="BG14" i="100"/>
  <c r="BG15" i="100"/>
  <c r="BG16" i="100"/>
  <c r="BG17" i="100"/>
  <c r="BG18" i="100"/>
  <c r="BG19" i="100"/>
  <c r="BG20" i="100"/>
  <c r="BG21" i="100"/>
  <c r="BG12" i="100"/>
  <c r="K9" i="69" l="1"/>
  <c r="K10" i="69"/>
  <c r="K11" i="69"/>
  <c r="K8" i="69"/>
  <c r="N9" i="68"/>
  <c r="N10" i="68"/>
  <c r="N11" i="68"/>
  <c r="N12" i="68"/>
  <c r="N13" i="68"/>
  <c r="N14" i="68"/>
  <c r="N8" i="68"/>
  <c r="G9" i="65"/>
  <c r="G10" i="65"/>
  <c r="G11" i="65"/>
  <c r="G12" i="65"/>
  <c r="G13" i="65"/>
  <c r="G14" i="65"/>
  <c r="G8" i="65"/>
  <c r="N6" i="68" l="1"/>
  <c r="D385" i="8" s="1"/>
  <c r="K6" i="69"/>
  <c r="D387" i="8" s="1"/>
  <c r="G6" i="65"/>
  <c r="D380" i="8" s="1"/>
  <c r="A16" i="70"/>
  <c r="J16" i="70"/>
  <c r="L61" i="162" l="1"/>
  <c r="O61" i="162"/>
  <c r="AA61" i="162"/>
  <c r="AB61" i="162"/>
  <c r="AD61" i="162" s="1"/>
  <c r="AH61" i="162"/>
  <c r="AJ61" i="162"/>
  <c r="AK61" i="162"/>
  <c r="AP61" i="162"/>
  <c r="L60" i="162"/>
  <c r="O60" i="162"/>
  <c r="AA60" i="162"/>
  <c r="AB60" i="162"/>
  <c r="AD60" i="162" s="1"/>
  <c r="AH60" i="162"/>
  <c r="AJ60" i="162"/>
  <c r="AK60" i="162"/>
  <c r="AP60" i="162"/>
  <c r="AP11" i="162"/>
  <c r="AP12" i="162"/>
  <c r="AL12" i="162" s="1"/>
  <c r="AP13" i="162"/>
  <c r="AP14" i="162"/>
  <c r="AL14" i="162" s="1"/>
  <c r="AP15" i="162"/>
  <c r="AL15" i="162" s="1"/>
  <c r="AP16" i="162"/>
  <c r="AL16" i="162" s="1"/>
  <c r="AP17" i="162"/>
  <c r="AP18" i="162"/>
  <c r="AP19" i="162"/>
  <c r="AP20" i="162"/>
  <c r="AP21" i="162"/>
  <c r="AP22" i="162"/>
  <c r="AP23" i="162"/>
  <c r="AP24" i="162"/>
  <c r="AP25" i="162"/>
  <c r="AP26" i="162"/>
  <c r="AP27" i="162"/>
  <c r="AP28" i="162"/>
  <c r="AP29" i="162"/>
  <c r="AP30" i="162"/>
  <c r="AP31" i="162"/>
  <c r="AP32" i="162"/>
  <c r="AP33" i="162"/>
  <c r="AP34" i="162"/>
  <c r="AP35" i="162"/>
  <c r="AP36" i="162"/>
  <c r="AP37" i="162"/>
  <c r="AP38" i="162"/>
  <c r="AP39" i="162"/>
  <c r="AP40" i="162"/>
  <c r="AP41" i="162"/>
  <c r="AP42" i="162"/>
  <c r="AP43" i="162"/>
  <c r="AP44" i="162"/>
  <c r="AP45" i="162"/>
  <c r="AP46" i="162"/>
  <c r="AP47" i="162"/>
  <c r="AP48" i="162"/>
  <c r="AP49" i="162"/>
  <c r="AP50" i="162"/>
  <c r="AP51" i="162"/>
  <c r="AP52" i="162"/>
  <c r="AP53" i="162"/>
  <c r="AP54" i="162"/>
  <c r="AP55" i="162"/>
  <c r="AP56" i="162"/>
  <c r="AP57" i="162"/>
  <c r="AP58" i="162"/>
  <c r="AP59" i="162"/>
  <c r="AQ42" i="162"/>
  <c r="AQ41" i="162"/>
  <c r="AQ40" i="162"/>
  <c r="AQ39" i="162"/>
  <c r="AQ38" i="162"/>
  <c r="AQ37" i="162"/>
  <c r="AQ36" i="162"/>
  <c r="AQ35" i="162"/>
  <c r="AQ34" i="162"/>
  <c r="AQ33" i="162"/>
  <c r="AQ32" i="162"/>
  <c r="AQ31" i="162"/>
  <c r="AQ30" i="162"/>
  <c r="AQ29" i="162"/>
  <c r="AQ28" i="162"/>
  <c r="AQ27" i="162"/>
  <c r="AQ26" i="162"/>
  <c r="AQ25" i="162"/>
  <c r="AQ24" i="162"/>
  <c r="AQ23" i="162"/>
  <c r="AQ22" i="162"/>
  <c r="AQ21" i="162"/>
  <c r="AQ20" i="162"/>
  <c r="AQ19" i="162"/>
  <c r="AQ18" i="162"/>
  <c r="AQ17" i="162"/>
  <c r="AQ16" i="162"/>
  <c r="AQ15" i="162"/>
  <c r="AQ14" i="162"/>
  <c r="AQ13" i="162"/>
  <c r="AQ12" i="162"/>
  <c r="AQ11" i="162"/>
  <c r="AQ10" i="162"/>
  <c r="AP10" i="162"/>
  <c r="AL10" i="162" s="1"/>
  <c r="AQ9" i="162"/>
  <c r="AQ8" i="162"/>
  <c r="AQ7" i="162"/>
  <c r="A62" i="116"/>
  <c r="J62" i="116"/>
  <c r="K62" i="116"/>
  <c r="S62" i="116"/>
  <c r="W62" i="116" s="1"/>
  <c r="V62" i="116"/>
  <c r="AB62" i="116"/>
  <c r="AD62" i="116"/>
  <c r="AI62" i="116"/>
  <c r="AS62" i="116" l="1"/>
  <c r="AR62" i="116"/>
  <c r="AF62" i="116"/>
  <c r="AK62" i="116" s="1"/>
  <c r="AH62" i="116"/>
  <c r="AM62" i="116" s="1"/>
  <c r="AE62" i="116"/>
  <c r="AJ62" i="116" s="1"/>
  <c r="AG62" i="116"/>
  <c r="AL62" i="116" s="1"/>
  <c r="AG61" i="162"/>
  <c r="AG60" i="162"/>
  <c r="L59" i="162" l="1"/>
  <c r="O59" i="162"/>
  <c r="AA59" i="162"/>
  <c r="AB59" i="162"/>
  <c r="AD59" i="162" s="1"/>
  <c r="AH59" i="162"/>
  <c r="AJ59" i="162"/>
  <c r="AK59" i="162"/>
  <c r="V21" i="100"/>
  <c r="Y21" i="100" s="1"/>
  <c r="AE21" i="100"/>
  <c r="AM21" i="100"/>
  <c r="BF21" i="100" l="1"/>
  <c r="AG59" i="162"/>
  <c r="A9" i="68"/>
  <c r="A10" i="68"/>
  <c r="A11" i="68"/>
  <c r="A12" i="68"/>
  <c r="A13" i="68"/>
  <c r="A14" i="68"/>
  <c r="BB15" i="71"/>
  <c r="BB14" i="71"/>
  <c r="BB13" i="71"/>
  <c r="BB12" i="71"/>
  <c r="BB11" i="71"/>
  <c r="BB10" i="71"/>
  <c r="BB9" i="71"/>
  <c r="BI38" i="59"/>
  <c r="BI37" i="59"/>
  <c r="BI36" i="59"/>
  <c r="BI35" i="59"/>
  <c r="BI34" i="59"/>
  <c r="BI33" i="59"/>
  <c r="BI32" i="59"/>
  <c r="BI31" i="59"/>
  <c r="BI30" i="59"/>
  <c r="BI29" i="59"/>
  <c r="BI28" i="59"/>
  <c r="BI27" i="59"/>
  <c r="BI26" i="59"/>
  <c r="BI25" i="59"/>
  <c r="BI24" i="59"/>
  <c r="BI23" i="59"/>
  <c r="BI22" i="59"/>
  <c r="BI21" i="59"/>
  <c r="BI20" i="59"/>
  <c r="BI19" i="59"/>
  <c r="BI18" i="59"/>
  <c r="BI17" i="59"/>
  <c r="BI16" i="59"/>
  <c r="BI15" i="59"/>
  <c r="BI14" i="59"/>
  <c r="BI13" i="59"/>
  <c r="BI12" i="59"/>
  <c r="BI11" i="59"/>
  <c r="BI10" i="59"/>
  <c r="A11" i="42"/>
  <c r="S12" i="94" l="1"/>
  <c r="U15" i="94"/>
  <c r="U14" i="94"/>
  <c r="U13" i="94"/>
  <c r="U12" i="94"/>
  <c r="U11" i="94"/>
  <c r="T11" i="94"/>
  <c r="T12" i="94"/>
  <c r="U5" i="94" l="1"/>
  <c r="O84" i="36" l="1"/>
  <c r="AL9" i="162" l="1"/>
  <c r="BM19" i="95" l="1"/>
  <c r="K36" i="16" l="1"/>
  <c r="K35" i="16"/>
  <c r="H35" i="10" l="1"/>
  <c r="H34" i="10"/>
  <c r="BA10" i="59" l="1"/>
  <c r="BN11" i="59" l="1"/>
  <c r="BO11" i="59" s="1"/>
  <c r="BN12" i="59"/>
  <c r="BO12" i="59" s="1"/>
  <c r="BN13" i="59"/>
  <c r="BO13" i="59" s="1"/>
  <c r="BN14" i="59"/>
  <c r="BO14" i="59" s="1"/>
  <c r="BN15" i="59"/>
  <c r="BO15" i="59" s="1"/>
  <c r="BN16" i="59"/>
  <c r="BO16" i="59" s="1"/>
  <c r="BN17" i="59"/>
  <c r="BO17" i="59" s="1"/>
  <c r="BN18" i="59"/>
  <c r="BO18" i="59" s="1"/>
  <c r="BN19" i="59"/>
  <c r="BO19" i="59" s="1"/>
  <c r="BN20" i="59"/>
  <c r="BO20" i="59" s="1"/>
  <c r="BN21" i="59"/>
  <c r="BO21" i="59" s="1"/>
  <c r="BN22" i="59"/>
  <c r="BO22" i="59" s="1"/>
  <c r="BN23" i="59"/>
  <c r="BO23" i="59" s="1"/>
  <c r="BN24" i="59"/>
  <c r="BO24" i="59" s="1"/>
  <c r="BN25" i="59"/>
  <c r="BO25" i="59" s="1"/>
  <c r="BN26" i="59"/>
  <c r="BO26" i="59" s="1"/>
  <c r="BN27" i="59"/>
  <c r="BO27" i="59" s="1"/>
  <c r="BN28" i="59"/>
  <c r="BO28" i="59" s="1"/>
  <c r="BN29" i="59"/>
  <c r="BO29" i="59" s="1"/>
  <c r="BN30" i="59"/>
  <c r="BO30" i="59" s="1"/>
  <c r="BN31" i="59"/>
  <c r="BO31" i="59" s="1"/>
  <c r="BN32" i="59"/>
  <c r="BO32" i="59" s="1"/>
  <c r="BN33" i="59"/>
  <c r="BO33" i="59" s="1"/>
  <c r="BN34" i="59"/>
  <c r="BO34" i="59" s="1"/>
  <c r="BN35" i="59"/>
  <c r="BO35" i="59" s="1"/>
  <c r="BN36" i="59"/>
  <c r="BO36" i="59" s="1"/>
  <c r="BN37" i="59"/>
  <c r="BO37" i="59" s="1"/>
  <c r="BN38" i="59"/>
  <c r="BO38" i="59" s="1"/>
  <c r="BR38" i="59" l="1"/>
  <c r="BQ38" i="59"/>
  <c r="BP38" i="59" s="1"/>
  <c r="BR36" i="59"/>
  <c r="BQ36" i="59"/>
  <c r="BQ34" i="59"/>
  <c r="BP34" i="59" s="1"/>
  <c r="BR34" i="59"/>
  <c r="BQ32" i="59"/>
  <c r="BR32" i="59"/>
  <c r="BR30" i="59"/>
  <c r="BQ30" i="59"/>
  <c r="BP30" i="59" s="1"/>
  <c r="BR28" i="59"/>
  <c r="BQ28" i="59"/>
  <c r="BQ26" i="59"/>
  <c r="BP26" i="59" s="1"/>
  <c r="BR26" i="59"/>
  <c r="BQ24" i="59"/>
  <c r="BR24" i="59"/>
  <c r="BR22" i="59"/>
  <c r="BQ22" i="59"/>
  <c r="BP22" i="59" s="1"/>
  <c r="BR20" i="59"/>
  <c r="BQ20" i="59"/>
  <c r="BQ18" i="59"/>
  <c r="BP18" i="59" s="1"/>
  <c r="BR18" i="59"/>
  <c r="BQ16" i="59"/>
  <c r="BP16" i="59" s="1"/>
  <c r="BR16" i="59"/>
  <c r="BR14" i="59"/>
  <c r="BQ14" i="59"/>
  <c r="BP14" i="59" s="1"/>
  <c r="BR12" i="59"/>
  <c r="BQ12" i="59"/>
  <c r="BP12" i="59" s="1"/>
  <c r="BR10" i="59"/>
  <c r="BR37" i="59"/>
  <c r="BQ37" i="59"/>
  <c r="BQ35" i="59"/>
  <c r="BR35" i="59"/>
  <c r="BQ33" i="59"/>
  <c r="BR33" i="59"/>
  <c r="BR31" i="59"/>
  <c r="BQ31" i="59"/>
  <c r="BR29" i="59"/>
  <c r="BQ29" i="59"/>
  <c r="BQ27" i="59"/>
  <c r="BR27" i="59"/>
  <c r="BQ25" i="59"/>
  <c r="BR25" i="59"/>
  <c r="BR23" i="59"/>
  <c r="BQ23" i="59"/>
  <c r="BR21" i="59"/>
  <c r="BQ21" i="59"/>
  <c r="BQ19" i="59"/>
  <c r="BR19" i="59"/>
  <c r="BQ17" i="59"/>
  <c r="BR17" i="59"/>
  <c r="BR15" i="59"/>
  <c r="BQ15" i="59"/>
  <c r="BR13" i="59"/>
  <c r="BQ13" i="59"/>
  <c r="BQ11" i="59"/>
  <c r="BR11" i="59"/>
  <c r="BM43" i="95"/>
  <c r="BM42" i="95"/>
  <c r="BM41" i="95"/>
  <c r="BM40" i="95"/>
  <c r="BM39" i="95"/>
  <c r="BM38" i="95"/>
  <c r="BM37" i="95"/>
  <c r="BM36" i="95"/>
  <c r="BM35" i="95"/>
  <c r="BM34" i="95"/>
  <c r="BM33" i="95"/>
  <c r="BM32" i="95"/>
  <c r="BM31" i="95"/>
  <c r="BM30" i="95"/>
  <c r="BM29" i="95"/>
  <c r="BM28" i="95"/>
  <c r="BM27" i="95"/>
  <c r="BM26" i="95"/>
  <c r="BM25" i="95"/>
  <c r="BM24" i="95"/>
  <c r="BM23" i="95"/>
  <c r="BM22" i="95"/>
  <c r="BM21" i="95"/>
  <c r="BM20" i="95"/>
  <c r="BM18" i="95"/>
  <c r="BM17" i="95"/>
  <c r="BM16" i="95"/>
  <c r="BS18" i="59" l="1"/>
  <c r="BS26" i="59"/>
  <c r="BS34" i="59"/>
  <c r="BS16" i="59"/>
  <c r="BS13" i="59"/>
  <c r="BP13" i="59"/>
  <c r="BP15" i="59"/>
  <c r="BS15" i="59"/>
  <c r="BS21" i="59"/>
  <c r="BP21" i="59"/>
  <c r="BP23" i="59"/>
  <c r="BS23" i="59"/>
  <c r="BS29" i="59"/>
  <c r="BP29" i="59"/>
  <c r="BP31" i="59"/>
  <c r="BS31" i="59"/>
  <c r="BS37" i="59"/>
  <c r="BP37" i="59"/>
  <c r="BS10" i="59"/>
  <c r="BS20" i="59"/>
  <c r="BP20" i="59"/>
  <c r="BS28" i="59"/>
  <c r="BP28" i="59"/>
  <c r="BS36" i="59"/>
  <c r="BP36" i="59"/>
  <c r="BP11" i="59"/>
  <c r="BS11" i="59"/>
  <c r="BS17" i="59"/>
  <c r="BP17" i="59"/>
  <c r="BP19" i="59"/>
  <c r="BS19" i="59"/>
  <c r="BS25" i="59"/>
  <c r="BP25" i="59"/>
  <c r="BP27" i="59"/>
  <c r="BS27" i="59"/>
  <c r="BS33" i="59"/>
  <c r="BP33" i="59"/>
  <c r="BP35" i="59"/>
  <c r="BS35" i="59"/>
  <c r="BS12" i="59"/>
  <c r="BS14" i="59"/>
  <c r="BS22" i="59"/>
  <c r="BS24" i="59"/>
  <c r="BP24" i="59"/>
  <c r="BS30" i="59"/>
  <c r="BS32" i="59"/>
  <c r="BP32" i="59"/>
  <c r="BS38" i="59"/>
  <c r="BM6" i="95"/>
  <c r="K14" i="68" l="1"/>
  <c r="K9" i="68"/>
  <c r="K10" i="68"/>
  <c r="K11" i="68"/>
  <c r="K12" i="68"/>
  <c r="K13" i="68"/>
  <c r="K8" i="68"/>
  <c r="K7" i="68" l="1"/>
  <c r="D389" i="8" s="1"/>
  <c r="AR15" i="95"/>
  <c r="P55" i="141" l="1"/>
  <c r="S55" i="141" s="1"/>
  <c r="P58" i="141"/>
  <c r="S58" i="141" s="1"/>
  <c r="P61" i="141"/>
  <c r="S61" i="141" s="1"/>
  <c r="P52" i="141"/>
  <c r="S52" i="141" s="1"/>
  <c r="W52" i="141" l="1"/>
  <c r="V52" i="141"/>
  <c r="W61" i="141"/>
  <c r="V61" i="141"/>
  <c r="W58" i="141"/>
  <c r="V58" i="141"/>
  <c r="W55" i="141"/>
  <c r="V55" i="141"/>
  <c r="A15" i="70"/>
  <c r="J15" i="70"/>
  <c r="R7" i="70" l="1"/>
  <c r="D15" i="8" s="1"/>
  <c r="A13" i="67" l="1"/>
  <c r="J13" i="67"/>
  <c r="L13" i="67"/>
  <c r="K24" i="66"/>
  <c r="K9" i="66"/>
  <c r="K10" i="66"/>
  <c r="K11" i="66"/>
  <c r="K12" i="66"/>
  <c r="K13" i="66"/>
  <c r="K14" i="66"/>
  <c r="K15" i="66"/>
  <c r="K16" i="66"/>
  <c r="K17" i="66"/>
  <c r="K18" i="66"/>
  <c r="K19" i="66"/>
  <c r="K20" i="66"/>
  <c r="K21" i="66"/>
  <c r="K22" i="66"/>
  <c r="K23" i="66"/>
  <c r="K8" i="66"/>
  <c r="L9" i="67"/>
  <c r="L10" i="67"/>
  <c r="L11" i="67"/>
  <c r="L12" i="67"/>
  <c r="L8" i="67"/>
  <c r="K6" i="66" l="1"/>
  <c r="D381" i="8" s="1"/>
  <c r="L6" i="67"/>
  <c r="D383" i="8" s="1"/>
  <c r="E182" i="13" l="1"/>
  <c r="F182" i="13"/>
  <c r="BA11" i="59" l="1"/>
  <c r="BB11" i="59"/>
  <c r="BA12" i="59"/>
  <c r="BB12" i="59"/>
  <c r="BA13" i="59"/>
  <c r="BB13" i="59"/>
  <c r="BA14" i="59"/>
  <c r="BB14" i="59"/>
  <c r="BA15" i="59"/>
  <c r="BB15" i="59"/>
  <c r="BA16" i="59"/>
  <c r="BB16" i="59"/>
  <c r="BA17" i="59"/>
  <c r="BB17" i="59"/>
  <c r="BA18" i="59"/>
  <c r="BB18" i="59"/>
  <c r="BA19" i="59"/>
  <c r="BB19" i="59"/>
  <c r="BA20" i="59"/>
  <c r="BB20" i="59"/>
  <c r="BA21" i="59"/>
  <c r="BB21" i="59"/>
  <c r="BA22" i="59"/>
  <c r="BB22" i="59"/>
  <c r="BA23" i="59"/>
  <c r="BB23" i="59"/>
  <c r="BA24" i="59"/>
  <c r="BB24" i="59"/>
  <c r="BA25" i="59"/>
  <c r="BB25" i="59"/>
  <c r="BA26" i="59"/>
  <c r="BB26" i="59"/>
  <c r="BA27" i="59"/>
  <c r="BB27" i="59"/>
  <c r="BA28" i="59"/>
  <c r="BB28" i="59"/>
  <c r="BA29" i="59"/>
  <c r="BB29" i="59"/>
  <c r="BA30" i="59"/>
  <c r="BB30" i="59"/>
  <c r="BA31" i="59"/>
  <c r="BB31" i="59"/>
  <c r="BA32" i="59"/>
  <c r="BB32" i="59"/>
  <c r="BA33" i="59"/>
  <c r="BB33" i="59"/>
  <c r="BA34" i="59"/>
  <c r="BB34" i="59"/>
  <c r="BA35" i="59"/>
  <c r="BB35" i="59"/>
  <c r="BA36" i="59"/>
  <c r="BB36" i="59"/>
  <c r="BA37" i="59"/>
  <c r="BB37" i="59"/>
  <c r="BA38" i="59"/>
  <c r="BB38" i="59"/>
  <c r="BB10" i="59"/>
  <c r="AP4" i="116" l="1"/>
  <c r="BI13" i="99" l="1"/>
  <c r="BI14" i="99"/>
  <c r="BI15" i="99"/>
  <c r="BI16" i="99"/>
  <c r="BI17" i="99"/>
  <c r="BI18" i="99"/>
  <c r="BI19" i="99"/>
  <c r="BI20" i="99"/>
  <c r="BI12" i="99"/>
  <c r="BI13" i="100"/>
  <c r="BI14" i="100"/>
  <c r="BI15" i="100"/>
  <c r="BI16" i="100"/>
  <c r="BI17" i="100"/>
  <c r="BI18" i="100"/>
  <c r="BI19" i="100"/>
  <c r="BI20" i="100"/>
  <c r="BI12" i="100"/>
  <c r="BG9" i="99" l="1"/>
  <c r="D295" i="8" s="1"/>
  <c r="BG9" i="100"/>
  <c r="D296" i="8" s="1"/>
  <c r="D56" i="134" l="1"/>
  <c r="A56" i="134" s="1"/>
  <c r="J56" i="134"/>
  <c r="L56" i="134" s="1"/>
  <c r="O56" i="134"/>
  <c r="P56" i="134"/>
  <c r="D55" i="134"/>
  <c r="A55" i="134" s="1"/>
  <c r="J55" i="134"/>
  <c r="L55" i="134" s="1"/>
  <c r="O55" i="134"/>
  <c r="P55" i="134"/>
  <c r="D54" i="134"/>
  <c r="A54" i="134" s="1"/>
  <c r="J54" i="134"/>
  <c r="L54" i="134" s="1"/>
  <c r="O54" i="134"/>
  <c r="P54" i="134"/>
  <c r="D53" i="134"/>
  <c r="A53" i="134" s="1"/>
  <c r="J53" i="134"/>
  <c r="L53" i="134" s="1"/>
  <c r="O53" i="134"/>
  <c r="P53" i="134"/>
  <c r="D52" i="134"/>
  <c r="A52" i="134" s="1"/>
  <c r="J52" i="134"/>
  <c r="L52" i="134" s="1"/>
  <c r="O52" i="134"/>
  <c r="P52" i="134"/>
  <c r="D51" i="134"/>
  <c r="A51" i="134" s="1"/>
  <c r="J51" i="134"/>
  <c r="L51" i="134" s="1"/>
  <c r="O51" i="134"/>
  <c r="P51" i="134"/>
  <c r="D50" i="134"/>
  <c r="A50" i="134" s="1"/>
  <c r="J50" i="134"/>
  <c r="L50" i="134" s="1"/>
  <c r="O50" i="134"/>
  <c r="P50" i="134"/>
  <c r="D49" i="134"/>
  <c r="A49" i="134" s="1"/>
  <c r="J49" i="134"/>
  <c r="L49" i="134" s="1"/>
  <c r="O49" i="134"/>
  <c r="P49" i="134"/>
  <c r="D48" i="134"/>
  <c r="A48" i="134" s="1"/>
  <c r="J48" i="134"/>
  <c r="L48" i="134" s="1"/>
  <c r="O48" i="134"/>
  <c r="P48" i="134"/>
  <c r="D47" i="134"/>
  <c r="A47" i="134" s="1"/>
  <c r="J47" i="134"/>
  <c r="L47" i="134" s="1"/>
  <c r="O47" i="134"/>
  <c r="P47" i="134"/>
  <c r="O24" i="132"/>
  <c r="V24" i="132"/>
  <c r="W24" i="132" s="1"/>
  <c r="O23" i="132"/>
  <c r="V23" i="132"/>
  <c r="W23" i="132" s="1"/>
  <c r="O22" i="132"/>
  <c r="V22" i="132"/>
  <c r="W22" i="132" s="1"/>
  <c r="O21" i="132"/>
  <c r="V21" i="132"/>
  <c r="W21" i="132" s="1"/>
  <c r="O20" i="132"/>
  <c r="V20" i="132"/>
  <c r="W20" i="132" s="1"/>
  <c r="O19" i="132"/>
  <c r="V19" i="132"/>
  <c r="W19" i="132" s="1"/>
  <c r="O18" i="132"/>
  <c r="V18" i="132"/>
  <c r="W18" i="132" s="1"/>
  <c r="O17" i="132"/>
  <c r="V17" i="132"/>
  <c r="W17" i="132" s="1"/>
  <c r="O16" i="132"/>
  <c r="V16" i="132"/>
  <c r="W16" i="132" s="1"/>
  <c r="O15" i="132"/>
  <c r="V15" i="132"/>
  <c r="W15" i="132" s="1"/>
  <c r="A24" i="66"/>
  <c r="I24" i="66"/>
  <c r="A23" i="66"/>
  <c r="I23" i="66"/>
  <c r="A22" i="66"/>
  <c r="I22" i="66"/>
  <c r="A21" i="66"/>
  <c r="I21" i="66"/>
  <c r="A20" i="66"/>
  <c r="I20" i="66"/>
  <c r="A19" i="66"/>
  <c r="I19" i="66"/>
  <c r="A18" i="66"/>
  <c r="I18" i="66"/>
  <c r="A17" i="66"/>
  <c r="I17" i="66"/>
  <c r="A16" i="66"/>
  <c r="I16" i="66"/>
  <c r="A15" i="66"/>
  <c r="I15" i="66"/>
  <c r="AT43" i="95" l="1"/>
  <c r="AT42" i="95"/>
  <c r="AT41" i="95"/>
  <c r="AT40" i="95"/>
  <c r="AT39" i="95"/>
  <c r="AT38" i="95"/>
  <c r="AT37" i="95"/>
  <c r="AT36" i="95"/>
  <c r="AT35" i="95"/>
  <c r="AT34" i="95"/>
  <c r="AT33" i="95"/>
  <c r="AT32" i="95"/>
  <c r="AT31" i="95"/>
  <c r="AT30" i="95"/>
  <c r="AT29" i="95"/>
  <c r="AT28" i="95"/>
  <c r="AT27" i="95"/>
  <c r="AT26" i="95"/>
  <c r="AT25" i="95"/>
  <c r="AT24" i="95"/>
  <c r="AT23" i="95"/>
  <c r="AT22" i="95"/>
  <c r="AT21" i="95"/>
  <c r="AT20" i="95"/>
  <c r="AT19" i="95"/>
  <c r="AT18" i="95"/>
  <c r="AT16" i="95"/>
  <c r="AT15" i="95"/>
  <c r="AT6" i="95" l="1"/>
  <c r="E66" i="8"/>
  <c r="AU43" i="95" l="1"/>
  <c r="AU42" i="95"/>
  <c r="AU41" i="95"/>
  <c r="AU40" i="95"/>
  <c r="AU39" i="95"/>
  <c r="AU38" i="95"/>
  <c r="AU37" i="95"/>
  <c r="AU36" i="95"/>
  <c r="AU35" i="95"/>
  <c r="AU34" i="95"/>
  <c r="AU33" i="95"/>
  <c r="AU32" i="95"/>
  <c r="AU31" i="95"/>
  <c r="AU30" i="95"/>
  <c r="AU29" i="95"/>
  <c r="AU28" i="95"/>
  <c r="AU27" i="95"/>
  <c r="AU26" i="95"/>
  <c r="AU25" i="95"/>
  <c r="AU24" i="95"/>
  <c r="AU23" i="95"/>
  <c r="AU22" i="95"/>
  <c r="AU21" i="95"/>
  <c r="AU20" i="95"/>
  <c r="AU19" i="95"/>
  <c r="AU17" i="95"/>
  <c r="AU16" i="95"/>
  <c r="AU15" i="95"/>
  <c r="AU6" i="95" l="1"/>
  <c r="AD9" i="80"/>
  <c r="AC9" i="80"/>
  <c r="V12" i="146" l="1"/>
  <c r="I10" i="146"/>
  <c r="K10" i="146"/>
  <c r="L10" i="146"/>
  <c r="M10" i="146"/>
  <c r="N10" i="146"/>
  <c r="O10" i="146"/>
  <c r="P10" i="146"/>
  <c r="R10" i="146"/>
  <c r="H10" i="146"/>
  <c r="M10" i="148"/>
  <c r="K10" i="148"/>
  <c r="E262" i="13" l="1"/>
  <c r="F262" i="13"/>
  <c r="W11" i="145"/>
  <c r="I10" i="145"/>
  <c r="I11" i="145"/>
  <c r="I12" i="145"/>
  <c r="I13" i="145"/>
  <c r="J15" i="145"/>
  <c r="J16" i="145"/>
  <c r="W16" i="145" s="1"/>
  <c r="J17" i="145"/>
  <c r="W17" i="145" s="1"/>
  <c r="J18" i="145"/>
  <c r="W18" i="145" s="1"/>
  <c r="J19" i="145"/>
  <c r="W19" i="145" s="1"/>
  <c r="J20" i="145"/>
  <c r="W20" i="145" s="1"/>
  <c r="J12" i="146"/>
  <c r="Q12" i="146" s="1"/>
  <c r="J13" i="146"/>
  <c r="Q13" i="146" s="1"/>
  <c r="J14" i="146"/>
  <c r="Q14" i="146" s="1"/>
  <c r="J15" i="146"/>
  <c r="Q15" i="146" s="1"/>
  <c r="J16" i="146"/>
  <c r="Q16" i="146" s="1"/>
  <c r="J11" i="146"/>
  <c r="I12" i="148"/>
  <c r="N12" i="148" s="1"/>
  <c r="I13" i="148"/>
  <c r="N13" i="148" s="1"/>
  <c r="I14" i="148"/>
  <c r="N14" i="148" s="1"/>
  <c r="I11" i="148"/>
  <c r="H10" i="148"/>
  <c r="E264" i="13" s="1"/>
  <c r="J10" i="145" l="1"/>
  <c r="I10" i="148"/>
  <c r="E265" i="13" s="1"/>
  <c r="N11" i="148"/>
  <c r="Q11" i="146"/>
  <c r="Q10" i="146" s="1"/>
  <c r="J10" i="146"/>
  <c r="E263" i="13" s="1"/>
  <c r="W15" i="145"/>
  <c r="I14" i="145"/>
  <c r="E258" i="13"/>
  <c r="E256" i="13"/>
  <c r="E254" i="13"/>
  <c r="E260" i="13" l="1"/>
  <c r="F71" i="9" s="1"/>
  <c r="BK15" i="95" l="1"/>
  <c r="AY15" i="95" l="1"/>
  <c r="BC15" i="95"/>
  <c r="BJ16" i="95" l="1"/>
  <c r="AY16" i="95" l="1"/>
  <c r="BC16" i="95"/>
  <c r="V10" i="85"/>
  <c r="U11" i="85"/>
  <c r="U12" i="85"/>
  <c r="U13" i="85"/>
  <c r="U14" i="85"/>
  <c r="U15" i="85"/>
  <c r="U10" i="85"/>
  <c r="U9" i="85" l="1"/>
  <c r="AP43" i="95"/>
  <c r="AR43" i="95"/>
  <c r="AX43" i="95"/>
  <c r="BG43" i="95"/>
  <c r="BJ43" i="95"/>
  <c r="BJ17" i="95"/>
  <c r="BJ18" i="95"/>
  <c r="BJ19" i="95"/>
  <c r="BJ20" i="95"/>
  <c r="BJ21" i="95"/>
  <c r="BJ22" i="95"/>
  <c r="BJ23" i="95"/>
  <c r="BJ24" i="95"/>
  <c r="BJ25" i="95"/>
  <c r="BJ26" i="95"/>
  <c r="BJ27" i="95"/>
  <c r="BJ28" i="95"/>
  <c r="BJ29" i="95"/>
  <c r="BJ30" i="95"/>
  <c r="BJ31" i="95"/>
  <c r="BJ32" i="95"/>
  <c r="BJ33" i="95"/>
  <c r="BJ34" i="95"/>
  <c r="BJ35" i="95"/>
  <c r="BJ36" i="95"/>
  <c r="BJ37" i="95"/>
  <c r="BJ38" i="95"/>
  <c r="BJ39" i="95"/>
  <c r="BJ40" i="95"/>
  <c r="BJ41" i="95"/>
  <c r="BJ42" i="95"/>
  <c r="D46" i="134"/>
  <c r="A46" i="134" s="1"/>
  <c r="J46" i="134"/>
  <c r="L46" i="134" s="1"/>
  <c r="O46" i="134"/>
  <c r="P46" i="134"/>
  <c r="D45" i="134"/>
  <c r="A45" i="134" s="1"/>
  <c r="J45" i="134"/>
  <c r="L45" i="134" s="1"/>
  <c r="O45" i="134"/>
  <c r="P45" i="134"/>
  <c r="O13" i="133"/>
  <c r="P13" i="133" s="1"/>
  <c r="O14" i="133"/>
  <c r="P14" i="133" s="1"/>
  <c r="O15" i="133"/>
  <c r="P15" i="133" s="1"/>
  <c r="O16" i="133"/>
  <c r="P16" i="133" s="1"/>
  <c r="O17" i="133"/>
  <c r="P17" i="133" s="1"/>
  <c r="O18" i="133"/>
  <c r="P18" i="133" s="1"/>
  <c r="O19" i="133"/>
  <c r="P19" i="133" s="1"/>
  <c r="O20" i="133"/>
  <c r="P20" i="133" s="1"/>
  <c r="O21" i="133"/>
  <c r="P21" i="133" s="1"/>
  <c r="O22" i="133"/>
  <c r="P22" i="133" s="1"/>
  <c r="O12" i="133"/>
  <c r="P12" i="133" s="1"/>
  <c r="AY42" i="95" l="1"/>
  <c r="AY40" i="95"/>
  <c r="AY38" i="95"/>
  <c r="AY36" i="95"/>
  <c r="AY34" i="95"/>
  <c r="AY32" i="95"/>
  <c r="AY30" i="95"/>
  <c r="AY28" i="95"/>
  <c r="AY26" i="95"/>
  <c r="AY24" i="95"/>
  <c r="AY22" i="95"/>
  <c r="AY20" i="95"/>
  <c r="AY18" i="95"/>
  <c r="AY43" i="95"/>
  <c r="AY41" i="95"/>
  <c r="AY39" i="95"/>
  <c r="AY37" i="95"/>
  <c r="AY35" i="95"/>
  <c r="AY33" i="95"/>
  <c r="AY31" i="95"/>
  <c r="AY29" i="95"/>
  <c r="AY27" i="95"/>
  <c r="AY25" i="95"/>
  <c r="AY23" i="95"/>
  <c r="AY21" i="95"/>
  <c r="AY19" i="95"/>
  <c r="AY17" i="95"/>
  <c r="BC22" i="95"/>
  <c r="BC42" i="95"/>
  <c r="BC38" i="95"/>
  <c r="BC34" i="95"/>
  <c r="BC30" i="95"/>
  <c r="BC26" i="95"/>
  <c r="BC18" i="95"/>
  <c r="BC41" i="95"/>
  <c r="BC37" i="95"/>
  <c r="BC33" i="95"/>
  <c r="BC29" i="95"/>
  <c r="BC25" i="95"/>
  <c r="BC21" i="95"/>
  <c r="BC17" i="95"/>
  <c r="BC40" i="95"/>
  <c r="BC36" i="95"/>
  <c r="BC32" i="95"/>
  <c r="BC28" i="95"/>
  <c r="BC24" i="95"/>
  <c r="BC20" i="95"/>
  <c r="BC43" i="95"/>
  <c r="BC39" i="95"/>
  <c r="BC35" i="95"/>
  <c r="BC31" i="95"/>
  <c r="BC27" i="95"/>
  <c r="BC23" i="95"/>
  <c r="BC19" i="95"/>
  <c r="J37" i="134"/>
  <c r="L37" i="134" s="1"/>
  <c r="J38" i="134"/>
  <c r="L38" i="134" s="1"/>
  <c r="J39" i="134"/>
  <c r="L39" i="134" s="1"/>
  <c r="J40" i="134"/>
  <c r="L40" i="134" s="1"/>
  <c r="J41" i="134"/>
  <c r="L41" i="134" s="1"/>
  <c r="J42" i="134"/>
  <c r="L42" i="134" s="1"/>
  <c r="J43" i="134"/>
  <c r="L43" i="134" s="1"/>
  <c r="J44" i="134"/>
  <c r="L44" i="134" s="1"/>
  <c r="J36" i="134"/>
  <c r="L36" i="134" s="1"/>
  <c r="BE15" i="95" l="1"/>
  <c r="BD15" i="95"/>
  <c r="D471" i="8"/>
  <c r="BK6" i="95"/>
  <c r="AP42" i="95"/>
  <c r="AR42" i="95"/>
  <c r="AX42" i="95"/>
  <c r="BG42" i="95"/>
  <c r="AR41" i="95"/>
  <c r="AX41" i="95"/>
  <c r="BG41" i="95"/>
  <c r="AR40" i="95"/>
  <c r="AX40" i="95"/>
  <c r="BG40" i="95"/>
  <c r="AR39" i="95"/>
  <c r="AX39" i="95"/>
  <c r="BG39" i="95"/>
  <c r="AR38" i="95"/>
  <c r="AX38" i="95"/>
  <c r="BG38" i="95"/>
  <c r="AR37" i="95"/>
  <c r="AX37" i="95"/>
  <c r="BG37" i="95"/>
  <c r="AR36" i="95"/>
  <c r="AX36" i="95"/>
  <c r="BG36" i="95"/>
  <c r="AR35" i="95"/>
  <c r="AX35" i="95"/>
  <c r="BG35" i="95"/>
  <c r="AR34" i="95"/>
  <c r="AX34" i="95"/>
  <c r="BG34" i="95"/>
  <c r="AR33" i="95"/>
  <c r="AX33" i="95"/>
  <c r="BG33" i="95"/>
  <c r="L58" i="162"/>
  <c r="O58" i="162"/>
  <c r="AA58" i="162"/>
  <c r="AB58" i="162"/>
  <c r="AD58" i="162" s="1"/>
  <c r="AH58" i="162"/>
  <c r="AJ58" i="162"/>
  <c r="AK58" i="162"/>
  <c r="L57" i="162"/>
  <c r="O57" i="162"/>
  <c r="AA57" i="162"/>
  <c r="AB57" i="162"/>
  <c r="AD57" i="162" s="1"/>
  <c r="AH57" i="162"/>
  <c r="AJ57" i="162"/>
  <c r="AK57" i="162"/>
  <c r="L56" i="162"/>
  <c r="O56" i="162"/>
  <c r="AA56" i="162"/>
  <c r="AB56" i="162"/>
  <c r="AD56" i="162" s="1"/>
  <c r="AH56" i="162"/>
  <c r="AJ56" i="162"/>
  <c r="AK56" i="162"/>
  <c r="L55" i="162"/>
  <c r="O55" i="162"/>
  <c r="AA55" i="162"/>
  <c r="AB55" i="162"/>
  <c r="AD55" i="162" s="1"/>
  <c r="AH55" i="162"/>
  <c r="AJ55" i="162"/>
  <c r="AK55" i="162"/>
  <c r="L54" i="162"/>
  <c r="O54" i="162"/>
  <c r="AA54" i="162"/>
  <c r="AB54" i="162"/>
  <c r="AD54" i="162" s="1"/>
  <c r="AH54" i="162"/>
  <c r="AJ54" i="162"/>
  <c r="AK54" i="162"/>
  <c r="L53" i="162"/>
  <c r="O53" i="162"/>
  <c r="AA53" i="162"/>
  <c r="AB53" i="162"/>
  <c r="AD53" i="162" s="1"/>
  <c r="AH53" i="162"/>
  <c r="AJ53" i="162"/>
  <c r="AK53" i="162"/>
  <c r="L52" i="162"/>
  <c r="O52" i="162"/>
  <c r="AA52" i="162"/>
  <c r="AB52" i="162"/>
  <c r="AD52" i="162" s="1"/>
  <c r="AH52" i="162"/>
  <c r="AJ52" i="162"/>
  <c r="AK52" i="162"/>
  <c r="L51" i="162"/>
  <c r="O51" i="162"/>
  <c r="AA51" i="162"/>
  <c r="AB51" i="162"/>
  <c r="AD51" i="162" s="1"/>
  <c r="AH51" i="162"/>
  <c r="AJ51" i="162"/>
  <c r="AK51" i="162"/>
  <c r="L50" i="162"/>
  <c r="O50" i="162"/>
  <c r="AA50" i="162"/>
  <c r="AB50" i="162"/>
  <c r="AD50" i="162" s="1"/>
  <c r="AH50" i="162"/>
  <c r="AJ50" i="162"/>
  <c r="AK50" i="162"/>
  <c r="BG32" i="95"/>
  <c r="AR16" i="95"/>
  <c r="AR17" i="95"/>
  <c r="AR32" i="95"/>
  <c r="O3" i="95"/>
  <c r="G3" i="43"/>
  <c r="I3" i="113"/>
  <c r="I6" i="134"/>
  <c r="F83" i="8"/>
  <c r="F84" i="8"/>
  <c r="F85" i="8"/>
  <c r="F86" i="8"/>
  <c r="F87" i="8"/>
  <c r="F88" i="8"/>
  <c r="F89" i="8"/>
  <c r="F90" i="8"/>
  <c r="F91" i="8"/>
  <c r="F92" i="8"/>
  <c r="F3" i="42"/>
  <c r="F116" i="8"/>
  <c r="F122" i="8"/>
  <c r="F124" i="8"/>
  <c r="F126" i="8"/>
  <c r="F127" i="8"/>
  <c r="F128" i="8"/>
  <c r="F129" i="8"/>
  <c r="F130" i="8"/>
  <c r="F131" i="8"/>
  <c r="E31" i="8"/>
  <c r="E33" i="8"/>
  <c r="E34" i="8"/>
  <c r="F34" i="8"/>
  <c r="F41" i="8"/>
  <c r="F43" i="8"/>
  <c r="F46" i="8"/>
  <c r="F49" i="8"/>
  <c r="F51" i="8"/>
  <c r="E52" i="8"/>
  <c r="E54" i="8"/>
  <c r="F55" i="8"/>
  <c r="E56" i="8"/>
  <c r="E58" i="8"/>
  <c r="I3" i="128"/>
  <c r="E99" i="8"/>
  <c r="E117" i="8"/>
  <c r="E118" i="8"/>
  <c r="E119" i="8"/>
  <c r="E120" i="8"/>
  <c r="E121" i="8"/>
  <c r="F123" i="8"/>
  <c r="F125" i="8"/>
  <c r="F136" i="8"/>
  <c r="E141" i="8"/>
  <c r="G141" i="8" s="1"/>
  <c r="E142" i="8"/>
  <c r="G142" i="8" s="1"/>
  <c r="E145" i="8"/>
  <c r="F145" i="8"/>
  <c r="AA49" i="162"/>
  <c r="AA12" i="162"/>
  <c r="Z9" i="162"/>
  <c r="AC9" i="162"/>
  <c r="AB49" i="162"/>
  <c r="AD49" i="162" s="1"/>
  <c r="AB12" i="162"/>
  <c r="AD12" i="162" s="1"/>
  <c r="AB13" i="162"/>
  <c r="AD13" i="162" s="1"/>
  <c r="AB14" i="162"/>
  <c r="AD14" i="162" s="1"/>
  <c r="AB15" i="162"/>
  <c r="AD15" i="162" s="1"/>
  <c r="AB16" i="162"/>
  <c r="AD16" i="162" s="1"/>
  <c r="AB17" i="162"/>
  <c r="AD17" i="162" s="1"/>
  <c r="AB18" i="162"/>
  <c r="AD18" i="162" s="1"/>
  <c r="AB19" i="162"/>
  <c r="AD19" i="162" s="1"/>
  <c r="AB20" i="162"/>
  <c r="AD20" i="162" s="1"/>
  <c r="AB21" i="162"/>
  <c r="AD21" i="162" s="1"/>
  <c r="AB22" i="162"/>
  <c r="AD22" i="162" s="1"/>
  <c r="AB23" i="162"/>
  <c r="AD23" i="162" s="1"/>
  <c r="AB24" i="162"/>
  <c r="AD24" i="162" s="1"/>
  <c r="AB25" i="162"/>
  <c r="AD25" i="162" s="1"/>
  <c r="AB26" i="162"/>
  <c r="AD26" i="162" s="1"/>
  <c r="AB27" i="162"/>
  <c r="AD27" i="162" s="1"/>
  <c r="L49" i="162"/>
  <c r="L12" i="162"/>
  <c r="L13" i="162"/>
  <c r="L14" i="162"/>
  <c r="L15" i="162"/>
  <c r="L16" i="162"/>
  <c r="L17" i="162"/>
  <c r="L18" i="162"/>
  <c r="L19" i="162"/>
  <c r="L20" i="162"/>
  <c r="L21" i="162"/>
  <c r="L22" i="162"/>
  <c r="L23" i="162"/>
  <c r="L24" i="162"/>
  <c r="L25" i="162"/>
  <c r="L26" i="162"/>
  <c r="L27" i="162"/>
  <c r="K9" i="162"/>
  <c r="H11" i="145"/>
  <c r="J11" i="145" s="1"/>
  <c r="E255" i="13" s="1"/>
  <c r="H12" i="145"/>
  <c r="J12" i="145" s="1"/>
  <c r="E257" i="13" s="1"/>
  <c r="H13" i="145"/>
  <c r="J13" i="145" s="1"/>
  <c r="E259" i="13" s="1"/>
  <c r="O49" i="162"/>
  <c r="N9" i="162"/>
  <c r="O26" i="14"/>
  <c r="P26" i="14"/>
  <c r="E183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4" i="13"/>
  <c r="E166" i="13"/>
  <c r="E153" i="13"/>
  <c r="E154" i="13"/>
  <c r="E156" i="13"/>
  <c r="E157" i="13"/>
  <c r="E159" i="13"/>
  <c r="E160" i="13"/>
  <c r="E161" i="13"/>
  <c r="E162" i="13"/>
  <c r="E163" i="13"/>
  <c r="E167" i="13"/>
  <c r="F183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4" i="13"/>
  <c r="F166" i="13"/>
  <c r="F153" i="13"/>
  <c r="F154" i="13"/>
  <c r="F156" i="13"/>
  <c r="F157" i="13"/>
  <c r="F159" i="13"/>
  <c r="F160" i="13"/>
  <c r="F161" i="13"/>
  <c r="F162" i="13"/>
  <c r="F163" i="13"/>
  <c r="F164" i="13"/>
  <c r="F167" i="13"/>
  <c r="O60" i="14"/>
  <c r="P60" i="14"/>
  <c r="O61" i="14"/>
  <c r="P61" i="14"/>
  <c r="AP25" i="95"/>
  <c r="AP29" i="95"/>
  <c r="Y11" i="89"/>
  <c r="Y12" i="89"/>
  <c r="Y13" i="89"/>
  <c r="Y14" i="89"/>
  <c r="Y15" i="89"/>
  <c r="Y16" i="89"/>
  <c r="Y17" i="89"/>
  <c r="Z11" i="89"/>
  <c r="Z12" i="89"/>
  <c r="Z13" i="89"/>
  <c r="Z14" i="89"/>
  <c r="Z15" i="89"/>
  <c r="Z16" i="89"/>
  <c r="Z17" i="89"/>
  <c r="T15" i="90"/>
  <c r="T16" i="90"/>
  <c r="T17" i="90"/>
  <c r="T18" i="90"/>
  <c r="T19" i="90"/>
  <c r="T20" i="90"/>
  <c r="T21" i="90"/>
  <c r="T22" i="90"/>
  <c r="U15" i="90"/>
  <c r="U16" i="90"/>
  <c r="U17" i="90"/>
  <c r="U18" i="90"/>
  <c r="U19" i="90"/>
  <c r="U20" i="90"/>
  <c r="U21" i="90"/>
  <c r="U22" i="90"/>
  <c r="X11" i="91"/>
  <c r="X12" i="91"/>
  <c r="X13" i="91"/>
  <c r="X14" i="91"/>
  <c r="X15" i="91"/>
  <c r="X16" i="91"/>
  <c r="X17" i="91"/>
  <c r="X18" i="91"/>
  <c r="Y11" i="91"/>
  <c r="Y12" i="91"/>
  <c r="Y13" i="91"/>
  <c r="Y14" i="91"/>
  <c r="Y15" i="91"/>
  <c r="Y16" i="91"/>
  <c r="Y17" i="91"/>
  <c r="Y18" i="91"/>
  <c r="U11" i="92"/>
  <c r="U12" i="92"/>
  <c r="U13" i="92"/>
  <c r="U14" i="92"/>
  <c r="U15" i="92"/>
  <c r="V11" i="92"/>
  <c r="V12" i="92"/>
  <c r="V13" i="92"/>
  <c r="V14" i="92"/>
  <c r="V15" i="92"/>
  <c r="AX10" i="59"/>
  <c r="AX11" i="59"/>
  <c r="AX12" i="59"/>
  <c r="AX13" i="59"/>
  <c r="AX14" i="59"/>
  <c r="AX15" i="59"/>
  <c r="AX16" i="59"/>
  <c r="AN16" i="59" s="1"/>
  <c r="AX17" i="59"/>
  <c r="AN17" i="59" s="1"/>
  <c r="AX18" i="59"/>
  <c r="AN18" i="59" s="1"/>
  <c r="AX19" i="59"/>
  <c r="AN19" i="59" s="1"/>
  <c r="AX20" i="59"/>
  <c r="AN20" i="59" s="1"/>
  <c r="AX21" i="59"/>
  <c r="AN21" i="59" s="1"/>
  <c r="AX22" i="59"/>
  <c r="AN22" i="59" s="1"/>
  <c r="AX23" i="59"/>
  <c r="AN23" i="59" s="1"/>
  <c r="AX24" i="59"/>
  <c r="AN24" i="59" s="1"/>
  <c r="AX25" i="59"/>
  <c r="AN25" i="59" s="1"/>
  <c r="AX26" i="59"/>
  <c r="AN26" i="59" s="1"/>
  <c r="AX27" i="59"/>
  <c r="AN27" i="59" s="1"/>
  <c r="AX28" i="59"/>
  <c r="AN28" i="59" s="1"/>
  <c r="AX29" i="59"/>
  <c r="AN29" i="59" s="1"/>
  <c r="AX30" i="59"/>
  <c r="AN30" i="59" s="1"/>
  <c r="AX31" i="59"/>
  <c r="AN31" i="59" s="1"/>
  <c r="AX32" i="59"/>
  <c r="AN32" i="59" s="1"/>
  <c r="AX33" i="59"/>
  <c r="AN33" i="59" s="1"/>
  <c r="AX34" i="59"/>
  <c r="AN34" i="59" s="1"/>
  <c r="AX35" i="59"/>
  <c r="AN35" i="59" s="1"/>
  <c r="AX36" i="59"/>
  <c r="AN36" i="59" s="1"/>
  <c r="AX37" i="59"/>
  <c r="AN37" i="59" s="1"/>
  <c r="AX38" i="59"/>
  <c r="AN38" i="59" s="1"/>
  <c r="BD10" i="59"/>
  <c r="BD11" i="59"/>
  <c r="BC11" i="59"/>
  <c r="BD12" i="59"/>
  <c r="BC12" i="59"/>
  <c r="BD13" i="59"/>
  <c r="BC13" i="59"/>
  <c r="BD14" i="59"/>
  <c r="BC14" i="59"/>
  <c r="BD15" i="59"/>
  <c r="BC15" i="59"/>
  <c r="BD16" i="59"/>
  <c r="BC16" i="59"/>
  <c r="BD17" i="59"/>
  <c r="BC17" i="59"/>
  <c r="BD18" i="59"/>
  <c r="BC18" i="59"/>
  <c r="BD19" i="59"/>
  <c r="BC19" i="59"/>
  <c r="BD20" i="59"/>
  <c r="BC20" i="59"/>
  <c r="BD21" i="59"/>
  <c r="BC21" i="59"/>
  <c r="BD22" i="59"/>
  <c r="BC22" i="59"/>
  <c r="BD23" i="59"/>
  <c r="BC23" i="59"/>
  <c r="BD24" i="59"/>
  <c r="BC24" i="59"/>
  <c r="BD25" i="59"/>
  <c r="BC25" i="59"/>
  <c r="BD26" i="59"/>
  <c r="BC26" i="59"/>
  <c r="BD27" i="59"/>
  <c r="BC27" i="59"/>
  <c r="BD28" i="59"/>
  <c r="BC28" i="59"/>
  <c r="BD29" i="59"/>
  <c r="BC29" i="59"/>
  <c r="BD30" i="59"/>
  <c r="BC30" i="59"/>
  <c r="BD31" i="59"/>
  <c r="BC31" i="59"/>
  <c r="BD32" i="59"/>
  <c r="BC32" i="59"/>
  <c r="BD33" i="59"/>
  <c r="BC33" i="59"/>
  <c r="BD34" i="59"/>
  <c r="BC34" i="59"/>
  <c r="BD35" i="59"/>
  <c r="BC35" i="59"/>
  <c r="BD36" i="59"/>
  <c r="BC36" i="59"/>
  <c r="BD37" i="59"/>
  <c r="BC37" i="59"/>
  <c r="BD38" i="59"/>
  <c r="BC38" i="59"/>
  <c r="C534" i="8"/>
  <c r="D534" i="8"/>
  <c r="C535" i="8"/>
  <c r="D535" i="8"/>
  <c r="C536" i="8"/>
  <c r="D536" i="8"/>
  <c r="C537" i="8"/>
  <c r="D537" i="8"/>
  <c r="C538" i="8"/>
  <c r="D538" i="8"/>
  <c r="C539" i="8"/>
  <c r="D539" i="8"/>
  <c r="C540" i="8"/>
  <c r="D540" i="8"/>
  <c r="C541" i="8"/>
  <c r="D541" i="8"/>
  <c r="C542" i="8"/>
  <c r="D542" i="8"/>
  <c r="C543" i="8"/>
  <c r="D543" i="8"/>
  <c r="C544" i="8"/>
  <c r="D544" i="8"/>
  <c r="C545" i="8"/>
  <c r="D545" i="8"/>
  <c r="C546" i="8"/>
  <c r="D546" i="8"/>
  <c r="C547" i="8"/>
  <c r="D547" i="8"/>
  <c r="C548" i="8"/>
  <c r="D548" i="8"/>
  <c r="C549" i="8"/>
  <c r="D549" i="8"/>
  <c r="C550" i="8"/>
  <c r="D550" i="8"/>
  <c r="C551" i="8"/>
  <c r="D551" i="8"/>
  <c r="C552" i="8"/>
  <c r="D552" i="8"/>
  <c r="C553" i="8"/>
  <c r="D553" i="8"/>
  <c r="C554" i="8"/>
  <c r="D554" i="8"/>
  <c r="C556" i="8"/>
  <c r="D556" i="8"/>
  <c r="C557" i="8"/>
  <c r="D557" i="8"/>
  <c r="C558" i="8"/>
  <c r="D558" i="8"/>
  <c r="C559" i="8"/>
  <c r="D559" i="8"/>
  <c r="C560" i="8"/>
  <c r="D560" i="8"/>
  <c r="C561" i="8"/>
  <c r="D561" i="8"/>
  <c r="C562" i="8"/>
  <c r="D562" i="8"/>
  <c r="C563" i="8"/>
  <c r="D563" i="8"/>
  <c r="C564" i="8"/>
  <c r="D564" i="8"/>
  <c r="C565" i="8"/>
  <c r="D565" i="8"/>
  <c r="C566" i="8"/>
  <c r="D566" i="8"/>
  <c r="C567" i="8"/>
  <c r="D567" i="8"/>
  <c r="C568" i="8"/>
  <c r="D568" i="8"/>
  <c r="C569" i="8"/>
  <c r="D569" i="8"/>
  <c r="C570" i="8"/>
  <c r="D570" i="8"/>
  <c r="C571" i="8"/>
  <c r="D571" i="8"/>
  <c r="C572" i="8"/>
  <c r="D572" i="8"/>
  <c r="C573" i="8"/>
  <c r="D573" i="8"/>
  <c r="C574" i="8"/>
  <c r="D574" i="8"/>
  <c r="C575" i="8"/>
  <c r="D575" i="8"/>
  <c r="C577" i="8"/>
  <c r="D577" i="8"/>
  <c r="G534" i="8"/>
  <c r="H534" i="8"/>
  <c r="G535" i="8"/>
  <c r="H535" i="8"/>
  <c r="G536" i="8"/>
  <c r="H536" i="8"/>
  <c r="G537" i="8"/>
  <c r="H537" i="8"/>
  <c r="G538" i="8"/>
  <c r="H538" i="8"/>
  <c r="G539" i="8"/>
  <c r="H539" i="8"/>
  <c r="G540" i="8"/>
  <c r="H540" i="8"/>
  <c r="G541" i="8"/>
  <c r="H541" i="8"/>
  <c r="G542" i="8"/>
  <c r="H542" i="8"/>
  <c r="G543" i="8"/>
  <c r="H543" i="8"/>
  <c r="G544" i="8"/>
  <c r="H544" i="8"/>
  <c r="G545" i="8"/>
  <c r="H545" i="8"/>
  <c r="G546" i="8"/>
  <c r="H546" i="8"/>
  <c r="G547" i="8"/>
  <c r="H547" i="8"/>
  <c r="G548" i="8"/>
  <c r="H548" i="8"/>
  <c r="G549" i="8"/>
  <c r="H549" i="8"/>
  <c r="G550" i="8"/>
  <c r="H550" i="8"/>
  <c r="G551" i="8"/>
  <c r="H551" i="8"/>
  <c r="G552" i="8"/>
  <c r="H552" i="8"/>
  <c r="G553" i="8"/>
  <c r="H553" i="8"/>
  <c r="G554" i="8"/>
  <c r="H554" i="8"/>
  <c r="G556" i="8"/>
  <c r="G557" i="8"/>
  <c r="G558" i="8"/>
  <c r="I558" i="8" s="1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F4" i="105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E237" i="8"/>
  <c r="X9" i="162"/>
  <c r="D347" i="8" s="1"/>
  <c r="AH13" i="162"/>
  <c r="AH49" i="162"/>
  <c r="AH12" i="162"/>
  <c r="AH14" i="162"/>
  <c r="AH15" i="162"/>
  <c r="AH16" i="162"/>
  <c r="AH17" i="162"/>
  <c r="AH18" i="162"/>
  <c r="AH19" i="162"/>
  <c r="AH20" i="162"/>
  <c r="AH21" i="162"/>
  <c r="AH22" i="162"/>
  <c r="AH23" i="162"/>
  <c r="AH24" i="162"/>
  <c r="AH25" i="162"/>
  <c r="AH26" i="162"/>
  <c r="AH27" i="162"/>
  <c r="AR18" i="95"/>
  <c r="AR19" i="95"/>
  <c r="AR23" i="95"/>
  <c r="AR24" i="95"/>
  <c r="AR25" i="95"/>
  <c r="AR26" i="95"/>
  <c r="AR27" i="95"/>
  <c r="AR28" i="95"/>
  <c r="AR29" i="95"/>
  <c r="AR30" i="95"/>
  <c r="AR31" i="95"/>
  <c r="AU3" i="95"/>
  <c r="L35" i="134"/>
  <c r="G3" i="142"/>
  <c r="AA21" i="142" s="1"/>
  <c r="N10" i="42"/>
  <c r="O10" i="42"/>
  <c r="AJ13" i="162"/>
  <c r="AJ14" i="162"/>
  <c r="AJ15" i="162"/>
  <c r="AJ16" i="162"/>
  <c r="AJ49" i="162"/>
  <c r="AJ12" i="162"/>
  <c r="AJ17" i="162"/>
  <c r="AJ18" i="162"/>
  <c r="AJ19" i="162"/>
  <c r="AJ20" i="162"/>
  <c r="AJ21" i="162"/>
  <c r="AJ22" i="162"/>
  <c r="AJ23" i="162"/>
  <c r="AJ24" i="162"/>
  <c r="AJ25" i="162"/>
  <c r="AJ26" i="162"/>
  <c r="AJ27" i="162"/>
  <c r="AK13" i="162"/>
  <c r="AK49" i="162"/>
  <c r="AK12" i="162"/>
  <c r="AK14" i="162"/>
  <c r="AK15" i="162"/>
  <c r="AK16" i="162"/>
  <c r="AK17" i="162"/>
  <c r="AK18" i="162"/>
  <c r="AK19" i="162"/>
  <c r="AK20" i="162"/>
  <c r="AK21" i="162"/>
  <c r="AK22" i="162"/>
  <c r="AK23" i="162"/>
  <c r="AK24" i="162"/>
  <c r="AK25" i="162"/>
  <c r="AK26" i="162"/>
  <c r="AK27" i="162"/>
  <c r="O10" i="162"/>
  <c r="O11" i="162"/>
  <c r="O12" i="162"/>
  <c r="E164" i="13" s="1"/>
  <c r="O13" i="162"/>
  <c r="O14" i="162"/>
  <c r="O15" i="162"/>
  <c r="O16" i="162"/>
  <c r="O17" i="162"/>
  <c r="O18" i="162"/>
  <c r="O19" i="162"/>
  <c r="O20" i="162"/>
  <c r="O21" i="162"/>
  <c r="O22" i="162"/>
  <c r="O23" i="162"/>
  <c r="L10" i="162"/>
  <c r="E152" i="13" s="1"/>
  <c r="L11" i="162"/>
  <c r="AJ10" i="162"/>
  <c r="AJ11" i="162"/>
  <c r="AJ28" i="162"/>
  <c r="AJ29" i="162"/>
  <c r="AJ30" i="162"/>
  <c r="AJ31" i="162"/>
  <c r="AJ32" i="162"/>
  <c r="AJ33" i="162"/>
  <c r="AJ34" i="162"/>
  <c r="AJ35" i="162"/>
  <c r="AJ36" i="162"/>
  <c r="AJ37" i="162"/>
  <c r="AJ38" i="162"/>
  <c r="AJ39" i="162"/>
  <c r="AJ40" i="162"/>
  <c r="AJ41" i="162"/>
  <c r="AJ42" i="162"/>
  <c r="AJ43" i="162"/>
  <c r="AJ44" i="162"/>
  <c r="AJ45" i="162"/>
  <c r="AJ46" i="162"/>
  <c r="AJ47" i="162"/>
  <c r="AJ48" i="162"/>
  <c r="AK10" i="162"/>
  <c r="AK11" i="162"/>
  <c r="AK28" i="162"/>
  <c r="AK29" i="162"/>
  <c r="AK30" i="162"/>
  <c r="AK31" i="162"/>
  <c r="AK32" i="162"/>
  <c r="AK33" i="162"/>
  <c r="AK34" i="162"/>
  <c r="AK35" i="162"/>
  <c r="AK36" i="162"/>
  <c r="AK37" i="162"/>
  <c r="AK38" i="162"/>
  <c r="AK39" i="162"/>
  <c r="AK40" i="162"/>
  <c r="AK41" i="162"/>
  <c r="AK42" i="162"/>
  <c r="AK43" i="162"/>
  <c r="AK44" i="162"/>
  <c r="AK45" i="162"/>
  <c r="AK46" i="162"/>
  <c r="AK47" i="162"/>
  <c r="AK48" i="162"/>
  <c r="F9" i="25"/>
  <c r="F21" i="25"/>
  <c r="S7" i="25"/>
  <c r="V7" i="25"/>
  <c r="Y7" i="25"/>
  <c r="E9" i="143"/>
  <c r="E251" i="13" s="1"/>
  <c r="K10" i="34"/>
  <c r="F9" i="91"/>
  <c r="E124" i="13" s="1"/>
  <c r="G9" i="90"/>
  <c r="E9" i="112"/>
  <c r="H11" i="116"/>
  <c r="H12" i="116"/>
  <c r="H13" i="116"/>
  <c r="H14" i="116"/>
  <c r="H15" i="116"/>
  <c r="H16" i="116"/>
  <c r="H18" i="116"/>
  <c r="H20" i="116"/>
  <c r="E8" i="38"/>
  <c r="E68" i="13" s="1"/>
  <c r="F9" i="38"/>
  <c r="O9" i="38" s="1"/>
  <c r="Q9" i="38" s="1"/>
  <c r="F10" i="38"/>
  <c r="O10" i="38" s="1"/>
  <c r="Q10" i="38" s="1"/>
  <c r="F11" i="38"/>
  <c r="F12" i="38"/>
  <c r="O12" i="38" s="1"/>
  <c r="Q12" i="38" s="1"/>
  <c r="F13" i="38"/>
  <c r="O13" i="38" s="1"/>
  <c r="Q13" i="38" s="1"/>
  <c r="F14" i="38"/>
  <c r="O14" i="38" s="1"/>
  <c r="Q14" i="38" s="1"/>
  <c r="F15" i="38"/>
  <c r="O15" i="38" s="1"/>
  <c r="Q15" i="38" s="1"/>
  <c r="F16" i="38"/>
  <c r="O16" i="38" s="1"/>
  <c r="Q16" i="38" s="1"/>
  <c r="S9" i="143"/>
  <c r="F251" i="13" s="1"/>
  <c r="L13" i="90"/>
  <c r="T10" i="34"/>
  <c r="Q9" i="91"/>
  <c r="F124" i="13" s="1"/>
  <c r="M9" i="90"/>
  <c r="F120" i="13" s="1"/>
  <c r="R9" i="112"/>
  <c r="T11" i="116"/>
  <c r="T12" i="116"/>
  <c r="T13" i="116"/>
  <c r="T14" i="116"/>
  <c r="T15" i="116"/>
  <c r="T16" i="116"/>
  <c r="T17" i="116"/>
  <c r="T18" i="116"/>
  <c r="T20" i="116"/>
  <c r="P8" i="38"/>
  <c r="F68" i="13" s="1"/>
  <c r="BG17" i="95"/>
  <c r="BG18" i="95"/>
  <c r="BG20" i="95"/>
  <c r="BG21" i="95"/>
  <c r="BG22" i="95"/>
  <c r="BG23" i="95"/>
  <c r="BG24" i="95"/>
  <c r="BG25" i="95"/>
  <c r="BG26" i="95"/>
  <c r="BG27" i="95"/>
  <c r="BG29" i="95"/>
  <c r="BG30" i="95"/>
  <c r="BG31" i="95"/>
  <c r="BG16" i="95"/>
  <c r="AX32" i="95"/>
  <c r="AB26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E7" i="65"/>
  <c r="E86" i="13" s="1"/>
  <c r="F7" i="66"/>
  <c r="E89" i="13" s="1"/>
  <c r="O34" i="14" s="1"/>
  <c r="G7" i="67"/>
  <c r="E90" i="13" s="1"/>
  <c r="O35" i="14" s="1"/>
  <c r="H7" i="68"/>
  <c r="E91" i="13" s="1"/>
  <c r="O36" i="14" s="1"/>
  <c r="G7" i="69"/>
  <c r="E92" i="13" s="1"/>
  <c r="O37" i="14" s="1"/>
  <c r="F7" i="65"/>
  <c r="F86" i="13" s="1"/>
  <c r="G7" i="66"/>
  <c r="H7" i="67"/>
  <c r="F90" i="13" s="1"/>
  <c r="P35" i="14" s="1"/>
  <c r="I7" i="68"/>
  <c r="H7" i="69"/>
  <c r="Z11" i="72"/>
  <c r="Z11" i="73"/>
  <c r="P10" i="82"/>
  <c r="F53" i="8" s="1"/>
  <c r="AA13" i="162"/>
  <c r="AA14" i="162"/>
  <c r="AA15" i="162"/>
  <c r="AA16" i="162"/>
  <c r="AA17" i="162"/>
  <c r="AA18" i="162"/>
  <c r="AA19" i="162"/>
  <c r="AA20" i="162"/>
  <c r="AA21" i="162"/>
  <c r="AA22" i="162"/>
  <c r="AA23" i="162"/>
  <c r="O24" i="162"/>
  <c r="AA24" i="162"/>
  <c r="O25" i="162"/>
  <c r="AA25" i="162"/>
  <c r="O26" i="162"/>
  <c r="AA26" i="162"/>
  <c r="O27" i="162"/>
  <c r="AA27" i="162"/>
  <c r="L28" i="162"/>
  <c r="O28" i="162"/>
  <c r="AA28" i="162"/>
  <c r="AB28" i="162"/>
  <c r="AH28" i="162"/>
  <c r="L29" i="162"/>
  <c r="O29" i="162"/>
  <c r="AA29" i="162"/>
  <c r="AB29" i="162"/>
  <c r="AD29" i="162" s="1"/>
  <c r="AH29" i="162"/>
  <c r="L30" i="162"/>
  <c r="O30" i="162"/>
  <c r="AA30" i="162"/>
  <c r="AB30" i="162"/>
  <c r="AD30" i="162" s="1"/>
  <c r="AH30" i="162"/>
  <c r="L31" i="162"/>
  <c r="O31" i="162"/>
  <c r="AA31" i="162"/>
  <c r="AB31" i="162"/>
  <c r="AD31" i="162" s="1"/>
  <c r="AH31" i="162"/>
  <c r="L32" i="162"/>
  <c r="O32" i="162"/>
  <c r="AA32" i="162"/>
  <c r="AB32" i="162"/>
  <c r="AD32" i="162" s="1"/>
  <c r="AH32" i="162"/>
  <c r="L33" i="162"/>
  <c r="O33" i="162"/>
  <c r="AA33" i="162"/>
  <c r="AB33" i="162"/>
  <c r="AD33" i="162" s="1"/>
  <c r="AH33" i="162"/>
  <c r="L34" i="162"/>
  <c r="O34" i="162"/>
  <c r="AA34" i="162"/>
  <c r="AB34" i="162"/>
  <c r="AD34" i="162" s="1"/>
  <c r="AH34" i="162"/>
  <c r="L35" i="162"/>
  <c r="O35" i="162"/>
  <c r="AA35" i="162"/>
  <c r="AB35" i="162"/>
  <c r="AD35" i="162" s="1"/>
  <c r="AH35" i="162"/>
  <c r="L36" i="162"/>
  <c r="O36" i="162"/>
  <c r="AA36" i="162"/>
  <c r="AB36" i="162"/>
  <c r="AD36" i="162" s="1"/>
  <c r="AH36" i="162"/>
  <c r="L37" i="162"/>
  <c r="O37" i="162"/>
  <c r="AA37" i="162"/>
  <c r="AB37" i="162"/>
  <c r="AD37" i="162" s="1"/>
  <c r="AH37" i="162"/>
  <c r="L38" i="162"/>
  <c r="O38" i="162"/>
  <c r="AA38" i="162"/>
  <c r="AB38" i="162"/>
  <c r="AD38" i="162" s="1"/>
  <c r="AH38" i="162"/>
  <c r="L39" i="162"/>
  <c r="O39" i="162"/>
  <c r="AA39" i="162"/>
  <c r="AB39" i="162"/>
  <c r="AD39" i="162" s="1"/>
  <c r="AH39" i="162"/>
  <c r="L40" i="162"/>
  <c r="O40" i="162"/>
  <c r="AA40" i="162"/>
  <c r="AB40" i="162"/>
  <c r="AD40" i="162" s="1"/>
  <c r="AH40" i="162"/>
  <c r="L41" i="162"/>
  <c r="O41" i="162"/>
  <c r="AA41" i="162"/>
  <c r="AB41" i="162"/>
  <c r="AD41" i="162" s="1"/>
  <c r="AH41" i="162"/>
  <c r="L42" i="162"/>
  <c r="O42" i="162"/>
  <c r="AA42" i="162"/>
  <c r="AB42" i="162"/>
  <c r="AD42" i="162" s="1"/>
  <c r="AH42" i="162"/>
  <c r="L43" i="162"/>
  <c r="O43" i="162"/>
  <c r="AA43" i="162"/>
  <c r="AB43" i="162"/>
  <c r="AD43" i="162" s="1"/>
  <c r="AH43" i="162"/>
  <c r="L44" i="162"/>
  <c r="O44" i="162"/>
  <c r="AA44" i="162"/>
  <c r="AB44" i="162"/>
  <c r="AD44" i="162" s="1"/>
  <c r="AH44" i="162"/>
  <c r="L45" i="162"/>
  <c r="O45" i="162"/>
  <c r="AA45" i="162"/>
  <c r="AB45" i="162"/>
  <c r="AD45" i="162" s="1"/>
  <c r="AH45" i="162"/>
  <c r="L46" i="162"/>
  <c r="O46" i="162"/>
  <c r="AA46" i="162"/>
  <c r="AB46" i="162"/>
  <c r="AD46" i="162" s="1"/>
  <c r="AH46" i="162"/>
  <c r="L47" i="162"/>
  <c r="O47" i="162"/>
  <c r="AA47" i="162"/>
  <c r="AB47" i="162"/>
  <c r="AD47" i="162" s="1"/>
  <c r="AH47" i="162"/>
  <c r="L48" i="162"/>
  <c r="O48" i="162"/>
  <c r="AA48" i="162"/>
  <c r="AB48" i="162"/>
  <c r="AD48" i="162" s="1"/>
  <c r="AH48" i="162"/>
  <c r="AA10" i="162"/>
  <c r="AB10" i="162"/>
  <c r="AD10" i="162" s="1"/>
  <c r="AH10" i="162"/>
  <c r="AA11" i="162"/>
  <c r="AB11" i="162"/>
  <c r="AD11" i="162" s="1"/>
  <c r="AH11" i="162"/>
  <c r="AC33" i="116"/>
  <c r="AC32" i="116"/>
  <c r="AC31" i="116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2" i="109"/>
  <c r="A11" i="109"/>
  <c r="M9" i="71"/>
  <c r="M10" i="71"/>
  <c r="M11" i="71"/>
  <c r="M12" i="71"/>
  <c r="M13" i="71"/>
  <c r="M14" i="71"/>
  <c r="M15" i="71"/>
  <c r="D13" i="80"/>
  <c r="A11" i="78"/>
  <c r="D14" i="4"/>
  <c r="BV48" i="95" s="1"/>
  <c r="A8" i="27"/>
  <c r="A31" i="25"/>
  <c r="A30" i="25"/>
  <c r="A28" i="25"/>
  <c r="A27" i="25"/>
  <c r="A26" i="25"/>
  <c r="A25" i="25"/>
  <c r="A24" i="25"/>
  <c r="A23" i="25"/>
  <c r="A22" i="25"/>
  <c r="A20" i="25"/>
  <c r="A19" i="25"/>
  <c r="A17" i="25"/>
  <c r="A16" i="25"/>
  <c r="A15" i="25"/>
  <c r="A14" i="25"/>
  <c r="A13" i="25"/>
  <c r="A12" i="25"/>
  <c r="A11" i="25"/>
  <c r="A10" i="25"/>
  <c r="A35" i="10"/>
  <c r="A34" i="10"/>
  <c r="E121" i="105"/>
  <c r="E103" i="105"/>
  <c r="E11" i="105"/>
  <c r="E129" i="105"/>
  <c r="E157" i="105"/>
  <c r="G170" i="105"/>
  <c r="G169" i="105"/>
  <c r="G168" i="105"/>
  <c r="G167" i="105"/>
  <c r="G166" i="105"/>
  <c r="G165" i="105"/>
  <c r="G164" i="105"/>
  <c r="G163" i="105"/>
  <c r="G162" i="105"/>
  <c r="G161" i="105"/>
  <c r="G160" i="105"/>
  <c r="G158" i="105"/>
  <c r="G159" i="105"/>
  <c r="F157" i="105"/>
  <c r="F135" i="8" s="1"/>
  <c r="F129" i="105"/>
  <c r="F134" i="8" s="1"/>
  <c r="D157" i="105"/>
  <c r="G156" i="105"/>
  <c r="H156" i="105" s="1"/>
  <c r="G151" i="105"/>
  <c r="G150" i="105"/>
  <c r="G149" i="105"/>
  <c r="G148" i="105"/>
  <c r="G147" i="105"/>
  <c r="G146" i="105"/>
  <c r="G145" i="105"/>
  <c r="G144" i="105"/>
  <c r="G143" i="105"/>
  <c r="G142" i="105"/>
  <c r="G141" i="105"/>
  <c r="G140" i="105"/>
  <c r="G139" i="105"/>
  <c r="G138" i="105"/>
  <c r="G137" i="105"/>
  <c r="G136" i="105"/>
  <c r="G135" i="105"/>
  <c r="G134" i="105"/>
  <c r="G133" i="105"/>
  <c r="G132" i="105"/>
  <c r="G131" i="105"/>
  <c r="G130" i="105"/>
  <c r="D129" i="105"/>
  <c r="D128" i="105" s="1"/>
  <c r="G8" i="32"/>
  <c r="K9" i="132"/>
  <c r="M9" i="132"/>
  <c r="N9" i="132"/>
  <c r="L10" i="129" s="1"/>
  <c r="L9" i="129" s="1"/>
  <c r="L9" i="132"/>
  <c r="K10" i="129" s="1"/>
  <c r="K9" i="129" s="1"/>
  <c r="J4" i="44" s="1"/>
  <c r="E11" i="10"/>
  <c r="H11" i="10" s="1"/>
  <c r="E12" i="10"/>
  <c r="H12" i="10" s="1"/>
  <c r="K29" i="135"/>
  <c r="H14" i="134"/>
  <c r="H15" i="134"/>
  <c r="H16" i="134"/>
  <c r="H17" i="134"/>
  <c r="H18" i="134"/>
  <c r="H19" i="134"/>
  <c r="H20" i="134"/>
  <c r="H21" i="134"/>
  <c r="H22" i="134"/>
  <c r="H23" i="134"/>
  <c r="H24" i="134"/>
  <c r="H25" i="134"/>
  <c r="H26" i="134"/>
  <c r="H27" i="134"/>
  <c r="H28" i="134"/>
  <c r="K12" i="135"/>
  <c r="K13" i="135"/>
  <c r="K14" i="135"/>
  <c r="K15" i="135"/>
  <c r="K16" i="135"/>
  <c r="K17" i="135"/>
  <c r="K18" i="135"/>
  <c r="K19" i="135"/>
  <c r="K20" i="135"/>
  <c r="K21" i="135"/>
  <c r="K22" i="135"/>
  <c r="K23" i="135"/>
  <c r="K24" i="135"/>
  <c r="K25" i="135"/>
  <c r="K26" i="135"/>
  <c r="K27" i="135"/>
  <c r="F9" i="136"/>
  <c r="F10" i="136"/>
  <c r="F11" i="136"/>
  <c r="F12" i="136"/>
  <c r="F13" i="136"/>
  <c r="F14" i="136"/>
  <c r="F15" i="136"/>
  <c r="F18" i="136"/>
  <c r="I7" i="137"/>
  <c r="I9" i="137"/>
  <c r="I10" i="137"/>
  <c r="I11" i="137"/>
  <c r="I12" i="137"/>
  <c r="I13" i="137"/>
  <c r="I16" i="137"/>
  <c r="K32" i="135"/>
  <c r="K30" i="135"/>
  <c r="H32" i="134" s="1"/>
  <c r="U31" i="134"/>
  <c r="V31" i="134"/>
  <c r="W31" i="134"/>
  <c r="X31" i="134"/>
  <c r="Z31" i="134"/>
  <c r="AA31" i="134"/>
  <c r="AB31" i="134"/>
  <c r="AC31" i="134"/>
  <c r="AD31" i="134"/>
  <c r="AE31" i="134"/>
  <c r="AF31" i="134"/>
  <c r="AG31" i="134"/>
  <c r="AI31" i="134"/>
  <c r="AJ31" i="134"/>
  <c r="AK31" i="134"/>
  <c r="AL31" i="134"/>
  <c r="AM31" i="134"/>
  <c r="AN31" i="134"/>
  <c r="AO31" i="134"/>
  <c r="AP31" i="134"/>
  <c r="AQ31" i="134"/>
  <c r="AR31" i="134"/>
  <c r="AS31" i="134"/>
  <c r="AT31" i="134"/>
  <c r="AV31" i="134"/>
  <c r="AW31" i="134"/>
  <c r="AX31" i="134"/>
  <c r="AY31" i="134"/>
  <c r="AZ31" i="134"/>
  <c r="BB31" i="134"/>
  <c r="BC31" i="134"/>
  <c r="BD31" i="134"/>
  <c r="BE31" i="134"/>
  <c r="BQ31" i="134"/>
  <c r="U32" i="134"/>
  <c r="V32" i="134"/>
  <c r="W32" i="134"/>
  <c r="X32" i="134"/>
  <c r="Z32" i="134"/>
  <c r="AA32" i="134"/>
  <c r="AB32" i="134"/>
  <c r="AC32" i="134"/>
  <c r="AD32" i="134"/>
  <c r="AE32" i="134"/>
  <c r="AF32" i="134"/>
  <c r="AG32" i="134"/>
  <c r="AI32" i="134"/>
  <c r="AJ32" i="134"/>
  <c r="AK32" i="134"/>
  <c r="AL32" i="134"/>
  <c r="AM32" i="134"/>
  <c r="AN32" i="134"/>
  <c r="AO32" i="134"/>
  <c r="AP32" i="134"/>
  <c r="AQ32" i="134"/>
  <c r="AR32" i="134"/>
  <c r="AS32" i="134"/>
  <c r="AT32" i="134"/>
  <c r="AU32" i="134"/>
  <c r="AV32" i="134"/>
  <c r="AW32" i="134"/>
  <c r="AX32" i="134"/>
  <c r="AY32" i="134"/>
  <c r="AZ32" i="134"/>
  <c r="BA32" i="134"/>
  <c r="BB32" i="134"/>
  <c r="BC32" i="134"/>
  <c r="BD32" i="134"/>
  <c r="BE32" i="134"/>
  <c r="BQ32" i="134"/>
  <c r="U33" i="134"/>
  <c r="U34" i="134"/>
  <c r="V33" i="134"/>
  <c r="V34" i="134"/>
  <c r="W33" i="134"/>
  <c r="W34" i="134"/>
  <c r="X33" i="134"/>
  <c r="X34" i="134"/>
  <c r="Z33" i="134"/>
  <c r="Z34" i="134"/>
  <c r="AA33" i="134"/>
  <c r="AA34" i="134"/>
  <c r="AB33" i="134"/>
  <c r="AB34" i="134"/>
  <c r="AC33" i="134"/>
  <c r="AD33" i="134"/>
  <c r="AE33" i="134"/>
  <c r="AF33" i="134"/>
  <c r="AG33" i="134"/>
  <c r="BB33" i="134" s="1"/>
  <c r="AC34" i="134"/>
  <c r="AD34" i="134"/>
  <c r="AE34" i="134"/>
  <c r="AF34" i="134"/>
  <c r="AG34" i="134"/>
  <c r="BB34" i="134" s="1"/>
  <c r="AI33" i="134"/>
  <c r="AI34" i="134"/>
  <c r="AJ33" i="134"/>
  <c r="AJ34" i="134"/>
  <c r="AK33" i="134"/>
  <c r="AK34" i="134"/>
  <c r="AL33" i="134"/>
  <c r="AL34" i="134"/>
  <c r="AM33" i="134"/>
  <c r="AM34" i="134"/>
  <c r="AN33" i="134"/>
  <c r="AN34" i="134"/>
  <c r="AO33" i="134"/>
  <c r="AO34" i="134"/>
  <c r="AP33" i="134"/>
  <c r="AP34" i="134"/>
  <c r="AQ33" i="134"/>
  <c r="AQ34" i="134"/>
  <c r="AR33" i="134"/>
  <c r="AR34" i="134"/>
  <c r="AS33" i="134"/>
  <c r="AS34" i="134"/>
  <c r="AT33" i="134"/>
  <c r="AT34" i="134"/>
  <c r="AU33" i="134"/>
  <c r="AU34" i="134"/>
  <c r="BC33" i="134"/>
  <c r="BC34" i="134"/>
  <c r="BD34" i="134"/>
  <c r="BE33" i="134"/>
  <c r="BQ33" i="134"/>
  <c r="BQ34" i="134"/>
  <c r="I42" i="137"/>
  <c r="F19" i="136"/>
  <c r="F20" i="136"/>
  <c r="F21" i="136"/>
  <c r="F22" i="136"/>
  <c r="F23" i="136"/>
  <c r="F24" i="136"/>
  <c r="F25" i="136"/>
  <c r="F26" i="136"/>
  <c r="F27" i="136"/>
  <c r="F28" i="136"/>
  <c r="F29" i="136"/>
  <c r="F30" i="136"/>
  <c r="F40" i="136"/>
  <c r="I17" i="137"/>
  <c r="I18" i="137"/>
  <c r="I19" i="137"/>
  <c r="I20" i="137"/>
  <c r="I22" i="137"/>
  <c r="I23" i="137"/>
  <c r="I24" i="137"/>
  <c r="I25" i="137"/>
  <c r="I26" i="137"/>
  <c r="I27" i="137"/>
  <c r="I28" i="137"/>
  <c r="I29" i="137"/>
  <c r="I30" i="137"/>
  <c r="H9" i="149"/>
  <c r="F5" i="105"/>
  <c r="L8" i="28"/>
  <c r="O37" i="134"/>
  <c r="O38" i="134"/>
  <c r="O39" i="134"/>
  <c r="O36" i="134"/>
  <c r="O40" i="134"/>
  <c r="O41" i="134"/>
  <c r="O42" i="134"/>
  <c r="O43" i="134"/>
  <c r="O44" i="134"/>
  <c r="V8" i="28"/>
  <c r="K8" i="28"/>
  <c r="J8" i="28"/>
  <c r="I8" i="28"/>
  <c r="G22" i="23"/>
  <c r="G10" i="23"/>
  <c r="S16" i="87"/>
  <c r="S17" i="87"/>
  <c r="S11" i="87"/>
  <c r="S12" i="87"/>
  <c r="S13" i="87"/>
  <c r="S14" i="87"/>
  <c r="S15" i="87"/>
  <c r="S10" i="87"/>
  <c r="J77" i="35"/>
  <c r="J78" i="35"/>
  <c r="J79" i="35"/>
  <c r="J76" i="35"/>
  <c r="J75" i="35"/>
  <c r="J74" i="35"/>
  <c r="J73" i="35"/>
  <c r="T10" i="58" s="1"/>
  <c r="T9" i="58" s="1"/>
  <c r="F50" i="13"/>
  <c r="F49" i="13"/>
  <c r="J66" i="35"/>
  <c r="F51" i="13"/>
  <c r="N17" i="16" s="1"/>
  <c r="J64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4" i="35"/>
  <c r="J43" i="35"/>
  <c r="J41" i="35"/>
  <c r="J40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19" i="35"/>
  <c r="J16" i="35"/>
  <c r="J15" i="35"/>
  <c r="J13" i="35"/>
  <c r="J12" i="35"/>
  <c r="I46" i="35"/>
  <c r="I45" i="35" s="1"/>
  <c r="I72" i="35"/>
  <c r="I71" i="35"/>
  <c r="I70" i="35"/>
  <c r="H70" i="35"/>
  <c r="G70" i="35"/>
  <c r="I42" i="35"/>
  <c r="I39" i="35"/>
  <c r="I18" i="35"/>
  <c r="I17" i="35" s="1"/>
  <c r="I14" i="35"/>
  <c r="I11" i="35"/>
  <c r="G8" i="38"/>
  <c r="H8" i="38"/>
  <c r="K134" i="12"/>
  <c r="K133" i="12"/>
  <c r="K132" i="12"/>
  <c r="K131" i="12"/>
  <c r="K130" i="12"/>
  <c r="K129" i="12"/>
  <c r="K128" i="12"/>
  <c r="K127" i="12"/>
  <c r="K126" i="12"/>
  <c r="K125" i="12"/>
  <c r="K123" i="12"/>
  <c r="K122" i="12"/>
  <c r="K121" i="12"/>
  <c r="K20" i="12"/>
  <c r="Y9" i="162"/>
  <c r="M9" i="162"/>
  <c r="J9" i="162"/>
  <c r="AN45" i="116"/>
  <c r="AD50" i="116"/>
  <c r="AB53" i="116"/>
  <c r="AD49" i="116"/>
  <c r="AC30" i="116"/>
  <c r="AC22" i="116"/>
  <c r="AD47" i="116"/>
  <c r="AB45" i="116"/>
  <c r="A61" i="116"/>
  <c r="J61" i="116"/>
  <c r="K61" i="116"/>
  <c r="S61" i="116"/>
  <c r="W61" i="116" s="1"/>
  <c r="V61" i="116"/>
  <c r="AB61" i="116"/>
  <c r="AD61" i="116"/>
  <c r="AI61" i="116"/>
  <c r="AC26" i="116"/>
  <c r="AB54" i="116"/>
  <c r="AB48" i="116"/>
  <c r="P78" i="9"/>
  <c r="P76" i="9"/>
  <c r="O42" i="14"/>
  <c r="P74" i="9"/>
  <c r="J9" i="67"/>
  <c r="J10" i="67"/>
  <c r="J11" i="67"/>
  <c r="J12" i="67"/>
  <c r="J8" i="67"/>
  <c r="AV13" i="59"/>
  <c r="AV14" i="59"/>
  <c r="AV15" i="59"/>
  <c r="AV16" i="59"/>
  <c r="AV17" i="59"/>
  <c r="AV18" i="59"/>
  <c r="AV19" i="59"/>
  <c r="AV20" i="59"/>
  <c r="AV21" i="59"/>
  <c r="AV22" i="59"/>
  <c r="AV23" i="59"/>
  <c r="AV24" i="59"/>
  <c r="AV25" i="59"/>
  <c r="AV26" i="59"/>
  <c r="AV27" i="59"/>
  <c r="AV28" i="59"/>
  <c r="AV29" i="59"/>
  <c r="AV30" i="59"/>
  <c r="AV31" i="59"/>
  <c r="AV32" i="59"/>
  <c r="AV33" i="59"/>
  <c r="AV34" i="59"/>
  <c r="AV35" i="59"/>
  <c r="AV36" i="59"/>
  <c r="AV37" i="59"/>
  <c r="AV38" i="59"/>
  <c r="Z9" i="59"/>
  <c r="O5" i="149"/>
  <c r="N5" i="149"/>
  <c r="M5" i="149"/>
  <c r="L5" i="149"/>
  <c r="G5" i="149"/>
  <c r="F5" i="149"/>
  <c r="E18" i="35"/>
  <c r="E46" i="35"/>
  <c r="E45" i="35" s="1"/>
  <c r="S14" i="42"/>
  <c r="AK23" i="128"/>
  <c r="AE17" i="145"/>
  <c r="AE18" i="145"/>
  <c r="AE19" i="145"/>
  <c r="AE20" i="145"/>
  <c r="AE15" i="145"/>
  <c r="I8" i="38"/>
  <c r="J8" i="38"/>
  <c r="K8" i="38"/>
  <c r="L8" i="38"/>
  <c r="M8" i="38"/>
  <c r="N8" i="38"/>
  <c r="D8" i="38"/>
  <c r="A16" i="38"/>
  <c r="O71" i="36"/>
  <c r="O72" i="36"/>
  <c r="O73" i="36"/>
  <c r="O74" i="36"/>
  <c r="O75" i="36"/>
  <c r="O76" i="36"/>
  <c r="O77" i="36"/>
  <c r="O78" i="36"/>
  <c r="O79" i="36"/>
  <c r="O80" i="36"/>
  <c r="O81" i="36"/>
  <c r="O82" i="36"/>
  <c r="O83" i="36"/>
  <c r="O70" i="36"/>
  <c r="O16" i="36"/>
  <c r="O17" i="36"/>
  <c r="O19" i="36"/>
  <c r="O20" i="36"/>
  <c r="O23" i="36"/>
  <c r="O24" i="36"/>
  <c r="O25" i="36"/>
  <c r="O27" i="36"/>
  <c r="O28" i="36"/>
  <c r="O29" i="36"/>
  <c r="O30" i="36"/>
  <c r="O31" i="36"/>
  <c r="O32" i="36"/>
  <c r="O33" i="36"/>
  <c r="O34" i="36"/>
  <c r="O35" i="36"/>
  <c r="O36" i="36"/>
  <c r="O37" i="36"/>
  <c r="O38" i="36"/>
  <c r="O40" i="36"/>
  <c r="O44" i="36"/>
  <c r="O45" i="36"/>
  <c r="O47" i="36"/>
  <c r="O48" i="36"/>
  <c r="O51" i="36"/>
  <c r="O52" i="36"/>
  <c r="O53" i="36"/>
  <c r="O54" i="36"/>
  <c r="O55" i="36"/>
  <c r="O56" i="36"/>
  <c r="O57" i="36"/>
  <c r="O58" i="36"/>
  <c r="O59" i="36"/>
  <c r="O60" i="36"/>
  <c r="O61" i="36"/>
  <c r="O62" i="36"/>
  <c r="O63" i="36"/>
  <c r="O64" i="36"/>
  <c r="O65" i="36"/>
  <c r="O66" i="36"/>
  <c r="O68" i="36"/>
  <c r="O10" i="36"/>
  <c r="O11" i="36"/>
  <c r="F59" i="13" s="1"/>
  <c r="O9" i="36"/>
  <c r="F57" i="13" s="1"/>
  <c r="N69" i="36"/>
  <c r="N50" i="36"/>
  <c r="N49" i="36" s="1"/>
  <c r="N46" i="36"/>
  <c r="N43" i="36"/>
  <c r="N22" i="36"/>
  <c r="N18" i="36"/>
  <c r="N15" i="36"/>
  <c r="M68" i="37"/>
  <c r="A68" i="37"/>
  <c r="A68" i="36"/>
  <c r="W21" i="34"/>
  <c r="X21" i="34"/>
  <c r="A19" i="44"/>
  <c r="A66" i="37"/>
  <c r="A65" i="37"/>
  <c r="A64" i="37"/>
  <c r="A63" i="37"/>
  <c r="A62" i="37"/>
  <c r="A61" i="37"/>
  <c r="A60" i="37"/>
  <c r="A59" i="37"/>
  <c r="A58" i="37"/>
  <c r="A57" i="37"/>
  <c r="A56" i="37"/>
  <c r="A55" i="37"/>
  <c r="A54" i="37"/>
  <c r="A53" i="37"/>
  <c r="A52" i="37"/>
  <c r="A51" i="37"/>
  <c r="A50" i="37"/>
  <c r="A49" i="37"/>
  <c r="A48" i="37"/>
  <c r="A47" i="37"/>
  <c r="A46" i="37"/>
  <c r="A45" i="37"/>
  <c r="A44" i="37"/>
  <c r="A43" i="37"/>
  <c r="A42" i="37"/>
  <c r="A41" i="37"/>
  <c r="A40" i="37"/>
  <c r="A38" i="37"/>
  <c r="A37" i="37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7" i="35"/>
  <c r="A33" i="116"/>
  <c r="A32" i="116"/>
  <c r="A31" i="116"/>
  <c r="A30" i="116"/>
  <c r="A44" i="116"/>
  <c r="A45" i="116"/>
  <c r="A46" i="116"/>
  <c r="A47" i="116"/>
  <c r="A48" i="116"/>
  <c r="A49" i="116"/>
  <c r="A50" i="116"/>
  <c r="A51" i="116"/>
  <c r="A52" i="116"/>
  <c r="A53" i="116"/>
  <c r="A54" i="116"/>
  <c r="A55" i="116"/>
  <c r="A56" i="116"/>
  <c r="A57" i="116"/>
  <c r="A58" i="116"/>
  <c r="A59" i="116"/>
  <c r="A60" i="116"/>
  <c r="A22" i="116"/>
  <c r="A23" i="116"/>
  <c r="A24" i="116"/>
  <c r="A25" i="116"/>
  <c r="A26" i="116"/>
  <c r="A27" i="116"/>
  <c r="A28" i="116"/>
  <c r="A29" i="116"/>
  <c r="A21" i="116"/>
  <c r="A20" i="116"/>
  <c r="A11" i="116"/>
  <c r="A12" i="116"/>
  <c r="A13" i="116"/>
  <c r="A14" i="116"/>
  <c r="A15" i="116"/>
  <c r="A16" i="116"/>
  <c r="A17" i="116"/>
  <c r="A18" i="116"/>
  <c r="A9" i="125"/>
  <c r="S10" i="42"/>
  <c r="S11" i="42"/>
  <c r="S12" i="42"/>
  <c r="S13" i="42"/>
  <c r="S9" i="42"/>
  <c r="R33" i="116"/>
  <c r="V33" i="116" s="1"/>
  <c r="J33" i="116"/>
  <c r="S32" i="116"/>
  <c r="W32" i="116" s="1"/>
  <c r="K32" i="116"/>
  <c r="R31" i="116"/>
  <c r="V31" i="116" s="1"/>
  <c r="J31" i="116"/>
  <c r="G10" i="10"/>
  <c r="H76" i="9"/>
  <c r="H60" i="9"/>
  <c r="H50" i="9"/>
  <c r="H54" i="9" s="1"/>
  <c r="H24" i="9"/>
  <c r="I24" i="9"/>
  <c r="I76" i="9"/>
  <c r="I60" i="9"/>
  <c r="I50" i="9"/>
  <c r="I54" i="9" s="1"/>
  <c r="D22" i="37"/>
  <c r="D21" i="37" s="1"/>
  <c r="D15" i="37"/>
  <c r="D18" i="37"/>
  <c r="E11" i="35"/>
  <c r="AK16" i="128"/>
  <c r="AK17" i="128"/>
  <c r="AK18" i="128"/>
  <c r="AK19" i="128"/>
  <c r="AK20" i="128"/>
  <c r="AK21" i="128"/>
  <c r="AK22" i="128"/>
  <c r="AK15" i="128"/>
  <c r="AJ15" i="128"/>
  <c r="AJ17" i="128"/>
  <c r="AJ18" i="128"/>
  <c r="AJ19" i="128"/>
  <c r="AJ20" i="128"/>
  <c r="AJ21" i="128"/>
  <c r="AJ22" i="128"/>
  <c r="AJ23" i="128"/>
  <c r="AI15" i="128"/>
  <c r="AH15" i="128"/>
  <c r="AJ10" i="71"/>
  <c r="AJ11" i="71"/>
  <c r="AJ12" i="71"/>
  <c r="AJ13" i="71"/>
  <c r="AJ14" i="71"/>
  <c r="AJ15" i="71"/>
  <c r="AJ9" i="71"/>
  <c r="AQ10" i="59"/>
  <c r="K5" i="136"/>
  <c r="D140" i="8" s="1"/>
  <c r="P35" i="160"/>
  <c r="P36" i="160"/>
  <c r="P37" i="160"/>
  <c r="P34" i="160"/>
  <c r="V35" i="160"/>
  <c r="V36" i="160"/>
  <c r="V37" i="160"/>
  <c r="V34" i="160"/>
  <c r="T35" i="160"/>
  <c r="T36" i="160"/>
  <c r="T37" i="160"/>
  <c r="L44" i="137"/>
  <c r="L45" i="137"/>
  <c r="L43" i="137"/>
  <c r="L46" i="137"/>
  <c r="X34" i="135"/>
  <c r="X35" i="135"/>
  <c r="X33" i="135"/>
  <c r="X36" i="135"/>
  <c r="X37" i="135"/>
  <c r="X38" i="135"/>
  <c r="X39" i="135"/>
  <c r="X40" i="135"/>
  <c r="X41" i="135"/>
  <c r="X42" i="135"/>
  <c r="X43" i="135"/>
  <c r="X44" i="135"/>
  <c r="X45" i="135"/>
  <c r="X46" i="135"/>
  <c r="X47" i="135"/>
  <c r="X48" i="135"/>
  <c r="X49" i="135"/>
  <c r="X50" i="135"/>
  <c r="X51" i="135"/>
  <c r="X52" i="135"/>
  <c r="X53" i="135"/>
  <c r="X54" i="135"/>
  <c r="X55" i="135"/>
  <c r="X56" i="135"/>
  <c r="X57" i="135"/>
  <c r="X58" i="135"/>
  <c r="X59" i="135"/>
  <c r="X60" i="135"/>
  <c r="X61" i="135"/>
  <c r="X62" i="135"/>
  <c r="X63" i="135"/>
  <c r="X64" i="135"/>
  <c r="M18" i="42"/>
  <c r="F102" i="8"/>
  <c r="J16" i="42"/>
  <c r="J10" i="42" s="1"/>
  <c r="E110" i="8" s="1"/>
  <c r="D110" i="8" s="1"/>
  <c r="W15" i="116"/>
  <c r="V15" i="116"/>
  <c r="U15" i="116"/>
  <c r="S15" i="116"/>
  <c r="R15" i="116"/>
  <c r="Q15" i="116"/>
  <c r="P15" i="116"/>
  <c r="M15" i="116"/>
  <c r="L15" i="116"/>
  <c r="K15" i="116"/>
  <c r="J15" i="116"/>
  <c r="I15" i="116"/>
  <c r="G15" i="116"/>
  <c r="F15" i="116"/>
  <c r="W14" i="116"/>
  <c r="V14" i="116"/>
  <c r="U14" i="116"/>
  <c r="S14" i="116"/>
  <c r="R14" i="116"/>
  <c r="Q14" i="116"/>
  <c r="P14" i="116"/>
  <c r="M14" i="116"/>
  <c r="L14" i="116"/>
  <c r="K14" i="116"/>
  <c r="J14" i="116"/>
  <c r="I14" i="116"/>
  <c r="G14" i="116"/>
  <c r="F14" i="116"/>
  <c r="W12" i="116"/>
  <c r="U12" i="116"/>
  <c r="S12" i="116"/>
  <c r="Q12" i="116"/>
  <c r="P12" i="116"/>
  <c r="M12" i="116"/>
  <c r="L12" i="116"/>
  <c r="I12" i="116"/>
  <c r="G12" i="116"/>
  <c r="F12" i="116"/>
  <c r="F11" i="116"/>
  <c r="F13" i="116"/>
  <c r="F16" i="116"/>
  <c r="F18" i="116"/>
  <c r="F9" i="116"/>
  <c r="J9" i="116" s="1"/>
  <c r="Y14" i="76"/>
  <c r="Y15" i="76"/>
  <c r="Y16" i="76"/>
  <c r="Y17" i="76"/>
  <c r="Y18" i="76"/>
  <c r="Y19" i="76"/>
  <c r="Y20" i="76"/>
  <c r="Y13" i="76"/>
  <c r="P35" i="141"/>
  <c r="S35" i="141" s="1"/>
  <c r="P34" i="141"/>
  <c r="S34" i="141" s="1"/>
  <c r="AA10" i="89"/>
  <c r="W10" i="92"/>
  <c r="O11" i="132"/>
  <c r="O12" i="132"/>
  <c r="O13" i="132"/>
  <c r="O14" i="132"/>
  <c r="O10" i="132"/>
  <c r="AS10" i="59"/>
  <c r="AS11" i="59"/>
  <c r="AS12" i="59"/>
  <c r="AS13" i="59"/>
  <c r="AS14" i="59"/>
  <c r="AS15" i="59"/>
  <c r="AS16" i="59"/>
  <c r="AS17" i="59"/>
  <c r="AS18" i="59"/>
  <c r="AS19" i="59"/>
  <c r="AS20" i="59"/>
  <c r="AS21" i="59"/>
  <c r="AS22" i="59"/>
  <c r="AS23" i="59"/>
  <c r="AS24" i="59"/>
  <c r="AS25" i="59"/>
  <c r="AS26" i="59"/>
  <c r="AS27" i="59"/>
  <c r="AS28" i="59"/>
  <c r="AS29" i="59"/>
  <c r="AS30" i="59"/>
  <c r="AS31" i="59"/>
  <c r="AS32" i="59"/>
  <c r="AS33" i="59"/>
  <c r="AS34" i="59"/>
  <c r="AS35" i="59"/>
  <c r="AS36" i="59"/>
  <c r="AS37" i="59"/>
  <c r="AS38" i="59"/>
  <c r="X5" i="115"/>
  <c r="W5" i="115"/>
  <c r="W9" i="162"/>
  <c r="V9" i="162"/>
  <c r="U9" i="162"/>
  <c r="T9" i="162"/>
  <c r="S9" i="162"/>
  <c r="R9" i="162"/>
  <c r="Q9" i="162"/>
  <c r="P9" i="162"/>
  <c r="M148" i="12"/>
  <c r="A10" i="149"/>
  <c r="A11" i="143"/>
  <c r="A12" i="143"/>
  <c r="A13" i="143"/>
  <c r="A14" i="143"/>
  <c r="A15" i="143"/>
  <c r="A16" i="143"/>
  <c r="A17" i="143"/>
  <c r="A18" i="143"/>
  <c r="A19" i="143"/>
  <c r="A10" i="143"/>
  <c r="A26" i="120"/>
  <c r="A25" i="120"/>
  <c r="A24" i="120"/>
  <c r="A22" i="120"/>
  <c r="A21" i="120"/>
  <c r="A20" i="120"/>
  <c r="A18" i="120"/>
  <c r="A17" i="120"/>
  <c r="A16" i="120"/>
  <c r="A14" i="120"/>
  <c r="A13" i="120"/>
  <c r="A12" i="120"/>
  <c r="A10" i="119"/>
  <c r="A11" i="119"/>
  <c r="A12" i="119"/>
  <c r="A13" i="119"/>
  <c r="A14" i="119"/>
  <c r="A15" i="119"/>
  <c r="A16" i="119"/>
  <c r="A17" i="119"/>
  <c r="A18" i="119"/>
  <c r="A19" i="119"/>
  <c r="A20" i="119"/>
  <c r="A21" i="119"/>
  <c r="A9" i="119"/>
  <c r="A21" i="107"/>
  <c r="A20" i="107"/>
  <c r="A17" i="107"/>
  <c r="A16" i="107"/>
  <c r="A15" i="107"/>
  <c r="A14" i="107"/>
  <c r="A12" i="107"/>
  <c r="A11" i="107"/>
  <c r="A10" i="107"/>
  <c r="A13" i="95"/>
  <c r="A12" i="95"/>
  <c r="A11" i="95"/>
  <c r="A12" i="92"/>
  <c r="A13" i="92"/>
  <c r="A14" i="92"/>
  <c r="A15" i="92"/>
  <c r="A11" i="92"/>
  <c r="A10" i="92"/>
  <c r="A12" i="91"/>
  <c r="A13" i="91"/>
  <c r="A14" i="91"/>
  <c r="A15" i="91"/>
  <c r="A16" i="91"/>
  <c r="A17" i="91"/>
  <c r="A18" i="91"/>
  <c r="A11" i="91"/>
  <c r="A10" i="91"/>
  <c r="A14" i="90"/>
  <c r="A13" i="90"/>
  <c r="A12" i="90"/>
  <c r="A11" i="90"/>
  <c r="A10" i="90"/>
  <c r="A12" i="89"/>
  <c r="A13" i="89"/>
  <c r="A14" i="89"/>
  <c r="A15" i="89"/>
  <c r="A16" i="89"/>
  <c r="A17" i="89"/>
  <c r="A11" i="89"/>
  <c r="A10" i="89"/>
  <c r="A14" i="70"/>
  <c r="A13" i="70"/>
  <c r="A12" i="70"/>
  <c r="A11" i="70"/>
  <c r="A10" i="70"/>
  <c r="A9" i="70"/>
  <c r="A8" i="70"/>
  <c r="A8" i="67"/>
  <c r="A9" i="67"/>
  <c r="A10" i="67"/>
  <c r="A11" i="67"/>
  <c r="A12" i="67"/>
  <c r="A9" i="66"/>
  <c r="A10" i="66"/>
  <c r="A11" i="66"/>
  <c r="A12" i="66"/>
  <c r="A13" i="66"/>
  <c r="A14" i="66"/>
  <c r="A8" i="66"/>
  <c r="A9" i="65"/>
  <c r="A10" i="65"/>
  <c r="A11" i="65"/>
  <c r="A12" i="65"/>
  <c r="A13" i="65"/>
  <c r="A14" i="65"/>
  <c r="A8" i="65"/>
  <c r="A59" i="44"/>
  <c r="A58" i="44"/>
  <c r="A57" i="44"/>
  <c r="A56" i="44"/>
  <c r="O55" i="44"/>
  <c r="A55" i="44" s="1"/>
  <c r="A30" i="44"/>
  <c r="A29" i="44"/>
  <c r="A28" i="44"/>
  <c r="A27" i="44"/>
  <c r="A26" i="44"/>
  <c r="A25" i="44"/>
  <c r="A24" i="44"/>
  <c r="A23" i="44"/>
  <c r="A22" i="44"/>
  <c r="A21" i="44"/>
  <c r="A20" i="44"/>
  <c r="A18" i="44"/>
  <c r="A17" i="44"/>
  <c r="A18" i="43"/>
  <c r="A17" i="43"/>
  <c r="A16" i="43"/>
  <c r="A15" i="43"/>
  <c r="A14" i="43"/>
  <c r="A13" i="43"/>
  <c r="A12" i="43"/>
  <c r="A11" i="43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17" i="42"/>
  <c r="A9" i="38"/>
  <c r="A10" i="38"/>
  <c r="A11" i="38"/>
  <c r="A12" i="38"/>
  <c r="A13" i="38"/>
  <c r="A14" i="38"/>
  <c r="A15" i="38"/>
  <c r="A15" i="36"/>
  <c r="A14" i="36"/>
  <c r="A13" i="36"/>
  <c r="B8" i="35"/>
  <c r="B9" i="35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9" i="32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9" i="30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6" i="28"/>
  <c r="A9" i="28"/>
  <c r="A9" i="27"/>
  <c r="A10" i="27"/>
  <c r="A11" i="27"/>
  <c r="A12" i="27"/>
  <c r="A13" i="27"/>
  <c r="A14" i="27"/>
  <c r="A15" i="27"/>
  <c r="A16" i="27"/>
  <c r="A17" i="27"/>
  <c r="A18" i="27"/>
  <c r="A32" i="23"/>
  <c r="A31" i="23"/>
  <c r="A29" i="23"/>
  <c r="A28" i="23"/>
  <c r="A27" i="23"/>
  <c r="A26" i="23"/>
  <c r="A25" i="23"/>
  <c r="A24" i="23"/>
  <c r="A23" i="23"/>
  <c r="A12" i="23"/>
  <c r="A13" i="23"/>
  <c r="A14" i="23"/>
  <c r="A15" i="23"/>
  <c r="A16" i="23"/>
  <c r="A17" i="23"/>
  <c r="A18" i="23"/>
  <c r="A19" i="23"/>
  <c r="A21" i="23"/>
  <c r="A11" i="23"/>
  <c r="Q12" i="120"/>
  <c r="Q13" i="120"/>
  <c r="Q14" i="120"/>
  <c r="Q16" i="120"/>
  <c r="Q17" i="120"/>
  <c r="Q18" i="120"/>
  <c r="Q20" i="120"/>
  <c r="Q21" i="120"/>
  <c r="Q22" i="120"/>
  <c r="Q24" i="120"/>
  <c r="Q25" i="120"/>
  <c r="Q26" i="120"/>
  <c r="Q10" i="120"/>
  <c r="M12" i="120"/>
  <c r="O12" i="120" s="1"/>
  <c r="G23" i="120"/>
  <c r="G19" i="120"/>
  <c r="D19" i="120"/>
  <c r="E19" i="120"/>
  <c r="F19" i="120"/>
  <c r="H19" i="120"/>
  <c r="I19" i="120"/>
  <c r="J19" i="120"/>
  <c r="K19" i="120"/>
  <c r="L19" i="120"/>
  <c r="G15" i="120"/>
  <c r="G11" i="120"/>
  <c r="G34" i="141"/>
  <c r="G35" i="141"/>
  <c r="R33" i="141"/>
  <c r="O33" i="141"/>
  <c r="N33" i="141"/>
  <c r="M33" i="141"/>
  <c r="AP33" i="141" s="1"/>
  <c r="L33" i="141"/>
  <c r="K33" i="141"/>
  <c r="AO33" i="141" s="1"/>
  <c r="J33" i="141"/>
  <c r="AN33" i="141" s="1"/>
  <c r="H33" i="141"/>
  <c r="AL33" i="141" s="1"/>
  <c r="F33" i="141"/>
  <c r="D33" i="141"/>
  <c r="D36" i="141"/>
  <c r="E246" i="13" s="1"/>
  <c r="F36" i="141"/>
  <c r="H36" i="141"/>
  <c r="AL36" i="141" s="1"/>
  <c r="J36" i="141"/>
  <c r="AN36" i="141" s="1"/>
  <c r="K36" i="141"/>
  <c r="AO36" i="141" s="1"/>
  <c r="L36" i="141"/>
  <c r="M36" i="141"/>
  <c r="AP36" i="141" s="1"/>
  <c r="N36" i="141"/>
  <c r="N12" i="141"/>
  <c r="N15" i="141"/>
  <c r="N18" i="141"/>
  <c r="N21" i="141"/>
  <c r="N24" i="141"/>
  <c r="N27" i="141"/>
  <c r="N50" i="141"/>
  <c r="N53" i="141"/>
  <c r="N56" i="141"/>
  <c r="N59" i="141"/>
  <c r="O36" i="141"/>
  <c r="R36" i="141"/>
  <c r="G37" i="141"/>
  <c r="P37" i="141"/>
  <c r="S37" i="141" s="1"/>
  <c r="Y31" i="141"/>
  <c r="G38" i="141"/>
  <c r="P38" i="141"/>
  <c r="S38" i="141" s="1"/>
  <c r="Y32" i="141"/>
  <c r="M58" i="37"/>
  <c r="M57" i="37"/>
  <c r="M56" i="37"/>
  <c r="M55" i="37"/>
  <c r="M28" i="37"/>
  <c r="M27" i="37"/>
  <c r="M54" i="37"/>
  <c r="M26" i="37"/>
  <c r="D15" i="36"/>
  <c r="D22" i="36"/>
  <c r="D21" i="36" s="1"/>
  <c r="D18" i="36"/>
  <c r="AH13" i="117"/>
  <c r="AH12" i="117"/>
  <c r="H5" i="162"/>
  <c r="H4" i="162"/>
  <c r="I21" i="160"/>
  <c r="N21" i="160" s="1"/>
  <c r="I19" i="160"/>
  <c r="N19" i="160" s="1"/>
  <c r="Q22" i="109"/>
  <c r="S22" i="109" s="1"/>
  <c r="Q21" i="109"/>
  <c r="S21" i="109" s="1"/>
  <c r="F22" i="109"/>
  <c r="F21" i="109"/>
  <c r="E211" i="13"/>
  <c r="E210" i="13"/>
  <c r="F52" i="9" s="1"/>
  <c r="L52" i="9" s="1"/>
  <c r="O52" i="9" s="1"/>
  <c r="T17" i="87"/>
  <c r="D46" i="137"/>
  <c r="D45" i="137"/>
  <c r="D34" i="135"/>
  <c r="D36" i="135"/>
  <c r="D37" i="135"/>
  <c r="D38" i="135"/>
  <c r="D40" i="135"/>
  <c r="D42" i="135"/>
  <c r="D44" i="135"/>
  <c r="D45" i="135"/>
  <c r="D46" i="135"/>
  <c r="D48" i="135"/>
  <c r="D50" i="135"/>
  <c r="D52" i="135"/>
  <c r="D54" i="135"/>
  <c r="D55" i="135"/>
  <c r="D56" i="135"/>
  <c r="D58" i="135"/>
  <c r="D60" i="135"/>
  <c r="D62" i="135"/>
  <c r="D64" i="135"/>
  <c r="AB60" i="116"/>
  <c r="AB46" i="116"/>
  <c r="AB47" i="116"/>
  <c r="AB49" i="116"/>
  <c r="AB50" i="116"/>
  <c r="AB51" i="116"/>
  <c r="AB52" i="116"/>
  <c r="AB55" i="116"/>
  <c r="AB56" i="116"/>
  <c r="AB57" i="116"/>
  <c r="AB58" i="116"/>
  <c r="AB59" i="116"/>
  <c r="G8" i="140"/>
  <c r="E52" i="13"/>
  <c r="F18" i="16" s="1"/>
  <c r="E51" i="13"/>
  <c r="F17" i="16" s="1"/>
  <c r="I576" i="8"/>
  <c r="G575" i="8"/>
  <c r="S14" i="148"/>
  <c r="S11" i="148"/>
  <c r="AI16" i="128"/>
  <c r="AI17" i="128"/>
  <c r="AI18" i="128"/>
  <c r="AI19" i="128"/>
  <c r="AI20" i="128"/>
  <c r="AI21" i="128"/>
  <c r="AI22" i="128"/>
  <c r="AI23" i="128"/>
  <c r="W12" i="146"/>
  <c r="W13" i="146"/>
  <c r="W14" i="146"/>
  <c r="W15" i="146"/>
  <c r="W16" i="146"/>
  <c r="AC19" i="145"/>
  <c r="AC16" i="145"/>
  <c r="AC17" i="145"/>
  <c r="AC15" i="145"/>
  <c r="AC18" i="145"/>
  <c r="AC20" i="145"/>
  <c r="M11" i="114"/>
  <c r="M12" i="114"/>
  <c r="M13" i="114"/>
  <c r="M14" i="114"/>
  <c r="M10" i="114"/>
  <c r="W10" i="113"/>
  <c r="W11" i="113"/>
  <c r="W12" i="113"/>
  <c r="W13" i="113"/>
  <c r="W14" i="113"/>
  <c r="W15" i="113"/>
  <c r="W16" i="113"/>
  <c r="T15" i="94"/>
  <c r="T10" i="94"/>
  <c r="T13" i="94"/>
  <c r="T14" i="94"/>
  <c r="AQ11" i="59"/>
  <c r="AQ12" i="59"/>
  <c r="AQ13" i="59"/>
  <c r="AQ14" i="59"/>
  <c r="AQ15" i="59"/>
  <c r="AQ16" i="59"/>
  <c r="AQ17" i="59"/>
  <c r="AQ18" i="59"/>
  <c r="AQ19" i="59"/>
  <c r="AQ20" i="59"/>
  <c r="AQ21" i="59"/>
  <c r="AQ22" i="59"/>
  <c r="AQ23" i="59"/>
  <c r="AQ24" i="59"/>
  <c r="AQ25" i="59"/>
  <c r="AQ26" i="59"/>
  <c r="AQ27" i="59"/>
  <c r="AQ28" i="59"/>
  <c r="AQ29" i="59"/>
  <c r="AQ30" i="59"/>
  <c r="AQ31" i="59"/>
  <c r="AQ32" i="59"/>
  <c r="AQ33" i="59"/>
  <c r="AQ34" i="59"/>
  <c r="AQ35" i="59"/>
  <c r="AQ36" i="59"/>
  <c r="AQ37" i="59"/>
  <c r="AQ38" i="59"/>
  <c r="I9" i="66"/>
  <c r="I10" i="66"/>
  <c r="I11" i="66"/>
  <c r="I12" i="66"/>
  <c r="I13" i="66"/>
  <c r="I14" i="66"/>
  <c r="I8" i="66"/>
  <c r="V11" i="85"/>
  <c r="V12" i="85"/>
  <c r="V13" i="85"/>
  <c r="V14" i="85"/>
  <c r="V15" i="85"/>
  <c r="T11" i="87"/>
  <c r="T12" i="87"/>
  <c r="T13" i="87"/>
  <c r="T14" i="87"/>
  <c r="T15" i="87"/>
  <c r="T16" i="87"/>
  <c r="T10" i="87"/>
  <c r="R27" i="141"/>
  <c r="P29" i="141"/>
  <c r="S29" i="141" s="1"/>
  <c r="P28" i="141"/>
  <c r="O27" i="141"/>
  <c r="M27" i="141"/>
  <c r="AO27" i="141" s="1"/>
  <c r="L27" i="141"/>
  <c r="K27" i="141"/>
  <c r="AN27" i="141" s="1"/>
  <c r="J27" i="141"/>
  <c r="AM27" i="141" s="1"/>
  <c r="AL27" i="141"/>
  <c r="H27" i="141"/>
  <c r="AK27" i="141" s="1"/>
  <c r="F27" i="141"/>
  <c r="D27" i="141"/>
  <c r="G28" i="141"/>
  <c r="G29" i="141"/>
  <c r="Q35" i="160"/>
  <c r="Q36" i="160"/>
  <c r="Q37" i="160"/>
  <c r="Q34" i="160"/>
  <c r="R35" i="160"/>
  <c r="AG10" i="71"/>
  <c r="AG11" i="71"/>
  <c r="AG12" i="71"/>
  <c r="AG13" i="71"/>
  <c r="AG14" i="71"/>
  <c r="AG15" i="71"/>
  <c r="A21" i="140"/>
  <c r="I30" i="11"/>
  <c r="I23" i="11"/>
  <c r="T12" i="148"/>
  <c r="T13" i="148"/>
  <c r="T14" i="148"/>
  <c r="T11" i="148"/>
  <c r="AD16" i="145"/>
  <c r="AD17" i="145"/>
  <c r="AD18" i="145"/>
  <c r="AD19" i="145"/>
  <c r="AD20" i="145"/>
  <c r="AD15" i="145"/>
  <c r="M24" i="12"/>
  <c r="AV10" i="59"/>
  <c r="A9" i="50"/>
  <c r="A10" i="48"/>
  <c r="A33" i="10"/>
  <c r="A11" i="148"/>
  <c r="A12" i="148"/>
  <c r="A13" i="148"/>
  <c r="A14" i="148"/>
  <c r="A11" i="146"/>
  <c r="A12" i="146"/>
  <c r="A13" i="146"/>
  <c r="A14" i="146"/>
  <c r="A15" i="146"/>
  <c r="A16" i="146"/>
  <c r="A15" i="145"/>
  <c r="A16" i="145"/>
  <c r="A17" i="145"/>
  <c r="A18" i="145"/>
  <c r="A19" i="145"/>
  <c r="A20" i="145"/>
  <c r="A10" i="114"/>
  <c r="A11" i="114"/>
  <c r="A12" i="114"/>
  <c r="A13" i="114"/>
  <c r="A14" i="114"/>
  <c r="A10" i="113"/>
  <c r="A11" i="113"/>
  <c r="A12" i="113"/>
  <c r="A13" i="113"/>
  <c r="A14" i="113"/>
  <c r="A15" i="113"/>
  <c r="A16" i="113"/>
  <c r="A10" i="33"/>
  <c r="A11" i="33"/>
  <c r="A12" i="33"/>
  <c r="A13" i="33"/>
  <c r="G7" i="30"/>
  <c r="G6" i="30"/>
  <c r="A9" i="26"/>
  <c r="A20" i="140"/>
  <c r="A19" i="140"/>
  <c r="A18" i="140"/>
  <c r="A17" i="140"/>
  <c r="T14" i="80"/>
  <c r="T15" i="80"/>
  <c r="T16" i="80"/>
  <c r="T17" i="80"/>
  <c r="T18" i="80"/>
  <c r="T19" i="80"/>
  <c r="T20" i="80"/>
  <c r="T21" i="80"/>
  <c r="T12" i="80"/>
  <c r="K24" i="32"/>
  <c r="X10" i="113"/>
  <c r="X11" i="113"/>
  <c r="X12" i="113"/>
  <c r="X13" i="113"/>
  <c r="X14" i="113"/>
  <c r="X15" i="113"/>
  <c r="X16" i="113"/>
  <c r="A31" i="44"/>
  <c r="A102" i="5"/>
  <c r="U16" i="57"/>
  <c r="U15" i="57"/>
  <c r="U14" i="57"/>
  <c r="AC23" i="116"/>
  <c r="AC24" i="116"/>
  <c r="AC25" i="116"/>
  <c r="AC27" i="116"/>
  <c r="AC28" i="116"/>
  <c r="AC29" i="116"/>
  <c r="R10" i="57"/>
  <c r="W10" i="57" s="1"/>
  <c r="R11" i="57"/>
  <c r="W11" i="57" s="1"/>
  <c r="R12" i="57"/>
  <c r="W12" i="57" s="1"/>
  <c r="R13" i="57"/>
  <c r="W13" i="57" s="1"/>
  <c r="R14" i="57"/>
  <c r="W14" i="57" s="1"/>
  <c r="R15" i="57"/>
  <c r="W15" i="57" s="1"/>
  <c r="R16" i="57"/>
  <c r="W16" i="57" s="1"/>
  <c r="R9" i="57"/>
  <c r="W9" i="57" s="1"/>
  <c r="M10" i="55"/>
  <c r="M11" i="55"/>
  <c r="M12" i="55"/>
  <c r="M13" i="55"/>
  <c r="M14" i="55"/>
  <c r="M9" i="55"/>
  <c r="U9" i="57"/>
  <c r="U12" i="57"/>
  <c r="U10" i="57"/>
  <c r="U13" i="57"/>
  <c r="U11" i="57"/>
  <c r="U18" i="51"/>
  <c r="X18" i="51" s="1"/>
  <c r="U17" i="51"/>
  <c r="X17" i="51" s="1"/>
  <c r="U16" i="51"/>
  <c r="X16" i="51" s="1"/>
  <c r="U15" i="51"/>
  <c r="X15" i="51" s="1"/>
  <c r="U14" i="51"/>
  <c r="X14" i="51" s="1"/>
  <c r="U13" i="51"/>
  <c r="X13" i="51" s="1"/>
  <c r="U12" i="51"/>
  <c r="X12" i="51" s="1"/>
  <c r="U11" i="51"/>
  <c r="AB10" i="51" s="1"/>
  <c r="D277" i="8" s="1"/>
  <c r="H71" i="35"/>
  <c r="H72" i="35"/>
  <c r="G71" i="35"/>
  <c r="G72" i="35"/>
  <c r="F71" i="35"/>
  <c r="F72" i="35"/>
  <c r="F70" i="35"/>
  <c r="J8" i="136"/>
  <c r="K8" i="136"/>
  <c r="R10" i="59"/>
  <c r="AO11" i="59"/>
  <c r="AO12" i="59"/>
  <c r="AO13" i="59"/>
  <c r="AO14" i="59"/>
  <c r="AO15" i="59"/>
  <c r="AO16" i="59"/>
  <c r="AO17" i="59"/>
  <c r="AO18" i="59"/>
  <c r="AO19" i="59"/>
  <c r="AO20" i="59"/>
  <c r="AO21" i="59"/>
  <c r="AO22" i="59"/>
  <c r="AO23" i="59"/>
  <c r="AO24" i="59"/>
  <c r="AO25" i="59"/>
  <c r="AO26" i="59"/>
  <c r="AO27" i="59"/>
  <c r="AO28" i="59"/>
  <c r="AO29" i="59"/>
  <c r="AO30" i="59"/>
  <c r="AO31" i="59"/>
  <c r="AO32" i="59"/>
  <c r="AO33" i="59"/>
  <c r="AO34" i="59"/>
  <c r="AO35" i="59"/>
  <c r="AO36" i="59"/>
  <c r="AO37" i="59"/>
  <c r="AO38" i="59"/>
  <c r="AO10" i="59"/>
  <c r="H50" i="141"/>
  <c r="AK50" i="141" s="1"/>
  <c r="H53" i="141"/>
  <c r="AK53" i="141" s="1"/>
  <c r="H56" i="141"/>
  <c r="AK56" i="141" s="1"/>
  <c r="H59" i="141"/>
  <c r="AK59" i="141" s="1"/>
  <c r="AV11" i="100"/>
  <c r="P9" i="87"/>
  <c r="F461" i="8" s="1"/>
  <c r="D461" i="8" s="1"/>
  <c r="O9" i="87"/>
  <c r="F460" i="8" s="1"/>
  <c r="U9" i="72"/>
  <c r="A10" i="140"/>
  <c r="A11" i="140"/>
  <c r="A12" i="140"/>
  <c r="A13" i="140"/>
  <c r="A14" i="140"/>
  <c r="A15" i="140"/>
  <c r="A16" i="140"/>
  <c r="A9" i="140"/>
  <c r="O14" i="82"/>
  <c r="I9" i="58"/>
  <c r="J9" i="58"/>
  <c r="K9" i="58"/>
  <c r="L9" i="58"/>
  <c r="E79" i="13"/>
  <c r="O30" i="14" s="1"/>
  <c r="E71" i="13"/>
  <c r="O23" i="14" s="1"/>
  <c r="E69" i="13"/>
  <c r="K16" i="42"/>
  <c r="K10" i="42" s="1"/>
  <c r="T16" i="57"/>
  <c r="I22" i="160"/>
  <c r="N22" i="160" s="1"/>
  <c r="D50" i="37"/>
  <c r="D49" i="37" s="1"/>
  <c r="L22" i="37"/>
  <c r="L21" i="37" s="1"/>
  <c r="I22" i="37"/>
  <c r="I21" i="37" s="1"/>
  <c r="H22" i="37"/>
  <c r="H21" i="37" s="1"/>
  <c r="G22" i="37"/>
  <c r="F22" i="37"/>
  <c r="F21" i="37" s="1"/>
  <c r="E22" i="37"/>
  <c r="E21" i="37" s="1"/>
  <c r="D50" i="36"/>
  <c r="D49" i="36" s="1"/>
  <c r="M50" i="36"/>
  <c r="M49" i="36" s="1"/>
  <c r="K50" i="36"/>
  <c r="K49" i="36" s="1"/>
  <c r="J50" i="36"/>
  <c r="J49" i="36" s="1"/>
  <c r="I50" i="36"/>
  <c r="I49" i="36" s="1"/>
  <c r="H50" i="36"/>
  <c r="H49" i="36" s="1"/>
  <c r="H43" i="36"/>
  <c r="H46" i="36"/>
  <c r="G50" i="36"/>
  <c r="G49" i="36" s="1"/>
  <c r="F50" i="36"/>
  <c r="F49" i="36" s="1"/>
  <c r="E50" i="36"/>
  <c r="D43" i="36"/>
  <c r="M22" i="36"/>
  <c r="K22" i="36"/>
  <c r="K21" i="36" s="1"/>
  <c r="J22" i="36"/>
  <c r="J21" i="36" s="1"/>
  <c r="I22" i="36"/>
  <c r="I21" i="36" s="1"/>
  <c r="H22" i="36"/>
  <c r="H21" i="36" s="1"/>
  <c r="G22" i="36"/>
  <c r="G21" i="36" s="1"/>
  <c r="F22" i="36"/>
  <c r="F21" i="36" s="1"/>
  <c r="E22" i="36"/>
  <c r="E15" i="36"/>
  <c r="E18" i="36"/>
  <c r="E39" i="35"/>
  <c r="H18" i="35"/>
  <c r="H17" i="35" s="1"/>
  <c r="G18" i="35"/>
  <c r="G17" i="35" s="1"/>
  <c r="F18" i="35"/>
  <c r="F17" i="35" s="1"/>
  <c r="E14" i="35"/>
  <c r="L12" i="43"/>
  <c r="L13" i="43"/>
  <c r="L14" i="43"/>
  <c r="L15" i="43"/>
  <c r="L16" i="43"/>
  <c r="L17" i="43"/>
  <c r="L18" i="43"/>
  <c r="L11" i="43"/>
  <c r="R36" i="160"/>
  <c r="R37" i="160"/>
  <c r="Y42" i="141"/>
  <c r="Y41" i="141"/>
  <c r="Y39" i="141"/>
  <c r="Y38" i="141"/>
  <c r="Y37" i="141"/>
  <c r="Y36" i="141"/>
  <c r="Y35" i="141"/>
  <c r="Y34" i="141"/>
  <c r="Y33" i="141"/>
  <c r="I20" i="160"/>
  <c r="N20" i="160" s="1"/>
  <c r="I18" i="160"/>
  <c r="N18" i="160" s="1"/>
  <c r="I17" i="160"/>
  <c r="N17" i="160" s="1"/>
  <c r="I14" i="160"/>
  <c r="N14" i="160" s="1"/>
  <c r="I8" i="160"/>
  <c r="N8" i="160" s="1"/>
  <c r="V14" i="132"/>
  <c r="W14" i="132" s="1"/>
  <c r="AY11" i="59"/>
  <c r="AY12" i="59"/>
  <c r="AY13" i="59"/>
  <c r="AY14" i="59"/>
  <c r="AY15" i="59"/>
  <c r="AY16" i="59"/>
  <c r="AY17" i="59"/>
  <c r="AY18" i="59"/>
  <c r="AY19" i="59"/>
  <c r="AY20" i="59"/>
  <c r="AY21" i="59"/>
  <c r="AY22" i="59"/>
  <c r="AY23" i="59"/>
  <c r="AY24" i="59"/>
  <c r="AY25" i="59"/>
  <c r="AY26" i="59"/>
  <c r="AY27" i="59"/>
  <c r="AY28" i="59"/>
  <c r="AY29" i="59"/>
  <c r="AY30" i="59"/>
  <c r="AY31" i="59"/>
  <c r="AY32" i="59"/>
  <c r="AY33" i="59"/>
  <c r="AY34" i="59"/>
  <c r="AY35" i="59"/>
  <c r="AY36" i="59"/>
  <c r="AY37" i="59"/>
  <c r="AY38" i="59"/>
  <c r="AY10" i="59"/>
  <c r="U34" i="135"/>
  <c r="W34" i="135" s="1"/>
  <c r="U35" i="135"/>
  <c r="W35" i="135" s="1"/>
  <c r="U36" i="135"/>
  <c r="W36" i="135" s="1"/>
  <c r="U37" i="135"/>
  <c r="W37" i="135" s="1"/>
  <c r="U38" i="135"/>
  <c r="W38" i="135" s="1"/>
  <c r="U39" i="135"/>
  <c r="W39" i="135" s="1"/>
  <c r="U40" i="135"/>
  <c r="W40" i="135" s="1"/>
  <c r="U41" i="135"/>
  <c r="W41" i="135" s="1"/>
  <c r="U42" i="135"/>
  <c r="W42" i="135" s="1"/>
  <c r="U43" i="135"/>
  <c r="W43" i="135" s="1"/>
  <c r="U44" i="135"/>
  <c r="W44" i="135" s="1"/>
  <c r="U45" i="135"/>
  <c r="W45" i="135" s="1"/>
  <c r="U46" i="135"/>
  <c r="W46" i="135" s="1"/>
  <c r="U47" i="135"/>
  <c r="W47" i="135" s="1"/>
  <c r="U48" i="135"/>
  <c r="W48" i="135" s="1"/>
  <c r="U49" i="135"/>
  <c r="W49" i="135" s="1"/>
  <c r="U50" i="135"/>
  <c r="W50" i="135" s="1"/>
  <c r="U51" i="135"/>
  <c r="W51" i="135" s="1"/>
  <c r="U52" i="135"/>
  <c r="W52" i="135" s="1"/>
  <c r="U53" i="135"/>
  <c r="W53" i="135" s="1"/>
  <c r="U54" i="135"/>
  <c r="W54" i="135" s="1"/>
  <c r="U55" i="135"/>
  <c r="W55" i="135" s="1"/>
  <c r="U56" i="135"/>
  <c r="W56" i="135" s="1"/>
  <c r="U57" i="135"/>
  <c r="W57" i="135" s="1"/>
  <c r="U58" i="135"/>
  <c r="W58" i="135" s="1"/>
  <c r="U59" i="135"/>
  <c r="W59" i="135" s="1"/>
  <c r="U60" i="135"/>
  <c r="W60" i="135" s="1"/>
  <c r="U61" i="135"/>
  <c r="W61" i="135" s="1"/>
  <c r="U62" i="135"/>
  <c r="W62" i="135" s="1"/>
  <c r="U63" i="135"/>
  <c r="W63" i="135" s="1"/>
  <c r="U64" i="135"/>
  <c r="W64" i="135" s="1"/>
  <c r="U33" i="135"/>
  <c r="W33" i="135" s="1"/>
  <c r="M64" i="135"/>
  <c r="S64" i="135" s="1"/>
  <c r="D63" i="135"/>
  <c r="M63" i="135"/>
  <c r="S63" i="135" s="1"/>
  <c r="M62" i="135"/>
  <c r="S62" i="135" s="1"/>
  <c r="D61" i="135"/>
  <c r="M61" i="135"/>
  <c r="S61" i="135" s="1"/>
  <c r="M60" i="135"/>
  <c r="S60" i="135" s="1"/>
  <c r="D59" i="135"/>
  <c r="M59" i="135"/>
  <c r="S59" i="135" s="1"/>
  <c r="M58" i="135"/>
  <c r="S58" i="135" s="1"/>
  <c r="D57" i="135"/>
  <c r="M57" i="135"/>
  <c r="S57" i="135" s="1"/>
  <c r="M56" i="135"/>
  <c r="S56" i="135" s="1"/>
  <c r="M55" i="135"/>
  <c r="S55" i="135" s="1"/>
  <c r="M54" i="135"/>
  <c r="S54" i="135" s="1"/>
  <c r="D53" i="135"/>
  <c r="M53" i="135"/>
  <c r="S53" i="135" s="1"/>
  <c r="M52" i="135"/>
  <c r="S52" i="135" s="1"/>
  <c r="D51" i="135"/>
  <c r="M51" i="135"/>
  <c r="S51" i="135" s="1"/>
  <c r="M50" i="135"/>
  <c r="S50" i="135" s="1"/>
  <c r="D49" i="135"/>
  <c r="M49" i="135"/>
  <c r="S49" i="135" s="1"/>
  <c r="M48" i="135"/>
  <c r="S48" i="135" s="1"/>
  <c r="D47" i="135"/>
  <c r="M47" i="135"/>
  <c r="S47" i="135" s="1"/>
  <c r="M46" i="135"/>
  <c r="S46" i="135" s="1"/>
  <c r="M45" i="135"/>
  <c r="S45" i="135" s="1"/>
  <c r="M44" i="135"/>
  <c r="S44" i="135" s="1"/>
  <c r="D43" i="135"/>
  <c r="M43" i="135"/>
  <c r="S43" i="135" s="1"/>
  <c r="M42" i="135"/>
  <c r="S42" i="135" s="1"/>
  <c r="D41" i="135"/>
  <c r="M41" i="135"/>
  <c r="S41" i="135" s="1"/>
  <c r="E72" i="35"/>
  <c r="E48" i="13" s="1"/>
  <c r="F100" i="8"/>
  <c r="E166" i="12"/>
  <c r="G166" i="12" s="1"/>
  <c r="E136" i="12"/>
  <c r="G136" i="12" s="1"/>
  <c r="E137" i="12"/>
  <c r="G137" i="12" s="1"/>
  <c r="E138" i="12"/>
  <c r="G138" i="12" s="1"/>
  <c r="E139" i="12"/>
  <c r="G139" i="12" s="1"/>
  <c r="E140" i="12"/>
  <c r="G140" i="12" s="1"/>
  <c r="E141" i="12"/>
  <c r="G141" i="12" s="1"/>
  <c r="E142" i="12"/>
  <c r="G142" i="12" s="1"/>
  <c r="E143" i="12"/>
  <c r="G143" i="12" s="1"/>
  <c r="H44" i="42"/>
  <c r="M44" i="42"/>
  <c r="H43" i="42"/>
  <c r="M43" i="42"/>
  <c r="H42" i="42"/>
  <c r="M42" i="42"/>
  <c r="H41" i="42"/>
  <c r="M41" i="42"/>
  <c r="H40" i="42"/>
  <c r="M40" i="42"/>
  <c r="H39" i="42"/>
  <c r="M39" i="42"/>
  <c r="H38" i="42"/>
  <c r="M38" i="42"/>
  <c r="H37" i="42"/>
  <c r="M37" i="42"/>
  <c r="H36" i="42"/>
  <c r="M36" i="42"/>
  <c r="H35" i="42"/>
  <c r="M35" i="42"/>
  <c r="H34" i="42"/>
  <c r="M34" i="42"/>
  <c r="H33" i="42"/>
  <c r="M33" i="42"/>
  <c r="H32" i="42"/>
  <c r="M32" i="42"/>
  <c r="H31" i="42"/>
  <c r="M31" i="42"/>
  <c r="H30" i="42"/>
  <c r="M30" i="42"/>
  <c r="K12" i="141"/>
  <c r="AN12" i="141" s="1"/>
  <c r="K15" i="141"/>
  <c r="AN15" i="141" s="1"/>
  <c r="V13" i="132"/>
  <c r="W13" i="132" s="1"/>
  <c r="AX31" i="95"/>
  <c r="A15" i="42"/>
  <c r="A14" i="42"/>
  <c r="A13" i="42"/>
  <c r="F15" i="36"/>
  <c r="G15" i="36"/>
  <c r="H15" i="36"/>
  <c r="I15" i="36"/>
  <c r="J15" i="36"/>
  <c r="K15" i="36"/>
  <c r="V20" i="100"/>
  <c r="AE20" i="100"/>
  <c r="AM20" i="100"/>
  <c r="I10" i="160"/>
  <c r="N10" i="160" s="1"/>
  <c r="M8" i="28"/>
  <c r="I16" i="42"/>
  <c r="I10" i="42" s="1"/>
  <c r="G13" i="116"/>
  <c r="I13" i="116"/>
  <c r="K13" i="116"/>
  <c r="L13" i="116"/>
  <c r="M13" i="116"/>
  <c r="P13" i="116"/>
  <c r="Q13" i="116"/>
  <c r="S13" i="116"/>
  <c r="U13" i="116"/>
  <c r="W13" i="116"/>
  <c r="I16" i="116"/>
  <c r="L16" i="116"/>
  <c r="M16" i="116"/>
  <c r="P16" i="116"/>
  <c r="Q16" i="116"/>
  <c r="S16" i="116"/>
  <c r="U16" i="116"/>
  <c r="G17" i="116"/>
  <c r="I17" i="116"/>
  <c r="J17" i="116"/>
  <c r="L17" i="116"/>
  <c r="M17" i="116"/>
  <c r="P17" i="116"/>
  <c r="Q17" i="116"/>
  <c r="S17" i="116"/>
  <c r="U17" i="116"/>
  <c r="G18" i="116"/>
  <c r="I18" i="116"/>
  <c r="L18" i="116"/>
  <c r="M18" i="116"/>
  <c r="P18" i="116"/>
  <c r="Q18" i="116"/>
  <c r="S18" i="116"/>
  <c r="U18" i="116"/>
  <c r="W18" i="116"/>
  <c r="G20" i="116"/>
  <c r="I20" i="116"/>
  <c r="L20" i="116"/>
  <c r="M20" i="116"/>
  <c r="P20" i="116"/>
  <c r="Q20" i="116"/>
  <c r="S20" i="116"/>
  <c r="U20" i="116"/>
  <c r="S11" i="116"/>
  <c r="U11" i="116"/>
  <c r="W11" i="116"/>
  <c r="Q11" i="116"/>
  <c r="L11" i="116"/>
  <c r="M11" i="116"/>
  <c r="P11" i="116"/>
  <c r="I11" i="116"/>
  <c r="N10" i="117"/>
  <c r="O10" i="117"/>
  <c r="Z10" i="117"/>
  <c r="AA10" i="117"/>
  <c r="X13" i="117"/>
  <c r="R18" i="116"/>
  <c r="X11" i="117"/>
  <c r="AB11" i="117" s="1"/>
  <c r="V20" i="116" s="1"/>
  <c r="X12" i="117"/>
  <c r="R12" i="116" s="1"/>
  <c r="R16" i="116"/>
  <c r="AC13" i="117"/>
  <c r="AC12" i="117"/>
  <c r="AC11" i="117"/>
  <c r="W20" i="116" s="1"/>
  <c r="P12" i="117"/>
  <c r="J12" i="116" s="1"/>
  <c r="Q12" i="117"/>
  <c r="K12" i="116" s="1"/>
  <c r="P13" i="117"/>
  <c r="J13" i="116" s="1"/>
  <c r="J18" i="116"/>
  <c r="Q13" i="117"/>
  <c r="K11" i="116" s="1"/>
  <c r="K18" i="116"/>
  <c r="Q11" i="117"/>
  <c r="K20" i="116" s="1"/>
  <c r="P11" i="117"/>
  <c r="J20" i="116" s="1"/>
  <c r="W16" i="116"/>
  <c r="K16" i="116"/>
  <c r="J11" i="116"/>
  <c r="J16" i="116"/>
  <c r="M19" i="42"/>
  <c r="M20" i="42"/>
  <c r="M21" i="42"/>
  <c r="M22" i="42"/>
  <c r="M23" i="42"/>
  <c r="M24" i="42"/>
  <c r="M25" i="42"/>
  <c r="M26" i="42"/>
  <c r="M27" i="42"/>
  <c r="M28" i="42"/>
  <c r="M29" i="42"/>
  <c r="M17" i="42"/>
  <c r="J11" i="43"/>
  <c r="G23" i="44"/>
  <c r="X13" i="133"/>
  <c r="X14" i="133"/>
  <c r="X12" i="133"/>
  <c r="I59" i="141"/>
  <c r="AL59" i="141" s="1"/>
  <c r="J59" i="141"/>
  <c r="AM59" i="141" s="1"/>
  <c r="K59" i="141"/>
  <c r="AN59" i="141" s="1"/>
  <c r="L59" i="141"/>
  <c r="M59" i="141"/>
  <c r="AO59" i="141" s="1"/>
  <c r="O59" i="141"/>
  <c r="I56" i="141"/>
  <c r="AL56" i="141" s="1"/>
  <c r="J56" i="141"/>
  <c r="AM56" i="141" s="1"/>
  <c r="K56" i="141"/>
  <c r="AN56" i="141" s="1"/>
  <c r="L56" i="141"/>
  <c r="M56" i="141"/>
  <c r="AO56" i="141" s="1"/>
  <c r="O56" i="141"/>
  <c r="I53" i="141"/>
  <c r="AL53" i="141" s="1"/>
  <c r="J53" i="141"/>
  <c r="AM53" i="141" s="1"/>
  <c r="K53" i="141"/>
  <c r="AN53" i="141" s="1"/>
  <c r="L53" i="141"/>
  <c r="M53" i="141"/>
  <c r="AO53" i="141" s="1"/>
  <c r="O53" i="141"/>
  <c r="I50" i="141"/>
  <c r="AL50" i="141" s="1"/>
  <c r="J50" i="141"/>
  <c r="AM50" i="141" s="1"/>
  <c r="K50" i="141"/>
  <c r="AN50" i="141" s="1"/>
  <c r="L50" i="141"/>
  <c r="M50" i="141"/>
  <c r="AO50" i="141" s="1"/>
  <c r="O50" i="141"/>
  <c r="E18" i="141"/>
  <c r="D56" i="141"/>
  <c r="D53" i="141"/>
  <c r="F3" i="9"/>
  <c r="F2" i="9"/>
  <c r="E75" i="9"/>
  <c r="K75" i="9" s="1"/>
  <c r="N75" i="9" s="1"/>
  <c r="P37" i="134"/>
  <c r="P38" i="134"/>
  <c r="P39" i="134"/>
  <c r="P40" i="134"/>
  <c r="P41" i="134"/>
  <c r="P42" i="134"/>
  <c r="P43" i="134"/>
  <c r="P44" i="134"/>
  <c r="P36" i="134"/>
  <c r="N26" i="75"/>
  <c r="P26" i="75" s="1"/>
  <c r="N25" i="75"/>
  <c r="AT11" i="59"/>
  <c r="AT12" i="59"/>
  <c r="AT13" i="59"/>
  <c r="AT14" i="59"/>
  <c r="AT15" i="59"/>
  <c r="AT16" i="59"/>
  <c r="AT17" i="59"/>
  <c r="AT18" i="59"/>
  <c r="AT19" i="59"/>
  <c r="AT20" i="59"/>
  <c r="AT21" i="59"/>
  <c r="AT22" i="59"/>
  <c r="AT23" i="59"/>
  <c r="AT24" i="59"/>
  <c r="AT25" i="59"/>
  <c r="AT26" i="59"/>
  <c r="AT27" i="59"/>
  <c r="AT28" i="59"/>
  <c r="AT29" i="59"/>
  <c r="AT30" i="59"/>
  <c r="AT31" i="59"/>
  <c r="AT32" i="59"/>
  <c r="AT33" i="59"/>
  <c r="AT34" i="59"/>
  <c r="AT35" i="59"/>
  <c r="AT36" i="59"/>
  <c r="AT37" i="59"/>
  <c r="AT38" i="59"/>
  <c r="AT10" i="59"/>
  <c r="G17" i="89"/>
  <c r="Q17" i="89"/>
  <c r="S17" i="89" s="1"/>
  <c r="H22" i="90"/>
  <c r="L22" i="90"/>
  <c r="N22" i="90" s="1"/>
  <c r="G18" i="91"/>
  <c r="P18" i="91"/>
  <c r="R18" i="91" s="1"/>
  <c r="G15" i="92"/>
  <c r="K15" i="92"/>
  <c r="M15" i="92" s="1"/>
  <c r="J60" i="116"/>
  <c r="K60" i="116"/>
  <c r="S60" i="116"/>
  <c r="V60" i="116"/>
  <c r="AD60" i="116"/>
  <c r="AI60" i="116"/>
  <c r="S30" i="116"/>
  <c r="W30" i="116" s="1"/>
  <c r="Q72" i="9" s="1"/>
  <c r="K30" i="116"/>
  <c r="P72" i="9" s="1"/>
  <c r="K45" i="116"/>
  <c r="R29" i="116"/>
  <c r="V29" i="116" s="1"/>
  <c r="Q41" i="9" s="1"/>
  <c r="J29" i="116"/>
  <c r="P41" i="9" s="1"/>
  <c r="AX30" i="95"/>
  <c r="H29" i="42"/>
  <c r="J59" i="116"/>
  <c r="K59" i="116"/>
  <c r="S59" i="116"/>
  <c r="W59" i="116" s="1"/>
  <c r="V59" i="116"/>
  <c r="AD59" i="116"/>
  <c r="AI59" i="116"/>
  <c r="M40" i="37"/>
  <c r="G14" i="92"/>
  <c r="K14" i="92"/>
  <c r="M14" i="92" s="1"/>
  <c r="S28" i="116"/>
  <c r="W28" i="116" s="1"/>
  <c r="Q70" i="9" s="1"/>
  <c r="K28" i="116"/>
  <c r="P70" i="9" s="1"/>
  <c r="R27" i="116"/>
  <c r="V27" i="116" s="1"/>
  <c r="Q38" i="9" s="1"/>
  <c r="J27" i="116"/>
  <c r="P38" i="9" s="1"/>
  <c r="R26" i="116"/>
  <c r="J26" i="116"/>
  <c r="H21" i="90"/>
  <c r="L21" i="90"/>
  <c r="N21" i="90" s="1"/>
  <c r="J58" i="116"/>
  <c r="K58" i="116"/>
  <c r="S58" i="116"/>
  <c r="W58" i="116" s="1"/>
  <c r="V58" i="116"/>
  <c r="AD58" i="116"/>
  <c r="AI58" i="116"/>
  <c r="J57" i="116"/>
  <c r="K57" i="116"/>
  <c r="S57" i="116"/>
  <c r="W57" i="116" s="1"/>
  <c r="V57" i="116"/>
  <c r="AD57" i="116"/>
  <c r="AI57" i="116"/>
  <c r="AI47" i="116"/>
  <c r="AI48" i="116"/>
  <c r="AI49" i="116"/>
  <c r="AI50" i="116"/>
  <c r="AI51" i="116"/>
  <c r="AI52" i="116"/>
  <c r="AI53" i="116"/>
  <c r="AI55" i="116"/>
  <c r="AI56" i="116"/>
  <c r="AX16" i="95"/>
  <c r="AX17" i="95"/>
  <c r="AX18" i="95"/>
  <c r="AX19" i="95"/>
  <c r="AX20" i="95"/>
  <c r="AX21" i="95"/>
  <c r="AX22" i="95"/>
  <c r="AX23" i="95"/>
  <c r="AX24" i="95"/>
  <c r="AX25" i="95"/>
  <c r="AX26" i="95"/>
  <c r="AX27" i="95"/>
  <c r="AX28" i="95"/>
  <c r="AX29" i="95"/>
  <c r="AX15" i="95"/>
  <c r="AI45" i="116"/>
  <c r="M75" i="37"/>
  <c r="P10" i="149"/>
  <c r="P9" i="149" s="1"/>
  <c r="F267" i="13" s="1"/>
  <c r="F266" i="13" s="1"/>
  <c r="P66" i="14" s="1"/>
  <c r="O9" i="149"/>
  <c r="N9" i="149"/>
  <c r="M9" i="149"/>
  <c r="L9" i="149"/>
  <c r="K9" i="149"/>
  <c r="E26" i="10" s="1"/>
  <c r="J9" i="149"/>
  <c r="I9" i="149"/>
  <c r="G9" i="149"/>
  <c r="F9" i="149"/>
  <c r="E9" i="149"/>
  <c r="E60" i="8" s="1"/>
  <c r="D9" i="149"/>
  <c r="E59" i="8" s="1"/>
  <c r="E267" i="13"/>
  <c r="E266" i="13" s="1"/>
  <c r="O66" i="14" s="1"/>
  <c r="L66" i="14"/>
  <c r="M66" i="14"/>
  <c r="G4" i="149"/>
  <c r="G3" i="149"/>
  <c r="P13" i="148"/>
  <c r="P11" i="148"/>
  <c r="O10" i="148"/>
  <c r="F264" i="13" s="1"/>
  <c r="L10" i="148"/>
  <c r="J10" i="148"/>
  <c r="G10" i="148"/>
  <c r="Q4" i="148"/>
  <c r="Q3" i="148"/>
  <c r="V16" i="146"/>
  <c r="V15" i="146"/>
  <c r="V14" i="146"/>
  <c r="S14" i="146"/>
  <c r="V13" i="146"/>
  <c r="S13" i="146"/>
  <c r="S12" i="146"/>
  <c r="U12" i="146" s="1"/>
  <c r="V11" i="146"/>
  <c r="I4" i="146"/>
  <c r="I3" i="146"/>
  <c r="AB20" i="145"/>
  <c r="AB19" i="145"/>
  <c r="AB18" i="145"/>
  <c r="AB17" i="145"/>
  <c r="AB16" i="145"/>
  <c r="Y16" i="145"/>
  <c r="AB15" i="145"/>
  <c r="Y13" i="145"/>
  <c r="F259" i="13" s="1"/>
  <c r="X13" i="145"/>
  <c r="F258" i="13" s="1"/>
  <c r="W13" i="145"/>
  <c r="V13" i="145"/>
  <c r="U13" i="145"/>
  <c r="T13" i="145"/>
  <c r="S13" i="145"/>
  <c r="R13" i="145"/>
  <c r="Q13" i="145"/>
  <c r="P13" i="145"/>
  <c r="O13" i="145"/>
  <c r="N13" i="145"/>
  <c r="M13" i="145"/>
  <c r="L13" i="145"/>
  <c r="K13" i="145"/>
  <c r="Y12" i="145"/>
  <c r="F257" i="13" s="1"/>
  <c r="X12" i="145"/>
  <c r="F256" i="13" s="1"/>
  <c r="W12" i="145"/>
  <c r="V12" i="145"/>
  <c r="U12" i="145"/>
  <c r="T12" i="145"/>
  <c r="S12" i="145"/>
  <c r="R12" i="145"/>
  <c r="Q12" i="145"/>
  <c r="P12" i="145"/>
  <c r="O12" i="145"/>
  <c r="N12" i="145"/>
  <c r="M12" i="145"/>
  <c r="L12" i="145"/>
  <c r="K12" i="145"/>
  <c r="Y11" i="145"/>
  <c r="F255" i="13" s="1"/>
  <c r="X11" i="145"/>
  <c r="F254" i="13" s="1"/>
  <c r="V11" i="145"/>
  <c r="U11" i="145"/>
  <c r="T11" i="145"/>
  <c r="S11" i="145"/>
  <c r="R11" i="145"/>
  <c r="Q11" i="145"/>
  <c r="P11" i="145"/>
  <c r="P10" i="145"/>
  <c r="O11" i="145"/>
  <c r="N11" i="145"/>
  <c r="M11" i="145"/>
  <c r="L11" i="145"/>
  <c r="K11" i="145"/>
  <c r="X10" i="145"/>
  <c r="V10" i="145"/>
  <c r="U10" i="145"/>
  <c r="F80" i="8" s="1"/>
  <c r="T10" i="145"/>
  <c r="S10" i="145"/>
  <c r="R10" i="145"/>
  <c r="Q10" i="145"/>
  <c r="F78" i="8" s="1"/>
  <c r="O10" i="145"/>
  <c r="N10" i="145"/>
  <c r="M10" i="145"/>
  <c r="L10" i="145"/>
  <c r="K10" i="145"/>
  <c r="T10" i="128"/>
  <c r="H10" i="145"/>
  <c r="H4" i="145"/>
  <c r="H3" i="145"/>
  <c r="R19" i="143"/>
  <c r="F19" i="143"/>
  <c r="R18" i="143"/>
  <c r="F18" i="143"/>
  <c r="R17" i="143"/>
  <c r="F17" i="143"/>
  <c r="R16" i="143"/>
  <c r="F16" i="143"/>
  <c r="R15" i="143"/>
  <c r="F15" i="143"/>
  <c r="R14" i="143"/>
  <c r="F14" i="143"/>
  <c r="R13" i="143"/>
  <c r="F13" i="143"/>
  <c r="R12" i="143"/>
  <c r="F12" i="143"/>
  <c r="R11" i="143"/>
  <c r="F11" i="143"/>
  <c r="R10" i="143"/>
  <c r="F10" i="143"/>
  <c r="Q9" i="143"/>
  <c r="P9" i="143"/>
  <c r="O9" i="143"/>
  <c r="N9" i="143"/>
  <c r="M9" i="143"/>
  <c r="L9" i="143"/>
  <c r="K9" i="143"/>
  <c r="J9" i="143"/>
  <c r="I9" i="143"/>
  <c r="H9" i="143"/>
  <c r="G9" i="143"/>
  <c r="D9" i="143"/>
  <c r="E249" i="13" s="1"/>
  <c r="O64" i="14" s="1"/>
  <c r="F4" i="143"/>
  <c r="F3" i="143"/>
  <c r="G4" i="142"/>
  <c r="P60" i="141"/>
  <c r="S60" i="141" s="1"/>
  <c r="S59" i="141" s="1"/>
  <c r="P57" i="141"/>
  <c r="S57" i="141" s="1"/>
  <c r="S56" i="141" s="1"/>
  <c r="P54" i="141"/>
  <c r="S54" i="141" s="1"/>
  <c r="S53" i="141" s="1"/>
  <c r="P51" i="141"/>
  <c r="S51" i="141" s="1"/>
  <c r="S50" i="141" s="1"/>
  <c r="P48" i="141"/>
  <c r="S48" i="141" s="1"/>
  <c r="G48" i="141"/>
  <c r="P47" i="141"/>
  <c r="S47" i="141" s="1"/>
  <c r="G47" i="141"/>
  <c r="P46" i="141"/>
  <c r="S46" i="141" s="1"/>
  <c r="G46" i="141"/>
  <c r="P45" i="141"/>
  <c r="S45" i="141" s="1"/>
  <c r="G45" i="141"/>
  <c r="P44" i="141"/>
  <c r="S44" i="141" s="1"/>
  <c r="G44" i="141"/>
  <c r="P43" i="141"/>
  <c r="S43" i="141" s="1"/>
  <c r="G43" i="141"/>
  <c r="G42" i="141"/>
  <c r="P41" i="141"/>
  <c r="G41" i="141"/>
  <c r="P40" i="141"/>
  <c r="S40" i="141" s="1"/>
  <c r="G40" i="141"/>
  <c r="P39" i="141"/>
  <c r="S39" i="141" s="1"/>
  <c r="G39" i="141"/>
  <c r="P26" i="141"/>
  <c r="S26" i="141" s="1"/>
  <c r="G26" i="141"/>
  <c r="P25" i="141"/>
  <c r="G25" i="141"/>
  <c r="R24" i="141"/>
  <c r="O24" i="141"/>
  <c r="M24" i="141"/>
  <c r="AO24" i="141" s="1"/>
  <c r="L24" i="141"/>
  <c r="K24" i="141"/>
  <c r="AN24" i="141" s="1"/>
  <c r="J24" i="141"/>
  <c r="AM24" i="141" s="1"/>
  <c r="AL24" i="141"/>
  <c r="H24" i="141"/>
  <c r="AK24" i="141" s="1"/>
  <c r="F24" i="141"/>
  <c r="D24" i="141"/>
  <c r="P23" i="141"/>
  <c r="S23" i="141" s="1"/>
  <c r="G23" i="141"/>
  <c r="P22" i="141"/>
  <c r="G22" i="141"/>
  <c r="R21" i="141"/>
  <c r="O21" i="141"/>
  <c r="M21" i="141"/>
  <c r="AO21" i="141" s="1"/>
  <c r="L21" i="141"/>
  <c r="K21" i="141"/>
  <c r="AN21" i="141" s="1"/>
  <c r="J21" i="141"/>
  <c r="AM21" i="141" s="1"/>
  <c r="AL21" i="141"/>
  <c r="H21" i="141"/>
  <c r="AK21" i="141" s="1"/>
  <c r="F21" i="141"/>
  <c r="D21" i="141"/>
  <c r="P20" i="141"/>
  <c r="P19" i="141"/>
  <c r="S19" i="141" s="1"/>
  <c r="G19" i="141"/>
  <c r="R18" i="141"/>
  <c r="Q18" i="141"/>
  <c r="Q10" i="141" s="1"/>
  <c r="O18" i="141"/>
  <c r="M18" i="141"/>
  <c r="AO18" i="141" s="1"/>
  <c r="L18" i="141"/>
  <c r="K18" i="141"/>
  <c r="AN18" i="141" s="1"/>
  <c r="J18" i="141"/>
  <c r="AL18" i="141"/>
  <c r="H18" i="141"/>
  <c r="AK18" i="141" s="1"/>
  <c r="F18" i="141"/>
  <c r="F12" i="141"/>
  <c r="F15" i="141"/>
  <c r="D18" i="141"/>
  <c r="P17" i="141"/>
  <c r="S17" i="141" s="1"/>
  <c r="P16" i="141"/>
  <c r="S16" i="141" s="1"/>
  <c r="R15" i="141"/>
  <c r="O15" i="141"/>
  <c r="M15" i="141"/>
  <c r="AO15" i="141" s="1"/>
  <c r="L15" i="141"/>
  <c r="L12" i="141"/>
  <c r="J15" i="141"/>
  <c r="AM15" i="141" s="1"/>
  <c r="AL15" i="141"/>
  <c r="H15" i="141"/>
  <c r="AK15" i="141" s="1"/>
  <c r="D15" i="141"/>
  <c r="P14" i="141"/>
  <c r="S14" i="141" s="1"/>
  <c r="R12" i="141"/>
  <c r="M12" i="141"/>
  <c r="AO12" i="141" s="1"/>
  <c r="J12" i="141"/>
  <c r="AM12" i="141" s="1"/>
  <c r="AL12" i="141"/>
  <c r="H12" i="141"/>
  <c r="AK12" i="141" s="1"/>
  <c r="D12" i="141"/>
  <c r="G4" i="141"/>
  <c r="G3" i="141"/>
  <c r="H4" i="140"/>
  <c r="H3" i="140"/>
  <c r="I24" i="160"/>
  <c r="N24" i="160" s="1"/>
  <c r="I12" i="160"/>
  <c r="M5" i="160"/>
  <c r="M4" i="160"/>
  <c r="D44" i="137"/>
  <c r="D43" i="137"/>
  <c r="F4" i="137"/>
  <c r="F3" i="137"/>
  <c r="E49" i="136"/>
  <c r="A49" i="136" s="1"/>
  <c r="E48" i="136"/>
  <c r="A48" i="136" s="1"/>
  <c r="E47" i="136"/>
  <c r="A47" i="136" s="1"/>
  <c r="E46" i="136"/>
  <c r="G5" i="136"/>
  <c r="G4" i="136"/>
  <c r="M40" i="135"/>
  <c r="S40" i="135" s="1"/>
  <c r="M39" i="135"/>
  <c r="S39" i="135" s="1"/>
  <c r="D39" i="135"/>
  <c r="M38" i="135"/>
  <c r="S38" i="135" s="1"/>
  <c r="M37" i="135"/>
  <c r="S37" i="135" s="1"/>
  <c r="M36" i="135"/>
  <c r="S36" i="135" s="1"/>
  <c r="M35" i="135"/>
  <c r="S35" i="135" s="1"/>
  <c r="D35" i="135"/>
  <c r="M34" i="135"/>
  <c r="S34" i="135" s="1"/>
  <c r="M33" i="135"/>
  <c r="S33" i="135" s="1"/>
  <c r="D33" i="135"/>
  <c r="I4" i="135"/>
  <c r="I3" i="135"/>
  <c r="D44" i="134"/>
  <c r="A44" i="134" s="1"/>
  <c r="D43" i="134"/>
  <c r="A43" i="134" s="1"/>
  <c r="D42" i="134"/>
  <c r="A42" i="134" s="1"/>
  <c r="D41" i="134"/>
  <c r="A41" i="134" s="1"/>
  <c r="D40" i="134"/>
  <c r="A40" i="134" s="1"/>
  <c r="D39" i="134"/>
  <c r="A39" i="134" s="1"/>
  <c r="D38" i="134"/>
  <c r="A38" i="134" s="1"/>
  <c r="D37" i="134"/>
  <c r="A37" i="134" s="1"/>
  <c r="D36" i="134"/>
  <c r="A36" i="134" s="1"/>
  <c r="I7" i="134"/>
  <c r="L5" i="133"/>
  <c r="L4" i="133"/>
  <c r="V12" i="132"/>
  <c r="W12" i="132" s="1"/>
  <c r="V11" i="132"/>
  <c r="W11" i="132" s="1"/>
  <c r="V10" i="132"/>
  <c r="W10" i="132" s="1"/>
  <c r="J5" i="132"/>
  <c r="J4" i="132"/>
  <c r="H4" i="129"/>
  <c r="H3" i="129"/>
  <c r="AH23" i="128"/>
  <c r="AC23" i="128"/>
  <c r="AD23" i="128" s="1"/>
  <c r="AH22" i="128"/>
  <c r="AC22" i="128"/>
  <c r="AD22" i="128" s="1"/>
  <c r="AH21" i="128"/>
  <c r="AC21" i="128"/>
  <c r="AD21" i="128" s="1"/>
  <c r="AG21" i="128" s="1"/>
  <c r="AH20" i="128"/>
  <c r="AC20" i="128"/>
  <c r="AD20" i="128" s="1"/>
  <c r="AH19" i="128"/>
  <c r="AC19" i="128"/>
  <c r="AH18" i="128"/>
  <c r="AC18" i="128"/>
  <c r="AD18" i="128" s="1"/>
  <c r="AH17" i="128"/>
  <c r="AC17" i="128"/>
  <c r="AD17" i="128" s="1"/>
  <c r="AH16" i="128"/>
  <c r="AC16" i="128"/>
  <c r="AC15" i="128"/>
  <c r="AD15" i="128" s="1"/>
  <c r="AE10" i="128"/>
  <c r="AB10" i="128"/>
  <c r="AA10" i="128"/>
  <c r="Z10" i="128"/>
  <c r="Y10" i="128"/>
  <c r="X10" i="128"/>
  <c r="W10" i="128"/>
  <c r="V10" i="128"/>
  <c r="U10" i="128"/>
  <c r="S10" i="128"/>
  <c r="E82" i="8" s="1"/>
  <c r="R10" i="128"/>
  <c r="E81" i="8" s="1"/>
  <c r="Q10" i="128"/>
  <c r="E80" i="8" s="1"/>
  <c r="P10" i="128"/>
  <c r="E79" i="8" s="1"/>
  <c r="O10" i="128"/>
  <c r="E78" i="8" s="1"/>
  <c r="N10" i="128"/>
  <c r="M10" i="128"/>
  <c r="L10" i="128"/>
  <c r="I4" i="128"/>
  <c r="G8" i="127"/>
  <c r="Q12" i="126" s="1"/>
  <c r="Q11" i="126" s="1"/>
  <c r="F8" i="127"/>
  <c r="P12" i="126" s="1"/>
  <c r="P11" i="126" s="1"/>
  <c r="E8" i="127"/>
  <c r="O12" i="126" s="1"/>
  <c r="O11" i="126" s="1"/>
  <c r="D8" i="127"/>
  <c r="M12" i="126" s="1"/>
  <c r="C8" i="127"/>
  <c r="K13" i="126" s="1"/>
  <c r="V13" i="126" s="1"/>
  <c r="G4" i="127"/>
  <c r="G3" i="127"/>
  <c r="A13" i="126"/>
  <c r="A12" i="126"/>
  <c r="R11" i="126"/>
  <c r="N11" i="126"/>
  <c r="L11" i="126"/>
  <c r="J11" i="126"/>
  <c r="F77" i="8" s="1"/>
  <c r="H11" i="126"/>
  <c r="G11" i="126"/>
  <c r="F11" i="126"/>
  <c r="E11" i="126"/>
  <c r="D11" i="126"/>
  <c r="F4" i="126"/>
  <c r="F3" i="126"/>
  <c r="G8" i="125"/>
  <c r="F8" i="125"/>
  <c r="I4" i="125"/>
  <c r="I3" i="125"/>
  <c r="P34" i="124"/>
  <c r="A34" i="124"/>
  <c r="P32" i="124"/>
  <c r="A32" i="124"/>
  <c r="O31" i="124"/>
  <c r="N31" i="124"/>
  <c r="M31" i="124"/>
  <c r="L31" i="124"/>
  <c r="K31" i="124"/>
  <c r="H31" i="124"/>
  <c r="G31" i="124"/>
  <c r="E31" i="124"/>
  <c r="D31" i="124"/>
  <c r="P30" i="124"/>
  <c r="A30" i="124"/>
  <c r="P29" i="124"/>
  <c r="A29" i="124"/>
  <c r="P28" i="124"/>
  <c r="A28" i="124"/>
  <c r="P27" i="124"/>
  <c r="A27" i="124"/>
  <c r="P26" i="124"/>
  <c r="A26" i="124"/>
  <c r="P25" i="124"/>
  <c r="A25" i="124"/>
  <c r="P24" i="124"/>
  <c r="A24" i="124"/>
  <c r="P23" i="124"/>
  <c r="A23" i="124"/>
  <c r="P22" i="124"/>
  <c r="A22" i="124"/>
  <c r="O21" i="124"/>
  <c r="N21" i="124"/>
  <c r="M21" i="124"/>
  <c r="L21" i="124"/>
  <c r="K21" i="124"/>
  <c r="H21" i="124"/>
  <c r="D21" i="124"/>
  <c r="E21" i="124"/>
  <c r="G21" i="124"/>
  <c r="P20" i="124"/>
  <c r="A20" i="124"/>
  <c r="P19" i="124"/>
  <c r="A19" i="124"/>
  <c r="P18" i="124"/>
  <c r="A18" i="124"/>
  <c r="P17" i="124"/>
  <c r="A17" i="124"/>
  <c r="O16" i="124"/>
  <c r="N16" i="124"/>
  <c r="M16" i="124"/>
  <c r="L16" i="124"/>
  <c r="K16" i="124"/>
  <c r="H16" i="124"/>
  <c r="G16" i="124"/>
  <c r="E16" i="124"/>
  <c r="D16" i="124"/>
  <c r="P14" i="124"/>
  <c r="A14" i="124"/>
  <c r="P13" i="124"/>
  <c r="A13" i="124"/>
  <c r="O12" i="124"/>
  <c r="N12" i="124"/>
  <c r="M12" i="124"/>
  <c r="L12" i="124"/>
  <c r="K12" i="124"/>
  <c r="H12" i="124"/>
  <c r="G12" i="124"/>
  <c r="E12" i="124"/>
  <c r="D12" i="124"/>
  <c r="P11" i="124"/>
  <c r="F215" i="13" s="1"/>
  <c r="A11" i="124"/>
  <c r="S12" i="126"/>
  <c r="S11" i="126" s="1"/>
  <c r="F5" i="124"/>
  <c r="F4" i="124"/>
  <c r="AA14" i="121"/>
  <c r="Z14" i="121"/>
  <c r="AA12" i="121"/>
  <c r="Z12" i="121"/>
  <c r="A12" i="121"/>
  <c r="Y11" i="121"/>
  <c r="X11" i="121"/>
  <c r="W11" i="121"/>
  <c r="V11" i="121"/>
  <c r="U11" i="121"/>
  <c r="T11" i="121"/>
  <c r="S11" i="121"/>
  <c r="R11" i="121"/>
  <c r="Q11" i="121"/>
  <c r="P11" i="121"/>
  <c r="O11" i="121"/>
  <c r="N11" i="121"/>
  <c r="M11" i="121"/>
  <c r="L11" i="121"/>
  <c r="K11" i="121"/>
  <c r="J11" i="121"/>
  <c r="I11" i="121"/>
  <c r="H11" i="121"/>
  <c r="G11" i="121"/>
  <c r="F11" i="121"/>
  <c r="E11" i="121"/>
  <c r="D11" i="121"/>
  <c r="E207" i="13" s="1"/>
  <c r="I5" i="121"/>
  <c r="I4" i="121"/>
  <c r="M26" i="120"/>
  <c r="O26" i="120" s="1"/>
  <c r="M25" i="120"/>
  <c r="O25" i="120" s="1"/>
  <c r="M24" i="120"/>
  <c r="O24" i="120" s="1"/>
  <c r="N23" i="120"/>
  <c r="L23" i="120"/>
  <c r="K23" i="120"/>
  <c r="J23" i="120"/>
  <c r="I23" i="120"/>
  <c r="H23" i="120"/>
  <c r="F23" i="120"/>
  <c r="E23" i="120"/>
  <c r="D23" i="120"/>
  <c r="M22" i="120"/>
  <c r="O22" i="120" s="1"/>
  <c r="M21" i="120"/>
  <c r="O21" i="120" s="1"/>
  <c r="M20" i="120"/>
  <c r="O20" i="120" s="1"/>
  <c r="N19" i="120"/>
  <c r="M18" i="120"/>
  <c r="O18" i="120" s="1"/>
  <c r="M17" i="120"/>
  <c r="O17" i="120" s="1"/>
  <c r="M16" i="120"/>
  <c r="O16" i="120" s="1"/>
  <c r="N15" i="120"/>
  <c r="L15" i="120"/>
  <c r="K15" i="120"/>
  <c r="J15" i="120"/>
  <c r="I15" i="120"/>
  <c r="H15" i="120"/>
  <c r="F15" i="120"/>
  <c r="E15" i="120"/>
  <c r="D15" i="120"/>
  <c r="M14" i="120"/>
  <c r="O14" i="120" s="1"/>
  <c r="M13" i="120"/>
  <c r="O13" i="120" s="1"/>
  <c r="N11" i="120"/>
  <c r="L11" i="120"/>
  <c r="K11" i="120"/>
  <c r="J11" i="120"/>
  <c r="I11" i="120"/>
  <c r="H11" i="120"/>
  <c r="F11" i="120"/>
  <c r="E11" i="120"/>
  <c r="D11" i="120"/>
  <c r="M10" i="120"/>
  <c r="O10" i="120" s="1"/>
  <c r="A10" i="120"/>
  <c r="F5" i="120"/>
  <c r="F4" i="120"/>
  <c r="K21" i="119"/>
  <c r="N21" i="119" s="1"/>
  <c r="K20" i="119"/>
  <c r="N20" i="119" s="1"/>
  <c r="K19" i="119"/>
  <c r="N19" i="119" s="1"/>
  <c r="K18" i="119"/>
  <c r="N18" i="119" s="1"/>
  <c r="K17" i="119"/>
  <c r="N17" i="119" s="1"/>
  <c r="K16" i="119"/>
  <c r="N16" i="119" s="1"/>
  <c r="K15" i="119"/>
  <c r="N15" i="119" s="1"/>
  <c r="K14" i="119"/>
  <c r="K13" i="119"/>
  <c r="N13" i="119" s="1"/>
  <c r="K12" i="119"/>
  <c r="N12" i="119" s="1"/>
  <c r="K11" i="119"/>
  <c r="K10" i="119"/>
  <c r="N10" i="119" s="1"/>
  <c r="K9" i="119"/>
  <c r="N9" i="119" s="1"/>
  <c r="D8" i="119"/>
  <c r="E205" i="13" s="1"/>
  <c r="O52" i="14" s="1"/>
  <c r="H4" i="119"/>
  <c r="H3" i="119"/>
  <c r="V16" i="116"/>
  <c r="Y10" i="117"/>
  <c r="W10" i="117"/>
  <c r="V10" i="117"/>
  <c r="U10" i="117"/>
  <c r="T10" i="117"/>
  <c r="S10" i="117"/>
  <c r="R10" i="117"/>
  <c r="M10" i="117"/>
  <c r="L10" i="117"/>
  <c r="K4" i="117"/>
  <c r="K3" i="117"/>
  <c r="AD56" i="116"/>
  <c r="V56" i="116"/>
  <c r="S56" i="116"/>
  <c r="W56" i="116" s="1"/>
  <c r="K56" i="116"/>
  <c r="J56" i="116"/>
  <c r="V55" i="116"/>
  <c r="S55" i="116"/>
  <c r="W55" i="116" s="1"/>
  <c r="K55" i="116"/>
  <c r="J55" i="116"/>
  <c r="AD54" i="116"/>
  <c r="V54" i="116"/>
  <c r="S54" i="116"/>
  <c r="W54" i="116" s="1"/>
  <c r="K54" i="116"/>
  <c r="J54" i="116"/>
  <c r="AD53" i="116"/>
  <c r="V53" i="116"/>
  <c r="S53" i="116"/>
  <c r="W53" i="116" s="1"/>
  <c r="K53" i="116"/>
  <c r="J53" i="116"/>
  <c r="AD52" i="116"/>
  <c r="V52" i="116"/>
  <c r="S52" i="116"/>
  <c r="W52" i="116" s="1"/>
  <c r="K52" i="116"/>
  <c r="J52" i="116"/>
  <c r="AD51" i="116"/>
  <c r="V51" i="116"/>
  <c r="S51" i="116"/>
  <c r="W51" i="116" s="1"/>
  <c r="K51" i="116"/>
  <c r="J51" i="116"/>
  <c r="V50" i="116"/>
  <c r="S50" i="116"/>
  <c r="W50" i="116" s="1"/>
  <c r="K50" i="116"/>
  <c r="J50" i="116"/>
  <c r="V49" i="116"/>
  <c r="S49" i="116"/>
  <c r="W49" i="116" s="1"/>
  <c r="K49" i="116"/>
  <c r="J49" i="116"/>
  <c r="AD48" i="116"/>
  <c r="V48" i="116"/>
  <c r="S48" i="116"/>
  <c r="W48" i="116" s="1"/>
  <c r="K48" i="116"/>
  <c r="J48" i="116"/>
  <c r="Y48" i="116" s="1"/>
  <c r="V47" i="116"/>
  <c r="S47" i="116"/>
  <c r="K47" i="116"/>
  <c r="J47" i="116"/>
  <c r="AD46" i="116"/>
  <c r="V46" i="116"/>
  <c r="K46" i="116"/>
  <c r="J46" i="116"/>
  <c r="Y46" i="116" s="1"/>
  <c r="P44" i="9"/>
  <c r="V45" i="116"/>
  <c r="P68" i="9"/>
  <c r="J45" i="116"/>
  <c r="S44" i="116"/>
  <c r="W44" i="116" s="1"/>
  <c r="K44" i="116"/>
  <c r="J44" i="116"/>
  <c r="S25" i="116"/>
  <c r="K25" i="116"/>
  <c r="P66" i="9" s="1"/>
  <c r="R24" i="116"/>
  <c r="V24" i="116" s="1"/>
  <c r="Q33" i="9" s="1"/>
  <c r="J24" i="116"/>
  <c r="P33" i="9" s="1"/>
  <c r="S23" i="116"/>
  <c r="W23" i="116" s="1"/>
  <c r="Q64" i="9" s="1"/>
  <c r="K23" i="116"/>
  <c r="P64" i="9" s="1"/>
  <c r="R22" i="116"/>
  <c r="V22" i="116" s="1"/>
  <c r="Q32" i="9" s="1"/>
  <c r="J22" i="116"/>
  <c r="P32" i="9" s="1"/>
  <c r="V21" i="116"/>
  <c r="S21" i="116"/>
  <c r="K21" i="116"/>
  <c r="J21" i="116"/>
  <c r="G11" i="116"/>
  <c r="R9" i="116"/>
  <c r="V9" i="116" s="1"/>
  <c r="Q9" i="116"/>
  <c r="P9" i="116"/>
  <c r="O9" i="116"/>
  <c r="O8" i="116"/>
  <c r="M9" i="116"/>
  <c r="L9" i="116"/>
  <c r="G9" i="116"/>
  <c r="K9" i="116" s="1"/>
  <c r="I4" i="116"/>
  <c r="I3" i="116"/>
  <c r="R12" i="115"/>
  <c r="T12" i="115" s="1"/>
  <c r="K12" i="115"/>
  <c r="R11" i="115"/>
  <c r="T11" i="115" s="1"/>
  <c r="K11" i="115"/>
  <c r="R10" i="115"/>
  <c r="T10" i="115" s="1"/>
  <c r="K10" i="115"/>
  <c r="R9" i="115"/>
  <c r="T9" i="115" s="1"/>
  <c r="K9" i="115"/>
  <c r="S8" i="115"/>
  <c r="Q8" i="115"/>
  <c r="P8" i="115"/>
  <c r="E76" i="8" s="1"/>
  <c r="O8" i="115"/>
  <c r="N8" i="115"/>
  <c r="M8" i="115"/>
  <c r="L8" i="115"/>
  <c r="J8" i="115"/>
  <c r="I8" i="115"/>
  <c r="E194" i="13" s="1"/>
  <c r="G4" i="115"/>
  <c r="G3" i="115"/>
  <c r="I9" i="114"/>
  <c r="H4" i="114"/>
  <c r="H3" i="114"/>
  <c r="P16" i="113"/>
  <c r="S16" i="113" s="1"/>
  <c r="K16" i="113"/>
  <c r="P15" i="113"/>
  <c r="S15" i="113" s="1"/>
  <c r="K15" i="113"/>
  <c r="P14" i="113"/>
  <c r="S14" i="113" s="1"/>
  <c r="K14" i="113"/>
  <c r="P13" i="113"/>
  <c r="S13" i="113" s="1"/>
  <c r="K13" i="113"/>
  <c r="P12" i="113"/>
  <c r="S12" i="113" s="1"/>
  <c r="P10" i="113"/>
  <c r="S10" i="113" s="1"/>
  <c r="P11" i="113"/>
  <c r="Q9" i="113"/>
  <c r="K12" i="113"/>
  <c r="K11" i="113"/>
  <c r="K10" i="113"/>
  <c r="R9" i="113"/>
  <c r="O9" i="113"/>
  <c r="N9" i="113"/>
  <c r="M9" i="113"/>
  <c r="L9" i="113"/>
  <c r="J9" i="113"/>
  <c r="E196" i="13" s="1"/>
  <c r="I9" i="113"/>
  <c r="H9" i="113"/>
  <c r="E193" i="13" s="1"/>
  <c r="I4" i="113"/>
  <c r="V14" i="112"/>
  <c r="Q14" i="112"/>
  <c r="S14" i="112" s="1"/>
  <c r="I14" i="112"/>
  <c r="F14" i="112"/>
  <c r="A14" i="112"/>
  <c r="V13" i="112"/>
  <c r="Q13" i="112"/>
  <c r="S13" i="112" s="1"/>
  <c r="I13" i="112"/>
  <c r="F13" i="112"/>
  <c r="A13" i="112"/>
  <c r="V12" i="112"/>
  <c r="Q12" i="112"/>
  <c r="S12" i="112" s="1"/>
  <c r="I12" i="112"/>
  <c r="F12" i="112"/>
  <c r="A12" i="112"/>
  <c r="V11" i="112"/>
  <c r="Q11" i="112"/>
  <c r="S11" i="112" s="1"/>
  <c r="I11" i="112"/>
  <c r="F11" i="112"/>
  <c r="A11" i="112"/>
  <c r="V10" i="112"/>
  <c r="Q10" i="112"/>
  <c r="S10" i="112" s="1"/>
  <c r="I10" i="112"/>
  <c r="F10" i="112"/>
  <c r="A10" i="112"/>
  <c r="U9" i="112"/>
  <c r="T9" i="112"/>
  <c r="P9" i="112"/>
  <c r="O9" i="112"/>
  <c r="N9" i="112"/>
  <c r="M9" i="112"/>
  <c r="L9" i="112"/>
  <c r="K9" i="112"/>
  <c r="J9" i="112"/>
  <c r="H9" i="112"/>
  <c r="G9" i="112"/>
  <c r="D9" i="112"/>
  <c r="G4" i="112"/>
  <c r="G3" i="112"/>
  <c r="Q26" i="109"/>
  <c r="S26" i="109" s="1"/>
  <c r="F26" i="109"/>
  <c r="Q25" i="109"/>
  <c r="S25" i="109" s="1"/>
  <c r="F25" i="109"/>
  <c r="Q24" i="109"/>
  <c r="S24" i="109" s="1"/>
  <c r="F24" i="109"/>
  <c r="Q23" i="109"/>
  <c r="S23" i="109" s="1"/>
  <c r="F23" i="109"/>
  <c r="Q20" i="109"/>
  <c r="S20" i="109" s="1"/>
  <c r="F20" i="109"/>
  <c r="Q19" i="109"/>
  <c r="S19" i="109" s="1"/>
  <c r="F19" i="109"/>
  <c r="Q18" i="109"/>
  <c r="S18" i="109" s="1"/>
  <c r="F18" i="109"/>
  <c r="Q17" i="109"/>
  <c r="S17" i="109" s="1"/>
  <c r="F17" i="109"/>
  <c r="Q16" i="109"/>
  <c r="S16" i="109" s="1"/>
  <c r="F16" i="109"/>
  <c r="Q15" i="109"/>
  <c r="S15" i="109" s="1"/>
  <c r="F15" i="109"/>
  <c r="Q14" i="109"/>
  <c r="S14" i="109" s="1"/>
  <c r="F14" i="109"/>
  <c r="Q12" i="109"/>
  <c r="S12" i="109" s="1"/>
  <c r="F12" i="109"/>
  <c r="Q11" i="109"/>
  <c r="F11" i="109"/>
  <c r="R10" i="109"/>
  <c r="P10" i="109"/>
  <c r="K22" i="12" s="1"/>
  <c r="O10" i="109"/>
  <c r="N10" i="109"/>
  <c r="M10" i="109"/>
  <c r="L10" i="109"/>
  <c r="K10" i="109"/>
  <c r="J10" i="109"/>
  <c r="I10" i="109"/>
  <c r="H10" i="109"/>
  <c r="G10" i="109"/>
  <c r="K146" i="12" s="1"/>
  <c r="E10" i="109"/>
  <c r="D10" i="109"/>
  <c r="E185" i="13" s="1"/>
  <c r="O46" i="14" s="1"/>
  <c r="F5" i="109"/>
  <c r="F4" i="109"/>
  <c r="G4" i="108"/>
  <c r="G3" i="108"/>
  <c r="P13" i="107"/>
  <c r="P12" i="107" s="1"/>
  <c r="O13" i="107"/>
  <c r="O12" i="107" s="1"/>
  <c r="N13" i="107"/>
  <c r="N12" i="107" s="1"/>
  <c r="M13" i="107"/>
  <c r="M12" i="107" s="1"/>
  <c r="L13" i="107"/>
  <c r="L12" i="107" s="1"/>
  <c r="K13" i="107"/>
  <c r="K12" i="107" s="1"/>
  <c r="J13" i="107"/>
  <c r="J12" i="107" s="1"/>
  <c r="I13" i="107"/>
  <c r="I12" i="107" s="1"/>
  <c r="H13" i="107"/>
  <c r="H12" i="107" s="1"/>
  <c r="G13" i="107"/>
  <c r="G12" i="107" s="1"/>
  <c r="F13" i="107"/>
  <c r="F12" i="107" s="1"/>
  <c r="E13" i="107"/>
  <c r="E12" i="107" s="1"/>
  <c r="P9" i="107"/>
  <c r="O9" i="107"/>
  <c r="N9" i="107"/>
  <c r="M9" i="107"/>
  <c r="L9" i="107"/>
  <c r="K9" i="107"/>
  <c r="J9" i="107"/>
  <c r="I9" i="107"/>
  <c r="H9" i="107"/>
  <c r="G9" i="107"/>
  <c r="F9" i="107"/>
  <c r="E9" i="107"/>
  <c r="D9" i="107"/>
  <c r="F5" i="107"/>
  <c r="T11" i="107" s="1"/>
  <c r="F4" i="107"/>
  <c r="AD16" i="106"/>
  <c r="Z16" i="106"/>
  <c r="Y16" i="106"/>
  <c r="R16" i="106"/>
  <c r="N16" i="106"/>
  <c r="AD15" i="106"/>
  <c r="AD12" i="106"/>
  <c r="AD13" i="106"/>
  <c r="AD14" i="106"/>
  <c r="Z15" i="106"/>
  <c r="Y15" i="106"/>
  <c r="R15" i="106"/>
  <c r="N15" i="106"/>
  <c r="Z14" i="106"/>
  <c r="Y14" i="106"/>
  <c r="R14" i="106"/>
  <c r="N14" i="106"/>
  <c r="Z13" i="106"/>
  <c r="Y13" i="106"/>
  <c r="R13" i="106"/>
  <c r="N13" i="106"/>
  <c r="Z12" i="106"/>
  <c r="Y12" i="106"/>
  <c r="R12" i="106"/>
  <c r="N12" i="106"/>
  <c r="AC11" i="106"/>
  <c r="AB11" i="106"/>
  <c r="AA11" i="106"/>
  <c r="X11" i="106"/>
  <c r="W11" i="106"/>
  <c r="V11" i="106"/>
  <c r="U11" i="106"/>
  <c r="T11" i="106"/>
  <c r="S11" i="106"/>
  <c r="Q11" i="106"/>
  <c r="P11" i="106"/>
  <c r="O11" i="106"/>
  <c r="M11" i="106"/>
  <c r="L11" i="106"/>
  <c r="K11" i="106"/>
  <c r="J4" i="106"/>
  <c r="J3" i="106"/>
  <c r="AM19" i="100"/>
  <c r="AE19" i="100"/>
  <c r="V19" i="100"/>
  <c r="Y19" i="100" s="1"/>
  <c r="AM18" i="100"/>
  <c r="AE18" i="100"/>
  <c r="V18" i="100"/>
  <c r="Y18" i="100" s="1"/>
  <c r="AM17" i="100"/>
  <c r="AE17" i="100"/>
  <c r="V17" i="100"/>
  <c r="Y17" i="100" s="1"/>
  <c r="AM16" i="100"/>
  <c r="AE16" i="100"/>
  <c r="V16" i="100"/>
  <c r="Y16" i="100" s="1"/>
  <c r="AM15" i="100"/>
  <c r="AE15" i="100"/>
  <c r="V15" i="100"/>
  <c r="Y15" i="100" s="1"/>
  <c r="AM14" i="100"/>
  <c r="AE14" i="100"/>
  <c r="V14" i="100"/>
  <c r="Y14" i="100" s="1"/>
  <c r="AM13" i="100"/>
  <c r="AE13" i="100"/>
  <c r="V13" i="100"/>
  <c r="Y13" i="100" s="1"/>
  <c r="AM12" i="100"/>
  <c r="AE12" i="100"/>
  <c r="V12" i="100"/>
  <c r="Y12" i="100" s="1"/>
  <c r="AT11" i="100"/>
  <c r="AS11" i="100"/>
  <c r="AR11" i="100"/>
  <c r="AQ11" i="100"/>
  <c r="AP11" i="100"/>
  <c r="AO11" i="100"/>
  <c r="AN11" i="100"/>
  <c r="AL11" i="100"/>
  <c r="AK11" i="100"/>
  <c r="AJ11" i="100"/>
  <c r="AI11" i="100"/>
  <c r="AH11" i="100"/>
  <c r="AG11" i="100"/>
  <c r="AF11" i="100"/>
  <c r="E149" i="13" s="1"/>
  <c r="AD11" i="100"/>
  <c r="AC11" i="100"/>
  <c r="AB11" i="100"/>
  <c r="AA11" i="100"/>
  <c r="Z11" i="100"/>
  <c r="E148" i="13" s="1"/>
  <c r="X11" i="100"/>
  <c r="W11" i="100"/>
  <c r="U11" i="100"/>
  <c r="T11" i="100"/>
  <c r="S11" i="100"/>
  <c r="R11" i="100"/>
  <c r="Q11" i="100"/>
  <c r="P11" i="100"/>
  <c r="O11" i="100"/>
  <c r="N11" i="100"/>
  <c r="M11" i="100"/>
  <c r="L11" i="100"/>
  <c r="E147" i="13" s="1"/>
  <c r="L4" i="100"/>
  <c r="L3" i="100"/>
  <c r="AL19" i="99"/>
  <c r="AD19" i="99"/>
  <c r="V19" i="99"/>
  <c r="X19" i="99" s="1"/>
  <c r="AL18" i="99"/>
  <c r="AD18" i="99"/>
  <c r="V18" i="99"/>
  <c r="X18" i="99" s="1"/>
  <c r="AL17" i="99"/>
  <c r="AD17" i="99"/>
  <c r="V17" i="99"/>
  <c r="X17" i="99" s="1"/>
  <c r="AL16" i="99"/>
  <c r="AD16" i="99"/>
  <c r="V16" i="99"/>
  <c r="X16" i="99" s="1"/>
  <c r="AL15" i="99"/>
  <c r="AD15" i="99"/>
  <c r="V15" i="99"/>
  <c r="X15" i="99" s="1"/>
  <c r="AL14" i="99"/>
  <c r="AD14" i="99"/>
  <c r="V14" i="99"/>
  <c r="X14" i="99" s="1"/>
  <c r="AL13" i="99"/>
  <c r="AD13" i="99"/>
  <c r="V13" i="99"/>
  <c r="X13" i="99" s="1"/>
  <c r="AL12" i="99"/>
  <c r="AD12" i="99"/>
  <c r="V12" i="99"/>
  <c r="AU11" i="99"/>
  <c r="AS11" i="99"/>
  <c r="AR11" i="99"/>
  <c r="AQ11" i="99"/>
  <c r="AP11" i="99"/>
  <c r="AO11" i="99"/>
  <c r="AN11" i="99"/>
  <c r="AM11" i="99"/>
  <c r="AK11" i="99"/>
  <c r="AJ11" i="99"/>
  <c r="AI11" i="99"/>
  <c r="AH11" i="99"/>
  <c r="AG11" i="99"/>
  <c r="AF11" i="99"/>
  <c r="AE11" i="99"/>
  <c r="E145" i="13" s="1"/>
  <c r="L11" i="99"/>
  <c r="E143" i="13" s="1"/>
  <c r="Y11" i="99"/>
  <c r="E144" i="13" s="1"/>
  <c r="AC11" i="99"/>
  <c r="AB11" i="99"/>
  <c r="AA11" i="99"/>
  <c r="Z11" i="99"/>
  <c r="W11" i="99"/>
  <c r="U11" i="99"/>
  <c r="T11" i="99"/>
  <c r="S11" i="99"/>
  <c r="R11" i="99"/>
  <c r="Q11" i="99"/>
  <c r="P11" i="99"/>
  <c r="O11" i="99"/>
  <c r="N11" i="99"/>
  <c r="M11" i="99"/>
  <c r="L4" i="99"/>
  <c r="L3" i="99"/>
  <c r="O4" i="95"/>
  <c r="S15" i="94"/>
  <c r="S14" i="94"/>
  <c r="S13" i="94"/>
  <c r="S10" i="94"/>
  <c r="S11" i="94"/>
  <c r="N9" i="94"/>
  <c r="M9" i="94"/>
  <c r="L9" i="94"/>
  <c r="K9" i="94"/>
  <c r="L4" i="94"/>
  <c r="L3" i="94"/>
  <c r="K13" i="92"/>
  <c r="M13" i="92" s="1"/>
  <c r="G13" i="92"/>
  <c r="K12" i="92"/>
  <c r="M12" i="92" s="1"/>
  <c r="G12" i="92"/>
  <c r="K11" i="92"/>
  <c r="M11" i="92" s="1"/>
  <c r="O11" i="92" s="1"/>
  <c r="O9" i="92" s="1"/>
  <c r="D485" i="8" s="1"/>
  <c r="G11" i="92"/>
  <c r="K10" i="92"/>
  <c r="M10" i="92" s="1"/>
  <c r="G10" i="92"/>
  <c r="L9" i="92"/>
  <c r="F127" i="13" s="1"/>
  <c r="J9" i="92"/>
  <c r="I9" i="92"/>
  <c r="H9" i="92"/>
  <c r="F9" i="92"/>
  <c r="E127" i="13" s="1"/>
  <c r="E9" i="92"/>
  <c r="G5" i="92"/>
  <c r="G4" i="92"/>
  <c r="P17" i="91"/>
  <c r="R17" i="91" s="1"/>
  <c r="G17" i="91"/>
  <c r="P16" i="91"/>
  <c r="R16" i="91" s="1"/>
  <c r="G16" i="91"/>
  <c r="P15" i="91"/>
  <c r="R15" i="91" s="1"/>
  <c r="G15" i="91"/>
  <c r="P14" i="91"/>
  <c r="R14" i="91" s="1"/>
  <c r="G14" i="91"/>
  <c r="P13" i="91"/>
  <c r="R13" i="91" s="1"/>
  <c r="G13" i="91"/>
  <c r="P12" i="91"/>
  <c r="R12" i="91" s="1"/>
  <c r="G12" i="91"/>
  <c r="P11" i="91"/>
  <c r="G11" i="91"/>
  <c r="P10" i="91"/>
  <c r="R10" i="91" s="1"/>
  <c r="G10" i="91"/>
  <c r="O9" i="91"/>
  <c r="N9" i="91"/>
  <c r="M9" i="91"/>
  <c r="L9" i="91"/>
  <c r="K9" i="91"/>
  <c r="J9" i="91"/>
  <c r="I9" i="91"/>
  <c r="H9" i="91"/>
  <c r="E9" i="91"/>
  <c r="G5" i="91"/>
  <c r="G4" i="91"/>
  <c r="L20" i="90"/>
  <c r="N20" i="90" s="1"/>
  <c r="H20" i="90"/>
  <c r="L19" i="90"/>
  <c r="N19" i="90" s="1"/>
  <c r="H19" i="90"/>
  <c r="L18" i="90"/>
  <c r="N18" i="90" s="1"/>
  <c r="H18" i="90"/>
  <c r="L17" i="90"/>
  <c r="N17" i="90" s="1"/>
  <c r="H17" i="90"/>
  <c r="L16" i="90"/>
  <c r="N16" i="90" s="1"/>
  <c r="H16" i="90"/>
  <c r="L15" i="90"/>
  <c r="H15" i="90"/>
  <c r="L14" i="90"/>
  <c r="N14" i="90" s="1"/>
  <c r="H14" i="90"/>
  <c r="H13" i="90"/>
  <c r="L12" i="90"/>
  <c r="H12" i="90"/>
  <c r="L11" i="90"/>
  <c r="H11" i="90"/>
  <c r="L10" i="90"/>
  <c r="H10" i="90"/>
  <c r="K9" i="90"/>
  <c r="J9" i="90"/>
  <c r="I9" i="90"/>
  <c r="F9" i="90"/>
  <c r="I5" i="90"/>
  <c r="I4" i="90"/>
  <c r="Q16" i="89"/>
  <c r="S16" i="89" s="1"/>
  <c r="G16" i="89"/>
  <c r="Q15" i="89"/>
  <c r="S15" i="89" s="1"/>
  <c r="G15" i="89"/>
  <c r="Q14" i="89"/>
  <c r="S14" i="89" s="1"/>
  <c r="G14" i="89"/>
  <c r="Q13" i="89"/>
  <c r="S13" i="89" s="1"/>
  <c r="G13" i="89"/>
  <c r="Q12" i="89"/>
  <c r="S12" i="89" s="1"/>
  <c r="G12" i="89"/>
  <c r="Q11" i="89"/>
  <c r="G11" i="89"/>
  <c r="Q10" i="89"/>
  <c r="G10" i="89"/>
  <c r="R9" i="89"/>
  <c r="F115" i="13" s="1"/>
  <c r="P9" i="89"/>
  <c r="O9" i="89"/>
  <c r="N9" i="89"/>
  <c r="M9" i="89"/>
  <c r="L9" i="89"/>
  <c r="K9" i="89"/>
  <c r="J9" i="89"/>
  <c r="I9" i="89"/>
  <c r="H9" i="89"/>
  <c r="F9" i="89"/>
  <c r="E115" i="13" s="1"/>
  <c r="E9" i="89"/>
  <c r="H5" i="89"/>
  <c r="H4" i="89"/>
  <c r="K4" i="87"/>
  <c r="K3" i="87"/>
  <c r="R9" i="85"/>
  <c r="Q9" i="85"/>
  <c r="I4" i="85"/>
  <c r="I3" i="85"/>
  <c r="P10" i="83"/>
  <c r="O10" i="83"/>
  <c r="F58" i="8" s="1"/>
  <c r="N10" i="83"/>
  <c r="F54" i="8" s="1"/>
  <c r="M10" i="83"/>
  <c r="E109" i="13" s="1"/>
  <c r="L6" i="83"/>
  <c r="L5" i="83"/>
  <c r="O13" i="82"/>
  <c r="O12" i="82"/>
  <c r="O11" i="82"/>
  <c r="T11" i="82" s="1"/>
  <c r="U10" i="82"/>
  <c r="R10" i="82"/>
  <c r="Q10" i="82"/>
  <c r="F57" i="8" s="1"/>
  <c r="N10" i="82"/>
  <c r="M10" i="82"/>
  <c r="E108" i="13" s="1"/>
  <c r="L6" i="82"/>
  <c r="L5" i="82"/>
  <c r="N10" i="81"/>
  <c r="L10" i="81"/>
  <c r="F52" i="8" s="1"/>
  <c r="M10" i="81"/>
  <c r="F56" i="8" s="1"/>
  <c r="K10" i="81"/>
  <c r="E105" i="13" s="1"/>
  <c r="J6" i="81"/>
  <c r="J5" i="81"/>
  <c r="N21" i="80"/>
  <c r="D21" i="80"/>
  <c r="N20" i="80"/>
  <c r="D20" i="80"/>
  <c r="N19" i="80"/>
  <c r="D19" i="80"/>
  <c r="N18" i="80"/>
  <c r="D18" i="80"/>
  <c r="N17" i="80"/>
  <c r="D17" i="80"/>
  <c r="N16" i="80"/>
  <c r="D16" i="80"/>
  <c r="N15" i="80"/>
  <c r="D15" i="80"/>
  <c r="N14" i="80"/>
  <c r="D14" i="80"/>
  <c r="N13" i="80"/>
  <c r="D12" i="80"/>
  <c r="X11" i="80"/>
  <c r="W11" i="80"/>
  <c r="U11" i="80"/>
  <c r="F103" i="13" s="1"/>
  <c r="S11" i="80"/>
  <c r="R11" i="80"/>
  <c r="Q11" i="80"/>
  <c r="P11" i="80"/>
  <c r="O11" i="80"/>
  <c r="M11" i="80"/>
  <c r="E103" i="13" s="1"/>
  <c r="L11" i="80"/>
  <c r="E101" i="13" s="1"/>
  <c r="H6" i="80"/>
  <c r="H5" i="80"/>
  <c r="AD16" i="78"/>
  <c r="AD15" i="78"/>
  <c r="AD14" i="78"/>
  <c r="AD13" i="78"/>
  <c r="AD12" i="78"/>
  <c r="AD11" i="78"/>
  <c r="AC10" i="78"/>
  <c r="AB10" i="78"/>
  <c r="AA10" i="78"/>
  <c r="Z10" i="78"/>
  <c r="Y10" i="78"/>
  <c r="X10" i="78"/>
  <c r="W10" i="78"/>
  <c r="V10" i="78"/>
  <c r="U10" i="78"/>
  <c r="E50" i="8" s="1"/>
  <c r="T10" i="78"/>
  <c r="S10" i="78"/>
  <c r="R10" i="78"/>
  <c r="Q10" i="78"/>
  <c r="E100" i="13" s="1"/>
  <c r="J5" i="78"/>
  <c r="J4" i="78"/>
  <c r="AD19" i="77"/>
  <c r="AD18" i="77"/>
  <c r="AD17" i="77"/>
  <c r="AD16" i="77"/>
  <c r="AD15" i="77"/>
  <c r="AD14" i="77"/>
  <c r="AD13" i="77"/>
  <c r="AD12" i="77"/>
  <c r="E99" i="13"/>
  <c r="K5" i="77"/>
  <c r="K4" i="77"/>
  <c r="T12" i="76"/>
  <c r="S12" i="76"/>
  <c r="Q12" i="76"/>
  <c r="F150" i="8" s="1"/>
  <c r="P12" i="76"/>
  <c r="K5" i="76"/>
  <c r="K4" i="76"/>
  <c r="N24" i="75"/>
  <c r="P24" i="75" s="1"/>
  <c r="N23" i="75"/>
  <c r="P23" i="75" s="1"/>
  <c r="N22" i="75"/>
  <c r="P22" i="75" s="1"/>
  <c r="N21" i="75"/>
  <c r="P21" i="75" s="1"/>
  <c r="N20" i="75"/>
  <c r="N19" i="75"/>
  <c r="P19" i="75" s="1"/>
  <c r="N18" i="75"/>
  <c r="P18" i="75" s="1"/>
  <c r="N17" i="75"/>
  <c r="P17" i="75" s="1"/>
  <c r="N16" i="75"/>
  <c r="P16" i="75" s="1"/>
  <c r="N15" i="75"/>
  <c r="P15" i="75" s="1"/>
  <c r="N14" i="75"/>
  <c r="P14" i="75" s="1"/>
  <c r="N13" i="75"/>
  <c r="P13" i="75" s="1"/>
  <c r="N12" i="75"/>
  <c r="AB11" i="75"/>
  <c r="Y11" i="75"/>
  <c r="R11" i="75"/>
  <c r="Q11" i="75"/>
  <c r="O11" i="75"/>
  <c r="I5" i="75"/>
  <c r="I4" i="75"/>
  <c r="Z17" i="73"/>
  <c r="Z16" i="73"/>
  <c r="Z15" i="73"/>
  <c r="Z14" i="73"/>
  <c r="Z13" i="73"/>
  <c r="Z12" i="73"/>
  <c r="Z10" i="73"/>
  <c r="AA9" i="73"/>
  <c r="Y9" i="73"/>
  <c r="X9" i="73"/>
  <c r="F47" i="8" s="1"/>
  <c r="W9" i="73"/>
  <c r="V9" i="73"/>
  <c r="U9" i="73"/>
  <c r="T9" i="73"/>
  <c r="S9" i="73"/>
  <c r="R9" i="73"/>
  <c r="Q9" i="73"/>
  <c r="P9" i="73"/>
  <c r="E96" i="13" s="1"/>
  <c r="H4" i="73"/>
  <c r="H3" i="73"/>
  <c r="Z30" i="72"/>
  <c r="Z29" i="72"/>
  <c r="Z28" i="72"/>
  <c r="Z27" i="72"/>
  <c r="Z26" i="72"/>
  <c r="Z25" i="72"/>
  <c r="Z24" i="72"/>
  <c r="Z23" i="72"/>
  <c r="Z22" i="72"/>
  <c r="Z21" i="72"/>
  <c r="Z20" i="72"/>
  <c r="Z19" i="72"/>
  <c r="Z18" i="72"/>
  <c r="Z17" i="72"/>
  <c r="Z16" i="72"/>
  <c r="Z15" i="72"/>
  <c r="Z14" i="72"/>
  <c r="Z10" i="72"/>
  <c r="Z12" i="72"/>
  <c r="Z13" i="72"/>
  <c r="AA9" i="72"/>
  <c r="Y9" i="72"/>
  <c r="X9" i="72"/>
  <c r="E47" i="8" s="1"/>
  <c r="W9" i="72"/>
  <c r="V9" i="72"/>
  <c r="T9" i="72"/>
  <c r="S9" i="72"/>
  <c r="R9" i="72"/>
  <c r="Q9" i="72"/>
  <c r="P9" i="72"/>
  <c r="E95" i="13" s="1"/>
  <c r="H4" i="72"/>
  <c r="H3" i="72"/>
  <c r="G4" i="71"/>
  <c r="G3" i="71"/>
  <c r="J14" i="70"/>
  <c r="J13" i="70"/>
  <c r="J12" i="70"/>
  <c r="J11" i="70"/>
  <c r="J10" i="70"/>
  <c r="J9" i="70"/>
  <c r="J8" i="70"/>
  <c r="N8" i="70" s="1"/>
  <c r="E234" i="12"/>
  <c r="G234" i="12" s="1"/>
  <c r="E24" i="12"/>
  <c r="G24" i="12" s="1"/>
  <c r="I7" i="70"/>
  <c r="F156" i="8" s="1"/>
  <c r="G7" i="70"/>
  <c r="F155" i="8" s="1"/>
  <c r="F7" i="70"/>
  <c r="F154" i="8" s="1"/>
  <c r="E7" i="70"/>
  <c r="F153" i="8" s="1"/>
  <c r="D7" i="70"/>
  <c r="L3" i="70"/>
  <c r="L2" i="70"/>
  <c r="J3" i="69"/>
  <c r="J2" i="69"/>
  <c r="L3" i="68"/>
  <c r="L2" i="68"/>
  <c r="J3" i="67"/>
  <c r="I3" i="66"/>
  <c r="H3" i="65"/>
  <c r="H2" i="65"/>
  <c r="Y9" i="60"/>
  <c r="O9" i="60"/>
  <c r="L5" i="60"/>
  <c r="L4" i="60"/>
  <c r="AP38" i="59"/>
  <c r="AB38" i="59"/>
  <c r="AP37" i="59"/>
  <c r="AB37" i="59"/>
  <c r="AP36" i="59"/>
  <c r="AB36" i="59"/>
  <c r="AP35" i="59"/>
  <c r="AB35" i="59"/>
  <c r="AP34" i="59"/>
  <c r="AB34" i="59"/>
  <c r="AP33" i="59"/>
  <c r="AB33" i="59"/>
  <c r="AP32" i="59"/>
  <c r="AB32" i="59"/>
  <c r="AP31" i="59"/>
  <c r="AB31" i="59"/>
  <c r="AP30" i="59"/>
  <c r="AB30" i="59"/>
  <c r="AP29" i="59"/>
  <c r="AB29" i="59"/>
  <c r="AP28" i="59"/>
  <c r="AB28" i="59"/>
  <c r="AP27" i="59"/>
  <c r="AB27" i="59"/>
  <c r="AP26" i="59"/>
  <c r="AB26" i="59"/>
  <c r="AP25" i="59"/>
  <c r="AB25" i="59"/>
  <c r="AP24" i="59"/>
  <c r="AB24" i="59"/>
  <c r="AP23" i="59"/>
  <c r="AB23" i="59"/>
  <c r="AP22" i="59"/>
  <c r="AB22" i="59"/>
  <c r="AP21" i="59"/>
  <c r="AB21" i="59"/>
  <c r="AP20" i="59"/>
  <c r="AB20" i="59"/>
  <c r="AP19" i="59"/>
  <c r="AB19" i="59"/>
  <c r="AP18" i="59"/>
  <c r="AB18" i="59"/>
  <c r="AP17" i="59"/>
  <c r="AB17" i="59"/>
  <c r="AP16" i="59"/>
  <c r="AB16" i="59"/>
  <c r="AP15" i="59"/>
  <c r="AB15" i="59"/>
  <c r="AP14" i="59"/>
  <c r="AB14" i="59"/>
  <c r="AP13" i="59"/>
  <c r="AB13" i="59"/>
  <c r="AV12" i="59"/>
  <c r="AP12" i="59"/>
  <c r="AB12" i="59"/>
  <c r="AV11" i="59"/>
  <c r="AP11" i="59"/>
  <c r="AB11" i="59"/>
  <c r="AP10" i="59"/>
  <c r="AB10" i="59"/>
  <c r="AH9" i="59"/>
  <c r="AG9" i="59"/>
  <c r="AF9" i="59"/>
  <c r="AE9" i="59"/>
  <c r="AD9" i="59"/>
  <c r="AC9" i="59"/>
  <c r="Y9" i="59"/>
  <c r="X9" i="59"/>
  <c r="W9" i="59"/>
  <c r="DC9" i="59" s="1"/>
  <c r="D211" i="8" s="1"/>
  <c r="T9" i="59"/>
  <c r="I4" i="59"/>
  <c r="I3" i="59"/>
  <c r="H9" i="58"/>
  <c r="I4" i="58"/>
  <c r="I3" i="58"/>
  <c r="T15" i="57"/>
  <c r="T14" i="57"/>
  <c r="T13" i="57"/>
  <c r="T12" i="57"/>
  <c r="T11" i="57"/>
  <c r="T10" i="57"/>
  <c r="T9" i="57"/>
  <c r="P8" i="57"/>
  <c r="O8" i="57"/>
  <c r="N8" i="57"/>
  <c r="M8" i="57"/>
  <c r="L8" i="57"/>
  <c r="E45" i="8" s="1"/>
  <c r="K8" i="57"/>
  <c r="E46" i="8" s="1"/>
  <c r="J8" i="57"/>
  <c r="E44" i="8" s="1"/>
  <c r="I8" i="57"/>
  <c r="H8" i="57"/>
  <c r="G8" i="57"/>
  <c r="F8" i="57"/>
  <c r="E42" i="8" s="1"/>
  <c r="E8" i="57"/>
  <c r="G3" i="57"/>
  <c r="G2" i="57"/>
  <c r="O14" i="55"/>
  <c r="O13" i="55"/>
  <c r="O12" i="55"/>
  <c r="O11" i="55"/>
  <c r="O10" i="55"/>
  <c r="O9" i="55"/>
  <c r="L8" i="55"/>
  <c r="K8" i="55"/>
  <c r="F36" i="8" s="1"/>
  <c r="J8" i="55"/>
  <c r="F45" i="8" s="1"/>
  <c r="I8" i="55"/>
  <c r="H8" i="55"/>
  <c r="G8" i="55"/>
  <c r="F99" i="8" s="1"/>
  <c r="F8" i="55"/>
  <c r="E41" i="8" s="1"/>
  <c r="E8" i="55"/>
  <c r="D8" i="55"/>
  <c r="E78" i="13" s="1"/>
  <c r="G3" i="55"/>
  <c r="G2" i="55"/>
  <c r="O18" i="52"/>
  <c r="O17" i="52"/>
  <c r="O16" i="52"/>
  <c r="O15" i="52"/>
  <c r="O14" i="52"/>
  <c r="N13" i="52"/>
  <c r="M13" i="52"/>
  <c r="L13" i="52"/>
  <c r="K13" i="52"/>
  <c r="F39" i="8" s="1"/>
  <c r="J13" i="52"/>
  <c r="I13" i="52"/>
  <c r="H13" i="52"/>
  <c r="G13" i="52"/>
  <c r="F13" i="52"/>
  <c r="E13" i="52"/>
  <c r="E76" i="13" s="1"/>
  <c r="G5" i="52"/>
  <c r="G4" i="52"/>
  <c r="T10" i="51"/>
  <c r="S10" i="51"/>
  <c r="R10" i="51"/>
  <c r="Q10" i="51"/>
  <c r="P10" i="51"/>
  <c r="O10" i="51"/>
  <c r="F35" i="8" s="1"/>
  <c r="N10" i="51"/>
  <c r="F44" i="8" s="1"/>
  <c r="M10" i="51"/>
  <c r="L10" i="51"/>
  <c r="K10" i="51"/>
  <c r="J10" i="51"/>
  <c r="I10" i="51"/>
  <c r="F40" i="8" s="1"/>
  <c r="H10" i="51"/>
  <c r="E39" i="8" s="1"/>
  <c r="G10" i="51"/>
  <c r="F10" i="51"/>
  <c r="E10" i="51"/>
  <c r="E75" i="13" s="1"/>
  <c r="H4" i="51"/>
  <c r="H3" i="51"/>
  <c r="E4" i="50"/>
  <c r="E3" i="50"/>
  <c r="M10" i="48"/>
  <c r="X10" i="58" s="1"/>
  <c r="I4" i="48"/>
  <c r="D132" i="8" s="1"/>
  <c r="F4" i="48"/>
  <c r="F3" i="48"/>
  <c r="K43" i="44"/>
  <c r="K42" i="44"/>
  <c r="K41" i="44"/>
  <c r="K40" i="44"/>
  <c r="K39" i="44"/>
  <c r="G30" i="44"/>
  <c r="G29" i="44"/>
  <c r="G28" i="44"/>
  <c r="G27" i="44"/>
  <c r="G26" i="44"/>
  <c r="F25" i="44"/>
  <c r="E25" i="44"/>
  <c r="D25" i="44"/>
  <c r="G24" i="44"/>
  <c r="G22" i="44"/>
  <c r="G21" i="44"/>
  <c r="G20" i="44"/>
  <c r="G18" i="44"/>
  <c r="F17" i="44"/>
  <c r="E17" i="44"/>
  <c r="D17" i="44"/>
  <c r="E16" i="44"/>
  <c r="D16" i="44"/>
  <c r="A16" i="44"/>
  <c r="K15" i="44"/>
  <c r="F15" i="44"/>
  <c r="D15" i="44"/>
  <c r="A15" i="44"/>
  <c r="F14" i="44"/>
  <c r="E14" i="44"/>
  <c r="A14" i="44"/>
  <c r="K12" i="44"/>
  <c r="C4" i="44"/>
  <c r="C3" i="44"/>
  <c r="AE18" i="43"/>
  <c r="AD18" i="43"/>
  <c r="AC18" i="43"/>
  <c r="U18" i="43"/>
  <c r="J18" i="43"/>
  <c r="AE17" i="43"/>
  <c r="AD17" i="43"/>
  <c r="AC17" i="43"/>
  <c r="U17" i="43"/>
  <c r="J17" i="43"/>
  <c r="AE16" i="43"/>
  <c r="AD16" i="43"/>
  <c r="AC16" i="43"/>
  <c r="U16" i="43"/>
  <c r="J16" i="43"/>
  <c r="AE15" i="43"/>
  <c r="AD15" i="43"/>
  <c r="AC15" i="43"/>
  <c r="U15" i="43"/>
  <c r="J15" i="43"/>
  <c r="AE14" i="43"/>
  <c r="AD14" i="43"/>
  <c r="AC14" i="43"/>
  <c r="U14" i="43"/>
  <c r="U11" i="43"/>
  <c r="U12" i="43"/>
  <c r="U13" i="43"/>
  <c r="J14" i="43"/>
  <c r="AE13" i="43"/>
  <c r="AD13" i="43"/>
  <c r="AC13" i="43"/>
  <c r="J13" i="43"/>
  <c r="AE12" i="43"/>
  <c r="AD12" i="43"/>
  <c r="AC12" i="43"/>
  <c r="J12" i="43"/>
  <c r="AE11" i="43"/>
  <c r="AC11" i="43"/>
  <c r="I10" i="43"/>
  <c r="G16" i="42"/>
  <c r="G10" i="43"/>
  <c r="F10" i="43"/>
  <c r="G4" i="43"/>
  <c r="H28" i="42"/>
  <c r="H27" i="42"/>
  <c r="H26" i="42"/>
  <c r="H25" i="42"/>
  <c r="H24" i="42"/>
  <c r="H23" i="42"/>
  <c r="H22" i="42"/>
  <c r="H21" i="42"/>
  <c r="H20" i="42"/>
  <c r="H19" i="42"/>
  <c r="H18" i="42"/>
  <c r="M8" i="42" s="1"/>
  <c r="D436" i="8" s="1"/>
  <c r="H17" i="42"/>
  <c r="E123" i="8" s="1"/>
  <c r="F16" i="42"/>
  <c r="E16" i="42"/>
  <c r="D16" i="42"/>
  <c r="H15" i="42"/>
  <c r="H14" i="42"/>
  <c r="H13" i="42"/>
  <c r="G12" i="42"/>
  <c r="F12" i="42"/>
  <c r="E12" i="42"/>
  <c r="D12" i="42"/>
  <c r="H11" i="42"/>
  <c r="F4" i="42"/>
  <c r="H4" i="38"/>
  <c r="H3" i="38"/>
  <c r="M74" i="37"/>
  <c r="M73" i="37"/>
  <c r="M72" i="37"/>
  <c r="M71" i="37"/>
  <c r="M70" i="37"/>
  <c r="L69" i="37"/>
  <c r="J69" i="37"/>
  <c r="J8" i="37" s="1"/>
  <c r="H69" i="37"/>
  <c r="G69" i="37"/>
  <c r="F69" i="37"/>
  <c r="E69" i="37"/>
  <c r="D69" i="37"/>
  <c r="E62" i="13" s="1"/>
  <c r="M66" i="37"/>
  <c r="M65" i="37"/>
  <c r="M64" i="37"/>
  <c r="M63" i="37"/>
  <c r="M62" i="37"/>
  <c r="M61" i="37"/>
  <c r="M60" i="37"/>
  <c r="M59" i="37"/>
  <c r="L50" i="37"/>
  <c r="L49" i="37" s="1"/>
  <c r="H50" i="37"/>
  <c r="H49" i="37" s="1"/>
  <c r="G50" i="37"/>
  <c r="G49" i="37" s="1"/>
  <c r="F50" i="37"/>
  <c r="E50" i="37"/>
  <c r="E49" i="37" s="1"/>
  <c r="M51" i="37"/>
  <c r="I50" i="37"/>
  <c r="I49" i="37" s="1"/>
  <c r="M48" i="37"/>
  <c r="M47" i="37"/>
  <c r="L46" i="37"/>
  <c r="L43" i="37"/>
  <c r="I46" i="37"/>
  <c r="H46" i="37"/>
  <c r="G46" i="37"/>
  <c r="F46" i="37"/>
  <c r="E46" i="37"/>
  <c r="D46" i="37"/>
  <c r="H43" i="37"/>
  <c r="G43" i="37"/>
  <c r="F43" i="37"/>
  <c r="E43" i="37"/>
  <c r="M44" i="37"/>
  <c r="I43" i="37"/>
  <c r="M38" i="37"/>
  <c r="M37" i="37"/>
  <c r="M36" i="37"/>
  <c r="M35" i="37"/>
  <c r="M34" i="37"/>
  <c r="M33" i="37"/>
  <c r="M32" i="37"/>
  <c r="M31" i="37"/>
  <c r="M30" i="37"/>
  <c r="M29" i="37"/>
  <c r="M24" i="37"/>
  <c r="M23" i="37"/>
  <c r="M20" i="37"/>
  <c r="M19" i="37"/>
  <c r="L18" i="37"/>
  <c r="L15" i="37"/>
  <c r="I18" i="37"/>
  <c r="H18" i="37"/>
  <c r="H15" i="37"/>
  <c r="G18" i="37"/>
  <c r="F18" i="37"/>
  <c r="E18" i="37"/>
  <c r="I15" i="37"/>
  <c r="G15" i="37"/>
  <c r="F15" i="37"/>
  <c r="M16" i="37"/>
  <c r="M11" i="37"/>
  <c r="F65" i="13" s="1"/>
  <c r="A11" i="37"/>
  <c r="M10" i="37"/>
  <c r="A10" i="37"/>
  <c r="M9" i="37"/>
  <c r="F63" i="13" s="1"/>
  <c r="A9" i="37"/>
  <c r="H3" i="37"/>
  <c r="H2" i="37"/>
  <c r="M69" i="36"/>
  <c r="L69" i="36"/>
  <c r="L8" i="36" s="1"/>
  <c r="J69" i="36"/>
  <c r="I69" i="36"/>
  <c r="H69" i="36"/>
  <c r="G69" i="36"/>
  <c r="F69" i="36"/>
  <c r="E69" i="36"/>
  <c r="E56" i="13"/>
  <c r="M46" i="36"/>
  <c r="K46" i="36"/>
  <c r="J46" i="36"/>
  <c r="I46" i="36"/>
  <c r="G46" i="36"/>
  <c r="F46" i="36"/>
  <c r="E46" i="36"/>
  <c r="D46" i="36"/>
  <c r="M43" i="36"/>
  <c r="K43" i="36"/>
  <c r="J43" i="36"/>
  <c r="I43" i="36"/>
  <c r="G43" i="36"/>
  <c r="G42" i="36" s="1"/>
  <c r="F43" i="36"/>
  <c r="M18" i="36"/>
  <c r="K18" i="36"/>
  <c r="J18" i="36"/>
  <c r="I18" i="36"/>
  <c r="H18" i="36"/>
  <c r="G18" i="36"/>
  <c r="F18" i="36"/>
  <c r="M15" i="36"/>
  <c r="A11" i="36"/>
  <c r="A10" i="36"/>
  <c r="A9" i="36"/>
  <c r="I3" i="36"/>
  <c r="I2" i="36"/>
  <c r="E71" i="35"/>
  <c r="E47" i="13" s="1"/>
  <c r="F13" i="16" s="1"/>
  <c r="J13" i="16" s="1"/>
  <c r="E70" i="35"/>
  <c r="H46" i="35"/>
  <c r="H45" i="35" s="1"/>
  <c r="G46" i="35"/>
  <c r="G45" i="35" s="1"/>
  <c r="F46" i="35"/>
  <c r="F45" i="35" s="1"/>
  <c r="H42" i="35"/>
  <c r="G42" i="35"/>
  <c r="F42" i="35"/>
  <c r="E42" i="35"/>
  <c r="H39" i="35"/>
  <c r="G39" i="35"/>
  <c r="F39" i="35"/>
  <c r="H14" i="35"/>
  <c r="G14" i="35"/>
  <c r="F14" i="35"/>
  <c r="H11" i="35"/>
  <c r="G11" i="35"/>
  <c r="F11" i="35"/>
  <c r="H3" i="35"/>
  <c r="H2" i="35"/>
  <c r="X20" i="34"/>
  <c r="W20" i="34"/>
  <c r="X19" i="34"/>
  <c r="W19" i="34"/>
  <c r="X18" i="34"/>
  <c r="W18" i="34"/>
  <c r="X17" i="34"/>
  <c r="W17" i="34"/>
  <c r="X16" i="34"/>
  <c r="W16" i="34"/>
  <c r="X15" i="34"/>
  <c r="W15" i="34"/>
  <c r="X14" i="34"/>
  <c r="W14" i="34"/>
  <c r="X13" i="34"/>
  <c r="W13" i="34"/>
  <c r="X12" i="34"/>
  <c r="W12" i="34"/>
  <c r="X11" i="34"/>
  <c r="W11" i="34"/>
  <c r="S10" i="34"/>
  <c r="R10" i="34"/>
  <c r="Q10" i="34"/>
  <c r="P10" i="34"/>
  <c r="O10" i="34"/>
  <c r="N10" i="34"/>
  <c r="M10" i="34"/>
  <c r="L10" i="34"/>
  <c r="J10" i="34"/>
  <c r="F16" i="9" s="1"/>
  <c r="S10" i="107" s="1"/>
  <c r="I10" i="34"/>
  <c r="F13" i="9" s="1"/>
  <c r="H10" i="34"/>
  <c r="F10" i="34"/>
  <c r="D9" i="33"/>
  <c r="H4" i="34"/>
  <c r="H3" i="34"/>
  <c r="W13" i="33"/>
  <c r="W12" i="33"/>
  <c r="W10" i="33"/>
  <c r="W11" i="33"/>
  <c r="V9" i="33"/>
  <c r="U9" i="33"/>
  <c r="T9" i="33"/>
  <c r="S9" i="33"/>
  <c r="R9" i="33"/>
  <c r="Q9" i="33"/>
  <c r="F42" i="8" s="1"/>
  <c r="P9" i="33"/>
  <c r="O9" i="33"/>
  <c r="N9" i="33"/>
  <c r="M9" i="33"/>
  <c r="L9" i="33"/>
  <c r="K9" i="33"/>
  <c r="J9" i="33"/>
  <c r="E36" i="8" s="1"/>
  <c r="I9" i="33"/>
  <c r="E35" i="8" s="1"/>
  <c r="H9" i="33"/>
  <c r="G9" i="33"/>
  <c r="F9" i="33"/>
  <c r="E9" i="33"/>
  <c r="H3" i="33"/>
  <c r="H2" i="33"/>
  <c r="K30" i="32"/>
  <c r="N30" i="32" s="1"/>
  <c r="K29" i="32"/>
  <c r="N29" i="32" s="1"/>
  <c r="K28" i="32"/>
  <c r="K27" i="32"/>
  <c r="K26" i="32"/>
  <c r="N26" i="32" s="1"/>
  <c r="K25" i="32"/>
  <c r="N25" i="32" s="1"/>
  <c r="K23" i="32"/>
  <c r="N23" i="32" s="1"/>
  <c r="K22" i="32"/>
  <c r="N22" i="32" s="1"/>
  <c r="K21" i="32"/>
  <c r="N21" i="32" s="1"/>
  <c r="K20" i="32"/>
  <c r="K19" i="32"/>
  <c r="N19" i="32" s="1"/>
  <c r="K18" i="32"/>
  <c r="N18" i="32" s="1"/>
  <c r="K17" i="32"/>
  <c r="N17" i="32" s="1"/>
  <c r="K16" i="32"/>
  <c r="N16" i="32" s="1"/>
  <c r="K15" i="32"/>
  <c r="N15" i="32" s="1"/>
  <c r="K14" i="32"/>
  <c r="N14" i="32" s="1"/>
  <c r="K13" i="32"/>
  <c r="N13" i="32" s="1"/>
  <c r="K12" i="32"/>
  <c r="N12" i="32" s="1"/>
  <c r="K11" i="32"/>
  <c r="K10" i="32"/>
  <c r="N10" i="32" s="1"/>
  <c r="K9" i="32"/>
  <c r="N9" i="32" s="1"/>
  <c r="J8" i="32"/>
  <c r="H8" i="32"/>
  <c r="F8" i="32"/>
  <c r="D8" i="32"/>
  <c r="E41" i="13" s="1"/>
  <c r="L4" i="32"/>
  <c r="L3" i="32"/>
  <c r="E8" i="30"/>
  <c r="G8" i="28"/>
  <c r="H8" i="28"/>
  <c r="F4" i="30"/>
  <c r="F3" i="30"/>
  <c r="W8" i="28"/>
  <c r="U8" i="28"/>
  <c r="T8" i="28"/>
  <c r="S8" i="28"/>
  <c r="R8" i="28"/>
  <c r="Q8" i="28"/>
  <c r="O8" i="28"/>
  <c r="N8" i="28"/>
  <c r="F30" i="8" s="1"/>
  <c r="F8" i="28"/>
  <c r="F31" i="8" s="1"/>
  <c r="D8" i="28"/>
  <c r="E34" i="13" s="1"/>
  <c r="K4" i="28"/>
  <c r="K3" i="28"/>
  <c r="E7" i="27"/>
  <c r="S10" i="26" s="1"/>
  <c r="G3" i="27"/>
  <c r="G2" i="27"/>
  <c r="J4" i="26"/>
  <c r="J3" i="26"/>
  <c r="L21" i="25"/>
  <c r="K21" i="25"/>
  <c r="K9" i="25"/>
  <c r="J21" i="25"/>
  <c r="I21" i="25"/>
  <c r="H21" i="25"/>
  <c r="G21" i="25"/>
  <c r="G9" i="25"/>
  <c r="D21" i="25"/>
  <c r="L9" i="25"/>
  <c r="J9" i="25"/>
  <c r="I9" i="25"/>
  <c r="H9" i="25"/>
  <c r="D9" i="25"/>
  <c r="T32" i="23"/>
  <c r="U32" i="23"/>
  <c r="T31" i="23"/>
  <c r="U31" i="23"/>
  <c r="T29" i="23"/>
  <c r="U29" i="23"/>
  <c r="T28" i="23"/>
  <c r="U28" i="23"/>
  <c r="T27" i="23"/>
  <c r="U27" i="23"/>
  <c r="T26" i="23"/>
  <c r="U26" i="23"/>
  <c r="T25" i="23"/>
  <c r="U25" i="23"/>
  <c r="T24" i="23"/>
  <c r="U24" i="23"/>
  <c r="T23" i="23"/>
  <c r="O22" i="23"/>
  <c r="O10" i="23"/>
  <c r="N22" i="23"/>
  <c r="M22" i="23"/>
  <c r="M10" i="23"/>
  <c r="L22" i="23"/>
  <c r="J22" i="23"/>
  <c r="I22" i="23"/>
  <c r="H22" i="23"/>
  <c r="F22" i="23"/>
  <c r="D22" i="23"/>
  <c r="T21" i="23"/>
  <c r="T19" i="23"/>
  <c r="T18" i="23"/>
  <c r="T17" i="23"/>
  <c r="T16" i="23"/>
  <c r="T15" i="23"/>
  <c r="T14" i="23"/>
  <c r="T13" i="23"/>
  <c r="T12" i="23"/>
  <c r="T11" i="23"/>
  <c r="N10" i="23"/>
  <c r="L10" i="23"/>
  <c r="J10" i="23"/>
  <c r="I10" i="23"/>
  <c r="H10" i="23"/>
  <c r="F10" i="23"/>
  <c r="H4" i="23"/>
  <c r="H3" i="23"/>
  <c r="X7" i="21"/>
  <c r="L4" i="21"/>
  <c r="L3" i="21"/>
  <c r="Y7" i="19"/>
  <c r="X7" i="19" s="1"/>
  <c r="U3" i="19"/>
  <c r="U2" i="19"/>
  <c r="Z9" i="17"/>
  <c r="Z8" i="17" s="1"/>
  <c r="L4" i="17"/>
  <c r="L3" i="17"/>
  <c r="M37" i="16"/>
  <c r="T37" i="16" s="1"/>
  <c r="A37" i="16"/>
  <c r="A36" i="16"/>
  <c r="A35" i="16"/>
  <c r="A34" i="16"/>
  <c r="A33" i="16"/>
  <c r="N32" i="16"/>
  <c r="T32" i="16" s="1"/>
  <c r="A32" i="16"/>
  <c r="N31" i="16"/>
  <c r="T31" i="16" s="1"/>
  <c r="A31" i="16"/>
  <c r="M30" i="16"/>
  <c r="T30" i="16" s="1"/>
  <c r="A30" i="16"/>
  <c r="N29" i="16"/>
  <c r="T29" i="16" s="1"/>
  <c r="A29" i="16"/>
  <c r="D300" i="8"/>
  <c r="A28" i="16"/>
  <c r="N27" i="16"/>
  <c r="T27" i="16" s="1"/>
  <c r="A27" i="16"/>
  <c r="M22" i="16"/>
  <c r="T22" i="16" s="1"/>
  <c r="A22" i="16"/>
  <c r="M9" i="16"/>
  <c r="T9" i="16" s="1"/>
  <c r="A9" i="16"/>
  <c r="F5" i="16"/>
  <c r="F4" i="16"/>
  <c r="M65" i="14"/>
  <c r="L65" i="14"/>
  <c r="M64" i="14"/>
  <c r="L64" i="14"/>
  <c r="M63" i="14"/>
  <c r="L63" i="14"/>
  <c r="M62" i="14"/>
  <c r="L62" i="14"/>
  <c r="M61" i="14"/>
  <c r="L61" i="14"/>
  <c r="M60" i="14"/>
  <c r="L60" i="14"/>
  <c r="M59" i="14"/>
  <c r="L59" i="14"/>
  <c r="M58" i="14"/>
  <c r="L58" i="14"/>
  <c r="M57" i="14"/>
  <c r="L57" i="14"/>
  <c r="M56" i="14"/>
  <c r="L56" i="14"/>
  <c r="M55" i="14"/>
  <c r="L55" i="14"/>
  <c r="M54" i="14"/>
  <c r="L54" i="14"/>
  <c r="M53" i="14"/>
  <c r="L53" i="14"/>
  <c r="M52" i="14"/>
  <c r="L52" i="14"/>
  <c r="M51" i="14"/>
  <c r="L51" i="14"/>
  <c r="M50" i="14"/>
  <c r="L50" i="14"/>
  <c r="M49" i="14"/>
  <c r="L49" i="14"/>
  <c r="M48" i="14"/>
  <c r="L48" i="14"/>
  <c r="M47" i="14"/>
  <c r="L47" i="14"/>
  <c r="M46" i="14"/>
  <c r="L46" i="14"/>
  <c r="M45" i="14"/>
  <c r="L45" i="14"/>
  <c r="M44" i="14"/>
  <c r="L44" i="14"/>
  <c r="M43" i="14"/>
  <c r="L43" i="14"/>
  <c r="M42" i="14"/>
  <c r="L42" i="14"/>
  <c r="M41" i="14"/>
  <c r="L41" i="14"/>
  <c r="M40" i="14"/>
  <c r="L40" i="14"/>
  <c r="M39" i="14"/>
  <c r="L39" i="14"/>
  <c r="M38" i="14"/>
  <c r="L38" i="14"/>
  <c r="M37" i="14"/>
  <c r="L37" i="14"/>
  <c r="M36" i="14"/>
  <c r="L36" i="14"/>
  <c r="M35" i="14"/>
  <c r="L35" i="14"/>
  <c r="M34" i="14"/>
  <c r="L34" i="14"/>
  <c r="M33" i="14"/>
  <c r="L33" i="14"/>
  <c r="M32" i="14"/>
  <c r="L32" i="14"/>
  <c r="M31" i="14"/>
  <c r="L31" i="14"/>
  <c r="M30" i="14"/>
  <c r="L30" i="14"/>
  <c r="M29" i="14"/>
  <c r="L29" i="14"/>
  <c r="M28" i="14"/>
  <c r="L28" i="14"/>
  <c r="M27" i="14"/>
  <c r="L27" i="14"/>
  <c r="M26" i="14"/>
  <c r="L26" i="14"/>
  <c r="M25" i="14"/>
  <c r="L25" i="14"/>
  <c r="M24" i="14"/>
  <c r="L24" i="14"/>
  <c r="M23" i="14"/>
  <c r="F206" i="8" s="1"/>
  <c r="L23" i="14"/>
  <c r="M22" i="14"/>
  <c r="F205" i="8" s="1"/>
  <c r="L22" i="14"/>
  <c r="M21" i="14"/>
  <c r="L21" i="14"/>
  <c r="M20" i="14"/>
  <c r="L20" i="14"/>
  <c r="M19" i="14"/>
  <c r="L19" i="14"/>
  <c r="M18" i="14"/>
  <c r="L18" i="14"/>
  <c r="M17" i="14"/>
  <c r="L17" i="14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H2" i="14"/>
  <c r="F2" i="14"/>
  <c r="E243" i="13"/>
  <c r="O62" i="14" s="1"/>
  <c r="E218" i="13"/>
  <c r="E217" i="13"/>
  <c r="E215" i="13"/>
  <c r="E208" i="13"/>
  <c r="E188" i="13"/>
  <c r="O48" i="14" s="1"/>
  <c r="E187" i="13"/>
  <c r="E186" i="13"/>
  <c r="O47" i="14" s="1"/>
  <c r="F117" i="13"/>
  <c r="E117" i="13"/>
  <c r="F116" i="13"/>
  <c r="E116" i="13"/>
  <c r="F111" i="13"/>
  <c r="E111" i="13"/>
  <c r="F110" i="13"/>
  <c r="E110" i="13"/>
  <c r="F107" i="13"/>
  <c r="E107" i="13"/>
  <c r="F106" i="13"/>
  <c r="E106" i="13"/>
  <c r="F88" i="13"/>
  <c r="E88" i="13"/>
  <c r="E77" i="13"/>
  <c r="O28" i="14" s="1"/>
  <c r="E72" i="13"/>
  <c r="O24" i="14" s="1"/>
  <c r="E70" i="13"/>
  <c r="E65" i="13"/>
  <c r="E63" i="13"/>
  <c r="E59" i="13"/>
  <c r="E57" i="13"/>
  <c r="E50" i="13"/>
  <c r="F16" i="16" s="1"/>
  <c r="J16" i="16" s="1"/>
  <c r="E49" i="13"/>
  <c r="E43" i="13"/>
  <c r="F9" i="9"/>
  <c r="L9" i="9" s="1"/>
  <c r="O9" i="9" s="1"/>
  <c r="E32" i="13"/>
  <c r="O10" i="14" s="1"/>
  <c r="G4" i="13"/>
  <c r="G3" i="13"/>
  <c r="E271" i="12"/>
  <c r="E272" i="12" s="1"/>
  <c r="E57" i="11" s="1"/>
  <c r="E267" i="12"/>
  <c r="G267" i="12" s="1"/>
  <c r="E266" i="12"/>
  <c r="E49" i="11" s="1"/>
  <c r="J49" i="11" s="1"/>
  <c r="E265" i="12"/>
  <c r="G265" i="12" s="1"/>
  <c r="E263" i="12"/>
  <c r="G263" i="12" s="1"/>
  <c r="E262" i="12"/>
  <c r="G262" i="12" s="1"/>
  <c r="E259" i="12"/>
  <c r="G259" i="12" s="1"/>
  <c r="E258" i="12"/>
  <c r="G258" i="12" s="1"/>
  <c r="E257" i="12"/>
  <c r="G257" i="12" s="1"/>
  <c r="E256" i="12"/>
  <c r="G256" i="12" s="1"/>
  <c r="E255" i="12"/>
  <c r="G255" i="12" s="1"/>
  <c r="E252" i="12"/>
  <c r="E251" i="12"/>
  <c r="E249" i="12"/>
  <c r="G249" i="12" s="1"/>
  <c r="E247" i="12"/>
  <c r="E246" i="12"/>
  <c r="G246" i="12" s="1"/>
  <c r="E245" i="12"/>
  <c r="G245" i="12" s="1"/>
  <c r="E244" i="12"/>
  <c r="E243" i="12"/>
  <c r="G243" i="12" s="1"/>
  <c r="E242" i="12"/>
  <c r="E241" i="12"/>
  <c r="G241" i="12" s="1"/>
  <c r="E240" i="12"/>
  <c r="G240" i="12" s="1"/>
  <c r="E239" i="12"/>
  <c r="G239" i="12" s="1"/>
  <c r="E238" i="12"/>
  <c r="E237" i="12"/>
  <c r="G237" i="12" s="1"/>
  <c r="E236" i="12"/>
  <c r="E233" i="12"/>
  <c r="G233" i="12" s="1"/>
  <c r="E232" i="12"/>
  <c r="G232" i="12" s="1"/>
  <c r="E231" i="12"/>
  <c r="G231" i="12" s="1"/>
  <c r="E230" i="12"/>
  <c r="E229" i="12"/>
  <c r="E44" i="11" s="1"/>
  <c r="E225" i="12"/>
  <c r="G225" i="12" s="1"/>
  <c r="E224" i="12"/>
  <c r="E223" i="12"/>
  <c r="G223" i="12" s="1"/>
  <c r="E222" i="12"/>
  <c r="E221" i="12"/>
  <c r="G221" i="12" s="1"/>
  <c r="E220" i="12"/>
  <c r="G220" i="12" s="1"/>
  <c r="E219" i="12"/>
  <c r="G219" i="12" s="1"/>
  <c r="E218" i="12"/>
  <c r="G218" i="12" s="1"/>
  <c r="E217" i="12"/>
  <c r="G217" i="12" s="1"/>
  <c r="E215" i="12"/>
  <c r="G215" i="12" s="1"/>
  <c r="E214" i="12"/>
  <c r="E213" i="12"/>
  <c r="E212" i="12"/>
  <c r="G212" i="12" s="1"/>
  <c r="E211" i="12"/>
  <c r="E209" i="12"/>
  <c r="G209" i="12" s="1"/>
  <c r="E208" i="12"/>
  <c r="G208" i="12" s="1"/>
  <c r="E207" i="12"/>
  <c r="G207" i="12" s="1"/>
  <c r="E205" i="12"/>
  <c r="G205" i="12" s="1"/>
  <c r="E204" i="12"/>
  <c r="G204" i="12" s="1"/>
  <c r="E203" i="12"/>
  <c r="G203" i="12" s="1"/>
  <c r="E202" i="12"/>
  <c r="G202" i="12" s="1"/>
  <c r="E201" i="12"/>
  <c r="G201" i="12" s="1"/>
  <c r="E200" i="12"/>
  <c r="G200" i="12" s="1"/>
  <c r="E199" i="12"/>
  <c r="E198" i="12"/>
  <c r="G198" i="12" s="1"/>
  <c r="E195" i="12"/>
  <c r="G195" i="12" s="1"/>
  <c r="E194" i="12"/>
  <c r="G194" i="12" s="1"/>
  <c r="E193" i="12"/>
  <c r="G193" i="12" s="1"/>
  <c r="E192" i="12"/>
  <c r="E190" i="12"/>
  <c r="E189" i="12"/>
  <c r="E187" i="12"/>
  <c r="E26" i="11" s="1"/>
  <c r="E185" i="12"/>
  <c r="G185" i="12" s="1"/>
  <c r="E184" i="12"/>
  <c r="G184" i="12" s="1"/>
  <c r="E183" i="12"/>
  <c r="G183" i="12" s="1"/>
  <c r="E181" i="12"/>
  <c r="G181" i="12" s="1"/>
  <c r="E180" i="12"/>
  <c r="G180" i="12" s="1"/>
  <c r="E179" i="12"/>
  <c r="G179" i="12" s="1"/>
  <c r="E178" i="12"/>
  <c r="E177" i="12"/>
  <c r="G177" i="12" s="1"/>
  <c r="E173" i="12"/>
  <c r="G173" i="12" s="1"/>
  <c r="E172" i="12"/>
  <c r="E171" i="12"/>
  <c r="E170" i="12"/>
  <c r="E169" i="12"/>
  <c r="G169" i="12" s="1"/>
  <c r="E168" i="12"/>
  <c r="G168" i="12" s="1"/>
  <c r="E167" i="12"/>
  <c r="G167" i="12" s="1"/>
  <c r="E165" i="12"/>
  <c r="G165" i="12" s="1"/>
  <c r="E164" i="12"/>
  <c r="G164" i="12" s="1"/>
  <c r="E163" i="12"/>
  <c r="G163" i="12" s="1"/>
  <c r="E162" i="12"/>
  <c r="G162" i="12" s="1"/>
  <c r="E161" i="12"/>
  <c r="G161" i="12" s="1"/>
  <c r="E160" i="12"/>
  <c r="G160" i="12" s="1"/>
  <c r="E159" i="12"/>
  <c r="G159" i="12" s="1"/>
  <c r="E158" i="12"/>
  <c r="G158" i="12" s="1"/>
  <c r="E157" i="12"/>
  <c r="G157" i="12" s="1"/>
  <c r="E156" i="12"/>
  <c r="G156" i="12" s="1"/>
  <c r="E155" i="12"/>
  <c r="G155" i="12" s="1"/>
  <c r="E154" i="12"/>
  <c r="G154" i="12" s="1"/>
  <c r="E153" i="12"/>
  <c r="E152" i="12"/>
  <c r="G152" i="12" s="1"/>
  <c r="E150" i="12"/>
  <c r="G150" i="12" s="1"/>
  <c r="E149" i="12"/>
  <c r="E146" i="12"/>
  <c r="G146" i="12" s="1"/>
  <c r="E145" i="12"/>
  <c r="E135" i="12"/>
  <c r="E134" i="12"/>
  <c r="G134" i="12" s="1"/>
  <c r="E133" i="12"/>
  <c r="E132" i="12"/>
  <c r="G132" i="12" s="1"/>
  <c r="E131" i="12"/>
  <c r="E130" i="12"/>
  <c r="G130" i="12" s="1"/>
  <c r="E129" i="12"/>
  <c r="G129" i="12" s="1"/>
  <c r="E128" i="12"/>
  <c r="G128" i="12" s="1"/>
  <c r="E127" i="12"/>
  <c r="E126" i="12"/>
  <c r="G126" i="12" s="1"/>
  <c r="E125" i="12"/>
  <c r="E124" i="12"/>
  <c r="E123" i="12"/>
  <c r="G123" i="12" s="1"/>
  <c r="E122" i="12"/>
  <c r="E121" i="12"/>
  <c r="E120" i="12"/>
  <c r="G120" i="12" s="1"/>
  <c r="E119" i="12"/>
  <c r="G119" i="12" s="1"/>
  <c r="E118" i="12"/>
  <c r="E117" i="12"/>
  <c r="E115" i="12"/>
  <c r="G115" i="12" s="1"/>
  <c r="E114" i="12"/>
  <c r="G114" i="12" s="1"/>
  <c r="E113" i="12"/>
  <c r="G113" i="12" s="1"/>
  <c r="E112" i="12"/>
  <c r="G112" i="12" s="1"/>
  <c r="E111" i="12"/>
  <c r="G111" i="12" s="1"/>
  <c r="E110" i="12"/>
  <c r="G110" i="12" s="1"/>
  <c r="E109" i="12"/>
  <c r="G109" i="12" s="1"/>
  <c r="E108" i="12"/>
  <c r="G108" i="12" s="1"/>
  <c r="E107" i="12"/>
  <c r="G107" i="12" s="1"/>
  <c r="E106" i="12"/>
  <c r="G106" i="12" s="1"/>
  <c r="E105" i="12"/>
  <c r="G105" i="12" s="1"/>
  <c r="E104" i="12"/>
  <c r="G104" i="12" s="1"/>
  <c r="E103" i="12"/>
  <c r="G103" i="12" s="1"/>
  <c r="E102" i="12"/>
  <c r="G102" i="12" s="1"/>
  <c r="E101" i="12"/>
  <c r="G101" i="12" s="1"/>
  <c r="E100" i="12"/>
  <c r="G100" i="12" s="1"/>
  <c r="E99" i="12"/>
  <c r="G99" i="12" s="1"/>
  <c r="E98" i="12"/>
  <c r="G98" i="12" s="1"/>
  <c r="E97" i="12"/>
  <c r="G97" i="12" s="1"/>
  <c r="E96" i="12"/>
  <c r="G96" i="12" s="1"/>
  <c r="E95" i="12"/>
  <c r="G95" i="12" s="1"/>
  <c r="E94" i="12"/>
  <c r="G94" i="12" s="1"/>
  <c r="E93" i="12"/>
  <c r="G93" i="12" s="1"/>
  <c r="E92" i="12"/>
  <c r="G92" i="12" s="1"/>
  <c r="E91" i="12"/>
  <c r="G91" i="12" s="1"/>
  <c r="E90" i="12"/>
  <c r="G90" i="12" s="1"/>
  <c r="E89" i="12"/>
  <c r="G89" i="12" s="1"/>
  <c r="E88" i="12"/>
  <c r="G88" i="12" s="1"/>
  <c r="E87" i="12"/>
  <c r="G87" i="12" s="1"/>
  <c r="E86" i="12"/>
  <c r="G86" i="12" s="1"/>
  <c r="E85" i="12"/>
  <c r="G85" i="12" s="1"/>
  <c r="E84" i="12"/>
  <c r="G84" i="12" s="1"/>
  <c r="E83" i="12"/>
  <c r="G83" i="12" s="1"/>
  <c r="E82" i="12"/>
  <c r="G82" i="12" s="1"/>
  <c r="E81" i="12"/>
  <c r="G81" i="12" s="1"/>
  <c r="E80" i="12"/>
  <c r="G80" i="12" s="1"/>
  <c r="E79" i="12"/>
  <c r="G79" i="12" s="1"/>
  <c r="E78" i="12"/>
  <c r="G78" i="12" s="1"/>
  <c r="E77" i="12"/>
  <c r="G77" i="12" s="1"/>
  <c r="E76" i="12"/>
  <c r="G76" i="12" s="1"/>
  <c r="E75" i="12"/>
  <c r="G75" i="12" s="1"/>
  <c r="E74" i="12"/>
  <c r="G74" i="12" s="1"/>
  <c r="E73" i="12"/>
  <c r="G73" i="12" s="1"/>
  <c r="E72" i="12"/>
  <c r="G72" i="12" s="1"/>
  <c r="E71" i="12"/>
  <c r="G71" i="12" s="1"/>
  <c r="E70" i="12"/>
  <c r="G70" i="12" s="1"/>
  <c r="E69" i="12"/>
  <c r="G69" i="12" s="1"/>
  <c r="E68" i="12"/>
  <c r="G68" i="12" s="1"/>
  <c r="E67" i="12"/>
  <c r="G67" i="12" s="1"/>
  <c r="E66" i="12"/>
  <c r="G66" i="12" s="1"/>
  <c r="E65" i="12"/>
  <c r="G65" i="12" s="1"/>
  <c r="E64" i="12"/>
  <c r="G64" i="12" s="1"/>
  <c r="E63" i="12"/>
  <c r="G63" i="12" s="1"/>
  <c r="E62" i="12"/>
  <c r="G62" i="12" s="1"/>
  <c r="E61" i="12"/>
  <c r="G61" i="12" s="1"/>
  <c r="E60" i="12"/>
  <c r="G60" i="12" s="1"/>
  <c r="E59" i="12"/>
  <c r="G59" i="12" s="1"/>
  <c r="E58" i="12"/>
  <c r="G58" i="12" s="1"/>
  <c r="E57" i="12"/>
  <c r="G57" i="12" s="1"/>
  <c r="E56" i="12"/>
  <c r="G56" i="12" s="1"/>
  <c r="E55" i="12"/>
  <c r="G55" i="12" s="1"/>
  <c r="E54" i="12"/>
  <c r="G54" i="12" s="1"/>
  <c r="E53" i="12"/>
  <c r="G53" i="12" s="1"/>
  <c r="E52" i="12"/>
  <c r="G52" i="12" s="1"/>
  <c r="E51" i="12"/>
  <c r="G51" i="12" s="1"/>
  <c r="E50" i="12"/>
  <c r="G50" i="12" s="1"/>
  <c r="E49" i="12"/>
  <c r="G49" i="12" s="1"/>
  <c r="E46" i="12"/>
  <c r="G46" i="12" s="1"/>
  <c r="E44" i="12"/>
  <c r="E43" i="12"/>
  <c r="G43" i="12" s="1"/>
  <c r="E42" i="12"/>
  <c r="G42" i="12" s="1"/>
  <c r="E41" i="12"/>
  <c r="G41" i="12" s="1"/>
  <c r="E40" i="12"/>
  <c r="G40" i="12" s="1"/>
  <c r="E39" i="12"/>
  <c r="E38" i="12"/>
  <c r="G38" i="12" s="1"/>
  <c r="E37" i="12"/>
  <c r="E35" i="12"/>
  <c r="G35" i="12" s="1"/>
  <c r="E34" i="12"/>
  <c r="G34" i="12" s="1"/>
  <c r="E33" i="12"/>
  <c r="G33" i="12" s="1"/>
  <c r="E32" i="12"/>
  <c r="G32" i="12" s="1"/>
  <c r="E31" i="12"/>
  <c r="E30" i="12"/>
  <c r="G30" i="12" s="1"/>
  <c r="E29" i="12"/>
  <c r="G29" i="12" s="1"/>
  <c r="E28" i="12"/>
  <c r="G28" i="12" s="1"/>
  <c r="E27" i="12"/>
  <c r="G27" i="12" s="1"/>
  <c r="E26" i="12"/>
  <c r="G26" i="12" s="1"/>
  <c r="E25" i="12"/>
  <c r="G25" i="12" s="1"/>
  <c r="E22" i="12"/>
  <c r="E21" i="12"/>
  <c r="G21" i="12" s="1"/>
  <c r="E18" i="12"/>
  <c r="G18" i="12" s="1"/>
  <c r="E17" i="12"/>
  <c r="G17" i="12" s="1"/>
  <c r="E16" i="12"/>
  <c r="E14" i="12"/>
  <c r="G14" i="12" s="1"/>
  <c r="E13" i="12"/>
  <c r="G13" i="12" s="1"/>
  <c r="E12" i="12"/>
  <c r="G12" i="12" s="1"/>
  <c r="E11" i="12"/>
  <c r="G11" i="12" s="1"/>
  <c r="E10" i="12"/>
  <c r="G10" i="12" s="1"/>
  <c r="E9" i="12"/>
  <c r="G9" i="12" s="1"/>
  <c r="E8" i="12"/>
  <c r="G8" i="12" s="1"/>
  <c r="E7" i="12"/>
  <c r="G7" i="12" s="1"/>
  <c r="E6" i="12"/>
  <c r="G6" i="12" s="1"/>
  <c r="E5" i="12"/>
  <c r="G5" i="12" s="1"/>
  <c r="E3" i="12"/>
  <c r="E2" i="12"/>
  <c r="L47" i="11"/>
  <c r="I47" i="11"/>
  <c r="L39" i="11"/>
  <c r="I39" i="11"/>
  <c r="L30" i="11"/>
  <c r="L23" i="11"/>
  <c r="L14" i="11"/>
  <c r="I14" i="11"/>
  <c r="L8" i="11"/>
  <c r="I8" i="11"/>
  <c r="E3" i="11"/>
  <c r="E2" i="11"/>
  <c r="I35" i="10"/>
  <c r="I34" i="10"/>
  <c r="E30" i="10"/>
  <c r="H30" i="10" s="1"/>
  <c r="E25" i="10"/>
  <c r="H25" i="10" s="1"/>
  <c r="A25" i="10"/>
  <c r="A23" i="10"/>
  <c r="A20" i="10"/>
  <c r="A19" i="10"/>
  <c r="A18" i="10"/>
  <c r="A17" i="10"/>
  <c r="A16" i="10"/>
  <c r="A12" i="10"/>
  <c r="A11" i="10"/>
  <c r="J10" i="10"/>
  <c r="J13" i="10" s="1"/>
  <c r="J21" i="10" s="1"/>
  <c r="J27" i="10" s="1"/>
  <c r="A9" i="10"/>
  <c r="A8" i="10"/>
  <c r="H3" i="10"/>
  <c r="H2" i="10"/>
  <c r="F75" i="9"/>
  <c r="L75" i="9" s="1"/>
  <c r="O75" i="9" s="1"/>
  <c r="F48" i="9"/>
  <c r="L48" i="9" s="1"/>
  <c r="O48" i="9" s="1"/>
  <c r="L10" i="9"/>
  <c r="O10" i="9" s="1"/>
  <c r="C3" i="8"/>
  <c r="C2" i="8"/>
  <c r="D437" i="8" s="1"/>
  <c r="A113" i="5"/>
  <c r="A112" i="5"/>
  <c r="A111" i="5"/>
  <c r="A110" i="5"/>
  <c r="A109" i="5"/>
  <c r="A108" i="5"/>
  <c r="A107" i="5"/>
  <c r="A106" i="5"/>
  <c r="A105" i="5"/>
  <c r="A104" i="5"/>
  <c r="A103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C7" i="5"/>
  <c r="C8" i="5" s="1"/>
  <c r="C9" i="5" s="1"/>
  <c r="C10" i="5" s="1"/>
  <c r="C11" i="5" s="1"/>
  <c r="C12" i="5" s="1"/>
  <c r="A7" i="5"/>
  <c r="D3" i="5"/>
  <c r="C3" i="5" s="1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3" i="4"/>
  <c r="D32" i="4"/>
  <c r="D30" i="4"/>
  <c r="D29" i="4"/>
  <c r="D28" i="4"/>
  <c r="D27" i="4"/>
  <c r="D26" i="4"/>
  <c r="D25" i="4"/>
  <c r="D24" i="4"/>
  <c r="D23" i="4"/>
  <c r="D22" i="4"/>
  <c r="D21" i="4"/>
  <c r="D20" i="4"/>
  <c r="D13" i="4"/>
  <c r="B13" i="3"/>
  <c r="A95" i="1"/>
  <c r="A94" i="1"/>
  <c r="A93" i="1"/>
  <c r="A92" i="1"/>
  <c r="A91" i="1"/>
  <c r="A90" i="1"/>
  <c r="A89" i="1"/>
  <c r="A88" i="1"/>
  <c r="A87" i="1"/>
  <c r="A86" i="1"/>
  <c r="A85" i="1"/>
  <c r="A84" i="1"/>
  <c r="E45" i="12"/>
  <c r="G45" i="12" s="1"/>
  <c r="E260" i="12"/>
  <c r="G260" i="12" s="1"/>
  <c r="E148" i="12"/>
  <c r="E144" i="12"/>
  <c r="G144" i="12" s="1"/>
  <c r="E36" i="12"/>
  <c r="G36" i="12" s="1"/>
  <c r="E20" i="12"/>
  <c r="E74" i="9"/>
  <c r="K74" i="9" s="1"/>
  <c r="N74" i="9" s="1"/>
  <c r="K9" i="60"/>
  <c r="L35" i="9" s="1"/>
  <c r="O35" i="9" s="1"/>
  <c r="L9" i="60"/>
  <c r="F74" i="9" s="1"/>
  <c r="L74" i="9" s="1"/>
  <c r="O74" i="9" s="1"/>
  <c r="M17" i="37"/>
  <c r="E15" i="37"/>
  <c r="M25" i="37"/>
  <c r="E43" i="36"/>
  <c r="M52" i="37"/>
  <c r="M45" i="37"/>
  <c r="M53" i="37"/>
  <c r="D43" i="37"/>
  <c r="O12" i="141"/>
  <c r="P13" i="141"/>
  <c r="S13" i="141" s="1"/>
  <c r="E210" i="12"/>
  <c r="G210" i="12" s="1"/>
  <c r="BL16" i="95" l="1"/>
  <c r="BL17" i="95"/>
  <c r="BL18" i="95"/>
  <c r="BL19" i="95"/>
  <c r="BL20" i="95"/>
  <c r="BL21" i="95"/>
  <c r="BL22" i="95"/>
  <c r="BL23" i="95"/>
  <c r="BL24" i="95"/>
  <c r="BL25" i="95"/>
  <c r="BL26" i="95"/>
  <c r="BL27" i="95"/>
  <c r="BL28" i="95"/>
  <c r="BL29" i="95"/>
  <c r="BL30" i="95"/>
  <c r="BL31" i="95"/>
  <c r="BL32" i="95"/>
  <c r="BL33" i="95"/>
  <c r="BL34" i="95"/>
  <c r="BL35" i="95"/>
  <c r="BL36" i="95"/>
  <c r="BL37" i="95"/>
  <c r="BL38" i="95"/>
  <c r="BL39" i="95"/>
  <c r="BL40" i="95"/>
  <c r="BL41" i="95"/>
  <c r="BL42" i="95"/>
  <c r="BL43" i="95"/>
  <c r="BL44" i="95"/>
  <c r="BL45" i="95"/>
  <c r="BL46" i="95"/>
  <c r="BL47" i="95"/>
  <c r="BL48" i="95"/>
  <c r="BL15" i="95"/>
  <c r="R11" i="91"/>
  <c r="T11" i="91" s="1"/>
  <c r="T9" i="91" s="1"/>
  <c r="D484" i="8" s="1"/>
  <c r="P15" i="90"/>
  <c r="S11" i="89"/>
  <c r="U11" i="89" s="1"/>
  <c r="S10" i="89"/>
  <c r="H533" i="8"/>
  <c r="I574" i="8"/>
  <c r="I573" i="8"/>
  <c r="I572" i="8"/>
  <c r="I571" i="8"/>
  <c r="I570" i="8"/>
  <c r="I569" i="8"/>
  <c r="I568" i="8"/>
  <c r="I567" i="8"/>
  <c r="I566" i="8"/>
  <c r="I565" i="8"/>
  <c r="I564" i="8"/>
  <c r="I563" i="8"/>
  <c r="I562" i="8"/>
  <c r="I561" i="8"/>
  <c r="I560" i="8"/>
  <c r="I559" i="8"/>
  <c r="I557" i="8"/>
  <c r="I556" i="8"/>
  <c r="I554" i="8"/>
  <c r="I535" i="8"/>
  <c r="I534" i="8"/>
  <c r="I575" i="8"/>
  <c r="W47" i="116"/>
  <c r="Y47" i="116" s="1"/>
  <c r="AS46" i="116"/>
  <c r="R17" i="9"/>
  <c r="V26" i="116"/>
  <c r="U27" i="9"/>
  <c r="S49" i="141"/>
  <c r="E9" i="141"/>
  <c r="E10" i="141"/>
  <c r="E120" i="13"/>
  <c r="N15" i="90"/>
  <c r="U23" i="9"/>
  <c r="F36" i="9" s="1"/>
  <c r="L36" i="9" s="1"/>
  <c r="O36" i="9" s="1"/>
  <c r="W45" i="116"/>
  <c r="Y45" i="116" s="1"/>
  <c r="AF46" i="116"/>
  <c r="AE46" i="116"/>
  <c r="AJ46" i="116" s="1"/>
  <c r="AH46" i="116"/>
  <c r="AM46" i="116" s="1"/>
  <c r="AG46" i="116"/>
  <c r="AL46" i="116" s="1"/>
  <c r="G555" i="8"/>
  <c r="I555" i="8" s="1"/>
  <c r="G577" i="8"/>
  <c r="I577" i="8" s="1"/>
  <c r="T10" i="107"/>
  <c r="T8" i="107" s="1"/>
  <c r="D451" i="8" s="1"/>
  <c r="E131" i="8"/>
  <c r="E129" i="8"/>
  <c r="E127" i="8"/>
  <c r="E124" i="8"/>
  <c r="E130" i="8"/>
  <c r="E128" i="8"/>
  <c r="E126" i="8"/>
  <c r="E122" i="8"/>
  <c r="D180" i="8"/>
  <c r="T9" i="87"/>
  <c r="S36" i="134"/>
  <c r="I39" i="137"/>
  <c r="F41" i="136" s="1"/>
  <c r="H31" i="134"/>
  <c r="E16" i="10" s="1"/>
  <c r="I10" i="129"/>
  <c r="I9" i="129" s="1"/>
  <c r="C13" i="5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V15" i="90"/>
  <c r="V16" i="90"/>
  <c r="V17" i="90"/>
  <c r="V18" i="90"/>
  <c r="V19" i="90"/>
  <c r="V20" i="90"/>
  <c r="AS47" i="116"/>
  <c r="AS48" i="116"/>
  <c r="AS54" i="116"/>
  <c r="AS55" i="116"/>
  <c r="T11" i="143"/>
  <c r="V11" i="143" s="1"/>
  <c r="T12" i="143"/>
  <c r="V12" i="143" s="1"/>
  <c r="T13" i="143"/>
  <c r="V13" i="143" s="1"/>
  <c r="T14" i="143"/>
  <c r="V14" i="143" s="1"/>
  <c r="T15" i="143"/>
  <c r="V15" i="143" s="1"/>
  <c r="T16" i="143"/>
  <c r="V16" i="143" s="1"/>
  <c r="T17" i="143"/>
  <c r="V17" i="143" s="1"/>
  <c r="T18" i="143"/>
  <c r="V18" i="143" s="1"/>
  <c r="V21" i="90"/>
  <c r="V22" i="90"/>
  <c r="L47" i="136"/>
  <c r="L49" i="136"/>
  <c r="L51" i="136"/>
  <c r="L53" i="136"/>
  <c r="L55" i="136"/>
  <c r="L57" i="136"/>
  <c r="L59" i="136"/>
  <c r="L46" i="136"/>
  <c r="L48" i="136"/>
  <c r="L50" i="136"/>
  <c r="L52" i="136"/>
  <c r="L54" i="136"/>
  <c r="L56" i="136"/>
  <c r="L58" i="136"/>
  <c r="L60" i="136"/>
  <c r="I5" i="134"/>
  <c r="N38" i="134"/>
  <c r="N40" i="134"/>
  <c r="N42" i="134"/>
  <c r="N44" i="134"/>
  <c r="N46" i="134"/>
  <c r="N48" i="134"/>
  <c r="N50" i="134"/>
  <c r="N52" i="134"/>
  <c r="N54" i="134"/>
  <c r="N56" i="134"/>
  <c r="N58" i="134"/>
  <c r="N37" i="134"/>
  <c r="N39" i="134"/>
  <c r="N41" i="134"/>
  <c r="N43" i="134"/>
  <c r="N45" i="134"/>
  <c r="N47" i="134"/>
  <c r="N49" i="134"/>
  <c r="N51" i="134"/>
  <c r="N53" i="134"/>
  <c r="N55" i="134"/>
  <c r="N57" i="134"/>
  <c r="N36" i="134"/>
  <c r="AA13" i="142"/>
  <c r="AA15" i="142"/>
  <c r="AA17" i="142"/>
  <c r="AA19" i="142"/>
  <c r="AA11" i="142"/>
  <c r="AA12" i="142"/>
  <c r="AA14" i="142"/>
  <c r="AA16" i="142"/>
  <c r="AA18" i="142"/>
  <c r="AA20" i="142"/>
  <c r="T19" i="143"/>
  <c r="V19" i="143" s="1"/>
  <c r="T10" i="143"/>
  <c r="V10" i="143" s="1"/>
  <c r="X11" i="51"/>
  <c r="D261" i="8"/>
  <c r="D441" i="8"/>
  <c r="I40" i="137"/>
  <c r="D37" i="8"/>
  <c r="K28" i="135"/>
  <c r="H30" i="134" s="1"/>
  <c r="E17" i="10" s="1"/>
  <c r="AS61" i="116"/>
  <c r="AS52" i="116"/>
  <c r="AS56" i="116"/>
  <c r="AS57" i="116"/>
  <c r="AS58" i="116"/>
  <c r="G51" i="8"/>
  <c r="D51" i="8" s="1"/>
  <c r="E55" i="8"/>
  <c r="G55" i="8" s="1"/>
  <c r="AR49" i="116"/>
  <c r="AS49" i="116"/>
  <c r="AS50" i="116"/>
  <c r="AR51" i="116"/>
  <c r="AS51" i="116"/>
  <c r="AS53" i="116"/>
  <c r="AS59" i="116"/>
  <c r="W8" i="57"/>
  <c r="D276" i="8" s="1"/>
  <c r="P80" i="9"/>
  <c r="AR46" i="116"/>
  <c r="AR53" i="116"/>
  <c r="F64" i="13"/>
  <c r="F52" i="13"/>
  <c r="AR50" i="116"/>
  <c r="F26" i="9"/>
  <c r="L26" i="9" s="1"/>
  <c r="O26" i="9" s="1"/>
  <c r="AR61" i="116"/>
  <c r="A21" i="77"/>
  <c r="A12" i="77"/>
  <c r="A16" i="77"/>
  <c r="A20" i="77"/>
  <c r="A15" i="77"/>
  <c r="A19" i="77"/>
  <c r="A14" i="77"/>
  <c r="A18" i="77"/>
  <c r="A13" i="77"/>
  <c r="A17" i="77"/>
  <c r="AR57" i="116"/>
  <c r="AR58" i="116"/>
  <c r="AR47" i="116"/>
  <c r="AR52" i="116"/>
  <c r="AR54" i="116"/>
  <c r="AR55" i="116"/>
  <c r="AR56" i="116"/>
  <c r="AR59" i="116"/>
  <c r="V9" i="85"/>
  <c r="S9" i="87"/>
  <c r="E33" i="13"/>
  <c r="O20" i="14"/>
  <c r="E20" i="16"/>
  <c r="H20" i="16" s="1"/>
  <c r="P13" i="11"/>
  <c r="AA43" i="141"/>
  <c r="AF43" i="141" s="1"/>
  <c r="AC37" i="134"/>
  <c r="E213" i="13"/>
  <c r="F14" i="16"/>
  <c r="J14" i="16" s="1"/>
  <c r="F15" i="16"/>
  <c r="J15" i="16" s="1"/>
  <c r="AE9" i="58"/>
  <c r="N15" i="16"/>
  <c r="R15" i="16" s="1"/>
  <c r="AF9" i="58"/>
  <c r="N16" i="16"/>
  <c r="R16" i="16" s="1"/>
  <c r="O19" i="14"/>
  <c r="O29" i="14"/>
  <c r="E24" i="16"/>
  <c r="H24" i="16" s="1"/>
  <c r="AR48" i="116"/>
  <c r="G153" i="12"/>
  <c r="P12" i="11"/>
  <c r="G31" i="12"/>
  <c r="E23" i="12"/>
  <c r="G23" i="12" s="1"/>
  <c r="F198" i="8"/>
  <c r="G198" i="8" s="1"/>
  <c r="D198" i="8" s="1"/>
  <c r="AB9" i="134"/>
  <c r="F58" i="13"/>
  <c r="AC35" i="141"/>
  <c r="F42" i="136"/>
  <c r="X33" i="160"/>
  <c r="Q33" i="160"/>
  <c r="P33" i="160"/>
  <c r="I6" i="80"/>
  <c r="BV16" i="95"/>
  <c r="BV18" i="95"/>
  <c r="BV20" i="95"/>
  <c r="BV22" i="95"/>
  <c r="BV24" i="95"/>
  <c r="BV26" i="95"/>
  <c r="BV28" i="95"/>
  <c r="BV30" i="95"/>
  <c r="BV32" i="95"/>
  <c r="BV34" i="95"/>
  <c r="BV36" i="95"/>
  <c r="BV38" i="95"/>
  <c r="BV40" i="95"/>
  <c r="BV42" i="95"/>
  <c r="BV44" i="95"/>
  <c r="BV46" i="95"/>
  <c r="BV15" i="95"/>
  <c r="BV17" i="95"/>
  <c r="BV19" i="95"/>
  <c r="BV21" i="95"/>
  <c r="BV23" i="95"/>
  <c r="BV25" i="95"/>
  <c r="BV27" i="95"/>
  <c r="BV29" i="95"/>
  <c r="BV31" i="95"/>
  <c r="BV33" i="95"/>
  <c r="BV35" i="95"/>
  <c r="BV37" i="95"/>
  <c r="BV39" i="95"/>
  <c r="BV41" i="95"/>
  <c r="BV43" i="95"/>
  <c r="BV45" i="95"/>
  <c r="BV47" i="95"/>
  <c r="T33" i="160"/>
  <c r="F95" i="8"/>
  <c r="AM18" i="141"/>
  <c r="W54" i="141"/>
  <c r="V54" i="141"/>
  <c r="W60" i="141"/>
  <c r="V60" i="141"/>
  <c r="P8" i="43"/>
  <c r="W51" i="141"/>
  <c r="V51" i="141"/>
  <c r="W57" i="141"/>
  <c r="V57" i="141"/>
  <c r="F112" i="8"/>
  <c r="F114" i="8"/>
  <c r="F115" i="8"/>
  <c r="R33" i="160"/>
  <c r="W33" i="160"/>
  <c r="D401" i="8"/>
  <c r="V33" i="160"/>
  <c r="O13" i="43"/>
  <c r="O15" i="43"/>
  <c r="O12" i="43"/>
  <c r="O14" i="43"/>
  <c r="O11" i="43"/>
  <c r="G429" i="8"/>
  <c r="E24" i="10"/>
  <c r="H24" i="10" s="1"/>
  <c r="G124" i="12"/>
  <c r="E19" i="11"/>
  <c r="AF35" i="134"/>
  <c r="AD35" i="134"/>
  <c r="K244" i="12"/>
  <c r="M244" i="12" s="1"/>
  <c r="K238" i="12"/>
  <c r="M238" i="12" s="1"/>
  <c r="K247" i="12"/>
  <c r="M247" i="12" s="1"/>
  <c r="K245" i="12"/>
  <c r="K243" i="12"/>
  <c r="K241" i="12"/>
  <c r="K239" i="12"/>
  <c r="K237" i="12"/>
  <c r="K246" i="12"/>
  <c r="K242" i="12"/>
  <c r="M242" i="12" s="1"/>
  <c r="K236" i="12"/>
  <c r="M236" i="12" s="1"/>
  <c r="AG35" i="134"/>
  <c r="AE35" i="134"/>
  <c r="AC35" i="134"/>
  <c r="AB8" i="134"/>
  <c r="T13" i="82"/>
  <c r="V13" i="82" s="1"/>
  <c r="T12" i="82"/>
  <c r="T14" i="82"/>
  <c r="V14" i="82" s="1"/>
  <c r="D460" i="8"/>
  <c r="E10" i="105"/>
  <c r="N27" i="119"/>
  <c r="E9" i="9"/>
  <c r="K9" i="9" s="1"/>
  <c r="N9" i="9" s="1"/>
  <c r="U10" i="23"/>
  <c r="P6" i="25"/>
  <c r="F32" i="13"/>
  <c r="J42" i="36"/>
  <c r="J41" i="36" s="1"/>
  <c r="I42" i="36"/>
  <c r="I41" i="36" s="1"/>
  <c r="F42" i="36"/>
  <c r="F41" i="36" s="1"/>
  <c r="R11" i="141"/>
  <c r="R10" i="141" s="1"/>
  <c r="N11" i="106"/>
  <c r="F14" i="37"/>
  <c r="F13" i="37" s="1"/>
  <c r="G14" i="37"/>
  <c r="D13" i="44"/>
  <c r="D12" i="44" s="1"/>
  <c r="L19" i="16" s="1"/>
  <c r="D411" i="8"/>
  <c r="F199" i="8"/>
  <c r="G199" i="8" s="1"/>
  <c r="D199" i="8" s="1"/>
  <c r="AD36" i="141"/>
  <c r="D413" i="8"/>
  <c r="D412" i="8"/>
  <c r="D410" i="8"/>
  <c r="D311" i="8"/>
  <c r="M10" i="43"/>
  <c r="AN13" i="59"/>
  <c r="AN15" i="59"/>
  <c r="AN14" i="59"/>
  <c r="AN12" i="59"/>
  <c r="E72" i="8"/>
  <c r="G72" i="8" s="1"/>
  <c r="AD10" i="77"/>
  <c r="F99" i="13" s="1"/>
  <c r="E75" i="8"/>
  <c r="G75" i="8" s="1"/>
  <c r="E73" i="8"/>
  <c r="G73" i="8" s="1"/>
  <c r="D73" i="8" s="1"/>
  <c r="E74" i="8"/>
  <c r="G74" i="8" s="1"/>
  <c r="D74" i="8" s="1"/>
  <c r="V21" i="80"/>
  <c r="AF21" i="80"/>
  <c r="V17" i="80"/>
  <c r="AF17" i="80"/>
  <c r="V20" i="80"/>
  <c r="AF20" i="80"/>
  <c r="V16" i="80"/>
  <c r="AF16" i="80"/>
  <c r="V19" i="80"/>
  <c r="AF19" i="80"/>
  <c r="V15" i="80"/>
  <c r="AF15" i="80"/>
  <c r="V18" i="80"/>
  <c r="AF18" i="80"/>
  <c r="V14" i="80"/>
  <c r="AF14" i="80"/>
  <c r="V12" i="80"/>
  <c r="AF12" i="80"/>
  <c r="N5" i="70"/>
  <c r="M7" i="70" s="1"/>
  <c r="W25" i="116"/>
  <c r="Q66" i="9" s="1"/>
  <c r="D336" i="8"/>
  <c r="P50" i="141"/>
  <c r="E80" i="13"/>
  <c r="G213" i="12"/>
  <c r="U12" i="11"/>
  <c r="E27" i="11"/>
  <c r="E29" i="11"/>
  <c r="A46" i="136"/>
  <c r="AA39" i="141"/>
  <c r="E40" i="8"/>
  <c r="G40" i="8" s="1"/>
  <c r="D40" i="8" s="1"/>
  <c r="AN10" i="59"/>
  <c r="AN11" i="59"/>
  <c r="G192" i="12"/>
  <c r="E77" i="8"/>
  <c r="G77" i="8" s="1"/>
  <c r="D77" i="8" s="1"/>
  <c r="G39" i="8"/>
  <c r="D39" i="8" s="1"/>
  <c r="G11" i="85"/>
  <c r="Z11" i="85" s="1"/>
  <c r="G13" i="85"/>
  <c r="Z13" i="85" s="1"/>
  <c r="G15" i="85"/>
  <c r="Z15" i="85" s="1"/>
  <c r="G17" i="85"/>
  <c r="Z17" i="85" s="1"/>
  <c r="J19" i="87"/>
  <c r="V19" i="87" s="1"/>
  <c r="H19" i="87"/>
  <c r="J18" i="87"/>
  <c r="V18" i="87" s="1"/>
  <c r="H18" i="87"/>
  <c r="J17" i="87"/>
  <c r="V17" i="87" s="1"/>
  <c r="H17" i="87"/>
  <c r="J16" i="87"/>
  <c r="V16" i="87" s="1"/>
  <c r="H16" i="87"/>
  <c r="J15" i="87"/>
  <c r="V15" i="87" s="1"/>
  <c r="H15" i="87"/>
  <c r="J14" i="87"/>
  <c r="V14" i="87" s="1"/>
  <c r="H14" i="87"/>
  <c r="J13" i="87"/>
  <c r="V13" i="87" s="1"/>
  <c r="H13" i="87"/>
  <c r="J12" i="87"/>
  <c r="V12" i="87" s="1"/>
  <c r="H12" i="87"/>
  <c r="J11" i="87"/>
  <c r="V11" i="87" s="1"/>
  <c r="H11" i="87"/>
  <c r="J10" i="87"/>
  <c r="V10" i="87" s="1"/>
  <c r="H10" i="87"/>
  <c r="U10" i="87" s="1"/>
  <c r="U9" i="87" s="1"/>
  <c r="K17" i="85"/>
  <c r="X17" i="85" s="1"/>
  <c r="I17" i="85"/>
  <c r="J16" i="85"/>
  <c r="K15" i="85"/>
  <c r="X15" i="85" s="1"/>
  <c r="I15" i="85"/>
  <c r="J14" i="85"/>
  <c r="K13" i="85"/>
  <c r="X13" i="85" s="1"/>
  <c r="I13" i="85"/>
  <c r="J12" i="85"/>
  <c r="K11" i="85"/>
  <c r="X11" i="85" s="1"/>
  <c r="I11" i="85"/>
  <c r="J10" i="85"/>
  <c r="G12" i="85"/>
  <c r="Z12" i="85" s="1"/>
  <c r="G14" i="85"/>
  <c r="Z14" i="85" s="1"/>
  <c r="G16" i="85"/>
  <c r="Z16" i="85" s="1"/>
  <c r="G10" i="85"/>
  <c r="Z10" i="85" s="1"/>
  <c r="I19" i="87"/>
  <c r="G19" i="87"/>
  <c r="X19" i="87" s="1"/>
  <c r="I18" i="87"/>
  <c r="G18" i="87"/>
  <c r="X18" i="87" s="1"/>
  <c r="I17" i="87"/>
  <c r="G17" i="87"/>
  <c r="X17" i="87" s="1"/>
  <c r="I16" i="87"/>
  <c r="G16" i="87"/>
  <c r="X16" i="87" s="1"/>
  <c r="I15" i="87"/>
  <c r="G15" i="87"/>
  <c r="X15" i="87" s="1"/>
  <c r="I14" i="87"/>
  <c r="G14" i="87"/>
  <c r="X14" i="87" s="1"/>
  <c r="I13" i="87"/>
  <c r="G13" i="87"/>
  <c r="X13" i="87" s="1"/>
  <c r="I12" i="87"/>
  <c r="G12" i="87"/>
  <c r="X12" i="87" s="1"/>
  <c r="I11" i="87"/>
  <c r="G11" i="87"/>
  <c r="X11" i="87" s="1"/>
  <c r="I10" i="87"/>
  <c r="G10" i="87"/>
  <c r="X10" i="87" s="1"/>
  <c r="J17" i="85"/>
  <c r="K16" i="85"/>
  <c r="X16" i="85" s="1"/>
  <c r="I16" i="85"/>
  <c r="J15" i="85"/>
  <c r="K14" i="85"/>
  <c r="X14" i="85" s="1"/>
  <c r="I14" i="85"/>
  <c r="J13" i="85"/>
  <c r="K12" i="85"/>
  <c r="X12" i="85" s="1"/>
  <c r="I12" i="85"/>
  <c r="J11" i="85"/>
  <c r="K10" i="85"/>
  <c r="X10" i="85" s="1"/>
  <c r="I10" i="85"/>
  <c r="AR6" i="95"/>
  <c r="BG6" i="95"/>
  <c r="D490" i="8" s="1"/>
  <c r="AF61" i="116"/>
  <c r="AK61" i="116" s="1"/>
  <c r="AH61" i="116"/>
  <c r="AM61" i="116" s="1"/>
  <c r="AE61" i="116"/>
  <c r="AJ61" i="116" s="1"/>
  <c r="AG61" i="116"/>
  <c r="AL61" i="116" s="1"/>
  <c r="AF55" i="116"/>
  <c r="AK55" i="116" s="1"/>
  <c r="AH55" i="116"/>
  <c r="AM55" i="116" s="1"/>
  <c r="AE55" i="116"/>
  <c r="AJ55" i="116" s="1"/>
  <c r="AG55" i="116"/>
  <c r="AL55" i="116" s="1"/>
  <c r="AF52" i="116"/>
  <c r="AK52" i="116" s="1"/>
  <c r="AH52" i="116"/>
  <c r="AM52" i="116" s="1"/>
  <c r="AE52" i="116"/>
  <c r="AJ52" i="116" s="1"/>
  <c r="AG52" i="116"/>
  <c r="AL52" i="116" s="1"/>
  <c r="AF50" i="116"/>
  <c r="AK50" i="116" s="1"/>
  <c r="AH50" i="116"/>
  <c r="AM50" i="116" s="1"/>
  <c r="AE50" i="116"/>
  <c r="AJ50" i="116" s="1"/>
  <c r="AG50" i="116"/>
  <c r="AL50" i="116" s="1"/>
  <c r="AF48" i="116"/>
  <c r="AK48" i="116" s="1"/>
  <c r="AH48" i="116"/>
  <c r="AM48" i="116" s="1"/>
  <c r="AE48" i="116"/>
  <c r="AJ48" i="116" s="1"/>
  <c r="AG48" i="116"/>
  <c r="AL48" i="116" s="1"/>
  <c r="AF57" i="116"/>
  <c r="AK57" i="116" s="1"/>
  <c r="AH57" i="116"/>
  <c r="AM57" i="116" s="1"/>
  <c r="AE57" i="116"/>
  <c r="AJ57" i="116" s="1"/>
  <c r="AG57" i="116"/>
  <c r="AL57" i="116" s="1"/>
  <c r="AF58" i="116"/>
  <c r="AK58" i="116" s="1"/>
  <c r="AH58" i="116"/>
  <c r="AM58" i="116" s="1"/>
  <c r="AE58" i="116"/>
  <c r="AJ58" i="116" s="1"/>
  <c r="AG58" i="116"/>
  <c r="AL58" i="116" s="1"/>
  <c r="AF60" i="116"/>
  <c r="AK60" i="116" s="1"/>
  <c r="AH60" i="116"/>
  <c r="AM60" i="116" s="1"/>
  <c r="AE60" i="116"/>
  <c r="AJ60" i="116" s="1"/>
  <c r="AG60" i="116"/>
  <c r="AL60" i="116" s="1"/>
  <c r="AG45" i="116"/>
  <c r="AE45" i="116"/>
  <c r="AH45" i="116"/>
  <c r="AM45" i="116" s="1"/>
  <c r="AF45" i="116"/>
  <c r="AF56" i="116"/>
  <c r="AK56" i="116" s="1"/>
  <c r="AH56" i="116"/>
  <c r="AM56" i="116" s="1"/>
  <c r="AE56" i="116"/>
  <c r="AJ56" i="116" s="1"/>
  <c r="AG56" i="116"/>
  <c r="AL56" i="116" s="1"/>
  <c r="AF53" i="116"/>
  <c r="AK53" i="116" s="1"/>
  <c r="AH53" i="116"/>
  <c r="AM53" i="116" s="1"/>
  <c r="AE53" i="116"/>
  <c r="AJ53" i="116" s="1"/>
  <c r="AG53" i="116"/>
  <c r="AL53" i="116" s="1"/>
  <c r="AF51" i="116"/>
  <c r="AK51" i="116" s="1"/>
  <c r="AH51" i="116"/>
  <c r="AM51" i="116" s="1"/>
  <c r="AE51" i="116"/>
  <c r="AJ51" i="116" s="1"/>
  <c r="AG51" i="116"/>
  <c r="AL51" i="116" s="1"/>
  <c r="AF49" i="116"/>
  <c r="AK49" i="116" s="1"/>
  <c r="AH49" i="116"/>
  <c r="AM49" i="116" s="1"/>
  <c r="AE49" i="116"/>
  <c r="AJ49" i="116" s="1"/>
  <c r="AG49" i="116"/>
  <c r="AL49" i="116" s="1"/>
  <c r="AF47" i="116"/>
  <c r="AK47" i="116" s="1"/>
  <c r="AH47" i="116"/>
  <c r="AM47" i="116" s="1"/>
  <c r="AE47" i="116"/>
  <c r="AJ47" i="116" s="1"/>
  <c r="AG47" i="116"/>
  <c r="AL47" i="116" s="1"/>
  <c r="AF59" i="116"/>
  <c r="AK59" i="116" s="1"/>
  <c r="AH59" i="116"/>
  <c r="AM59" i="116" s="1"/>
  <c r="AE59" i="116"/>
  <c r="AJ59" i="116" s="1"/>
  <c r="AG59" i="116"/>
  <c r="AL59" i="116" s="1"/>
  <c r="Z11" i="106"/>
  <c r="H38" i="35"/>
  <c r="H37" i="35" s="1"/>
  <c r="W17" i="116"/>
  <c r="R17" i="116"/>
  <c r="K17" i="116"/>
  <c r="K8" i="116" s="1"/>
  <c r="AB12" i="117"/>
  <c r="V12" i="116" s="1"/>
  <c r="AL2" i="117"/>
  <c r="AI9" i="117" s="1"/>
  <c r="AM54" i="116"/>
  <c r="AL54" i="116"/>
  <c r="AK54" i="116"/>
  <c r="AJ54" i="116"/>
  <c r="AK46" i="116"/>
  <c r="P4" i="95"/>
  <c r="BB9" i="162"/>
  <c r="BD9" i="162"/>
  <c r="F152" i="13"/>
  <c r="AZ9" i="162"/>
  <c r="AX9" i="162"/>
  <c r="E23" i="117"/>
  <c r="G23" i="117"/>
  <c r="J23" i="117"/>
  <c r="BB23" i="117" s="1"/>
  <c r="E22" i="117"/>
  <c r="G22" i="117"/>
  <c r="J22" i="117"/>
  <c r="BB22" i="117" s="1"/>
  <c r="E21" i="117"/>
  <c r="G21" i="117"/>
  <c r="J21" i="117"/>
  <c r="BB21" i="117" s="1"/>
  <c r="E20" i="117"/>
  <c r="G20" i="117"/>
  <c r="J20" i="117"/>
  <c r="BB20" i="117" s="1"/>
  <c r="E19" i="117"/>
  <c r="G19" i="117"/>
  <c r="J19" i="117"/>
  <c r="BB19" i="117" s="1"/>
  <c r="E18" i="117"/>
  <c r="G18" i="117"/>
  <c r="J18" i="117"/>
  <c r="BB18" i="117" s="1"/>
  <c r="E17" i="117"/>
  <c r="G17" i="117"/>
  <c r="J17" i="117"/>
  <c r="BB17" i="117" s="1"/>
  <c r="E16" i="117"/>
  <c r="G16" i="117"/>
  <c r="J16" i="117"/>
  <c r="BB16" i="117" s="1"/>
  <c r="E15" i="117"/>
  <c r="G15" i="117"/>
  <c r="J15" i="117"/>
  <c r="BB15" i="117" s="1"/>
  <c r="E14" i="117"/>
  <c r="G14" i="117"/>
  <c r="J14" i="117"/>
  <c r="BB14" i="117" s="1"/>
  <c r="D23" i="117"/>
  <c r="F23" i="117"/>
  <c r="AV23" i="117" s="1"/>
  <c r="AW23" i="117" s="1"/>
  <c r="H23" i="117"/>
  <c r="K23" i="117"/>
  <c r="D22" i="117"/>
  <c r="F22" i="117"/>
  <c r="AV22" i="117" s="1"/>
  <c r="AW22" i="117" s="1"/>
  <c r="H22" i="117"/>
  <c r="K22" i="117"/>
  <c r="D21" i="117"/>
  <c r="F21" i="117"/>
  <c r="AV21" i="117" s="1"/>
  <c r="AW21" i="117" s="1"/>
  <c r="H21" i="117"/>
  <c r="K21" i="117"/>
  <c r="D20" i="117"/>
  <c r="F20" i="117"/>
  <c r="AV20" i="117" s="1"/>
  <c r="AW20" i="117" s="1"/>
  <c r="H20" i="117"/>
  <c r="K20" i="117"/>
  <c r="D19" i="117"/>
  <c r="F19" i="117"/>
  <c r="AV19" i="117" s="1"/>
  <c r="AW19" i="117" s="1"/>
  <c r="H19" i="117"/>
  <c r="K19" i="117"/>
  <c r="D18" i="117"/>
  <c r="F18" i="117"/>
  <c r="AV18" i="117" s="1"/>
  <c r="AW18" i="117" s="1"/>
  <c r="H18" i="117"/>
  <c r="K18" i="117"/>
  <c r="D17" i="117"/>
  <c r="F17" i="117"/>
  <c r="AV17" i="117" s="1"/>
  <c r="AW17" i="117" s="1"/>
  <c r="H17" i="117"/>
  <c r="K17" i="117"/>
  <c r="D16" i="117"/>
  <c r="F16" i="117"/>
  <c r="AV16" i="117" s="1"/>
  <c r="AW16" i="117" s="1"/>
  <c r="H16" i="117"/>
  <c r="K16" i="117"/>
  <c r="D15" i="117"/>
  <c r="F15" i="117"/>
  <c r="AV15" i="117" s="1"/>
  <c r="AW15" i="117" s="1"/>
  <c r="H15" i="117"/>
  <c r="K15" i="117"/>
  <c r="D14" i="117"/>
  <c r="F14" i="117"/>
  <c r="AV14" i="117" s="1"/>
  <c r="AW14" i="117" s="1"/>
  <c r="H14" i="117"/>
  <c r="K14" i="117"/>
  <c r="BB12" i="162"/>
  <c r="BD12" i="162"/>
  <c r="AX12" i="162"/>
  <c r="AZ12" i="162"/>
  <c r="N12" i="90"/>
  <c r="Q12" i="90" s="1"/>
  <c r="AH9" i="117"/>
  <c r="AD12" i="58"/>
  <c r="AB12" i="58" s="1"/>
  <c r="AD14" i="58"/>
  <c r="AB14" i="58" s="1"/>
  <c r="AD16" i="58"/>
  <c r="AB16" i="58" s="1"/>
  <c r="AD18" i="58"/>
  <c r="AB18" i="58" s="1"/>
  <c r="AD11" i="58"/>
  <c r="AB11" i="58" s="1"/>
  <c r="AD13" i="58"/>
  <c r="AB13" i="58" s="1"/>
  <c r="AD15" i="58"/>
  <c r="AB15" i="58" s="1"/>
  <c r="AD19" i="58"/>
  <c r="AB19" i="58" s="1"/>
  <c r="N11" i="90"/>
  <c r="Q11" i="90" s="1"/>
  <c r="AD10" i="58"/>
  <c r="AB10" i="58" s="1"/>
  <c r="E239" i="8"/>
  <c r="D239" i="8" s="1"/>
  <c r="R4" i="19"/>
  <c r="E243" i="8"/>
  <c r="D243" i="8" s="1"/>
  <c r="V4" i="28"/>
  <c r="N13" i="90"/>
  <c r="Q13" i="90" s="1"/>
  <c r="F165" i="13"/>
  <c r="N2" i="95"/>
  <c r="D240" i="8"/>
  <c r="E165" i="13"/>
  <c r="D238" i="8"/>
  <c r="R11" i="116"/>
  <c r="R13" i="116"/>
  <c r="AB13" i="117"/>
  <c r="E158" i="13"/>
  <c r="F158" i="13"/>
  <c r="F155" i="13"/>
  <c r="AY9" i="59"/>
  <c r="D317" i="8" s="1"/>
  <c r="E155" i="13"/>
  <c r="U13" i="90"/>
  <c r="F43" i="13"/>
  <c r="E29" i="9" s="1"/>
  <c r="K29" i="9" s="1"/>
  <c r="N29" i="9" s="1"/>
  <c r="F77" i="13"/>
  <c r="P28" i="14" s="1"/>
  <c r="R28" i="14" s="1"/>
  <c r="F243" i="13"/>
  <c r="P62" i="14" s="1"/>
  <c r="R62" i="14" s="1"/>
  <c r="F72" i="13"/>
  <c r="P24" i="14" s="1"/>
  <c r="R24" i="14" s="1"/>
  <c r="E21" i="100"/>
  <c r="I21" i="100"/>
  <c r="AZ21" i="100"/>
  <c r="F21" i="100"/>
  <c r="K21" i="100"/>
  <c r="BA21" i="100"/>
  <c r="G21" i="100"/>
  <c r="AX21" i="100"/>
  <c r="BB21" i="100"/>
  <c r="D21" i="100"/>
  <c r="H21" i="100"/>
  <c r="AY21" i="100"/>
  <c r="BC21" i="100"/>
  <c r="T5" i="94"/>
  <c r="D392" i="8" s="1"/>
  <c r="S5" i="94"/>
  <c r="D422" i="8"/>
  <c r="G80" i="8"/>
  <c r="D80" i="8" s="1"/>
  <c r="I26" i="10"/>
  <c r="H26" i="10"/>
  <c r="G13" i="10"/>
  <c r="G21" i="10" s="1"/>
  <c r="AU4" i="95"/>
  <c r="BV11" i="59"/>
  <c r="BE11" i="59" s="1"/>
  <c r="BV12" i="59"/>
  <c r="BE12" i="59" s="1"/>
  <c r="BV15" i="59"/>
  <c r="BE15" i="59" s="1"/>
  <c r="BV16" i="59"/>
  <c r="BE16" i="59" s="1"/>
  <c r="BV19" i="59"/>
  <c r="BE19" i="59" s="1"/>
  <c r="BV20" i="59"/>
  <c r="BE20" i="59" s="1"/>
  <c r="BV23" i="59"/>
  <c r="BE23" i="59" s="1"/>
  <c r="BV24" i="59"/>
  <c r="BE24" i="59" s="1"/>
  <c r="BV28" i="59"/>
  <c r="BE28" i="59" s="1"/>
  <c r="BV29" i="59"/>
  <c r="BE29" i="59" s="1"/>
  <c r="BV30" i="59"/>
  <c r="BE30" i="59" s="1"/>
  <c r="BV27" i="59"/>
  <c r="BE27" i="59" s="1"/>
  <c r="BV38" i="59"/>
  <c r="BE38" i="59" s="1"/>
  <c r="BV13" i="59"/>
  <c r="BE13" i="59" s="1"/>
  <c r="BV14" i="59"/>
  <c r="BE14" i="59" s="1"/>
  <c r="BV21" i="59"/>
  <c r="BE21" i="59" s="1"/>
  <c r="BV22" i="59"/>
  <c r="BE22" i="59" s="1"/>
  <c r="BV32" i="59"/>
  <c r="BE32" i="59" s="1"/>
  <c r="BV33" i="59"/>
  <c r="BE33" i="59" s="1"/>
  <c r="BV34" i="59"/>
  <c r="BE34" i="59" s="1"/>
  <c r="BV25" i="59"/>
  <c r="BE25" i="59" s="1"/>
  <c r="BV36" i="59"/>
  <c r="BE36" i="59" s="1"/>
  <c r="BV37" i="59"/>
  <c r="BE37" i="59" s="1"/>
  <c r="BV35" i="59"/>
  <c r="BE35" i="59" s="1"/>
  <c r="BV17" i="59"/>
  <c r="BE17" i="59" s="1"/>
  <c r="BV18" i="59"/>
  <c r="BE18" i="59" s="1"/>
  <c r="BV26" i="59"/>
  <c r="BE26" i="59" s="1"/>
  <c r="BV31" i="59"/>
  <c r="BE31" i="59" s="1"/>
  <c r="G189" i="12"/>
  <c r="P59" i="141"/>
  <c r="G38" i="35"/>
  <c r="G37" i="35" s="1"/>
  <c r="Y11" i="106"/>
  <c r="D268" i="8"/>
  <c r="BF11" i="99"/>
  <c r="D285" i="8" s="1"/>
  <c r="N8" i="43"/>
  <c r="L145" i="12"/>
  <c r="M145" i="12" s="1"/>
  <c r="AU5" i="95"/>
  <c r="E42" i="36"/>
  <c r="D233" i="8"/>
  <c r="D229" i="8"/>
  <c r="F70" i="13"/>
  <c r="K42" i="36"/>
  <c r="K41" i="36" s="1"/>
  <c r="Y13" i="128"/>
  <c r="AZ15" i="100"/>
  <c r="AC20" i="72"/>
  <c r="H167" i="105"/>
  <c r="BB17" i="100"/>
  <c r="V18" i="109"/>
  <c r="AF11" i="117"/>
  <c r="F15" i="100"/>
  <c r="AJ18" i="77"/>
  <c r="R13" i="81"/>
  <c r="U12" i="128"/>
  <c r="G118" i="8"/>
  <c r="D118" i="8" s="1"/>
  <c r="I11" i="10"/>
  <c r="AC21" i="72"/>
  <c r="K12" i="117"/>
  <c r="K15" i="100"/>
  <c r="G19" i="100"/>
  <c r="H141" i="105"/>
  <c r="L4" i="44"/>
  <c r="X18" i="76"/>
  <c r="G20" i="100"/>
  <c r="H160" i="105"/>
  <c r="G145" i="12"/>
  <c r="K49" i="11"/>
  <c r="E12" i="11"/>
  <c r="AH17" i="75"/>
  <c r="G10" i="60"/>
  <c r="AH24" i="75"/>
  <c r="AC12" i="72"/>
  <c r="AC19" i="72"/>
  <c r="AG22" i="128"/>
  <c r="Y12" i="11"/>
  <c r="G18" i="141"/>
  <c r="E543" i="8"/>
  <c r="E539" i="8"/>
  <c r="E535" i="8"/>
  <c r="H158" i="105"/>
  <c r="R20" i="116"/>
  <c r="H10" i="35"/>
  <c r="H9" i="35" s="1"/>
  <c r="Q11" i="120"/>
  <c r="E10" i="35"/>
  <c r="I19" i="100"/>
  <c r="D19" i="100"/>
  <c r="T12" i="83"/>
  <c r="Y13" i="82"/>
  <c r="L123" i="12"/>
  <c r="M123" i="12" s="1"/>
  <c r="L128" i="12"/>
  <c r="M128" i="12" s="1"/>
  <c r="J10" i="129"/>
  <c r="J9" i="129" s="1"/>
  <c r="E8" i="10" s="1"/>
  <c r="H8" i="10" s="1"/>
  <c r="I10" i="133"/>
  <c r="I9" i="133" s="1"/>
  <c r="AY20" i="100"/>
  <c r="AZ14" i="100"/>
  <c r="H19" i="100"/>
  <c r="AY18" i="100"/>
  <c r="I17" i="100"/>
  <c r="X20" i="76"/>
  <c r="AX20" i="100"/>
  <c r="H20" i="100"/>
  <c r="BB19" i="100"/>
  <c r="AJ14" i="78"/>
  <c r="BA16" i="100"/>
  <c r="AH25" i="75"/>
  <c r="AH18" i="75"/>
  <c r="AZ19" i="100"/>
  <c r="L122" i="12"/>
  <c r="M122" i="12" s="1"/>
  <c r="F191" i="13"/>
  <c r="D15" i="124"/>
  <c r="E214" i="13" s="1"/>
  <c r="E212" i="13" s="1"/>
  <c r="O57" i="14" s="1"/>
  <c r="H15" i="124"/>
  <c r="H10" i="124" s="1"/>
  <c r="N15" i="124"/>
  <c r="N10" i="124" s="1"/>
  <c r="G12" i="141"/>
  <c r="I11" i="141"/>
  <c r="I10" i="141" s="1"/>
  <c r="L14" i="145"/>
  <c r="Q14" i="92"/>
  <c r="K11" i="141"/>
  <c r="K10" i="141" s="1"/>
  <c r="BA15" i="100"/>
  <c r="D13" i="117"/>
  <c r="R11" i="81"/>
  <c r="K13" i="100"/>
  <c r="H17" i="100"/>
  <c r="F12" i="117"/>
  <c r="AV12" i="117" s="1"/>
  <c r="AW12" i="117" s="1"/>
  <c r="D14" i="100"/>
  <c r="AJ13" i="77"/>
  <c r="AG23" i="128"/>
  <c r="U13" i="146"/>
  <c r="E250" i="13"/>
  <c r="G44" i="12"/>
  <c r="Z12" i="11"/>
  <c r="L131" i="12"/>
  <c r="M131" i="12" s="1"/>
  <c r="G149" i="12"/>
  <c r="S14" i="14"/>
  <c r="S28" i="14"/>
  <c r="S32" i="14"/>
  <c r="S50" i="14"/>
  <c r="BF16" i="100"/>
  <c r="P10" i="117"/>
  <c r="Q15" i="120"/>
  <c r="AB8" i="28"/>
  <c r="D251" i="8" s="1"/>
  <c r="P12" i="124"/>
  <c r="F213" i="13" s="1"/>
  <c r="S17" i="14"/>
  <c r="S19" i="14"/>
  <c r="S29" i="14"/>
  <c r="S31" i="14"/>
  <c r="S33" i="14"/>
  <c r="S35" i="14"/>
  <c r="S39" i="14"/>
  <c r="S43" i="14"/>
  <c r="S45" i="14"/>
  <c r="S47" i="14"/>
  <c r="S49" i="14"/>
  <c r="S51" i="14"/>
  <c r="S59" i="14"/>
  <c r="Q13" i="92"/>
  <c r="M15" i="124"/>
  <c r="M10" i="124" s="1"/>
  <c r="V42" i="141"/>
  <c r="O14" i="145"/>
  <c r="I10" i="35"/>
  <c r="I9" i="35" s="1"/>
  <c r="AG23" i="162"/>
  <c r="E42" i="13"/>
  <c r="F25" i="9" s="1"/>
  <c r="D3" i="33"/>
  <c r="G99" i="8"/>
  <c r="D99" i="8" s="1"/>
  <c r="Q16" i="90"/>
  <c r="AP24" i="95"/>
  <c r="N11" i="119"/>
  <c r="E264" i="12"/>
  <c r="E50" i="11" s="1"/>
  <c r="J50" i="11" s="1"/>
  <c r="Q11" i="128"/>
  <c r="E35" i="11"/>
  <c r="K35" i="11" s="1"/>
  <c r="G222" i="12"/>
  <c r="D16" i="100"/>
  <c r="K18" i="100"/>
  <c r="H16" i="100"/>
  <c r="R14" i="81"/>
  <c r="X16" i="76"/>
  <c r="AP31" i="95"/>
  <c r="AB13" i="128"/>
  <c r="AD11" i="99"/>
  <c r="F144" i="13" s="1"/>
  <c r="H147" i="105"/>
  <c r="W12" i="128"/>
  <c r="X14" i="145"/>
  <c r="F260" i="13" s="1"/>
  <c r="Y15" i="145"/>
  <c r="AA15" i="145" s="1"/>
  <c r="H9" i="23"/>
  <c r="N9" i="23"/>
  <c r="D8" i="25"/>
  <c r="E28" i="13" s="1"/>
  <c r="F10" i="35"/>
  <c r="F9" i="35" s="1"/>
  <c r="F14" i="36"/>
  <c r="F13" i="36" s="1"/>
  <c r="J14" i="36"/>
  <c r="J13" i="36" s="1"/>
  <c r="G41" i="36"/>
  <c r="Q10" i="92"/>
  <c r="Y11" i="112"/>
  <c r="K8" i="115"/>
  <c r="I38" i="35"/>
  <c r="I37" i="35" s="1"/>
  <c r="G9" i="23"/>
  <c r="O35" i="134"/>
  <c r="D446" i="8" s="1"/>
  <c r="E569" i="8"/>
  <c r="AP22" i="95"/>
  <c r="AG49" i="162"/>
  <c r="G119" i="8"/>
  <c r="D119" i="8" s="1"/>
  <c r="D216" i="8"/>
  <c r="V37" i="141"/>
  <c r="S36" i="141"/>
  <c r="M42" i="36"/>
  <c r="M41" i="36" s="1"/>
  <c r="E102" i="8"/>
  <c r="G102" i="8" s="1"/>
  <c r="E216" i="13"/>
  <c r="O58" i="14" s="1"/>
  <c r="S36" i="14"/>
  <c r="S38" i="14"/>
  <c r="H42" i="37"/>
  <c r="H41" i="37" s="1"/>
  <c r="V19" i="141"/>
  <c r="G21" i="141"/>
  <c r="V45" i="141"/>
  <c r="V47" i="141"/>
  <c r="U18" i="91"/>
  <c r="Q10" i="117"/>
  <c r="G266" i="12"/>
  <c r="L121" i="12"/>
  <c r="M121" i="12" s="1"/>
  <c r="L126" i="12"/>
  <c r="M126" i="12" s="1"/>
  <c r="H136" i="105"/>
  <c r="H140" i="105"/>
  <c r="H144" i="105"/>
  <c r="H170" i="105"/>
  <c r="BB15" i="100"/>
  <c r="BB13" i="100"/>
  <c r="AH14" i="75"/>
  <c r="K20" i="100"/>
  <c r="BC16" i="100"/>
  <c r="BD13" i="99"/>
  <c r="D360" i="8" s="1"/>
  <c r="V10" i="89"/>
  <c r="Q19" i="120"/>
  <c r="O9" i="132"/>
  <c r="H137" i="105"/>
  <c r="K124" i="12"/>
  <c r="L124" i="12" s="1"/>
  <c r="U14" i="145"/>
  <c r="G122" i="12"/>
  <c r="D42" i="37"/>
  <c r="D41" i="37" s="1"/>
  <c r="M15" i="120"/>
  <c r="M23" i="120"/>
  <c r="G15" i="124"/>
  <c r="G10" i="124" s="1"/>
  <c r="Q13" i="128"/>
  <c r="O12" i="128"/>
  <c r="S66" i="14"/>
  <c r="O49" i="141"/>
  <c r="J49" i="141"/>
  <c r="AM49" i="141" s="1"/>
  <c r="M8" i="116"/>
  <c r="M10" i="116" s="1"/>
  <c r="U8" i="116"/>
  <c r="I8" i="116"/>
  <c r="G14" i="36"/>
  <c r="G13" i="36" s="1"/>
  <c r="J39" i="35"/>
  <c r="X12" i="11"/>
  <c r="O9" i="23"/>
  <c r="I8" i="25"/>
  <c r="V17" i="109"/>
  <c r="M49" i="141"/>
  <c r="AO49" i="141" s="1"/>
  <c r="V22" i="109"/>
  <c r="D14" i="36"/>
  <c r="D13" i="36" s="1"/>
  <c r="G33" i="141"/>
  <c r="V34" i="141"/>
  <c r="P8" i="116"/>
  <c r="P10" i="116" s="1"/>
  <c r="N14" i="36"/>
  <c r="N42" i="36"/>
  <c r="N41" i="36" s="1"/>
  <c r="D234" i="8"/>
  <c r="I548" i="8"/>
  <c r="I546" i="8"/>
  <c r="I544" i="8"/>
  <c r="I542" i="8"/>
  <c r="E561" i="8"/>
  <c r="G34" i="8"/>
  <c r="D34" i="8" s="1"/>
  <c r="H151" i="105"/>
  <c r="I537" i="8"/>
  <c r="E566" i="8"/>
  <c r="E562" i="8"/>
  <c r="M11" i="128"/>
  <c r="S11" i="128"/>
  <c r="AE13" i="128"/>
  <c r="P33" i="141"/>
  <c r="G211" i="12"/>
  <c r="E33" i="11"/>
  <c r="K33" i="11" s="1"/>
  <c r="W10" i="34"/>
  <c r="D161" i="8" s="1"/>
  <c r="R10" i="83"/>
  <c r="F109" i="13" s="1"/>
  <c r="V13" i="89"/>
  <c r="Q19" i="90"/>
  <c r="S9" i="112"/>
  <c r="V29" i="141"/>
  <c r="K4" i="44"/>
  <c r="I12" i="10"/>
  <c r="K23" i="12"/>
  <c r="K14" i="145"/>
  <c r="Q15" i="92"/>
  <c r="M8" i="55"/>
  <c r="F78" i="13" s="1"/>
  <c r="D355" i="8"/>
  <c r="H145" i="105"/>
  <c r="N24" i="32"/>
  <c r="E542" i="8"/>
  <c r="E538" i="8"/>
  <c r="L132" i="12"/>
  <c r="M132" i="12" s="1"/>
  <c r="X11" i="128"/>
  <c r="S13" i="128"/>
  <c r="K135" i="12"/>
  <c r="L135" i="12" s="1"/>
  <c r="M135" i="12" s="1"/>
  <c r="L13" i="128"/>
  <c r="E222" i="13" s="1"/>
  <c r="U13" i="128"/>
  <c r="L11" i="128"/>
  <c r="E220" i="13" s="1"/>
  <c r="AC11" i="128"/>
  <c r="F220" i="13" s="1"/>
  <c r="AD11" i="128"/>
  <c r="O11" i="128"/>
  <c r="U11" i="128"/>
  <c r="V11" i="128"/>
  <c r="L12" i="128"/>
  <c r="E221" i="13" s="1"/>
  <c r="Z12" i="128"/>
  <c r="P14" i="148"/>
  <c r="R14" i="148" s="1"/>
  <c r="N11" i="128"/>
  <c r="P12" i="128"/>
  <c r="P13" i="128"/>
  <c r="R8" i="57"/>
  <c r="F80" i="13" s="1"/>
  <c r="M26" i="16" s="1"/>
  <c r="P26" i="16" s="1"/>
  <c r="E550" i="8"/>
  <c r="E546" i="8"/>
  <c r="E544" i="8"/>
  <c r="E540" i="8"/>
  <c r="R9" i="143"/>
  <c r="F249" i="13" s="1"/>
  <c r="P64" i="14" s="1"/>
  <c r="R64" i="14" s="1"/>
  <c r="AD13" i="128"/>
  <c r="AB12" i="128"/>
  <c r="V11" i="99"/>
  <c r="F143" i="13" s="1"/>
  <c r="BE12" i="99"/>
  <c r="S11" i="146"/>
  <c r="Y11" i="128"/>
  <c r="S12" i="128"/>
  <c r="AA12" i="128"/>
  <c r="Z11" i="128"/>
  <c r="X10" i="117"/>
  <c r="W13" i="128"/>
  <c r="E209" i="13"/>
  <c r="O56" i="14" s="1"/>
  <c r="G251" i="12"/>
  <c r="E42" i="11"/>
  <c r="J42" i="11" s="1"/>
  <c r="H13" i="60"/>
  <c r="AJ16" i="77"/>
  <c r="E20" i="100"/>
  <c r="AY14" i="100"/>
  <c r="AX18" i="100"/>
  <c r="AC17" i="72"/>
  <c r="AZ18" i="100"/>
  <c r="AY16" i="100"/>
  <c r="AJ16" i="78"/>
  <c r="AJ15" i="78"/>
  <c r="AC14" i="73"/>
  <c r="AJ14" i="77"/>
  <c r="E19" i="100"/>
  <c r="AC30" i="72"/>
  <c r="AJ15" i="77"/>
  <c r="H12" i="117"/>
  <c r="AX13" i="100"/>
  <c r="D13" i="100"/>
  <c r="BA14" i="100"/>
  <c r="H13" i="117"/>
  <c r="AZ16" i="100"/>
  <c r="H18" i="100"/>
  <c r="E87" i="13"/>
  <c r="F38" i="9" s="1"/>
  <c r="E16" i="8" s="1"/>
  <c r="A16" i="142"/>
  <c r="E536" i="8"/>
  <c r="G145" i="8"/>
  <c r="D145" i="8" s="1"/>
  <c r="D141" i="8"/>
  <c r="BE18" i="99"/>
  <c r="S10" i="14"/>
  <c r="S24" i="14"/>
  <c r="S26" i="14"/>
  <c r="S30" i="14"/>
  <c r="S34" i="14"/>
  <c r="S40" i="14"/>
  <c r="S42" i="14"/>
  <c r="S44" i="14"/>
  <c r="S46" i="14"/>
  <c r="S48" i="14"/>
  <c r="S52" i="14"/>
  <c r="S54" i="14"/>
  <c r="S56" i="14"/>
  <c r="S58" i="14"/>
  <c r="S60" i="14"/>
  <c r="S64" i="14"/>
  <c r="G10" i="35"/>
  <c r="E42" i="37"/>
  <c r="E41" i="37" s="1"/>
  <c r="M50" i="37"/>
  <c r="F49" i="37"/>
  <c r="M49" i="37" s="1"/>
  <c r="D10" i="42"/>
  <c r="K19" i="16" s="1"/>
  <c r="D11" i="141"/>
  <c r="V43" i="141"/>
  <c r="E14" i="36"/>
  <c r="I547" i="8"/>
  <c r="I543" i="8"/>
  <c r="I21" i="11"/>
  <c r="I53" i="11"/>
  <c r="G10" i="42"/>
  <c r="K25" i="16" s="1"/>
  <c r="U13" i="91"/>
  <c r="U15" i="91"/>
  <c r="BF13" i="100"/>
  <c r="E191" i="13"/>
  <c r="Y14" i="112"/>
  <c r="H9" i="120"/>
  <c r="L9" i="120"/>
  <c r="D345" i="8" s="1"/>
  <c r="N9" i="120"/>
  <c r="E23" i="10"/>
  <c r="H131" i="105"/>
  <c r="H143" i="105"/>
  <c r="H165" i="105"/>
  <c r="H169" i="105"/>
  <c r="D220" i="8"/>
  <c r="Y13" i="11"/>
  <c r="F87" i="13"/>
  <c r="K10" i="9"/>
  <c r="N10" i="9" s="1"/>
  <c r="M14" i="36"/>
  <c r="I14" i="36"/>
  <c r="I13" i="36" s="1"/>
  <c r="I42" i="37"/>
  <c r="I41" i="37" s="1"/>
  <c r="L42" i="37"/>
  <c r="L41" i="37" s="1"/>
  <c r="H12" i="42"/>
  <c r="R8" i="43"/>
  <c r="F13" i="44"/>
  <c r="F12" i="44" s="1"/>
  <c r="L25" i="16" s="1"/>
  <c r="G16" i="44"/>
  <c r="E143" i="8"/>
  <c r="BF14" i="100"/>
  <c r="BF19" i="100"/>
  <c r="V44" i="141"/>
  <c r="V17" i="89"/>
  <c r="AC10" i="117"/>
  <c r="H14" i="36"/>
  <c r="H13" i="36" s="1"/>
  <c r="H168" i="105"/>
  <c r="AG27" i="162"/>
  <c r="D224" i="8"/>
  <c r="AG50" i="162"/>
  <c r="H161" i="105"/>
  <c r="G14" i="60"/>
  <c r="G17" i="60"/>
  <c r="AQ2" i="95"/>
  <c r="B3" i="3"/>
  <c r="AP30" i="95"/>
  <c r="J70" i="35"/>
  <c r="F46" i="13" s="1"/>
  <c r="E46" i="13"/>
  <c r="F12" i="16" s="1"/>
  <c r="J12" i="16" s="1"/>
  <c r="G21" i="37"/>
  <c r="M21" i="37" s="1"/>
  <c r="M22" i="37"/>
  <c r="G11" i="60"/>
  <c r="H15" i="60"/>
  <c r="G229" i="12"/>
  <c r="G37" i="12"/>
  <c r="Q12" i="11"/>
  <c r="H132" i="105"/>
  <c r="N11" i="32"/>
  <c r="J45" i="35"/>
  <c r="Q18" i="90"/>
  <c r="X12" i="99"/>
  <c r="X11" i="99" s="1"/>
  <c r="BE16" i="99"/>
  <c r="BE19" i="99"/>
  <c r="P21" i="141"/>
  <c r="S22" i="141"/>
  <c r="V22" i="141" s="1"/>
  <c r="F79" i="8"/>
  <c r="G79" i="8" s="1"/>
  <c r="D79" i="8" s="1"/>
  <c r="R14" i="145"/>
  <c r="Y19" i="145"/>
  <c r="AA19" i="145" s="1"/>
  <c r="J14" i="35"/>
  <c r="G148" i="12"/>
  <c r="E151" i="12"/>
  <c r="K44" i="11"/>
  <c r="J44" i="11"/>
  <c r="H14" i="60"/>
  <c r="H17" i="60"/>
  <c r="H16" i="60"/>
  <c r="L125" i="12"/>
  <c r="M125" i="12" s="1"/>
  <c r="G125" i="12"/>
  <c r="G133" i="12"/>
  <c r="L133" i="12"/>
  <c r="M133" i="12" s="1"/>
  <c r="F187" i="13"/>
  <c r="F186" i="13"/>
  <c r="P47" i="14" s="1"/>
  <c r="R47" i="14" s="1"/>
  <c r="D249" i="8"/>
  <c r="J11" i="35"/>
  <c r="N36" i="32"/>
  <c r="F208" i="13"/>
  <c r="E46" i="9" s="1"/>
  <c r="K46" i="9" s="1"/>
  <c r="N46" i="9" s="1"/>
  <c r="I25" i="10"/>
  <c r="G171" i="12"/>
  <c r="W12" i="11"/>
  <c r="O12" i="14"/>
  <c r="F20" i="9"/>
  <c r="L20" i="9" s="1"/>
  <c r="O20" i="9" s="1"/>
  <c r="F57" i="9"/>
  <c r="L57" i="9" s="1"/>
  <c r="O57" i="9" s="1"/>
  <c r="S9" i="116"/>
  <c r="W9" i="116" s="1"/>
  <c r="W21" i="116"/>
  <c r="K11" i="126"/>
  <c r="F218" i="13"/>
  <c r="P15" i="141"/>
  <c r="V16" i="141"/>
  <c r="G8" i="116"/>
  <c r="G10" i="116" s="1"/>
  <c r="K14" i="36"/>
  <c r="K13" i="36" s="1"/>
  <c r="X10" i="51"/>
  <c r="D271" i="8" s="1"/>
  <c r="E52" i="11"/>
  <c r="K52" i="11" s="1"/>
  <c r="E34" i="11"/>
  <c r="G187" i="12"/>
  <c r="AG17" i="128"/>
  <c r="U10" i="51"/>
  <c r="F75" i="13" s="1"/>
  <c r="G172" i="12"/>
  <c r="F8" i="9"/>
  <c r="L8" i="9" s="1"/>
  <c r="O8" i="9" s="1"/>
  <c r="S6" i="14"/>
  <c r="S8" i="14"/>
  <c r="O6" i="14"/>
  <c r="BF17" i="100"/>
  <c r="V19" i="109"/>
  <c r="I9" i="112"/>
  <c r="J9" i="120"/>
  <c r="O19" i="120"/>
  <c r="O11" i="141"/>
  <c r="O10" i="141" s="1"/>
  <c r="E17" i="11"/>
  <c r="G117" i="12"/>
  <c r="G121" i="12"/>
  <c r="E75" i="11"/>
  <c r="K26" i="11"/>
  <c r="J26" i="11"/>
  <c r="Q9" i="23"/>
  <c r="F26" i="13" s="1"/>
  <c r="H8" i="25"/>
  <c r="G8" i="25"/>
  <c r="J8" i="25"/>
  <c r="M21" i="25"/>
  <c r="G35" i="8"/>
  <c r="D35" i="8" s="1"/>
  <c r="W9" i="33"/>
  <c r="X10" i="34"/>
  <c r="D162" i="8" s="1"/>
  <c r="F38" i="35"/>
  <c r="F37" i="35" s="1"/>
  <c r="J42" i="35"/>
  <c r="O46" i="36"/>
  <c r="G41" i="8"/>
  <c r="D41" i="8" s="1"/>
  <c r="G42" i="8"/>
  <c r="D42" i="8" s="1"/>
  <c r="U14" i="91"/>
  <c r="J11" i="141"/>
  <c r="J10" i="141" s="1"/>
  <c r="G24" i="141"/>
  <c r="V26" i="141"/>
  <c r="P12" i="148"/>
  <c r="N10" i="148"/>
  <c r="H150" i="105"/>
  <c r="H11" i="60"/>
  <c r="G13" i="60"/>
  <c r="AY13" i="100"/>
  <c r="G13" i="100"/>
  <c r="Y12" i="82"/>
  <c r="F13" i="100"/>
  <c r="AJ12" i="77"/>
  <c r="I16" i="100"/>
  <c r="E55" i="11"/>
  <c r="E48" i="9"/>
  <c r="K48" i="9" s="1"/>
  <c r="N48" i="9" s="1"/>
  <c r="L21" i="11"/>
  <c r="L53" i="11"/>
  <c r="V13" i="11"/>
  <c r="E235" i="12"/>
  <c r="F143" i="8" s="1"/>
  <c r="S5" i="14"/>
  <c r="S7" i="14"/>
  <c r="S12" i="14"/>
  <c r="S16" i="14"/>
  <c r="S62" i="14"/>
  <c r="E112" i="13"/>
  <c r="O40" i="14" s="1"/>
  <c r="Q17" i="90"/>
  <c r="U17" i="91"/>
  <c r="BF18" i="100"/>
  <c r="V24" i="109"/>
  <c r="F9" i="120"/>
  <c r="K9" i="120"/>
  <c r="O15" i="120"/>
  <c r="Z11" i="121"/>
  <c r="F207" i="13" s="1"/>
  <c r="E15" i="124"/>
  <c r="E10" i="124" s="1"/>
  <c r="L15" i="124"/>
  <c r="L10" i="124" s="1"/>
  <c r="Q21" i="90"/>
  <c r="L42" i="137"/>
  <c r="V21" i="109"/>
  <c r="A20" i="142"/>
  <c r="A18" i="142"/>
  <c r="A14" i="142"/>
  <c r="A12" i="142"/>
  <c r="D217" i="8"/>
  <c r="I538" i="8"/>
  <c r="D232" i="8"/>
  <c r="D230" i="8"/>
  <c r="D228" i="8"/>
  <c r="E575" i="8"/>
  <c r="E573" i="8"/>
  <c r="E571" i="8"/>
  <c r="E549" i="8"/>
  <c r="E168" i="13"/>
  <c r="AG20" i="162"/>
  <c r="AG12" i="162"/>
  <c r="AL11" i="99"/>
  <c r="F145" i="13" s="1"/>
  <c r="V15" i="109"/>
  <c r="E192" i="13"/>
  <c r="O50" i="14" s="1"/>
  <c r="K9" i="113"/>
  <c r="F47" i="9" s="1"/>
  <c r="L47" i="9" s="1"/>
  <c r="O47" i="9" s="1"/>
  <c r="D9" i="120"/>
  <c r="I9" i="120"/>
  <c r="G78" i="8"/>
  <c r="D78" i="8" s="1"/>
  <c r="H11" i="141"/>
  <c r="H10" i="141" s="1"/>
  <c r="V23" i="141"/>
  <c r="P24" i="141"/>
  <c r="V39" i="141"/>
  <c r="V41" i="141"/>
  <c r="V48" i="141"/>
  <c r="I49" i="141"/>
  <c r="AL49" i="141" s="1"/>
  <c r="I37" i="11"/>
  <c r="D353" i="8"/>
  <c r="G27" i="141"/>
  <c r="N11" i="141"/>
  <c r="N10" i="141" s="1"/>
  <c r="G9" i="120"/>
  <c r="E9" i="120"/>
  <c r="I77" i="9"/>
  <c r="H40" i="9"/>
  <c r="H41" i="9" s="1"/>
  <c r="N21" i="36"/>
  <c r="D237" i="8"/>
  <c r="D235" i="8"/>
  <c r="D218" i="8"/>
  <c r="I553" i="8"/>
  <c r="I549" i="8"/>
  <c r="E577" i="8"/>
  <c r="E572" i="8"/>
  <c r="E559" i="8"/>
  <c r="E557" i="8"/>
  <c r="E554" i="8"/>
  <c r="AG54" i="162"/>
  <c r="AG58" i="162"/>
  <c r="AP35" i="95"/>
  <c r="F8" i="25"/>
  <c r="R7" i="25" s="1"/>
  <c r="A19" i="142"/>
  <c r="D223" i="8"/>
  <c r="I540" i="8"/>
  <c r="E556" i="8"/>
  <c r="E551" i="8"/>
  <c r="E534" i="8"/>
  <c r="L22" i="12"/>
  <c r="M22" i="12" s="1"/>
  <c r="G22" i="12"/>
  <c r="AP38" i="95"/>
  <c r="G127" i="12"/>
  <c r="L127" i="12"/>
  <c r="M127" i="12" s="1"/>
  <c r="E206" i="8"/>
  <c r="D206" i="8" s="1"/>
  <c r="S23" i="14"/>
  <c r="F211" i="13"/>
  <c r="AD17" i="58"/>
  <c r="AB17" i="58" s="1"/>
  <c r="O15" i="36"/>
  <c r="D18" i="100"/>
  <c r="AC28" i="72"/>
  <c r="Y14" i="82"/>
  <c r="E17" i="100"/>
  <c r="E13" i="100"/>
  <c r="F16" i="100"/>
  <c r="AX16" i="100"/>
  <c r="Y11" i="82"/>
  <c r="H14" i="100"/>
  <c r="T11" i="83"/>
  <c r="BB16" i="100"/>
  <c r="G13" i="117"/>
  <c r="BB18" i="100"/>
  <c r="F19" i="100"/>
  <c r="BC17" i="100"/>
  <c r="X13" i="76"/>
  <c r="K16" i="100"/>
  <c r="AX19" i="100"/>
  <c r="AZ20" i="100"/>
  <c r="BC20" i="100"/>
  <c r="G131" i="12"/>
  <c r="E15" i="100"/>
  <c r="F13" i="117"/>
  <c r="AV13" i="117" s="1"/>
  <c r="AW13" i="117" s="1"/>
  <c r="G17" i="100"/>
  <c r="X15" i="76"/>
  <c r="BB14" i="100"/>
  <c r="AY17" i="100"/>
  <c r="S21" i="14"/>
  <c r="S25" i="14"/>
  <c r="S27" i="14"/>
  <c r="S37" i="14"/>
  <c r="S41" i="14"/>
  <c r="S53" i="14"/>
  <c r="S55" i="14"/>
  <c r="S57" i="14"/>
  <c r="S61" i="14"/>
  <c r="S9" i="89"/>
  <c r="F114" i="13" s="1"/>
  <c r="AB10" i="89"/>
  <c r="V11" i="100"/>
  <c r="F147" i="13" s="1"/>
  <c r="BF12" i="100"/>
  <c r="R11" i="106"/>
  <c r="J8" i="116"/>
  <c r="AC4" i="116"/>
  <c r="D293" i="8" s="1"/>
  <c r="E116" i="12"/>
  <c r="E16" i="11" s="1"/>
  <c r="J16" i="11" s="1"/>
  <c r="AC12" i="73"/>
  <c r="AZ13" i="100"/>
  <c r="AY19" i="100"/>
  <c r="BA13" i="100"/>
  <c r="BC14" i="100"/>
  <c r="I13" i="100"/>
  <c r="BE13" i="100" s="1"/>
  <c r="D361" i="8" s="1"/>
  <c r="G14" i="100"/>
  <c r="AC13" i="72"/>
  <c r="G12" i="117"/>
  <c r="BA20" i="100"/>
  <c r="AC23" i="72"/>
  <c r="G16" i="100"/>
  <c r="AC24" i="72"/>
  <c r="AC14" i="72"/>
  <c r="G15" i="100"/>
  <c r="D373" i="8"/>
  <c r="AC17" i="73"/>
  <c r="AZ17" i="100"/>
  <c r="AJ17" i="77"/>
  <c r="BC18" i="100"/>
  <c r="H15" i="100"/>
  <c r="AJ12" i="78"/>
  <c r="X17" i="76"/>
  <c r="T14" i="83"/>
  <c r="G18" i="100"/>
  <c r="AJ19" i="77"/>
  <c r="K19" i="100"/>
  <c r="AJ13" i="78"/>
  <c r="BC15" i="100"/>
  <c r="X14" i="76"/>
  <c r="E18" i="100"/>
  <c r="I20" i="100"/>
  <c r="E13" i="117"/>
  <c r="AC29" i="72"/>
  <c r="K17" i="100"/>
  <c r="AX14" i="100"/>
  <c r="AX17" i="100"/>
  <c r="AY15" i="100"/>
  <c r="BC13" i="100"/>
  <c r="D17" i="100"/>
  <c r="K13" i="117"/>
  <c r="I18" i="100"/>
  <c r="AC16" i="73"/>
  <c r="AP27" i="95"/>
  <c r="AP23" i="95"/>
  <c r="AP16" i="95"/>
  <c r="AP34" i="95"/>
  <c r="AP39" i="95"/>
  <c r="H139" i="105"/>
  <c r="AC26" i="72"/>
  <c r="K14" i="100"/>
  <c r="BA17" i="100"/>
  <c r="E14" i="100"/>
  <c r="AC25" i="72"/>
  <c r="E12" i="117"/>
  <c r="F17" i="100"/>
  <c r="BA18" i="100"/>
  <c r="AC16" i="72"/>
  <c r="F14" i="100"/>
  <c r="AC13" i="73"/>
  <c r="F20" i="100"/>
  <c r="D15" i="100"/>
  <c r="AX15" i="100"/>
  <c r="F18" i="100"/>
  <c r="AC22" i="72"/>
  <c r="T13" i="83"/>
  <c r="D20" i="100"/>
  <c r="E16" i="100"/>
  <c r="H13" i="100"/>
  <c r="R12" i="81"/>
  <c r="BB20" i="100"/>
  <c r="AC15" i="72"/>
  <c r="AC15" i="73"/>
  <c r="AC27" i="72"/>
  <c r="E261" i="12"/>
  <c r="F144" i="8" s="1"/>
  <c r="I15" i="100"/>
  <c r="I14" i="100"/>
  <c r="AH26" i="75"/>
  <c r="BA19" i="100"/>
  <c r="AC18" i="72"/>
  <c r="BC19" i="100"/>
  <c r="D12" i="117"/>
  <c r="X19" i="76"/>
  <c r="L37" i="11"/>
  <c r="G39" i="12"/>
  <c r="S12" i="11"/>
  <c r="G190" i="12"/>
  <c r="J57" i="11"/>
  <c r="K57" i="11"/>
  <c r="E13" i="44"/>
  <c r="E12" i="44" s="1"/>
  <c r="L21" i="16" s="1"/>
  <c r="G14" i="44"/>
  <c r="AE11" i="128"/>
  <c r="N12" i="128"/>
  <c r="M12" i="128"/>
  <c r="X12" i="128"/>
  <c r="R11" i="128"/>
  <c r="P11" i="128"/>
  <c r="Y12" i="128"/>
  <c r="Z13" i="128"/>
  <c r="X13" i="128"/>
  <c r="AB11" i="128"/>
  <c r="O13" i="128"/>
  <c r="W11" i="128"/>
  <c r="V12" i="128"/>
  <c r="AA11" i="128"/>
  <c r="AE12" i="128"/>
  <c r="Q12" i="128"/>
  <c r="R13" i="128"/>
  <c r="AA13" i="128"/>
  <c r="N13" i="128"/>
  <c r="R12" i="128"/>
  <c r="AC13" i="128"/>
  <c r="F222" i="13" s="1"/>
  <c r="AC12" i="128"/>
  <c r="F221" i="13" s="1"/>
  <c r="V13" i="128"/>
  <c r="AD12" i="128"/>
  <c r="N14" i="145"/>
  <c r="F81" i="8"/>
  <c r="G81" i="8" s="1"/>
  <c r="D81" i="8" s="1"/>
  <c r="S14" i="145"/>
  <c r="Q14" i="145"/>
  <c r="F113" i="8"/>
  <c r="K49" i="141"/>
  <c r="AN49" i="141" s="1"/>
  <c r="J10" i="43"/>
  <c r="S28" i="141"/>
  <c r="S27" i="141" s="1"/>
  <c r="P27" i="141"/>
  <c r="G170" i="12"/>
  <c r="T12" i="11"/>
  <c r="M69" i="37"/>
  <c r="F62" i="13" s="1"/>
  <c r="G52" i="8"/>
  <c r="E104" i="13"/>
  <c r="O39" i="14" s="1"/>
  <c r="G9" i="92"/>
  <c r="E126" i="13" s="1"/>
  <c r="F65" i="9" s="1"/>
  <c r="Q11" i="92"/>
  <c r="V14" i="109"/>
  <c r="H163" i="105"/>
  <c r="N14" i="119"/>
  <c r="P18" i="141"/>
  <c r="S20" i="141"/>
  <c r="G252" i="12"/>
  <c r="E253" i="12"/>
  <c r="E46" i="11"/>
  <c r="F210" i="13"/>
  <c r="E52" i="9" s="1"/>
  <c r="K52" i="9" s="1"/>
  <c r="N52" i="9" s="1"/>
  <c r="J46" i="35"/>
  <c r="D378" i="8"/>
  <c r="N10" i="90"/>
  <c r="Q10" i="90" s="1"/>
  <c r="L9" i="90"/>
  <c r="AN4" i="95" s="1"/>
  <c r="E142" i="13"/>
  <c r="F62" i="9" s="1"/>
  <c r="L62" i="9" s="1"/>
  <c r="O62" i="9" s="1"/>
  <c r="E146" i="13"/>
  <c r="O44" i="14" s="1"/>
  <c r="AE11" i="100"/>
  <c r="F148" i="13" s="1"/>
  <c r="AM11" i="100"/>
  <c r="F149" i="13" s="1"/>
  <c r="V16" i="109"/>
  <c r="V26" i="109"/>
  <c r="V9" i="112"/>
  <c r="Y12" i="112"/>
  <c r="Y13" i="112"/>
  <c r="AD19" i="128"/>
  <c r="AG19" i="128" s="1"/>
  <c r="M11" i="141"/>
  <c r="M10" i="141" s="1"/>
  <c r="V40" i="141"/>
  <c r="F82" i="8"/>
  <c r="G82" i="8" s="1"/>
  <c r="D82" i="8" s="1"/>
  <c r="T14" i="145"/>
  <c r="S16" i="146"/>
  <c r="U16" i="146" s="1"/>
  <c r="P12" i="141"/>
  <c r="L146" i="12"/>
  <c r="M146" i="12" s="1"/>
  <c r="E36" i="11"/>
  <c r="I14" i="37"/>
  <c r="I13" i="37" s="1"/>
  <c r="H14" i="37"/>
  <c r="H13" i="37" s="1"/>
  <c r="M46" i="37"/>
  <c r="H16" i="42"/>
  <c r="D275" i="8"/>
  <c r="F105" i="13"/>
  <c r="V12" i="89"/>
  <c r="Q15" i="90"/>
  <c r="U12" i="91"/>
  <c r="AA11" i="121"/>
  <c r="Y20" i="100"/>
  <c r="Y11" i="100" s="1"/>
  <c r="BF20" i="100"/>
  <c r="H35" i="134"/>
  <c r="H34" i="134" s="1"/>
  <c r="K3" i="135"/>
  <c r="F9" i="23"/>
  <c r="E30" i="8" s="1"/>
  <c r="G30" i="8" s="1"/>
  <c r="D30" i="8" s="1"/>
  <c r="L9" i="23"/>
  <c r="P10" i="23"/>
  <c r="T10" i="23"/>
  <c r="D250" i="8" s="1"/>
  <c r="I9" i="23"/>
  <c r="L8" i="25"/>
  <c r="K17" i="44"/>
  <c r="H138" i="105"/>
  <c r="N27" i="32"/>
  <c r="H148" i="105"/>
  <c r="E10" i="42"/>
  <c r="O13" i="52"/>
  <c r="F76" i="13" s="1"/>
  <c r="Z9" i="72"/>
  <c r="F95" i="13" s="1"/>
  <c r="Z9" i="73"/>
  <c r="F96" i="13" s="1"/>
  <c r="O10" i="82"/>
  <c r="V11" i="82"/>
  <c r="V16" i="89"/>
  <c r="BE13" i="99"/>
  <c r="BE14" i="99"/>
  <c r="BE15" i="99"/>
  <c r="BE17" i="99"/>
  <c r="V12" i="109"/>
  <c r="V23" i="109"/>
  <c r="V25" i="109"/>
  <c r="T8" i="115"/>
  <c r="H164" i="105"/>
  <c r="V46" i="141"/>
  <c r="D374" i="8"/>
  <c r="D398" i="8"/>
  <c r="Q23" i="120"/>
  <c r="S33" i="141"/>
  <c r="E156" i="8"/>
  <c r="G156" i="8" s="1"/>
  <c r="D156" i="8" s="1"/>
  <c r="F92" i="13"/>
  <c r="P37" i="14" s="1"/>
  <c r="R37" i="14" s="1"/>
  <c r="S15" i="42"/>
  <c r="D183" i="8" s="1"/>
  <c r="O69" i="36"/>
  <c r="F56" i="13" s="1"/>
  <c r="AG25" i="162"/>
  <c r="D226" i="8"/>
  <c r="D219" i="8"/>
  <c r="E552" i="8"/>
  <c r="E545" i="8"/>
  <c r="G117" i="8"/>
  <c r="D117" i="8" s="1"/>
  <c r="Z13" i="11"/>
  <c r="E182" i="12"/>
  <c r="E25" i="11" s="1"/>
  <c r="K25" i="11" s="1"/>
  <c r="S9" i="14"/>
  <c r="S11" i="14"/>
  <c r="S13" i="14"/>
  <c r="S15" i="14"/>
  <c r="S18" i="14"/>
  <c r="D9" i="23"/>
  <c r="E23" i="13" s="1"/>
  <c r="J9" i="23"/>
  <c r="M9" i="23"/>
  <c r="M5" i="23" s="1"/>
  <c r="K8" i="25"/>
  <c r="L14" i="37"/>
  <c r="L13" i="37" s="1"/>
  <c r="G42" i="37"/>
  <c r="G41" i="37" s="1"/>
  <c r="K11" i="44"/>
  <c r="G25" i="44"/>
  <c r="K38" i="44"/>
  <c r="D133" i="8" s="1"/>
  <c r="G46" i="8"/>
  <c r="D46" i="8" s="1"/>
  <c r="G47" i="8"/>
  <c r="D47" i="8" s="1"/>
  <c r="N11" i="75"/>
  <c r="E97" i="13" s="1"/>
  <c r="V11" i="89"/>
  <c r="V14" i="89"/>
  <c r="Q20" i="90"/>
  <c r="U11" i="91"/>
  <c r="U16" i="91"/>
  <c r="F66" i="9"/>
  <c r="L66" i="9" s="1"/>
  <c r="O66" i="9" s="1"/>
  <c r="Q9" i="112"/>
  <c r="P21" i="124"/>
  <c r="AG20" i="128"/>
  <c r="L11" i="141"/>
  <c r="L10" i="141" s="1"/>
  <c r="P14" i="145"/>
  <c r="U14" i="146"/>
  <c r="R11" i="148"/>
  <c r="R13" i="148"/>
  <c r="D255" i="8"/>
  <c r="D49" i="141"/>
  <c r="L49" i="141"/>
  <c r="Z13" i="133"/>
  <c r="D406" i="8"/>
  <c r="D332" i="8"/>
  <c r="L16" i="42"/>
  <c r="H42" i="36"/>
  <c r="H41" i="36" s="1"/>
  <c r="L134" i="12"/>
  <c r="M134" i="12" s="1"/>
  <c r="J72" i="35"/>
  <c r="F48" i="13" s="1"/>
  <c r="AG15" i="162"/>
  <c r="I551" i="8"/>
  <c r="E560" i="8"/>
  <c r="AP26" i="95"/>
  <c r="AP19" i="95"/>
  <c r="K15" i="124"/>
  <c r="K10" i="124" s="1"/>
  <c r="O15" i="124"/>
  <c r="O10" i="124" s="1"/>
  <c r="P31" i="124"/>
  <c r="F76" i="8"/>
  <c r="G76" i="8" s="1"/>
  <c r="D76" i="8" s="1"/>
  <c r="H14" i="145"/>
  <c r="J14" i="145" s="1"/>
  <c r="E261" i="13" s="1"/>
  <c r="M14" i="145"/>
  <c r="V14" i="145"/>
  <c r="V38" i="141"/>
  <c r="N49" i="141"/>
  <c r="AE11" i="145"/>
  <c r="D253" i="8" s="1"/>
  <c r="J18" i="35"/>
  <c r="D376" i="8"/>
  <c r="AG21" i="162"/>
  <c r="AG17" i="162"/>
  <c r="AG13" i="162"/>
  <c r="AR36" i="59"/>
  <c r="AP32" i="95"/>
  <c r="E38" i="35"/>
  <c r="D42" i="36"/>
  <c r="H49" i="141"/>
  <c r="E244" i="8" s="1"/>
  <c r="J71" i="35"/>
  <c r="F47" i="13" s="1"/>
  <c r="I40" i="9"/>
  <c r="I41" i="9" s="1"/>
  <c r="AG19" i="162"/>
  <c r="D236" i="8"/>
  <c r="D231" i="8"/>
  <c r="D227" i="8"/>
  <c r="D225" i="8"/>
  <c r="D222" i="8"/>
  <c r="E574" i="8"/>
  <c r="E567" i="8"/>
  <c r="E565" i="8"/>
  <c r="E563" i="8"/>
  <c r="E558" i="8"/>
  <c r="E553" i="8"/>
  <c r="E548" i="8"/>
  <c r="E541" i="8"/>
  <c r="E537" i="8"/>
  <c r="G121" i="8"/>
  <c r="D121" i="8" s="1"/>
  <c r="AG53" i="162"/>
  <c r="AG24" i="162"/>
  <c r="AG22" i="162"/>
  <c r="AG16" i="162"/>
  <c r="D221" i="8"/>
  <c r="I552" i="8"/>
  <c r="I550" i="8"/>
  <c r="I545" i="8"/>
  <c r="I541" i="8"/>
  <c r="I539" i="8"/>
  <c r="I536" i="8"/>
  <c r="E570" i="8"/>
  <c r="E568" i="8"/>
  <c r="E564" i="8"/>
  <c r="E547" i="8"/>
  <c r="AG57" i="162"/>
  <c r="E216" i="12"/>
  <c r="O54" i="14"/>
  <c r="F45" i="9"/>
  <c r="L45" i="9" s="1"/>
  <c r="O45" i="9" s="1"/>
  <c r="E98" i="13"/>
  <c r="E9" i="10"/>
  <c r="H9" i="10" s="1"/>
  <c r="X10" i="92"/>
  <c r="Q12" i="92"/>
  <c r="O23" i="120"/>
  <c r="AG15" i="128"/>
  <c r="G20" i="12"/>
  <c r="L20" i="12"/>
  <c r="M20" i="12" s="1"/>
  <c r="E15" i="12"/>
  <c r="E10" i="11" s="1"/>
  <c r="G242" i="12"/>
  <c r="E136" i="8"/>
  <c r="G136" i="8" s="1"/>
  <c r="D136" i="8" s="1"/>
  <c r="D137" i="8"/>
  <c r="E134" i="8"/>
  <c r="G134" i="8" s="1"/>
  <c r="D134" i="8" s="1"/>
  <c r="E94" i="13"/>
  <c r="R9" i="91"/>
  <c r="F123" i="13" s="1"/>
  <c r="F122" i="13" s="1"/>
  <c r="F196" i="13"/>
  <c r="D138" i="8"/>
  <c r="E135" i="8"/>
  <c r="G135" i="8" s="1"/>
  <c r="D135" i="8" s="1"/>
  <c r="E219" i="13"/>
  <c r="O59" i="14" s="1"/>
  <c r="Y18" i="145"/>
  <c r="AA18" i="145" s="1"/>
  <c r="Y15" i="133"/>
  <c r="AB4" i="116"/>
  <c r="D340" i="8" s="1"/>
  <c r="D399" i="8"/>
  <c r="AK11" i="128"/>
  <c r="D252" i="8" s="1"/>
  <c r="AD4" i="116"/>
  <c r="D292" i="8" s="1"/>
  <c r="AA9" i="162"/>
  <c r="AG10" i="162"/>
  <c r="AG41" i="162"/>
  <c r="AG33" i="162"/>
  <c r="T8" i="116"/>
  <c r="R12" i="11"/>
  <c r="S13" i="11"/>
  <c r="P9" i="91"/>
  <c r="AN5" i="95" s="1"/>
  <c r="O43" i="36"/>
  <c r="F10" i="42"/>
  <c r="P53" i="141"/>
  <c r="M15" i="37"/>
  <c r="E14" i="37"/>
  <c r="E13" i="37" s="1"/>
  <c r="G135" i="12"/>
  <c r="G230" i="12"/>
  <c r="E41" i="11"/>
  <c r="E43" i="11"/>
  <c r="E250" i="12"/>
  <c r="O14" i="14"/>
  <c r="F29" i="9"/>
  <c r="L29" i="9" s="1"/>
  <c r="O29" i="9" s="1"/>
  <c r="E66" i="9"/>
  <c r="K66" i="9" s="1"/>
  <c r="N66" i="9" s="1"/>
  <c r="AC38" i="141"/>
  <c r="L12" i="160"/>
  <c r="N12" i="160" s="1"/>
  <c r="E74" i="13"/>
  <c r="G9" i="89"/>
  <c r="E114" i="13" s="1"/>
  <c r="Q9" i="89"/>
  <c r="AN3" i="95" s="1"/>
  <c r="AD11" i="106"/>
  <c r="S11" i="109"/>
  <c r="Q10" i="109"/>
  <c r="F185" i="13" s="1"/>
  <c r="P46" i="14" s="1"/>
  <c r="R46" i="14" s="1"/>
  <c r="E189" i="13"/>
  <c r="O49" i="14" s="1"/>
  <c r="E190" i="13"/>
  <c r="Y20" i="145"/>
  <c r="AA20" i="145" s="1"/>
  <c r="E21" i="36"/>
  <c r="O22" i="36"/>
  <c r="U8" i="57"/>
  <c r="AA10" i="58" s="1"/>
  <c r="D314" i="8" s="1"/>
  <c r="O26" i="36"/>
  <c r="M18" i="37"/>
  <c r="H77" i="9"/>
  <c r="AG47" i="162"/>
  <c r="AG39" i="162"/>
  <c r="AG31" i="162"/>
  <c r="AD28" i="162"/>
  <c r="AD9" i="162" s="1"/>
  <c r="AB9" i="162"/>
  <c r="E153" i="8"/>
  <c r="G153" i="8" s="1"/>
  <c r="D153" i="8" s="1"/>
  <c r="E26" i="8"/>
  <c r="D26" i="8" s="1"/>
  <c r="F89" i="13"/>
  <c r="P34" i="14" s="1"/>
  <c r="R34" i="14" s="1"/>
  <c r="H162" i="105"/>
  <c r="X8" i="28"/>
  <c r="F34" i="13" s="1"/>
  <c r="M43" i="37"/>
  <c r="P56" i="141"/>
  <c r="P36" i="141"/>
  <c r="F246" i="13" s="1"/>
  <c r="T9" i="143"/>
  <c r="F250" i="13" s="1"/>
  <c r="R8" i="115"/>
  <c r="F194" i="13" s="1"/>
  <c r="Q13" i="11"/>
  <c r="E268" i="12"/>
  <c r="E196" i="12"/>
  <c r="E76" i="11"/>
  <c r="K8" i="32"/>
  <c r="F41" i="13" s="1"/>
  <c r="U10" i="91"/>
  <c r="S25" i="141"/>
  <c r="O18" i="36"/>
  <c r="G15" i="44"/>
  <c r="J7" i="70"/>
  <c r="F149" i="8" s="1"/>
  <c r="I30" i="10"/>
  <c r="M21" i="36"/>
  <c r="E85" i="13"/>
  <c r="O32" i="14" s="1"/>
  <c r="U13" i="11"/>
  <c r="G199" i="12"/>
  <c r="E206" i="12"/>
  <c r="E32" i="11" s="1"/>
  <c r="G224" i="12"/>
  <c r="G238" i="12"/>
  <c r="O55" i="14"/>
  <c r="F46" i="9"/>
  <c r="L46" i="9" s="1"/>
  <c r="O46" i="9" s="1"/>
  <c r="S63" i="14"/>
  <c r="S65" i="14"/>
  <c r="H133" i="105"/>
  <c r="AD10" i="78"/>
  <c r="F100" i="13" s="1"/>
  <c r="N11" i="80"/>
  <c r="E102" i="13" s="1"/>
  <c r="F37" i="9" s="1"/>
  <c r="L37" i="9" s="1"/>
  <c r="O37" i="9" s="1"/>
  <c r="M9" i="92"/>
  <c r="F126" i="13" s="1"/>
  <c r="BF15" i="100"/>
  <c r="V20" i="109"/>
  <c r="Y10" i="112"/>
  <c r="F9" i="112"/>
  <c r="S11" i="113"/>
  <c r="S9" i="113" s="1"/>
  <c r="F195" i="13" s="1"/>
  <c r="P9" i="113"/>
  <c r="F193" i="13" s="1"/>
  <c r="H166" i="105"/>
  <c r="M11" i="126"/>
  <c r="AD16" i="128"/>
  <c r="AC10" i="128"/>
  <c r="D323" i="8"/>
  <c r="V17" i="141"/>
  <c r="F9" i="143"/>
  <c r="Y17" i="145"/>
  <c r="AA17" i="145" s="1"/>
  <c r="S8" i="116"/>
  <c r="Q8" i="116"/>
  <c r="Q10" i="116" s="1"/>
  <c r="L8" i="116"/>
  <c r="L10" i="116" s="1"/>
  <c r="E49" i="36"/>
  <c r="O50" i="36"/>
  <c r="Z9" i="60"/>
  <c r="M19" i="120"/>
  <c r="F8" i="116"/>
  <c r="H134" i="105"/>
  <c r="H142" i="105"/>
  <c r="H146" i="105"/>
  <c r="H135" i="105"/>
  <c r="N20" i="32"/>
  <c r="E226" i="12"/>
  <c r="P16" i="124"/>
  <c r="F10" i="109"/>
  <c r="F67" i="9" s="1"/>
  <c r="L67" i="9" s="1"/>
  <c r="O67" i="9" s="1"/>
  <c r="K9" i="92"/>
  <c r="AP3" i="95" s="1"/>
  <c r="M32" i="135"/>
  <c r="E186" i="12"/>
  <c r="E28" i="11" s="1"/>
  <c r="E174" i="12"/>
  <c r="E18" i="11"/>
  <c r="E147" i="12"/>
  <c r="V12" i="11" s="1"/>
  <c r="W10" i="145"/>
  <c r="W14" i="145" s="1"/>
  <c r="K8" i="119"/>
  <c r="F205" i="13" s="1"/>
  <c r="P52" i="14" s="1"/>
  <c r="R52" i="14" s="1"/>
  <c r="T11" i="80"/>
  <c r="F101" i="13" s="1"/>
  <c r="E17" i="35"/>
  <c r="M11" i="120"/>
  <c r="F188" i="13"/>
  <c r="P48" i="14" s="1"/>
  <c r="R48" i="14" s="1"/>
  <c r="G16" i="12"/>
  <c r="E19" i="12"/>
  <c r="E11" i="11" s="1"/>
  <c r="G178" i="12"/>
  <c r="G236" i="12"/>
  <c r="E248" i="12"/>
  <c r="E45" i="11" s="1"/>
  <c r="G244" i="12"/>
  <c r="G247" i="12"/>
  <c r="S20" i="14"/>
  <c r="E205" i="8"/>
  <c r="D205" i="8" s="1"/>
  <c r="S22" i="14"/>
  <c r="M9" i="25"/>
  <c r="H130" i="105"/>
  <c r="H149" i="105"/>
  <c r="N28" i="32"/>
  <c r="F42" i="37"/>
  <c r="G17" i="44"/>
  <c r="F33" i="8"/>
  <c r="G33" i="8" s="1"/>
  <c r="D33" i="8" s="1"/>
  <c r="K13" i="44"/>
  <c r="D274" i="8"/>
  <c r="E43" i="8"/>
  <c r="G43" i="8" s="1"/>
  <c r="D43" i="8" s="1"/>
  <c r="K14" i="44"/>
  <c r="G45" i="8"/>
  <c r="D45" i="8" s="1"/>
  <c r="P12" i="75"/>
  <c r="P20" i="75"/>
  <c r="V15" i="89"/>
  <c r="H9" i="90"/>
  <c r="E119" i="13" s="1"/>
  <c r="G9" i="91"/>
  <c r="E123" i="13" s="1"/>
  <c r="F151" i="8"/>
  <c r="G4" i="113"/>
  <c r="O10" i="116"/>
  <c r="V14" i="141"/>
  <c r="S15" i="146"/>
  <c r="U15" i="146" s="1"/>
  <c r="W60" i="116"/>
  <c r="P25" i="75"/>
  <c r="D334" i="8"/>
  <c r="W10" i="109"/>
  <c r="D299" i="8" s="1"/>
  <c r="O11" i="120"/>
  <c r="F45" i="136"/>
  <c r="F44" i="136" s="1"/>
  <c r="U35" i="134"/>
  <c r="U36" i="134" s="1"/>
  <c r="AU37" i="134"/>
  <c r="AQ37" i="134"/>
  <c r="AM37" i="134"/>
  <c r="AI37" i="134"/>
  <c r="Z37" i="134"/>
  <c r="U37" i="134"/>
  <c r="G16" i="60"/>
  <c r="H10" i="60"/>
  <c r="H12" i="60"/>
  <c r="G12" i="60"/>
  <c r="G15" i="60"/>
  <c r="AP18" i="95"/>
  <c r="D188" i="8"/>
  <c r="G44" i="8"/>
  <c r="D44" i="8" s="1"/>
  <c r="T11" i="128"/>
  <c r="E62" i="8" s="1"/>
  <c r="G62" i="8" s="1"/>
  <c r="D62" i="8" s="1"/>
  <c r="M13" i="128"/>
  <c r="AG18" i="128"/>
  <c r="F11" i="141"/>
  <c r="Q22" i="90"/>
  <c r="P35" i="134"/>
  <c r="D444" i="8" s="1"/>
  <c r="D408" i="8"/>
  <c r="D425" i="8"/>
  <c r="G36" i="141"/>
  <c r="V35" i="141"/>
  <c r="D351" i="8"/>
  <c r="D14" i="37"/>
  <c r="AG45" i="162"/>
  <c r="AG37" i="162"/>
  <c r="AG29" i="162"/>
  <c r="AJ9" i="162"/>
  <c r="AG11" i="162"/>
  <c r="G36" i="8"/>
  <c r="D36" i="8" s="1"/>
  <c r="F152" i="8"/>
  <c r="G54" i="8"/>
  <c r="E144" i="8"/>
  <c r="F18" i="8"/>
  <c r="AA16" i="145"/>
  <c r="Z12" i="133"/>
  <c r="X32" i="135"/>
  <c r="D357" i="8"/>
  <c r="D400" i="8"/>
  <c r="AS37" i="134"/>
  <c r="AO37" i="134"/>
  <c r="AK37" i="134"/>
  <c r="AB37" i="134"/>
  <c r="AG43" i="162"/>
  <c r="AG35" i="162"/>
  <c r="E61" i="8"/>
  <c r="G61" i="8" s="1"/>
  <c r="D61" i="8" s="1"/>
  <c r="D397" i="8"/>
  <c r="D396" i="8"/>
  <c r="D407" i="8"/>
  <c r="F209" i="8"/>
  <c r="V35" i="134"/>
  <c r="V36" i="134" s="1"/>
  <c r="AG48" i="162"/>
  <c r="AG44" i="162"/>
  <c r="AG40" i="162"/>
  <c r="AG36" i="162"/>
  <c r="AG32" i="162"/>
  <c r="O11" i="38"/>
  <c r="F8" i="38"/>
  <c r="E67" i="13" s="1"/>
  <c r="H8" i="116"/>
  <c r="AU36" i="59"/>
  <c r="AU32" i="59"/>
  <c r="AU28" i="59"/>
  <c r="AU24" i="59"/>
  <c r="AU20" i="59"/>
  <c r="J13" i="117"/>
  <c r="BB13" i="117" s="1"/>
  <c r="D426" i="8"/>
  <c r="D337" i="8"/>
  <c r="D139" i="8"/>
  <c r="AH9" i="162"/>
  <c r="D348" i="8" s="1"/>
  <c r="AF9" i="162"/>
  <c r="D349" i="8" s="1"/>
  <c r="AG46" i="162"/>
  <c r="AG42" i="162"/>
  <c r="AG38" i="162"/>
  <c r="AG34" i="162"/>
  <c r="AG30" i="162"/>
  <c r="AG26" i="162"/>
  <c r="E28" i="8"/>
  <c r="D28" i="8" s="1"/>
  <c r="E155" i="8"/>
  <c r="G155" i="8" s="1"/>
  <c r="D155" i="8" s="1"/>
  <c r="F91" i="13"/>
  <c r="P36" i="14" s="1"/>
  <c r="R36" i="14" s="1"/>
  <c r="P33" i="14"/>
  <c r="O33" i="14"/>
  <c r="AI9" i="162"/>
  <c r="AG18" i="162"/>
  <c r="AG14" i="162"/>
  <c r="O9" i="162"/>
  <c r="E27" i="8"/>
  <c r="D27" i="8" s="1"/>
  <c r="E154" i="8"/>
  <c r="G154" i="8" s="1"/>
  <c r="D154" i="8" s="1"/>
  <c r="E25" i="8"/>
  <c r="D25" i="8" s="1"/>
  <c r="E149" i="8"/>
  <c r="E152" i="8"/>
  <c r="AK9" i="162"/>
  <c r="L9" i="162"/>
  <c r="AU35" i="59"/>
  <c r="AU31" i="59"/>
  <c r="AU27" i="59"/>
  <c r="AU23" i="59"/>
  <c r="AU19" i="59"/>
  <c r="J12" i="117"/>
  <c r="BB12" i="117" s="1"/>
  <c r="AU38" i="59"/>
  <c r="AU34" i="59"/>
  <c r="AU30" i="59"/>
  <c r="AU26" i="59"/>
  <c r="AU22" i="59"/>
  <c r="AU18" i="59"/>
  <c r="D215" i="8"/>
  <c r="AP20" i="95"/>
  <c r="G56" i="8"/>
  <c r="AU37" i="59"/>
  <c r="AU33" i="59"/>
  <c r="AU29" i="59"/>
  <c r="AU25" i="59"/>
  <c r="AU21" i="59"/>
  <c r="AU17" i="59"/>
  <c r="D214" i="8"/>
  <c r="AP28" i="95"/>
  <c r="AP36" i="95"/>
  <c r="F168" i="13"/>
  <c r="AG52" i="162"/>
  <c r="AG55" i="162"/>
  <c r="AP40" i="95"/>
  <c r="G58" i="8"/>
  <c r="AG51" i="162"/>
  <c r="AG56" i="162"/>
  <c r="T13" i="128"/>
  <c r="E64" i="8" s="1"/>
  <c r="G64" i="8" s="1"/>
  <c r="D64" i="8" s="1"/>
  <c r="G57" i="8"/>
  <c r="G53" i="8"/>
  <c r="G31" i="8"/>
  <c r="D31" i="8" s="1"/>
  <c r="AP41" i="95"/>
  <c r="D142" i="8"/>
  <c r="G120" i="8"/>
  <c r="D120" i="8" s="1"/>
  <c r="T12" i="128"/>
  <c r="G50" i="8"/>
  <c r="D50" i="8" s="1"/>
  <c r="G66" i="8"/>
  <c r="D66" i="8" s="1"/>
  <c r="D402" i="8"/>
  <c r="D417" i="8"/>
  <c r="M16" i="42"/>
  <c r="L10" i="43"/>
  <c r="AA32" i="141"/>
  <c r="AF32" i="141" s="1"/>
  <c r="AA41" i="141"/>
  <c r="AF41" i="141" s="1"/>
  <c r="AA38" i="141"/>
  <c r="AA36" i="141"/>
  <c r="AA34" i="141"/>
  <c r="AF34" i="141" s="1"/>
  <c r="AA33" i="141"/>
  <c r="AA31" i="141"/>
  <c r="AA42" i="141"/>
  <c r="AF42" i="141" s="1"/>
  <c r="AA37" i="141"/>
  <c r="AF37" i="141" s="1"/>
  <c r="AA35" i="141"/>
  <c r="G157" i="105"/>
  <c r="G129" i="105"/>
  <c r="E128" i="105"/>
  <c r="F128" i="105"/>
  <c r="AR22" i="59"/>
  <c r="AR14" i="59"/>
  <c r="AR32" i="59"/>
  <c r="AR28" i="59"/>
  <c r="AR16" i="59"/>
  <c r="AR24" i="59"/>
  <c r="AR12" i="59"/>
  <c r="M35" i="134"/>
  <c r="D404" i="8" s="1"/>
  <c r="AR30" i="59"/>
  <c r="AR20" i="59"/>
  <c r="A17" i="142"/>
  <c r="A15" i="142"/>
  <c r="A13" i="142"/>
  <c r="AR38" i="59"/>
  <c r="AR34" i="59"/>
  <c r="AR26" i="59"/>
  <c r="AR18" i="59"/>
  <c r="AR10" i="59"/>
  <c r="R66" i="14"/>
  <c r="I8" i="140"/>
  <c r="D405" i="8" s="1"/>
  <c r="R26" i="14"/>
  <c r="X9" i="91"/>
  <c r="R60" i="14"/>
  <c r="AP33" i="95"/>
  <c r="AP37" i="95"/>
  <c r="R35" i="14"/>
  <c r="R61" i="14"/>
  <c r="V9" i="92"/>
  <c r="Y8" i="89"/>
  <c r="W37" i="134"/>
  <c r="AR37" i="59"/>
  <c r="AR35" i="59"/>
  <c r="AR33" i="59"/>
  <c r="AR31" i="59"/>
  <c r="AR29" i="59"/>
  <c r="AR27" i="59"/>
  <c r="AR25" i="59"/>
  <c r="AR23" i="59"/>
  <c r="AR21" i="59"/>
  <c r="AR19" i="59"/>
  <c r="AR17" i="59"/>
  <c r="AR15" i="59"/>
  <c r="AR13" i="59"/>
  <c r="AR11" i="59"/>
  <c r="U9" i="92"/>
  <c r="Z8" i="89"/>
  <c r="Y9" i="91"/>
  <c r="T13" i="90"/>
  <c r="S37" i="134"/>
  <c r="BE35" i="134"/>
  <c r="BE36" i="134" s="1"/>
  <c r="BC35" i="134"/>
  <c r="BC36" i="134" s="1"/>
  <c r="BA35" i="134"/>
  <c r="BA36" i="134" s="1"/>
  <c r="AY35" i="134"/>
  <c r="AY36" i="134" s="1"/>
  <c r="AW35" i="134"/>
  <c r="AW36" i="134" s="1"/>
  <c r="AU35" i="134"/>
  <c r="AU36" i="134" s="1"/>
  <c r="AS35" i="134"/>
  <c r="AS36" i="134" s="1"/>
  <c r="AQ35" i="134"/>
  <c r="AQ36" i="134" s="1"/>
  <c r="AO35" i="134"/>
  <c r="AO36" i="134" s="1"/>
  <c r="AM35" i="134"/>
  <c r="AM36" i="134" s="1"/>
  <c r="AK35" i="134"/>
  <c r="AK36" i="134" s="1"/>
  <c r="AI35" i="134"/>
  <c r="AI36" i="134" s="1"/>
  <c r="AB35" i="134"/>
  <c r="AB36" i="134" s="1"/>
  <c r="Z35" i="134"/>
  <c r="Z36" i="134" s="1"/>
  <c r="W35" i="134"/>
  <c r="W36" i="134" s="1"/>
  <c r="BC37" i="134"/>
  <c r="AY37" i="134"/>
  <c r="BQ35" i="134"/>
  <c r="BQ36" i="134" s="1"/>
  <c r="BQ37" i="134"/>
  <c r="BD35" i="134"/>
  <c r="BD36" i="134" s="1"/>
  <c r="BD37" i="134"/>
  <c r="BB35" i="134"/>
  <c r="BB36" i="134" s="1"/>
  <c r="BB37" i="134"/>
  <c r="AZ35" i="134"/>
  <c r="AZ36" i="134" s="1"/>
  <c r="AZ37" i="134"/>
  <c r="AX35" i="134"/>
  <c r="AX36" i="134" s="1"/>
  <c r="AX37" i="134"/>
  <c r="AV35" i="134"/>
  <c r="AV36" i="134" s="1"/>
  <c r="AT35" i="134"/>
  <c r="AT36" i="134" s="1"/>
  <c r="AR35" i="134"/>
  <c r="AR36" i="134" s="1"/>
  <c r="AR37" i="134"/>
  <c r="AP35" i="134"/>
  <c r="AP36" i="134" s="1"/>
  <c r="AP37" i="134"/>
  <c r="AN35" i="134"/>
  <c r="AN36" i="134" s="1"/>
  <c r="AN37" i="134"/>
  <c r="AL35" i="134"/>
  <c r="AL36" i="134" s="1"/>
  <c r="AL37" i="134"/>
  <c r="AJ35" i="134"/>
  <c r="AJ36" i="134" s="1"/>
  <c r="AJ37" i="134"/>
  <c r="AH35" i="134"/>
  <c r="AH36" i="134" s="1"/>
  <c r="AA35" i="134"/>
  <c r="AA36" i="134" s="1"/>
  <c r="AA37" i="134"/>
  <c r="X35" i="134"/>
  <c r="X36" i="134" s="1"/>
  <c r="X37" i="134"/>
  <c r="V37" i="134"/>
  <c r="P10" i="42"/>
  <c r="D435" i="8" s="1"/>
  <c r="BL6" i="95" l="1"/>
  <c r="U8" i="89"/>
  <c r="D482" i="8" s="1"/>
  <c r="E177" i="105"/>
  <c r="I533" i="8"/>
  <c r="AS45" i="116"/>
  <c r="R18" i="9"/>
  <c r="AF35" i="141"/>
  <c r="L70" i="9"/>
  <c r="O70" i="9" s="1"/>
  <c r="L14" i="9"/>
  <c r="O14" i="9" s="1"/>
  <c r="AE26" i="141"/>
  <c r="E118" i="13"/>
  <c r="R15" i="95"/>
  <c r="T15" i="95"/>
  <c r="Q16" i="95"/>
  <c r="S16" i="95"/>
  <c r="U16" i="95"/>
  <c r="Q15" i="95"/>
  <c r="S15" i="95"/>
  <c r="U15" i="95"/>
  <c r="R16" i="95"/>
  <c r="T16" i="95"/>
  <c r="Q80" i="9"/>
  <c r="E64" i="9" s="1"/>
  <c r="K64" i="9" s="1"/>
  <c r="N64" i="9" s="1"/>
  <c r="V27" i="9"/>
  <c r="AO45" i="116"/>
  <c r="F210" i="8" s="1"/>
  <c r="AR45" i="116"/>
  <c r="AL45" i="116"/>
  <c r="AL4" i="116" s="1"/>
  <c r="AK45" i="116"/>
  <c r="AK4" i="116" s="1"/>
  <c r="AJ45" i="116"/>
  <c r="AJ4" i="116" s="1"/>
  <c r="U10" i="116"/>
  <c r="V48" i="9" s="1"/>
  <c r="G533" i="8"/>
  <c r="F64" i="9"/>
  <c r="L45" i="136"/>
  <c r="X9" i="87"/>
  <c r="D514" i="8" s="1"/>
  <c r="AG7" i="141"/>
  <c r="H16" i="10"/>
  <c r="I16" i="10"/>
  <c r="Z9" i="85"/>
  <c r="V13" i="90"/>
  <c r="D369" i="8" s="1"/>
  <c r="N35" i="134"/>
  <c r="AA10" i="142"/>
  <c r="V9" i="143"/>
  <c r="D318" i="8" s="1"/>
  <c r="W8" i="141"/>
  <c r="D306" i="8" s="1"/>
  <c r="AK49" i="141"/>
  <c r="E18" i="10"/>
  <c r="H18" i="10" s="1"/>
  <c r="F43" i="136"/>
  <c r="AF33" i="141"/>
  <c r="K31" i="135"/>
  <c r="R48" i="95"/>
  <c r="T48" i="95"/>
  <c r="W48" i="95"/>
  <c r="Q48" i="95"/>
  <c r="S48" i="95"/>
  <c r="U48" i="95"/>
  <c r="AR17" i="60"/>
  <c r="AO17" i="60"/>
  <c r="AR13" i="60"/>
  <c r="AO13" i="60"/>
  <c r="AR10" i="60"/>
  <c r="AO10" i="60"/>
  <c r="AO28" i="60"/>
  <c r="AO30" i="60"/>
  <c r="AO31" i="60"/>
  <c r="AO32" i="60"/>
  <c r="AO29" i="60"/>
  <c r="AO33" i="60"/>
  <c r="AO34" i="60"/>
  <c r="AO25" i="60"/>
  <c r="AO26" i="60"/>
  <c r="AO22" i="60"/>
  <c r="AO23" i="60"/>
  <c r="AO24" i="60"/>
  <c r="AO27" i="60"/>
  <c r="AO21" i="60"/>
  <c r="AO19" i="60"/>
  <c r="AO20" i="60"/>
  <c r="AO18" i="60"/>
  <c r="AR14" i="60"/>
  <c r="AO14" i="60"/>
  <c r="AR15" i="60"/>
  <c r="AO15" i="60"/>
  <c r="AR11" i="60"/>
  <c r="AO11" i="60"/>
  <c r="AR16" i="60"/>
  <c r="AO16" i="60"/>
  <c r="AR12" i="60"/>
  <c r="AO12" i="60"/>
  <c r="A17" i="60"/>
  <c r="A13" i="60"/>
  <c r="A14" i="60"/>
  <c r="A15" i="60"/>
  <c r="A11" i="60"/>
  <c r="A16" i="60"/>
  <c r="A12" i="60"/>
  <c r="C113" i="5"/>
  <c r="C114" i="5" s="1"/>
  <c r="B4" i="3" s="1"/>
  <c r="AS60" i="116"/>
  <c r="AX13" i="117"/>
  <c r="AZ13" i="117"/>
  <c r="AY13" i="117"/>
  <c r="AY14" i="117"/>
  <c r="AX14" i="117"/>
  <c r="AZ14" i="117"/>
  <c r="AY16" i="117"/>
  <c r="AX16" i="117"/>
  <c r="AZ16" i="117"/>
  <c r="AY20" i="117"/>
  <c r="AX20" i="117"/>
  <c r="AZ20" i="117"/>
  <c r="AY22" i="117"/>
  <c r="AX22" i="117"/>
  <c r="AZ22" i="117"/>
  <c r="AY12" i="117"/>
  <c r="AZ12" i="117"/>
  <c r="AX12" i="117"/>
  <c r="AX15" i="117"/>
  <c r="AZ15" i="117"/>
  <c r="AY15" i="117"/>
  <c r="AX17" i="117"/>
  <c r="AZ17" i="117"/>
  <c r="AY17" i="117"/>
  <c r="AX19" i="117"/>
  <c r="AZ19" i="117"/>
  <c r="AY19" i="117"/>
  <c r="AX21" i="117"/>
  <c r="AZ21" i="117"/>
  <c r="AY21" i="117"/>
  <c r="AX23" i="117"/>
  <c r="AZ23" i="117"/>
  <c r="AY23" i="117"/>
  <c r="AY18" i="117"/>
  <c r="AX18" i="117"/>
  <c r="AZ18" i="117"/>
  <c r="O11" i="14"/>
  <c r="V9" i="87"/>
  <c r="D463" i="8" s="1"/>
  <c r="N18" i="16"/>
  <c r="P10" i="14"/>
  <c r="R10" i="14" s="1"/>
  <c r="AI13" i="117"/>
  <c r="BA13" i="117"/>
  <c r="AI12" i="117"/>
  <c r="BA12" i="117"/>
  <c r="AI15" i="117"/>
  <c r="BA15" i="117"/>
  <c r="AI17" i="117"/>
  <c r="BA17" i="117"/>
  <c r="AI19" i="117"/>
  <c r="BA19" i="117"/>
  <c r="AI21" i="117"/>
  <c r="BA21" i="117"/>
  <c r="AI23" i="117"/>
  <c r="BA23" i="117"/>
  <c r="AI14" i="117"/>
  <c r="BA14" i="117"/>
  <c r="AI16" i="117"/>
  <c r="BA16" i="117"/>
  <c r="AI18" i="117"/>
  <c r="BA18" i="117"/>
  <c r="AI20" i="117"/>
  <c r="BA20" i="117"/>
  <c r="AI22" i="117"/>
  <c r="BA22" i="117"/>
  <c r="X9" i="85"/>
  <c r="D464" i="8" s="1"/>
  <c r="I24" i="10"/>
  <c r="D10" i="124"/>
  <c r="AR60" i="116"/>
  <c r="F18" i="9"/>
  <c r="L18" i="9" s="1"/>
  <c r="O18" i="9" s="1"/>
  <c r="F7" i="9"/>
  <c r="A10" i="60"/>
  <c r="R17" i="95"/>
  <c r="T17" i="95"/>
  <c r="R18" i="95"/>
  <c r="T18" i="95"/>
  <c r="R19" i="95"/>
  <c r="T19" i="95"/>
  <c r="R20" i="95"/>
  <c r="T20" i="95"/>
  <c r="R21" i="95"/>
  <c r="T21" i="95"/>
  <c r="R22" i="95"/>
  <c r="T22" i="95"/>
  <c r="R23" i="95"/>
  <c r="T23" i="95"/>
  <c r="R24" i="95"/>
  <c r="T24" i="95"/>
  <c r="R25" i="95"/>
  <c r="T25" i="95"/>
  <c r="R26" i="95"/>
  <c r="T26" i="95"/>
  <c r="R27" i="95"/>
  <c r="T27" i="95"/>
  <c r="R28" i="95"/>
  <c r="T28" i="95"/>
  <c r="R29" i="95"/>
  <c r="T29" i="95"/>
  <c r="R30" i="95"/>
  <c r="T30" i="95"/>
  <c r="R31" i="95"/>
  <c r="T31" i="95"/>
  <c r="R32" i="95"/>
  <c r="T32" i="95"/>
  <c r="R33" i="95"/>
  <c r="T33" i="95"/>
  <c r="R34" i="95"/>
  <c r="T34" i="95"/>
  <c r="R35" i="95"/>
  <c r="T35" i="95"/>
  <c r="R36" i="95"/>
  <c r="T36" i="95"/>
  <c r="R37" i="95"/>
  <c r="T37" i="95"/>
  <c r="R38" i="95"/>
  <c r="T38" i="95"/>
  <c r="R39" i="95"/>
  <c r="T39" i="95"/>
  <c r="R40" i="95"/>
  <c r="T40" i="95"/>
  <c r="R41" i="95"/>
  <c r="T41" i="95"/>
  <c r="R42" i="95"/>
  <c r="T42" i="95"/>
  <c r="R43" i="95"/>
  <c r="T43" i="95"/>
  <c r="R44" i="95"/>
  <c r="T44" i="95"/>
  <c r="R45" i="95"/>
  <c r="T45" i="95"/>
  <c r="R46" i="95"/>
  <c r="T46" i="95"/>
  <c r="R47" i="95"/>
  <c r="T47" i="95"/>
  <c r="S17" i="95"/>
  <c r="U17" i="95"/>
  <c r="S18" i="95"/>
  <c r="U18" i="95"/>
  <c r="S19" i="95"/>
  <c r="U19" i="95"/>
  <c r="S20" i="95"/>
  <c r="U20" i="95"/>
  <c r="S21" i="95"/>
  <c r="U21" i="95"/>
  <c r="S22" i="95"/>
  <c r="U22" i="95"/>
  <c r="S23" i="95"/>
  <c r="U23" i="95"/>
  <c r="S24" i="95"/>
  <c r="U24" i="95"/>
  <c r="S25" i="95"/>
  <c r="U25" i="95"/>
  <c r="S26" i="95"/>
  <c r="U26" i="95"/>
  <c r="S27" i="95"/>
  <c r="U27" i="95"/>
  <c r="S28" i="95"/>
  <c r="U28" i="95"/>
  <c r="S29" i="95"/>
  <c r="U29" i="95"/>
  <c r="S30" i="95"/>
  <c r="U30" i="95"/>
  <c r="S31" i="95"/>
  <c r="U31" i="95"/>
  <c r="S32" i="95"/>
  <c r="U32" i="95"/>
  <c r="S33" i="95"/>
  <c r="U33" i="95"/>
  <c r="S34" i="95"/>
  <c r="U34" i="95"/>
  <c r="S35" i="95"/>
  <c r="U35" i="95"/>
  <c r="S36" i="95"/>
  <c r="U36" i="95"/>
  <c r="S37" i="95"/>
  <c r="U37" i="95"/>
  <c r="S38" i="95"/>
  <c r="U38" i="95"/>
  <c r="S39" i="95"/>
  <c r="U39" i="95"/>
  <c r="S40" i="95"/>
  <c r="U40" i="95"/>
  <c r="S41" i="95"/>
  <c r="U41" i="95"/>
  <c r="S42" i="95"/>
  <c r="U42" i="95"/>
  <c r="S43" i="95"/>
  <c r="U43" i="95"/>
  <c r="S44" i="95"/>
  <c r="U44" i="95"/>
  <c r="S45" i="95"/>
  <c r="U45" i="95"/>
  <c r="S46" i="95"/>
  <c r="U46" i="95"/>
  <c r="S47" i="95"/>
  <c r="U47" i="95"/>
  <c r="F33" i="13"/>
  <c r="E27" i="13"/>
  <c r="O9" i="14" s="1"/>
  <c r="E22" i="13"/>
  <c r="O8" i="14" s="1"/>
  <c r="M20" i="16"/>
  <c r="AH37" i="134"/>
  <c r="F27" i="9"/>
  <c r="L27" i="9" s="1"/>
  <c r="O27" i="9" s="1"/>
  <c r="AC36" i="134"/>
  <c r="T36" i="134" s="1"/>
  <c r="O31" i="14"/>
  <c r="E26" i="16"/>
  <c r="H26" i="16" s="1"/>
  <c r="AC9" i="58"/>
  <c r="N13" i="16"/>
  <c r="R13" i="16" s="1"/>
  <c r="AB9" i="58"/>
  <c r="N12" i="16"/>
  <c r="R12" i="16" s="1"/>
  <c r="AD9" i="58"/>
  <c r="N14" i="16"/>
  <c r="R14" i="16" s="1"/>
  <c r="O27" i="14"/>
  <c r="E23" i="16"/>
  <c r="H23" i="16" s="1"/>
  <c r="Z9" i="58"/>
  <c r="M24" i="16"/>
  <c r="P24" i="16" s="1"/>
  <c r="F10" i="141"/>
  <c r="F58" i="9" s="1"/>
  <c r="L58" i="9" s="1"/>
  <c r="O58" i="9" s="1"/>
  <c r="D10" i="141"/>
  <c r="E245" i="13" s="1"/>
  <c r="AH7" i="141"/>
  <c r="D308" i="8" s="1"/>
  <c r="E47" i="12"/>
  <c r="D307" i="8"/>
  <c r="BV6" i="95"/>
  <c r="D475" i="8" s="1"/>
  <c r="A15" i="100"/>
  <c r="A17" i="100"/>
  <c r="A14" i="100"/>
  <c r="A19" i="100"/>
  <c r="AK10" i="141"/>
  <c r="AK11" i="141"/>
  <c r="A13" i="100"/>
  <c r="A18" i="100"/>
  <c r="AL10" i="141"/>
  <c r="AL11" i="141"/>
  <c r="A20" i="100"/>
  <c r="AO10" i="141"/>
  <c r="AO11" i="141"/>
  <c r="A16" i="100"/>
  <c r="AM10" i="141"/>
  <c r="AM11" i="141"/>
  <c r="AN10" i="141"/>
  <c r="AN11" i="141"/>
  <c r="A21" i="100"/>
  <c r="L39" i="9"/>
  <c r="O39" i="9" s="1"/>
  <c r="M29" i="160"/>
  <c r="AO13" i="117"/>
  <c r="AS13" i="117" s="1"/>
  <c r="AQ13" i="117"/>
  <c r="AU13" i="117" s="1"/>
  <c r="AN13" i="117"/>
  <c r="AR13" i="117" s="1"/>
  <c r="AP13" i="117"/>
  <c r="AT13" i="117" s="1"/>
  <c r="AP12" i="117"/>
  <c r="AT12" i="117" s="1"/>
  <c r="AN12" i="117"/>
  <c r="AR12" i="117" s="1"/>
  <c r="AQ12" i="117"/>
  <c r="AU12" i="117" s="1"/>
  <c r="AO12" i="117"/>
  <c r="AS12" i="117" s="1"/>
  <c r="AO14" i="117"/>
  <c r="AS14" i="117" s="1"/>
  <c r="AQ14" i="117"/>
  <c r="AU14" i="117" s="1"/>
  <c r="AN14" i="117"/>
  <c r="AR14" i="117" s="1"/>
  <c r="AP14" i="117"/>
  <c r="AT14" i="117" s="1"/>
  <c r="AO15" i="117"/>
  <c r="AS15" i="117" s="1"/>
  <c r="AQ15" i="117"/>
  <c r="AU15" i="117" s="1"/>
  <c r="AN15" i="117"/>
  <c r="AR15" i="117" s="1"/>
  <c r="AP15" i="117"/>
  <c r="AT15" i="117" s="1"/>
  <c r="AO16" i="117"/>
  <c r="AS16" i="117" s="1"/>
  <c r="AQ16" i="117"/>
  <c r="AU16" i="117" s="1"/>
  <c r="AN16" i="117"/>
  <c r="AR16" i="117" s="1"/>
  <c r="AP16" i="117"/>
  <c r="AT16" i="117" s="1"/>
  <c r="AO17" i="117"/>
  <c r="AS17" i="117" s="1"/>
  <c r="AQ17" i="117"/>
  <c r="AU17" i="117" s="1"/>
  <c r="AN17" i="117"/>
  <c r="AR17" i="117" s="1"/>
  <c r="AP17" i="117"/>
  <c r="AT17" i="117" s="1"/>
  <c r="AO18" i="117"/>
  <c r="AS18" i="117" s="1"/>
  <c r="AQ18" i="117"/>
  <c r="AU18" i="117" s="1"/>
  <c r="AN18" i="117"/>
  <c r="AR18" i="117" s="1"/>
  <c r="AP18" i="117"/>
  <c r="AT18" i="117" s="1"/>
  <c r="AO19" i="117"/>
  <c r="AS19" i="117" s="1"/>
  <c r="AQ19" i="117"/>
  <c r="AU19" i="117" s="1"/>
  <c r="AN19" i="117"/>
  <c r="AR19" i="117" s="1"/>
  <c r="AP19" i="117"/>
  <c r="AT19" i="117" s="1"/>
  <c r="AO20" i="117"/>
  <c r="AS20" i="117" s="1"/>
  <c r="AQ20" i="117"/>
  <c r="AU20" i="117" s="1"/>
  <c r="AN20" i="117"/>
  <c r="AR20" i="117" s="1"/>
  <c r="AP20" i="117"/>
  <c r="AT20" i="117" s="1"/>
  <c r="AO21" i="117"/>
  <c r="AS21" i="117" s="1"/>
  <c r="AQ21" i="117"/>
  <c r="AU21" i="117" s="1"/>
  <c r="AN21" i="117"/>
  <c r="AR21" i="117" s="1"/>
  <c r="AP21" i="117"/>
  <c r="AT21" i="117" s="1"/>
  <c r="AO22" i="117"/>
  <c r="AS22" i="117" s="1"/>
  <c r="AQ22" i="117"/>
  <c r="AU22" i="117" s="1"/>
  <c r="AN22" i="117"/>
  <c r="AR22" i="117" s="1"/>
  <c r="AP22" i="117"/>
  <c r="AT22" i="117" s="1"/>
  <c r="AO23" i="117"/>
  <c r="AS23" i="117" s="1"/>
  <c r="AQ23" i="117"/>
  <c r="AU23" i="117" s="1"/>
  <c r="AN23" i="117"/>
  <c r="AR23" i="117" s="1"/>
  <c r="AP23" i="117"/>
  <c r="AT23" i="117" s="1"/>
  <c r="K3" i="43"/>
  <c r="O18" i="43" s="1"/>
  <c r="H23" i="10"/>
  <c r="E22" i="10"/>
  <c r="K240" i="12"/>
  <c r="AF38" i="141"/>
  <c r="BA37" i="134"/>
  <c r="AV37" i="134"/>
  <c r="AW37" i="134"/>
  <c r="T10" i="82"/>
  <c r="F108" i="13" s="1"/>
  <c r="F104" i="13" s="1"/>
  <c r="P39" i="14" s="1"/>
  <c r="R39" i="14" s="1"/>
  <c r="V12" i="82"/>
  <c r="V10" i="82" s="1"/>
  <c r="E247" i="13"/>
  <c r="Y9" i="82"/>
  <c r="D493" i="8" s="1"/>
  <c r="R9" i="81"/>
  <c r="D492" i="8" s="1"/>
  <c r="D491" i="8" s="1"/>
  <c r="T9" i="83"/>
  <c r="D494" i="8" s="1"/>
  <c r="D164" i="8"/>
  <c r="AG14" i="117"/>
  <c r="AG18" i="117"/>
  <c r="AG22" i="117"/>
  <c r="AG17" i="117"/>
  <c r="AG21" i="117"/>
  <c r="AG15" i="117"/>
  <c r="AG19" i="117"/>
  <c r="AG23" i="117"/>
  <c r="AG13" i="117"/>
  <c r="AG16" i="117"/>
  <c r="AG20" i="117"/>
  <c r="T27" i="75"/>
  <c r="W27" i="75" s="1"/>
  <c r="U27" i="75"/>
  <c r="X27" i="75" s="1"/>
  <c r="V27" i="75"/>
  <c r="AC27" i="75" s="1"/>
  <c r="AM27" i="75" s="1"/>
  <c r="AA8" i="28"/>
  <c r="D454" i="8" s="1"/>
  <c r="AX10" i="60"/>
  <c r="AX17" i="60"/>
  <c r="AX12" i="60"/>
  <c r="AX13" i="60"/>
  <c r="AX14" i="60"/>
  <c r="AX11" i="60"/>
  <c r="AX16" i="60"/>
  <c r="AX15" i="60"/>
  <c r="N9" i="141"/>
  <c r="V11" i="80"/>
  <c r="F102" i="13" s="1"/>
  <c r="E37" i="9" s="1"/>
  <c r="K37" i="9" s="1"/>
  <c r="N37" i="9" s="1"/>
  <c r="G244" i="8"/>
  <c r="D244" i="8" s="1"/>
  <c r="I4" i="142"/>
  <c r="D333" i="8" s="1"/>
  <c r="AG12" i="117"/>
  <c r="E58" i="9"/>
  <c r="K58" i="9" s="1"/>
  <c r="N58" i="9" s="1"/>
  <c r="K9" i="141"/>
  <c r="AN9" i="141" s="1"/>
  <c r="AF36" i="141"/>
  <c r="AF31" i="141"/>
  <c r="D409" i="8"/>
  <c r="H9" i="141"/>
  <c r="AK9" i="141" s="1"/>
  <c r="R9" i="141"/>
  <c r="F9" i="141"/>
  <c r="M9" i="141"/>
  <c r="P20" i="14"/>
  <c r="R20" i="14" s="1"/>
  <c r="X9" i="58"/>
  <c r="P31" i="14"/>
  <c r="AA9" i="58"/>
  <c r="F96" i="8"/>
  <c r="T12" i="126"/>
  <c r="L9" i="141"/>
  <c r="D9" i="141"/>
  <c r="O9" i="141"/>
  <c r="E242" i="8"/>
  <c r="D242" i="8" s="1"/>
  <c r="L4" i="25"/>
  <c r="D455" i="8" s="1"/>
  <c r="E241" i="8"/>
  <c r="D241" i="8" s="1"/>
  <c r="A47" i="95"/>
  <c r="W47" i="95"/>
  <c r="A46" i="95"/>
  <c r="W46" i="95"/>
  <c r="Q47" i="95"/>
  <c r="Q46" i="95"/>
  <c r="E65" i="9"/>
  <c r="AF9" i="80"/>
  <c r="D191" i="8" s="1"/>
  <c r="BE37" i="134"/>
  <c r="AT37" i="134"/>
  <c r="D157" i="8"/>
  <c r="O13" i="14"/>
  <c r="D371" i="8"/>
  <c r="A14" i="75"/>
  <c r="A13" i="75"/>
  <c r="A45" i="95"/>
  <c r="Q44" i="95"/>
  <c r="Q45" i="95"/>
  <c r="A44" i="95"/>
  <c r="W45" i="95"/>
  <c r="W44" i="95"/>
  <c r="A18" i="75"/>
  <c r="D174" i="8"/>
  <c r="BD8" i="162"/>
  <c r="E38" i="9"/>
  <c r="E17" i="8" s="1"/>
  <c r="AP10" i="60"/>
  <c r="AP17" i="60"/>
  <c r="AP13" i="60"/>
  <c r="AP16" i="60"/>
  <c r="AP12" i="60"/>
  <c r="AP15" i="60"/>
  <c r="AP11" i="60"/>
  <c r="AP14" i="60"/>
  <c r="A21" i="75"/>
  <c r="A19" i="87"/>
  <c r="A25" i="75"/>
  <c r="A24" i="75"/>
  <c r="A15" i="75"/>
  <c r="A19" i="75"/>
  <c r="A23" i="75"/>
  <c r="A22" i="75"/>
  <c r="W16" i="95"/>
  <c r="W18" i="95"/>
  <c r="W22" i="95"/>
  <c r="W26" i="95"/>
  <c r="W30" i="95"/>
  <c r="W34" i="95"/>
  <c r="W38" i="95"/>
  <c r="W42" i="95"/>
  <c r="W19" i="95"/>
  <c r="W23" i="95"/>
  <c r="W27" i="95"/>
  <c r="W31" i="95"/>
  <c r="W35" i="95"/>
  <c r="W39" i="95"/>
  <c r="W43" i="95"/>
  <c r="W20" i="95"/>
  <c r="W24" i="95"/>
  <c r="W28" i="95"/>
  <c r="W32" i="95"/>
  <c r="W36" i="95"/>
  <c r="W40" i="95"/>
  <c r="W15" i="95"/>
  <c r="W17" i="95"/>
  <c r="W21" i="95"/>
  <c r="W25" i="95"/>
  <c r="W29" i="95"/>
  <c r="W33" i="95"/>
  <c r="W37" i="95"/>
  <c r="W41" i="95"/>
  <c r="AP6" i="95"/>
  <c r="A17" i="85"/>
  <c r="A20" i="75"/>
  <c r="A12" i="75"/>
  <c r="A26" i="75"/>
  <c r="A16" i="75"/>
  <c r="A17" i="75"/>
  <c r="A18" i="87"/>
  <c r="A16" i="85"/>
  <c r="Q17" i="95"/>
  <c r="Q18" i="95"/>
  <c r="A11" i="87"/>
  <c r="A11" i="85"/>
  <c r="A13" i="85"/>
  <c r="A15" i="95"/>
  <c r="A17" i="95"/>
  <c r="A18" i="95"/>
  <c r="A16" i="95"/>
  <c r="V18" i="116"/>
  <c r="V17" i="116"/>
  <c r="A10" i="87"/>
  <c r="A12" i="87"/>
  <c r="A14" i="87"/>
  <c r="A13" i="87"/>
  <c r="A17" i="87"/>
  <c r="A12" i="85"/>
  <c r="A15" i="87"/>
  <c r="A16" i="87"/>
  <c r="A14" i="85"/>
  <c r="A15" i="85"/>
  <c r="A10" i="85"/>
  <c r="P14" i="14"/>
  <c r="R14" i="14" s="1"/>
  <c r="A24" i="95"/>
  <c r="A20" i="95"/>
  <c r="A35" i="95"/>
  <c r="A40" i="95"/>
  <c r="A43" i="95"/>
  <c r="A23" i="95"/>
  <c r="A28" i="95"/>
  <c r="A39" i="95"/>
  <c r="A27" i="95"/>
  <c r="A36" i="95"/>
  <c r="Q19" i="95"/>
  <c r="A31" i="95"/>
  <c r="A32" i="95"/>
  <c r="Q33" i="95"/>
  <c r="Q34" i="95"/>
  <c r="A19" i="95"/>
  <c r="Q31" i="95"/>
  <c r="Q32" i="95"/>
  <c r="A33" i="95"/>
  <c r="A34" i="95"/>
  <c r="Z9" i="91"/>
  <c r="D170" i="8" s="1"/>
  <c r="A41" i="95"/>
  <c r="A37" i="95"/>
  <c r="A29" i="95"/>
  <c r="A25" i="95"/>
  <c r="A21" i="95"/>
  <c r="A42" i="95"/>
  <c r="A38" i="95"/>
  <c r="A30" i="95"/>
  <c r="A26" i="95"/>
  <c r="A22" i="95"/>
  <c r="AC8" i="89"/>
  <c r="D168" i="8" s="1"/>
  <c r="AQ4" i="116"/>
  <c r="D395" i="8" s="1"/>
  <c r="BB8" i="162"/>
  <c r="AX8" i="162"/>
  <c r="AZ8" i="162"/>
  <c r="A15" i="117"/>
  <c r="A17" i="117"/>
  <c r="A19" i="117"/>
  <c r="A21" i="117"/>
  <c r="A23" i="117"/>
  <c r="A14" i="117"/>
  <c r="A16" i="117"/>
  <c r="A18" i="117"/>
  <c r="A20" i="117"/>
  <c r="A22" i="117"/>
  <c r="F68" i="9"/>
  <c r="L68" i="9" s="1"/>
  <c r="O68" i="9" s="1"/>
  <c r="E68" i="9"/>
  <c r="K68" i="9" s="1"/>
  <c r="N68" i="9" s="1"/>
  <c r="D67" i="8"/>
  <c r="A15" i="99"/>
  <c r="A17" i="99"/>
  <c r="A18" i="99"/>
  <c r="A14" i="99"/>
  <c r="A19" i="99"/>
  <c r="A16" i="99"/>
  <c r="R8" i="116"/>
  <c r="AP4" i="95" s="1"/>
  <c r="F151" i="13"/>
  <c r="F150" i="13" s="1"/>
  <c r="P45" i="14" s="1"/>
  <c r="F42" i="13"/>
  <c r="E25" i="9" s="1"/>
  <c r="W3" i="33"/>
  <c r="D270" i="8" s="1"/>
  <c r="AA4" i="95"/>
  <c r="Q26" i="95"/>
  <c r="Q24" i="95"/>
  <c r="Q21" i="95"/>
  <c r="Q35" i="95"/>
  <c r="Q41" i="95"/>
  <c r="Q25" i="95"/>
  <c r="Q43" i="95"/>
  <c r="Q42" i="95"/>
  <c r="Q40" i="95"/>
  <c r="Q30" i="95"/>
  <c r="Q37" i="95"/>
  <c r="Q29" i="95"/>
  <c r="Y4" i="95"/>
  <c r="Q20" i="95"/>
  <c r="Q39" i="95"/>
  <c r="X4" i="95"/>
  <c r="Q36" i="95"/>
  <c r="Q23" i="95"/>
  <c r="Q27" i="95"/>
  <c r="Q38" i="95"/>
  <c r="Q22" i="95"/>
  <c r="Q28" i="95"/>
  <c r="Z4" i="95"/>
  <c r="AB10" i="117"/>
  <c r="V11" i="116"/>
  <c r="V13" i="116"/>
  <c r="E151" i="13"/>
  <c r="E150" i="13" s="1"/>
  <c r="O45" i="14" s="1"/>
  <c r="A20" i="76"/>
  <c r="V16" i="75"/>
  <c r="M25" i="16"/>
  <c r="T25" i="16" s="1"/>
  <c r="D310" i="8"/>
  <c r="V17" i="75"/>
  <c r="AC17" i="75" s="1"/>
  <c r="AM17" i="75" s="1"/>
  <c r="V25" i="75"/>
  <c r="AC25" i="75" s="1"/>
  <c r="AM25" i="75" s="1"/>
  <c r="V15" i="75"/>
  <c r="AC15" i="75" s="1"/>
  <c r="AM15" i="75" s="1"/>
  <c r="V24" i="75"/>
  <c r="AC24" i="75" s="1"/>
  <c r="AM24" i="75" s="1"/>
  <c r="V14" i="75"/>
  <c r="AC14" i="75" s="1"/>
  <c r="AM14" i="75" s="1"/>
  <c r="V13" i="75"/>
  <c r="AC13" i="75" s="1"/>
  <c r="AM13" i="75" s="1"/>
  <c r="V22" i="75"/>
  <c r="AC22" i="75" s="1"/>
  <c r="AM22" i="75" s="1"/>
  <c r="D350" i="8"/>
  <c r="V26" i="75"/>
  <c r="AC26" i="75" s="1"/>
  <c r="AM26" i="75" s="1"/>
  <c r="V20" i="75"/>
  <c r="AC20" i="75" s="1"/>
  <c r="AM20" i="75" s="1"/>
  <c r="V23" i="75"/>
  <c r="AC23" i="75" s="1"/>
  <c r="AM23" i="75" s="1"/>
  <c r="V18" i="75"/>
  <c r="AC18" i="75" s="1"/>
  <c r="AM18" i="75" s="1"/>
  <c r="V21" i="75"/>
  <c r="AC21" i="75" s="1"/>
  <c r="AM21" i="75" s="1"/>
  <c r="V19" i="75"/>
  <c r="AC19" i="75" s="1"/>
  <c r="AM19" i="75" s="1"/>
  <c r="M19" i="16"/>
  <c r="K21" i="16"/>
  <c r="M21" i="16" s="1"/>
  <c r="T21" i="16" s="1"/>
  <c r="Z15" i="133"/>
  <c r="D428" i="8" s="1"/>
  <c r="G27" i="10"/>
  <c r="D394" i="8"/>
  <c r="Z4" i="116"/>
  <c r="D291" i="8" s="1"/>
  <c r="D38" i="8"/>
  <c r="M13" i="36"/>
  <c r="M12" i="36" s="1"/>
  <c r="M8" i="36" s="1"/>
  <c r="P29" i="14"/>
  <c r="R29" i="14" s="1"/>
  <c r="F94" i="8"/>
  <c r="I79" i="9"/>
  <c r="N7" i="70"/>
  <c r="D248" i="8" s="1"/>
  <c r="E63" i="8"/>
  <c r="G63" i="8" s="1"/>
  <c r="D63" i="8" s="1"/>
  <c r="E71" i="9"/>
  <c r="K71" i="9" s="1"/>
  <c r="N71" i="9" s="1"/>
  <c r="U11" i="146"/>
  <c r="D414" i="8" s="1"/>
  <c r="S10" i="146"/>
  <c r="F263" i="13" s="1"/>
  <c r="E253" i="13"/>
  <c r="E252" i="13" s="1"/>
  <c r="A14" i="78"/>
  <c r="A17" i="76"/>
  <c r="F247" i="8"/>
  <c r="M8" i="25"/>
  <c r="F28" i="13" s="1"/>
  <c r="T8" i="43"/>
  <c r="G101" i="8" s="1"/>
  <c r="D101" i="8" s="1"/>
  <c r="F204" i="13"/>
  <c r="E13" i="36"/>
  <c r="Y14" i="133"/>
  <c r="Z14" i="133" s="1"/>
  <c r="D165" i="8" s="1"/>
  <c r="A17" i="80"/>
  <c r="AG28" i="162"/>
  <c r="A16" i="76"/>
  <c r="E195" i="13"/>
  <c r="A19" i="80"/>
  <c r="A12" i="117"/>
  <c r="E8" i="9"/>
  <c r="K8" i="9" s="1"/>
  <c r="N8" i="9" s="1"/>
  <c r="A14" i="76"/>
  <c r="S21" i="141"/>
  <c r="D31" i="44"/>
  <c r="I12" i="36"/>
  <c r="I8" i="36" s="1"/>
  <c r="AG14" i="75"/>
  <c r="K50" i="11"/>
  <c r="A14" i="80"/>
  <c r="E247" i="8"/>
  <c r="Y14" i="128"/>
  <c r="A20" i="80"/>
  <c r="K12" i="36"/>
  <c r="K8" i="36" s="1"/>
  <c r="G13" i="37"/>
  <c r="G12" i="37" s="1"/>
  <c r="G8" i="37" s="1"/>
  <c r="A16" i="80"/>
  <c r="F74" i="13"/>
  <c r="G12" i="36"/>
  <c r="G8" i="36" s="1"/>
  <c r="J10" i="35"/>
  <c r="U14" i="128"/>
  <c r="AG17" i="75"/>
  <c r="J52" i="11"/>
  <c r="I8" i="35"/>
  <c r="I7" i="35" s="1"/>
  <c r="V36" i="141"/>
  <c r="E12" i="37"/>
  <c r="E8" i="37" s="1"/>
  <c r="F53" i="9"/>
  <c r="L53" i="9" s="1"/>
  <c r="O53" i="9" s="1"/>
  <c r="J38" i="35"/>
  <c r="J37" i="35" s="1"/>
  <c r="AG18" i="75"/>
  <c r="G11" i="141"/>
  <c r="F49" i="9"/>
  <c r="L49" i="9" s="1"/>
  <c r="O49" i="9" s="1"/>
  <c r="N8" i="119"/>
  <c r="D303" i="8" s="1"/>
  <c r="J35" i="11"/>
  <c r="AB14" i="128"/>
  <c r="P14" i="128"/>
  <c r="A18" i="76"/>
  <c r="E206" i="13"/>
  <c r="O53" i="14" s="1"/>
  <c r="P4" i="124"/>
  <c r="D212" i="8" s="1"/>
  <c r="J25" i="11"/>
  <c r="H12" i="36"/>
  <c r="H8" i="36" s="1"/>
  <c r="O14" i="128"/>
  <c r="A13" i="117"/>
  <c r="K12" i="11"/>
  <c r="J12" i="11"/>
  <c r="AG26" i="75"/>
  <c r="AG24" i="75"/>
  <c r="J33" i="11"/>
  <c r="P9" i="23"/>
  <c r="F23" i="13" s="1"/>
  <c r="N13" i="36"/>
  <c r="N12" i="36" s="1"/>
  <c r="N8" i="36" s="1"/>
  <c r="E201" i="13"/>
  <c r="F69" i="9" s="1"/>
  <c r="O14" i="36"/>
  <c r="AG25" i="75"/>
  <c r="L14" i="128"/>
  <c r="E223" i="13" s="1"/>
  <c r="L12" i="37"/>
  <c r="L8" i="37" s="1"/>
  <c r="D346" i="8"/>
  <c r="P11" i="141"/>
  <c r="R33" i="14"/>
  <c r="E269" i="12"/>
  <c r="F71" i="8"/>
  <c r="F192" i="13"/>
  <c r="P50" i="14" s="1"/>
  <c r="R50" i="14" s="1"/>
  <c r="F8" i="35"/>
  <c r="N9" i="90"/>
  <c r="F119" i="13" s="1"/>
  <c r="Q9" i="92"/>
  <c r="D282" i="8" s="1"/>
  <c r="J12" i="36"/>
  <c r="J8" i="36" s="1"/>
  <c r="L71" i="9"/>
  <c r="O71" i="9" s="1"/>
  <c r="E18" i="8"/>
  <c r="G18" i="8" s="1"/>
  <c r="D18" i="8" s="1"/>
  <c r="E37" i="35"/>
  <c r="BE11" i="99"/>
  <c r="D283" i="8" s="1"/>
  <c r="A15" i="76"/>
  <c r="A15" i="78"/>
  <c r="A12" i="80"/>
  <c r="G9" i="35"/>
  <c r="Q14" i="128"/>
  <c r="W14" i="128"/>
  <c r="Z14" i="128"/>
  <c r="D356" i="8"/>
  <c r="D372" i="8"/>
  <c r="U16" i="75"/>
  <c r="X16" i="75" s="1"/>
  <c r="AJ16" i="75" s="1"/>
  <c r="V28" i="141"/>
  <c r="V14" i="128"/>
  <c r="L54" i="11"/>
  <c r="L56" i="11" s="1"/>
  <c r="G143" i="8"/>
  <c r="D143" i="8" s="1"/>
  <c r="F12" i="36"/>
  <c r="F8" i="36" s="1"/>
  <c r="F142" i="13"/>
  <c r="K62" i="9" s="1"/>
  <c r="N62" i="9" s="1"/>
  <c r="T13" i="75"/>
  <c r="W13" i="75" s="1"/>
  <c r="I54" i="11"/>
  <c r="I56" i="11" s="1"/>
  <c r="M9" i="120"/>
  <c r="F206" i="13" s="1"/>
  <c r="P53" i="14" s="1"/>
  <c r="E204" i="13"/>
  <c r="I10" i="116"/>
  <c r="K10" i="116" s="1"/>
  <c r="D201" i="8"/>
  <c r="U15" i="75"/>
  <c r="X15" i="75" s="1"/>
  <c r="AJ15" i="75" s="1"/>
  <c r="I23" i="10"/>
  <c r="AH13" i="75"/>
  <c r="AG13" i="75"/>
  <c r="S14" i="128"/>
  <c r="A18" i="80"/>
  <c r="F41" i="37"/>
  <c r="F12" i="37" s="1"/>
  <c r="F8" i="37" s="1"/>
  <c r="BF11" i="100"/>
  <c r="D284" i="8" s="1"/>
  <c r="K42" i="11"/>
  <c r="D160" i="8"/>
  <c r="X7" i="34" s="1"/>
  <c r="H10" i="42"/>
  <c r="U21" i="75"/>
  <c r="X21" i="75" s="1"/>
  <c r="AJ21" i="75" s="1"/>
  <c r="K21" i="12"/>
  <c r="L21" i="12" s="1"/>
  <c r="M21" i="12" s="1"/>
  <c r="L23" i="12"/>
  <c r="M23" i="12" s="1"/>
  <c r="D24" i="8"/>
  <c r="U20" i="75"/>
  <c r="X20" i="75" s="1"/>
  <c r="AJ20" i="75" s="1"/>
  <c r="Q9" i="90"/>
  <c r="D280" i="8" s="1"/>
  <c r="I41" i="137"/>
  <c r="G13" i="44"/>
  <c r="G12" i="44" s="1"/>
  <c r="H79" i="9"/>
  <c r="P55" i="14"/>
  <c r="R55" i="14" s="1"/>
  <c r="P15" i="124"/>
  <c r="P10" i="124" s="1"/>
  <c r="H8" i="35"/>
  <c r="H7" i="35" s="1"/>
  <c r="AH23" i="75"/>
  <c r="AG23" i="75"/>
  <c r="F16" i="8"/>
  <c r="K55" i="11"/>
  <c r="J55" i="11"/>
  <c r="F94" i="13"/>
  <c r="F146" i="13"/>
  <c r="K56" i="9" s="1"/>
  <c r="N56" i="9" s="1"/>
  <c r="U14" i="75"/>
  <c r="X14" i="75" s="1"/>
  <c r="Z14" i="75" s="1"/>
  <c r="P54" i="14"/>
  <c r="R54" i="14" s="1"/>
  <c r="E45" i="9"/>
  <c r="K45" i="9" s="1"/>
  <c r="N45" i="9" s="1"/>
  <c r="R12" i="148"/>
  <c r="D427" i="8" s="1"/>
  <c r="P10" i="148"/>
  <c r="F265" i="13" s="1"/>
  <c r="K17" i="11"/>
  <c r="J17" i="11"/>
  <c r="S15" i="141"/>
  <c r="AM4" i="116"/>
  <c r="O10" i="43"/>
  <c r="G69" i="8" s="1"/>
  <c r="D69" i="8" s="1"/>
  <c r="L247" i="12"/>
  <c r="E533" i="8"/>
  <c r="D159" i="8" s="1"/>
  <c r="W7" i="34" s="1"/>
  <c r="N14" i="128"/>
  <c r="V30" i="160"/>
  <c r="G152" i="8"/>
  <c r="D152" i="8" s="1"/>
  <c r="F31" i="44"/>
  <c r="L242" i="12"/>
  <c r="O43" i="14"/>
  <c r="T24" i="75"/>
  <c r="W24" i="75" s="1"/>
  <c r="D213" i="8"/>
  <c r="G149" i="8"/>
  <c r="D149" i="8" s="1"/>
  <c r="E227" i="12"/>
  <c r="K16" i="11"/>
  <c r="P30" i="160"/>
  <c r="H12" i="37"/>
  <c r="H8" i="37" s="1"/>
  <c r="X14" i="128"/>
  <c r="A21" i="80"/>
  <c r="J34" i="11"/>
  <c r="K34" i="11"/>
  <c r="I12" i="37"/>
  <c r="I8" i="37" s="1"/>
  <c r="U13" i="75"/>
  <c r="X13" i="75" s="1"/>
  <c r="AA13" i="75" s="1"/>
  <c r="U19" i="75"/>
  <c r="X19" i="75" s="1"/>
  <c r="AL19" i="75" s="1"/>
  <c r="AC16" i="75"/>
  <c r="AM16" i="75" s="1"/>
  <c r="A15" i="80"/>
  <c r="D362" i="8"/>
  <c r="D370" i="8"/>
  <c r="D416" i="8"/>
  <c r="E47" i="9"/>
  <c r="K47" i="9" s="1"/>
  <c r="N47" i="9" s="1"/>
  <c r="T18" i="75"/>
  <c r="W18" i="75" s="1"/>
  <c r="O42" i="36"/>
  <c r="D41" i="36"/>
  <c r="D12" i="36" s="1"/>
  <c r="E55" i="13" s="1"/>
  <c r="F189" i="13"/>
  <c r="P49" i="14" s="1"/>
  <c r="R49" i="14" s="1"/>
  <c r="F190" i="13"/>
  <c r="K36" i="11"/>
  <c r="J36" i="11"/>
  <c r="T15" i="75"/>
  <c r="W15" i="75" s="1"/>
  <c r="U24" i="75"/>
  <c r="X24" i="75" s="1"/>
  <c r="AJ24" i="75" s="1"/>
  <c r="AH21" i="75"/>
  <c r="AG21" i="75"/>
  <c r="T25" i="75"/>
  <c r="W25" i="75" s="1"/>
  <c r="AG16" i="75"/>
  <c r="AH16" i="75"/>
  <c r="U22" i="75"/>
  <c r="X22" i="75" s="1"/>
  <c r="AJ22" i="75" s="1"/>
  <c r="T22" i="75"/>
  <c r="D363" i="8"/>
  <c r="T14" i="75"/>
  <c r="W14" i="75" s="1"/>
  <c r="G128" i="105"/>
  <c r="G144" i="8"/>
  <c r="D144" i="8" s="1"/>
  <c r="M14" i="128"/>
  <c r="S2" i="14"/>
  <c r="D21" i="8" s="1"/>
  <c r="Y10" i="145"/>
  <c r="Y14" i="145" s="1"/>
  <c r="F261" i="13" s="1"/>
  <c r="F253" i="13" s="1"/>
  <c r="O21" i="36"/>
  <c r="P49" i="141"/>
  <c r="E93" i="13"/>
  <c r="O38" i="14" s="1"/>
  <c r="T21" i="75"/>
  <c r="W21" i="75" s="1"/>
  <c r="S18" i="141"/>
  <c r="V20" i="141"/>
  <c r="AA14" i="128"/>
  <c r="U26" i="75"/>
  <c r="X26" i="75" s="1"/>
  <c r="T26" i="75"/>
  <c r="U17" i="75"/>
  <c r="X17" i="75" s="1"/>
  <c r="AJ17" i="75" s="1"/>
  <c r="A16" i="78"/>
  <c r="T20" i="75"/>
  <c r="W20" i="75" s="1"/>
  <c r="F113" i="13"/>
  <c r="AH20" i="75"/>
  <c r="AG20" i="75"/>
  <c r="D287" i="8"/>
  <c r="D431" i="8"/>
  <c r="A13" i="80"/>
  <c r="O9" i="120"/>
  <c r="V9" i="89"/>
  <c r="D279" i="8" s="1"/>
  <c r="AD10" i="128"/>
  <c r="AD14" i="128" s="1"/>
  <c r="Y9" i="112"/>
  <c r="D302" i="8" s="1"/>
  <c r="U9" i="91"/>
  <c r="D281" i="8" s="1"/>
  <c r="E197" i="12"/>
  <c r="E51" i="11"/>
  <c r="K51" i="11" s="1"/>
  <c r="E4" i="44"/>
  <c r="U25" i="75"/>
  <c r="X25" i="75" s="1"/>
  <c r="AA25" i="75" s="1"/>
  <c r="T17" i="75"/>
  <c r="W17" i="75" s="1"/>
  <c r="U18" i="75"/>
  <c r="X18" i="75" s="1"/>
  <c r="AJ18" i="75" s="1"/>
  <c r="F56" i="9"/>
  <c r="L56" i="9" s="1"/>
  <c r="O56" i="9" s="1"/>
  <c r="J46" i="11"/>
  <c r="K46" i="11"/>
  <c r="E125" i="13"/>
  <c r="L65" i="9"/>
  <c r="O65" i="9" s="1"/>
  <c r="R14" i="128"/>
  <c r="AE14" i="128"/>
  <c r="A19" i="76"/>
  <c r="AH12" i="75"/>
  <c r="AG12" i="75"/>
  <c r="AG15" i="75"/>
  <c r="AH15" i="75"/>
  <c r="A13" i="78"/>
  <c r="D367" i="8"/>
  <c r="T23" i="75"/>
  <c r="W23" i="75" s="1"/>
  <c r="U23" i="75"/>
  <c r="X23" i="75" s="1"/>
  <c r="AJ23" i="75" s="1"/>
  <c r="F209" i="13"/>
  <c r="P56" i="14" s="1"/>
  <c r="R56" i="14" s="1"/>
  <c r="I18" i="10"/>
  <c r="V13" i="141"/>
  <c r="S12" i="141"/>
  <c r="T19" i="75"/>
  <c r="W19" i="75" s="1"/>
  <c r="T16" i="75"/>
  <c r="W16" i="75" s="1"/>
  <c r="AH22" i="75"/>
  <c r="AG22" i="75"/>
  <c r="AH19" i="75"/>
  <c r="AG19" i="75"/>
  <c r="M245" i="12"/>
  <c r="L245" i="12"/>
  <c r="M237" i="12"/>
  <c r="L237" i="12"/>
  <c r="Q11" i="38"/>
  <c r="Q8" i="38" s="1"/>
  <c r="F67" i="13" s="1"/>
  <c r="O8" i="38"/>
  <c r="M14" i="37"/>
  <c r="D13" i="37"/>
  <c r="E122" i="13"/>
  <c r="P11" i="75"/>
  <c r="J45" i="11"/>
  <c r="K45" i="11"/>
  <c r="J18" i="11"/>
  <c r="K18" i="11"/>
  <c r="S10" i="116"/>
  <c r="F201" i="13"/>
  <c r="E69" i="9" s="1"/>
  <c r="S24" i="141"/>
  <c r="V25" i="141"/>
  <c r="E61" i="11"/>
  <c r="E62" i="11"/>
  <c r="E20" i="11" s="1"/>
  <c r="J43" i="11"/>
  <c r="K43" i="11"/>
  <c r="AG9" i="162"/>
  <c r="D297" i="8" s="1"/>
  <c r="I9" i="10"/>
  <c r="E254" i="12"/>
  <c r="W8" i="116"/>
  <c r="E39" i="11"/>
  <c r="K41" i="11"/>
  <c r="J41" i="11"/>
  <c r="K27" i="11"/>
  <c r="J27" i="11"/>
  <c r="E23" i="11"/>
  <c r="F203" i="13"/>
  <c r="T10" i="116"/>
  <c r="K10" i="11"/>
  <c r="J10" i="11"/>
  <c r="U12" i="75"/>
  <c r="T12" i="75"/>
  <c r="V12" i="75"/>
  <c r="AC12" i="75" s="1"/>
  <c r="AM12" i="75" s="1"/>
  <c r="F59" i="8"/>
  <c r="G59" i="8" s="1"/>
  <c r="D59" i="8" s="1"/>
  <c r="E10" i="10"/>
  <c r="H10" i="10" s="1"/>
  <c r="I8" i="10"/>
  <c r="E151" i="8"/>
  <c r="G151" i="8" s="1"/>
  <c r="D151" i="8" s="1"/>
  <c r="K249" i="12"/>
  <c r="L244" i="12"/>
  <c r="E175" i="12"/>
  <c r="K19" i="11"/>
  <c r="J19" i="11"/>
  <c r="N8" i="32"/>
  <c r="D269" i="8" s="1"/>
  <c r="F85" i="13"/>
  <c r="P32" i="14" s="1"/>
  <c r="R32" i="14" s="1"/>
  <c r="K35" i="9"/>
  <c r="N35" i="9" s="1"/>
  <c r="J32" i="11"/>
  <c r="K32" i="11"/>
  <c r="E30" i="11"/>
  <c r="K28" i="11"/>
  <c r="J28" i="11"/>
  <c r="S32" i="135"/>
  <c r="D322" i="8" s="1"/>
  <c r="M3" i="135"/>
  <c r="F219" i="13"/>
  <c r="P59" i="14" s="1"/>
  <c r="R59" i="14" s="1"/>
  <c r="AC14" i="128"/>
  <c r="F223" i="13" s="1"/>
  <c r="F125" i="13"/>
  <c r="F121" i="13" s="1"/>
  <c r="P41" i="14" s="1"/>
  <c r="L238" i="12"/>
  <c r="M243" i="12"/>
  <c r="L243" i="12"/>
  <c r="M241" i="12"/>
  <c r="L241" i="12"/>
  <c r="E71" i="8"/>
  <c r="E203" i="13"/>
  <c r="H10" i="116"/>
  <c r="T14" i="128"/>
  <c r="E65" i="8" s="1"/>
  <c r="M246" i="12"/>
  <c r="L246" i="12"/>
  <c r="S10" i="109"/>
  <c r="E67" i="9" s="1"/>
  <c r="K67" i="9" s="1"/>
  <c r="N67" i="9" s="1"/>
  <c r="V11" i="109"/>
  <c r="V10" i="109" s="1"/>
  <c r="D298" i="8" s="1"/>
  <c r="F112" i="13"/>
  <c r="P40" i="14" s="1"/>
  <c r="R40" i="14" s="1"/>
  <c r="M239" i="12"/>
  <c r="L239" i="12"/>
  <c r="L38" i="9"/>
  <c r="O38" i="9" s="1"/>
  <c r="F30" i="9"/>
  <c r="L30" i="9" s="1"/>
  <c r="O30" i="9" s="1"/>
  <c r="E66" i="13"/>
  <c r="O18" i="14" s="1"/>
  <c r="L236" i="12"/>
  <c r="K11" i="11"/>
  <c r="J11" i="11"/>
  <c r="E9" i="35"/>
  <c r="E8" i="35" s="1"/>
  <c r="E7" i="35" s="1"/>
  <c r="J17" i="35"/>
  <c r="E31" i="44"/>
  <c r="F10" i="116"/>
  <c r="E197" i="13"/>
  <c r="O51" i="14" s="1"/>
  <c r="E200" i="13"/>
  <c r="F34" i="9" s="1"/>
  <c r="E41" i="36"/>
  <c r="O49" i="36"/>
  <c r="AG16" i="128"/>
  <c r="D304" i="8" s="1"/>
  <c r="F98" i="13"/>
  <c r="P12" i="14"/>
  <c r="R12" i="14" s="1"/>
  <c r="E57" i="9"/>
  <c r="K57" i="9" s="1"/>
  <c r="N57" i="9" s="1"/>
  <c r="E20" i="9"/>
  <c r="K20" i="9" s="1"/>
  <c r="N20" i="9" s="1"/>
  <c r="J29" i="11"/>
  <c r="K29" i="11"/>
  <c r="M42" i="37"/>
  <c r="E113" i="13"/>
  <c r="E176" i="105"/>
  <c r="D169" i="8"/>
  <c r="D171" i="8"/>
  <c r="D254" i="8"/>
  <c r="D445" i="8" l="1"/>
  <c r="K70" i="9"/>
  <c r="N70" i="9" s="1"/>
  <c r="K14" i="9"/>
  <c r="N14" i="9" s="1"/>
  <c r="V47" i="9"/>
  <c r="U47" i="9"/>
  <c r="O65" i="14"/>
  <c r="F11" i="9"/>
  <c r="U48" i="9"/>
  <c r="W10" i="116"/>
  <c r="AR4" i="116"/>
  <c r="Y4" i="116"/>
  <c r="D290" i="8" s="1"/>
  <c r="AS4" i="116"/>
  <c r="AX9" i="60"/>
  <c r="L13" i="9"/>
  <c r="O13" i="9" s="1"/>
  <c r="E18" i="158"/>
  <c r="E15" i="158"/>
  <c r="D511" i="8"/>
  <c r="D497" i="8" s="1"/>
  <c r="F63" i="9"/>
  <c r="L16" i="9"/>
  <c r="O16" i="9" s="1"/>
  <c r="E98" i="8"/>
  <c r="X48" i="95"/>
  <c r="Y48" i="95" s="1"/>
  <c r="Z48" i="95" s="1"/>
  <c r="AA48" i="95" s="1"/>
  <c r="BN48" i="95"/>
  <c r="AN48" i="95"/>
  <c r="BA48" i="95"/>
  <c r="L12" i="9"/>
  <c r="O12" i="9" s="1"/>
  <c r="B9" i="3"/>
  <c r="B10" i="3"/>
  <c r="B11" i="3"/>
  <c r="B7" i="3"/>
  <c r="B12" i="3"/>
  <c r="B8" i="3"/>
  <c r="K39" i="9"/>
  <c r="N39" i="9" s="1"/>
  <c r="T11" i="126"/>
  <c r="V12" i="126"/>
  <c r="V11" i="126" s="1"/>
  <c r="H31" i="10"/>
  <c r="F7" i="35"/>
  <c r="F3" i="35" s="1"/>
  <c r="D343" i="8" s="1"/>
  <c r="P11" i="14"/>
  <c r="R11" i="14" s="1"/>
  <c r="BB6" i="117"/>
  <c r="BA6" i="117"/>
  <c r="R5" i="14"/>
  <c r="E7" i="9"/>
  <c r="G129" i="8"/>
  <c r="D129" i="8" s="1"/>
  <c r="G128" i="8"/>
  <c r="D128" i="8" s="1"/>
  <c r="F27" i="13"/>
  <c r="K16" i="9"/>
  <c r="N16" i="9" s="1"/>
  <c r="P20" i="16"/>
  <c r="T19" i="16"/>
  <c r="T7" i="16" s="1"/>
  <c r="D301" i="8" s="1"/>
  <c r="P19" i="16"/>
  <c r="R6" i="14"/>
  <c r="G8" i="35"/>
  <c r="J9" i="35"/>
  <c r="J8" i="35" s="1"/>
  <c r="J7" i="35" s="1"/>
  <c r="E47" i="44"/>
  <c r="E48" i="44" s="1"/>
  <c r="T52" i="44" s="1"/>
  <c r="M23" i="16"/>
  <c r="P23" i="16" s="1"/>
  <c r="E27" i="9"/>
  <c r="K27" i="9" s="1"/>
  <c r="N27" i="9" s="1"/>
  <c r="R31" i="14"/>
  <c r="E13" i="11"/>
  <c r="G47" i="12"/>
  <c r="G3" i="12" s="1"/>
  <c r="D14" i="8" s="1"/>
  <c r="E48" i="12"/>
  <c r="E176" i="12" s="1"/>
  <c r="E244" i="13"/>
  <c r="O63" i="14" s="1"/>
  <c r="P10" i="141"/>
  <c r="F245" i="13" s="1"/>
  <c r="G10" i="141"/>
  <c r="AK7" i="141"/>
  <c r="AN7" i="141"/>
  <c r="J9" i="141"/>
  <c r="AM9" i="141" s="1"/>
  <c r="AM7" i="141" s="1"/>
  <c r="I9" i="141"/>
  <c r="AL9" i="141" s="1"/>
  <c r="AL7" i="141" s="1"/>
  <c r="K20" i="11"/>
  <c r="W10" i="95"/>
  <c r="D338" i="8"/>
  <c r="F247" i="13"/>
  <c r="Q9" i="141"/>
  <c r="F98" i="8"/>
  <c r="AO9" i="141"/>
  <c r="AO7" i="141" s="1"/>
  <c r="AU6" i="117"/>
  <c r="AT6" i="117"/>
  <c r="AY6" i="117"/>
  <c r="AZ6" i="117"/>
  <c r="AS6" i="117"/>
  <c r="AR6" i="117"/>
  <c r="AX6" i="117"/>
  <c r="O16" i="43"/>
  <c r="Q11" i="43"/>
  <c r="O17" i="43"/>
  <c r="E8" i="11"/>
  <c r="E270" i="12"/>
  <c r="D167" i="8"/>
  <c r="G65" i="8"/>
  <c r="D65" i="8" s="1"/>
  <c r="X9" i="142"/>
  <c r="D440" i="8" s="1"/>
  <c r="X6" i="142"/>
  <c r="D438" i="8" s="1"/>
  <c r="G131" i="8"/>
  <c r="D131" i="8" s="1"/>
  <c r="G126" i="8"/>
  <c r="D126" i="8" s="1"/>
  <c r="G130" i="8"/>
  <c r="D130" i="8" s="1"/>
  <c r="AG9" i="117"/>
  <c r="AD4" i="117" s="1"/>
  <c r="D341" i="8" s="1"/>
  <c r="M14" i="42"/>
  <c r="Q12" i="43"/>
  <c r="Q13" i="43"/>
  <c r="Q17" i="43"/>
  <c r="Q14" i="43"/>
  <c r="Q18" i="43"/>
  <c r="Q15" i="43"/>
  <c r="Q16" i="43"/>
  <c r="X7" i="142"/>
  <c r="D439" i="8" s="1"/>
  <c r="X8" i="142"/>
  <c r="AL27" i="75"/>
  <c r="Z27" i="75"/>
  <c r="AA27" i="75"/>
  <c r="AI27" i="75" s="1"/>
  <c r="AJ27" i="75"/>
  <c r="AG11" i="75"/>
  <c r="E48" i="8" s="1"/>
  <c r="AJ26" i="75"/>
  <c r="D273" i="8"/>
  <c r="F214" i="13"/>
  <c r="F212" i="13" s="1"/>
  <c r="P57" i="14" s="1"/>
  <c r="R57" i="14" s="1"/>
  <c r="O13" i="36"/>
  <c r="T37" i="134"/>
  <c r="E20" i="10" s="1"/>
  <c r="K10" i="44"/>
  <c r="K18" i="44" s="1"/>
  <c r="E112" i="8"/>
  <c r="G112" i="8" s="1"/>
  <c r="D112" i="8" s="1"/>
  <c r="G127" i="8"/>
  <c r="D127" i="8" s="1"/>
  <c r="E116" i="8"/>
  <c r="G116" i="8" s="1"/>
  <c r="D116" i="8" s="1"/>
  <c r="E115" i="8"/>
  <c r="G115" i="8" s="1"/>
  <c r="D115" i="8" s="1"/>
  <c r="E114" i="8"/>
  <c r="G114" i="8" s="1"/>
  <c r="D114" i="8" s="1"/>
  <c r="E113" i="8"/>
  <c r="G113" i="8" s="1"/>
  <c r="D113" i="8" s="1"/>
  <c r="P27" i="14"/>
  <c r="R27" i="14" s="1"/>
  <c r="Y9" i="58"/>
  <c r="X47" i="95"/>
  <c r="Y47" i="95" s="1"/>
  <c r="Z47" i="95" s="1"/>
  <c r="K69" i="9"/>
  <c r="N69" i="9" s="1"/>
  <c r="H17" i="10"/>
  <c r="BB44" i="95"/>
  <c r="X46" i="95"/>
  <c r="Y46" i="95" s="1"/>
  <c r="BB15" i="95"/>
  <c r="BB46" i="95"/>
  <c r="BB47" i="95"/>
  <c r="BB45" i="95"/>
  <c r="BB38" i="95"/>
  <c r="BB29" i="95"/>
  <c r="BB34" i="95"/>
  <c r="BB31" i="95"/>
  <c r="BB39" i="95"/>
  <c r="BB40" i="95"/>
  <c r="BB26" i="95"/>
  <c r="BB41" i="95"/>
  <c r="BB36" i="95"/>
  <c r="BB23" i="95"/>
  <c r="BB22" i="95"/>
  <c r="BB42" i="95"/>
  <c r="BB37" i="95"/>
  <c r="BB33" i="95"/>
  <c r="BB28" i="95"/>
  <c r="BB35" i="95"/>
  <c r="BB30" i="95"/>
  <c r="BB25" i="95"/>
  <c r="BB32" i="95"/>
  <c r="BB27" i="95"/>
  <c r="BB43" i="95"/>
  <c r="BB24" i="95"/>
  <c r="BB19" i="95"/>
  <c r="BB21" i="95"/>
  <c r="BB20" i="95"/>
  <c r="BB18" i="95"/>
  <c r="BB16" i="95"/>
  <c r="BB17" i="95"/>
  <c r="P13" i="14"/>
  <c r="R13" i="14" s="1"/>
  <c r="X44" i="95"/>
  <c r="Y44" i="95" s="1"/>
  <c r="Z44" i="95" s="1"/>
  <c r="X45" i="95"/>
  <c r="X15" i="95"/>
  <c r="Q10" i="95"/>
  <c r="E134" i="13"/>
  <c r="F21" i="9" s="1"/>
  <c r="F135" i="13"/>
  <c r="E33" i="9" s="1"/>
  <c r="F32" i="9"/>
  <c r="F134" i="13"/>
  <c r="E21" i="9" s="1"/>
  <c r="E32" i="9"/>
  <c r="E135" i="13"/>
  <c r="F33" i="9" s="1"/>
  <c r="X16" i="95"/>
  <c r="Y16" i="95" s="1"/>
  <c r="X17" i="95"/>
  <c r="Y17" i="95" s="1"/>
  <c r="Z17" i="95" s="1"/>
  <c r="AA17" i="95" s="1"/>
  <c r="X18" i="95"/>
  <c r="Z21" i="75"/>
  <c r="M41" i="37"/>
  <c r="Q12" i="42"/>
  <c r="N14" i="42"/>
  <c r="P14" i="42"/>
  <c r="P11" i="42"/>
  <c r="O14" i="42"/>
  <c r="M12" i="42"/>
  <c r="F79" i="13"/>
  <c r="M11" i="42"/>
  <c r="R10" i="116"/>
  <c r="V10" i="116" s="1"/>
  <c r="AL21" i="75"/>
  <c r="AR3" i="95"/>
  <c r="D393" i="8" s="1"/>
  <c r="F197" i="13"/>
  <c r="P51" i="14" s="1"/>
  <c r="R51" i="14" s="1"/>
  <c r="AA16" i="75"/>
  <c r="AI16" i="75" s="1"/>
  <c r="AL16" i="75"/>
  <c r="F200" i="13"/>
  <c r="E34" i="9" s="1"/>
  <c r="G16" i="8"/>
  <c r="D16" i="8" s="1"/>
  <c r="D390" i="8"/>
  <c r="D391" i="8"/>
  <c r="L69" i="9"/>
  <c r="O69" i="9" s="1"/>
  <c r="X22" i="95"/>
  <c r="X38" i="95"/>
  <c r="Y38" i="95" s="1"/>
  <c r="X36" i="95"/>
  <c r="X20" i="95"/>
  <c r="X42" i="95"/>
  <c r="X30" i="95"/>
  <c r="Y30" i="95" s="1"/>
  <c r="X32" i="95"/>
  <c r="Y32" i="95" s="1"/>
  <c r="X33" i="95"/>
  <c r="X43" i="95"/>
  <c r="Y43" i="95" s="1"/>
  <c r="Z43" i="95" s="1"/>
  <c r="X39" i="95"/>
  <c r="Y39" i="95" s="1"/>
  <c r="X35" i="95"/>
  <c r="X31" i="95"/>
  <c r="Y31" i="95" s="1"/>
  <c r="X27" i="95"/>
  <c r="Y27" i="95" s="1"/>
  <c r="X23" i="95"/>
  <c r="Y23" i="95" s="1"/>
  <c r="Z23" i="95" s="1"/>
  <c r="X19" i="95"/>
  <c r="Y19" i="95" s="1"/>
  <c r="X41" i="95"/>
  <c r="Y41" i="95" s="1"/>
  <c r="X37" i="95"/>
  <c r="Y37" i="95" s="1"/>
  <c r="Z37" i="95" s="1"/>
  <c r="AA37" i="95" s="1"/>
  <c r="X29" i="95"/>
  <c r="Y29" i="95" s="1"/>
  <c r="X25" i="95"/>
  <c r="Y25" i="95" s="1"/>
  <c r="Z25" i="95" s="1"/>
  <c r="X21" i="95"/>
  <c r="Y21" i="95" s="1"/>
  <c r="X34" i="95"/>
  <c r="Y34" i="95" s="1"/>
  <c r="X28" i="95"/>
  <c r="Y28" i="95" s="1"/>
  <c r="X26" i="95"/>
  <c r="Y26" i="95" s="1"/>
  <c r="X40" i="95"/>
  <c r="X24" i="95"/>
  <c r="G31" i="44"/>
  <c r="D245" i="8" s="1"/>
  <c r="F118" i="13"/>
  <c r="F22" i="13"/>
  <c r="O41" i="36"/>
  <c r="Z15" i="75"/>
  <c r="Z16" i="75"/>
  <c r="AL20" i="75"/>
  <c r="AA21" i="75"/>
  <c r="AI21" i="75" s="1"/>
  <c r="AA15" i="75"/>
  <c r="AI15" i="75" s="1"/>
  <c r="AA20" i="75"/>
  <c r="AI20" i="75" s="1"/>
  <c r="AL15" i="75"/>
  <c r="Z24" i="75"/>
  <c r="Z20" i="75"/>
  <c r="AA24" i="75"/>
  <c r="AI24" i="75" s="1"/>
  <c r="P44" i="14"/>
  <c r="R44" i="14" s="1"/>
  <c r="V8" i="116"/>
  <c r="AL24" i="75"/>
  <c r="L7" i="9"/>
  <c r="O7" i="9" s="1"/>
  <c r="E202" i="13"/>
  <c r="Q14" i="42"/>
  <c r="O11" i="42"/>
  <c r="F71" i="13"/>
  <c r="P23" i="14" s="1"/>
  <c r="R23" i="14" s="1"/>
  <c r="S11" i="141"/>
  <c r="S10" i="141" s="1"/>
  <c r="E72" i="9" s="1"/>
  <c r="Q11" i="42"/>
  <c r="O12" i="42"/>
  <c r="F69" i="13"/>
  <c r="D10" i="8"/>
  <c r="AJ13" i="75"/>
  <c r="AJ14" i="75"/>
  <c r="AJ25" i="75"/>
  <c r="AJ19" i="75"/>
  <c r="G247" i="8"/>
  <c r="F202" i="13"/>
  <c r="P43" i="14"/>
  <c r="R43" i="14" s="1"/>
  <c r="AI25" i="75"/>
  <c r="H33" i="134"/>
  <c r="E88" i="8" s="1"/>
  <c r="J51" i="11"/>
  <c r="AA14" i="75"/>
  <c r="AI14" i="75" s="1"/>
  <c r="E228" i="12"/>
  <c r="AL14" i="75"/>
  <c r="AL13" i="75"/>
  <c r="F252" i="13"/>
  <c r="P65" i="14" s="1"/>
  <c r="K38" i="9"/>
  <c r="N38" i="9" s="1"/>
  <c r="R53" i="14"/>
  <c r="R45" i="14"/>
  <c r="D172" i="8"/>
  <c r="D111" i="8"/>
  <c r="G71" i="8"/>
  <c r="D71" i="8" s="1"/>
  <c r="J10" i="116"/>
  <c r="AI13" i="75"/>
  <c r="N12" i="42"/>
  <c r="V8" i="141"/>
  <c r="D305" i="8" s="1"/>
  <c r="Z13" i="75"/>
  <c r="P12" i="42"/>
  <c r="Z19" i="75"/>
  <c r="E47" i="11"/>
  <c r="J47" i="11" s="1"/>
  <c r="E121" i="13"/>
  <c r="O41" i="14" s="1"/>
  <c r="R41" i="14" s="1"/>
  <c r="N11" i="42"/>
  <c r="AA19" i="75"/>
  <c r="AI19" i="75" s="1"/>
  <c r="Z25" i="75"/>
  <c r="AL23" i="75"/>
  <c r="Z23" i="75"/>
  <c r="AA23" i="75"/>
  <c r="AI23" i="75" s="1"/>
  <c r="AL17" i="75"/>
  <c r="AA17" i="75"/>
  <c r="AI17" i="75" s="1"/>
  <c r="Z17" i="75"/>
  <c r="Z26" i="75"/>
  <c r="AA26" i="75"/>
  <c r="AI26" i="75" s="1"/>
  <c r="AL26" i="75"/>
  <c r="W22" i="75"/>
  <c r="AL25" i="75"/>
  <c r="W26" i="75"/>
  <c r="AA22" i="75"/>
  <c r="AI22" i="75" s="1"/>
  <c r="Z22" i="75"/>
  <c r="AL22" i="75"/>
  <c r="E54" i="13"/>
  <c r="O16" i="14" s="1"/>
  <c r="D8" i="36"/>
  <c r="L64" i="9"/>
  <c r="O64" i="9" s="1"/>
  <c r="AL18" i="75"/>
  <c r="Z18" i="75"/>
  <c r="AA18" i="75"/>
  <c r="AI18" i="75" s="1"/>
  <c r="M249" i="12"/>
  <c r="L249" i="12"/>
  <c r="M240" i="12"/>
  <c r="L240" i="12"/>
  <c r="U11" i="75"/>
  <c r="X12" i="75"/>
  <c r="F66" i="13"/>
  <c r="P18" i="14" s="1"/>
  <c r="R18" i="14" s="1"/>
  <c r="E30" i="9"/>
  <c r="K30" i="9" s="1"/>
  <c r="N30" i="9" s="1"/>
  <c r="E199" i="13"/>
  <c r="E45" i="13"/>
  <c r="E44" i="13" s="1"/>
  <c r="K30" i="11"/>
  <c r="J30" i="11"/>
  <c r="D12" i="37"/>
  <c r="E61" i="13" s="1"/>
  <c r="M13" i="37"/>
  <c r="K65" i="9"/>
  <c r="N65" i="9" s="1"/>
  <c r="E13" i="10"/>
  <c r="H13" i="10" s="1"/>
  <c r="I10" i="10"/>
  <c r="T11" i="75"/>
  <c r="W12" i="75"/>
  <c r="J23" i="11"/>
  <c r="E37" i="11"/>
  <c r="K23" i="11"/>
  <c r="J39" i="11"/>
  <c r="K39" i="11"/>
  <c r="E12" i="36"/>
  <c r="E8" i="36" s="1"/>
  <c r="E269" i="13" l="1"/>
  <c r="F22" i="9"/>
  <c r="E63" i="9"/>
  <c r="K63" i="9" s="1"/>
  <c r="N63" i="9" s="1"/>
  <c r="R65" i="14"/>
  <c r="L11" i="9"/>
  <c r="O11" i="9" s="1"/>
  <c r="P9" i="14"/>
  <c r="R9" i="14" s="1"/>
  <c r="D474" i="8"/>
  <c r="Y15" i="95"/>
  <c r="F72" i="9"/>
  <c r="L72" i="9" s="1"/>
  <c r="O72" i="9" s="1"/>
  <c r="P9" i="141"/>
  <c r="I31" i="10"/>
  <c r="R7" i="14"/>
  <c r="K21" i="9"/>
  <c r="N21" i="9" s="1"/>
  <c r="G98" i="8"/>
  <c r="D98" i="8" s="1"/>
  <c r="H20" i="10"/>
  <c r="K33" i="9"/>
  <c r="N33" i="9" s="1"/>
  <c r="K32" i="9"/>
  <c r="N32" i="9" s="1"/>
  <c r="L32" i="9"/>
  <c r="O32" i="9" s="1"/>
  <c r="F31" i="9"/>
  <c r="E11" i="9"/>
  <c r="F45" i="13"/>
  <c r="F44" i="13" s="1"/>
  <c r="AB48" i="95"/>
  <c r="AL48" i="95" s="1"/>
  <c r="E96" i="8"/>
  <c r="G96" i="8" s="1"/>
  <c r="D96" i="8" s="1"/>
  <c r="E87" i="8"/>
  <c r="G87" i="8" s="1"/>
  <c r="D87" i="8" s="1"/>
  <c r="E95" i="8"/>
  <c r="G95" i="8" s="1"/>
  <c r="D95" i="8" s="1"/>
  <c r="E90" i="8"/>
  <c r="G90" i="8" s="1"/>
  <c r="D90" i="8" s="1"/>
  <c r="E94" i="8"/>
  <c r="G94" i="8" s="1"/>
  <c r="D94" i="8" s="1"/>
  <c r="E89" i="8"/>
  <c r="G89" i="8" s="1"/>
  <c r="D89" i="8" s="1"/>
  <c r="E85" i="8"/>
  <c r="G85" i="8" s="1"/>
  <c r="D85" i="8" s="1"/>
  <c r="E92" i="8"/>
  <c r="G92" i="8" s="1"/>
  <c r="D92" i="8" s="1"/>
  <c r="E83" i="8"/>
  <c r="G83" i="8" s="1"/>
  <c r="D83" i="8" s="1"/>
  <c r="E91" i="8"/>
  <c r="G91" i="8" s="1"/>
  <c r="D91" i="8" s="1"/>
  <c r="E86" i="8"/>
  <c r="G86" i="8" s="1"/>
  <c r="D86" i="8" s="1"/>
  <c r="E97" i="8"/>
  <c r="G97" i="8" s="1"/>
  <c r="D97" i="8" s="1"/>
  <c r="E84" i="8"/>
  <c r="G84" i="8" s="1"/>
  <c r="D84" i="8" s="1"/>
  <c r="E93" i="8"/>
  <c r="G93" i="8" s="1"/>
  <c r="D93" i="8" s="1"/>
  <c r="D247" i="8"/>
  <c r="D246" i="8" s="1"/>
  <c r="G9" i="141"/>
  <c r="D47" i="44"/>
  <c r="D48" i="44" s="1"/>
  <c r="S52" i="44" s="1"/>
  <c r="G7" i="35"/>
  <c r="D207" i="8"/>
  <c r="AI11" i="117"/>
  <c r="D194" i="8" s="1"/>
  <c r="E26" i="9"/>
  <c r="K26" i="9" s="1"/>
  <c r="N26" i="9" s="1"/>
  <c r="L34" i="9"/>
  <c r="O34" i="9" s="1"/>
  <c r="F199" i="13"/>
  <c r="F198" i="13" s="1"/>
  <c r="K34" i="9"/>
  <c r="N34" i="9" s="1"/>
  <c r="P8" i="14"/>
  <c r="R8" i="14" s="1"/>
  <c r="F11" i="16"/>
  <c r="K12" i="9"/>
  <c r="N12" i="9" s="1"/>
  <c r="W9" i="58"/>
  <c r="J20" i="11"/>
  <c r="E14" i="11"/>
  <c r="J14" i="11" s="1"/>
  <c r="F244" i="13"/>
  <c r="P63" i="14" s="1"/>
  <c r="R63" i="14" s="1"/>
  <c r="F309" i="8"/>
  <c r="G309" i="8" s="1"/>
  <c r="D256" i="8"/>
  <c r="J13" i="11"/>
  <c r="K13" i="11"/>
  <c r="L33" i="9"/>
  <c r="O33" i="9" s="1"/>
  <c r="D173" i="8"/>
  <c r="K8" i="11"/>
  <c r="J8" i="11"/>
  <c r="E21" i="11"/>
  <c r="K21" i="11" s="1"/>
  <c r="Q10" i="43"/>
  <c r="D70" i="8" s="1"/>
  <c r="AJ12" i="75"/>
  <c r="D366" i="8" s="1"/>
  <c r="AH11" i="75"/>
  <c r="E49" i="8" s="1"/>
  <c r="G49" i="8" s="1"/>
  <c r="D49" i="8" s="1"/>
  <c r="E49" i="9"/>
  <c r="K49" i="9" s="1"/>
  <c r="N49" i="9" s="1"/>
  <c r="I17" i="10"/>
  <c r="F217" i="13"/>
  <c r="F216" i="13" s="1"/>
  <c r="P58" i="14" s="1"/>
  <c r="R58" i="14" s="1"/>
  <c r="G88" i="8"/>
  <c r="D88" i="8" s="1"/>
  <c r="S9" i="141"/>
  <c r="K72" i="9"/>
  <c r="N72" i="9" s="1"/>
  <c r="G48" i="8"/>
  <c r="D48" i="8" s="1"/>
  <c r="Z46" i="95"/>
  <c r="AA46" i="95" s="1"/>
  <c r="AA47" i="95"/>
  <c r="BB6" i="95"/>
  <c r="AA44" i="95"/>
  <c r="Y45" i="95"/>
  <c r="Z45" i="95" s="1"/>
  <c r="AA45" i="95" s="1"/>
  <c r="R10" i="95"/>
  <c r="X10" i="95"/>
  <c r="BA18" i="95"/>
  <c r="AB17" i="95"/>
  <c r="AL17" i="95" s="1"/>
  <c r="Z16" i="95"/>
  <c r="AA16" i="95" s="1"/>
  <c r="Y18" i="95"/>
  <c r="Z15" i="95"/>
  <c r="D434" i="8"/>
  <c r="M15" i="42" s="1"/>
  <c r="P30" i="14"/>
  <c r="R30" i="14" s="1"/>
  <c r="F4" i="44"/>
  <c r="D453" i="8"/>
  <c r="AA43" i="95"/>
  <c r="Z41" i="95"/>
  <c r="AA41" i="95" s="1"/>
  <c r="L63" i="9"/>
  <c r="O63" i="9" s="1"/>
  <c r="Z28" i="95"/>
  <c r="AA28" i="95" s="1"/>
  <c r="Z32" i="95"/>
  <c r="AA32" i="95" s="1"/>
  <c r="Z30" i="95"/>
  <c r="AA30" i="95" s="1"/>
  <c r="Y40" i="95"/>
  <c r="Z40" i="95" s="1"/>
  <c r="AA40" i="95" s="1"/>
  <c r="Y20" i="95"/>
  <c r="Z31" i="95"/>
  <c r="AA31" i="95" s="1"/>
  <c r="Z21" i="95"/>
  <c r="AA21" i="95" s="1"/>
  <c r="Y35" i="95"/>
  <c r="Z35" i="95" s="1"/>
  <c r="Y42" i="95"/>
  <c r="Z42" i="95" s="1"/>
  <c r="Y36" i="95"/>
  <c r="Z36" i="95" s="1"/>
  <c r="AA36" i="95" s="1"/>
  <c r="AA25" i="95"/>
  <c r="Z27" i="95"/>
  <c r="AA27" i="95" s="1"/>
  <c r="Z19" i="95"/>
  <c r="AA19" i="95" s="1"/>
  <c r="Z26" i="95"/>
  <c r="AA26" i="95" s="1"/>
  <c r="Z39" i="95"/>
  <c r="Z29" i="95"/>
  <c r="AA29" i="95" s="1"/>
  <c r="Y33" i="95"/>
  <c r="Z33" i="95" s="1"/>
  <c r="Y24" i="95"/>
  <c r="Y22" i="95"/>
  <c r="Z22" i="95" s="1"/>
  <c r="AA22" i="95" s="1"/>
  <c r="AA23" i="95"/>
  <c r="Z34" i="95"/>
  <c r="AA34" i="95" s="1"/>
  <c r="AB37" i="95"/>
  <c r="AL37" i="95" s="1"/>
  <c r="Z38" i="95"/>
  <c r="AA38" i="95" s="1"/>
  <c r="I20" i="10"/>
  <c r="BA26" i="95"/>
  <c r="AN20" i="95"/>
  <c r="BN22" i="95"/>
  <c r="BN25" i="95"/>
  <c r="BA37" i="95"/>
  <c r="AN23" i="95"/>
  <c r="BN33" i="95"/>
  <c r="AN39" i="95"/>
  <c r="AN42" i="95"/>
  <c r="BN29" i="95"/>
  <c r="BA27" i="95"/>
  <c r="BN34" i="95"/>
  <c r="BA21" i="95"/>
  <c r="E198" i="13"/>
  <c r="K7" i="9"/>
  <c r="N7" i="9" s="1"/>
  <c r="D432" i="8"/>
  <c r="D4" i="44"/>
  <c r="P19" i="14"/>
  <c r="R19" i="14" s="1"/>
  <c r="P42" i="14"/>
  <c r="R42" i="14" s="1"/>
  <c r="E19" i="10"/>
  <c r="F60" i="8" s="1"/>
  <c r="G60" i="8" s="1"/>
  <c r="D60" i="8" s="1"/>
  <c r="W11" i="75"/>
  <c r="K47" i="11"/>
  <c r="E53" i="11"/>
  <c r="J53" i="11" s="1"/>
  <c r="D433" i="8"/>
  <c r="O12" i="36"/>
  <c r="Z12" i="75"/>
  <c r="AL12" i="75"/>
  <c r="X11" i="75"/>
  <c r="E18" i="9" s="1"/>
  <c r="AA12" i="75"/>
  <c r="E150" i="8"/>
  <c r="G150" i="8" s="1"/>
  <c r="D150" i="8" s="1"/>
  <c r="D148" i="8" s="1"/>
  <c r="Q4" i="76"/>
  <c r="D321" i="8" s="1"/>
  <c r="K13" i="9"/>
  <c r="N13" i="9" s="1"/>
  <c r="I13" i="10"/>
  <c r="D8" i="37"/>
  <c r="E60" i="13"/>
  <c r="M12" i="37"/>
  <c r="F61" i="13" s="1"/>
  <c r="K37" i="11"/>
  <c r="J37" i="11"/>
  <c r="M235" i="12"/>
  <c r="D146" i="8" s="1"/>
  <c r="E22" i="9" l="1"/>
  <c r="N11" i="16"/>
  <c r="R11" i="16" s="1"/>
  <c r="R10" i="16" s="1"/>
  <c r="E31" i="9"/>
  <c r="K31" i="9" s="1"/>
  <c r="N31" i="9" s="1"/>
  <c r="K14" i="11"/>
  <c r="D316" i="8"/>
  <c r="J11" i="16"/>
  <c r="J10" i="16" s="1"/>
  <c r="F10" i="16"/>
  <c r="L31" i="9"/>
  <c r="O31" i="9" s="1"/>
  <c r="O17" i="14"/>
  <c r="O15" i="14"/>
  <c r="P15" i="14"/>
  <c r="L21" i="9"/>
  <c r="O21" i="9" s="1"/>
  <c r="L22" i="9"/>
  <c r="O22" i="9" s="1"/>
  <c r="O8" i="36"/>
  <c r="F55" i="13"/>
  <c r="J21" i="11"/>
  <c r="E53" i="9"/>
  <c r="K53" i="9" s="1"/>
  <c r="N53" i="9" s="1"/>
  <c r="AB23" i="95"/>
  <c r="AL23" i="95" s="1"/>
  <c r="AB29" i="95"/>
  <c r="AL29" i="95" s="1"/>
  <c r="AB26" i="95"/>
  <c r="AL26" i="95" s="1"/>
  <c r="AB27" i="95"/>
  <c r="AL27" i="95" s="1"/>
  <c r="AB36" i="95"/>
  <c r="AL36" i="95" s="1"/>
  <c r="AB31" i="95"/>
  <c r="AL31" i="95" s="1"/>
  <c r="AB40" i="95"/>
  <c r="AL40" i="95" s="1"/>
  <c r="AB32" i="95"/>
  <c r="AL32" i="95" s="1"/>
  <c r="AB43" i="95"/>
  <c r="AL43" i="95" s="1"/>
  <c r="AB44" i="95"/>
  <c r="AL44" i="95" s="1"/>
  <c r="AB47" i="95"/>
  <c r="AL47" i="95" s="1"/>
  <c r="AB38" i="95"/>
  <c r="AL38" i="95" s="1"/>
  <c r="AB22" i="95"/>
  <c r="AL22" i="95" s="1"/>
  <c r="AB19" i="95"/>
  <c r="AL19" i="95" s="1"/>
  <c r="AB25" i="95"/>
  <c r="AL25" i="95" s="1"/>
  <c r="AB21" i="95"/>
  <c r="AL21" i="95" s="1"/>
  <c r="AB30" i="95"/>
  <c r="AL30" i="95" s="1"/>
  <c r="AB28" i="95"/>
  <c r="AL28" i="95" s="1"/>
  <c r="AB41" i="95"/>
  <c r="AL41" i="95" s="1"/>
  <c r="AB46" i="95"/>
  <c r="AL46" i="95" s="1"/>
  <c r="BN47" i="95"/>
  <c r="AN46" i="95"/>
  <c r="BA47" i="95"/>
  <c r="AN47" i="95"/>
  <c r="BN44" i="95"/>
  <c r="AB45" i="95"/>
  <c r="AL45" i="95" s="1"/>
  <c r="BA45" i="95"/>
  <c r="BA44" i="95"/>
  <c r="AN44" i="95"/>
  <c r="Y10" i="95"/>
  <c r="S10" i="95"/>
  <c r="E210" i="8"/>
  <c r="G210" i="8" s="1"/>
  <c r="D210" i="8" s="1"/>
  <c r="AA15" i="95"/>
  <c r="Z18" i="95"/>
  <c r="AA18" i="95" s="1"/>
  <c r="AB16" i="95"/>
  <c r="AL16" i="95" s="1"/>
  <c r="G4" i="44"/>
  <c r="D23" i="8" s="1"/>
  <c r="BA17" i="95"/>
  <c r="Z20" i="95"/>
  <c r="AA20" i="95" s="1"/>
  <c r="AA42" i="95"/>
  <c r="AA35" i="95"/>
  <c r="AA33" i="95"/>
  <c r="AA39" i="95"/>
  <c r="AB34" i="95"/>
  <c r="AL34" i="95" s="1"/>
  <c r="Z24" i="95"/>
  <c r="AA24" i="95" s="1"/>
  <c r="BA42" i="95"/>
  <c r="BN23" i="95"/>
  <c r="BA22" i="95"/>
  <c r="AN21" i="95"/>
  <c r="AN22" i="95"/>
  <c r="BA23" i="95"/>
  <c r="BA20" i="95"/>
  <c r="BN20" i="95"/>
  <c r="AN34" i="95"/>
  <c r="BA34" i="95"/>
  <c r="BA29" i="95"/>
  <c r="AN25" i="95"/>
  <c r="AN41" i="95"/>
  <c r="BA41" i="95"/>
  <c r="BN31" i="95"/>
  <c r="AN29" i="95"/>
  <c r="BN39" i="95"/>
  <c r="BN18" i="95"/>
  <c r="BN28" i="95"/>
  <c r="BA33" i="95"/>
  <c r="AN37" i="95"/>
  <c r="BA25" i="95"/>
  <c r="BA39" i="95"/>
  <c r="AN18" i="95"/>
  <c r="BN19" i="95"/>
  <c r="BN21" i="95"/>
  <c r="AN27" i="95"/>
  <c r="BN27" i="95"/>
  <c r="BA32" i="95"/>
  <c r="BN42" i="95"/>
  <c r="AN26" i="95"/>
  <c r="AN33" i="95"/>
  <c r="BN36" i="95"/>
  <c r="BN26" i="95"/>
  <c r="BN41" i="95"/>
  <c r="BN37" i="95"/>
  <c r="AN24" i="95"/>
  <c r="D430" i="8"/>
  <c r="E54" i="11"/>
  <c r="J54" i="11" s="1"/>
  <c r="E21" i="10"/>
  <c r="I19" i="10"/>
  <c r="H19" i="10"/>
  <c r="Z11" i="75"/>
  <c r="K53" i="11"/>
  <c r="M8" i="37"/>
  <c r="K11" i="9"/>
  <c r="N11" i="9" s="1"/>
  <c r="AI12" i="75"/>
  <c r="AA11" i="75"/>
  <c r="F97" i="13"/>
  <c r="F93" i="13" s="1"/>
  <c r="F269" i="13" s="1"/>
  <c r="K18" i="9"/>
  <c r="N18" i="9" s="1"/>
  <c r="P38" i="14" l="1"/>
  <c r="R38" i="14" s="1"/>
  <c r="N10" i="16"/>
  <c r="R15" i="14"/>
  <c r="K22" i="9"/>
  <c r="N22" i="9" s="1"/>
  <c r="I10" i="105"/>
  <c r="E27" i="10"/>
  <c r="E33" i="10" s="1"/>
  <c r="AB33" i="95"/>
  <c r="AL33" i="95" s="1"/>
  <c r="AB42" i="95"/>
  <c r="AL42" i="95" s="1"/>
  <c r="AB39" i="95"/>
  <c r="AL39" i="95" s="1"/>
  <c r="AB35" i="95"/>
  <c r="AL35" i="95" s="1"/>
  <c r="BA46" i="95"/>
  <c r="BN46" i="95"/>
  <c r="F54" i="13"/>
  <c r="P16" i="14" s="1"/>
  <c r="R16" i="14" s="1"/>
  <c r="BN45" i="95"/>
  <c r="AN45" i="95"/>
  <c r="T10" i="95"/>
  <c r="AA10" i="95"/>
  <c r="AB15" i="95"/>
  <c r="AL15" i="95" s="1"/>
  <c r="Z10" i="95"/>
  <c r="AB18" i="95"/>
  <c r="AL18" i="95" s="1"/>
  <c r="BN17" i="95"/>
  <c r="AN17" i="95"/>
  <c r="AB20" i="95"/>
  <c r="AL20" i="95" s="1"/>
  <c r="AB24" i="95"/>
  <c r="AL24" i="95" s="1"/>
  <c r="AN43" i="95"/>
  <c r="BN35" i="95"/>
  <c r="BA43" i="95"/>
  <c r="BA19" i="95"/>
  <c r="AN19" i="95"/>
  <c r="BA28" i="95"/>
  <c r="AN16" i="95"/>
  <c r="BN16" i="95"/>
  <c r="AN36" i="95"/>
  <c r="BA16" i="95"/>
  <c r="BN32" i="95"/>
  <c r="BA35" i="95"/>
  <c r="BA36" i="95"/>
  <c r="AN32" i="95"/>
  <c r="BA31" i="95"/>
  <c r="BA30" i="95"/>
  <c r="AN28" i="95"/>
  <c r="BN38" i="95"/>
  <c r="BN24" i="95"/>
  <c r="BA38" i="95"/>
  <c r="AN38" i="95"/>
  <c r="BA24" i="95"/>
  <c r="AN35" i="95"/>
  <c r="BA40" i="95"/>
  <c r="AN31" i="95"/>
  <c r="BN43" i="95"/>
  <c r="E56" i="11"/>
  <c r="K56" i="11" s="1"/>
  <c r="H21" i="10"/>
  <c r="K54" i="11"/>
  <c r="I21" i="10"/>
  <c r="D278" i="8"/>
  <c r="L25" i="9"/>
  <c r="O25" i="9" s="1"/>
  <c r="F60" i="13"/>
  <c r="D22" i="8" s="1"/>
  <c r="P17" i="14" l="1"/>
  <c r="R17" i="14" s="1"/>
  <c r="R2" i="14" s="1"/>
  <c r="D20" i="8" s="1"/>
  <c r="BT6" i="95"/>
  <c r="AS3" i="95" s="1"/>
  <c r="D339" i="8" s="1"/>
  <c r="D320" i="8" s="1"/>
  <c r="BN15" i="95"/>
  <c r="BA15" i="95"/>
  <c r="BA6" i="95" s="1"/>
  <c r="D208" i="8" s="1"/>
  <c r="U10" i="95"/>
  <c r="AB10" i="95"/>
  <c r="E209" i="8"/>
  <c r="G209" i="8" s="1"/>
  <c r="D209" i="8" s="1"/>
  <c r="AN15" i="95"/>
  <c r="BN30" i="95"/>
  <c r="AN30" i="95"/>
  <c r="AN40" i="95"/>
  <c r="BN40" i="95"/>
  <c r="F17" i="8"/>
  <c r="G17" i="8" s="1"/>
  <c r="D17" i="8" s="1"/>
  <c r="H27" i="10"/>
  <c r="J56" i="11"/>
  <c r="J58" i="11" s="1"/>
  <c r="D13" i="8" s="1"/>
  <c r="H33" i="10"/>
  <c r="I33" i="10"/>
  <c r="I27" i="10"/>
  <c r="K25" i="9"/>
  <c r="N25" i="9" s="1"/>
  <c r="AL6" i="95" l="1"/>
  <c r="D286" i="8" s="1"/>
  <c r="BN6" i="95"/>
  <c r="D288" i="8" s="1"/>
  <c r="AN6" i="95"/>
  <c r="D68" i="8" s="1"/>
  <c r="H36" i="10"/>
  <c r="D12" i="8" s="1"/>
  <c r="D289" i="8" l="1"/>
  <c r="AU10" i="59" l="1"/>
  <c r="AU14" i="59"/>
  <c r="AU15" i="59"/>
  <c r="AU12" i="59"/>
  <c r="AU13" i="59"/>
  <c r="AU16" i="59"/>
  <c r="AU11" i="59"/>
  <c r="D352" i="8" l="1"/>
  <c r="CE12" i="59"/>
  <c r="CE31" i="59"/>
  <c r="CE13" i="59"/>
  <c r="CE20" i="59"/>
  <c r="CE15" i="59"/>
  <c r="CE34" i="59"/>
  <c r="CE30" i="59"/>
  <c r="CE26" i="59"/>
  <c r="CE19" i="59"/>
  <c r="CE18" i="59"/>
  <c r="CE40" i="59"/>
  <c r="CE33" i="59"/>
  <c r="CE24" i="59"/>
  <c r="CE35" i="59"/>
  <c r="CE32" i="59"/>
  <c r="CE38" i="59"/>
  <c r="CE21" i="59"/>
  <c r="CE17" i="59"/>
  <c r="CE37" i="59"/>
  <c r="CE23" i="59"/>
  <c r="CE39" i="59"/>
  <c r="CE25" i="59"/>
  <c r="CE11" i="59"/>
  <c r="CE22" i="59"/>
  <c r="CE29" i="59"/>
  <c r="CE36" i="59"/>
  <c r="CE27" i="59"/>
  <c r="CE14" i="59"/>
  <c r="CE16" i="59"/>
  <c r="CE10" i="59"/>
  <c r="CE28" i="59"/>
  <c r="L7" i="70"/>
  <c r="D489" i="8" l="1"/>
  <c r="D488" i="8" s="1"/>
  <c r="P13" i="90" l="1"/>
  <c r="D483" i="8" s="1"/>
  <c r="BV10" i="59" l="1"/>
  <c r="BE10" i="59" s="1"/>
  <c r="BE9" i="59" s="1"/>
  <c r="D176" i="8" s="1"/>
  <c r="M14" i="68"/>
  <c r="M11" i="68"/>
  <c r="M13" i="68"/>
  <c r="J9" i="69"/>
  <c r="J17" i="66"/>
  <c r="J16" i="66"/>
  <c r="J11" i="69"/>
  <c r="J15" i="66"/>
  <c r="J18" i="66"/>
  <c r="D10" i="125"/>
  <c r="Q13" i="132"/>
  <c r="C2" i="132"/>
  <c r="R12" i="132"/>
  <c r="F33" i="135"/>
  <c r="F63" i="135"/>
  <c r="F59" i="135"/>
  <c r="F54" i="135"/>
  <c r="F50" i="135"/>
  <c r="F46" i="135"/>
  <c r="F43" i="135"/>
  <c r="F39" i="135"/>
  <c r="F36" i="135"/>
  <c r="J63" i="135"/>
  <c r="J59" i="135"/>
  <c r="Q11" i="132"/>
  <c r="C2" i="48"/>
  <c r="Q14" i="132"/>
  <c r="R11" i="132"/>
  <c r="F62" i="135"/>
  <c r="F58" i="135"/>
  <c r="F55" i="135"/>
  <c r="F51" i="135"/>
  <c r="F47" i="135"/>
  <c r="F42" i="135"/>
  <c r="F35" i="135"/>
  <c r="J62" i="135"/>
  <c r="J58" i="135"/>
  <c r="J56" i="135"/>
  <c r="J54" i="135"/>
  <c r="J52" i="135"/>
  <c r="J50" i="135"/>
  <c r="J48" i="135"/>
  <c r="J46" i="135"/>
  <c r="J44" i="135"/>
  <c r="J42" i="135"/>
  <c r="J40" i="135"/>
  <c r="J38" i="135"/>
  <c r="J36" i="135"/>
  <c r="J34" i="135"/>
  <c r="P64" i="135"/>
  <c r="P62" i="135"/>
  <c r="P60" i="135"/>
  <c r="P58" i="135"/>
  <c r="P56" i="135"/>
  <c r="P54" i="135"/>
  <c r="P52" i="135"/>
  <c r="P50" i="135"/>
  <c r="P48" i="135"/>
  <c r="P46" i="135"/>
  <c r="P44" i="135"/>
  <c r="P42" i="135"/>
  <c r="P40" i="135"/>
  <c r="P38" i="135"/>
  <c r="P36" i="135"/>
  <c r="P34" i="135"/>
  <c r="D9" i="115"/>
  <c r="F37" i="135"/>
  <c r="J33" i="135"/>
  <c r="I63" i="135"/>
  <c r="I61" i="135"/>
  <c r="I59" i="135"/>
  <c r="I57" i="135"/>
  <c r="I55" i="135"/>
  <c r="I53" i="135"/>
  <c r="I51" i="135"/>
  <c r="I49" i="135"/>
  <c r="I47" i="135"/>
  <c r="I45" i="135"/>
  <c r="I43" i="135"/>
  <c r="I41" i="135"/>
  <c r="I39" i="135"/>
  <c r="I37" i="135"/>
  <c r="I35" i="135"/>
  <c r="P33" i="135"/>
  <c r="O63" i="135"/>
  <c r="O61" i="135"/>
  <c r="O59" i="135"/>
  <c r="O57" i="135"/>
  <c r="O55" i="135"/>
  <c r="O53" i="135"/>
  <c r="O51" i="135"/>
  <c r="O49" i="135"/>
  <c r="O47" i="135"/>
  <c r="O45" i="135"/>
  <c r="O43" i="135"/>
  <c r="O41" i="135"/>
  <c r="O39" i="135"/>
  <c r="O37" i="135"/>
  <c r="O35" i="135"/>
  <c r="G43" i="137"/>
  <c r="G44" i="137"/>
  <c r="D14" i="132"/>
  <c r="D12" i="132"/>
  <c r="D12" i="115"/>
  <c r="C2" i="129"/>
  <c r="J24" i="66"/>
  <c r="J21" i="66"/>
  <c r="Q16" i="132"/>
  <c r="Q18" i="132"/>
  <c r="Q20" i="132"/>
  <c r="Q22" i="132"/>
  <c r="Q24" i="132"/>
  <c r="D15" i="132"/>
  <c r="D16" i="132"/>
  <c r="D17" i="132"/>
  <c r="D18" i="132"/>
  <c r="D19" i="132"/>
  <c r="D20" i="132"/>
  <c r="D21" i="132"/>
  <c r="D22" i="132"/>
  <c r="D23" i="132"/>
  <c r="D24" i="132"/>
  <c r="R16" i="58"/>
  <c r="R17" i="58"/>
  <c r="R18" i="58"/>
  <c r="R15" i="58"/>
  <c r="R20" i="58"/>
  <c r="K11" i="67"/>
  <c r="K9" i="67"/>
  <c r="K10" i="67"/>
  <c r="J11" i="66"/>
  <c r="J10" i="66"/>
  <c r="L34" i="160"/>
  <c r="E37" i="160"/>
  <c r="E35" i="160"/>
  <c r="L35" i="160"/>
  <c r="H19" i="164"/>
  <c r="H17" i="164"/>
  <c r="H15" i="164"/>
  <c r="H13" i="164"/>
  <c r="H11" i="164"/>
  <c r="H20" i="164"/>
  <c r="H22" i="164"/>
  <c r="G47" i="137"/>
  <c r="H25" i="164"/>
  <c r="H18" i="164"/>
  <c r="H14" i="164"/>
  <c r="H21" i="164"/>
  <c r="H24" i="164"/>
  <c r="M10" i="68"/>
  <c r="M12" i="68"/>
  <c r="M9" i="68"/>
  <c r="J10" i="69"/>
  <c r="J14" i="66"/>
  <c r="J20" i="66"/>
  <c r="J12" i="69"/>
  <c r="J19" i="66"/>
  <c r="J9" i="66"/>
  <c r="D12" i="125"/>
  <c r="C2" i="50"/>
  <c r="R10" i="132"/>
  <c r="R14" i="132"/>
  <c r="F64" i="135"/>
  <c r="F60" i="135"/>
  <c r="F56" i="135"/>
  <c r="F53" i="135"/>
  <c r="F49" i="135"/>
  <c r="F44" i="135"/>
  <c r="F40" i="135"/>
  <c r="F38" i="135"/>
  <c r="I33" i="135"/>
  <c r="J61" i="135"/>
  <c r="D11" i="125"/>
  <c r="Q12" i="132"/>
  <c r="B2" i="51"/>
  <c r="Q10" i="132"/>
  <c r="R13" i="132"/>
  <c r="F61" i="135"/>
  <c r="F57" i="135"/>
  <c r="F52" i="135"/>
  <c r="F48" i="135"/>
  <c r="F45" i="135"/>
  <c r="F41" i="135"/>
  <c r="J64" i="135"/>
  <c r="J60" i="135"/>
  <c r="J57" i="135"/>
  <c r="J55" i="135"/>
  <c r="J53" i="135"/>
  <c r="J51" i="135"/>
  <c r="J49" i="135"/>
  <c r="J47" i="135"/>
  <c r="J45" i="135"/>
  <c r="J43" i="135"/>
  <c r="J41" i="135"/>
  <c r="J39" i="135"/>
  <c r="J37" i="135"/>
  <c r="J35" i="135"/>
  <c r="O33" i="135"/>
  <c r="P63" i="135"/>
  <c r="P61" i="135"/>
  <c r="P59" i="135"/>
  <c r="P57" i="135"/>
  <c r="P55" i="135"/>
  <c r="P53" i="135"/>
  <c r="P51" i="135"/>
  <c r="P49" i="135"/>
  <c r="P47" i="135"/>
  <c r="P45" i="135"/>
  <c r="P43" i="135"/>
  <c r="P41" i="135"/>
  <c r="P39" i="135"/>
  <c r="P37" i="135"/>
  <c r="P35" i="135"/>
  <c r="D10" i="132"/>
  <c r="D11" i="115"/>
  <c r="F34" i="135"/>
  <c r="I64" i="135"/>
  <c r="I62" i="135"/>
  <c r="I60" i="135"/>
  <c r="I58" i="135"/>
  <c r="I56" i="135"/>
  <c r="I54" i="135"/>
  <c r="I52" i="135"/>
  <c r="I50" i="135"/>
  <c r="I48" i="135"/>
  <c r="I46" i="135"/>
  <c r="I44" i="135"/>
  <c r="I42" i="135"/>
  <c r="I40" i="135"/>
  <c r="I38" i="135"/>
  <c r="I36" i="135"/>
  <c r="I34" i="135"/>
  <c r="O64" i="135"/>
  <c r="O62" i="135"/>
  <c r="O60" i="135"/>
  <c r="O58" i="135"/>
  <c r="O56" i="135"/>
  <c r="O54" i="135"/>
  <c r="O52" i="135"/>
  <c r="O50" i="135"/>
  <c r="O48" i="135"/>
  <c r="O46" i="135"/>
  <c r="O44" i="135"/>
  <c r="O42" i="135"/>
  <c r="O40" i="135"/>
  <c r="O38" i="135"/>
  <c r="O36" i="135"/>
  <c r="O34" i="135"/>
  <c r="G45" i="137"/>
  <c r="G46" i="137"/>
  <c r="D13" i="132"/>
  <c r="D11" i="132"/>
  <c r="D10" i="115"/>
  <c r="J23" i="66"/>
  <c r="J22" i="66"/>
  <c r="Q15" i="132"/>
  <c r="Q17" i="132"/>
  <c r="Q19" i="132"/>
  <c r="Q21" i="132"/>
  <c r="Q23" i="132"/>
  <c r="R15" i="132"/>
  <c r="R16" i="132"/>
  <c r="R17" i="132"/>
  <c r="R18" i="132"/>
  <c r="R19" i="132"/>
  <c r="R20" i="132"/>
  <c r="R21" i="132"/>
  <c r="R22" i="132"/>
  <c r="R23" i="132"/>
  <c r="R24" i="132"/>
  <c r="R12" i="58"/>
  <c r="R13" i="58"/>
  <c r="R14" i="58"/>
  <c r="R11" i="58"/>
  <c r="R19" i="58"/>
  <c r="R21" i="58"/>
  <c r="K12" i="67"/>
  <c r="K13" i="67"/>
  <c r="J13" i="66"/>
  <c r="D375" i="8" s="1"/>
  <c r="J12" i="66"/>
  <c r="E34" i="160"/>
  <c r="L36" i="160"/>
  <c r="E36" i="160"/>
  <c r="L37" i="160"/>
  <c r="H9" i="164"/>
  <c r="H16" i="164"/>
  <c r="H12" i="164"/>
  <c r="H10" i="164"/>
  <c r="H23" i="164"/>
  <c r="J181" i="105"/>
  <c r="D204" i="8" s="1"/>
  <c r="M8" i="68"/>
  <c r="G44" i="135"/>
  <c r="G35" i="135"/>
  <c r="G33" i="135"/>
  <c r="G37" i="135"/>
  <c r="A37" i="135" s="1"/>
  <c r="E10" i="115"/>
  <c r="G39" i="135"/>
  <c r="E10" i="125"/>
  <c r="A10" i="125" s="1"/>
  <c r="G47" i="135"/>
  <c r="G51" i="135"/>
  <c r="G55" i="135"/>
  <c r="G48" i="135"/>
  <c r="F46" i="137"/>
  <c r="A46" i="137" s="1"/>
  <c r="G40" i="135"/>
  <c r="G46" i="135"/>
  <c r="A46" i="135" s="1"/>
  <c r="G64" i="135"/>
  <c r="G41" i="135"/>
  <c r="G58" i="135"/>
  <c r="A58" i="135" s="1"/>
  <c r="G53" i="135"/>
  <c r="A53" i="135" s="1"/>
  <c r="G59" i="135"/>
  <c r="A59" i="135" s="1"/>
  <c r="G57" i="135"/>
  <c r="G38" i="135"/>
  <c r="A38" i="135" s="1"/>
  <c r="G50" i="135"/>
  <c r="A50" i="135" s="1"/>
  <c r="G61" i="135"/>
  <c r="A61" i="135" s="1"/>
  <c r="E11" i="125"/>
  <c r="G34" i="135"/>
  <c r="A34" i="135" s="1"/>
  <c r="E9" i="115"/>
  <c r="A9" i="115" s="1"/>
  <c r="G42" i="135"/>
  <c r="A42" i="135" s="1"/>
  <c r="E12" i="125"/>
  <c r="G49" i="135"/>
  <c r="G36" i="135"/>
  <c r="G62" i="135"/>
  <c r="A62" i="135"/>
  <c r="G63" i="135"/>
  <c r="A63" i="135"/>
  <c r="E11" i="115"/>
  <c r="E12" i="115"/>
  <c r="A12" i="115" s="1"/>
  <c r="E14" i="132"/>
  <c r="A14" i="132" s="1"/>
  <c r="F45" i="137"/>
  <c r="G54" i="135"/>
  <c r="A54" i="135"/>
  <c r="G52" i="135"/>
  <c r="G45" i="135"/>
  <c r="A45" i="135" s="1"/>
  <c r="F43" i="137"/>
  <c r="A43" i="137" s="1"/>
  <c r="G56" i="135"/>
  <c r="G60" i="135"/>
  <c r="G43" i="135"/>
  <c r="F44" i="137"/>
  <c r="A44" i="137"/>
  <c r="R10" i="58"/>
  <c r="C2" i="133"/>
  <c r="S22" i="133" s="1"/>
  <c r="L3" i="12"/>
  <c r="E11" i="132"/>
  <c r="A11" i="132" s="1"/>
  <c r="J8" i="66"/>
  <c r="C3" i="60"/>
  <c r="BK15" i="59" s="1"/>
  <c r="F47" i="137"/>
  <c r="A47" i="137" s="1"/>
  <c r="G4" i="105"/>
  <c r="E181" i="105" s="1"/>
  <c r="E183" i="105" s="1"/>
  <c r="I181" i="105" s="1"/>
  <c r="D202" i="8" s="1"/>
  <c r="D200" i="8" s="1"/>
  <c r="C2" i="57"/>
  <c r="E83" i="13" s="1"/>
  <c r="N8" i="165"/>
  <c r="C10" i="165" s="1"/>
  <c r="BB9" i="60" s="1"/>
  <c r="BC9" i="60" s="1"/>
  <c r="D266" i="8" s="1"/>
  <c r="C2" i="52"/>
  <c r="J8" i="69"/>
  <c r="C2" i="55"/>
  <c r="C2" i="59"/>
  <c r="E13" i="132"/>
  <c r="E12" i="132"/>
  <c r="A12" i="132" s="1"/>
  <c r="D4" i="4"/>
  <c r="BT21" i="59" s="1"/>
  <c r="BU21" i="59" s="1"/>
  <c r="E22" i="132"/>
  <c r="A22" i="132" s="1"/>
  <c r="E18" i="132"/>
  <c r="A18" i="132" s="1"/>
  <c r="E23" i="132"/>
  <c r="A23" i="132" s="1"/>
  <c r="E19" i="132"/>
  <c r="E15" i="132"/>
  <c r="A15" i="132" s="1"/>
  <c r="K8" i="67"/>
  <c r="E10" i="132"/>
  <c r="D3" i="4"/>
  <c r="F51" i="9" s="1"/>
  <c r="L51" i="9" s="1"/>
  <c r="O51" i="9" s="1"/>
  <c r="E24" i="132"/>
  <c r="A24" i="132" s="1"/>
  <c r="E20" i="132"/>
  <c r="A20" i="132" s="1"/>
  <c r="E16" i="132"/>
  <c r="A16" i="132" s="1"/>
  <c r="E21" i="132"/>
  <c r="E17" i="132"/>
  <c r="A17" i="132" s="1"/>
  <c r="I21" i="164"/>
  <c r="A21" i="164" s="1"/>
  <c r="I22" i="164"/>
  <c r="A22" i="164" s="1"/>
  <c r="I23" i="164"/>
  <c r="A23" i="164" s="1"/>
  <c r="I19" i="164"/>
  <c r="A19" i="164" s="1"/>
  <c r="I16" i="164"/>
  <c r="A16" i="164" s="1"/>
  <c r="I13" i="164"/>
  <c r="A13" i="164" s="1"/>
  <c r="I11" i="164"/>
  <c r="A11" i="164" s="1"/>
  <c r="I25" i="164"/>
  <c r="A25" i="164" s="1"/>
  <c r="F37" i="160"/>
  <c r="A37" i="160" s="1"/>
  <c r="F36" i="160"/>
  <c r="A36" i="160" s="1"/>
  <c r="F35" i="160"/>
  <c r="A35" i="160" s="1"/>
  <c r="F34" i="160"/>
  <c r="A34" i="160" s="1"/>
  <c r="I9" i="164"/>
  <c r="A9" i="164" s="1"/>
  <c r="I18" i="164"/>
  <c r="A18" i="164" s="1"/>
  <c r="I17" i="164"/>
  <c r="A17" i="164" s="1"/>
  <c r="I15" i="164"/>
  <c r="A15" i="164" s="1"/>
  <c r="I14" i="164"/>
  <c r="A14" i="164" s="1"/>
  <c r="I12" i="164"/>
  <c r="A12" i="164" s="1"/>
  <c r="I10" i="164"/>
  <c r="A10" i="164" s="1"/>
  <c r="I20" i="164"/>
  <c r="A20" i="164" s="1"/>
  <c r="I24" i="164"/>
  <c r="A24" i="164" s="1"/>
  <c r="A13" i="132" l="1"/>
  <c r="E81" i="13"/>
  <c r="A11" i="115"/>
  <c r="A41" i="135"/>
  <c r="A49" i="135"/>
  <c r="A55" i="135"/>
  <c r="A11" i="125"/>
  <c r="D379" i="8"/>
  <c r="K6" i="67"/>
  <c r="A19" i="132"/>
  <c r="BT42" i="59"/>
  <c r="BU42" i="59" s="1"/>
  <c r="J6" i="69"/>
  <c r="BT20" i="59"/>
  <c r="BU20" i="59" s="1"/>
  <c r="BT26" i="59"/>
  <c r="BU26" i="59" s="1"/>
  <c r="BT15" i="59"/>
  <c r="BU15" i="59" s="1"/>
  <c r="BT17" i="59"/>
  <c r="BU17" i="59" s="1"/>
  <c r="BT22" i="59"/>
  <c r="BU22" i="59" s="1"/>
  <c r="A10" i="115"/>
  <c r="A35" i="135"/>
  <c r="A47" i="135"/>
  <c r="DD11" i="59"/>
  <c r="DE10" i="59"/>
  <c r="DE41" i="59"/>
  <c r="DD40" i="59"/>
  <c r="BK27" i="59"/>
  <c r="BK30" i="59"/>
  <c r="DE40" i="59"/>
  <c r="DD39" i="59"/>
  <c r="DE37" i="59"/>
  <c r="DD36" i="59"/>
  <c r="BK11" i="59"/>
  <c r="BK29" i="59"/>
  <c r="DE18" i="59"/>
  <c r="DE34" i="59"/>
  <c r="DD17" i="59"/>
  <c r="DD33" i="59"/>
  <c r="DE15" i="59"/>
  <c r="DE31" i="59"/>
  <c r="DD14" i="59"/>
  <c r="DD30" i="59"/>
  <c r="BK16" i="59"/>
  <c r="BK18" i="59"/>
  <c r="BK20" i="59"/>
  <c r="BK12" i="59"/>
  <c r="G125" i="8"/>
  <c r="D125" i="8" s="1"/>
  <c r="S20" i="133"/>
  <c r="D55" i="8"/>
  <c r="A45" i="137"/>
  <c r="A36" i="135"/>
  <c r="A44" i="135"/>
  <c r="A60" i="135"/>
  <c r="A51" i="135"/>
  <c r="A57" i="135"/>
  <c r="A40" i="135"/>
  <c r="A56" i="135"/>
  <c r="A12" i="125"/>
  <c r="A52" i="135"/>
  <c r="A39" i="135"/>
  <c r="A43" i="135"/>
  <c r="A48" i="135"/>
  <c r="A33" i="135"/>
  <c r="A64" i="135"/>
  <c r="A21" i="132"/>
  <c r="F44" i="9"/>
  <c r="L44" i="9" s="1"/>
  <c r="O44" i="9" s="1"/>
  <c r="E44" i="9"/>
  <c r="K44" i="9" s="1"/>
  <c r="N44" i="9" s="1"/>
  <c r="DE20" i="59"/>
  <c r="DE28" i="59"/>
  <c r="DD27" i="59"/>
  <c r="DE25" i="59"/>
  <c r="DD24" i="59"/>
  <c r="BK25" i="59"/>
  <c r="BK38" i="59"/>
  <c r="DE24" i="59"/>
  <c r="DD23" i="59"/>
  <c r="DE21" i="59"/>
  <c r="DD20" i="59"/>
  <c r="BK40" i="59"/>
  <c r="BK37" i="59"/>
  <c r="DE12" i="59"/>
  <c r="DE26" i="59"/>
  <c r="DE42" i="59"/>
  <c r="DD25" i="59"/>
  <c r="DD41" i="59"/>
  <c r="DE23" i="59"/>
  <c r="DE39" i="59"/>
  <c r="DD22" i="59"/>
  <c r="DD38" i="59"/>
  <c r="BK17" i="59"/>
  <c r="BK19" i="59"/>
  <c r="BK22" i="59"/>
  <c r="BK14" i="59"/>
  <c r="BT40" i="59"/>
  <c r="BU40" i="59" s="1"/>
  <c r="BT36" i="59"/>
  <c r="BU36" i="59" s="1"/>
  <c r="BT38" i="59"/>
  <c r="BU38" i="59" s="1"/>
  <c r="BT33" i="59"/>
  <c r="BU33" i="59" s="1"/>
  <c r="BT23" i="59"/>
  <c r="BU23" i="59" s="1"/>
  <c r="S12" i="133"/>
  <c r="R9" i="58"/>
  <c r="D272" i="8" s="1"/>
  <c r="S13" i="133"/>
  <c r="AQ13" i="60"/>
  <c r="AS13" i="60" s="1"/>
  <c r="AQ14" i="60"/>
  <c r="AS14" i="60" s="1"/>
  <c r="AQ12" i="60"/>
  <c r="AS12" i="60" s="1"/>
  <c r="AQ15" i="60"/>
  <c r="AS15" i="60" s="1"/>
  <c r="AQ11" i="60"/>
  <c r="AS11" i="60" s="1"/>
  <c r="AQ16" i="60"/>
  <c r="AS16" i="60" s="1"/>
  <c r="AQ33" i="60"/>
  <c r="AS33" i="60" s="1"/>
  <c r="AQ21" i="60"/>
  <c r="AS21" i="60" s="1"/>
  <c r="AQ34" i="60"/>
  <c r="AS34" i="60" s="1"/>
  <c r="AQ19" i="60"/>
  <c r="AS19" i="60" s="1"/>
  <c r="AQ32" i="60"/>
  <c r="AS32" i="60" s="1"/>
  <c r="AQ24" i="60"/>
  <c r="AS24" i="60" s="1"/>
  <c r="AQ28" i="60"/>
  <c r="AS28" i="60" s="1"/>
  <c r="AQ26" i="60"/>
  <c r="AS26" i="60" s="1"/>
  <c r="AQ27" i="60"/>
  <c r="AS27" i="60" s="1"/>
  <c r="BY40" i="59"/>
  <c r="CA40" i="59" s="1"/>
  <c r="BY36" i="59"/>
  <c r="CA36" i="59" s="1"/>
  <c r="BY32" i="59"/>
  <c r="CA32" i="59" s="1"/>
  <c r="BY28" i="59"/>
  <c r="CA28" i="59" s="1"/>
  <c r="BY24" i="59"/>
  <c r="CA24" i="59" s="1"/>
  <c r="BY20" i="59"/>
  <c r="CA20" i="59" s="1"/>
  <c r="BY16" i="59"/>
  <c r="CA16" i="59" s="1"/>
  <c r="BY12" i="59"/>
  <c r="CA12" i="59" s="1"/>
  <c r="BY39" i="59"/>
  <c r="CA39" i="59" s="1"/>
  <c r="BY35" i="59"/>
  <c r="CA35" i="59" s="1"/>
  <c r="BY31" i="59"/>
  <c r="CA31" i="59" s="1"/>
  <c r="BY27" i="59"/>
  <c r="CA27" i="59" s="1"/>
  <c r="BY23" i="59"/>
  <c r="CA23" i="59" s="1"/>
  <c r="BY19" i="59"/>
  <c r="CA19" i="59" s="1"/>
  <c r="BY15" i="59"/>
  <c r="CA15" i="59" s="1"/>
  <c r="BY11" i="59"/>
  <c r="CA11" i="59" s="1"/>
  <c r="AQ37" i="60"/>
  <c r="AS37" i="60" s="1"/>
  <c r="BY42" i="59"/>
  <c r="CA42" i="59" s="1"/>
  <c r="BY17" i="59"/>
  <c r="CA17" i="59" s="1"/>
  <c r="BY25" i="59"/>
  <c r="CA25" i="59" s="1"/>
  <c r="BY33" i="59"/>
  <c r="CA33" i="59" s="1"/>
  <c r="BY14" i="59"/>
  <c r="CA14" i="59" s="1"/>
  <c r="BY22" i="59"/>
  <c r="CA22" i="59" s="1"/>
  <c r="BY30" i="59"/>
  <c r="CA30" i="59" s="1"/>
  <c r="BY38" i="59"/>
  <c r="CA38" i="59" s="1"/>
  <c r="AQ35" i="60"/>
  <c r="AS35" i="60" s="1"/>
  <c r="BY41" i="59"/>
  <c r="CA41" i="59" s="1"/>
  <c r="BY13" i="59"/>
  <c r="CA13" i="59" s="1"/>
  <c r="BY21" i="59"/>
  <c r="CA21" i="59" s="1"/>
  <c r="BY29" i="59"/>
  <c r="CA29" i="59" s="1"/>
  <c r="BY37" i="59"/>
  <c r="CA37" i="59" s="1"/>
  <c r="BY18" i="59"/>
  <c r="CA18" i="59" s="1"/>
  <c r="BY26" i="59"/>
  <c r="CA26" i="59" s="1"/>
  <c r="BY34" i="59"/>
  <c r="CA34" i="59" s="1"/>
  <c r="BJ22" i="59"/>
  <c r="BL22" i="59" s="1"/>
  <c r="BJ20" i="59"/>
  <c r="BL20" i="59" s="1"/>
  <c r="BJ18" i="59"/>
  <c r="BL18" i="59" s="1"/>
  <c r="BJ13" i="59"/>
  <c r="BJ37" i="59"/>
  <c r="BL37" i="59" s="1"/>
  <c r="BJ36" i="59"/>
  <c r="BJ31" i="59"/>
  <c r="BJ35" i="59"/>
  <c r="BJ41" i="59"/>
  <c r="BJ30" i="59"/>
  <c r="BL30" i="59" s="1"/>
  <c r="BJ28" i="59"/>
  <c r="BJ26" i="59"/>
  <c r="BJ16" i="59"/>
  <c r="BL16" i="59" s="1"/>
  <c r="BJ21" i="59"/>
  <c r="BJ17" i="59"/>
  <c r="BL17" i="59" s="1"/>
  <c r="BJ38" i="59"/>
  <c r="BL38" i="59" s="1"/>
  <c r="BJ42" i="59"/>
  <c r="BJ23" i="59"/>
  <c r="BJ33" i="59"/>
  <c r="BJ40" i="59"/>
  <c r="BL40" i="59" s="1"/>
  <c r="BJ32" i="59"/>
  <c r="BJ12" i="59"/>
  <c r="BL12" i="59" s="1"/>
  <c r="BJ14" i="59"/>
  <c r="BL14" i="59" s="1"/>
  <c r="P10" i="55"/>
  <c r="P11" i="55"/>
  <c r="P13" i="55"/>
  <c r="P14" i="55"/>
  <c r="BJ19" i="59"/>
  <c r="BL19" i="59" s="1"/>
  <c r="BJ15" i="59"/>
  <c r="BL15" i="59" s="1"/>
  <c r="BJ25" i="59"/>
  <c r="BL25" i="59" s="1"/>
  <c r="BJ29" i="59"/>
  <c r="BL29" i="59" s="1"/>
  <c r="BJ39" i="59"/>
  <c r="BJ24" i="59"/>
  <c r="BJ34" i="59"/>
  <c r="BJ11" i="59"/>
  <c r="BL11" i="59" s="1"/>
  <c r="BJ10" i="59"/>
  <c r="AQ31" i="60"/>
  <c r="AS31" i="60" s="1"/>
  <c r="AQ30" i="60"/>
  <c r="AS30" i="60" s="1"/>
  <c r="Z15" i="51"/>
  <c r="Z14" i="51"/>
  <c r="Z16" i="51"/>
  <c r="Z12" i="51"/>
  <c r="Z13" i="51"/>
  <c r="AQ22" i="60"/>
  <c r="AS22" i="60" s="1"/>
  <c r="P12" i="55"/>
  <c r="Z18" i="51"/>
  <c r="AQ29" i="60"/>
  <c r="AS29" i="60" s="1"/>
  <c r="AQ25" i="60"/>
  <c r="AS25" i="60" s="1"/>
  <c r="A10" i="132"/>
  <c r="D53" i="8"/>
  <c r="D57" i="8"/>
  <c r="D52" i="8"/>
  <c r="D56" i="8"/>
  <c r="G124" i="8"/>
  <c r="D124" i="8" s="1"/>
  <c r="E51" i="9"/>
  <c r="E59" i="9"/>
  <c r="G123" i="8"/>
  <c r="D123" i="8" s="1"/>
  <c r="B2" i="3"/>
  <c r="D54" i="8"/>
  <c r="F59" i="9"/>
  <c r="AI7" i="141"/>
  <c r="D309" i="8" s="1"/>
  <c r="G122" i="8"/>
  <c r="D122" i="8" s="1"/>
  <c r="E73" i="9"/>
  <c r="AQ36" i="60"/>
  <c r="AS36" i="60" s="1"/>
  <c r="D377" i="8"/>
  <c r="BT37" i="59"/>
  <c r="BU37" i="59" s="1"/>
  <c r="BT13" i="59"/>
  <c r="BU13" i="59" s="1"/>
  <c r="BT31" i="59"/>
  <c r="BU31" i="59" s="1"/>
  <c r="BT41" i="59"/>
  <c r="BU41" i="59" s="1"/>
  <c r="BT10" i="59"/>
  <c r="BU10" i="59" s="1"/>
  <c r="BT19" i="59"/>
  <c r="BU19" i="59" s="1"/>
  <c r="BT11" i="59"/>
  <c r="BU11" i="59" s="1"/>
  <c r="BT18" i="59"/>
  <c r="BU18" i="59" s="1"/>
  <c r="BT39" i="59"/>
  <c r="BU39" i="59" s="1"/>
  <c r="BT24" i="59"/>
  <c r="BU24" i="59" s="1"/>
  <c r="BJ27" i="59"/>
  <c r="BL27" i="59" s="1"/>
  <c r="P9" i="55"/>
  <c r="P8" i="55" s="1"/>
  <c r="Z10" i="58" s="1"/>
  <c r="D313" i="8" s="1"/>
  <c r="BY10" i="59"/>
  <c r="CA10" i="59" s="1"/>
  <c r="CA9" i="59" s="1"/>
  <c r="D187" i="8" s="1"/>
  <c r="AQ18" i="60"/>
  <c r="AS18" i="60" s="1"/>
  <c r="Z11" i="51"/>
  <c r="AQ10" i="60"/>
  <c r="AS10" i="60" s="1"/>
  <c r="F50" i="9"/>
  <c r="F84" i="13"/>
  <c r="F83" i="13"/>
  <c r="E84" i="13"/>
  <c r="E82" i="13"/>
  <c r="F28" i="9" s="1"/>
  <c r="F81" i="13"/>
  <c r="F73" i="9"/>
  <c r="J6" i="66"/>
  <c r="BT14" i="59"/>
  <c r="BU14" i="59" s="1"/>
  <c r="BT30" i="59"/>
  <c r="BU30" i="59" s="1"/>
  <c r="BT29" i="59"/>
  <c r="BU29" i="59" s="1"/>
  <c r="BT28" i="59"/>
  <c r="BU28" i="59" s="1"/>
  <c r="BT16" i="59"/>
  <c r="BU16" i="59" s="1"/>
  <c r="BT32" i="59"/>
  <c r="BU32" i="59" s="1"/>
  <c r="BT25" i="59"/>
  <c r="BU25" i="59" s="1"/>
  <c r="BT27" i="59"/>
  <c r="BU27" i="59" s="1"/>
  <c r="BT12" i="59"/>
  <c r="BU12" i="59" s="1"/>
  <c r="BT34" i="59"/>
  <c r="BU34" i="59" s="1"/>
  <c r="BT35" i="59"/>
  <c r="BU35" i="59" s="1"/>
  <c r="M124" i="12"/>
  <c r="M4" i="12"/>
  <c r="AQ23" i="60"/>
  <c r="AS23" i="60" s="1"/>
  <c r="AQ17" i="60"/>
  <c r="AS17" i="60" s="1"/>
  <c r="M6" i="68"/>
  <c r="Z17" i="51"/>
  <c r="AQ20" i="60"/>
  <c r="AS20" i="60" s="1"/>
  <c r="D58" i="8"/>
  <c r="F82" i="13"/>
  <c r="DE36" i="59"/>
  <c r="DD19" i="59"/>
  <c r="DD35" i="59"/>
  <c r="DE17" i="59"/>
  <c r="DE33" i="59"/>
  <c r="DD16" i="59"/>
  <c r="DD32" i="59"/>
  <c r="BK24" i="59"/>
  <c r="BK26" i="59"/>
  <c r="BK36" i="59"/>
  <c r="BK28" i="59"/>
  <c r="DE16" i="59"/>
  <c r="DE32" i="59"/>
  <c r="DD15" i="59"/>
  <c r="DD31" i="59"/>
  <c r="DE13" i="59"/>
  <c r="DE29" i="59"/>
  <c r="DD12" i="59"/>
  <c r="DD28" i="59"/>
  <c r="BK42" i="59"/>
  <c r="BK10" i="59"/>
  <c r="BK41" i="59"/>
  <c r="BK39" i="59"/>
  <c r="BK31" i="59"/>
  <c r="DE14" i="59"/>
  <c r="DE22" i="59"/>
  <c r="DE30" i="59"/>
  <c r="DE38" i="59"/>
  <c r="DD13" i="59"/>
  <c r="DD21" i="59"/>
  <c r="DD29" i="59"/>
  <c r="DD37" i="59"/>
  <c r="DE11" i="59"/>
  <c r="DE19" i="59"/>
  <c r="DE27" i="59"/>
  <c r="DE35" i="59"/>
  <c r="DD10" i="59"/>
  <c r="DD18" i="59"/>
  <c r="DD26" i="59"/>
  <c r="DD34" i="59"/>
  <c r="DD42" i="59"/>
  <c r="BK32" i="59"/>
  <c r="BK33" i="59"/>
  <c r="BK34" i="59"/>
  <c r="BK35" i="59"/>
  <c r="BK21" i="59"/>
  <c r="BK23" i="59"/>
  <c r="BK13" i="59"/>
  <c r="S25" i="133"/>
  <c r="S21" i="133"/>
  <c r="S14" i="133"/>
  <c r="S15" i="133"/>
  <c r="S16" i="133"/>
  <c r="S17" i="133"/>
  <c r="S23" i="133"/>
  <c r="S18" i="133"/>
  <c r="S19" i="133"/>
  <c r="S24" i="133"/>
  <c r="D166" i="8" l="1"/>
  <c r="D158" i="8" s="1"/>
  <c r="Z10" i="51"/>
  <c r="Y10" i="58" s="1"/>
  <c r="W6" i="58" s="1"/>
  <c r="D315" i="8" s="1"/>
  <c r="L28" i="9"/>
  <c r="O28" i="9" s="1"/>
  <c r="F24" i="9"/>
  <c r="L73" i="9"/>
  <c r="O73" i="9" s="1"/>
  <c r="F76" i="9"/>
  <c r="L50" i="9"/>
  <c r="O50" i="9" s="1"/>
  <c r="F54" i="9"/>
  <c r="L54" i="9" s="1"/>
  <c r="O54" i="9" s="1"/>
  <c r="F60" i="9"/>
  <c r="L60" i="9" s="1"/>
  <c r="O60" i="9" s="1"/>
  <c r="L59" i="9"/>
  <c r="O59" i="9" s="1"/>
  <c r="E28" i="9"/>
  <c r="AS9" i="60"/>
  <c r="D195" i="8" s="1"/>
  <c r="K73" i="9"/>
  <c r="N73" i="9" s="1"/>
  <c r="E76" i="9"/>
  <c r="E50" i="9"/>
  <c r="K51" i="9"/>
  <c r="N51" i="9" s="1"/>
  <c r="BL24" i="59"/>
  <c r="BL32" i="59"/>
  <c r="BL33" i="59"/>
  <c r="BL42" i="59"/>
  <c r="BL28" i="59"/>
  <c r="BL41" i="59"/>
  <c r="BL31" i="59"/>
  <c r="E60" i="9"/>
  <c r="K60" i="9" s="1"/>
  <c r="N60" i="9" s="1"/>
  <c r="K59" i="9"/>
  <c r="N59" i="9" s="1"/>
  <c r="D29" i="8"/>
  <c r="BL10" i="59"/>
  <c r="BL34" i="59"/>
  <c r="BL39" i="59"/>
  <c r="BL23" i="59"/>
  <c r="BL21" i="59"/>
  <c r="BL26" i="59"/>
  <c r="BL35" i="59"/>
  <c r="BL36" i="59"/>
  <c r="BL13" i="59"/>
  <c r="D312" i="8" l="1"/>
  <c r="D267" i="8" s="1"/>
  <c r="BL9" i="59"/>
  <c r="D423" i="8" s="1"/>
  <c r="E54" i="9"/>
  <c r="K54" i="9" s="1"/>
  <c r="N54" i="9" s="1"/>
  <c r="K50" i="9"/>
  <c r="N50" i="9" s="1"/>
  <c r="K28" i="9"/>
  <c r="N28" i="9" s="1"/>
  <c r="E24" i="9"/>
  <c r="K76" i="9"/>
  <c r="N76" i="9" s="1"/>
  <c r="F77" i="9"/>
  <c r="L77" i="9" s="1"/>
  <c r="O77" i="9" s="1"/>
  <c r="L76" i="9"/>
  <c r="O76" i="9" s="1"/>
  <c r="L24" i="9"/>
  <c r="O24" i="9" s="1"/>
  <c r="F40" i="9"/>
  <c r="E77" i="9" l="1"/>
  <c r="K77" i="9" s="1"/>
  <c r="N77" i="9" s="1"/>
  <c r="F41" i="9"/>
  <c r="L40" i="9"/>
  <c r="O40" i="9" s="1"/>
  <c r="E40" i="9"/>
  <c r="K24" i="9"/>
  <c r="N24" i="9" s="1"/>
  <c r="K40" i="9" l="1"/>
  <c r="N40" i="9" s="1"/>
  <c r="E41" i="9"/>
  <c r="F79" i="9"/>
  <c r="L41" i="9"/>
  <c r="O41" i="9" l="1"/>
  <c r="O79" i="9" s="1"/>
  <c r="L79" i="9"/>
  <c r="K41" i="9"/>
  <c r="E79" i="9"/>
  <c r="D9" i="8" s="1"/>
  <c r="N41" i="9" l="1"/>
  <c r="N79" i="9" s="1"/>
  <c r="D11" i="8" s="1"/>
  <c r="D8" i="8" s="1"/>
  <c r="E3" i="8" s="1"/>
  <c r="K79" i="9"/>
</calcChain>
</file>

<file path=xl/comments1.xml><?xml version="1.0" encoding="utf-8"?>
<comments xmlns="http://schemas.openxmlformats.org/spreadsheetml/2006/main">
  <authors>
    <author>Козлов Николай Викторович</author>
  </authors>
  <commentList>
    <comment ref="E18" authorId="0" shapeId="0">
      <text>
        <r>
          <rPr>
            <b/>
            <sz val="9"/>
            <color indexed="81"/>
            <rFont val="Tahoma"/>
            <family val="2"/>
            <charset val="204"/>
          </rPr>
          <t>контроль влияет только на автоматический перенос данных из одного ФСД в другой</t>
        </r>
      </text>
    </comment>
  </commentList>
</comments>
</file>

<file path=xl/comments2.xml><?xml version="1.0" encoding="utf-8"?>
<comments xmlns="http://schemas.openxmlformats.org/spreadsheetml/2006/main">
  <authors>
    <author>Козлов Николай Викторович</author>
  </authors>
  <commentList>
    <comment ref="J163" authorId="0" shapeId="0">
      <text>
        <r>
          <rPr>
            <b/>
            <sz val="9"/>
            <color indexed="81"/>
            <rFont val="Tahoma"/>
            <family val="2"/>
            <charset val="204"/>
          </rPr>
          <t>9220 Доходы и расходы по пенсионной деятельности.
Для Атомфонд
Атомгарант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84" authorId="0" shapeId="0">
      <text>
        <r>
          <rPr>
            <b/>
            <sz val="9"/>
            <color indexed="81"/>
            <rFont val="Tahoma"/>
            <family val="2"/>
            <charset val="204"/>
          </rPr>
          <t>9220 Доходы и расходы по пенсионной деятельности.
Для Атомфонд
Атомгарант</t>
        </r>
      </text>
    </comment>
    <comment ref="H444" authorId="0" shapeId="0">
      <text>
        <r>
          <rPr>
            <b/>
            <sz val="9"/>
            <color indexed="81"/>
            <rFont val="Tahoma"/>
            <family val="2"/>
            <charset val="204"/>
          </rPr>
          <t>9220 Доходы и расходы по пенсионной деятельности.
Для Атомфонд
Атомгарант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H448" authorId="0" shapeId="0">
      <text>
        <r>
          <rPr>
            <b/>
            <sz val="9"/>
            <color indexed="81"/>
            <rFont val="Tahoma"/>
            <family val="2"/>
            <charset val="204"/>
          </rPr>
          <t>9220 Доходы и расходы по пенсионной деятельности.
Для Атомфонд
Атомгарант</t>
        </r>
      </text>
    </comment>
  </commentList>
</comments>
</file>

<file path=xl/comments3.xml><?xml version="1.0" encoding="utf-8"?>
<comments xmlns="http://schemas.openxmlformats.org/spreadsheetml/2006/main">
  <authors>
    <author>Козлов Николай Викторович</author>
  </authors>
  <commentList>
    <comment ref="S39" authorId="0" shapeId="0">
      <text>
        <r>
          <rPr>
            <b/>
            <sz val="9"/>
            <color indexed="81"/>
            <rFont val="Tahoma"/>
            <family val="2"/>
            <charset val="204"/>
          </rPr>
          <t>По счету 009 должны быть заполнены суммы Остаток на начало периода (Кт) и Остаток на конец периода (Кт), либо «Комментарий» об отсутствии поручительств.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Андреев Сергей Евгеньевич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Сумма первичных затрат, отнесенных в Дт 97 (Дт 08/97 Кт 02,05,10,11,16,19,68,69,70,96)</t>
        </r>
      </text>
    </comment>
  </commentList>
</comments>
</file>

<file path=xl/comments5.xml><?xml version="1.0" encoding="utf-8"?>
<comments xmlns="http://schemas.openxmlformats.org/spreadsheetml/2006/main">
  <authors>
    <author>Гуров А.</author>
  </authors>
  <commentList>
    <comment ref="X10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Если начисление по "{20900} Оценочные обязательства по гарантийным обязательствам" , то в К2 и К3 д.б. Х.
</t>
        </r>
      </text>
    </comment>
  </commentList>
</comments>
</file>

<file path=xl/comments6.xml><?xml version="1.0" encoding="utf-8"?>
<comments xmlns="http://schemas.openxmlformats.org/spreadsheetml/2006/main">
  <authors>
    <author>Гуров Александр Анатольевич</author>
  </authors>
  <commentList>
    <comment ref="F138" authorId="0" shapeId="0">
      <text>
        <r>
          <rPr>
            <b/>
            <sz val="9"/>
            <color indexed="81"/>
            <rFont val="Tahoma"/>
            <family val="2"/>
            <charset val="204"/>
          </rPr>
          <t>Гуров Александр Анатольевич:</t>
        </r>
        <r>
          <rPr>
            <sz val="9"/>
            <color indexed="81"/>
            <rFont val="Tahoma"/>
            <family val="2"/>
            <charset val="204"/>
          </rPr>
          <t xml:space="preserve">
надо доработать проверку и в КХД</t>
        </r>
      </text>
    </comment>
  </commentList>
</comments>
</file>

<file path=xl/sharedStrings.xml><?xml version="1.0" encoding="utf-8"?>
<sst xmlns="http://schemas.openxmlformats.org/spreadsheetml/2006/main" count="35392" uniqueCount="15544">
  <si>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прочих организаций, не обращающихся на ОРЦБ" (91_01_ВГО) &lt;= Стоимость реализованных акций прочих организаций  (91_02)</t>
  </si>
  <si>
    <t>C1=F_C1;C2=YTD;C5=5001;C9=V;C12=0102</t>
  </si>
  <si>
    <t>60.01</t>
  </si>
  <si>
    <t>60.02</t>
  </si>
  <si>
    <t>Проверка остатков по расшифрованным счетам</t>
  </si>
  <si>
    <t>ВНИМАНИЕ!!! Если у предприятия нет Обязательств капитального характера перед сторонними компаниями, то необходимо в К1 и К2 (ячейка Excel "С10" и "D10") заполнить текст "Нет данных"</t>
  </si>
  <si>
    <t>Аккую Нуклеар</t>
  </si>
  <si>
    <t>АО  "Атомэнергопроект"</t>
  </si>
  <si>
    <t>АО "Чепецкий механический завод"</t>
  </si>
  <si>
    <t>АО "Атомное и энергетическое машиностроение" (АО "Атомэнергомаш")</t>
  </si>
  <si>
    <t>АО "Научно-испытательный центр оборудования атомных электростанций"</t>
  </si>
  <si>
    <t>99, ОФР</t>
  </si>
  <si>
    <t xml:space="preserve">Проверка закрытия счета 90 на листе 99 </t>
  </si>
  <si>
    <t xml:space="preserve">Проверка закрытия счета 91 на листе 99 </t>
  </si>
  <si>
    <t>Обороты между счетами, заполненные в разных формах должны быть равныДт 41.01 Кт 41.02</t>
  </si>
  <si>
    <t>Обороты между счетами, заполненные в разных формах должны быть равныДт 43 Кт 21</t>
  </si>
  <si>
    <t>Обороты между счетами, заполненные в разных формах должны быть равныДт 45 Кт 10</t>
  </si>
  <si>
    <t>Обороты между счетами, заполненные в разных формах должны быть равныДт 45 Кт 20</t>
  </si>
  <si>
    <t>Обороты между счетами, заполненные в разных формах должны быть равныДт 45 Кт 41</t>
  </si>
  <si>
    <t>Обороты между счетами, заполненные в разных формах должны быть равныДт 45 Кт 43</t>
  </si>
  <si>
    <t>Обороты между счетами, заполненные в разных формах должны быть равныДт 45 Кт 44</t>
  </si>
  <si>
    <t>Обороты между счетами, заполненные в разных формах должны быть равныПеревод из долгосрочных займов выданных  в краткосрочные Дт 58.01.1 Кт 58.01.2</t>
  </si>
  <si>
    <t>{2070214} Прочие расходы, связанные с реализацией акций дочерних организаций, обращающихся на ОРЦБ</t>
  </si>
  <si>
    <t>{2070215} Прочие расходы, связанные с реализацией акций дочерних организаций, не обращающихся на ОРЦБ</t>
  </si>
  <si>
    <t>{2070234} Прочие расходы, связанные с реализацией акций зависимых организаций, обращающихся на ОРЦБ</t>
  </si>
  <si>
    <t>{2070235} Прочие расходы, связанные с реализацией акций зависимых организаций, не обращающихся на ОРЦБ</t>
  </si>
  <si>
    <t>{2070254} Прочие расходы, связанные с реализацией акций прочих организаций, обращающихся на ОРЦБ</t>
  </si>
  <si>
    <t>{2070255} Прочие расходы, связанные с реализацией акций прочих организаций, не обращающихся на ОРЦБ</t>
  </si>
  <si>
    <t>ОООКомбинат питания</t>
  </si>
  <si>
    <t>Прибор-сервис(СХК)</t>
  </si>
  <si>
    <t>Прибор-Сервис(ЧМЗ)</t>
  </si>
  <si>
    <t>Промпарксервис</t>
  </si>
  <si>
    <t>ООО "Промпарксервис"</t>
  </si>
  <si>
    <t>ПЭС</t>
  </si>
  <si>
    <t>ООО "Предприятие Электросвязи"</t>
  </si>
  <si>
    <t>РМЗ</t>
  </si>
  <si>
    <t>ООО "Ремонтно-механический завод"</t>
  </si>
  <si>
    <t>РР-Энергия</t>
  </si>
  <si>
    <t>ООО "РР-Энергия"</t>
  </si>
  <si>
    <t>САЭС-Сервис</t>
  </si>
  <si>
    <t>ООО "Смоленская АЭС- Сервис"</t>
  </si>
  <si>
    <t>СибРегионПромсервис</t>
  </si>
  <si>
    <t>СМУ№1ооо</t>
  </si>
  <si>
    <t>Станкомаш</t>
  </si>
  <si>
    <t>СТК</t>
  </si>
  <si>
    <t>СЦ Прогресс</t>
  </si>
  <si>
    <t>Технатом</t>
  </si>
  <si>
    <t>УАТ Северск</t>
  </si>
  <si>
    <t>УКИПСМ</t>
  </si>
  <si>
    <t>УМПК</t>
  </si>
  <si>
    <t>ЗАО "Уральская монтажно- промышленная компания"</t>
  </si>
  <si>
    <t>ЦПТИ</t>
  </si>
  <si>
    <t>Энергосервисная компания</t>
  </si>
  <si>
    <t>ЭНПРАН</t>
  </si>
  <si>
    <t>Группы ОС</t>
  </si>
  <si>
    <t>Группы доходных вложений</t>
  </si>
  <si>
    <t>Тара возвратная \ невозвратная</t>
  </si>
  <si>
    <t>Строительные договоры</t>
  </si>
  <si>
    <t>Наименование банка</t>
  </si>
  <si>
    <t>ИНН Банка</t>
  </si>
  <si>
    <t>К54</t>
  </si>
  <si>
    <t>Проверка заполнения 10 счета</t>
  </si>
  <si>
    <t>Проверка заполнения 97 счета</t>
  </si>
  <si>
    <t>Проверка заполнения 43 счета</t>
  </si>
  <si>
    <t>Проверка заполнения 45 счета</t>
  </si>
  <si>
    <t>{10500} Оценочные обязательства по прочим выплатам персоналу</t>
  </si>
  <si>
    <t>{10510} Оценочные обязательства по прочим выплатам персоналу (сумма выплат)</t>
  </si>
  <si>
    <t>{10520} Оценочные обязательства по прочим выплатам персоналу (сумма страховых взносов)</t>
  </si>
  <si>
    <t>{13030200} Компенсация коммерческого расхода (потерь) электроэнергии в электрических сетях</t>
  </si>
  <si>
    <t>{1} Кредиты и займы без обеспечения</t>
  </si>
  <si>
    <t>_2613</t>
  </si>
  <si>
    <t>{2} Обеспеченные кредиты и займы</t>
  </si>
  <si>
    <t>Выполнение научно-исследовательских, опытно-конструкторских и технологических работ</t>
  </si>
  <si>
    <t>60.01.2.1</t>
  </si>
  <si>
    <t>60.01.2.2</t>
  </si>
  <si>
    <t>76.01.01</t>
  </si>
  <si>
    <t>76.01.02</t>
  </si>
  <si>
    <t>Прочая краткосрочная задолженность</t>
  </si>
  <si>
    <t>Прочая долгосрочная задолженность</t>
  </si>
  <si>
    <t>Прочая краткосрочная дебиторская задолженность</t>
  </si>
  <si>
    <t>Прочая краткосрочная кредиторская задолженность</t>
  </si>
  <si>
    <t>Прочая долгосрочная дебиторская задолженность</t>
  </si>
  <si>
    <t>Прочая долгосрочная кредиторская задолженность</t>
  </si>
  <si>
    <t>Долгосрочная задолженность (Расчеты по НИОКР)</t>
  </si>
  <si>
    <t>Долгосрочная задолженность (Расчеты с поставщиками по приобретению (созданию) поисковых активов)</t>
  </si>
  <si>
    <t>76.01.01.1</t>
  </si>
  <si>
    <t>76.01.01.2</t>
  </si>
  <si>
    <t>76.01.02.1</t>
  </si>
  <si>
    <t>76.01.02.2</t>
  </si>
  <si>
    <t>{900713} Изменение остатков НЗП (20-х)</t>
  </si>
  <si>
    <t>{1190300} Доходы от процентов за пользование чужими денежными средствами вследствие их неправомерного удержания, уклонения от их возврата, иной просрочки в их уплате либо неосновательного получения или сбережения за счет другого лица</t>
  </si>
  <si>
    <t>{3340000} НДС с доходов прошлых лет, выявленные в отчетном периоде</t>
  </si>
  <si>
    <t>Цена реализации по договору</t>
  </si>
  <si>
    <t>Сумма в рублях</t>
  </si>
  <si>
    <t>Финансовый договор</t>
  </si>
  <si>
    <t>Расчеты с учредителями. Краткосрочные</t>
  </si>
  <si>
    <t>Расчеты с учредителями. Долгосрочные</t>
  </si>
  <si>
    <t>83.03</t>
  </si>
  <si>
    <t>Добавочный капитал. Переоценка внеоборотных активов</t>
  </si>
  <si>
    <t>I. Нажать на кнопку "Проверка форматов даты", дождаться появления сообщения "Проверка дат завершена"</t>
  </si>
  <si>
    <t>II. В случае если в ячейке Е16 стоит значение "ЛОЖЬ", перейти на "Лист_ошибок", на котором указаны ячейки с некорректными форматами</t>
  </si>
  <si>
    <t>ГОУ "Пушкинский учебно-курсовой комбинат автомобильного транспорта" (ИНН 7820004220): -</t>
  </si>
  <si>
    <t>ФГОУ ДПО "ПЭИПК" (ИНН 7810216025): -</t>
  </si>
  <si>
    <t>ГБОУ ВПО СЗГМУ им.И.И.Мечникова (ИНН 7842461679): -</t>
  </si>
  <si>
    <t>ФГУ НУЦСКприМГТУ им.Н.Э.Баумана (ИНН 7701027490): -</t>
  </si>
  <si>
    <t>Ф-л ФБУЗ "Центр гигиены и эпидемиологии в МО в Кандалакшском и Терском районах" (ИНН 5190135771): -</t>
  </si>
  <si>
    <t>ФБУ "ЦЛАТИ" (ИНН 7801258484): -</t>
  </si>
  <si>
    <t>МБОУ ДОД г.Апатиты ДЮСШ "Универсал" (ИНН 5101700865): -</t>
  </si>
  <si>
    <t>ФГБУ "Центрально-Чернозем (ИНН 4611001559): -</t>
  </si>
  <si>
    <t>Отдел гос.фельдъегерской (ИНН 4629024130): -</t>
  </si>
  <si>
    <t>ГБОУ ВПО КГМУ Минздравсоц (ИНН 4629027572): -</t>
  </si>
  <si>
    <t>ФБУ "Курский ЦСМ" (ИНН 4629028400): -</t>
  </si>
  <si>
    <t>УФК по Курской обл.(КГУ л (ИНН 4629031018): -</t>
  </si>
  <si>
    <t>Центр спец. связи и инфор (ИНН 4632036986): -</t>
  </si>
  <si>
    <t>ТО ФС госстатистики по Ку (ИНН 4632048621): -</t>
  </si>
  <si>
    <t>ФГБУ СЭУ ФПС ИПЛ по Курск (ИНН 4632076668): -</t>
  </si>
  <si>
    <t>УФК по Курской обл.(ФГБУ (ИНН 4632167820): -</t>
  </si>
  <si>
    <t>ФГБУЗ ЦГ и Э N 125 ФМБА Р (ИНН 4634006345): -</t>
  </si>
  <si>
    <t>ФБУ "Липецкий ЦСМ" (ИНН 4823003043): -</t>
  </si>
  <si>
    <t>ФБУ "Орловский ЦСМ" (ИНН 5752000510): -</t>
  </si>
  <si>
    <t>УФК по Тверской обл.(ФГБУ (ИНН 6905004394): -</t>
  </si>
  <si>
    <t>УФК по Курской обл.(КИСО (ИНН 7718084994): -</t>
  </si>
  <si>
    <t>УФК по г.Москва(ФГБУ"УНМЦ (ИНН 7731048280): -</t>
  </si>
  <si>
    <t>Учреждение РАН Геофизическая служба РАН (ИНН 4025040355): -</t>
  </si>
  <si>
    <t>ФГУ "Смоленский ЦСМ" (ИНН 6731019167): -</t>
  </si>
  <si>
    <t>Центр спец.связи и информации ФС охраны РФ (ИНН 6730013250): -</t>
  </si>
  <si>
    <t>СОГБОУ СПО"Десногорский энер-ий колледж" (ИНН 6724001810): -</t>
  </si>
  <si>
    <t>ФГБУ "Смоленский ЦГМС" (ИНН 6731007059): -</t>
  </si>
  <si>
    <t>ФГБОУ ДПО Костромской учебный центр ФПС (ИНН 4401012353): -</t>
  </si>
  <si>
    <t>ФГУП Защита Инфо Транс (ИНН 77080836007): ФГУП Защита Инфо Транс 7708083600</t>
  </si>
  <si>
    <t>ФБУЗ "Центр гигиены и эпидемиологии в костромской обл." (ИНН 4401053021): ФБУЗ "Центр гигиены и эпидемиологии в костромской обл."4401053021</t>
  </si>
  <si>
    <t>ГКУ ЦБ 15 ДО г. Москвы (ИНН 7704190880): -</t>
  </si>
  <si>
    <t>ФГАОУ ВПО "УрФУ им. 1-го Пр-та РФ Б.Н.Ельцина" (ИНН 6660003190): -</t>
  </si>
  <si>
    <t>Роспотребнадзор (ИНН 7707515984): -</t>
  </si>
  <si>
    <t>Росгидромет (ИНН 7703092752): -</t>
  </si>
  <si>
    <t>УПРС Спецсвязи ФСО России (ИНН 7702502780): -</t>
  </si>
  <si>
    <t>ФГАОУ " НИУ "Высшая школа экономики" (ИНН 7714030726): -</t>
  </si>
  <si>
    <t>ГУП "Москоллектор" (ИНН 7708000882): -</t>
  </si>
  <si>
    <t>ЗАО "Экомет-С" (ИНН 7813026343): -</t>
  </si>
  <si>
    <t>ФБУ Московская ЛСЭ Минюста России (ИНН 7714099911): -</t>
  </si>
  <si>
    <t>Федеральное государственное унитарное предприятие Российское агентство междунаро (ИНН 7704005030): -</t>
  </si>
  <si>
    <t>Гостиница ФГУП "ВСЕГЕИ" (ИНН 7801032920): -</t>
  </si>
  <si>
    <t>УФК по Калининг.обл. (ОК05, Администрация Неманского Муниципального Района Л/счет 0335308130) (ИНН 3909010770): Администрация Неманского Муниципального Района, ИНН3909010770</t>
  </si>
  <si>
    <t>УФК по Калининг.обл. (ОК24, КГ НИЦ, л/с 30356U48600) (ИНН 3905030014): КГ НИЦ, ИНН3905030014</t>
  </si>
  <si>
    <t>УФК по Калининградской Области (Администрация Неманского Городского Поселения) (ИНН 3909027284): Администрация Неманского Городского Поселения, ИНН3909027284</t>
  </si>
  <si>
    <t>ФГКУ Управление вневедомственной охраны УМВД РФ по Калининградской области (ИНН 3906272898): ФГКУ Управление вневедомственной охраны УМВД РФ по Калининградской области, ИНН 3906272898</t>
  </si>
  <si>
    <t>ФГОУ ВПО Калининградский Государственный Технический Университет УФК Калининградской Области (ИНН 3904014891): ФГОУ ВПО Калининградский Государственный Технический Университет УФК Калининградской Области, ИНН3904014891</t>
  </si>
  <si>
    <t>ФГУП "БАЛТ АГП" (ИНН 3906003045): ФГУП "БАЛТ АГП", ИНН 3906003045</t>
  </si>
  <si>
    <t>Центр проектных экспертиз (ИНН 3906167621): Центр проектных экспертиз, ИНН 3906167621</t>
  </si>
  <si>
    <t>Центр третейского регулирования и правовой экспертизы (ИНН 7706414704): Центр третейского регулирования и правовой экспертизы, ИНН 7706414704</t>
  </si>
  <si>
    <t>Калининграднефтепродукт ООО (ИНН 3900000136): Калининграднефтепродукт ООО, ИНН 3900000136</t>
  </si>
  <si>
    <t>ГУП "Водоканал Санкт-Петербурга" (ИНН 7830000426): -</t>
  </si>
  <si>
    <t>ТУ Росимущества в Ленинградской области (ИНН 7840416776): -</t>
  </si>
  <si>
    <t>ФГУП "ГосНИИПП" (ИНН 7812042720): -</t>
  </si>
  <si>
    <t>Отдел №16, ФГБУЗ ЦМСЧ №38 ФМБА России, л/с20456У98380 (ИНН 4714004079): -</t>
  </si>
  <si>
    <t>Управление По Финансам И Бюджету Администрации Неманского Муниципального Района (ИНН 3909027118): Управление По Финансам И Бюджету Администрации Неманского Муниципального Района,ИНН3909027118</t>
  </si>
  <si>
    <t>Калининградский ЦГМС (ИНН 3904020630): Калининградский ЦГМС,ИНН3904020630</t>
  </si>
  <si>
    <t>Клинский Институт Охраны И Условий Труда ОЛС-комплект ЗАО (ИНН 5020034631): Клинский Институт Охраны И Условий Труда ОЛС-комплект ЗАО, ИНН5020034631</t>
  </si>
  <si>
    <t>Неманская ЦРБ (ИНН 3909010570): Неманская ЦРБ,ИНН3909010570</t>
  </si>
  <si>
    <t>Сервис МБУ (ИНН 3911014733): Сервис МБУ,ИНН3911014733</t>
  </si>
  <si>
    <t>УФК по Калининг.обл. (ИФНС России № 9 по г. Калининграду) (ИНН 3906110008): ИФНС России № 9 по г. Калининграду, ИНН3906076861</t>
  </si>
  <si>
    <t>РЦЦС ГАУ КО (ИНН 3906076861): РЦЦС ГАУ КО, ИНН3906076861</t>
  </si>
  <si>
    <t>Администрация Лунинского сельского поселения УФК по Кал. области (ИНН 3909027291): Администрация Лунинского сельского поселения, ИНН3909027291</t>
  </si>
  <si>
    <t>Центр Гигиены И Эпидемиологии В Калининградской Области (ИНН 3906134513): Центр Гигиены И Эпидемиологии В Калининградской Области, ИНН3906134513</t>
  </si>
  <si>
    <t>ФАОУ ДПО ГАСИС (ИНН 7702020515): -</t>
  </si>
  <si>
    <t>ФАУ "ФЦЦС" (ИНН 7708071932): -</t>
  </si>
  <si>
    <t>ФАОУ ДПО "Государственная академия строит и ЖКК" (ИНН 7718193111): -</t>
  </si>
  <si>
    <t>РОСПРИРОДНАДЗОР (ИНН 7703381225): -</t>
  </si>
  <si>
    <t>ПРУМЦ АНО ДПО 5036048728</t>
  </si>
  <si>
    <t>УФК по Ростовской области (Межрайонная ИФНС России №25 по Ростовской области) 6163100002</t>
  </si>
  <si>
    <t>УФК по Тюменской области (ИФНС России по г.Тюмени №2) 7202020002</t>
  </si>
  <si>
    <t>3800000703 ИРКУТСКАЯ ТАМОЖНЯ  таможенные платежи, штрафы</t>
  </si>
  <si>
    <t>АДМИНИСТРАЦИЯ Г.ЗАРЕЧНЫЙ (ИНН 6609001932): Аренда имущества,земли</t>
  </si>
  <si>
    <t>Террит.упр-е ФА по упр.им (ИНН 6950125150): Аренда</t>
  </si>
  <si>
    <t>Управление Росприроднадзора (ИНН 5190129538): негативное воздействие на окружающую среду</t>
  </si>
  <si>
    <t>УФК по Курской области (Г (ИНН 4629026988): -</t>
  </si>
  <si>
    <t>УФСБ России по Курской об (ИНН 4629031579): -</t>
  </si>
  <si>
    <t>Военный комиссариат Курск (ИНН 4632006205): -</t>
  </si>
  <si>
    <t>ТУ Росимущества в Курской (ИНН 4632109899): -</t>
  </si>
  <si>
    <t>УФК по Кур.обл.(Ком.по уп (ИНН 4634000625): -</t>
  </si>
  <si>
    <t>УФК по Курской области (У (ИНН 4634002301): -</t>
  </si>
  <si>
    <t>Администрация Курчатовско (ИНН 4634008720): -</t>
  </si>
  <si>
    <t>ФГУП "ВНИИПРХ" (ИНН 5007004074): -</t>
  </si>
  <si>
    <t>Администрация Каширского муницип. района (ИНН 3613001418): аренда земли</t>
  </si>
  <si>
    <t>Профсоюзная организация ПО "Электрохимический завод"</t>
  </si>
  <si>
    <t>Газпром трансгаз Санкт-Петербург</t>
  </si>
  <si>
    <t>ООО Авиапредприятие "Газпром АВИА"</t>
  </si>
  <si>
    <t>ООО "Газпром трансгаз Нижний Новгород"</t>
  </si>
  <si>
    <t>Филиал Вуктыльское ГПУ ООО "Газпром Переработка"</t>
  </si>
  <si>
    <t>ФГБУЗ ЦМСЧ №15 (7423003855)</t>
  </si>
  <si>
    <t>ФГБУЗ КБ № 51 ФМБА России (2452034954)</t>
  </si>
  <si>
    <t>МВД России по РО ИНН6165177603</t>
  </si>
  <si>
    <t>Атомстройинвест</t>
  </si>
  <si>
    <t>Атомстройфинанс</t>
  </si>
  <si>
    <t>Liges</t>
  </si>
  <si>
    <t>АСЭ-Финанс</t>
  </si>
  <si>
    <t>АЭС Северо-Запад</t>
  </si>
  <si>
    <t>ЖК Дом</t>
  </si>
  <si>
    <t>Инвест-Сервис</t>
  </si>
  <si>
    <t>Компан</t>
  </si>
  <si>
    <t>Купол-АЭМ</t>
  </si>
  <si>
    <t>МОАЭС</t>
  </si>
  <si>
    <t>МТПМ</t>
  </si>
  <si>
    <t>ОАО УКС</t>
  </si>
  <si>
    <t>Опыт</t>
  </si>
  <si>
    <t>СМУ №1 зао</t>
  </si>
  <si>
    <t>{52350300} Оценочные обязательства по обращению с радиоактивными и прочими отходами</t>
  </si>
  <si>
    <t>{52359900} Прочие оценочные обязательства</t>
  </si>
  <si>
    <t>{52380000} Концессионная плата</t>
  </si>
  <si>
    <t>{52390100} Услуги по формированию технологического резерва мощностей</t>
  </si>
  <si>
    <t>{52390201} Услуги по нормированному первичному регулированию частоты (конкурентный отбор)</t>
  </si>
  <si>
    <t>{52390202} Услуги по автоматическому вторичному регулированию частоты и перетоков активной мощности (конкурентный отбор)</t>
  </si>
  <si>
    <t>{52390203} Услуги по регулированию реактивной мощности без производства электрической энергии</t>
  </si>
  <si>
    <t>{52390204} Услуги по развитию систем противоаварийного управления</t>
  </si>
  <si>
    <t>{52390205} Услуги по обеспечению вывода ЕЭС из аварийных ситуаций</t>
  </si>
  <si>
    <t>{52401000} Услуги по оценке активов и обязательств (для целей составления отчетности по МСФО)</t>
  </si>
  <si>
    <t>{52402000} Услуги по оценке активов и обязательств (для иных целей)</t>
  </si>
  <si>
    <t>{1} Товары, произведенные внутри Группы</t>
  </si>
  <si>
    <t>{2} Товары, произведенные сторонними контрагентами</t>
  </si>
  <si>
    <t>{2070120} Стоимость реализованных паев (долей) в УК дочерних организаций</t>
  </si>
  <si>
    <t>Затраты_Вход_1</t>
  </si>
  <si>
    <t>Затраты_Вход_2</t>
  </si>
  <si>
    <t>Фин_договоры</t>
  </si>
  <si>
    <t>Налог_на_прибыль</t>
  </si>
  <si>
    <t>75_01</t>
  </si>
  <si>
    <t>9073</t>
  </si>
  <si>
    <t>C1=F_M1019;C2=YTD;C4=0101;C6=1210</t>
  </si>
  <si>
    <t>C1=F_M1009;C2=YTD;C4=0101;C6=1250</t>
  </si>
  <si>
    <t>C1=F_M1036;C2=YTD;C4=0101;C6=1290</t>
  </si>
  <si>
    <t>C1=F_M1017;C2=YTD;C4=0101;C6=2200</t>
  </si>
  <si>
    <t>C1=F_M1019;C2=YTD;C4=0101;C6=2300</t>
  </si>
  <si>
    <t>C1=F_M1030;C2=YTD;C4=0101;C6=2410</t>
  </si>
  <si>
    <t>C1=F_M1030;C2=YTD;C4=0101;C6=2420</t>
  </si>
  <si>
    <t>C1=F_M1030;C2=YTD;C4=0101;C6=2430</t>
  </si>
  <si>
    <t>C1=F_M1031;C2=YTD;C4=0101;C6=2500</t>
  </si>
  <si>
    <t>C1=F_M1034;C2=YTD;C4=0101;C6=2600</t>
  </si>
  <si>
    <t>{1211030_~_~_~} Маркетинговые исследования</t>
  </si>
  <si>
    <t>2650_2640</t>
  </si>
  <si>
    <t>C1=F_O1;C2=YTD;C4=0102;C3=9092301</t>
  </si>
  <si>
    <t>C1=F_O1;C2=YTD;C4=0102;C3=9092302</t>
  </si>
  <si>
    <t>C1=F_O1;C2=YTD;C4=0102;C3=9092303</t>
  </si>
  <si>
    <t>C1=F_O1;C2=YTD;C4=0102;C3=9092304</t>
  </si>
  <si>
    <t>C1=F_O1;C2=YTD;C4=0102;C3=9092305</t>
  </si>
  <si>
    <t>C1=F_O1;C2=YTD;C4=0102;C3=9092306</t>
  </si>
  <si>
    <t>C1=F_O1;C2=YTD;C4=0102;C3=9092307</t>
  </si>
  <si>
    <t>C1=F_O1;C2=YTD;C4=0102;C3=9092308</t>
  </si>
  <si>
    <t>C1=F_O1;C2=YTD;C4=0102;C3=9092309</t>
  </si>
  <si>
    <t>C1=F_O1;C2=YTD;C4=0102;C3=9092310</t>
  </si>
  <si>
    <t>C1=F_O1;C2=YTD;C4=0102;C3=9092311</t>
  </si>
  <si>
    <t>C1=F_O1;C2=YTD;C4=0102;C3=9092312</t>
  </si>
  <si>
    <t>{7001} Покупка товаров</t>
  </si>
  <si>
    <t>{7002} Покупка услуг</t>
  </si>
  <si>
    <t>{7007} Банковские услуги</t>
  </si>
  <si>
    <t>9076</t>
  </si>
  <si>
    <t>От 180 до 360 дней - резер равен  половине данной задолженности, более 360 дней - резерв на всю сумму задолженности. Если равенство не соблюдено, необходим комментарий.</t>
  </si>
  <si>
    <t>{2000} Нераспределенная прибыль/ непокрытый убыток текущего года</t>
  </si>
  <si>
    <t>C1=F_M1017;C7=320;C3=YTD;C6=0101</t>
  </si>
  <si>
    <t>Прибыль, капитализированная за счет отраслевых резервов (по введенным ОС)</t>
  </si>
  <si>
    <t>{52030700} Страхование рисков, связанных с выполнением строительно-монтажных работ</t>
  </si>
  <si>
    <t>{2415000} Расходы на содержание объектов социальной инфраструктуры</t>
  </si>
  <si>
    <t>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</t>
  </si>
  <si>
    <t>_2751</t>
  </si>
  <si>
    <t>Объекты (операции), в отношении которых применяется льгота</t>
  </si>
  <si>
    <t>Налоговые льготы (НДС, налог на прибыль, земельный налог)</t>
  </si>
  <si>
    <t>C1=F_M1036;C6=1290;C2=YTD;C4=0102</t>
  </si>
  <si>
    <t>C1=F_M1017;C6=2200;C2=YTD;C4=0102</t>
  </si>
  <si>
    <t>C1=F_M1030;C6=2410;C2=YTD;C4=0102</t>
  </si>
  <si>
    <t>C1=F_M1030;C6=2420;C2=YTD;C4=0102</t>
  </si>
  <si>
    <t>C1=F_M1030;C6=2430;C2=YTD;C4=0102</t>
  </si>
  <si>
    <t>Nukem Technologies</t>
  </si>
  <si>
    <t>Nukem Technologies Engineering Services GmbH</t>
  </si>
  <si>
    <t>{7003} Покупка основных средств, НМА</t>
  </si>
  <si>
    <t>{7004} Прочие расходы (раскрыть в комментарии)</t>
  </si>
  <si>
    <t>{7008} Покупка ТМЦ</t>
  </si>
  <si>
    <t>{1210101_~_~_~} Платежи поставщикам сырья, материалов, покупных полуфабрикатов и комплектующих изделий</t>
  </si>
  <si>
    <t>{1210102_~_~_~} Платежи поставщикам товаров, предназначенных для перепродажи</t>
  </si>
  <si>
    <t>{1210199_~_~_~} Платежи поставщикам прочих товарно-материальных ценностей</t>
  </si>
  <si>
    <t>{14280000} Утилизация отходов</t>
  </si>
  <si>
    <t>{14230000} Лабораторные анализы, проведение испытаний, аттестация</t>
  </si>
  <si>
    <t>{1242000_~_~_~} Страховые взносы во внебюджетные фонды</t>
  </si>
  <si>
    <t>Корректировка отложенных налоговых активов при выбытии актива, погашении обязательств</t>
  </si>
  <si>
    <t>Корректировка отложенных налоговых обязательств при выбытии актива, погашении обязательств</t>
  </si>
  <si>
    <t>370</t>
  </si>
  <si>
    <t>380</t>
  </si>
  <si>
    <t>Нераспределенная прибыль (непокрытый убыток) прошлых лет до утверждения Общим собранием акционеров</t>
  </si>
  <si>
    <t>Нераспределенная прибыль/ непокрытый убыток текущего года до корректировок</t>
  </si>
  <si>
    <t>На финансирование инвестиционной деятельности</t>
  </si>
  <si>
    <t>Выделено</t>
  </si>
  <si>
    <t>ЦССИ ФСО Р</t>
  </si>
  <si>
    <t>Гос.контракты</t>
  </si>
  <si>
    <t>Не расшифровывается</t>
  </si>
  <si>
    <t>_нерасш</t>
  </si>
  <si>
    <t>_9069</t>
  </si>
  <si>
    <t>{001} Создать резерв</t>
  </si>
  <si>
    <t>{002} Резерв не создавать</t>
  </si>
  <si>
    <t>{003} Списание задолженности по истечении срока исковой давности</t>
  </si>
  <si>
    <t>{004} Не определено</t>
  </si>
  <si>
    <t>C1=F_M1017;C7=370;C3=YTD;C6=0101</t>
  </si>
  <si>
    <t>C1=F_M1017;C7=380;C3=YTD;C6=0101</t>
  </si>
  <si>
    <t>C1=F_C1;C2=YTD;C8=0101</t>
  </si>
  <si>
    <t>C1=F_C2;C2=YTD;C8=0101</t>
  </si>
  <si>
    <t>C1=F_C1;C2=YTD;C9=0101</t>
  </si>
  <si>
    <t>C1=F_C2;C2=YTD;C9=0101</t>
  </si>
  <si>
    <t>C1=F_C3;C2=YTD;C8=0101</t>
  </si>
  <si>
    <t>C1=F_C2;C11=1;C2=YTD;C12=0101</t>
  </si>
  <si>
    <t>C1=F_C2;C11=2;C2=YTD;C12=0101</t>
  </si>
  <si>
    <t>C1=F_C2;C11=3;C2=YTD;C12=0101</t>
  </si>
  <si>
    <t>C1=F_C2;C2=YTD;C3=V;C4=0102</t>
  </si>
  <si>
    <t>C1=F_C3;C2=YTD;C4=0101</t>
  </si>
  <si>
    <t>C1=F_C3;C3=YTD;C6=0101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</si>
  <si>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дочерних организаций, обращающихся на ОРЦБ" (91_01_ВГО) &lt;= Стоимость реализованных акций дочерних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</si>
  <si>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дочерних организаций, не обращающихся на ОРЦБ" (91_01_ВГО) &lt;= Стоимость реализованных акций дочерних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</si>
  <si>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зависимых организаций, обращающихся на ОРЦБ" (91_01_ВГО) &lt;= Стоимость реализованных акций зависимых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</si>
  <si>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зависимых организаций, не обращающихся на ОРЦБ" (91_01_ВГО) &lt;= Стоимость реализованных акций зависимых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</si>
  <si>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акций прочих организаций, обращающихся на ОРЦБ" (91_01_ВГО) &lt;= Стоимость реализованных акций прочих организаций  (91_02)</t>
  </si>
  <si>
    <t>C1=F_M0503;C2=YTD;C4=0101</t>
  </si>
  <si>
    <t>C1=F_M0501;C2=YTD;C4=0101</t>
  </si>
  <si>
    <t>C1=F_M0502;C2=YTD;C4=0101</t>
  </si>
  <si>
    <t>C1=F_M0504;C2=YTD;C4=0101</t>
  </si>
  <si>
    <t>C1=F_M0704;C2=YTD;C8=0101</t>
  </si>
  <si>
    <t>C1=F_M0709;C2=YTD;C8=0101</t>
  </si>
  <si>
    <t>C1=F_M0713;C2=YTD;C8=0101</t>
  </si>
  <si>
    <t>C1=F_M0714;C2=YTD;C8=0101</t>
  </si>
  <si>
    <t>C1=F_M0705;C2=YTD;C8=0101</t>
  </si>
  <si>
    <t>C1=F_M0716;C2=YTD;C8=0101</t>
  </si>
  <si>
    <t>C1=F_M0719;C2=YTD;C8=0101</t>
  </si>
  <si>
    <t>C1=F_M0723;C2=YTD;C8=0101</t>
  </si>
  <si>
    <t>C1=F_M0720;C2=YTD;C8=0101</t>
  </si>
  <si>
    <t>C1=F_M0721;C2=YTD;C8=0101</t>
  </si>
  <si>
    <t>C1=F_M0722;C2=YTD;C8=0101</t>
  </si>
  <si>
    <t>C1=F_M0725;C2=YTD;C8=0101</t>
  </si>
  <si>
    <t>C1=F_M0726;C2=YTD;C8=0101</t>
  </si>
  <si>
    <t>C1=F_M0727;C2=YTD;C8=0101</t>
  </si>
  <si>
    <t>C1=F_M0728;C2=YTD;C8=0101</t>
  </si>
  <si>
    <t>C1=F_M0729;C2=YTD;C8=0101</t>
  </si>
  <si>
    <t>C1=F_M0733;C2=YTD;C8=0101</t>
  </si>
  <si>
    <t>C1=F_O1;C2=YTD;C8=0102</t>
  </si>
  <si>
    <t>C1=F_O1;C6=1;C2=YTD;C8=0102;C9=04</t>
  </si>
  <si>
    <t>C1=F_O1;C6=1;C2=YTD;C8=0102;C9=01</t>
  </si>
  <si>
    <t>C1=F_O1;C6=1;C2=YTD;C8=0102;C9=03</t>
  </si>
  <si>
    <t>C1=F_O1;C6=1;C2=YTD;C8=0102;C9=99</t>
  </si>
  <si>
    <t>C1=F_C1;C2=YTD;C8=0102</t>
  </si>
  <si>
    <t>C1=F_C1;C4=2;C2=YTD;C8=0102</t>
  </si>
  <si>
    <t>C1=F_C1;C7=10;C2=YTD;C8=0102</t>
  </si>
  <si>
    <t>C1=F_C1;C5=21;C2=YTD;C8=0102</t>
  </si>
  <si>
    <t>C1=F_C1;C5=22;C2=YTD;C8=0102</t>
  </si>
  <si>
    <t>C1=F_C1;C6=1;C2=YTD;C8=0102;C9=04</t>
  </si>
  <si>
    <t>C1=F_C1;C6=1;C2=YTD;C8=0102;C9=01</t>
  </si>
  <si>
    <t>C1=F_C1;C6=1;C2=YTD;C8=0102;C9=03</t>
  </si>
  <si>
    <t>C1=F_C1;C6=1;C2=YTD;C8=0102;C9=99</t>
  </si>
  <si>
    <t>C1=F_M0802;C2=YTD;C8=0101</t>
  </si>
  <si>
    <t>C1=F_M0803;C2=YTD;C8=0101</t>
  </si>
  <si>
    <t>C1=F_M0703;C2=YTD;C8=0101</t>
  </si>
  <si>
    <t>C1=F_M0707;C2=YTD;C8=0101</t>
  </si>
  <si>
    <t>C1=F_M0731;C2=YTD;C8=0101</t>
  </si>
  <si>
    <t>C1=F_O3;C2=YTD;C8=0101</t>
  </si>
  <si>
    <t>C1=F_M0601;C2=YTD;C4=0101</t>
  </si>
  <si>
    <t>C1=F_M0619;C2=YTD;C4=0101</t>
  </si>
  <si>
    <t>C1=F_M0602;C2=YTD;C4=0101</t>
  </si>
  <si>
    <t>C1=F_M0603;C2=YTD;C4=0101</t>
  </si>
  <si>
    <t>C1=F_M0620;C2=YTD;C4=0101</t>
  </si>
  <si>
    <t>C1=F_M0604;C2=YTD;C4=0101</t>
  </si>
  <si>
    <t>C1=F_M0605;C2=YTD;C4=0101</t>
  </si>
  <si>
    <t>C1=F_M0606;C2=YTD;C4=0101</t>
  </si>
  <si>
    <t>C1=F_M0718;C2=YTD;C4=0101;C5=20</t>
  </si>
  <si>
    <t>C1=F_M0718;C2=YTD;C4=0101;C5=26;C6=R102014800</t>
  </si>
  <si>
    <t>C1=F_M0718;C2=YTD;C4=0101;C5=26;C6=R102014900</t>
  </si>
  <si>
    <t>C1=F_M0718;C2=YTD;C4=0101;C5=44</t>
  </si>
  <si>
    <t>C1=F_M0718;C2=YTD;C4=0102;C5=20</t>
  </si>
  <si>
    <t>C1=F_M0718;C2=YTD;C4=0102;C5=44</t>
  </si>
  <si>
    <t>C1=F_M0732;C5=20;C2=YTD;C4=0101</t>
  </si>
  <si>
    <t>C1=F_M0732;C5=26;C2=YTD;C4=0101</t>
  </si>
  <si>
    <t>C1=F_M0732;C5=44;C2=YTD;C4=0101</t>
  </si>
  <si>
    <t>C1=F_M0702;C2=YTD;C8=0101</t>
  </si>
  <si>
    <t>C1=F_M0724;C2=YTD;C8=0101</t>
  </si>
  <si>
    <t>C1=F_M0730;C2=YTD;C8=0101</t>
  </si>
  <si>
    <t>C1=F_M0734;C2=YTD;C8=0101</t>
  </si>
  <si>
    <t>C1=F_M0735;C2=YTD;C8=0101</t>
  </si>
  <si>
    <t>C1=F_M0706;C2=YTD;C8=0101</t>
  </si>
  <si>
    <t>C1=F_M0745;C2=YTD;C8=0101</t>
  </si>
  <si>
    <t>C1=F_M0736;C2=YTD;C8=0101</t>
  </si>
  <si>
    <t>C1=F_M0737;C2=YTD;C8=0101</t>
  </si>
  <si>
    <t>C1=F_M0738;C2=YTD;C8=0101</t>
  </si>
  <si>
    <t>C1=F_M0739;C2=YTD;C8=0101</t>
  </si>
  <si>
    <t>C1=F_M0712;C2=YTD;C8=0101</t>
  </si>
  <si>
    <t>C1=F_M0715;C2=YTD;C8=0101</t>
  </si>
  <si>
    <t>C1=F_M0744;C2=YTD;C8=0101</t>
  </si>
  <si>
    <t>C1=F_M0740;C2=YTD;C8=0101</t>
  </si>
  <si>
    <t>C1=F_M0717;C2=YTD;C8=0101</t>
  </si>
  <si>
    <t>C1=F_C1;C2=YTD;C8=0102;C3=90.02</t>
  </si>
  <si>
    <t>C1=F_C1;C2=YTD;C4=0102</t>
  </si>
  <si>
    <t>C1=F_O1;C2=YTD;C6=0101</t>
  </si>
  <si>
    <t>C1=F_M0201;C2=YTD;C6=0101</t>
  </si>
  <si>
    <t>C1=F_M0224;C2=YTD;C6=0101</t>
  </si>
  <si>
    <t>C1=F_M0299;C2=YTD;C6=0101</t>
  </si>
  <si>
    <t>Остаток на начало периода по дебету
(долгосрочная и краткосрочная части)</t>
  </si>
  <si>
    <t>Остаток на начало периода по кредиту (долгосрочная часть)</t>
  </si>
  <si>
    <t>Остаток на начало периода по кредиту (краткосрочная часть)</t>
  </si>
  <si>
    <t>Остаток на конец периода по дебету
(долгосрочная и краткосрочная части)</t>
  </si>
  <si>
    <t>Остаток на конец периода по кредиту (долгосрочная часть)</t>
  </si>
  <si>
    <t>Остаток на конец периода по кредиту (краткосрочная часть)</t>
  </si>
  <si>
    <t>R1=302110300</t>
  </si>
  <si>
    <t>R1=R302050700</t>
  </si>
  <si>
    <t>Проверка оборотов между счетами,  Доходы в виде сумм восстановленных оценочных обязательств по выводу из эксплуатации объектов основных средств</t>
  </si>
  <si>
    <t>Проверка оборотов между счетами, Доходы в виде сумм восстановленных прочих оценочных обязательств</t>
  </si>
  <si>
    <t>C1=F_C1;C8=25617;C2=YTD;C6=0102</t>
  </si>
  <si>
    <t>C1=F_C1;C8=25613;C2=YTD;C6=0102</t>
  </si>
  <si>
    <t>C1=F_C1;C8=25615;C2=YTD;C6=0102</t>
  </si>
  <si>
    <t>R1=R102014340</t>
  </si>
  <si>
    <t>R1=R102015500</t>
  </si>
  <si>
    <t>R1=R302070500</t>
  </si>
  <si>
    <t>Признак КГН</t>
  </si>
  <si>
    <t>91_02,96</t>
  </si>
  <si>
    <t>КГН</t>
  </si>
  <si>
    <t>в т.ч. остаток на начало периода (долгосрочная часть)</t>
  </si>
  <si>
    <t>КМЗ Спецмаш</t>
  </si>
  <si>
    <t xml:space="preserve">Расчеты с персоналом по оплате труда. </t>
  </si>
  <si>
    <t>_grup_prod</t>
  </si>
  <si>
    <t>Группы продукции</t>
  </si>
  <si>
    <t>Счет 68. Расшифровка по бюджетам</t>
  </si>
  <si>
    <t>68_расш</t>
  </si>
  <si>
    <t>АРМЗ-Сервис</t>
  </si>
  <si>
    <t xml:space="preserve">Проверка остатков </t>
  </si>
  <si>
    <t>НЗП_ГП</t>
  </si>
  <si>
    <t>Долгосроч_договоры</t>
  </si>
  <si>
    <t>Дл-ср_договор</t>
  </si>
  <si>
    <t>{16110100} Кислота и щелочь (собственные)</t>
  </si>
  <si>
    <t xml:space="preserve">{199} Компенсация текущих затрат </t>
  </si>
  <si>
    <t>0-6 мес</t>
  </si>
  <si>
    <t>6-12 мес</t>
  </si>
  <si>
    <t>F_M0813</t>
  </si>
  <si>
    <t>F_M0124</t>
  </si>
  <si>
    <t>F_M0125</t>
  </si>
  <si>
    <t>F_M0126</t>
  </si>
  <si>
    <t>F_M0127</t>
  </si>
  <si>
    <t>F_M0128</t>
  </si>
  <si>
    <t>F_M0129</t>
  </si>
  <si>
    <t>Затраты на производство (Дт 20_23_25_29)</t>
  </si>
  <si>
    <t>Холдинг (Дт 26)</t>
  </si>
  <si>
    <t>Предприятие  (Дт 26)</t>
  </si>
  <si>
    <t>Расходы на продажу (Дт 44)</t>
  </si>
  <si>
    <t>в т.ч долгосрочные</t>
  </si>
  <si>
    <t>в т.ч долгосрочных</t>
  </si>
  <si>
    <t>В т.ч краткосрочная часть ДТ</t>
  </si>
  <si>
    <t>В т.ч краткосрочная часть КТ</t>
  </si>
  <si>
    <t>В т.ч. Краткосрочная часть</t>
  </si>
  <si>
    <t>Управление Росприроднадзора по Красноярскому краю 2466146143</t>
  </si>
  <si>
    <t>ФГБУЗ ЦМСЧ №91 (ИНН 6630001950)</t>
  </si>
  <si>
    <t>ФГУП "СНИИМ" 5407110983</t>
  </si>
  <si>
    <t>МУП "Комбинат благоустройства" (ИНН 6630000138)</t>
  </si>
  <si>
    <t>ФГУП "ЭПМ" ФМБА России 7734134547</t>
  </si>
  <si>
    <t>ОВД по ЗАТО Северск ИНН 7024009333</t>
  </si>
  <si>
    <t>ФГУЗ КБ №81 ФМБА России ИНН 7024007512</t>
  </si>
  <si>
    <t>ТУ Росимущества в Томской области ИНН 7017242314</t>
  </si>
  <si>
    <t>ФГБУЗ "ЦМСЧ №120" ФМБА России ИНН 5112000128</t>
  </si>
  <si>
    <t>КТИ НП СО РАН ИНН 5408105376</t>
  </si>
  <si>
    <t>ИГЯБ НИЯУ МИФИ ИНН 7724068140</t>
  </si>
  <si>
    <t>Департамент Росприроднадзора по УФО ИНН 6671307658</t>
  </si>
  <si>
    <t>ФГБУЗ ЦМСЧ 31 ИНН 6660013462</t>
  </si>
  <si>
    <t>ЦГБ Вилючинск (ИНН 4102003181)</t>
  </si>
  <si>
    <t>МУПСИСМИ "Инфо-спутник" (ИНН 5114020024)</t>
  </si>
  <si>
    <t>ОГБУЗ "Ангарская областная психиатрическая больница" (ИНН 3801017724)</t>
  </si>
  <si>
    <t>ДЮСШ Юность МБОУ ДОД (ИНН 2453008227)</t>
  </si>
  <si>
    <t>ГУ ОВО Отдела МВД России (ИНН 2466253723)</t>
  </si>
  <si>
    <t>ГУ ОВО Отдела МВД России (ИНН 2451000896)</t>
  </si>
  <si>
    <t>ГУ ОВО Отдела МВД России (ИНН 2453002850)</t>
  </si>
  <si>
    <t>УМ "АТП" (ИНН 2453001359)</t>
  </si>
  <si>
    <t>МУП "УАТ" (ИНН 7422001051)</t>
  </si>
  <si>
    <t>ОВО при УВД по ОГО Чел. обл. (ИНН 7422000643)</t>
  </si>
  <si>
    <t>Федеральная служба по оборонному заказу ИНН 7708235027</t>
  </si>
  <si>
    <t>C1=F_M0612;C2=YTD;C4=0102;C7=2;C8=002</t>
  </si>
  <si>
    <t>C1=F_M0612;C2=YTD;C4=0102;C7=1;C8=003</t>
  </si>
  <si>
    <t>C1=F_M0612;C2=YTD;C4=0102;C7=1;C8=004</t>
  </si>
  <si>
    <t>C1=F_M0612;C2=YTD;C4=0102;C7=3;C8=003</t>
  </si>
  <si>
    <t>C1=F_M0612;C2=YTD;C4=0102;C7=3;C8=004</t>
  </si>
  <si>
    <t>C1=F_M0612;C2=YTD;C4=0102;C7=2;C8=003</t>
  </si>
  <si>
    <t>C1=F_M0612;C2=YTD;C4=0102;C7=2;C8=004</t>
  </si>
  <si>
    <t>C1=F_M0612;C2=YTD;C4=0102;C7=1;C8=005</t>
  </si>
  <si>
    <t>C1=F_M0612;C2=YTD;C4=0102;C7=3;C8=005</t>
  </si>
  <si>
    <t>C1=F_M0612;C2=YTD;C4=0102;C7=2;C8=005</t>
  </si>
  <si>
    <t>Per</t>
  </si>
  <si>
    <t>69</t>
  </si>
  <si>
    <t>C1=F_O2;C2=YTD;C4=0101</t>
  </si>
  <si>
    <t>C1=F_M0621;C2=YTD;C4=0101</t>
  </si>
  <si>
    <t>C1=F_M0617;C2=YTD;C4=0101</t>
  </si>
  <si>
    <t>C1=F_M0622;C2=YTD;C4=0101</t>
  </si>
  <si>
    <t>C1=F_M0610;C2=YTD;C4=0101</t>
  </si>
  <si>
    <t>C1=F_M0612;C2=YTD;C4=0101</t>
  </si>
  <si>
    <t>C1=F_M0618;C2=YTD;C4=0101</t>
  </si>
  <si>
    <t>C1=F_C2;C2=YTD;C4=0101</t>
  </si>
  <si>
    <t>C1=F_M0301;C2=YTD;C6=0101</t>
  </si>
  <si>
    <t>C1=F_M0303;C2=YTD;C6=0101</t>
  </si>
  <si>
    <t>C1=F_M0308;C2=YTD;C6=0101</t>
  </si>
  <si>
    <t>C1=F_M0314;C2=YTD;C6=0101</t>
  </si>
  <si>
    <t>C1=F_C1;C2=YTD;C6=0101</t>
  </si>
  <si>
    <t>C1=F_M0323;C2=YTD;C6=0101</t>
  </si>
  <si>
    <t>73</t>
  </si>
  <si>
    <t>C1=F_M0319;C2=YTD;C6=0101</t>
  </si>
  <si>
    <t>C1=F_M1006;C2=YTD;C6=0101</t>
  </si>
  <si>
    <t>C1=F_M1027;C2=YTD;C6=0101</t>
  </si>
  <si>
    <t>C1=F_M1007;C2=YTD;C6=0101</t>
  </si>
  <si>
    <t>C1=F_M1017;C2=YTD;C6=0101</t>
  </si>
  <si>
    <t>C1=F_C1;C2=YTD;C6=0102;C10=01</t>
  </si>
  <si>
    <t>C1=F_M0221;C2=YTD;C6=0101</t>
  </si>
  <si>
    <t>C1=F_M0215;C2=YTD;C6=0101</t>
  </si>
  <si>
    <t>C1=F_M0216;C2=YTD;C6=0101</t>
  </si>
  <si>
    <t>C1=F_M0217;C2=YTD;C6=0101</t>
  </si>
  <si>
    <t>C1=F_M0218;C2=YTD;C6=0101</t>
  </si>
  <si>
    <t>76</t>
  </si>
  <si>
    <t>C1=F_M0223;C2=YTD;C6=0101</t>
  </si>
  <si>
    <t>C1=F_M0925;C2=YTD;C12=0101</t>
  </si>
  <si>
    <t>C1=F_M0936;C2=YTD;C12=0101</t>
  </si>
  <si>
    <t>C1=F_C1;C2=YTD;C12=0101</t>
  </si>
  <si>
    <t>C1=F_C2;C2=YTD;C12=0101</t>
  </si>
  <si>
    <t>C1=F_M0624;C2=YTD;C4=0101</t>
  </si>
  <si>
    <t>80</t>
  </si>
  <si>
    <t>C1=F_O2;C2=YTD;C3=V;C4=0102</t>
  </si>
  <si>
    <t>C1=F_M1001;C2=YTD;C4=0101</t>
  </si>
  <si>
    <t>C1=F_M1001;C2=YTD;C3=V;C4=0102</t>
  </si>
  <si>
    <t>C1=F_M1002;C2=YTD;C4=0101</t>
  </si>
  <si>
    <t>C1=F_M1002;C2=YTD;C3=V;C4=0102</t>
  </si>
  <si>
    <t>C1=F_M1005;C2=YTD;C4=0101</t>
  </si>
  <si>
    <t>C1=F_M1005;C2=YTD;C3=V;C4=0102</t>
  </si>
  <si>
    <t>C1=F_M1006;C2=YTD;C4=0101</t>
  </si>
  <si>
    <t>C1=F_M1006;C2=YTD;C3=V;C4=0102</t>
  </si>
  <si>
    <t>C1=F_M1007;C2=YTD;C4=0101;C5=23</t>
  </si>
  <si>
    <t>C1=F_M1007;C2=YTD;C3=V;C4=0102;C5=23</t>
  </si>
  <si>
    <t>C1=F_M1007;C2=YTD;C4=0101;C5=10</t>
  </si>
  <si>
    <t>C1=F_M1007;C2=YTD;C3=V;C4=0102;C5=10</t>
  </si>
  <si>
    <t>C1=F_M1008;C2=YTD;C4=0101;C5=23</t>
  </si>
  <si>
    <t>C1=F_M1008;C2=YTD;C3=V;C4=0102;C5=23</t>
  </si>
  <si>
    <t>C1=F_M1008;C2=YTD;C4=0101;C5=10</t>
  </si>
  <si>
    <t>C1=F_M1008;C2=YTD;C3=V;C4=0102;C5=10</t>
  </si>
  <si>
    <t>C1=F_M1009;C2=YTD;C4=0101</t>
  </si>
  <si>
    <t>C1=F_M1009;C2=YTD;C3=V;C4=0102</t>
  </si>
  <si>
    <t>C1=F_M1010;C2=YTD;C4=0101</t>
  </si>
  <si>
    <t>C1=F_M1010;C2=YTD;C3=V;C4=0102</t>
  </si>
  <si>
    <t>83</t>
  </si>
  <si>
    <t>C1=F_M1011;C2=YTD;C4=0101</t>
  </si>
  <si>
    <t>C1=F_M1012;C2=YTD;C4=0101</t>
  </si>
  <si>
    <t>C1=F_M1013;C2=YTD;C4=0101</t>
  </si>
  <si>
    <t>C1=F_M1014;C2=YTD;C4=0101</t>
  </si>
  <si>
    <t>C1=F_M1015;C2=YTD;C4=0101</t>
  </si>
  <si>
    <t>C1=F_M1032;C2=YTD;C4=0101</t>
  </si>
  <si>
    <t>C1=F_M1033;C2=YTD;C4=0101</t>
  </si>
  <si>
    <t>C1=F_M1037;C2=YTD;C4=0101</t>
  </si>
  <si>
    <t>C1=F_M1028;C2=YTD;C4=0101</t>
  </si>
  <si>
    <t>C1=F_M1016;C2=YTD;C4=0101</t>
  </si>
  <si>
    <t>C1=F_M1017;C2=YTD;C4=0101</t>
  </si>
  <si>
    <t>C1=F_O2;C2=YTD;C4=0102</t>
  </si>
  <si>
    <t>C1=F_C2;C2=YTD;C4=0102</t>
  </si>
  <si>
    <t>C1=F_O2;C2=YTD;C12=0102</t>
  </si>
  <si>
    <t>C1=F_M1101;C2=YTD;C12=0101</t>
  </si>
  <si>
    <t>C1=F_M1102;C2=YTD;C12=0101</t>
  </si>
  <si>
    <t>C1=F_M1103;C2=YTD;C12=0101</t>
  </si>
  <si>
    <t>C1=F_M1106;C2=YTD;C12=0101</t>
  </si>
  <si>
    <t>C1=F_M1104;C2=YTD;C12=0101</t>
  </si>
  <si>
    <t>C1=F_M1105;C2=YTD;C12=0101</t>
  </si>
  <si>
    <t>C1=F_M1107;C2=YTD;C12=0101</t>
  </si>
  <si>
    <t>C1=F_M1108;C2=YTD;C12=0101</t>
  </si>
  <si>
    <t>C1=F_M1109;C2=YTD;C12=0101</t>
  </si>
  <si>
    <t>C1=F_M1110;C2=YTD;C12=0101</t>
  </si>
  <si>
    <t>C1=F_M1111;C2=YTD;C12=0101</t>
  </si>
  <si>
    <t>C1=F_M1113;C2=YTD;C12=0101</t>
  </si>
  <si>
    <t>C1=F_M1114;C2=YTD;C12=0101</t>
  </si>
  <si>
    <t>C1=F_M1118;C2=YTD;C12=0101</t>
  </si>
  <si>
    <t>C1=F_M1119;C2=YTD;C12=0101</t>
  </si>
  <si>
    <t>C1=F_C2;C2=90.01;C6=0101;C3=YTD</t>
  </si>
  <si>
    <t>C1=F_C1;C2=90.03;C6=0101;C3=YTD</t>
  </si>
  <si>
    <t>C1=F_C2;C2=90.01;C6=0101;C8=43;C3=YTD</t>
  </si>
  <si>
    <t>C1=F_C1;C2=90.02;C6=0101;C8=43;C3=YTD</t>
  </si>
  <si>
    <t>C1=F_C1;C2=90.03;C6=0101;C8=43;C3=YTD</t>
  </si>
  <si>
    <t>C1=F_C2;C2=90.01;C6=0102;C3=YTD</t>
  </si>
  <si>
    <t>C1=F_C1;C2=91.02;C6=0101;C3=YTD</t>
  </si>
  <si>
    <t>C1=F_C2;C2=91.01;C6=0101;C3=YTD</t>
  </si>
  <si>
    <t>C1=F_C1;C2=91.02;C6=0102;C3=YTD</t>
  </si>
  <si>
    <t>96</t>
  </si>
  <si>
    <t>C1=F_O2;C2=YTD;C3=10;C4=0101</t>
  </si>
  <si>
    <t>C1=F_O2;C2=YTD;C3=20;C4=0101</t>
  </si>
  <si>
    <t>C1=F_M0804;C2=YTD;C4=0101</t>
  </si>
  <si>
    <t>C1=F_M0802;C2=YTD;C4=0101</t>
  </si>
  <si>
    <t>C1=F_M0803;C2=YTD;C4=0101</t>
  </si>
  <si>
    <t>C1=F_M1025;C2=YTD;C4=0101</t>
  </si>
  <si>
    <t>C1=F_M0813;C2=YTD;C4=0101</t>
  </si>
  <si>
    <t>C1=F_M0811;C2=YTD;C4=0101</t>
  </si>
  <si>
    <t>C1=F_M0812;C2=YTD;C4=0101</t>
  </si>
  <si>
    <t>C1=F_C2;C2=YTD;C3=10;C4=0101</t>
  </si>
  <si>
    <t>C1=F_C2;C2=YTD;C3=20;C4=0101</t>
  </si>
  <si>
    <t>C1=F_O1;C2=YTD;C3=10;C9=0101</t>
  </si>
  <si>
    <t>C1=F_O1;C2=YTD;C3=20;C9=0101</t>
  </si>
  <si>
    <t>C1=F_M0124;C2=YTD;C9=0101</t>
  </si>
  <si>
    <t>C1=F_M0125;C2=YTD;C9=0101</t>
  </si>
  <si>
    <t>C1=F_M0126;C2=YTD;C9=0101</t>
  </si>
  <si>
    <t>C1=F_M0127;C2=YTD;C9=0101</t>
  </si>
  <si>
    <t>C1=F_M0128;C2=YTD;C9=0101</t>
  </si>
  <si>
    <t>C1=F_M0129;C2=YTD;C9=0101</t>
  </si>
  <si>
    <t>C1=F_M0154;C2=YTD;C9=0101</t>
  </si>
  <si>
    <t>C1=F_M0155;C2=YTD;C9=0101</t>
  </si>
  <si>
    <t>C1=F_M0156;C2=YTD;C9=0101</t>
  </si>
  <si>
    <t>C1=F_C1;C2=YTD;C3=10;C9=0101</t>
  </si>
  <si>
    <t>C1=F_C1;C2=YTD;C3=20;C9=0101</t>
  </si>
  <si>
    <t>C1=F_M0402;C2=YTD;C6=0101</t>
  </si>
  <si>
    <t>C1=F_M0403;C2=YTD;C6=0101</t>
  </si>
  <si>
    <t>C1=F_M0404;C2=YTD;C6=0101</t>
  </si>
  <si>
    <t>C1=F_M0405;C2=YTD;C6=0101</t>
  </si>
  <si>
    <t>C1=F_M0406;C2=YTD;C6=0101</t>
  </si>
  <si>
    <t>C1=F_M0408;C2=YTD;C6=0101</t>
  </si>
  <si>
    <t>C1=F_M0409;C2=YTD;C6=0101</t>
  </si>
  <si>
    <t>C1=F_M0410;C2=YTD;C6=0101</t>
  </si>
  <si>
    <t>C1=F_M0411;C2=YTD;C6=0101</t>
  </si>
  <si>
    <t>C1=F_M0412;C2=YTD;C6=0101</t>
  </si>
  <si>
    <t>C1=F_M0413;C2=YTD;C6=0101</t>
  </si>
  <si>
    <t>C1=F_M0414;C2=YTD;C6=0101</t>
  </si>
  <si>
    <t>C1=F_C2;C3=10;C2=YTD;C6=0101</t>
  </si>
  <si>
    <t>C1=F_C2;C3=20;C2=YTD;C6=0101</t>
  </si>
  <si>
    <t>C1=F_M0401;C2=YTD;C6=0101</t>
  </si>
  <si>
    <t>C1=F_M0417;C2=YTD;C6=0101</t>
  </si>
  <si>
    <t>C1=F_M0416;C2=YTD;C6=0101</t>
  </si>
  <si>
    <t>C1=F_O3;C3=YTD;C6=0101</t>
  </si>
  <si>
    <t>C1=F_M1017;C7=100;C3=YTD;C6=0101</t>
  </si>
  <si>
    <t>C1=F_M1017;C7=200;C3=YTD;C6=0101</t>
  </si>
  <si>
    <t>C1=F_M1017;C7=310;C3=YTD;C6=0101</t>
  </si>
  <si>
    <t>C1=F_M1017;C7=330;C3=YTD;C6=0101</t>
  </si>
  <si>
    <t>C1=F_M1017;C7=360;C3=YTD;C6=0101</t>
  </si>
  <si>
    <t>C1=F_M1017;C7=410;C3=YTD;C6=0101</t>
  </si>
  <si>
    <t>C1=F_M1017;C7=420;C3=YTD;C6=0101</t>
  </si>
  <si>
    <t>C1=F_M1017;C7=350;C3=YTD;C6=0101</t>
  </si>
  <si>
    <t>C1=F_M1017;C7=340;C3=YTD;C6=0101</t>
  </si>
  <si>
    <t>Признак_вкл_в_себестоимость</t>
  </si>
  <si>
    <t>patch_check</t>
  </si>
  <si>
    <t>date_check</t>
  </si>
  <si>
    <t>DATA_SHEET_1</t>
  </si>
  <si>
    <t>DATA_SHEET_2</t>
  </si>
  <si>
    <t>DATA_SHEET_3</t>
  </si>
  <si>
    <t>DATA_SHEET_4</t>
  </si>
  <si>
    <t>DATA_SHEET_5</t>
  </si>
  <si>
    <t>DATA_SHEET_6</t>
  </si>
  <si>
    <t>Для проверки форматов даты необходимо:</t>
  </si>
  <si>
    <t>Лист</t>
  </si>
  <si>
    <t>Номер столбца</t>
  </si>
  <si>
    <t>Номер строки</t>
  </si>
  <si>
    <t>Буква</t>
  </si>
  <si>
    <t>G</t>
  </si>
  <si>
    <t>K</t>
  </si>
  <si>
    <t>F</t>
  </si>
  <si>
    <t>J</t>
  </si>
  <si>
    <t>M</t>
  </si>
  <si>
    <t>AA</t>
  </si>
  <si>
    <t>AB</t>
  </si>
  <si>
    <t>AC</t>
  </si>
  <si>
    <t>Форматы дат корректны:</t>
  </si>
  <si>
    <t>R1=R204240000</t>
  </si>
  <si>
    <t>R1=203030000</t>
  </si>
  <si>
    <t>R1=204180000</t>
  </si>
  <si>
    <t>R1=R204180010</t>
  </si>
  <si>
    <t>R1=205100000</t>
  </si>
  <si>
    <t>R1=301010201</t>
  </si>
  <si>
    <t>R1=R301141200</t>
  </si>
  <si>
    <t>R1=301031100</t>
  </si>
  <si>
    <t>R1=301170300</t>
  </si>
  <si>
    <t>R1=302010201</t>
  </si>
  <si>
    <t>R1=302060100</t>
  </si>
  <si>
    <t>R1=302090100</t>
  </si>
  <si>
    <t>R1=302120100</t>
  </si>
  <si>
    <t>R1=302110700</t>
  </si>
  <si>
    <t>R1=R302121200</t>
  </si>
  <si>
    <t>R1=302050401</t>
  </si>
  <si>
    <t>R1=302031200</t>
  </si>
  <si>
    <t>F_O3</t>
  </si>
  <si>
    <t>F_C3</t>
  </si>
  <si>
    <t>C1=F_O1;C2=YTD;C4=0101</t>
  </si>
  <si>
    <t>R5=20</t>
  </si>
  <si>
    <t>F_O1</t>
  </si>
  <si>
    <t>F_C1</t>
  </si>
  <si>
    <t>F_O2</t>
  </si>
  <si>
    <t>{201211_1} Изобретения, промышленные образцы, полезные модели</t>
  </si>
  <si>
    <t>{201212_1} Программы для ЭВМ, базы данных</t>
  </si>
  <si>
    <t>{201213_1} Товарный знак, знака обслуживания, наименование места происхождения товаров</t>
  </si>
  <si>
    <t>{201214_1} Топология интегральных микросхем</t>
  </si>
  <si>
    <t>{201215_1} Селекционные достижения</t>
  </si>
  <si>
    <t>{201220_1} Деловая репутация организации</t>
  </si>
  <si>
    <t>{201231_1} Лицензии (кроме лицензий на пользование недрами)</t>
  </si>
  <si>
    <t>{201232_1} Лицензии на пользование недрами</t>
  </si>
  <si>
    <t>{201239_1} Прочие нематериальные активы</t>
  </si>
  <si>
    <t>{201240_1} Результаты исследований и разработок</t>
  </si>
  <si>
    <t>{201211_2} Изобретения, промышленные образцы, полезные модели</t>
  </si>
  <si>
    <t>{201212_2} Программы для ЭВМ, базы данных</t>
  </si>
  <si>
    <t>{201213_2} Товарный знак, знака обслуживания, наименование места происхождения товаров</t>
  </si>
  <si>
    <t>{201214_2} Топология интегральных микросхем</t>
  </si>
  <si>
    <t>{201215_2} Селекционные достижения</t>
  </si>
  <si>
    <t>{201239_2} Прочие нематериальные активы</t>
  </si>
  <si>
    <t>{201240_2} Результаты исследований и разработок</t>
  </si>
  <si>
    <t>COM</t>
  </si>
  <si>
    <t>C1=YTD</t>
  </si>
  <si>
    <t>F_C2</t>
  </si>
  <si>
    <t>{20} Краткосрочная</t>
  </si>
  <si>
    <t>{10} Долгосрочная</t>
  </si>
  <si>
    <t>C1=F_O3;C2=YTD;C4=0102</t>
  </si>
  <si>
    <t>C1=F_M0609;C2=YTD;C4=0102</t>
  </si>
  <si>
    <t>C1=F_M0504;C2=YTD;C4=0102</t>
  </si>
  <si>
    <t>C1=F_C3;C2=YTD;C4=0102</t>
  </si>
  <si>
    <t>F_M1104</t>
  </si>
  <si>
    <t>F_M1105</t>
  </si>
  <si>
    <t>350</t>
  </si>
  <si>
    <t>340</t>
  </si>
  <si>
    <t>Закрытие отдельных видов затрат на непроизводственные счета</t>
  </si>
  <si>
    <t>_1015_общий</t>
  </si>
  <si>
    <t>Проверка оборотов между счетами, Признание целевого финансирования, направленного на демонтаж и ликвидацию объектов, в качестве доходов будущих периодов</t>
  </si>
  <si>
    <t>Проверка оборотов между счетами, Признание целевого финансирования, направленного на рекультивацию земель, в качестве доходов будущих периодов</t>
  </si>
  <si>
    <t>Проверка детализации прочих затрат</t>
  </si>
  <si>
    <t>Прочие услуги (работы) производственного характера</t>
  </si>
  <si>
    <t>Прочие услуги производственного характера (собственные)</t>
  </si>
  <si>
    <t>Лист Затраты_Вход_1</t>
  </si>
  <si>
    <t>Лист 96_движ</t>
  </si>
  <si>
    <t>07, 08</t>
  </si>
  <si>
    <t>10018</t>
  </si>
  <si>
    <t>Проверка оборотов между счетами, Доходы в виде сумм восстановленных резервов по рекультивации нарушенных земель</t>
  </si>
  <si>
    <t>91_01,96</t>
  </si>
  <si>
    <t>Проверка оборотов между счетами, Доходы в виде сумм восстановленных резервов на проведение экологических мероприятий</t>
  </si>
  <si>
    <t>R5=26</t>
  </si>
  <si>
    <t>R5=44</t>
  </si>
  <si>
    <t>ГООУ СПО "Мурманский строительный колледж имени Н.Е. Момота" ИНН 5190168199</t>
  </si>
  <si>
    <t>филиала ФГБУ "Российское энергетическое агентство"  Минэнерго России ИНН 7709018297</t>
  </si>
  <si>
    <t>Территориальный орган Федеральной службы государственной статистики по Мурманской области (Мурманскстат) ИНН 5190800026</t>
  </si>
  <si>
    <t>ЦОПО АНО 5036088248</t>
  </si>
  <si>
    <t>ФГБУЗ ЦМСЧ 31 ИНН 6629007354</t>
  </si>
  <si>
    <t>ФБУ "Уралтест" ИНН 6662005668</t>
  </si>
  <si>
    <t>ФБУ "Пермский ЦСМ" ИНН 5902400246</t>
  </si>
  <si>
    <t>НГТУ ИНН 5404105174</t>
  </si>
  <si>
    <t>ФБУ "ТЕСТ-САНКТ-ПЕТЕРБУРГ"</t>
  </si>
  <si>
    <t>={3340000} НДС с доходов прошлых лет, выявленные в отчетном периоде</t>
  </si>
  <si>
    <t>Проверка равенства Затраты_вход_1 и Затраты_Выход</t>
  </si>
  <si>
    <t>F_M0223</t>
  </si>
  <si>
    <t>{52420000} Обучение специалистов заказчика</t>
  </si>
  <si>
    <t>{1.02.01.45.01} Товары для перепродажи - ядерное топливо</t>
  </si>
  <si>
    <t>Лист 10</t>
  </si>
  <si>
    <t>Сумма капитальных затрат
за период</t>
  </si>
  <si>
    <t>10 и 10_расш "Остаток на начало периода"</t>
  </si>
  <si>
    <t>Проверка правильности расшифровки между листами</t>
  </si>
  <si>
    <t>10_расш "Остаток на начало периода"</t>
  </si>
  <si>
    <t>10_расш "Остаток на конец периода"</t>
  </si>
  <si>
    <t>{52060400} Услуги медицинских учреждений, предоставляемые работникам, по прямым договорам</t>
  </si>
  <si>
    <t>ОСВ_система</t>
  </si>
  <si>
    <t>Свод_по_счетам</t>
  </si>
  <si>
    <t>Лист 07</t>
  </si>
  <si>
    <t>Источники формирования добавочного капитала</t>
  </si>
  <si>
    <t>{2419000} Прочие расходы социального характера</t>
  </si>
  <si>
    <t>{10100} Оценочные обязательства по выплате вознаграждений по итогам работы за год</t>
  </si>
  <si>
    <t>{10110}  Оценочные обязательства по выплате вознаграждений по итогам работы за год  (сумма выплат)</t>
  </si>
  <si>
    <t>{10111} Оценочные обязательства по выплате вознаграждений по итогам работы за год текущего года (сумма выплат)</t>
  </si>
  <si>
    <t>{10112} Оценочные обязательства по выплате вознаграждений по итогам работы за год прошлых лет (сумма выплат)</t>
  </si>
  <si>
    <t>{10120} Оценочные обязательства по выплате вознаграждений по итогам работы за год (сумма страховых взносов)</t>
  </si>
  <si>
    <t>{10121} Оценочные обязательства по выплате вознаграждений по итогам работы за год текущего года (сумма страховых взносов)</t>
  </si>
  <si>
    <t>{10122} Оценочные обязательства по выплате вознаграждений по итогам работы за год прошлых лет  (сумма страховых взносов)</t>
  </si>
  <si>
    <t>{10200} Оценочные обязательства по оплате отпусков работников</t>
  </si>
  <si>
    <t>{10210} Оценочные обязательства по оплате отпусков работников (сумма выплат)</t>
  </si>
  <si>
    <t>{10220} Оценочные обязательства по оплате отпусков работников (сумма страховых взносов)</t>
  </si>
  <si>
    <t>{20100} Оценочные обязательства по выводу из эксплуатации объектов основных средств</t>
  </si>
  <si>
    <t xml:space="preserve">{20200} Оценочные обязательства по рекультивации нарушенных земель </t>
  </si>
  <si>
    <t>{20300} Оценочные обязательства по обращению с радиоактивными и прочими отходами</t>
  </si>
  <si>
    <t>{20400} Оценочные обязательства по проведению экологических мероприятий</t>
  </si>
  <si>
    <t>{20500} Оценочные обязательства по обременительным договорам</t>
  </si>
  <si>
    <t>{20600} Оценочные обязательства по судебным искам</t>
  </si>
  <si>
    <t>{20700} Оценочные обязательства по налоговым искам/претензиям</t>
  </si>
  <si>
    <t>{20800} Оценочные обязательства по реструктуризации</t>
  </si>
  <si>
    <t>{20900} Оценочные обязательства по гарантийным обязательствам</t>
  </si>
  <si>
    <t>{21000} Оценочные обязательства по финансовым гарантиям/поручительствам</t>
  </si>
  <si>
    <t>{21100} Прочие оценочные обязательства</t>
  </si>
  <si>
    <t>Лист 76</t>
  </si>
  <si>
    <t>{1230100} Доходы в виде сумм восстановленных оценочных обязательств по рекультивации нарушенных земель</t>
  </si>
  <si>
    <t>{1230200} Доходы в виде сумм восстановленных оценочных обязательств на проведение экологических мероприятий</t>
  </si>
  <si>
    <t>{1230300} Доходы в виде сумм восстановленных оценочных обязательств по обременительным договорам</t>
  </si>
  <si>
    <t>{1230400} Доходы в виде сумм восстановленных оценочных обязательств по судебным искам</t>
  </si>
  <si>
    <t>{1230500} Доходы в виде сумм восстановленных оценочных обязательств по налоговым искам/претензиям</t>
  </si>
  <si>
    <t>{1230600} Доходы в виде сумм восстановленных оценочных обязательств на реструктуризацию</t>
  </si>
  <si>
    <t>{1230700} Доходы в виде сумм восстановленных оценочных обязательств по гарантийным обязательствам</t>
  </si>
  <si>
    <t>{1230800} Доходы в виде сумм восстановленных оценочных обязательств по финансовым гарантиям /поручительствам</t>
  </si>
  <si>
    <t>{1230900} Доходы в виде сумм восстановленных оценочных обязательств по выводу из эксплуатации объектов основных средств</t>
  </si>
  <si>
    <t>Обороты между счетами, заполненные в разных формах должны быть равныДт 10 Кт 41</t>
  </si>
  <si>
    <t>Обороты между счетами, заполненные в разных формах должны быть равныДт 10 Кт 43</t>
  </si>
  <si>
    <t>Вложения во внеоборотные активы</t>
  </si>
  <si>
    <t>07 Поток - Затраты</t>
  </si>
  <si>
    <t>20*</t>
  </si>
  <si>
    <t>21*</t>
  </si>
  <si>
    <t>23*</t>
  </si>
  <si>
    <t>Вспомогательные производства</t>
  </si>
  <si>
    <t>25*</t>
  </si>
  <si>
    <t>29*</t>
  </si>
  <si>
    <t>26*</t>
  </si>
  <si>
    <t>28*</t>
  </si>
  <si>
    <t>31*</t>
  </si>
  <si>
    <t>Материальные затраты и работы производственного характера</t>
  </si>
  <si>
    <t>32*</t>
  </si>
  <si>
    <t>Расходы на оплату труда</t>
  </si>
  <si>
    <t>33*</t>
  </si>
  <si>
    <t>Отчисления в фонды</t>
  </si>
  <si>
    <t>34*</t>
  </si>
  <si>
    <t>35*</t>
  </si>
  <si>
    <t>36*</t>
  </si>
  <si>
    <t>44*</t>
  </si>
  <si>
    <t>96* (в части прочих затрат)</t>
  </si>
  <si>
    <t>08 Поток - Учет доходов_расходов</t>
  </si>
  <si>
    <t>90.01*</t>
  </si>
  <si>
    <t>Продажи - 1. Выручка</t>
  </si>
  <si>
    <t>90.02*</t>
  </si>
  <si>
    <t>Продажи - 2. Себестоимость продаж</t>
  </si>
  <si>
    <t>90.03*</t>
  </si>
  <si>
    <t>Продажи - 3. Налог на добавленную стоимость</t>
  </si>
  <si>
    <t>91.1*</t>
  </si>
  <si>
    <t>91.2*</t>
  </si>
  <si>
    <t>09 Поток - Финансовые вложения</t>
  </si>
  <si>
    <t>58*</t>
  </si>
  <si>
    <t>59*</t>
  </si>
  <si>
    <t>66*</t>
  </si>
  <si>
    <t>67*</t>
  </si>
  <si>
    <t>76* (в части процентов)</t>
  </si>
  <si>
    <t>86*</t>
  </si>
  <si>
    <t>10 Поток - Денежные средства</t>
  </si>
  <si>
    <t>50*</t>
  </si>
  <si>
    <t>51*</t>
  </si>
  <si>
    <t>52*</t>
  </si>
  <si>
    <t>55*</t>
  </si>
  <si>
    <t>57*</t>
  </si>
  <si>
    <t>11 Поток - Учет материалов</t>
  </si>
  <si>
    <t>10*</t>
  </si>
  <si>
    <t>11*</t>
  </si>
  <si>
    <t>14*</t>
  </si>
  <si>
    <t>15*</t>
  </si>
  <si>
    <t>16*</t>
  </si>
  <si>
    <t>40*</t>
  </si>
  <si>
    <t>Выпуск продукции (работ, услуг)</t>
  </si>
  <si>
    <t>41*</t>
  </si>
  <si>
    <t>42*</t>
  </si>
  <si>
    <t>43*</t>
  </si>
  <si>
    <t>45*</t>
  </si>
  <si>
    <t>94*</t>
  </si>
  <si>
    <t>14 Поток - Капитал</t>
  </si>
  <si>
    <t>80*</t>
  </si>
  <si>
    <t>81*</t>
  </si>
  <si>
    <t>82*</t>
  </si>
  <si>
    <t>83*</t>
  </si>
  <si>
    <t>84*</t>
  </si>
  <si>
    <t>99*</t>
  </si>
  <si>
    <t>поток</t>
  </si>
  <si>
    <t>аналитика 1</t>
  </si>
  <si>
    <t>аналитика 2</t>
  </si>
  <si>
    <t>аналитика 3</t>
  </si>
  <si>
    <t>аналитика 4</t>
  </si>
  <si>
    <t>аналитика 5</t>
  </si>
  <si>
    <t>аналитика 6</t>
  </si>
  <si>
    <t>аналитика 7</t>
  </si>
  <si>
    <t>аналитика 8</t>
  </si>
  <si>
    <t>аналитика 9</t>
  </si>
  <si>
    <t>аналитика 10</t>
  </si>
  <si>
    <t>аналитика 11</t>
  </si>
  <si>
    <t>_2454</t>
  </si>
  <si>
    <t>{1} ежемесячно</t>
  </si>
  <si>
    <t>{2} ежеквартально</t>
  </si>
  <si>
    <t>{3} в соответствии с графиком платежей</t>
  </si>
  <si>
    <t>{4} единовременно при погашении</t>
  </si>
  <si>
    <t>{5} прочее</t>
  </si>
  <si>
    <t>аналитика 12</t>
  </si>
  <si>
    <t>счет (?)</t>
  </si>
  <si>
    <t>аналитика 13</t>
  </si>
  <si>
    <t>аналитика 14</t>
  </si>
  <si>
    <t>COMM</t>
  </si>
  <si>
    <t>F_M0624</t>
  </si>
  <si>
    <t>68\78</t>
  </si>
  <si>
    <t>расхождение</t>
  </si>
  <si>
    <t>В т.ч долгосрочная часть ДТ</t>
  </si>
  <si>
    <t>В т.ч долгосрочная часть КТ</t>
  </si>
  <si>
    <t>Проверка оборотов между счетами, Доходы в виде сумм восстановленных резервов по обременительным договорам</t>
  </si>
  <si>
    <t>Проверка оборотов между счетами, Доходы в виде сумм восстановленных резервов по судебным искам</t>
  </si>
  <si>
    <t>Проверка оборотов между счетами, Доходы в виде сумм восстановленных резервов по налоговым искам/претензиям</t>
  </si>
  <si>
    <t>Проверка оборотов между счетами, Доходы в виде сумм восстановленных резервов на резервы на реструктуризацию</t>
  </si>
  <si>
    <t>Проверка оборотов между счетами, Доходы в виде сумм восстановленных резервов по гарантийным обязательствам</t>
  </si>
  <si>
    <t>Проверка оборотов между счетами, Доходы в виде сумм восстановленных резервов по финансовым гарантиям /поручительствам</t>
  </si>
  <si>
    <t>Проверка оборотов между счетами, Доходы в виде сумм восстановленных резервов на выплату вознаграждений по итогам года</t>
  </si>
  <si>
    <t>Проверка оборотов между счетами, Доходы в виде сумм восстановленных резервов на выплату отпускных</t>
  </si>
  <si>
    <t>Проверка оборотов между счетами, Доходы в виде сумм восстановленных отраслевых резервов</t>
  </si>
  <si>
    <t xml:space="preserve"> 91_02, 59_02</t>
  </si>
  <si>
    <t xml:space="preserve"> 91_02, 59_03</t>
  </si>
  <si>
    <t xml:space="preserve"> 91_02, 59_01</t>
  </si>
  <si>
    <t xml:space="preserve"> 91_02, 58_02</t>
  </si>
  <si>
    <t xml:space="preserve"> 91_01, 59_03</t>
  </si>
  <si>
    <t xml:space="preserve"> 91_01, 59_02</t>
  </si>
  <si>
    <t xml:space="preserve"> 91_01, 59_01</t>
  </si>
  <si>
    <t>{1231200} Доходы в виде сумм восстановленных оценочных обязательств по обращению с радиоактивными и прочими отходами</t>
  </si>
  <si>
    <t>Проверка накопленной величины переоценки, финансовые вложения, котирующиеся на открытых рынках/Увеличение справедливой стоимости</t>
  </si>
  <si>
    <t>Проверка накопленной величины переоценки, финансовые вложения, котирующиеся на открытых рынках/Уменьшение справедливой стоимости</t>
  </si>
  <si>
    <t>Проверка оборотов между счетами,  Доходы в виде сумм восстановленных оценочных обязательств по обращению с радиоактивными и прочими отходам</t>
  </si>
  <si>
    <t>{F_M0920}_Продажа финансовых вложений  (Дт 91 Кт 58)</t>
  </si>
  <si>
    <t>Присоединение добавочного капитала по выбывшим активам Фонда недвижимого и особо ценного движимого имущества (НКО)</t>
  </si>
  <si>
    <t>2018</t>
  </si>
  <si>
    <t>_2018</t>
  </si>
  <si>
    <t>_2018_16</t>
  </si>
  <si>
    <t>_2018_14</t>
  </si>
  <si>
    <t>_2018_залоги</t>
  </si>
  <si>
    <t>{1} Основные средства</t>
  </si>
  <si>
    <t>{3} Доходные вложения в материальные ценности</t>
  </si>
  <si>
    <t>{4} Нематериальные активы</t>
  </si>
  <si>
    <t>Лист 58.02,58.02_движ</t>
  </si>
  <si>
    <t>Доходы от переоценки ценных бумаг по рыночной стоимости и 58_02движ</t>
  </si>
  <si>
    <t>Лист 58.02, 58_02_движ</t>
  </si>
  <si>
    <t>Отчет о финансовых результатах</t>
  </si>
  <si>
    <t>ОФР</t>
  </si>
  <si>
    <t>{201231_2} Лицензии (кроме лицензий на пользование недрами)</t>
  </si>
  <si>
    <t>{201232_2} Лицензии на пользование недрами</t>
  </si>
  <si>
    <t>_1015_86</t>
  </si>
  <si>
    <t>Незавершенные капитальные вложения в объекты ОС</t>
  </si>
  <si>
    <t>Нематериальные поисковые активы</t>
  </si>
  <si>
    <t>Материальные поисковые активы</t>
  </si>
  <si>
    <t>Задолженность перед заказчиками</t>
  </si>
  <si>
    <t>2770</t>
  </si>
  <si>
    <t>{113500} Резерв на РАО</t>
  </si>
  <si>
    <t>{125500} Резерв на РАО (ГК)</t>
  </si>
  <si>
    <t>Проверка равенства управленческих расходов</t>
  </si>
  <si>
    <t>Проверка равенства коммерческих расходов</t>
  </si>
  <si>
    <t>Проверка корректности заполнения листа "Затраты_Выход"</t>
  </si>
  <si>
    <t>Затраты_Выход</t>
  </si>
  <si>
    <t>Проверка ОФР, сравнение заполненного вручную и автоматически собранного</t>
  </si>
  <si>
    <t>Проверка ОДДС, сравнение заполненного вручную и автоматически собранного</t>
  </si>
  <si>
    <t>Проверка ДДС_приложение, по статьям поступлений нет Кт оборотов и по статьям расходов нет Дт оборотов</t>
  </si>
  <si>
    <t>ОСВ_система, проверка (соответствие данных)</t>
  </si>
  <si>
    <t>ОСВ_система, проверка конечного сальдо</t>
  </si>
  <si>
    <t>лист 76 Дт</t>
  </si>
  <si>
    <t>в т.ч. остаток на начало периода (краткосрочная часть)</t>
  </si>
  <si>
    <t>{1.02.01.27.01} Незавершенное производство - концентрат природного урана</t>
  </si>
  <si>
    <t>{1.02.01.42.01} Незавершенное производство - прочая продукция, материалы для строительства и ремонта</t>
  </si>
  <si>
    <t>{1.02.01.30.01} Незавершенное производство - прочая продукция</t>
  </si>
  <si>
    <t>{1.02.01.43.01} Незавершенное производство - прочие работы/услуги в области архитектуры, проектирования и строительства</t>
  </si>
  <si>
    <t>{1.02.01.44.01} Незавершенное производство - прочие работы/услуги по изготовлению машин и оборудования</t>
  </si>
  <si>
    <t>{1.02.01.31.01} Незавершенное производство - прочие работы/услуги</t>
  </si>
  <si>
    <t>{1.02.01.38.01} Незавершенное производство - машин, оборудования, ЗИПов, узлов и агрегатов, приборов</t>
  </si>
  <si>
    <t>{1.02.01.39.01} Незавершенное производство - продукция по ГОЗ</t>
  </si>
  <si>
    <t>{1.02.01.40.01} Незавершенное производство - продукция по ВОУ-НОУ</t>
  </si>
  <si>
    <t>{1.02.01.19.01} Товары для перепродажи - ураносодержащие</t>
  </si>
  <si>
    <t>{1.02.01.36.01} Товары для перепродажи - оборудование и ЗИП к нему</t>
  </si>
  <si>
    <t>{1.02.01.20.01} Товары для перепродажи - прочие</t>
  </si>
  <si>
    <t>{1.02.01.15.01} Готовая продукция - ядерное топливо</t>
  </si>
  <si>
    <t>{1.02.01.16.01} Готовая продукция - прочая ураносодержащая продукция</t>
  </si>
  <si>
    <t>{1.02.01.17.01} Готовая продукция - прочая для ядерно-топливного цикла</t>
  </si>
  <si>
    <t>{1.02.01.33.01} Готовая продукция - оборудование и ЗИП к нему</t>
  </si>
  <si>
    <t>{1.02.01.18.01} Готовая продукция - прочая продукция</t>
  </si>
  <si>
    <t>{1.02.01.34.01} Готовая продукция - продукция по ГОЗ</t>
  </si>
  <si>
    <t>{1.02.01.35.01} Готовая продукция - продукция по ВОУ-НОУ</t>
  </si>
  <si>
    <t>{1.02.01.21.01} Товары отгруженные - ядерное топливо</t>
  </si>
  <si>
    <t>{1.02.01.22.01} Товары отгруженные - ураносодержащие</t>
  </si>
  <si>
    <t>{1.02.01.23.01} Товары отгруженные - прочие для ядерно-топливного цикла</t>
  </si>
  <si>
    <t>{1.02.01.37.01} Товары отгруженные - оборудование и ЗИП к нему</t>
  </si>
  <si>
    <t>{1.02.01.24.01} Товары отгруженные - прочие</t>
  </si>
  <si>
    <t>90_ОРВГ</t>
  </si>
  <si>
    <t>{F_M1120} Приобретение в рамках сделок по объединению бизнеса</t>
  </si>
  <si>
    <t xml:space="preserve">{F_M0941} Признан расход по сч.83 </t>
  </si>
  <si>
    <t xml:space="preserve">{F_M0942} Признан доход по счету 91 </t>
  </si>
  <si>
    <t>{20010230}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ученические отпуска</t>
  </si>
  <si>
    <t>{2900000} Расходы по получению поручительства</t>
  </si>
  <si>
    <t>{1070104} Доходы от реализации акций дочерних организаций, обращающихся на ОРЦБ</t>
  </si>
  <si>
    <t>{1070105} Доходы от реализации акций дочерних организаций, не обращающихся на ОРЦБ</t>
  </si>
  <si>
    <t>{1070304} Доходы от реализации акций зависимых организаций, обращающихся на ОРЦБ</t>
  </si>
  <si>
    <t>{1070305} Доходы от реализации акций зависимых организаций, не обращающихся на ОРЦБ</t>
  </si>
  <si>
    <t>{1070504} Доходы от реализации акций прочих организаций, обращающихся на ОРЦБ</t>
  </si>
  <si>
    <t>{1070505} Доходы от реализации акций прочих организаций, не обращающихся на ОРЦБ</t>
  </si>
  <si>
    <t>СМУ №9 зао</t>
  </si>
  <si>
    <t>СУС</t>
  </si>
  <si>
    <t>СХРУ</t>
  </si>
  <si>
    <t>ТАЭМ</t>
  </si>
  <si>
    <t>Терминал-София</t>
  </si>
  <si>
    <t>Техатомсервис</t>
  </si>
  <si>
    <t>Турбомаш</t>
  </si>
  <si>
    <t>ТЭМ</t>
  </si>
  <si>
    <t>УМ зао</t>
  </si>
  <si>
    <t>УПТК</t>
  </si>
  <si>
    <t>Центр "Атом-инновации"</t>
  </si>
  <si>
    <t>Чернобыльский архив ГУП</t>
  </si>
  <si>
    <t>ЭПОС</t>
  </si>
  <si>
    <t>ООО "Альстом-Атомэнергомаш"</t>
  </si>
  <si>
    <t>_6018</t>
  </si>
  <si>
    <t>10022 -Общий</t>
  </si>
  <si>
    <t>_10022</t>
  </si>
  <si>
    <t>т.ч. запасы, предназначенные для создания и приобретения прочих внеоборотных активов</t>
  </si>
  <si>
    <t>10022 - Виды прочих расчетов</t>
  </si>
  <si>
    <t>_10022_other</t>
  </si>
  <si>
    <t>10022 - Дебиторская задолженность</t>
  </si>
  <si>
    <t>10022 - Кредиторская задолженность</t>
  </si>
  <si>
    <t>10022 - Проценты</t>
  </si>
  <si>
    <t>_10022_62</t>
  </si>
  <si>
    <t>_10022_60</t>
  </si>
  <si>
    <t>_10022_per</t>
  </si>
  <si>
    <t>_10018</t>
  </si>
  <si>
    <t>_10019_2</t>
  </si>
  <si>
    <t>_10019_1</t>
  </si>
  <si>
    <t>_10020</t>
  </si>
  <si>
    <t>_10023</t>
  </si>
  <si>
    <t>_10023_60</t>
  </si>
  <si>
    <t>_10023_62</t>
  </si>
  <si>
    <t>PERIOD</t>
  </si>
  <si>
    <t>DATA_SHEETS</t>
  </si>
  <si>
    <t>Признание целевого финансирования, направленного на демонтаж и ликвидацию объектов, в качестве доходов будущих периодов (Кт 98)</t>
  </si>
  <si>
    <t>Признание целевого финансирования, направленного на рекультивацию земель, в качестве доходов будущих периодов (Кт 98)</t>
  </si>
  <si>
    <t>80,84</t>
  </si>
  <si>
    <t xml:space="preserve">Проверка оборотов между счетами, Признание целевого финансирования, направленного на текущие  расходы, в качестве доходов будущих периодов </t>
  </si>
  <si>
    <t>Проверка оборотов между счетами, Принятие к учету ОС и НМА, приобретенных, созданных за счет источника</t>
  </si>
  <si>
    <t>Проверка оборотов между счетами, Признание целевого финансирования, направленного на  приобретение финансовых вложений, в качестве доходов  будущих периодов</t>
  </si>
  <si>
    <t>20, 23, 25, 29</t>
  </si>
  <si>
    <t>75.01.1</t>
  </si>
  <si>
    <t>75.01.2</t>
  </si>
  <si>
    <t>C2=YTD;C1=F_C2;C6=0102</t>
  </si>
  <si>
    <t>C1=F_C3;C2=YTD;C6=0102</t>
  </si>
  <si>
    <t>C1=F_C2;C2=YTD;C6=0102</t>
  </si>
  <si>
    <t>C1=F_C1;C2=YTD;C4=0101</t>
  </si>
  <si>
    <t>C1=F_M0210;C2=YTD;C4=0102;C5=50</t>
  </si>
  <si>
    <t>C1=F_M0210;C2=YTD;C4=0102;C5=51</t>
  </si>
  <si>
    <t>C1=F_M0210;C2=YTD;C4=0102;C5=52</t>
  </si>
  <si>
    <t>C1=F_M0210;C2=YTD;C4=0102;C5=57</t>
  </si>
  <si>
    <t>C1=F_O1;C2=YTD;C12=0101</t>
  </si>
  <si>
    <t>C1=F_M0934;C2=YTD;C12=0101</t>
  </si>
  <si>
    <t>C1=F_M0902;C2=YTD;C12=0101</t>
  </si>
  <si>
    <t>C1=F_M0912;C2=YTD;C12=0101</t>
  </si>
  <si>
    <t>C1=F_M0904;C2=YTD;C12=0101</t>
  </si>
  <si>
    <t>C1=F_M0906;C2=YTD;C12=0101</t>
  </si>
  <si>
    <t>C1=F_M0907;C2=YTD;C12=0101</t>
  </si>
  <si>
    <t>C1=F_M0919;C2=YTD;C12=0101</t>
  </si>
  <si>
    <t>C1=F_M0908;C2=YTD;C12=0101</t>
  </si>
  <si>
    <t>C1=F_C1;C2=YTD;C3=25611;C12=0102</t>
  </si>
  <si>
    <t>C1=F_M0905;C2=YTD;C12=0101</t>
  </si>
  <si>
    <t>C1=F_O1;C2=YTD;C5=5001;C9=V;C12=0102</t>
  </si>
  <si>
    <t>C1=F_O1;C2=YTD;C6=20;C12=0101</t>
  </si>
  <si>
    <t>C1=F_O1;C2=YTD;C6=10;C12=0101</t>
  </si>
  <si>
    <t>C1=F_O1;C2=YTD;C5=5002;C12=0102</t>
  </si>
  <si>
    <t>C1=F_C1;C2=YTD;C6=20;C12=0101</t>
  </si>
  <si>
    <t>C1=F_C1;C2=YTD;C6=10;C12=0101</t>
  </si>
  <si>
    <t>C2=YTD;C5=5001;C9=V;C12=0102</t>
  </si>
  <si>
    <t>C2=YTD;C5=5002;C12=0101</t>
  </si>
  <si>
    <t>C2=YTD;C5=5006;C12=0102</t>
  </si>
  <si>
    <t>C2=YTD;C5=5007;C12=0102</t>
  </si>
  <si>
    <t>C1=F_M0918;C2=YTD;C12=0101</t>
  </si>
  <si>
    <t>C1=F_M0909;C2=YTD;C12=0101</t>
  </si>
  <si>
    <t>C1=F_M0910;C2=YTD;C12=0101</t>
  </si>
  <si>
    <t>C1=F_M0911;C2=YTD;C12=0101</t>
  </si>
  <si>
    <t>C1=F_M0928;C2=YTD;C12=0101</t>
  </si>
  <si>
    <t>C1=F_M0938;C2=YTD;C12=0101</t>
  </si>
  <si>
    <t>C1=F_M0913;C2=YTD;C12=0101</t>
  </si>
  <si>
    <t>C1=F_M0914;C2=YTD;C12=0101</t>
  </si>
  <si>
    <t>C1=F_M0920;C2=YTD;C12=0101</t>
  </si>
  <si>
    <t>C1=F_O1;C6=10;C2=YTD;C12=0101</t>
  </si>
  <si>
    <t>C1=F_O1;C6=20;C2=YTD;C12=0101</t>
  </si>
  <si>
    <t>C1=F_M0933;C2=YTD;C12=0101</t>
  </si>
  <si>
    <t>C1=F_M0935;C2=YTD;C12=0101</t>
  </si>
  <si>
    <t>C1=F_C1;C6=10;C2=YTD;C12=0101</t>
  </si>
  <si>
    <t>C1=F_C1;C6=20;C2=YTD;C12=0101</t>
  </si>
  <si>
    <t>C1=F_O2;C2=YTD;C12=0101</t>
  </si>
  <si>
    <t>C1=F_M0802;C2=YTD;C12=0101</t>
  </si>
  <si>
    <t>C1=F_M0803;C2=YTD;C12=0101</t>
  </si>
  <si>
    <t>C1=F_M0801;C2=YTD;C12=0101</t>
  </si>
  <si>
    <t>C1=F_O2;C2=YTD;C12=0101;C6=20</t>
  </si>
  <si>
    <t>C1=F_O2;C2=YTD;C12=0101;C6=10</t>
  </si>
  <si>
    <t>C1=F_C2;C6=20;C2=YTD;C12=0101</t>
  </si>
  <si>
    <t>C1=F_C2;C6=10;C2=YTD;C12=0101</t>
  </si>
  <si>
    <t>C1=F_O3;C2=YTD;C12=0102</t>
  </si>
  <si>
    <t>C1=F_C3;C2=YTD;C12=0102</t>
  </si>
  <si>
    <t>C1=F_O2;C2=YTD;C3=10;C6=0101</t>
  </si>
  <si>
    <t>C1=F_O2;C2=YTD;C3=20;C6=0101</t>
  </si>
  <si>
    <t>C1=F_M0202;C2=YTD;C6=0101</t>
  </si>
  <si>
    <t>C1=F_M0219;C2=YTD;C6=0101</t>
  </si>
  <si>
    <t>C1=F_M0203;C2=YTD;C6=0101</t>
  </si>
  <si>
    <t>C1=F_M0204;C2=YTD;C6=0101</t>
  </si>
  <si>
    <t>C1=F_M0213;C2=YTD;C6=0101</t>
  </si>
  <si>
    <t>C1=F_M0207;C2=YTD;C6=0101</t>
  </si>
  <si>
    <t>C1=F_M0208;C2=YTD;C6=0101</t>
  </si>
  <si>
    <t>C1=F_M0209;C2=YTD;C6=0101</t>
  </si>
  <si>
    <t>C1=F_M0210;C2=YTD;C6=0101</t>
  </si>
  <si>
    <t>C1=F_C2;C2=YTD;C3=10;C6=0101</t>
  </si>
  <si>
    <t>C1=F_C2;C2=YTD;C3=20;C6=0101</t>
  </si>
  <si>
    <t>C1=F_O1;C2=YTD;C3=10;C6=0101</t>
  </si>
  <si>
    <t>C1=F_O1;C2=YTD;C3=20;C6=0101</t>
  </si>
  <si>
    <t>C1=F_M0212;C2=YTD;C6=0101</t>
  </si>
  <si>
    <t>C1=F_C1;C2=YTD;C3=10;C6=0101</t>
  </si>
  <si>
    <t>C1=F_C1;C2=YTD;C3=20;C6=0101</t>
  </si>
  <si>
    <t>C1=F_M0211;C2=YTD;C6=0101</t>
  </si>
  <si>
    <t>C1=F_C1;C2=YTD;C6=0102;C9=2001</t>
  </si>
  <si>
    <t>C1=F_C1;C2=YTD;C6=0102;C9=2002</t>
  </si>
  <si>
    <t>C1=F_C2;C2=YTD;C6=0102;C9=2003</t>
  </si>
  <si>
    <t>C1=F_C2;C2=YTD;C6=0102;C9=2004</t>
  </si>
  <si>
    <t>C1=F_C2;C2=YTD;C6=0102;C9=2005</t>
  </si>
  <si>
    <t>C1=F_C2;C2=YTD;C6=0102;C9=2006</t>
  </si>
  <si>
    <t>C1=F_C1;C2=YTD;C6=0102</t>
  </si>
  <si>
    <t>C1=F_C1;C8=25614;C2=YTD;C6=0102</t>
  </si>
  <si>
    <t>C1=F_O2;C11=1;C2=YTD;C12=0101</t>
  </si>
  <si>
    <t>C1=F_M0906;C11=1;C2=YTD;C12=0101</t>
  </si>
  <si>
    <t>C1=F_M0907;C11=1;C2=YTD;C12=0101</t>
  </si>
  <si>
    <t>C1=F_M0921;C11=1;C2=YTD;C12=0101</t>
  </si>
  <si>
    <t>C1=F_M0922;C11=1;C2=YTD;C12=0101</t>
  </si>
  <si>
    <t>C1=F_M0912;C11=1;C2=YTD;C12=0101</t>
  </si>
  <si>
    <t>C1=F_M0908;C11=1;C2=YTD;C12=0101</t>
  </si>
  <si>
    <t>C1=F_O2;C11=3;C2=YTD;C12=0101</t>
  </si>
  <si>
    <t>C1=F_M0923;C11=3;C2=YTD;C12=0101</t>
  </si>
  <si>
    <t>C1=F_M0917;C11=3;C2=YTD;C12=0101</t>
  </si>
  <si>
    <t>C1=F_M0908;C11=3;C2=YTD;C12=0101</t>
  </si>
  <si>
    <t>C1=F_O2;C11=2;C2=YTD;C12=0101</t>
  </si>
  <si>
    <t>C1=F_M0915;C11=2;C2=YTD;C12=0101</t>
  </si>
  <si>
    <t>C1=F_M0916;C11=2;C2=YTD;C12=0101</t>
  </si>
  <si>
    <t>C1=F_M0924;C11=2;C2=YTD;C12=0101</t>
  </si>
  <si>
    <t>C1=F_M0912;C11=2;C2=YTD;C12=0101</t>
  </si>
  <si>
    <t>C1=F_M0908;C11=2;C2=YTD;C12=0101</t>
  </si>
  <si>
    <t>C1=F_M0908;C10=2360110;C2=YTD;C12=0102</t>
  </si>
  <si>
    <t>C1=F_M0908;C8=7100;C2=YTD;C12=0102</t>
  </si>
  <si>
    <t>C1=F_M0908;C10=2360120;C2=YTD;C12=0102</t>
  </si>
  <si>
    <t>C1=F_M0908;C8=7200;C2=YTD;C12=0102</t>
  </si>
  <si>
    <t>C1=F_M0908;C10=2360130;C2=YTD;C12=0102</t>
  </si>
  <si>
    <t>C1=F_M0908;C8=7300;C2=YTD;C12=0102</t>
  </si>
  <si>
    <t>C1=F_M0908;C10=1160300;C2=;C12=0102</t>
  </si>
  <si>
    <t>67</t>
  </si>
  <si>
    <t>C1=F_M0904;C11=1;C2=YTD;C12=0101</t>
  </si>
  <si>
    <t>C1=F_M0905;C11=1;C2=YTD;C12=0101</t>
  </si>
  <si>
    <t>C1=F_C2;C10=2360110;C2=YTD;C12=0102</t>
  </si>
  <si>
    <t>C1=F_C2;C8=7100;C2=YTD;C12=0102</t>
  </si>
  <si>
    <t>C1=F_C2;C10=2360120;C2=YTD;C12=0102</t>
  </si>
  <si>
    <t>C1=F_C2;C8=7200;C2=YTD;C12=0102</t>
  </si>
  <si>
    <t>C1=F_C2;C10=2360130;C2=YTD;C12=0102</t>
  </si>
  <si>
    <t>C1=F_C2;C8=7300;C2=YTD;C12=0102</t>
  </si>
  <si>
    <t>C1=F_C2;C10=1160300;C2=YTD;C12=0102</t>
  </si>
  <si>
    <t>68</t>
  </si>
  <si>
    <t>C1=F_M0607;C2=YTD;C4=0101</t>
  </si>
  <si>
    <t>C1=F_M0608;C2=YTD;C4=0101</t>
  </si>
  <si>
    <t>C1=F_M0611;C2=YTD;C4=0101</t>
  </si>
  <si>
    <t>C1=F_M0623;C2=YTD;C4=0101</t>
  </si>
  <si>
    <t>C1=F_M0614;C2=YTD;C4=0101</t>
  </si>
  <si>
    <t>C1=F_M0615;C2=YTD;C4=0101</t>
  </si>
  <si>
    <t>C1=F_M0612;C2=YTD;C4=0102;C7=1;C8=001</t>
  </si>
  <si>
    <t>C1=F_M0612;C2=YTD;C4=0102;C7=3;C8=001</t>
  </si>
  <si>
    <t>C1=F_M0612;C2=YTD;C4=0102;C7=2;C8=001</t>
  </si>
  <si>
    <t>C1=F_M0612;C2=YTD;C4=0102;C7=1;C8=002</t>
  </si>
  <si>
    <t>C1=F_M0612;C2=YTD;C4=0102;C7=3;C8=002</t>
  </si>
  <si>
    <t>{2600200} Возмещение расходов профсоюзным организациям по предоставлению путевок в санатории и ДОЛ для детей работников</t>
  </si>
  <si>
    <t>{2720100} Расходы на НИОКР и ПИР с отрицательным результатом</t>
  </si>
  <si>
    <t>{2760000} Затраты на производство, не давшее продукции</t>
  </si>
  <si>
    <t>{2890000} Расходы от передачи имущества в хозяйственное ведение, оперативное управление</t>
  </si>
  <si>
    <t>{9000000} Сальдо прочих доходов и расходов</t>
  </si>
  <si>
    <t>_2240_доходы_ВГО</t>
  </si>
  <si>
    <t>_2240_расходы_ВГО</t>
  </si>
  <si>
    <t>_2240_Доходы</t>
  </si>
  <si>
    <t>_2240_Расходы</t>
  </si>
  <si>
    <t>{1.02.01.26.01} Незавершенное производство - работы по обогащению и конверсии уранового сырья</t>
  </si>
  <si>
    <t>{08011} Амортизация ОС (Кт 02)</t>
  </si>
  <si>
    <t>{08012} Амортизация НМА (Кт 05)</t>
  </si>
  <si>
    <t>5100_08</t>
  </si>
  <si>
    <t>60,62,76_контр</t>
  </si>
  <si>
    <t>Проверка движения</t>
  </si>
  <si>
    <t>нет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</si>
  <si>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основных средств (нетто)" (91_01_ВГО) &lt;= Остаточная стоимость реализуемых ОС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</si>
  <si>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НМА (нетто)" (91_01_ВГО) &lt;= Остаточная стоимость реализуемых НМА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</si>
  <si>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незавершенного строительства (нетто)" (91_01_ВГО) &lt;= Остаточная стоимость незавершенного строительства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</si>
  <si>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сырья, материалов и неликвидов (нетто)" (91_01_ВГО) &lt;= Стоимость реализованных ТМЦ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</si>
  <si>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лома и отходов черных и цветных металлов (нетто)" (91_01_ВГО) &lt;= Стоимость реализованного лома и отходов черных и цветных металлов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</si>
  <si>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лома и отходов, содержащих драгоценные металлы и камни (нетто)" (91_01_ВГО) &lt;= Стоимость реализованного лома и отходов, содержащих драгоценные металлы и камни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</si>
  <si>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прочих активов (нетто)" (91_01_ВГО) &lt;= Остаточная стоимость прочих активов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</si>
  <si>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доходных вложений (нетто)" (91_01_ВГО) &lt;= Остаточная стоимость доходных вложений во внеоборотные активы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</si>
  <si>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паев (долей) в УК дочерних организаций" (91_01_ВГО) &lt;= Стоимость реализованных  паев (долей) в УК дочерних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</si>
  <si>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паев (долей) в УК зависимых организаций" (91_01_ВГО) &lt;= Стоимость реализованных паев (долей) в УК зависимых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</si>
  <si>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паев (долей) в УК прочих организаций" (91_01_ВГО) &lt;= Стоимость реализованных паев (долей) в УК прочих организаций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</si>
  <si>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государственных и муниципальных ценных бумаг" (91_01_ВГО) &lt;= Стоимость реализованных государственных и муниципальных ценных бумаг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</si>
  <si>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банковских облигаций" (91_01_ВГО) &lt;= Стоимость реализованных банковских облигаций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</si>
  <si>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банковских векселей" (91_01_ВГО) &lt;= Стоимость реализованных банковских векселей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</si>
  <si>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векселей прочих эмитентов" (91_01_ВГО) &lt;= Стоимость реализованных векселей прочих эмитентов  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</si>
  <si>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"Доходы по статье "реализации облигаций прочих эмитентов" (91_01_ВГО) &lt;= Стоимость реализованных облигаций прочих эмитентов  (91_02)</t>
  </si>
  <si>
    <t>Расшифровка оборудования к установке</t>
  </si>
  <si>
    <t>Первая горнорудная компания</t>
  </si>
  <si>
    <t>РАДОН</t>
  </si>
  <si>
    <t>Cheetah Resources s.a.r.l.</t>
  </si>
  <si>
    <t>Chladici veze Praha, a.s.</t>
  </si>
  <si>
    <t>Headspring Investments (PTY.) Ltd.</t>
  </si>
  <si>
    <t>Headspring Investments (Proprietary) Limited</t>
  </si>
  <si>
    <t>Likuyu Resources Limited</t>
  </si>
  <si>
    <t>Mantra Tanzania Limited</t>
  </si>
  <si>
    <t>Mantra Uranium South Africa (Pty) Ltd</t>
  </si>
  <si>
    <t>Namtumbo Resources Pty Ltd</t>
  </si>
  <si>
    <t>Nyanza Goldfields Limited</t>
  </si>
  <si>
    <t>Raims</t>
  </si>
  <si>
    <t>RAIMS Limited</t>
  </si>
  <si>
    <t>Reviss Servis Limited</t>
  </si>
  <si>
    <t>Ruvuma Resources Limited</t>
  </si>
  <si>
    <t>Uranium One Exploration Pty Ltd</t>
  </si>
  <si>
    <t>Uranium One Investments Inc.</t>
  </si>
  <si>
    <t>VPR</t>
  </si>
  <si>
    <t>GB981159595</t>
  </si>
  <si>
    <t>VOSTOK POWER RESOURCES LIMITED</t>
  </si>
  <si>
    <t>Автохозяйство Уртуйское</t>
  </si>
  <si>
    <t>ООО "Автохозяйство Уртуйское"</t>
  </si>
  <si>
    <t>АПМ</t>
  </si>
  <si>
    <t>ООО "Ассоциация предприятий Минатома"</t>
  </si>
  <si>
    <t>АРМЗ Намибия</t>
  </si>
  <si>
    <t>Атом-ЖКХ. Полярные Зори</t>
  </si>
  <si>
    <t>АтомТеплоЭлектроСеть</t>
  </si>
  <si>
    <t>АТП</t>
  </si>
  <si>
    <t>В т.ч. Краткосрочная часть (Дт)</t>
  </si>
  <si>
    <t>В т.ч. Краткосрочная часть (Кт)</t>
  </si>
  <si>
    <t xml:space="preserve">{201130901} Земельные участки </t>
  </si>
  <si>
    <t>{12100100} Оборудование длительного цикла</t>
  </si>
  <si>
    <t>{12100200} Иное оборудование</t>
  </si>
  <si>
    <t>{12110100} Кислота и щелочь (покупные)</t>
  </si>
  <si>
    <t>{12119900} Прочие химические реагенты (покупные)</t>
  </si>
  <si>
    <t>{13030101} Компенсация технологического расхода (потерь) электроэнергии в электрических сетях: ВН</t>
  </si>
  <si>
    <t>{13030102} Компенсация технологического расхода (потерь) электроэнергии в электрических сетях: СН1</t>
  </si>
  <si>
    <t>{13030103} Компенсация технологического расхода (потерь) электроэнергии в электрических сетях: СН2</t>
  </si>
  <si>
    <t>{13030104} Компенсация технологического расхода (потерь) электроэнергии в электрических сетях: НН</t>
  </si>
  <si>
    <t>{14250100} Строительные работы</t>
  </si>
  <si>
    <t>{14250200} Монтажные работы</t>
  </si>
  <si>
    <t>{14250300} Пусконаладочные работы</t>
  </si>
  <si>
    <t>{14260100} Выполнение научно-исследовательских, опытно-конструкторских и технологических работ</t>
  </si>
  <si>
    <t>{14260200} Проектно-изыскательские работы</t>
  </si>
  <si>
    <t>{1231000} Доходы в виде сумм восстановленных оценочных обязательств на выплату вознаграждений по итогам года</t>
  </si>
  <si>
    <t>{1231100} Доходы в виде сумм восстановленных оценочных обязательств на выплату отпускных</t>
  </si>
  <si>
    <t>{1239900} Доходы в виде сумм восстановленных прочих оценочных обязательств</t>
  </si>
  <si>
    <t>{1250004} Доходы от переоценки ценных бумаг по рыночной стоимости, обращающихся на ОРЦБ</t>
  </si>
  <si>
    <t>{1250005} Доходы от переоценки ценных бумаг по рыночной стоимости, не обращающихся на ОРЦБ</t>
  </si>
  <si>
    <t>{1890000} Доходы полученные при возврате имущества из хозяйственного ведения, оперативного управления</t>
  </si>
  <si>
    <t>{2070114} Стоимость реализованных акций дочерних организаций, обращающихся на ОРЦБ</t>
  </si>
  <si>
    <t>{2070115} Стоимость реализованных акций дочерних организаций, не обращающихся на ОРЦБ</t>
  </si>
  <si>
    <t>{2070134} Стоимость реализованных акций зависимых организаций, обращающихся на ОРЦБ</t>
  </si>
  <si>
    <t>{2070135} Стоимость реализованных акций зависимых организаций, не обращающихся на ОРЦБ</t>
  </si>
  <si>
    <t>{2070154} Стоимость реализованных акций прочих организаций, обращающихся на ОРЦБ</t>
  </si>
  <si>
    <t>{2070155} Стоимость реализованных акций прочих организаций, не обращающихся на ОРЦБ</t>
  </si>
  <si>
    <t>ОСВ_авт</t>
  </si>
  <si>
    <t>C1=F_O3</t>
  </si>
  <si>
    <t>C1=F_C3</t>
  </si>
  <si>
    <t>C1=F_O1;C2=YTD;C8=0101</t>
  </si>
  <si>
    <t>C1=F_O2;C2=YTD;C8=0101</t>
  </si>
  <si>
    <t>C1=F_M0718;C2=YTD;C8=0101</t>
  </si>
  <si>
    <t>C1=F_M0732;C2=YTD;C8=0101</t>
  </si>
  <si>
    <t>C1=F_O1;C2=YTD;C9=0101</t>
  </si>
  <si>
    <t>C1=F_M0101;C2=YTD;C9=0101</t>
  </si>
  <si>
    <t>C1=F_M0104;C2=YTD;C9=0101</t>
  </si>
  <si>
    <t>C1=F_M0105;C2=YTD;C9=0101</t>
  </si>
  <si>
    <t>C1=F_M0106;C2=YTD;C9=0101</t>
  </si>
  <si>
    <t>C1=F_M0108;C2=YTD;C9=0101</t>
  </si>
  <si>
    <t>C1=F_M0109;C2=YTD;C9=0101</t>
  </si>
  <si>
    <t>C1=F_M0121;C2=YTD;C9=0101</t>
  </si>
  <si>
    <t>C1=F_M0113;C2=YTD;C9=0101</t>
  </si>
  <si>
    <t>C1=F_M0114;C2=YTD;C9=0101</t>
  </si>
  <si>
    <t>C1=F_M0115;C2=YTD;C9=0101</t>
  </si>
  <si>
    <t>C1=F_O2;C2=YTD;C9=0101</t>
  </si>
  <si>
    <t>C1=F_M0116;C2=YTD;C9=0101</t>
  </si>
  <si>
    <t>C1=F_M0117;C2=YTD;C9=0101</t>
  </si>
  <si>
    <t>C1=F_M0118;C2=YTD;C9=0101</t>
  </si>
  <si>
    <t>C1=F_M0119;C2=YTD;C9=0101</t>
  </si>
  <si>
    <t>C1=F_M0120;C2=YTD;C9=0101</t>
  </si>
  <si>
    <t>C1=F_M0104;C2=YTD;C9=0102</t>
  </si>
  <si>
    <t>C1=F_M0102;C2=YTD;C9=0101</t>
  </si>
  <si>
    <t>C1=F_M0103;C2=YTD;C9=0101</t>
  </si>
  <si>
    <t>C1=F_M0107;C2=YTD;C9=0101</t>
  </si>
  <si>
    <t>C1=F_M0123;C2=YTD;C9=0101</t>
  </si>
  <si>
    <t>C1=F_M0110;C2=YTD;C9=0101</t>
  </si>
  <si>
    <t>C1=F_M0111;C2=YTD;C9=0101</t>
  </si>
  <si>
    <t>C1=F_M0112;C2=YTD;C9=0101</t>
  </si>
  <si>
    <t>C1=F_M0104;C2=YTD;C5=0102</t>
  </si>
  <si>
    <t>{15} Признание доходов, связанных с получением прочего имущества и денежных средств в рамках целевого финансирования</t>
  </si>
  <si>
    <t>ВОЛГОГАЗ АОА</t>
  </si>
  <si>
    <t>{1310400} Доходы, связанные с имуществом, полученным в счет уплаты взносов Фонда социального страхования</t>
  </si>
  <si>
    <t>{1320100} Доходы от организации, если уставный капитал получающей стороны не менее чем на 50% состоит из вклада передающей организации (ОС и НМА)</t>
  </si>
  <si>
    <t>Волжское МТУ по надзору за ЯРБ Ростехнадзора</t>
  </si>
  <si>
    <t>{1320200} Доходы от организации, если уставный капитал получающей стороны не менее чем на 50% состоит из вклада передающей организации (кроме ОС и НМА)</t>
  </si>
  <si>
    <t>{1320300} Доходы от организации, если уставный капитал передающей стороны не менее чем на 50% состоит из вклада получающей организации (ОС и НМА)</t>
  </si>
  <si>
    <t>Воронежский филиал ГОУ ДПО "Академия стандартизации, метрологии и сертификации"</t>
  </si>
  <si>
    <t>{1320400} Доходы от организации, если уставный капитал передающей стороны не менее чем на 50% состоит из вклада получающей организации (кроме ОС и НМА)</t>
  </si>
  <si>
    <t>Воронежский филиал ФГУ "ЦЛАТИ по  ЦФО"</t>
  </si>
  <si>
    <t>{1400500} Доход в виде сумм возврата госпошлин</t>
  </si>
  <si>
    <t>ГАЗ Автомобильный  завод</t>
  </si>
  <si>
    <t>{1710000} Доходы в виде списанной кредиторской задолженности</t>
  </si>
  <si>
    <t>{1840000} Положительная вариационная маржа</t>
  </si>
  <si>
    <t>Газ фирма ООО</t>
  </si>
  <si>
    <t>Газавтоматика ИК ООО</t>
  </si>
  <si>
    <t>{1870000} Доходы от предоставления товарных займов (Дт58 Кт 91)</t>
  </si>
  <si>
    <t>{1880000} Доходы от получения товарных займов (Дт 66,67 Кт 91)</t>
  </si>
  <si>
    <t>ГазАтомМаш Завод ООО</t>
  </si>
  <si>
    <t>Газета город номер</t>
  </si>
  <si>
    <t>_2530</t>
  </si>
  <si>
    <t>_2630</t>
  </si>
  <si>
    <t>_2552</t>
  </si>
  <si>
    <t>_2311</t>
  </si>
  <si>
    <t>_1003</t>
  </si>
  <si>
    <t>_2310</t>
  </si>
  <si>
    <t>_2240</t>
  </si>
  <si>
    <t>_2241</t>
  </si>
  <si>
    <t>соответсвие группам</t>
  </si>
  <si>
    <t>_name</t>
  </si>
  <si>
    <t>_index</t>
  </si>
  <si>
    <t>_op_pa</t>
  </si>
  <si>
    <t>_2620_96</t>
  </si>
  <si>
    <t>_2250</t>
  </si>
  <si>
    <t>_2330</t>
  </si>
  <si>
    <t>Проверка равенства себестоимости (90.2) и Закрытия на счета учета ГП и услуг</t>
  </si>
  <si>
    <t>_2780</t>
  </si>
  <si>
    <t>{10} Фиксированная ставка</t>
  </si>
  <si>
    <t>{21}    Libor</t>
  </si>
  <si>
    <t>{22}    Euribor</t>
  </si>
  <si>
    <t>{23}    MOSPRIME</t>
  </si>
  <si>
    <t>{24}    прочее</t>
  </si>
  <si>
    <t>_2612</t>
  </si>
  <si>
    <t xml:space="preserve">Статьи прочих доходов </t>
  </si>
  <si>
    <t>Статьи прочих расходов</t>
  </si>
  <si>
    <t>_9058</t>
  </si>
  <si>
    <t>Проверка равенства Затраты_Вход_1 и Затраты_Выход</t>
  </si>
  <si>
    <t>Статьи ДДС</t>
  </si>
  <si>
    <t>_ддс</t>
  </si>
  <si>
    <t>F_M0811</t>
  </si>
  <si>
    <t>_60_62</t>
  </si>
  <si>
    <t>_60_62_76</t>
  </si>
  <si>
    <t>Результат всех проверок</t>
  </si>
  <si>
    <t>Обороты между счетами, заполненные в разных формах должны быть равныДт 01,03, 04 Кт 08</t>
  </si>
  <si>
    <t>{14270100} Услуги по передаче электрической энергии (мощности) по единой национальной (общероссийской) электрической сети</t>
  </si>
  <si>
    <t>{14270300} Услуги по технологическому присоединению к электрическим сетям</t>
  </si>
  <si>
    <t>{14270400} Услуги по управлению технологическими режимами работы объектов электроэнергетики и энергопринимающих устройств потребителей электрической энергии, а также обеспечению функционирования технологической инфраструктуры оптового и розничных рынков</t>
  </si>
  <si>
    <t>{14270600} Прочие услуги в сфере оперативно-диспетчерского управления в электроэнергетике</t>
  </si>
  <si>
    <t>{14270800} Услуги по передаче и распределению пара и горячей воды (тепловой энергии)</t>
  </si>
  <si>
    <t>{14270900} Услуги по сбору, очистке и распределению вод</t>
  </si>
  <si>
    <t>{16010000} Сырье и материалы (собственные)</t>
  </si>
  <si>
    <t>{20010100} Пособие по временной нетрудоспособности вследствие заболевания или травмы (за исключением несчастных случаев на производстве и профессиональных заболеваний) за первые три дня нетрудоспособности работника в соответствии с законодательством РФ</t>
  </si>
  <si>
    <t>{20010210}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основная заработная плата</t>
  </si>
  <si>
    <t>{20010220}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дополнительная заработная плата</t>
  </si>
  <si>
    <t>{20030100} Оценочные обязательства по выплате вознаграждений по итогам работы за год (сумма выплат)</t>
  </si>
  <si>
    <t>{20030200} Оценочные обязательства по оплате отпусков работников (сумма выплат)</t>
  </si>
  <si>
    <t>{30500100} Оценочные обязательства по выплате вознаграждений по итогам работы за год (сумма страховых взносов)</t>
  </si>
  <si>
    <t>{30500200} Оценочные обязательства по оплате отпусков работников (сумма страховых взносов)</t>
  </si>
  <si>
    <t>{52050100} Добровольное личное страхование, предусматривающее оплату медицинских расходов работников</t>
  </si>
  <si>
    <t>{52090206} Аренда объектов природопользования, кроме находящихся в государственной и муниципальной собственности</t>
  </si>
  <si>
    <t>{52140300} Обслуживание телекоммуникационного оборудования для поддержания работы каналов связи (сторонние организации)</t>
  </si>
  <si>
    <t>{52150100} Расходы на рекламные мероприятия через средства массовой информации (в том числе объявления в печати, передача по радио и телевидению) и телекоммуникационные сети: реклама товаров</t>
  </si>
  <si>
    <t>{52150200} Расходы на рекламные мероприятия через средства массовой информации (в том числе объявления в печати, передача по радио и телевидению) и телекоммуникационные сети: средства индивидуализации юридического лица</t>
  </si>
  <si>
    <t>{2090111} Залог в силу закона</t>
  </si>
  <si>
    <t>{2090112} Залог по договору в обеспечение кредитов и займов</t>
  </si>
  <si>
    <t>{2090113} Залог по прочим основаниям</t>
  </si>
  <si>
    <t>{2090121} Ограничения в связи с использованием средств бюджетного финансирования при создании/приобретении</t>
  </si>
  <si>
    <t>{2090122} Ограничения в связи с использованием специальных резервных фондов ГК</t>
  </si>
  <si>
    <t>{2090123} Ограничения в связи с использованием средств МТП</t>
  </si>
  <si>
    <t>{2090130} Поручительство</t>
  </si>
  <si>
    <t>{2090140} Банковская гарантия</t>
  </si>
  <si>
    <t>{2090150} Прочие ограничения на использование</t>
  </si>
  <si>
    <t>{2090200} Без ограничений</t>
  </si>
  <si>
    <t>{113114} Резерв на обеспечение безопасности 2014</t>
  </si>
  <si>
    <t>{113214} Резерв на вывод из эксплуатации и НИОКР 2014</t>
  </si>
  <si>
    <t>{113314} Резерв на физическую защиту 2014</t>
  </si>
  <si>
    <t>{113414} Резерв на развитие 2014</t>
  </si>
  <si>
    <t>{125114} Резерв на вывод из эксплуатации и НИОКР ГК 2014</t>
  </si>
  <si>
    <t>{125214} Резерв на физическую защиту ГК 2014</t>
  </si>
  <si>
    <t>{125314} Резерв на развитие ГК 2014</t>
  </si>
  <si>
    <t>{125414} Резерв на безопасность 2014</t>
  </si>
  <si>
    <t>{126014} Резерв на безопасность (АТЦ) 2014</t>
  </si>
  <si>
    <t>F_M0904</t>
  </si>
  <si>
    <t>{2} СНГ</t>
  </si>
  <si>
    <t>{3} Дальнее зарубежье</t>
  </si>
  <si>
    <t>08.01</t>
  </si>
  <si>
    <t>08.02</t>
  </si>
  <si>
    <t>08.03</t>
  </si>
  <si>
    <t>08.04</t>
  </si>
  <si>
    <t>08.05</t>
  </si>
  <si>
    <t>08.06</t>
  </si>
  <si>
    <t>03.01</t>
  </si>
  <si>
    <t>Начальное сальдо -для баланса</t>
  </si>
  <si>
    <t>Конечное сальдо -для баланса</t>
  </si>
  <si>
    <t>Проверка конечного сальдо</t>
  </si>
  <si>
    <t>в т.ч. запасы, предназначенные для создания НМА</t>
  </si>
  <si>
    <t>в т.ч. запасы, предназначенные для строительства и реконструкции объектов ОС</t>
  </si>
  <si>
    <t>в т.ч. запасы, предназначенные для строительства и реконструкции доходных вложений в материальные ценности</t>
  </si>
  <si>
    <t>_2426</t>
  </si>
  <si>
    <t>{2} Беспоставочный договор</t>
  </si>
  <si>
    <t>Внутригрупповые прочие доходы (счет 91.01)</t>
  </si>
  <si>
    <t>Внутригрупповые прочие расходы (счет 91.02)</t>
  </si>
  <si>
    <t>Внутригрупповые прочие доходы</t>
  </si>
  <si>
    <t>УОП и РТ</t>
  </si>
  <si>
    <t>ИНТЕР СМАРТ</t>
  </si>
  <si>
    <t>ПНФ Термоксид</t>
  </si>
  <si>
    <t>{F_M0919}_Перевод краткосрочные / долгосрочные</t>
  </si>
  <si>
    <t>МУП "Медиа-Центр" Слава Труду" (ИНН 7530011748)</t>
  </si>
  <si>
    <t>ФГУП "ВНИИОФИ" 7702038456</t>
  </si>
  <si>
    <t>ГУП "Нижнетуринская типография" (ИНН 6624001430)</t>
  </si>
  <si>
    <t>МУП "Центральная аптека" (ИНН 6630001188)</t>
  </si>
  <si>
    <t>МУП "Роспечать" (ИНН 6624000563)</t>
  </si>
  <si>
    <t>ГУП СО "ПО "Север" (ИНН 6632003053)</t>
  </si>
  <si>
    <t>МУП "Аптека" (ИНН 7422001189)</t>
  </si>
  <si>
    <t>МУП Нововоронежская типография (ИНН 3651001909)</t>
  </si>
  <si>
    <t>МУП "Нововоронежский ОРС" (ИНН 3651000870)</t>
  </si>
  <si>
    <t>ЦЕНТР ТЕХНИЧЕСКОЙ ЗАЩИТЫ ИНФОРМАЦИИ (ИНН 6660001837): -</t>
  </si>
  <si>
    <t>СПБГМТУ  УФК ПО Г.СПБЕТЕРБУРГ (ИНН 7812043522): -</t>
  </si>
  <si>
    <t>МП СХП БМР "Островное" (ИНН 8703009763): -</t>
  </si>
  <si>
    <t>ММПП БМР (ИНН 8703009770): -</t>
  </si>
  <si>
    <t>ФГБУ ВНИИПО МЧС России (ИНН 5001000242): -</t>
  </si>
  <si>
    <t>ФГУП "НИИСК" (ИНН 7805005251): -</t>
  </si>
  <si>
    <t>Курск МУП "Курская городс (ИНН 4629027597): -</t>
  </si>
  <si>
    <t>ФГУП Гознак Московский монетный двор ф-л (ИНН 7813352058): -</t>
  </si>
  <si>
    <t>ИРЦ ЖКХ г. Подольска МУП 5036090409</t>
  </si>
  <si>
    <t>МГТУ им. Н.Э. Баумана 7701002520</t>
  </si>
  <si>
    <t>Первая городская больница МУЗ (г.Таганрог) 6154066524</t>
  </si>
  <si>
    <t>Государственнное учреждение культуры "Мурманский областной Дворец культуры им. С.М.Кирова" ИНН 5191501188</t>
  </si>
  <si>
    <t>ММУП "Здоровье" ИНН 5191601175</t>
  </si>
  <si>
    <t>ФГБОУ ВПО "Мурманский государственный технический университет" (ФГБОУ ВПО МГТУ) ИНН 5190100176</t>
  </si>
  <si>
    <t>ФГУП "Морсвязьспутник" ИНН 7707074779</t>
  </si>
  <si>
    <t>Обесценение - авансы на капитальное строительство</t>
  </si>
  <si>
    <t>Обесценение - авансы НМА</t>
  </si>
  <si>
    <t>Обесценение - авансы НИОКР</t>
  </si>
  <si>
    <t>Обесценение - авансы ДВ</t>
  </si>
  <si>
    <t>{101} Приобретение акций и иные финансовые вложения</t>
  </si>
  <si>
    <t>{202} Приобретение, сооружение и (или) изготовление инвестиционного актива (ОС, НМА, НИОКР)</t>
  </si>
  <si>
    <t>{0093_~} Материальные поисковые активы</t>
  </si>
  <si>
    <t>{20050100} Расходы на приобретение путевок в санаторно-курортные и оздоровительные учреждения работникам</t>
  </si>
  <si>
    <t>{20050300} Расходы на оздоровительное лечение работников в ведомственных профилакториях</t>
  </si>
  <si>
    <t>{52050500} Добровольное пенсионное страхование по договорам негосударственного пенсионного обеспечения (до введения принципа софинансирования)</t>
  </si>
  <si>
    <t>{2230100} Отчисления в оценочные обязательства по рекультивации нарушенных земель</t>
  </si>
  <si>
    <t>{2230200} Отчисления в оценочные обязательства на проведение экологических мероприятий</t>
  </si>
  <si>
    <t>{2230300} Отчисления в оценочные обязательства по обременительным договорам</t>
  </si>
  <si>
    <t>{2230400} Отчисления в оценочные обязательства по судебным искам</t>
  </si>
  <si>
    <t>{2230500} Отчисления в оценочные обязательства по налоговым искам/претензиям</t>
  </si>
  <si>
    <t>{2230600} Отчисления в оценочные обязательства на реструктуризацию</t>
  </si>
  <si>
    <t>{2230700} Отчисления в оценочные обязательства по гарантийным обязательствам</t>
  </si>
  <si>
    <t>{2230800} Отчисления в оценочные обязательства по финансовым гарантиям /поручительствам</t>
  </si>
  <si>
    <t>{2231200} Отчисления в оценочные обязательства по обращению с радиоактивными и прочими отходами</t>
  </si>
  <si>
    <t>{2239900} Отчисления в прочие оценочные обязательства</t>
  </si>
  <si>
    <t>{2231100} Отчисления в оценочные обязательства на выплату отпускных</t>
  </si>
  <si>
    <t>{2411020} Услуги медицинских учреждений, предоставляемые неработающим пенсионерам, по прямым договорам</t>
  </si>
  <si>
    <t>{2411030} Расходы на приобретение путевок в санаторно-курортные и оздоровительные учреждения неработающим пенсионерам</t>
  </si>
  <si>
    <t>{2411040} Расходы на оздоровительное лечение неработающих пенсионеров в ведомственных профилакториях</t>
  </si>
  <si>
    <t>{2411050} Денежные выплаты пенсионерам</t>
  </si>
  <si>
    <t>{2411060} Расходы на содержание ветеранских организаций</t>
  </si>
  <si>
    <t>{2412010} Расходы на приобретение путевок в санаторно-курортные и оздоровительные учреждения работникам</t>
  </si>
  <si>
    <t>{2412020} Расходы на приобретение путевок в санаторно-курортные и оздоровительные учреждения детям работников</t>
  </si>
  <si>
    <t>{2412030} Расходы на оздоровительное лечение работников в ведомственных профилакториях</t>
  </si>
  <si>
    <t>{2412040} Расходы на приобретение путевок в санаторно-курортные и оздоровительные учреждения членам семей работников</t>
  </si>
  <si>
    <t>{2414000} Расходы на содержание молодежных организаций</t>
  </si>
  <si>
    <t>{21200} Оценочные обязательства по обращению с отработавшим ядерным топливом</t>
  </si>
  <si>
    <t>{402} Покрытие убытков по текущей деятельности</t>
  </si>
  <si>
    <t>_6003_СОД_</t>
  </si>
  <si>
    <t xml:space="preserve">Остаток на начало периода (Дт) </t>
  </si>
  <si>
    <t>Остаток на начало периода  (Кт)</t>
  </si>
  <si>
    <t>Остаток на конец период (Дт)</t>
  </si>
  <si>
    <t>Остаток на конец период (Кт)</t>
  </si>
  <si>
    <t>Расшифровка незавершенного производства в отношении долгосрочных договоров.</t>
  </si>
  <si>
    <t>Содержание</t>
  </si>
  <si>
    <t>Удержание НДФЛ с начисленных дивидендов</t>
  </si>
  <si>
    <t>Выданы (перечислены) денежные средства (Кт 50, 51, 52, 55, 76)</t>
  </si>
  <si>
    <t>F_M0221</t>
  </si>
  <si>
    <t>Начисление амортизации (дебет счетов)</t>
  </si>
  <si>
    <t>97</t>
  </si>
  <si>
    <t>Критерии отбора</t>
  </si>
  <si>
    <t>Затртаты_Вход 1</t>
  </si>
  <si>
    <t>приход</t>
  </si>
  <si>
    <t>расход</t>
  </si>
  <si>
    <t>По статьям поступлений нет Кт оборотов и по статьям расходов нет Дт оборотов:</t>
  </si>
  <si>
    <t>_поручит</t>
  </si>
  <si>
    <t>Поручитель</t>
  </si>
  <si>
    <t>Гарант (по полученной банковской гарантии)</t>
  </si>
  <si>
    <t>НДС, который поступил от покупателей, но еще не перечислен в бюджет</t>
  </si>
  <si>
    <t>НДС, который уплачен поставщикам, но зачет по которым еще не произошел</t>
  </si>
  <si>
    <t>Корректировка средств, полученных от продажи продукции, товаров, работ и услуг, на сумму НДС</t>
  </si>
  <si>
    <t>Корректировка арендных платежей, лицензионных платежей, гонораров, комиссионных платежей и пр. на сумму НДС</t>
  </si>
  <si>
    <t>Корректировка прочих поступлений по текущей деятельности на сумму НДС</t>
  </si>
  <si>
    <t>Корректировка оплаты товаров, работ, услуг, сырья и иных оборотных активов на сумму НДС</t>
  </si>
  <si>
    <t>Корректировка поступления от продажи объектов основных средств и иных внеоборотных активов на сумму НДС</t>
  </si>
  <si>
    <t>Корректировка прочих поступлений по инвестиционной деятельности на сумму НДС</t>
  </si>
  <si>
    <t>Корректировка платежей по объектам ОС, доходным вложениям в материальные ценности и НМА на сумму НДС</t>
  </si>
  <si>
    <t>Корректировка оплаты ТМЦ, работ, услуг, связанных со строительством (реконструкцией) объектов ОС, на сумму НДС</t>
  </si>
  <si>
    <t>Корректировка сумм, направленных на НИОКР, на сумму НДС</t>
  </si>
  <si>
    <t>{2070700} Расходы от списания акций (паев, долей) ликвидируемой организации</t>
  </si>
  <si>
    <t>{2190300} Расходы в виде процентов за пользование чужими денежными средствами вследствие их неправомерного удержания, уклонения от их возврата, иной просрочки в их уплате либо неосновательного получения или сбережения за счет другого лица</t>
  </si>
  <si>
    <t>{2230900} Отчисления в оценочные обязательства по выводу из эксплуатации объектов основных средств</t>
  </si>
  <si>
    <t>{2250004} Расходы от переоценки ценных бумаг по рыночной стоимости, обращающихся на ОРЦБ</t>
  </si>
  <si>
    <t>{2250005} Расходы от переоценки ценных бумаг по рыночной стоимости, не обращающихся на ОРЦБ</t>
  </si>
  <si>
    <t>{2330000} Ущерб от стихийных бедствий, пожаров, аварий и прочих ЧС</t>
  </si>
  <si>
    <t>{2360110} Расходы, связанные с получением заемных средств, выраженные в твердой сумме. Комиссия за выдачу</t>
  </si>
  <si>
    <t>{2360310} Расходы, связанные с получением облигационных займов. Комиссия за выдачу</t>
  </si>
  <si>
    <t>Проверка полноты переноса данных между листами50_51_52_55_57_движ и 50,51,52,55,57</t>
  </si>
  <si>
    <t>Проверка полноты переноса данных между листами58.02_движ и 58.02 (Дт)</t>
  </si>
  <si>
    <t>Проверка полноты переноса данных между листами75.01_Неденеж и 75.01</t>
  </si>
  <si>
    <t>{201110101} Здания</t>
  </si>
  <si>
    <t>{201110201} Сооружения и передаточные устройства</t>
  </si>
  <si>
    <t>{201120311} Машины и оборудование производственного назначения</t>
  </si>
  <si>
    <t>{201140401} Транспортные средства</t>
  </si>
  <si>
    <t>{201140501} Производственный и хозяйственный инвентарь</t>
  </si>
  <si>
    <t>{201140601} Рабочий скот</t>
  </si>
  <si>
    <t>{201140701} Продуктивный скот</t>
  </si>
  <si>
    <t>{201140801} Многолетние насаждения</t>
  </si>
  <si>
    <t>{201141001} Капитальные вложения на коренное улучшение земель</t>
  </si>
  <si>
    <t>{201141101} Неотделимые улучшения арендованных зданий</t>
  </si>
  <si>
    <t>{201149901} Другие виды основных средств</t>
  </si>
  <si>
    <t>{201110102} Жилые здания</t>
  </si>
  <si>
    <t>{201110202} Внегородские шоссейные дороги</t>
  </si>
  <si>
    <t xml:space="preserve">{201120322} Серверная техника </t>
  </si>
  <si>
    <t>{201120323} Компьютерная техника стандартных рабочих мест</t>
  </si>
  <si>
    <t xml:space="preserve">{201120324} Оргтехника и презентационное оборудование </t>
  </si>
  <si>
    <t xml:space="preserve">{201120321} Телекоммуникационное оборудование </t>
  </si>
  <si>
    <t>{1212900_~_~_~} Услуги по управлению персоналом</t>
  </si>
  <si>
    <t>{1.02.01.41.01} Незавершенное производство - услуги по НИОКРам, созданию баз данных</t>
  </si>
  <si>
    <t>Сумма (в тыс. рублей)</t>
  </si>
  <si>
    <t>F_M</t>
  </si>
  <si>
    <t>91.01 и 91.02 НДС</t>
  </si>
  <si>
    <r>
      <rPr>
        <b/>
        <sz val="10"/>
        <color indexed="37"/>
        <rFont val="Arial"/>
        <family val="2"/>
        <charset val="204"/>
      </rP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{252016} Расчеты с Агентами (Комиссионерами) за реализованную продукцию (работы, услуги) Комитента (принципала)</t>
    </r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</si>
  <si>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{252013} Расчеты с Агентами (Комиссионерами) по возмещению понесенных затрат при закупке продукции (работ, услуг) для Комитента (принципала)</t>
    </r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</si>
  <si>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{252016} Расчеты с Агентами (Комиссионерами) за реализованную продукцию (работы, услуги) Комитента (принципала)</t>
    </r>
  </si>
  <si>
    <t>ТУ Росимущества в Мурманской области ИНН 5190915348</t>
  </si>
  <si>
    <t>СЕМТУ по надзору за ЯРБ Ростехнадзора ИНН7809010213</t>
  </si>
  <si>
    <t>МУП  Телерадиокомпания ТВС (ИНН 7405002231)</t>
  </si>
  <si>
    <t>ФГУЗ МСЧ №72 г.Трехгорный (ИНН 7405001608)</t>
  </si>
  <si>
    <t>ФГУЗ МСЧ №32 ФМБА России ИНН 6609002069</t>
  </si>
  <si>
    <t>ГУП СО "Асбестовское пассажирское автотранспортное предприятие" ИНН 6603004800</t>
  </si>
  <si>
    <t>УФК по РО (МУЗ "ГП № 3) ИНН 6143001317</t>
  </si>
  <si>
    <t>УФК МФ РФ по РО (для ГУВД РО) ИНН 6164049013</t>
  </si>
  <si>
    <t>Издательство "Известия" УДПРФ ФГУП" ИНН 7710207002</t>
  </si>
  <si>
    <t>ВЦП ФГУП ИНН 7727082785</t>
  </si>
  <si>
    <t>ЦМСЧ №71 ФМБА России ФГБУЗ ИНН 7422001206</t>
  </si>
  <si>
    <t>ФБУ "ГосНИИЭНП" (ИНН 6452056955): -</t>
  </si>
  <si>
    <t>ГИДРОХИМ.ИНС-Т  Г.РОСТОВ- (ИНН 6168000749): -</t>
  </si>
  <si>
    <t>Ф-КА ХИМЧ-КИ И КРАШ.ОДЕЖДЫ (ИНН 6603000467): -</t>
  </si>
  <si>
    <t>ОВО ММО МВД РОССИИ Г.АСБЕСТ (ИНН 6603004790): -</t>
  </si>
  <si>
    <t>ЗМУП КНИГИ МАГАЗИН (ИНН 6609002608): -</t>
  </si>
  <si>
    <t>ФГБУЗ ЦГ И Э N32 ФМБА РОССИИ (ИНН 6609009642): -</t>
  </si>
  <si>
    <t>ЗМУП ЖКХ СЕЛЬСКОЙ ТЕРРИТОРИИ (ИНН 6609010704): -</t>
  </si>
  <si>
    <t>ФГУП ПО ОКТЯБРЬ ПО Г.К-УРАЛЬСКИЙ (ИНН 6612001971): -</t>
  </si>
  <si>
    <t>ФБУН ЕКАТ.МЕД.ЦЕНТР ПОЗРП (ИНН 6658004566): -</t>
  </si>
  <si>
    <t>ВПО  ГБОУ  УГМА (ИНН 6658017389): -</t>
  </si>
  <si>
    <t>ФСО УССИ В УФО (ИНН 6658170299): -</t>
  </si>
  <si>
    <t>НИЧ УРГУПС (ИНН 6659014366): -</t>
  </si>
  <si>
    <t>РОСКОМНАДЗОР (ИНН 6659107821): -</t>
  </si>
  <si>
    <t>ФБУ ЦЛАТИ (ИНН 6660152120): -</t>
  </si>
  <si>
    <t>УРФО РАДИОЧАСТОТНЫЙ ЦЕНТР (ИНН 6660155354): -</t>
  </si>
  <si>
    <t>УПРАВЛ.ГФС РОССИИ ПО УРФО (ИНН 6661009934): -</t>
  </si>
  <si>
    <t>УФК НИЧ УГЛТУ (ИНН 6662000973): -</t>
  </si>
  <si>
    <t>ФАУ УКК  АТ СВЕРДЛОВСКИЙ ФАУ (ИНН 6664009900): -</t>
  </si>
  <si>
    <t>ЦЕНТР ГИГИЕНЫ И ЭПИД-ЛОГИ (ИНН 6670081969): -</t>
  </si>
  <si>
    <t>ГУ ГМС-Р ГУ (ИНН 6672143378): -</t>
  </si>
  <si>
    <t>ФГУП ГОСРЫБЦЕНТР  Ф-Л Г.ЕКАТЕРИНБУРГ (ИНН 7203001059): -</t>
  </si>
  <si>
    <t>РНТПБ ФГУ (ИНН 7702027493): -</t>
  </si>
  <si>
    <t>ЦНИИС И ЧЛХ МИНЗДРАВСОЦРА (ИНН 7704115177): -</t>
  </si>
  <si>
    <t>ГЛАВНЫЙ РАДИОЧАСТОТНЫЙ ЦЕНТР (ИНН 7706228218): -</t>
  </si>
  <si>
    <t>РОСАРХИВ МОУФК (ИНН 7710474216): -</t>
  </si>
  <si>
    <t>ВНИИ ОХРАНЫ И ЭКОНОМ.ТРУДА (ИНН 7719127048): -</t>
  </si>
  <si>
    <t>ВНИИ ГОЧС ФГБУ (ИНН 7731202277): -</t>
  </si>
  <si>
    <t>ФГБОУ ВПО "ИГЭУ имени В.И (ИНН 3731000308): -</t>
  </si>
  <si>
    <t>ФАУ "Отраслевой научно-ме (ИНН 5027034655): -</t>
  </si>
  <si>
    <t>УФК по Тверской области (ИНН 6901067121): -</t>
  </si>
  <si>
    <t>Террит.орган Фед.службы г (ИНН 6901068750): -</t>
  </si>
  <si>
    <t>ФБУ "Тверской ЦСМ" (ИНН 6902008746): -</t>
  </si>
  <si>
    <t>УССИ ФСО России в ЦФО (ИНН 6902016578): -</t>
  </si>
  <si>
    <t>АДМИНИСТРАЦИЯ (ИНН 6916006266): -</t>
  </si>
  <si>
    <t>ФГБУ ВПО "СПбГУ" (ИНН 7801002274): -</t>
  </si>
  <si>
    <t>ОВО ОВД по Удомельскому р (ИНН 6916010505): -</t>
  </si>
  <si>
    <t>ТРГС ФГУП "Канал им.Москв (ИНН 7733022865): -</t>
  </si>
  <si>
    <t>МУП"Максатихинские коммун (ИНН 6932006111): -</t>
  </si>
  <si>
    <t>ФГУП "Рослесинфорг" Тверс (ИНН 7705028865): -</t>
  </si>
  <si>
    <t>ФГБУ ИПК Минобрнауки Росс (ИНН 7716082409): -</t>
  </si>
  <si>
    <t>ФГБОУ ВПО РУДН (ИНН 7728073720): -</t>
  </si>
  <si>
    <t>ГОКУ "Управление по ГОЧС и ПБ Мурманской области" (ИНН 5191501741): -</t>
  </si>
  <si>
    <t>ГУПТИ Мурманской области (ИНН 5190100352): -</t>
  </si>
  <si>
    <t>ЦССИ ФСО РФ в Мурманской области (ИНН 5190120239): -</t>
  </si>
  <si>
    <t>ГОУП "Кандалакшаводоканал" (ИНН 5102006040): -</t>
  </si>
  <si>
    <t>УФК по г.Санкт-Петербург (Управление Роскомнадзора по Санкт-Петербургу и Ленинградской области) (ИНН 7838302676): -</t>
  </si>
  <si>
    <t>Проверка оборотов между счетами,  Резерв на обеспечение безопасности</t>
  </si>
  <si>
    <t>Затраты_Вход 1,96</t>
  </si>
  <si>
    <t>Проверка оборотов между счетами, Резерв на вывод из эксплуатации и НИОКР</t>
  </si>
  <si>
    <t>Проверка оборотов между счетами, Резерв на физическую защиту</t>
  </si>
  <si>
    <t>Проверка оборотов между счетами, Резерв по обеспечению развития</t>
  </si>
  <si>
    <t>Проверка оборотов между счетами, Резерв на захоронение РАО</t>
  </si>
  <si>
    <t>Проверка статей ДДС</t>
  </si>
  <si>
    <t>Лист 50_51_52_55_57_движ</t>
  </si>
  <si>
    <t>Лист 08</t>
  </si>
  <si>
    <t>Проверка остатков</t>
  </si>
  <si>
    <t>Лист 09</t>
  </si>
  <si>
    <t>Лист 41</t>
  </si>
  <si>
    <t>Лист 60.01</t>
  </si>
  <si>
    <t>Лист 60.02</t>
  </si>
  <si>
    <t>Лист 62.01</t>
  </si>
  <si>
    <t>Лист 62.02</t>
  </si>
  <si>
    <t>Лист 66</t>
  </si>
  <si>
    <t>Лист 67</t>
  </si>
  <si>
    <t>Лист 68</t>
  </si>
  <si>
    <t>Лист 69</t>
  </si>
  <si>
    <t>Лист 70</t>
  </si>
  <si>
    <t>Лист 73</t>
  </si>
  <si>
    <t>Лист 77</t>
  </si>
  <si>
    <t>Лист 96</t>
  </si>
  <si>
    <t>Лист ОКХ</t>
  </si>
  <si>
    <t>C1=F_O3;C2=YTD;C3=0102</t>
  </si>
  <si>
    <t>C1=F_C3;C2=YTD;C3=0102</t>
  </si>
  <si>
    <t>R1=101020106</t>
  </si>
  <si>
    <t>R1=101030114</t>
  </si>
  <si>
    <t>R1=101030113</t>
  </si>
  <si>
    <t>R1=101030112</t>
  </si>
  <si>
    <t>R1=R101040101</t>
  </si>
  <si>
    <t>R1=R101050140</t>
  </si>
  <si>
    <t>R1=R101201200</t>
  </si>
  <si>
    <t>R1=102011401</t>
  </si>
  <si>
    <t>R1=R102014600</t>
  </si>
  <si>
    <t>R1=R102015200</t>
  </si>
  <si>
    <t>R1=R102015600</t>
  </si>
  <si>
    <t>R1=102060500</t>
  </si>
  <si>
    <t>R1=102090100</t>
  </si>
  <si>
    <t>R1=102130300</t>
  </si>
  <si>
    <t>R1=R102020340</t>
  </si>
  <si>
    <t>R1=102140200</t>
  </si>
  <si>
    <t>R1=R102160700</t>
  </si>
  <si>
    <t>R1=201010000</t>
  </si>
  <si>
    <t>R1=202000000</t>
  </si>
  <si>
    <t>Балаковская АЭС-Авто</t>
  </si>
  <si>
    <t>Белоярская АЭС-Авто</t>
  </si>
  <si>
    <t>Березка</t>
  </si>
  <si>
    <t>ООО "Санаторий -профилакторий "Березка"</t>
  </si>
  <si>
    <t>ВАЭС-Сервис</t>
  </si>
  <si>
    <t>ООО "Волгодонская АЭС-Сервис"</t>
  </si>
  <si>
    <t>ВетроОГК</t>
  </si>
  <si>
    <t>ВНИИАМ(АЭМ – технологии)</t>
  </si>
  <si>
    <t>Далур-Сервис</t>
  </si>
  <si>
    <t>ООО "Далур-Сервис"</t>
  </si>
  <si>
    <t>ЗЭП</t>
  </si>
  <si>
    <t>ООО "Завод электрохимических преобразователей"</t>
  </si>
  <si>
    <t>ИКАО</t>
  </si>
  <si>
    <t>ИКБ ВНИИАЭС</t>
  </si>
  <si>
    <t>ИФ Пионер</t>
  </si>
  <si>
    <t>КАЭС-Сервис</t>
  </si>
  <si>
    <t>ООО "Калининская АЭС - Сервис"</t>
  </si>
  <si>
    <t>КМ</t>
  </si>
  <si>
    <t>КМЗ-Авто</t>
  </si>
  <si>
    <t>Кольская АЭС-Авто</t>
  </si>
  <si>
    <t>Консист-ОС</t>
  </si>
  <si>
    <t>КурскАЭС-Авто</t>
  </si>
  <si>
    <t>КурскАЭС-Сервис</t>
  </si>
  <si>
    <t>ООО "Курская  АЭС-Сервис"</t>
  </si>
  <si>
    <t>Курчатовец</t>
  </si>
  <si>
    <t>МЦ Изумруд</t>
  </si>
  <si>
    <t>ООО "Медицинский Центр "Изумруд"</t>
  </si>
  <si>
    <t>НАНОЭЛЕКТРО</t>
  </si>
  <si>
    <t>НГСС</t>
  </si>
  <si>
    <t>НИИАР-ГЕНЕРАЦИЯ</t>
  </si>
  <si>
    <t>ООО «НИИАР-ГЕНЕРАЦИЯ»</t>
  </si>
  <si>
    <t>НИЦАЭС</t>
  </si>
  <si>
    <t>НововоронежАЭС-Сервис</t>
  </si>
  <si>
    <t>НП-Атом</t>
  </si>
  <si>
    <t>ОДЦ УГР</t>
  </si>
  <si>
    <t>Корректировка прочих выплат по инвестиционной деятельности на сумму НДС</t>
  </si>
  <si>
    <t>Корректировка прочих выплат, перечислений по текущей деятельности на сумму НДС</t>
  </si>
  <si>
    <t>Корректировка прочих выплат, перечислений по финансовой деятельности на сумму НДС</t>
  </si>
  <si>
    <t xml:space="preserve">Заполняется ВРУЧНУЮ (ячейки, выделенные желтым c минусом, ячейки зеленым с плюсом). </t>
  </si>
  <si>
    <t>_период</t>
  </si>
  <si>
    <t>начало периода</t>
  </si>
  <si>
    <t>конец периода</t>
  </si>
  <si>
    <t>F_M0618</t>
  </si>
  <si>
    <t>Доначисление сумм к возмещению</t>
  </si>
  <si>
    <t>Счет 84. Расшифровка нераспределенной прибыли/непокрытого убытка</t>
  </si>
  <si>
    <t>43 счет</t>
  </si>
  <si>
    <t>21 счет</t>
  </si>
  <si>
    <t>в т.ч краткосрочные</t>
  </si>
  <si>
    <t>YTD</t>
  </si>
  <si>
    <t>в т.ч краткосрочных</t>
  </si>
  <si>
    <t>В т.ч. к использованию более чем через 12 месяцев после отчетной даты</t>
  </si>
  <si>
    <t>В т.ч. Долгосрочная часть (Дт)</t>
  </si>
  <si>
    <t>В т.ч. Долгосрочная часть (Кт)</t>
  </si>
  <si>
    <t>Сведения об остатках НЗП, ГП для реализации, товары отгруженные, в т.ч. внутри группы</t>
  </si>
  <si>
    <t>Счет учета</t>
  </si>
  <si>
    <t>счет</t>
  </si>
  <si>
    <t>_счет</t>
  </si>
  <si>
    <t>Величина амортизации по реализованным объектам</t>
  </si>
  <si>
    <t>Величина амортизации по ликвидированным объектам</t>
  </si>
  <si>
    <t>Величина амортизации по безвозмездно переданным объектам</t>
  </si>
  <si>
    <t>Выбытие: Списание на прочие расходы</t>
  </si>
  <si>
    <t xml:space="preserve">Выбытие: Прочее </t>
  </si>
  <si>
    <t>Списание на сумму амортизации по ОС и НМА (безвозмездно полученные; полученные по целевому финансированию)</t>
  </si>
  <si>
    <t>Списание на сумму текущих затрат (Кт 91)</t>
  </si>
  <si>
    <t>Начисление пени</t>
  </si>
  <si>
    <t>из производства (20,23,25,29)</t>
  </si>
  <si>
    <t>со счета 40</t>
  </si>
  <si>
    <t>из готовой продукции (Кт 43)</t>
  </si>
  <si>
    <t>со счета 44</t>
  </si>
  <si>
    <t>прочее поступление</t>
  </si>
  <si>
    <t>на счета учета затрат (Дт 20,23,25,29)</t>
  </si>
  <si>
    <t>на счет 26 (Дт 26 Кт 10)</t>
  </si>
  <si>
    <t>на счет 41 (Дт 41)</t>
  </si>
  <si>
    <t>на счета учета готовой продукции (Дт 43)</t>
  </si>
  <si>
    <t>на счет 44 (Дт 44)</t>
  </si>
  <si>
    <t>на счета учета отгруженных товаров (Дт 45)</t>
  </si>
  <si>
    <t>на счет 97 (Дт 97)</t>
  </si>
  <si>
    <t>на счета 96, 98 (Дт96, Дт98)</t>
  </si>
  <si>
    <t>на прочие расходы (Дт 91)</t>
  </si>
  <si>
    <t>со счетов учета внеоборотных активов</t>
  </si>
  <si>
    <t>F_M0416</t>
  </si>
  <si>
    <t>F_M0417</t>
  </si>
  <si>
    <t>F_M0623</t>
  </si>
  <si>
    <t>Начисление штрафов</t>
  </si>
  <si>
    <t>F_M0744</t>
  </si>
  <si>
    <t>Поступление сырья и материалов (Д45 К 10)</t>
  </si>
  <si>
    <t>на счет 08 (Дт 08)</t>
  </si>
  <si>
    <t>на счет 07 (Дт 07)</t>
  </si>
  <si>
    <t>F_M0745</t>
  </si>
  <si>
    <t>Реклассификация из других видов активов (Кт 01, 03, 10)</t>
  </si>
  <si>
    <t>Использовано</t>
  </si>
  <si>
    <t>Выдача товарного займа</t>
  </si>
  <si>
    <t>F_M0812</t>
  </si>
  <si>
    <t>Перечислено распорядителю средств отраслевых резервов</t>
  </si>
  <si>
    <t>F_M0933</t>
  </si>
  <si>
    <t>Перечисление денежных средств на депозитный счет (Дт 58 Кт 51)</t>
  </si>
  <si>
    <t>Выдача займа денежными средствами (Дт 58 Кт 51)</t>
  </si>
  <si>
    <t>F_M0934</t>
  </si>
  <si>
    <t>F_M0935</t>
  </si>
  <si>
    <t>F_M0936</t>
  </si>
  <si>
    <t>Получение денежных средств с депозитного счета (Дт 51 Кт58)</t>
  </si>
  <si>
    <t>Погашение суммы основного долга денежными средствами (Кт51)</t>
  </si>
  <si>
    <t>Погашение суммы основного долга товарного займа</t>
  </si>
  <si>
    <t>F_M0938</t>
  </si>
  <si>
    <t>Обмен на другие активы (в т.ч. взаимозачет задолженности)</t>
  </si>
  <si>
    <t>{F_M0908}_Курсовые разницы_основная сумма</t>
  </si>
  <si>
    <t>{F_M0909}_Доходы, увеличивающие стоимость финансовых вложений (премия по финансовым вложениям) (Дт 58 Кт 91)</t>
  </si>
  <si>
    <t>Доходы, увеличивающие стоимость финансовых вложений (премия по финансовым вложениям) (Дт 58 Кт 91)</t>
  </si>
  <si>
    <t xml:space="preserve"> Взнос в УК (фактическое поступление вкладов)</t>
  </si>
  <si>
    <t>F_M1037</t>
  </si>
  <si>
    <t>ПР</t>
  </si>
  <si>
    <t>Блок данных</t>
  </si>
  <si>
    <t>Наименование счета/субсчета</t>
  </si>
  <si>
    <t>01 Поток - Главная книга</t>
  </si>
  <si>
    <t>01*-99* - сальдо</t>
  </si>
  <si>
    <t>забалансовые счета ГК</t>
  </si>
  <si>
    <t>02 Поток - Расчеты с кредиторами, дебиторами</t>
  </si>
  <si>
    <t>46*</t>
  </si>
  <si>
    <t>60*</t>
  </si>
  <si>
    <t>62*</t>
  </si>
  <si>
    <t>63*</t>
  </si>
  <si>
    <t>Резервы по сомнительным долгам</t>
  </si>
  <si>
    <t>71*</t>
  </si>
  <si>
    <t>73*</t>
  </si>
  <si>
    <t>75*</t>
  </si>
  <si>
    <t>76* (в части операций с контрагентами)</t>
  </si>
  <si>
    <t>Расчеты с разными дебиторами и кредиторами</t>
  </si>
  <si>
    <t>96* (в части операций с контрагентами)</t>
  </si>
  <si>
    <t>98*</t>
  </si>
  <si>
    <t>03 Поток - Управление персоналом</t>
  </si>
  <si>
    <t>70*</t>
  </si>
  <si>
    <t>96* (резервы на отпуска и премии по КПЭ)</t>
  </si>
  <si>
    <t>04 Поток - Расчеты по налогам и сборам</t>
  </si>
  <si>
    <t>09*</t>
  </si>
  <si>
    <t>19*</t>
  </si>
  <si>
    <t>68*</t>
  </si>
  <si>
    <t>69*</t>
  </si>
  <si>
    <t>77*</t>
  </si>
  <si>
    <t>78*</t>
  </si>
  <si>
    <t>Расчеты по КГН</t>
  </si>
  <si>
    <t>99* (в части налога на прибыль)</t>
  </si>
  <si>
    <t>05 Поток - Основные средства и НМА и РБП</t>
  </si>
  <si>
    <t>01*</t>
  </si>
  <si>
    <t>02*</t>
  </si>
  <si>
    <t>03*</t>
  </si>
  <si>
    <t>04*</t>
  </si>
  <si>
    <t>05*</t>
  </si>
  <si>
    <t>07*</t>
  </si>
  <si>
    <t>76* (в части РБП)</t>
  </si>
  <si>
    <t>97*</t>
  </si>
  <si>
    <t>06 Поток - Кап вложения</t>
  </si>
  <si>
    <t>08*</t>
  </si>
  <si>
    <t>Наименование счета</t>
  </si>
  <si>
    <t>Остаток на начало периода (Дт)</t>
  </si>
  <si>
    <t>Остаток на начало периода (Кт)</t>
  </si>
  <si>
    <t>Остаток на конец периода (Дт)</t>
  </si>
  <si>
    <t>Остаток на конец периода (Кт)</t>
  </si>
  <si>
    <t>{10000} Оценочные обязательства, связанные с расчетами с персоналом</t>
  </si>
  <si>
    <t>{10300} Оценочные обязательства по выплате ежегодного вознаграждения за выслугу лет</t>
  </si>
  <si>
    <t>{20000} Прочие оценочные обязательства</t>
  </si>
  <si>
    <t>{30000} Отраслевые резервы</t>
  </si>
  <si>
    <t>{30100} Резерв на обеспечение безопасности</t>
  </si>
  <si>
    <t>{30200} Резерв на вывод из эксплуатации и НИОКР</t>
  </si>
  <si>
    <t>{30300} Резерв на физическую защиту</t>
  </si>
  <si>
    <t>{252016} Расчеты с Агентами (Комиссионерами) за реализованную продукцию (работы, услуги) Комитента (принципала)</t>
  </si>
  <si>
    <t>{252017} Расчеты с Комитентами (Принципалами) по агентскому вознаграждению</t>
  </si>
  <si>
    <t>{252018} Расчеты с Комитентами (Принципалами) по возмещению понесенных затрат при закупке продукции (работ, услуг) для Комитента (принципала)</t>
  </si>
  <si>
    <t>{252019} Расчеты с Комитентами (Принципалами) по возмещению понесенных затрат при продаже продукции (работ, услуг) Комитента (Принципала)</t>
  </si>
  <si>
    <t>{252020} Расчеты по возмещению расходов по доставке грузов</t>
  </si>
  <si>
    <t>{252021} Расчеты по страхованию при доставке товара до покупателя</t>
  </si>
  <si>
    <t>{252022} Расчеты по прочим возмещаемым расходам при доставке товара до покупателя</t>
  </si>
  <si>
    <t>{252023} НДС по неподтвержденному экспорту (пакет документов не собран)</t>
  </si>
  <si>
    <t>{252024} НДС по претензиям</t>
  </si>
  <si>
    <t>{252026} НДС по авансам полученным</t>
  </si>
  <si>
    <t>{252027} НДС по МПЗ отгруженным без перехода права собственности</t>
  </si>
  <si>
    <t>{252028} НДС по специальным документам</t>
  </si>
  <si>
    <t>{252030} НДС по договорам строительного подряда, предусматривающий передачу объекта в конце срока</t>
  </si>
  <si>
    <t>{252031} Начисления. Водный налог</t>
  </si>
  <si>
    <t>{252032} Начисления. Земельный налог</t>
  </si>
  <si>
    <t>{252033} Начисления. Транспортный налог</t>
  </si>
  <si>
    <t>{252034} Начисления. Налог на имущество</t>
  </si>
  <si>
    <t>{252035} Начисления. ЕНВД</t>
  </si>
  <si>
    <t>{252039} Расчеты по имущественному и личному страхованию</t>
  </si>
  <si>
    <t>{252040} Расчеты по депонированным суммам</t>
  </si>
  <si>
    <t>{252041} Расчеты по исполнительным документам работников и другим удержаниям из заработной платы в пользу 3-х лиц</t>
  </si>
  <si>
    <t>{252042} Расчеты по претензиям к уплате</t>
  </si>
  <si>
    <t>{252043} Расчеты по таможенным платежам</t>
  </si>
  <si>
    <t>{252044} Расчеты с банком по зачислению заработной платы на банковские счета сотрудников</t>
  </si>
  <si>
    <t>{252045} Расчеты с физическими лицами по гражданско-правовым договорам</t>
  </si>
  <si>
    <t>Счет 21. Полуфабрикаты собственного производства</t>
  </si>
  <si>
    <t>Счет 40.  Выпуск продукции (работ, услуг)</t>
  </si>
  <si>
    <t>Счет 50, 51, 52, 55, 57. Расшифровка движений</t>
  </si>
  <si>
    <t>Финансовые договоры</t>
  </si>
  <si>
    <t>Договоры поручительства полученные</t>
  </si>
  <si>
    <t>Договоры поручительства выданные</t>
  </si>
  <si>
    <t>Счет 62.01 Дебиторская задолженность</t>
  </si>
  <si>
    <t>Счет 62.02.1. Авансы полученные</t>
  </si>
  <si>
    <t>Обязательства капитального характера перед сторонними компаниями</t>
  </si>
  <si>
    <t>Счет 73. Расчеты с персоналом по прочим операциям</t>
  </si>
  <si>
    <t>75_01_Неденеж</t>
  </si>
  <si>
    <t>Счет 76.01. Проценты по финансовым вложениям к получению, которые ожидаются к погашению в течение 12 месяцев после отчетной даты. Расшифровочная таблица</t>
  </si>
  <si>
    <t>Счет 84. Дополнительная расшифровка</t>
  </si>
  <si>
    <t>{11} Товарные займы</t>
  </si>
  <si>
    <t>{21} Банковские кредиты</t>
  </si>
  <si>
    <t>{22} Банковские овердрафты</t>
  </si>
  <si>
    <t>{23} Кредитные линии с обязательством предоставления</t>
  </si>
  <si>
    <t>{24} Кредитные линии без обязательства предоставления</t>
  </si>
  <si>
    <t>{31} Облигации</t>
  </si>
  <si>
    <t>{32} Векселя</t>
  </si>
  <si>
    <t>{102} Пополнение оборотных средств под экспортное финансирование</t>
  </si>
  <si>
    <t>{103} Пополнение оборотных средств, прочее назначение</t>
  </si>
  <si>
    <t>{104} Демонтаж и ликвидация объектов</t>
  </si>
  <si>
    <t>{105} Рекультивация земель</t>
  </si>
  <si>
    <t>№ выпуска
Серия выпущенных облигаций / Номер транша</t>
  </si>
  <si>
    <t>{1} Кредиты без нарушения условий кредитных договоров</t>
  </si>
  <si>
    <t>{2} Кредиты, по которым нарушены условия договоров</t>
  </si>
  <si>
    <t>Нарушение условий кредитных договоров</t>
  </si>
  <si>
    <t>Виды налогов</t>
  </si>
  <si>
    <t>2730</t>
  </si>
  <si>
    <t>Контрагенты</t>
  </si>
  <si>
    <t>Данные по 75.01 из таблицы 75.01_Неденеж перенесены полностью</t>
  </si>
  <si>
    <t>Взнос в УК</t>
  </si>
  <si>
    <t>2530</t>
  </si>
  <si>
    <t>{02} Расчеты по возмещению материального ущерба</t>
  </si>
  <si>
    <t>{03} Расчеты за товары, проданные в кредит</t>
  </si>
  <si>
    <t>Виды расчетов с персоналом по прочим операциям</t>
  </si>
  <si>
    <t>2630</t>
  </si>
  <si>
    <t>{21} Расчеты по промежуточным дивидендам</t>
  </si>
  <si>
    <t>{22} Расчеты по годовым (итоговым) дивидендам</t>
  </si>
  <si>
    <t>{23} Часть прибыли, перечисляемая ФГУП в ГК "Росатом"</t>
  </si>
  <si>
    <t>2521_2750</t>
  </si>
  <si>
    <t>Вид расчетов с участниками КГН /
Вид начислений по налогам и сборам</t>
  </si>
  <si>
    <t xml:space="preserve">Назначение финансирования </t>
  </si>
  <si>
    <t>F_M0923</t>
  </si>
  <si>
    <t>F_M0924</t>
  </si>
  <si>
    <t>F_M0925</t>
  </si>
  <si>
    <t>F_M0928</t>
  </si>
  <si>
    <t>2142</t>
  </si>
  <si>
    <t>2311</t>
  </si>
  <si>
    <t>1003</t>
  </si>
  <si>
    <t>{2} регулируемые договоры</t>
  </si>
  <si>
    <t>{1} прямые договоры</t>
  </si>
  <si>
    <t>2310</t>
  </si>
  <si>
    <t>2241</t>
  </si>
  <si>
    <t>{1040101} Доходы от реализации НМА (НДС)</t>
  </si>
  <si>
    <t>Рынки электроэнергии</t>
  </si>
  <si>
    <t>Субсчета счета 90</t>
  </si>
  <si>
    <t>ВидОперации_ОСС</t>
  </si>
  <si>
    <t>Виды резервов</t>
  </si>
  <si>
    <t>Справочник статей расходов будущих периодов</t>
  </si>
  <si>
    <t>список связанных сторон</t>
  </si>
  <si>
    <t>{18} Доходы от участия в других организациях</t>
  </si>
  <si>
    <t xml:space="preserve"> ООО "ОПТЭК"</t>
  </si>
  <si>
    <t>Заем полученный</t>
  </si>
  <si>
    <t>ООО "Эко-Спас Батайск"</t>
  </si>
  <si>
    <t>ООО "Эксплуатационно-ремонтное управление"</t>
  </si>
  <si>
    <t>ООО "Эксплуатация кранов и монтаж"</t>
  </si>
  <si>
    <t>ООО "Эксплуатация тепловых систем"</t>
  </si>
  <si>
    <t>ООО "ЭЛСИ строймонтаж"</t>
  </si>
  <si>
    <t>ООО "ЭлСИКо"</t>
  </si>
  <si>
    <t>ООО "Элстрой XXI"</t>
  </si>
  <si>
    <t>ООО "Энергогазсервис"</t>
  </si>
  <si>
    <t>ООО "Энергоскандгаз"</t>
  </si>
  <si>
    <t>ООО "Ютэк"</t>
  </si>
  <si>
    <t>ООО ВРТЭК/Владимирская регион.транспортно-экспедиц.компания</t>
  </si>
  <si>
    <t>ООО ГАЗЛИФТ</t>
  </si>
  <si>
    <t>ООО Газовые коммунальные системы</t>
  </si>
  <si>
    <t>ООО Газпродукт</t>
  </si>
  <si>
    <t>ООО Группа Компаний "УралТЭК"</t>
  </si>
  <si>
    <t>ООО ИЖСТРОЙГАЗ</t>
  </si>
  <si>
    <t>ООО Ульяновскоблгаз филиал "Мелекессмежрайгаз"</t>
  </si>
  <si>
    <t>ООО фирма "Газсистемавтоматика"</t>
  </si>
  <si>
    <t>ООО фирма "Сервисгазавтоматика"</t>
  </si>
  <si>
    <t>ООО ФПК "Космос-Нефть-Газ"</t>
  </si>
  <si>
    <t>ООО ЭХП и ТЭК</t>
  </si>
  <si>
    <t>ООО"Биотехгаз"</t>
  </si>
  <si>
    <t>ООО"Витал-Газ"</t>
  </si>
  <si>
    <t>ООО"Газмонтаж"</t>
  </si>
  <si>
    <t>ООО"Инфотэк"</t>
  </si>
  <si>
    <t>ООО"Сканд-газ"</t>
  </si>
  <si>
    <t>ООО"Таас-Юрях Нефтегазодобыча"</t>
  </si>
  <si>
    <t>ООО"Тестэнергогаз"</t>
  </si>
  <si>
    <t>ООО"ТК Газстройсервис"</t>
  </si>
  <si>
    <t>ООО"Торгово-промышленная палата"</t>
  </si>
  <si>
    <t>ООО"ТЭК Регион"</t>
  </si>
  <si>
    <t>ООО"Элтэк"</t>
  </si>
  <si>
    <t>ОТД. ВОЕННОГО КОММИССАРИАТА ИРК. ОБЛ. ПО ИРК. РАЙОНУ</t>
  </si>
  <si>
    <t>ОТДЕЛ ВОЕННОГО КОМИССАРИАТА ИРКУТСК ОЙ ОБЛАСТИ ПО Г. АНГАРСКУ</t>
  </si>
  <si>
    <t>ОТДЕЛ ГОС.ФЕ</t>
  </si>
  <si>
    <t>Отделение по ЗАО УФК по г.Москве</t>
  </si>
  <si>
    <t>ОТДЕЛЕНИЕ ПО СВАО УФК ПО Г.МОСКВЕ(ФГУК "ВСЕРОССИЙСКОЕ МУЗЕЙНОЕ ОБЪЕДИНЕНИЕ "ГОСУДАРСТВЕННАЯ ТРЕТЬЯКО</t>
  </si>
  <si>
    <t>ОТКРЫТОЕ АКЦИОНЕРНОЕ ОБЩЕСТВО "РЕДАКЦИЯ ГАЗЕТЫ "ТОМСКИЕ НОВОСТИ"</t>
  </si>
  <si>
    <t>Открытое акционерное общество "Свердловская энергогазовая компания"</t>
  </si>
  <si>
    <t>Палата налоговых консультантов Некоммерческое партнерство</t>
  </si>
  <si>
    <t>Первичная профсоюзная организация филиала НВАЭС ГП концерна Росэнергоатом Российского профсоюза рабо</t>
  </si>
  <si>
    <t>ПИИ ОАО "ГАЗТУРБОСЕРВИС"</t>
  </si>
  <si>
    <t>Подольская т</t>
  </si>
  <si>
    <t>Подольскмежрайгаз ГУП  МО</t>
  </si>
  <si>
    <t>Подольское предприятие Центр дезинфекции ФГУП</t>
  </si>
  <si>
    <t>ПромБизнес</t>
  </si>
  <si>
    <t>ПромГаз ООО</t>
  </si>
  <si>
    <t>ПРОТЭК</t>
  </si>
  <si>
    <t>ПУ №27 ГБОУ НПО МО (изменен 27.07.2012 согласно уведомления №207/01-13 от 27.07.2012г.)</t>
  </si>
  <si>
    <t>Радиочастотный центр ФГУП</t>
  </si>
  <si>
    <t>РГУ нефти и газа им. И.М.Губкина</t>
  </si>
  <si>
    <t>Реалтехгаз</t>
  </si>
  <si>
    <t>Региональное управление   28 ФМБА России</t>
  </si>
  <si>
    <t>РегионГаз-НН</t>
  </si>
  <si>
    <t>РегионНефтеГаз</t>
  </si>
  <si>
    <t>Редакция "Российской газеты"</t>
  </si>
  <si>
    <t>Редакция газеты "Мурманский вестник"</t>
  </si>
  <si>
    <t>Редакция газеты бесплатных объявлений Все Для Вас. Недвижимость"</t>
  </si>
  <si>
    <t>Редакция Нижегородской деловой газеты</t>
  </si>
  <si>
    <t>Республиканская Эксплуатационная Компания ООО</t>
  </si>
  <si>
    <t>Рестэк Интернэшнл ООО</t>
  </si>
  <si>
    <t>Рид Элсивер ООО</t>
  </si>
  <si>
    <t>РИТЭК СОЮЗ</t>
  </si>
  <si>
    <t>РОАО "Удмуртгаз"</t>
  </si>
  <si>
    <t>Ронинтэкс ООО</t>
  </si>
  <si>
    <t>Россвязь</t>
  </si>
  <si>
    <t>Ростест-Москва ФБУ</t>
  </si>
  <si>
    <t>Ростехнадзор</t>
  </si>
  <si>
    <t>РОСТЭК-Брянск ЗАО</t>
  </si>
  <si>
    <t>Рошальская электроэксплуатационная компания, ОАО</t>
  </si>
  <si>
    <t>РПК-Поволжье  ООО</t>
  </si>
  <si>
    <t>Руском-Химнефтегаз ГК</t>
  </si>
  <si>
    <t>Салют-Газ</t>
  </si>
  <si>
    <t>Санкт-Петербург,ООО Витэк-Автоматика</t>
  </si>
  <si>
    <t>Санкт-Петербургская таможня УФК по г.Москве</t>
  </si>
  <si>
    <t>Саратовоблгаз</t>
  </si>
  <si>
    <t>Саратовэнергомашкомплект</t>
  </si>
  <si>
    <t>Саханефтегазсбыт</t>
  </si>
  <si>
    <t>Севгаз</t>
  </si>
  <si>
    <t>Синтэкс</t>
  </si>
  <si>
    <t>СК СОГАЗ-ЖИЗНЬ ООО</t>
  </si>
  <si>
    <t>Союзнефтегаз ЗАО</t>
  </si>
  <si>
    <t>Спецгазавтоматика</t>
  </si>
  <si>
    <t>Спецгазкомплект ООО</t>
  </si>
  <si>
    <t>СПЕЦЭЛСЕРВИС ООО</t>
  </si>
  <si>
    <t>СПК "ГАЗ"</t>
  </si>
  <si>
    <t>СПЭЛС НПО</t>
  </si>
  <si>
    <t>СРЕДСТВО МАССОВОЙ ИНФОРМАЦИИ - РЕДАКЦИЯ ГАЗЕТЫ "ДИАЛОГ" - МУНИЦИПАЛЬНОЕ УЧРЕЖДЕНИЕ</t>
  </si>
  <si>
    <t>Сталтэк</t>
  </si>
  <si>
    <t>Стройтрансгаз-М ООО</t>
  </si>
  <si>
    <t>СТЭК.КОМ.</t>
  </si>
  <si>
    <t>ТАТА</t>
  </si>
  <si>
    <t>Тверьоблгаз (Тверь)</t>
  </si>
  <si>
    <t>ТехГазКомплект ООО</t>
  </si>
  <si>
    <t>Технические газы</t>
  </si>
  <si>
    <t>Томский государственный университет</t>
  </si>
  <si>
    <t>Томский филиал ООО "СО "Сургутнефтегаз"</t>
  </si>
  <si>
    <t>Торгово-закупочная компания ГАЗ</t>
  </si>
  <si>
    <t>Торгово-Пром.Палата</t>
  </si>
  <si>
    <t>Торгово-промышленная палата</t>
  </si>
  <si>
    <t>Торгово-промышленная палата Московской области</t>
  </si>
  <si>
    <t>Торгово-промышленная палата РФ</t>
  </si>
  <si>
    <t>Трансгаз Газ</t>
  </si>
  <si>
    <t>Тульский центр стандартизации,метрологии и сертификации ФБУ</t>
  </si>
  <si>
    <t>Турботэк ООО г.Екатеринбург</t>
  </si>
  <si>
    <t>ТЭК -Калининград ООО</t>
  </si>
  <si>
    <t>ТЭК-компани  ООО</t>
  </si>
  <si>
    <t>ТЭКО-ФИЛЬТР ПП ООО</t>
  </si>
  <si>
    <t>ТЭКПРО-НН</t>
  </si>
  <si>
    <t>ТЭКС ООО</t>
  </si>
  <si>
    <t>УГИБДД ГУ МВД России по Московской области</t>
  </si>
  <si>
    <t>Удомельская газета</t>
  </si>
  <si>
    <t>УКЦ СТЭК ООО</t>
  </si>
  <si>
    <t>Ульяновская торгово-промышленная палата</t>
  </si>
  <si>
    <t>УМВД России по г.Ангарску</t>
  </si>
  <si>
    <t>УНИИМ ФГУП</t>
  </si>
  <si>
    <t>Управление Росприроднадзора по Иркутской области</t>
  </si>
  <si>
    <t>Управление Росреестра по Удмуртской Республике</t>
  </si>
  <si>
    <t>Управление федерального казначейства по г. Москве (Федеральная служба по техническому и экспортному</t>
  </si>
  <si>
    <t>Управление Федерального казначейства по г.Москве (Фед служба по интел соб,патентам,тов знакам)</t>
  </si>
  <si>
    <t>Управление ФСТЭК России по Уральскому федеральному округу</t>
  </si>
  <si>
    <t>УралГазКомплект ПКФ ООО</t>
  </si>
  <si>
    <t>Уральская Торгово-промышленная палата</t>
  </si>
  <si>
    <t>УФК по г. Москве (ГОУ ВПО МГТУ "Станкин") л/с 03731А32810</t>
  </si>
  <si>
    <t>УФК по г. Москве (ИФНС России 26 по г.Москве л/с 40100770026)</t>
  </si>
  <si>
    <t>УФК по г. Москве Центральное управление Ростехнадзора</t>
  </si>
  <si>
    <t>УФК по г.Мос</t>
  </si>
  <si>
    <t>УФК по г.Москве</t>
  </si>
  <si>
    <t>УФК по г.Москве ( ФГУ "РОССИЙСКАЯ КНИЖНАЯ ПАЛАТА"л/с 06135360450)</t>
  </si>
  <si>
    <t>УФК по г.Москве (ИФНС России № 7 по г.Москве)</t>
  </si>
  <si>
    <t>УФК по г.Москве (ИФНС России №8 по г.Москве)</t>
  </si>
  <si>
    <t>УФК по г.Москве (л/с 03731А29870 РГГУ)</t>
  </si>
  <si>
    <t>УФК по г.Москве (МТУ Ростехнадзора л/с 04732д28090)</t>
  </si>
  <si>
    <t>УФК по г.Москве (ФГБУ "ГЦАХиТО МВД России" л/с 03731А62400)</t>
  </si>
  <si>
    <t>УФК по г.Москве (ФСФР России)</t>
  </si>
  <si>
    <t>УФК ПО Г.МОСКВЕ ФЕДЕРАЛЬНОЕ БЮДЖЕТНОЕ УЧРЕЖДЕНИЕ ("ФЕДЕРАЛЬНЫЙ ЦЕНТР АНАЛИЗА И ОЦЕНКИ ТЕХНОГЕННОГО В</t>
  </si>
  <si>
    <t>УФК по г.Москве(л/с 04731001720 Федеральное агенство по техническому регулированию и метрологии)</t>
  </si>
  <si>
    <t>УФК по г.Москве(пристав)</t>
  </si>
  <si>
    <t>УФК по Краснояркому краю (Енисейское управление Ростехнадзора)</t>
  </si>
  <si>
    <t>УФК по Курской области (Верхне-Донское управление Ростехнадзора)</t>
  </si>
  <si>
    <t>УФК по М.О.</t>
  </si>
  <si>
    <t>УФК по М.О. Министерство сельского хозяйства и продовольствия Московской области</t>
  </si>
  <si>
    <t>УФК по МО (Г</t>
  </si>
  <si>
    <t>УФК по МО (М</t>
  </si>
  <si>
    <t>УФК по Московской области</t>
  </si>
  <si>
    <t>УФК по Московской области (ИФНС по г. Красногорску)</t>
  </si>
  <si>
    <t>УФК ПО МОСКОВСКОЙ ОБЛАСТИ (МИНМОСОБЛИМУЩЕСТВО)</t>
  </si>
  <si>
    <t>УФК по Московской области(Арбитражный суд Московской области л/с 05481450390)</t>
  </si>
  <si>
    <t>УФК по Ростовской области</t>
  </si>
  <si>
    <t>УФК по Ростовской области (Департамент Росприроднадзора по ЮФО)</t>
  </si>
  <si>
    <t>УФК ПО СВЕРДЛОВСКОЙ ОБЛАСТИ (УРАЛЬСКОЕ УПРАВЛЕНИЕ РОСТЕХНАДЗОРА)</t>
  </si>
  <si>
    <t>уфк роспотре</t>
  </si>
  <si>
    <t>УФК РФ по г. Москве для Федерального государственного учреждения "Земельная кадастровая палата" по г</t>
  </si>
  <si>
    <t>УФССП России</t>
  </si>
  <si>
    <t>Учреждение "Муниципальная редакция Курчатовской городской газеты "Курчатовское время"</t>
  </si>
  <si>
    <t>ФБУ "3 ЦВКГ им. А.А.Вишневского Минобороны России"</t>
  </si>
  <si>
    <t>ФБУ "Владимирский ЦСМ"</t>
  </si>
  <si>
    <t>ФБУ "Воронежский ЦСМ"</t>
  </si>
  <si>
    <t>ФБУ "Иркутский ЦСМ"</t>
  </si>
  <si>
    <t>ФБУ "Кадастровая Палата" по ЛО</t>
  </si>
  <si>
    <t>ФБУ "Мурманский ЦСМ"</t>
  </si>
  <si>
    <t>ФБУ "Нижегородский ЦСМ"</t>
  </si>
  <si>
    <t>ФБУ "НТЦ ЯРБ"</t>
  </si>
  <si>
    <t>ФБУ "Саратовский ЦСМ им. Б.А. Дубовикова"</t>
  </si>
  <si>
    <t>ФБУ "Центр гигиены и эпидемиологии в Владимирской</t>
  </si>
  <si>
    <t>ФБУЗ "Центр</t>
  </si>
  <si>
    <t>ФБУЗ "Центр гигиены и эпидемиологии в Московской о</t>
  </si>
  <si>
    <t>ФГАОУ ДПО "КПК ТЭК"</t>
  </si>
  <si>
    <t>ФГБОУ ВПО "НИУ МЭИ"</t>
  </si>
  <si>
    <t>ФГБОУ ВПО "СибАДИ"</t>
  </si>
  <si>
    <t>ФГБУ "ВНИИКР"</t>
  </si>
  <si>
    <t>ФГБУ СКЦ ФМБА России</t>
  </si>
  <si>
    <t>ФГБУ ЦГиЭ   42 ФМБА России</t>
  </si>
  <si>
    <t>ФГБУ Центр гигиены и эпидемиологии N 135 ФМБА</t>
  </si>
  <si>
    <t>ФГБУЗ ГЦГ и Э ФМБА России</t>
  </si>
  <si>
    <t>ФГБУЗ МСЧ   33 ФМБА России</t>
  </si>
  <si>
    <t>ФГБУЗ ЦГ И Э   141 ФМБА России</t>
  </si>
  <si>
    <t>ФГБУЗ ЦГиЭ  28 ФМБА России</t>
  </si>
  <si>
    <t>ФГБУЗ ЦМСЧ   28 ФМБА России</t>
  </si>
  <si>
    <t>ФГБУЧ ЮГО-ЗАПАДНЫЙ ГОСУДАРСТВЕННЫЙ УНИВЕРСИТЕТ</t>
  </si>
  <si>
    <t>ФГП ВО ЖДТ России</t>
  </si>
  <si>
    <t>ФГУ "1602 ОВКГ СКВО" Минобороны России</t>
  </si>
  <si>
    <t>ФГУ "2 ЦВКГ им.П.В.Мандрыка Минобороны России"</t>
  </si>
  <si>
    <t>ФГУ "3 ЦНИИ Минобороны России"</t>
  </si>
  <si>
    <t>ФГУ "301 ОВКГ ДВО" Минобороны России</t>
  </si>
  <si>
    <t>ФГУ "ГНИИ ПТЗИ ФСТЭК России"</t>
  </si>
  <si>
    <t>ФГУ "Самарский центр стандартизации, метрологии и сертификации"</t>
  </si>
  <si>
    <t>ФГУ "ФИПС"</t>
  </si>
  <si>
    <t>ФГУ 22 ЦНИИ Минобороны России</t>
  </si>
  <si>
    <t>ФГУ ЗПК (Кадастровая палата)</t>
  </si>
  <si>
    <t>ФГУ Менделеевский ЦСМ</t>
  </si>
  <si>
    <t>ФГУ"Земельная кадастровая палата" по Воронежской обл</t>
  </si>
  <si>
    <t>ФГУГП "Волгагеология"</t>
  </si>
  <si>
    <t>ФГУП "ВИАМ"</t>
  </si>
  <si>
    <t>ФГУП "ВНИИМС</t>
  </si>
  <si>
    <t>ФГУП "ВНИЦСМВ"</t>
  </si>
  <si>
    <t>ФГУП "ГУССТ  3 при Спецстрое России"</t>
  </si>
  <si>
    <t>ФГУП "Ижевск</t>
  </si>
  <si>
    <t>ФГУП "НИИ по</t>
  </si>
  <si>
    <t>ФГУП "НИИВТ</t>
  </si>
  <si>
    <t>ФГУП "НИИР"</t>
  </si>
  <si>
    <t>ФГУП "НПП "Гамма"</t>
  </si>
  <si>
    <t>ФГУП "НТЦ об</t>
  </si>
  <si>
    <t>ФГУП "Радиочастотный центр СФО"</t>
  </si>
  <si>
    <t>ФГУП "Рособоронстандарт"</t>
  </si>
  <si>
    <t>ФГУП "Ростехинвентаризация-Федеральное БТИ"</t>
  </si>
  <si>
    <t>ФГУП "СТАНДАРТИНФОРМ"</t>
  </si>
  <si>
    <t>{30400} Резерв по обеспечению развития</t>
  </si>
  <si>
    <t>{30500} Резерв на захоронение РАО</t>
  </si>
  <si>
    <t>2420, 2421</t>
  </si>
  <si>
    <t xml:space="preserve">Прочая задолженность </t>
  </si>
  <si>
    <t>Группы НМА</t>
  </si>
  <si>
    <t>{900709} Закрытие на счета учета ГП/услуг</t>
  </si>
  <si>
    <t>Наименование Компании</t>
  </si>
  <si>
    <t>Код организации</t>
  </si>
  <si>
    <t>ИНН организации</t>
  </si>
  <si>
    <t>ОГРН - Основной Государственный Регистрационный Номер</t>
  </si>
  <si>
    <t>Единица измерения</t>
  </si>
  <si>
    <t>тыс. рублей</t>
  </si>
  <si>
    <t>Начало периода</t>
  </si>
  <si>
    <t>Конец периода</t>
  </si>
  <si>
    <t>Отчетный период</t>
  </si>
  <si>
    <t>СОДЕРЖАНИЕ</t>
  </si>
  <si>
    <t>Наименование листа</t>
  </si>
  <si>
    <t>Наименование формы</t>
  </si>
  <si>
    <t>Статус заполнения запроса</t>
  </si>
  <si>
    <t>Сотрудники отдела бюджетирования, ответственные за заполнение форм</t>
  </si>
  <si>
    <t>Фамилия Имя Отчество</t>
  </si>
  <si>
    <t>Телефон</t>
  </si>
  <si>
    <t>Электронная почта</t>
  </si>
  <si>
    <t>Титул</t>
  </si>
  <si>
    <t>Список компаний</t>
  </si>
  <si>
    <t>Список_компаний</t>
  </si>
  <si>
    <t>Оборотно-сальдовая ведомость. Заполнение из системы</t>
  </si>
  <si>
    <t>ОСВ авт</t>
  </si>
  <si>
    <t>ОСВ сверка</t>
  </si>
  <si>
    <t>Сводная таблица по счетам 11, 28, 42, 90.04, 90.05, 90.07, 90.08, 94</t>
  </si>
  <si>
    <t>Баланс</t>
  </si>
  <si>
    <t>ДДС</t>
  </si>
  <si>
    <t>ДДС_приложение</t>
  </si>
  <si>
    <t>07_расш</t>
  </si>
  <si>
    <t>Счет 08. Дополнительная расшифровка. Источники финансирования</t>
  </si>
  <si>
    <t>Счет 09. Отложенные налоговые активы</t>
  </si>
  <si>
    <t>Счет 10. Материалы. Сводная таблица</t>
  </si>
  <si>
    <t xml:space="preserve">Счет 10. Материалы - Расшифровка остатков для целей раскрытия </t>
  </si>
  <si>
    <t>Счет 15. Заготовление и приобретение материальных ценностей</t>
  </si>
  <si>
    <t>Затраты Вход 1. Операционные затраты за период</t>
  </si>
  <si>
    <t xml:space="preserve">Затраты Вход 2. Операционные затраты за период. Расшифровка по источникам финансирования </t>
  </si>
  <si>
    <t>{1180500} Дисконтный доход по облигациям (кроме государственных)</t>
  </si>
  <si>
    <t>АНО Редакция газеты "Земля вышневолоцкая"</t>
  </si>
  <si>
    <t>{1180600} Процентный доход по государственным облигациям</t>
  </si>
  <si>
    <t>{1180700} Дисконтный доход по государственным облигациям</t>
  </si>
  <si>
    <t>{1180800} Проценты, полученные по прочим долговым обязательствам</t>
  </si>
  <si>
    <t>{14100000} Горно-подготовительные работы</t>
  </si>
  <si>
    <t>{14120100} Вода хозпитьевая покупная</t>
  </si>
  <si>
    <t>{14120200} Вода техническая покупная</t>
  </si>
  <si>
    <t>{14120400} Канализация и оборотное водоснабжение покупные</t>
  </si>
  <si>
    <t>{14130000} Услуги по капитальному ремонту</t>
  </si>
  <si>
    <t>{14140000} Услуги по планово-предупредительным ремонтам</t>
  </si>
  <si>
    <t>{14150000} Услуги по текущему ремонту и техническому обслуживанию</t>
  </si>
  <si>
    <t>{14160100} Перевозки грузовыми автомобилями</t>
  </si>
  <si>
    <t>{14160200} Перевозки легковыми автомобилями</t>
  </si>
  <si>
    <t>{14160300} Перевозки автобусами</t>
  </si>
  <si>
    <t>{14160400} Авиаперевозки</t>
  </si>
  <si>
    <t>{14160500} Ж/д перевозки</t>
  </si>
  <si>
    <t>{14160600} Перевозки водным транспортом</t>
  </si>
  <si>
    <t>{14160700} Услуги спецтехники и спецмеханизмов</t>
  </si>
  <si>
    <t>{14160800} Складские услуги</t>
  </si>
  <si>
    <t>{14160900} Транспортно-экспедиторское обслуживание и охрана груза</t>
  </si>
  <si>
    <t>{14169900} Прочие транспортные услуги</t>
  </si>
  <si>
    <t>{14170100} Работы и услуги по управлению производством и реализацией</t>
  </si>
  <si>
    <t>{14170200} Авторский, государственный и технический надзор</t>
  </si>
  <si>
    <t>{14170300} Услуги по сопровождению производства, послереакторным исследованиям</t>
  </si>
  <si>
    <t>{14180100} Медицинские услуги</t>
  </si>
  <si>
    <t>{14180300} Аттестация рабочих мест</t>
  </si>
  <si>
    <t>{14180400} Дозиметрический контроль</t>
  </si>
  <si>
    <t>{14180700} Дотации на питание работникам организации</t>
  </si>
  <si>
    <t>{14180800} Услуги санаториев по реабилитации работников</t>
  </si>
  <si>
    <t>{14189900} Прочие услуги по охране труда и технике безопасности</t>
  </si>
  <si>
    <t>{14190000} Услуги по промышленной безопасности</t>
  </si>
  <si>
    <t>{14200000} Услуги по проведению природоохранных мероприятий</t>
  </si>
  <si>
    <t>{14210000} Плата за администрирование рынка электроэнергии</t>
  </si>
  <si>
    <t>{14220100} Охрана зданий и помещений</t>
  </si>
  <si>
    <t>{14220300} Услуги по шифрованию</t>
  </si>
  <si>
    <t>{14220900} Прочие услуги охраны</t>
  </si>
  <si>
    <t>{14999900} Прочие услуги (работы) производственного характера</t>
  </si>
  <si>
    <t>{15010000} Урансодержащие сырье и материалы (собственные)</t>
  </si>
  <si>
    <t>{15020000} Урансодержащие полуфабрикаты и комплектующие изделия (собственные)</t>
  </si>
  <si>
    <t>{16020000} Полуфабрикаты и комплектующие изделия (собственные)</t>
  </si>
  <si>
    <t>{16030500} Уголь (собственные)</t>
  </si>
  <si>
    <t>{16030600} Другое топливо (собственные)</t>
  </si>
  <si>
    <t>{16040000} Тара и тарные материалы (собственные)</t>
  </si>
  <si>
    <t>{16050000} Запасные части (собственные)</t>
  </si>
  <si>
    <t>{16060000} Строительные материалы (собственные)</t>
  </si>
  <si>
    <t>{16070000} Инвентарь и хозяйственные принадлежности (собственные)</t>
  </si>
  <si>
    <t>{16080000} Специальная оснастка и специальная одежда (собственные)</t>
  </si>
  <si>
    <t>{16090000} Прочие материалы (собственные)</t>
  </si>
  <si>
    <t>{20020000} Расходы, произведенные в пользу работника, не предусмотренные трудовым договором и (или) коллективным договором</t>
  </si>
  <si>
    <t>{30100000} Пенсионный фонд</t>
  </si>
  <si>
    <t>{30201000} Федеральный фонд обязательного медицинского страхования</t>
  </si>
  <si>
    <t>{30202000} Территориальный фонд обязательного медицинского страхования</t>
  </si>
  <si>
    <t>{30300000} Фонд социального страхования</t>
  </si>
  <si>
    <t>{30400000} Обязательное социальное страхование от несчастных случаев на производстве и профессиональных заболеваний</t>
  </si>
  <si>
    <t>{40010000} Амортизация ОС</t>
  </si>
  <si>
    <t>{40020000} Амортизация НМА</t>
  </si>
  <si>
    <t>{40030000} Амортизация имущества, предоставляемого в пользование (аренда, лизинг)</t>
  </si>
  <si>
    <t>{51010100} Резерв на обеспечение безопасности</t>
  </si>
  <si>
    <t>{51010200} Резерв на вывод из эксплуатации и НИОКР</t>
  </si>
  <si>
    <t>{51010300} Резерв на физическую защиту</t>
  </si>
  <si>
    <t>{51010400} Резерв по обеспечению развития</t>
  </si>
  <si>
    <t>{52010100} Списание на расходы стоимости НИОКР по перечню, установленному Правительством РФ</t>
  </si>
  <si>
    <t>ФГУП "ЦНИИ им. акад. А.Н. Крылова"</t>
  </si>
  <si>
    <t>ФГУП "ЦНИИ К</t>
  </si>
  <si>
    <t>ФГУП ГКНПЦ им.М.В.Хруничева</t>
  </si>
  <si>
    <t>ФГУП НТЦ РХБГ ФМБА России</t>
  </si>
  <si>
    <t>ФГУП Охрана МВД России</t>
  </si>
  <si>
    <t>ФГУП ЦНИИчермет им.И.П.Бардина</t>
  </si>
  <si>
    <t>Федеральное государственное учреждение "Земельная кадастровая палата"</t>
  </si>
  <si>
    <t>Федеральное государственное учреждение "Кадастровая палата" по Московской област</t>
  </si>
  <si>
    <t>Филиал №3 ФБУ "ГВКГ им. Н.Н. Бурденко Минобороны России"</t>
  </si>
  <si>
    <t>Филиал ГУП  Гормедтехника" магазин Медтехника-5"</t>
  </si>
  <si>
    <t>Филиал ОАО "АТЭК" "Краснодартеплоэнерго"</t>
  </si>
  <si>
    <t>Филиал ООО "Газпром трансгаз Саратов" ИТЦ</t>
  </si>
  <si>
    <t>ФИРМА Автогазсистема-Бис ООО</t>
  </si>
  <si>
    <t>ФК по Смоленской области (Управление по технологическому и экологическому надзору Ростехнадзора по С</t>
  </si>
  <si>
    <t>ФКУ Центр специальной связи и информации России во</t>
  </si>
  <si>
    <t>Ф-л ОГУ "ОР" Редакция газеты "Народная газета"</t>
  </si>
  <si>
    <t>ФСТЭК по ЦФО</t>
  </si>
  <si>
    <t>ХАЙТЭК</t>
  </si>
  <si>
    <t>Химтэко</t>
  </si>
  <si>
    <t>ЦЕНТРГАЗ ЗАО</t>
  </si>
  <si>
    <t>Центргаз ОАО</t>
  </si>
  <si>
    <t>ЦЕНТРОГАЗ аренда</t>
  </si>
  <si>
    <t>ЧЕЛЯБИНСКГОРГАЗ</t>
  </si>
  <si>
    <t>ЧЕЛЯБИНСКРЕГИОНГАЗ</t>
  </si>
  <si>
    <t>Читаоблгаз, 7536019006</t>
  </si>
  <si>
    <t>ЭЙТЭКС ООО НТП</t>
  </si>
  <si>
    <t>ЭкоГазЭнерго</t>
  </si>
  <si>
    <t>ЭкоТэк, ООО</t>
  </si>
  <si>
    <t>Электросвет Батайское пр-е объед</t>
  </si>
  <si>
    <t>ЭЛСИБ</t>
  </si>
  <si>
    <t>Элсиб НПО ОАО</t>
  </si>
  <si>
    <t>ЭЛСНАБ</t>
  </si>
  <si>
    <t>Эстэк</t>
  </si>
  <si>
    <t>ЯМАЛГАЗРЕСУРС</t>
  </si>
  <si>
    <t>2330</t>
  </si>
  <si>
    <t>НДС с реализации</t>
  </si>
  <si>
    <t>Себестоимость</t>
  </si>
  <si>
    <t>Проверка правильности расскрытия использования резервов</t>
  </si>
  <si>
    <t>91.03</t>
  </si>
  <si>
    <t>{06} Доходы, полученные в счет будущих периодов, по операциям вывоза, хранения и переработки ОЯТ</t>
  </si>
  <si>
    <t>{99} Прочие доходы, полученные в счет будущих периодов (реализация товаров, работ, услуг)</t>
  </si>
  <si>
    <t>Статьи доходов будущих периодов</t>
  </si>
  <si>
    <t>200</t>
  </si>
  <si>
    <t>310</t>
  </si>
  <si>
    <t>330</t>
  </si>
  <si>
    <t>360</t>
  </si>
  <si>
    <t>410</t>
  </si>
  <si>
    <t>420</t>
  </si>
  <si>
    <t>Выбытие:
Передача в качестве взноса в УК других организаций</t>
  </si>
  <si>
    <t>Счет 63. Резервы по сомнительной дебиторской задолженности</t>
  </si>
  <si>
    <t>Наименование контрагента (Эмитент ценной бумаги)</t>
  </si>
  <si>
    <t>9015_9016</t>
  </si>
  <si>
    <t>9016_2112_2113_9020</t>
  </si>
  <si>
    <t>Направление средств на увеличение уставного капитала (80)</t>
  </si>
  <si>
    <t>2660</t>
  </si>
  <si>
    <t>Возмещение из внебюджетного фонда</t>
  </si>
  <si>
    <t>Поступление со счета 08</t>
  </si>
  <si>
    <t>Использование резерва</t>
  </si>
  <si>
    <t xml:space="preserve">Незавершенное строительство (Приобретение и создание основных средств) </t>
  </si>
  <si>
    <t>Незавершенное строительство (Приобретение отдельных объектов основных средств, предназначенных для сдачи в аренду) 1С_ФСД</t>
  </si>
  <si>
    <t>Создание нематериальных поисковых активов</t>
  </si>
  <si>
    <t>Создание материальных поисковых активов</t>
  </si>
  <si>
    <t>Приобретение и создание нематериальных активов</t>
  </si>
  <si>
    <t>F_M0504</t>
  </si>
  <si>
    <t xml:space="preserve"> Дт 99</t>
  </si>
  <si>
    <t xml:space="preserve"> Кт 99</t>
  </si>
  <si>
    <t>Дт 99</t>
  </si>
  <si>
    <t>Кт 99</t>
  </si>
  <si>
    <t>Выбытие: Реализация  Дт 45 (право собственности не перешло)</t>
  </si>
  <si>
    <t xml:space="preserve">Счет 97.01. Расходы будущих периодов. </t>
  </si>
  <si>
    <t>v1</t>
  </si>
  <si>
    <t>ОАО "Газавтоматика"</t>
  </si>
  <si>
    <t>ОАО "Газпром газораспределение Великий Новгород"</t>
  </si>
  <si>
    <t>ОАО "Газпром газэнергосеть"</t>
  </si>
  <si>
    <t>ОАО "Газпром нефть"</t>
  </si>
  <si>
    <t>ОАО "Газпром"</t>
  </si>
  <si>
    <t>ОАО "Газпромнефть - ОНПЗ"</t>
  </si>
  <si>
    <t>ОАО "Газпромнефть-Урал"</t>
  </si>
  <si>
    <t>ОАО "Генерирующая компания"</t>
  </si>
  <si>
    <t>ОАО "Дальтехгаз"</t>
  </si>
  <si>
    <t>ОАО "Екатеринбурггаз"</t>
  </si>
  <si>
    <t>ОАО "Екатеринбургэнергосбыт"</t>
  </si>
  <si>
    <t>ОАО "Енисейская ТГК (ТГК-13)</t>
  </si>
  <si>
    <t>ОАО "Запсибгазпром Филиал Отраслевой институт "ОМСКГАЗТЕХНОЛОГИЯ"</t>
  </si>
  <si>
    <t>ОАО "ИНТЕР РАО Электрогенерация"</t>
  </si>
  <si>
    <t>ОАО "Ипотечное агенство Республики Татарстан "</t>
  </si>
  <si>
    <t>ОАО "Калмэнергосбыт"</t>
  </si>
  <si>
    <t>ОАО "КАРАЧАЕВО-ЧЕРКЕССКЭНЕРГО"</t>
  </si>
  <si>
    <t>ОАО "Катализатор"</t>
  </si>
  <si>
    <t>ОАО "Комигаз"</t>
  </si>
  <si>
    <t>ОАО "Краснодаргазстрой"</t>
  </si>
  <si>
    <t>ОАО "КРАСНОДАРНЕФТЕГАЗСТРОЙ"</t>
  </si>
  <si>
    <t>ОАО "Красноярсккрайгаз"</t>
  </si>
  <si>
    <t>ОАО "Красноярскэнергосбыт"</t>
  </si>
  <si>
    <t>ОАО "Кубанская энергосбытовая компания"</t>
  </si>
  <si>
    <t>ОАО "Курганская генерирующая компания"</t>
  </si>
  <si>
    <t>ОАО "Ленгазспецстрой"</t>
  </si>
  <si>
    <t>ОАО "Ленэнерго"</t>
  </si>
  <si>
    <t>ОАО "ЛИНДЕ УРАЛТЕХГАЗ"</t>
  </si>
  <si>
    <t>ОАО "Межрегионэнергосбыт"</t>
  </si>
  <si>
    <t>ОАО "Мобильные газотурбинные электрост."</t>
  </si>
  <si>
    <t>ОАО "Мосэнерго"</t>
  </si>
  <si>
    <t>ОАО "МОЭК"</t>
  </si>
  <si>
    <t>ОАО "МРСК Волги"</t>
  </si>
  <si>
    <t>ОАО "МРСК Северо-Запада"</t>
  </si>
  <si>
    <t>ОАО "МРСК УРАЛА"</t>
  </si>
  <si>
    <t>ОАО "МРСК Юга"</t>
  </si>
  <si>
    <t>ОАО "НПП Газосварочные аппараты - XXI  век"</t>
  </si>
  <si>
    <t>ОАО "НТЦ Ратэк"</t>
  </si>
  <si>
    <t>ОАО "ОБНИНСКГОРГАЗ"</t>
  </si>
  <si>
    <t>ОАО "Оборонэнергосбыт"</t>
  </si>
  <si>
    <t>ОАО "Оргэнергогаз"</t>
  </si>
  <si>
    <t>ОАО "ПЕТЕРБУРГСКАЯ СБЫТОВАЯ КОМПАНИЯ"</t>
  </si>
  <si>
    <t>ОАО "Псковэнергосбыт"</t>
  </si>
  <si>
    <t>ОАО "Ремонтно-эксплуатационное управление" Филиал ОАО "РЭУ" "Владимирский"</t>
  </si>
  <si>
    <t>ОАО "РЖД-ЗДОРОВЬЕ"</t>
  </si>
  <si>
    <t>ОАО "Ростовоблгаз"</t>
  </si>
  <si>
    <t>ОАО "Саранскмежрайгаз"</t>
  </si>
  <si>
    <t>ОАО "Саратовгаз"</t>
  </si>
  <si>
    <t>ОАО "Саратовэнерго"</t>
  </si>
  <si>
    <t>ОАО "Сбербанка России"</t>
  </si>
  <si>
    <t>ОАО "СВЕРДЛОВСКОБЛГАЗ"</t>
  </si>
  <si>
    <t>ОАО "Сибтехгаз" им.Кима Ф.И.</t>
  </si>
  <si>
    <t>ОАО "Смоленскоблгаз"</t>
  </si>
  <si>
    <t>Ассоциация газотурбинных технологий для энергетиков и промышленности</t>
  </si>
  <si>
    <t>Ассоциация Нижегородских Газовиков ООО</t>
  </si>
  <si>
    <t>Атэк ЗАО НПФ</t>
  </si>
  <si>
    <t>АУКО "РЕДАКЦИЯ ГАЗЕТЫ "КУРСКАЯ ПРАВДА""</t>
  </si>
  <si>
    <t>АУКО "Редакция газеты "Слово"</t>
  </si>
  <si>
    <t>{1220700} Доходы в виде сумм восстановленных резервов под обесценение долговых ценных бумаг, приобретенных для торговли</t>
  </si>
  <si>
    <t>Балаково,ФГУЗ ЦГ и Э N 156 ФМБА России</t>
  </si>
  <si>
    <t>{1220800} Доходы в виде сумм восстановленных резервов под обесценение долговых ценных бумаг, приобретенных для прочих целей</t>
  </si>
  <si>
    <t>{1220900} Доходы в виде сумм восстановленных резервов под обесценение прочих финансовых вложений</t>
  </si>
  <si>
    <t>Банк Москвы</t>
  </si>
  <si>
    <t>Башкирское открытое акционерное общество энергетики и электрификации "Башкирэнерго"</t>
  </si>
  <si>
    <t>ВГТРК</t>
  </si>
  <si>
    <t>ВИТ-ТЕХГАЗ</t>
  </si>
  <si>
    <t>Владимир-Газэнергосеть ООО</t>
  </si>
  <si>
    <t>Владимиргоргаз Трест(Владимир)</t>
  </si>
  <si>
    <t>{1240000} Доходы в виде сумм восстановленных отраслевых резервов</t>
  </si>
  <si>
    <t>Внешэкономбанк</t>
  </si>
  <si>
    <t>{1260000} Доходы от поступления дебиторской задолженности, списанной в прошлые годы</t>
  </si>
  <si>
    <t>ВНИИНМАШ</t>
  </si>
  <si>
    <t>ВНИИФТРИ ФГУП</t>
  </si>
  <si>
    <t>{1300100} Доходы, связанные с имуществом и денежными средствами, полученными из федерального, региональных и местных бюджетов (в рамках инвестиционной деятельности)</t>
  </si>
  <si>
    <t>{14} Признание целевого финансирования на приобретение финансовых вложений</t>
  </si>
  <si>
    <t>Волгатрансгаз</t>
  </si>
  <si>
    <t>{1300200} Доходы, связанные с имуществом и денежными средствами, полученными из федерального, региональных и местных бюджетов (в рамках операционной и финансовой деятельности)</t>
  </si>
  <si>
    <t>{1190200} Доходы от возмещения убытков, причиненных неисполнением или ненадлежащим исполнением обязательства</t>
  </si>
  <si>
    <t>АОА "ОГК-3"</t>
  </si>
  <si>
    <t>{2680000} Расходы на проведение наблюдательного совета, совета директоров</t>
  </si>
  <si>
    <t>Каббалкэнерго</t>
  </si>
  <si>
    <t>{2690000} Расходы ревизионной комиссии</t>
  </si>
  <si>
    <t>Кавказэнергогазмонтаж</t>
  </si>
  <si>
    <t>{2710200} Амортизация НМА</t>
  </si>
  <si>
    <t>Калугазнергоремонт</t>
  </si>
  <si>
    <t>{2720200} Расходы на НИОКР и ПИР с положительным результатом, не соответствующие критериям признания активов</t>
  </si>
  <si>
    <t>Катайский лесхоз</t>
  </si>
  <si>
    <t>{2730100} НДС, исчисленный при неподтверждении ставки 0% и не принимаемый к вычету</t>
  </si>
  <si>
    <t>Каширская ГРЭС - филиал ОАО "ОГК - 1"</t>
  </si>
  <si>
    <t>{2730200} НДС по списанной кредиторской задолженности</t>
  </si>
  <si>
    <t>{2740000} Расходы на Специальные экологические программы</t>
  </si>
  <si>
    <t>{2750000} Затраты на аннулированные производственные заказы</t>
  </si>
  <si>
    <t>Комитет имущественных отношений Администрации г.Подольска</t>
  </si>
  <si>
    <t>{2770000} Потери от простоев по внутрипроизводственным причинам</t>
  </si>
  <si>
    <t>КОНТРАГЕНТ НЕ НОРМАЛИЗОВАНФИЛИАЛ ООО "УРАЛТРАНСГАЗ" НЕВЬЯНСКОЕ ЛПУ МГ</t>
  </si>
  <si>
    <t>{2780000} Некомпенсируемые потери от простоев по внешним причинам</t>
  </si>
  <si>
    <t>{2810000} Расходы, не возмещаемые за счет целевых источников финансирования</t>
  </si>
  <si>
    <t>КРИОГАЗ</t>
  </si>
  <si>
    <t>{2820000} Сумма расходов на освоение природных ресурсов, отнесенных в отчетном периоде на прочие расходы как безрезультатные</t>
  </si>
  <si>
    <t>{2830000} Комиссия биржи, клиринговой организации, брокера</t>
  </si>
  <si>
    <t>{2840000} Отрицательная вариационная маржа</t>
  </si>
  <si>
    <t>Курск Центр "ТЭК и энергосбережение ЦЧР"</t>
  </si>
  <si>
    <t>Курская Торгово-Промышленная палата</t>
  </si>
  <si>
    <t>Лагуна ТЭК ООО</t>
  </si>
  <si>
    <t>{2870000} Расходы от предоставления товарных займов</t>
  </si>
  <si>
    <t>{2880000} Расходы от получения товарных займов</t>
  </si>
  <si>
    <t>Леноблгаз (ф-л "Всеволожскмежрайгаз")</t>
  </si>
  <si>
    <t>ЛенЭнергоМаш, ООО</t>
  </si>
  <si>
    <t>{3040000} НДС на доходы от реализации НМА</t>
  </si>
  <si>
    <t>ЛигнаТэк ООО</t>
  </si>
  <si>
    <t>{3050000} НДС на доходы от реализации незавершенного строительства</t>
  </si>
  <si>
    <t>{3110100} НДС на доходы от реализации прочих активов</t>
  </si>
  <si>
    <t>ЛПУ ГАЗ</t>
  </si>
  <si>
    <t>МАУ "Редакция газеты "НИВА"</t>
  </si>
  <si>
    <t>{3141000} НДС на товары (работы, услуги) обслуживающих хозяйств</t>
  </si>
  <si>
    <t>Межрегионгаз Газпром Москва ООО</t>
  </si>
  <si>
    <t>{3190000} НДС на доходы в виде санкций за нарушение договорных обязательств</t>
  </si>
  <si>
    <t>{3200000} НДС с курсовых разниц</t>
  </si>
  <si>
    <t>Метрогазцентр ООО</t>
  </si>
  <si>
    <t>МетЭкс</t>
  </si>
  <si>
    <t>Метэкспо ЗАО</t>
  </si>
  <si>
    <t>Метэкспо ОАО</t>
  </si>
  <si>
    <t>Метэк-Энерго ПКФ ООО</t>
  </si>
  <si>
    <t>Мид России</t>
  </si>
  <si>
    <t>МИНИСТЕРСТВО</t>
  </si>
  <si>
    <t>Министерство обороны РФ</t>
  </si>
  <si>
    <t>Министерство образования и науки РФ</t>
  </si>
  <si>
    <t>МИНИСТЕРСТВО ПРИРОДНЫХ РЕСУРСОВ И О</t>
  </si>
  <si>
    <t>Министерство Финансов Республики Татарстан( ГБУ "Управление рационального использования ТЭР"</t>
  </si>
  <si>
    <t>Минобороны России</t>
  </si>
  <si>
    <t>Минпромторг России</t>
  </si>
  <si>
    <t>МИФНс по крупнейшим налогоплательщикам по Московской области</t>
  </si>
  <si>
    <t>МКПРедакция газеты Неманские вести МП</t>
  </si>
  <si>
    <t>МО МВД России "Удомельский"</t>
  </si>
  <si>
    <t>Московское МТУ Ростехнадзора</t>
  </si>
  <si>
    <t>Московско-Ку</t>
  </si>
  <si>
    <t>Московско-Курский региональный Центр связи дрожной дирекции связи Моск.Ж.Д. филиал ОАО "РЖД"</t>
  </si>
  <si>
    <t>МОСЭНЕРГОСБЫТ-ЭЛЕКТРОСТАЛЬ</t>
  </si>
  <si>
    <t>МП БМР ОФ "Росинка"</t>
  </si>
  <si>
    <t>МП ЖКХ БИЛИБИНСКОГО МУНИЦИПАЛЬНОГО РАЙОНА</t>
  </si>
  <si>
    <t>МРСК Центра и Приволжья</t>
  </si>
  <si>
    <t>МРСК Центра ОАО</t>
  </si>
  <si>
    <t>МСЧ-118</t>
  </si>
  <si>
    <t>МУ "Редакция газеты "Городское время"</t>
  </si>
  <si>
    <t>МУ "Управление коммунального хозяйства и связи г.Катав-Ивановска</t>
  </si>
  <si>
    <t>МУК "Городской центр досуга"</t>
  </si>
  <si>
    <t>Мультигаз Компания ООО</t>
  </si>
  <si>
    <t>Муниципальное бюджетное учреждение "Центр эксплуатационного обслуживания и обеспечения деятельности</t>
  </si>
  <si>
    <t>Муниципальное унитарное предприятие "Городские тепловые сети"</t>
  </si>
  <si>
    <t>Муниципальное унитарное торговое предприятие магазин № 3 Юбилейный</t>
  </si>
  <si>
    <t>МУП "Аквасервис"</t>
  </si>
  <si>
    <t>МУП "Водоканал"</t>
  </si>
  <si>
    <t>МУП "Редакция газеты "Городской курьер"</t>
  </si>
  <si>
    <t>МУП "РЕДАКЦИЯ ГАЗЕТЫ "ОЗЕРСКИЙ ВЕСТНИК" Г. ОЗЕРСКА</t>
  </si>
  <si>
    <t>МУП городского округа г.Воронеж"Редакция газеты Берег"</t>
  </si>
  <si>
    <t>МУП НГО "НОВОУРАЛЬСКГАЗ"</t>
  </si>
  <si>
    <t>МУП РЕДАКЦИЯ ГАЗЕТЫ КРАСНОЕ ЗНАМЯ</t>
  </si>
  <si>
    <t>МУП Удомельские коммунальные системы</t>
  </si>
  <si>
    <t>Мурманоблгаз</t>
  </si>
  <si>
    <t>МЭП-филиал ОАО "ТЭК Мосэнерго"</t>
  </si>
  <si>
    <t>МЮКАТЭКС</t>
  </si>
  <si>
    <t>Ната ООО</t>
  </si>
  <si>
    <t>Натальинская коммунальная служба</t>
  </si>
  <si>
    <t>НефтеГазАкти</t>
  </si>
  <si>
    <t>Нефтегазгеофизика</t>
  </si>
  <si>
    <t>Нефтегаздиагностика</t>
  </si>
  <si>
    <t>Нефтегазмаш</t>
  </si>
  <si>
    <t>Нефтегазпроект ООО</t>
  </si>
  <si>
    <t>Нефтегазхимкомплект ООО</t>
  </si>
  <si>
    <t>НефтеХимГаз ТК ООО</t>
  </si>
  <si>
    <t>Нижегородоблгаз</t>
  </si>
  <si>
    <t>Нижне-Волжское бассейновое водное управление</t>
  </si>
  <si>
    <t>НИПИстатинформ Росстата</t>
  </si>
  <si>
    <t>НиТЭК</t>
  </si>
  <si>
    <t>НИЦ "Курчатовский институт"</t>
  </si>
  <si>
    <t>ННО Южно-Уральская торгово-промышленная палата</t>
  </si>
  <si>
    <t>НОВАТЭК-ЧЕЛЯБИНСК</t>
  </si>
  <si>
    <t>НОРТЭКС ООО</t>
  </si>
  <si>
    <t>НОУ СПО ТЭК ОАО "МОЭК"</t>
  </si>
  <si>
    <t>Ноябрьская парогазовая электрическая станция ООО</t>
  </si>
  <si>
    <t>НП "ТЭКтест-67"</t>
  </si>
  <si>
    <t>НП"Уральская Палата Готового Бизнеса"</t>
  </si>
  <si>
    <t>НПП НОБИГАЗ</t>
  </si>
  <si>
    <t>НТЦ "Атлас"</t>
  </si>
  <si>
    <t>НУЗ "Дорожная клиническая больница на ст. Саратов - II ОАО "РЖД"</t>
  </si>
  <si>
    <t>НУЗ "Центральная клиническая больница № 2 им. Н. А. Семашко" ОАО "РЖД"</t>
  </si>
  <si>
    <t>ОАО  “ТЭК АльянсАвтоРегион”</t>
  </si>
  <si>
    <t>ОАО "АЛРОСА-Газ"</t>
  </si>
  <si>
    <t>ОАО "АЛТАЙЭНЕРГОСБЫТ"</t>
  </si>
  <si>
    <t>ОАО "АНХК"</t>
  </si>
  <si>
    <t>ОАО "ВАЭС"</t>
  </si>
  <si>
    <t>ОАО "Волжская ТГК"</t>
  </si>
  <si>
    <t>ОАО "ВТБ-Лизинг"</t>
  </si>
  <si>
    <t>ОАО "Вторая оптовая генерирующая компания" (ОГК-2)</t>
  </si>
  <si>
    <t>ОАО "Страховая компания "Согаз-Мед"</t>
  </si>
  <si>
    <t>ОАО "Строительно-промышленная компания Мосэнергострой"</t>
  </si>
  <si>
    <t>ОАО "Стройтрансгаз"</t>
  </si>
  <si>
    <t>ОАО "Сургутнефтегаз"</t>
  </si>
  <si>
    <t>ОАО "Тамбовская энергосбытовая компания"</t>
  </si>
  <si>
    <t>ОАО "Татэнергосбыт"</t>
  </si>
  <si>
    <t>ОАО "ТГК-1"</t>
  </si>
  <si>
    <t>ОАО "ТГК-14"</t>
  </si>
  <si>
    <t>ОАО "ТГК-16"</t>
  </si>
  <si>
    <t>ОАО "Территориальная генерирующая компания №2"</t>
  </si>
  <si>
    <t>ОАО "Террит-я генерирующая компания  11"</t>
  </si>
  <si>
    <t>ОАО "Тываэнерго"</t>
  </si>
  <si>
    <t>ОАО "Тываэнергосбыт"</t>
  </si>
  <si>
    <t>ОАО "ТЭК"</t>
  </si>
  <si>
    <t>ОАО "ТЮМЕНСКАЯ ЭНЕРГОСБЫТОВАЯ КОМПАНИЯ"</t>
  </si>
  <si>
    <t>ОАО "Тюменьэнергосбыт"</t>
  </si>
  <si>
    <t>ОАО "Удмурт.энергосбытовая компания"</t>
  </si>
  <si>
    <t>ОАО "ФСК ЕЭС"</t>
  </si>
  <si>
    <t>ОАО "Чувашсетьгаз"</t>
  </si>
  <si>
    <t>ОАО "Чувашская энергосбытовая компания"</t>
  </si>
  <si>
    <t>ОАО "ЧУКОТЭНЕРГО"</t>
  </si>
  <si>
    <t>ОАО "ЭлС"</t>
  </si>
  <si>
    <t>ОАО "Янтарьэнерго"</t>
  </si>
  <si>
    <t>ОАО "Янтарьэнергосбыт"</t>
  </si>
  <si>
    <t>ОАО Банк "ВТБ"</t>
  </si>
  <si>
    <t>ОАО ГАЗПРОМ</t>
  </si>
  <si>
    <t>ОАО ГАЗпромнефть-Челябинск</t>
  </si>
  <si>
    <t>ОАО Гипрогазцентр</t>
  </si>
  <si>
    <t>ОАО Гипроспецгаз</t>
  </si>
  <si>
    <t>ОАО МНИИЭКО ТЭК</t>
  </si>
  <si>
    <t>ОАО МФ "ГипроНИИгаз"</t>
  </si>
  <si>
    <t>ОАО ОГК-6</t>
  </si>
  <si>
    <t>ОАО РПД "Радуга"</t>
  </si>
  <si>
    <t>ОАО Саровская газоснабжающая компания</t>
  </si>
  <si>
    <t>ОАО 'Сибирьгазсервис'</t>
  </si>
  <si>
    <t>ОАО Федеральная гидрогенерирующая компания</t>
  </si>
  <si>
    <t>ОАО ФСК "ГазХимстройИнвест"</t>
  </si>
  <si>
    <t>ОАО"Газпром нефтехим Салават"</t>
  </si>
  <si>
    <t>ОАО"Карелгаз"</t>
  </si>
  <si>
    <t>Обособленное подразделение филиала ООО "РОСТЭК-Приволжье" "РОСТЭК-Пенза" в г. Саранске</t>
  </si>
  <si>
    <t>Общественная организация "Республиканское химическое общество им.Д.И.Менделеева Татарстана"</t>
  </si>
  <si>
    <t>Общество с ограниченной ответственностью "Газпромсервис"</t>
  </si>
  <si>
    <t>Общество с ограниченной ответственностью "Грата Продакшн"</t>
  </si>
  <si>
    <t>Общество с ограниченной ответственностью "ИНСТЭК"</t>
  </si>
  <si>
    <t>Общество с ограниченной ответственностью "ИНТЕР РАО - Орловский энергосбыт"</t>
  </si>
  <si>
    <t>Общество с ограниченной ответственностью "Новоуральская энергосбытовая компания"</t>
  </si>
  <si>
    <t>{2020000} Расходы по совместной деятельности</t>
  </si>
  <si>
    <t>{21} Прочие расходы в составе EBITDA</t>
  </si>
  <si>
    <t>ГазКом ТД</t>
  </si>
  <si>
    <t>ГАЗОВИК-РЕАЛ</t>
  </si>
  <si>
    <t>{2030200} Прочие расходы, связанные с реализацией ОС</t>
  </si>
  <si>
    <t>Газотурбинные технологии</t>
  </si>
  <si>
    <t>{2040100} Остаточная стоимость реализуемых НМА</t>
  </si>
  <si>
    <t>Газпроект 1</t>
  </si>
  <si>
    <t>{2040200} Прочие расходы, связанные с реализацией НМА</t>
  </si>
  <si>
    <t>Газпроектинжиниринг ДОАО</t>
  </si>
  <si>
    <t>ГАЗПРОМ</t>
  </si>
  <si>
    <t>Газпром ВНИИГАЗ</t>
  </si>
  <si>
    <t>Газпром инве</t>
  </si>
  <si>
    <t>Газпром межрегионгаз Нижний Новгород</t>
  </si>
  <si>
    <t>Газпром межрегионгаз Тверь ООО</t>
  </si>
  <si>
    <t>{2060600} Расходы, связанные с реализацией лома и отходов, содержащих драгоценные металлы и камни</t>
  </si>
  <si>
    <t>Газпром Промгаз</t>
  </si>
  <si>
    <t>Газпром сера, 7701776877</t>
  </si>
  <si>
    <t>ГАЗПРОМ ТРАНСГАЗ МОСКВА</t>
  </si>
  <si>
    <t>{2070140} Стоимость реализованных паев (долей) в УК зависимых организаций</t>
  </si>
  <si>
    <t>{2070160} Стоимость реализованных паев (долей) в УК прочих организаций</t>
  </si>
  <si>
    <t>Газпромбанк АБ ЗАО</t>
  </si>
  <si>
    <t>{2070220} Прочие расходы, связанные с реализацией паев (долей) в УК дочерних организаций</t>
  </si>
  <si>
    <t>{2070240} Прочие расходы, связанные с реализацией паев (долей) в УК зависимых организаций</t>
  </si>
  <si>
    <t>{2070260} Прочие расходы, связанные с реализацией паев (долей) в УК прочих организаций</t>
  </si>
  <si>
    <t>Газпромнефть-Нижний Новгород</t>
  </si>
  <si>
    <t>Газпромнефть-Новосибирск</t>
  </si>
  <si>
    <t>{2080110} Стоимость реализованных государственных и муниципальных ценных бумаг</t>
  </si>
  <si>
    <t>Газпром-Строй ООО</t>
  </si>
  <si>
    <t>{2080120} Стоимость реализованных банковских облигаций</t>
  </si>
  <si>
    <t>ГАЗПРОМСТРОЙИНВЕСТ ООО</t>
  </si>
  <si>
    <t>{2080130} Стоимость реализованных банковских векселей</t>
  </si>
  <si>
    <t>Газ-сервис ООО</t>
  </si>
  <si>
    <t>{2080140} Стоимость реализованных векселей прочих эмитентов</t>
  </si>
  <si>
    <t>Газстройдеталь " ОАО "Газпром"</t>
  </si>
  <si>
    <t>{2080150} Стоимость реализованных облигаций прочих эмитентов</t>
  </si>
  <si>
    <t>{2080160} Стоимость векселя при предъявлении к погашению</t>
  </si>
  <si>
    <t>{2080210} Прочие расходы, связанные с реализацией государственных и муниципальных ценных бумаг</t>
  </si>
  <si>
    <t>ГазТеплоСтрой ООО ПКП</t>
  </si>
  <si>
    <t>{2080220} Прочие расходы, связанные с реализацией банковских облигаций</t>
  </si>
  <si>
    <t>{2080230} Прочие расходы, связанные с реализацией банковских векселей</t>
  </si>
  <si>
    <t>{2080240} Прочие расходы, связанные с реализацией векселей прочих эмитентов</t>
  </si>
  <si>
    <t>Газэнергостройхолдинг, ООО</t>
  </si>
  <si>
    <t>{2080250} Прочие расходы, связанные с реализацией облигаций прочих эмитентов</t>
  </si>
  <si>
    <t>ГАУ НСО "Редакция газеты "Советская</t>
  </si>
  <si>
    <t>{2090110} Стоимость переуступаемых прав требований до наступления срока платежа</t>
  </si>
  <si>
    <t>ГБУ "Ковровский медицинский колледж"</t>
  </si>
  <si>
    <t>{2090120} Стоимость переуступаемых прав требований после наступления срока платежа</t>
  </si>
  <si>
    <t>ГБУ СО "Редакция газеты "Областная газета"</t>
  </si>
  <si>
    <t>{2090130} Стоимость переуступаемых прав требований как реализации финансовых услуг</t>
  </si>
  <si>
    <t>ГБУ СПО Владимирской области "Ковровский промышлен</t>
  </si>
  <si>
    <t>{2090210} Прочие расходы, связанные с переуступкой прав требований до наступления срока платежа</t>
  </si>
  <si>
    <t>ГБУ ЦГиЭ   118 ФМБА России</t>
  </si>
  <si>
    <t>{2090220} Прочие расходы, связанные с переуступкой прав требований после наступления срока платежа</t>
  </si>
  <si>
    <t>Гидропротэк НТЦ ООО</t>
  </si>
  <si>
    <t>{2090230} Прочие расходы, связанные с переуступкой прав требований как реализации финансовых услуг</t>
  </si>
  <si>
    <t>ГИН СО РАН</t>
  </si>
  <si>
    <t>{2100000} Расходы, связанные с реализацией прочих финансовых вложений</t>
  </si>
  <si>
    <t>Гипрониигаз - учебный центр</t>
  </si>
  <si>
    <t>{2110100} Остаточная стоимость прочих активов</t>
  </si>
  <si>
    <t>{2110200} Прочие расходы, связанные с реализацией прочих активов</t>
  </si>
  <si>
    <t>ГК "АГЕНТСТВО ПО СТРАХОВАНИЮ ВКЛАДОВ"</t>
  </si>
  <si>
    <t>Главное управление Федеральной регистрационной службы по Московской области</t>
  </si>
  <si>
    <t>Главный центр специальной связи ФГУП</t>
  </si>
  <si>
    <t>ИЦ РГЦ</t>
  </si>
  <si>
    <t>Красная Звезда</t>
  </si>
  <si>
    <t>Краун</t>
  </si>
  <si>
    <t>Маяк</t>
  </si>
  <si>
    <t>ФГУП "Производственное объединение "Маяк"</t>
  </si>
  <si>
    <t>Молния</t>
  </si>
  <si>
    <t>МСЗ</t>
  </si>
  <si>
    <t>Наука и инновации</t>
  </si>
  <si>
    <t>НИИГрафит</t>
  </si>
  <si>
    <t>НЗХК-Инструмент</t>
  </si>
  <si>
    <t>НЗХК-Энергия</t>
  </si>
  <si>
    <t>НИИП</t>
  </si>
  <si>
    <t>НИИЭФА</t>
  </si>
  <si>
    <t>НИКИМТ-Атомстрой</t>
  </si>
  <si>
    <t>НИТИ</t>
  </si>
  <si>
    <t>НИФХИ</t>
  </si>
  <si>
    <t>НПО Луч</t>
  </si>
  <si>
    <t>НПО РИ</t>
  </si>
  <si>
    <t>НО РАО</t>
  </si>
  <si>
    <t>ФГУП "Национальный оператор по обращению с радиоактивными отходами"</t>
  </si>
  <si>
    <t>НТЦ ЯФИ</t>
  </si>
  <si>
    <t>Обесп РФЯЦ-ВНИИЭФ</t>
  </si>
  <si>
    <t>ОИК</t>
  </si>
  <si>
    <t>ОК РСК</t>
  </si>
  <si>
    <t>ПО Север</t>
  </si>
  <si>
    <t>ППГХО</t>
  </si>
  <si>
    <t>ПСЗ</t>
  </si>
  <si>
    <t>ПСР</t>
  </si>
  <si>
    <t>РБМ</t>
  </si>
  <si>
    <t>Русатом Сервис</t>
  </si>
  <si>
    <t>РСП</t>
  </si>
  <si>
    <t>РЭМКО</t>
  </si>
  <si>
    <t>Сайпрус</t>
  </si>
  <si>
    <t>ATOMENERGOMASH CYPRUS LIMITED ЧК "Атомэнергомаш Сайпрус Лимитед"</t>
  </si>
  <si>
    <t>СвердНИИхиммаш</t>
  </si>
  <si>
    <t>СГК</t>
  </si>
  <si>
    <t>СНИИП</t>
  </si>
  <si>
    <t>Общество с ограниченной ответственностью "РОСТЭК ГРУПП"</t>
  </si>
  <si>
    <t>ОБЩЕСТВО С ОГРАНИЧЕННОЙ ОТВЕТСТВЕННОСТЬЮ "ТЕХНИЧЕСКИЙ ЦЕНТР ТОМСКАВТОГАЗСЕРВИСА"</t>
  </si>
  <si>
    <t>ОБЩЕСТВО С ОГРАНИЧЕННОЙ ОТВЕТСТВЕННОСТЬЮ "ТОМСКГАЗПРОМГЕОФИЗИКА"</t>
  </si>
  <si>
    <t>ОБЩЕСТВО С ОГРАНИЧЕННОЙ ОТВЕТСТВЕННОСТЬЮ "ЮРТЭК"</t>
  </si>
  <si>
    <t>ОБЩЕСТВО С ОГРАНИЧЕННОЙ ОТВЕТСТВЕННОСТЬЮ НАУЧНО-ПРОИЗВОДСТВЕННОЕ ОБЪЕДИНЕНИЕ "ЭЛТЭК ИРКУТСК"</t>
  </si>
  <si>
    <t>ОО "Газпром трансгаз Югорск"</t>
  </si>
  <si>
    <t>ООО  "Гермес-газ"</t>
  </si>
  <si>
    <t>ООО  ИД "АСТЭК"</t>
  </si>
  <si>
    <t>ООО " НПФ Новатэк"</t>
  </si>
  <si>
    <t>ООО "Автогаз"</t>
  </si>
  <si>
    <t>ООО "Автогаз01"</t>
  </si>
  <si>
    <t>ООО "АвтоГАЗ-Гарант"</t>
  </si>
  <si>
    <t>ООО "АВТОГАЗСЕРВИС"</t>
  </si>
  <si>
    <t>ООО "АВТЭК"</t>
  </si>
  <si>
    <t>ООО "Агригазполимер"</t>
  </si>
  <si>
    <t>ООО "Агрисовгаз"</t>
  </si>
  <si>
    <t>ООО "АКВИ ТЭК"</t>
  </si>
  <si>
    <t>ООО "АКТИДАТА"</t>
  </si>
  <si>
    <t>ООО "Алдангазсервис"</t>
  </si>
  <si>
    <t>ООО "АЛТАЙГАЗДИАГНОСТИКА"</t>
  </si>
  <si>
    <t>ООО "Альтгаз"</t>
  </si>
  <si>
    <t>ООО "Альтэк"</t>
  </si>
  <si>
    <t>ООО "Ансертэко"</t>
  </si>
  <si>
    <t>ООО "Армагаз СПб"</t>
  </si>
  <si>
    <t>ООО "АСЦ Сварка СтройТЭК"</t>
  </si>
  <si>
    <t>ООО "Атанор"</t>
  </si>
  <si>
    <t>ООО "АТЭК"</t>
  </si>
  <si>
    <t>ООО "АТЭКС"</t>
  </si>
  <si>
    <t>ООО "АТЭКС-Электро"</t>
  </si>
  <si>
    <t>ООО "Базисгазпоставка"</t>
  </si>
  <si>
    <t>ООО "Барнаулгазспецстрой"</t>
  </si>
  <si>
    <t>ООО "Бекар-Эксплуатация"</t>
  </si>
  <si>
    <t>ООО "Бинатэкс"</t>
  </si>
  <si>
    <t>ООО "Владимирская энергосбытовая компания "ВЭСК"</t>
  </si>
  <si>
    <t>ООО "ВладТэк"</t>
  </si>
  <si>
    <t>ООО "ВНИИЭФ-ВОЛГОГАЗ"</t>
  </si>
  <si>
    <t>ООО "Воронежавтогазсервис"</t>
  </si>
  <si>
    <t>ООО "ВОСТОКГАЗПРОМГЕОФИЗИКА"</t>
  </si>
  <si>
    <t>ООО "Восточная межрегиональная газовая компания</t>
  </si>
  <si>
    <t>ООО "ВСТЭК"</t>
  </si>
  <si>
    <t>ООО "ВЭЛС"</t>
  </si>
  <si>
    <t>ООО "ГАЗ"</t>
  </si>
  <si>
    <t>ООО "ГАЗавторемонт"</t>
  </si>
  <si>
    <t>ООО "Газета авось-ка"</t>
  </si>
  <si>
    <t>ООО "Газкомп</t>
  </si>
  <si>
    <t>ООО "Газмонтажпроект"</t>
  </si>
  <si>
    <t>ООО "Газпоставка"</t>
  </si>
  <si>
    <t>ООО "Газпром газнадзор"</t>
  </si>
  <si>
    <t>ООО "Газпром газобезопасность"</t>
  </si>
  <si>
    <t>ООО "Газпром добыча Астрахань"</t>
  </si>
  <si>
    <t>ООО "Газпром добыча Ноябрьск"</t>
  </si>
  <si>
    <t>ООО "Газпром добыча Оренбург"</t>
  </si>
  <si>
    <t>ООО "Газпром добыча Уренгой"</t>
  </si>
  <si>
    <t>ООО "Газпром добыча Ямбург"</t>
  </si>
  <si>
    <t>ООО "Газпром межрегионгаз</t>
  </si>
  <si>
    <t>ООО "Газпром межрегионгаз Владимир"</t>
  </si>
  <si>
    <t>ООО "Газпром межрегионгаз Воронеж"</t>
  </si>
  <si>
    <t>ООО "ГАЗПРОМ МЕЖРЕГИОНГАЗ ПЕНЗА"</t>
  </si>
  <si>
    <t>ООО "Газпром межрегионгаз Саратов"</t>
  </si>
  <si>
    <t>ООО "Газпром межрегионгаз Ульяновск"</t>
  </si>
  <si>
    <t>ООО "Газпром межрегионгаз"</t>
  </si>
  <si>
    <t>ООО "Газпром трансгаз Краснодар"</t>
  </si>
  <si>
    <t>ООО "Газпром трансгаз Самара"</t>
  </si>
  <si>
    <t>ООО "ГАЗПРОМ ТРАНСГАЗ ТОМСК"</t>
  </si>
  <si>
    <t>ООО "Газпром трансгаз Ухта"</t>
  </si>
  <si>
    <t>ООО "Газпромнефть - Центр"</t>
  </si>
  <si>
    <t>ООО "Газпромэнергодиагностика"</t>
  </si>
  <si>
    <t>ООО "ГазРезерв"</t>
  </si>
  <si>
    <t>ООО "Газхолодтехника"</t>
  </si>
  <si>
    <t>ООО "Газэнергосервис"</t>
  </si>
  <si>
    <t>ООО "ГАЛЕРЕЯ КЛИМАТА"</t>
  </si>
  <si>
    <t>ООО "ГК ИНОТЭК"</t>
  </si>
  <si>
    <t>ООО "Грантэк-М"</t>
  </si>
  <si>
    <t>ООО "Гринтэк Трейд"</t>
  </si>
  <si>
    <t>ООО "Группа Компаний "ГазПожОборудование"</t>
  </si>
  <si>
    <t>ООО "Дарион ТЭК"</t>
  </si>
  <si>
    <t>ООО "Датапроф"</t>
  </si>
  <si>
    <t>ООО "ДАТА-С"</t>
  </si>
  <si>
    <t>ООО "Датэкс Софтвер"</t>
  </si>
  <si>
    <t>ООО "Дитангаз"</t>
  </si>
  <si>
    <t>ООО "Железнодорожная транспортно-экспедиторская компания" (ООО "ЖТЭК")</t>
  </si>
  <si>
    <t>ООО "Завод "Газосвет"</t>
  </si>
  <si>
    <t>ООО "ИЗ-КАРТЭКС"</t>
  </si>
  <si>
    <t>ООО "ИНДАСТРИАЛ ПРОТЭКТИВ КОАТИНГС"</t>
  </si>
  <si>
    <t>ООО "Индатэк"</t>
  </si>
  <si>
    <t>ООО "Инотэкс"</t>
  </si>
  <si>
    <t>ООО "ИнтерГаз"</t>
  </si>
  <si>
    <t>ООО "ИНТЭК"</t>
  </si>
  <si>
    <t>ООО "Кавотэк СиАйЭс"</t>
  </si>
  <si>
    <t>ООО "КОМПАНИЯ "АРСИНТЭК"</t>
  </si>
  <si>
    <t>ООО "КОМПЛЕКСНОЕ НЕФТЕГАЗОВОЕ СНАБЖЕНИЕ"</t>
  </si>
  <si>
    <t>ООО "КОМТЭКС"</t>
  </si>
  <si>
    <t>ООО "Конверсия ТЭК"</t>
  </si>
  <si>
    <t>ООО "КриоГаз"</t>
  </si>
  <si>
    <t>ООО "КРИОГАЗПК"</t>
  </si>
  <si>
    <t>ООО "ЛАТА-Строй"</t>
  </si>
  <si>
    <t>ООО "Лифтэксперт"</t>
  </si>
  <si>
    <t>ООО "МАГНАТЭК"</t>
  </si>
  <si>
    <t>ООО "Максатихинская жилищно-эксплуатационная компания"</t>
  </si>
  <si>
    <t>ООО "Маритэк"</t>
  </si>
  <si>
    <t>ООО "М-ГАЗ"</t>
  </si>
  <si>
    <t>ООО "МЕГАТЭК"</t>
  </si>
  <si>
    <t>ООО "Медгазснаб"</t>
  </si>
  <si>
    <t>ООО "МЕЖТЭК"</t>
  </si>
  <si>
    <t>ООО "Метэкс "</t>
  </si>
  <si>
    <t>ООО "Миртэк Групп"</t>
  </si>
  <si>
    <t>ООО "МОБИЛ ГАЗСЕРВИС"</t>
  </si>
  <si>
    <t>ООО "Мордоврегионгаз"</t>
  </si>
  <si>
    <t>ООО "МО-ТЭК"</t>
  </si>
  <si>
    <t>ООО "Натали - Сибирь"</t>
  </si>
  <si>
    <t>ООО "Натали"</t>
  </si>
  <si>
    <t>ООО "Натали-Сибирь"</t>
  </si>
  <si>
    <t>ООО "Нефтегазгеодезия"</t>
  </si>
  <si>
    <t>ООО "Нефтегазкомплект"</t>
  </si>
  <si>
    <t>ООО "НефтеГазМонтаж"</t>
  </si>
  <si>
    <t>ООО "Нефтегазсервис"</t>
  </si>
  <si>
    <t>ООО "НЕФТЬГАЗКОМПЛЕКТ"</t>
  </si>
  <si>
    <t>ООО "НИИПИСТРОЙТЭК"</t>
  </si>
  <si>
    <t>ООО "НПО Спецнефтегаз-т"</t>
  </si>
  <si>
    <t>ООО "НПФ "ЭЛСТАР"</t>
  </si>
  <si>
    <t>ООО "НТЭК" в Наро-Фоминском филиале Банка "Возрождение" (ОАО) г. Наро-Фоминск</t>
  </si>
  <si>
    <t>ООО "ОЗЕРСКГАЗ"</t>
  </si>
  <si>
    <t>ООО "ОксиГазСервис"</t>
  </si>
  <si>
    <t>ООО "ПЕРМТРАНСГАЗ"</t>
  </si>
  <si>
    <t>ООО "Персона грата"</t>
  </si>
  <si>
    <t>ООО "ПКФ ГАЗТЕХСЕРВИС"</t>
  </si>
  <si>
    <t>ООО "Пластэк"</t>
  </si>
  <si>
    <t>ООО "Пластэкс"</t>
  </si>
  <si>
    <t>ООО "Плата"</t>
  </si>
  <si>
    <t>ООО "Плата-Лайт"</t>
  </si>
  <si>
    <t>ООО "ПЛАТАНХИМ"</t>
  </si>
  <si>
    <t>ООО "ПЛАТЭКС"</t>
  </si>
  <si>
    <t>ООО "Подземгазпром"</t>
  </si>
  <si>
    <t>ООО "ПравоТЭК"</t>
  </si>
  <si>
    <t>ООО "Промгазкомплект"</t>
  </si>
  <si>
    <t>ООО "ПРОМГАЗСЕРВИС"</t>
  </si>
  <si>
    <t>ООО "Промстройнефтегазпроект"</t>
  </si>
  <si>
    <t>ООО "Промтехгаз"</t>
  </si>
  <si>
    <t>ООО "ПРОТЭК"</t>
  </si>
  <si>
    <t>ООО "Ратэк"</t>
  </si>
  <si>
    <t>ООО "Регата-Екатеринбург"</t>
  </si>
  <si>
    <t>ООО "РЕГУЛ- ГАЗ"</t>
  </si>
  <si>
    <t>ООО "Редакция газеты "КОММУНА"</t>
  </si>
  <si>
    <t>ООО "Редакция газеты "Москва в доп.офисе НОСБ 2557/066</t>
  </si>
  <si>
    <t>ООО "Редакция городской газеты "Обнинск"</t>
  </si>
  <si>
    <t>ООО "РЖД Сервис СЗ"</t>
  </si>
  <si>
    <t>ООО "РН-Юганскнефтегаз"</t>
  </si>
  <si>
    <t>ООО "РОЛТЭК"</t>
  </si>
  <si>
    <t>ООО "РосТЭК"</t>
  </si>
  <si>
    <t>ООО "РусГазНефть"</t>
  </si>
  <si>
    <t>ООО "Руспройсгаз"</t>
  </si>
  <si>
    <t>ООО "Рутэк"</t>
  </si>
  <si>
    <t>ООО "Самарагазэнергосервис"</t>
  </si>
  <si>
    <t>ООО "СБЕРБАНК ИНВЕСТИЦИИ"</t>
  </si>
  <si>
    <t>ООО "Севморнефтегазфлот"</t>
  </si>
  <si>
    <t>ООО "Сегодняшняя Газета - XXI век"</t>
  </si>
  <si>
    <t>ООО "СервисГазДиагностика "</t>
  </si>
  <si>
    <t>ООО "СИБГАЗСНАБСЕРВИС"</t>
  </si>
  <si>
    <t>ООО "Силтэк"</t>
  </si>
  <si>
    <t>ООО "Системы нефть и Газ Балтия"</t>
  </si>
  <si>
    <t>ООО "Союзнефтегаздинамикк"</t>
  </si>
  <si>
    <t>ООО "Спецнефтегазконтроль"</t>
  </si>
  <si>
    <t>ООО "ССК "Газрегион"</t>
  </si>
  <si>
    <t>ООО "Стройгаз"</t>
  </si>
  <si>
    <t>ООО "Строй-Сервис-Эксплуатация"</t>
  </si>
  <si>
    <t>ООО "Стротэкс-консалтинг"</t>
  </si>
  <si>
    <t>ООО "ТеплоГазСтрой"</t>
  </si>
  <si>
    <t>ООО "ТЕПЛОГАЗУЧЕТ-СЕРВИС"</t>
  </si>
  <si>
    <t>ООО "Техгаз"</t>
  </si>
  <si>
    <t>ООО "Техгазс</t>
  </si>
  <si>
    <t>ООО "ТЕХНОГАЗ"</t>
  </si>
  <si>
    <t>ООО "Техногаз-ГИАП консалтинг"</t>
  </si>
  <si>
    <t>ООО "ТехноТэк"</t>
  </si>
  <si>
    <t>ООО "ТК "Атака"</t>
  </si>
  <si>
    <t>ООО "Торговая фирма "НордГаз"</t>
  </si>
  <si>
    <t>ООО "ТОРГОВЫЙ ДОМ "АРМАТЭК"</t>
  </si>
  <si>
    <t>ООО "Торговый дом "БалтЭксКом"</t>
  </si>
  <si>
    <t>ООО "ТОРГОВЫЙ ДОМ "НОВОЛЯЛИНСКОГО ЦЕЛЛЮЛОЗНО-БУМАЖНОГО КОМБИНАТА"</t>
  </si>
  <si>
    <t>ООО "ТрансГазКомплект"</t>
  </si>
  <si>
    <t>ООО "Транспортная Компания "СпецТрансГаз"</t>
  </si>
  <si>
    <t>ООО "ТрансТЭК"</t>
  </si>
  <si>
    <t>ООО "ТЭК "Евразия"</t>
  </si>
  <si>
    <t>ООО "ТЭК "УРАЛТРАНС-КОМПАНИ"</t>
  </si>
  <si>
    <t>ООО "ТЭК"</t>
  </si>
  <si>
    <t>ООО "ТЭК" (Технологический Экологический Консалтинг)</t>
  </si>
  <si>
    <t>ООО "УАТГАЗ"</t>
  </si>
  <si>
    <t>ООО "УралКриоГаз"</t>
  </si>
  <si>
    <t>ООО "УРАЛРОСТЭК"</t>
  </si>
  <si>
    <t>ООО "Фирма "ЭЛСВАР"</t>
  </si>
  <si>
    <t>ООО "Фортэк-97"</t>
  </si>
  <si>
    <t>ООО "Центртрансгаз"</t>
  </si>
  <si>
    <t>ООО "ЭКОГАЗ"</t>
  </si>
  <si>
    <t>{41}    Имущество государственных научных центров</t>
  </si>
  <si>
    <t>{42}    Вновь вводимые объекты, имеющие высокую энергетическую эффективность или высокий класс энергетической эффективности</t>
  </si>
  <si>
    <t>Страховые  взносы начисляемые на счета затрат</t>
  </si>
  <si>
    <t>Страховые взносы начисляемые на счет капвложений</t>
  </si>
  <si>
    <t>F_M0323</t>
  </si>
  <si>
    <t>Начисление дебиторской задолженности (Дт 76)</t>
  </si>
  <si>
    <t>Прочее увеличение (Дт 76)</t>
  </si>
  <si>
    <t xml:space="preserve">Отражение эмиссионного дохода, взнос сверх уставного капитала </t>
  </si>
  <si>
    <t>Отложенный доход (убыток по ПФИ)</t>
  </si>
  <si>
    <t>Использование отраслевых резервов на инвестиционные цели (Дт 96 Кт 84)</t>
  </si>
  <si>
    <t>Использование целевого финансирования на текущие расходы (Кт 20, 26), только для ГК</t>
  </si>
  <si>
    <t>Начисление  задолженности</t>
  </si>
  <si>
    <t>из брака (28 счет)</t>
  </si>
  <si>
    <t>F_M0739</t>
  </si>
  <si>
    <t>F_M0921</t>
  </si>
  <si>
    <t>F_M0922</t>
  </si>
  <si>
    <t>Прочее возникновение задолженности</t>
  </si>
  <si>
    <t>{F_M0907}_Прочее уменьшение</t>
  </si>
  <si>
    <t>{F_M0910}_Доп расходы, связанные с приобр финвложений, увелич стоим</t>
  </si>
  <si>
    <t>{F_M0911}_Увеличение справедливой стоимости финвложений</t>
  </si>
  <si>
    <t>{F_M0912}_Прочее увеличение</t>
  </si>
  <si>
    <t>{F_M0914}_Уменьшение справедливой стоимости финвложений</t>
  </si>
  <si>
    <t>{F_M0918}_Приобретение объектов финансовых вложений   (основная сумма)</t>
  </si>
  <si>
    <t>F_M1027</t>
  </si>
  <si>
    <t>F_M1028</t>
  </si>
  <si>
    <t>F_M1101</t>
  </si>
  <si>
    <t>F_M1102</t>
  </si>
  <si>
    <t>F_M1103</t>
  </si>
  <si>
    <t>F_M1106</t>
  </si>
  <si>
    <t>F_M1107</t>
  </si>
  <si>
    <t>F_M1108</t>
  </si>
  <si>
    <t>F_M1109</t>
  </si>
  <si>
    <t>F_M1110</t>
  </si>
  <si>
    <t>F_M1111</t>
  </si>
  <si>
    <t>F_M1113</t>
  </si>
  <si>
    <t>F_M1114</t>
  </si>
  <si>
    <t>F_M1118</t>
  </si>
  <si>
    <t>F_M1119</t>
  </si>
  <si>
    <t>ИНН (Эмитент ценной бумаги)</t>
  </si>
  <si>
    <t>ИНН - покупателя (продавца)</t>
  </si>
  <si>
    <t>тара</t>
  </si>
  <si>
    <t>{01} возвратная</t>
  </si>
  <si>
    <t>{02} невозвратная</t>
  </si>
  <si>
    <t>{03} не является тарой</t>
  </si>
  <si>
    <t>{01} да</t>
  </si>
  <si>
    <t>{02} нет</t>
  </si>
  <si>
    <t>Поступление: монтаж (счет 07)</t>
  </si>
  <si>
    <t>F_M0123</t>
  </si>
  <si>
    <t>41_01</t>
  </si>
  <si>
    <t>F_M0740</t>
  </si>
  <si>
    <t>Дисконт по финансовым вложениям (Дт 91)</t>
  </si>
  <si>
    <t xml:space="preserve">Расчеты векселями </t>
  </si>
  <si>
    <t>02_02</t>
  </si>
  <si>
    <t>10_расш</t>
  </si>
  <si>
    <t>19_расш</t>
  </si>
  <si>
    <t>41_02</t>
  </si>
  <si>
    <t>50_51_52_55_57_движ</t>
  </si>
  <si>
    <t>58_01_1</t>
  </si>
  <si>
    <t>58_01_2</t>
  </si>
  <si>
    <t>58_02</t>
  </si>
  <si>
    <t>58_02_движ</t>
  </si>
  <si>
    <t>58_03_1</t>
  </si>
  <si>
    <t>58_03_2</t>
  </si>
  <si>
    <t>58_04</t>
  </si>
  <si>
    <t>59_01</t>
  </si>
  <si>
    <t>59_02</t>
  </si>
  <si>
    <t>59_03</t>
  </si>
  <si>
    <t>60_01</t>
  </si>
  <si>
    <t>60_02</t>
  </si>
  <si>
    <t>62_01</t>
  </si>
  <si>
    <t>62_02</t>
  </si>
  <si>
    <t>75_02</t>
  </si>
  <si>
    <t>76_01_%</t>
  </si>
  <si>
    <t>83_расш</t>
  </si>
  <si>
    <t>84_расш</t>
  </si>
  <si>
    <t>90_01</t>
  </si>
  <si>
    <t>98_01</t>
  </si>
  <si>
    <t>98_02</t>
  </si>
  <si>
    <t>98_03</t>
  </si>
  <si>
    <t>98_04</t>
  </si>
  <si>
    <t>Итого затраты выход</t>
  </si>
  <si>
    <t>Группа финвложений</t>
  </si>
  <si>
    <t>Расходы на создание ВНА 08</t>
  </si>
  <si>
    <t>Списание в прочие расходы 91</t>
  </si>
  <si>
    <t>Счет 97. Расходы будущих периодов</t>
  </si>
  <si>
    <t xml:space="preserve">Счет 10. Материалы. Расшифровка остатков для целей раскрытия </t>
  </si>
  <si>
    <t xml:space="preserve">Операционные затраты за период. Расшифровка по источникам финансирования </t>
  </si>
  <si>
    <t>F_M0299</t>
  </si>
  <si>
    <t xml:space="preserve">Проверка </t>
  </si>
  <si>
    <t>{1} Распределенные производственные затраты</t>
  </si>
  <si>
    <t>Расчеты в корреспонденции с денежными средствами</t>
  </si>
  <si>
    <t>Номер счета</t>
  </si>
  <si>
    <t>{GIP} Гибралтарский фунт</t>
  </si>
  <si>
    <t>{HKD} Гонконгский доллар</t>
  </si>
  <si>
    <t>{PYG} Гуарани</t>
  </si>
  <si>
    <t>{HTG} Гурд</t>
  </si>
  <si>
    <t>{GMD} Даласи</t>
  </si>
  <si>
    <t>{MKD} Денар</t>
  </si>
  <si>
    <t>{AED} Дирхам (ОАЭ)</t>
  </si>
  <si>
    <t>{STD} Добра</t>
  </si>
  <si>
    <t>{ZWD} Доллар Зимбабве</t>
  </si>
  <si>
    <t>{ZWL} Доллар Зимбабве</t>
  </si>
  <si>
    <t>{NAD} Доллар Намибии</t>
  </si>
  <si>
    <t>{KYD} Доллар Островов Кайман</t>
  </si>
  <si>
    <t>{SBD} Доллар Соломоновых Островов</t>
  </si>
  <si>
    <t>{TTD} Доллар Тринидада и Тобаго</t>
  </si>
  <si>
    <t>{FJD} Доллар Фиджи</t>
  </si>
  <si>
    <t>{VND} Донг</t>
  </si>
  <si>
    <t>{COU} Единица реальной стоимости</t>
  </si>
  <si>
    <t>{ZMK} Замбийская квача</t>
  </si>
  <si>
    <t>{PLN} Злотый</t>
  </si>
  <si>
    <t>{NIO} Золотая кордоба</t>
  </si>
  <si>
    <t>СПб ИЗОТОП</t>
  </si>
  <si>
    <t>СТСК</t>
  </si>
  <si>
    <t>Старт</t>
  </si>
  <si>
    <t>СХК</t>
  </si>
  <si>
    <t>Тепловодоканал</t>
  </si>
  <si>
    <t>Точмаш-авто</t>
  </si>
  <si>
    <t>ТЕНЕКС-Сервис</t>
  </si>
  <si>
    <t>Технопарк-Технология</t>
  </si>
  <si>
    <t>Техснабэкспорт</t>
  </si>
  <si>
    <t>ТРИНИТИ</t>
  </si>
  <si>
    <t>ТЦ ТЕНЕКС</t>
  </si>
  <si>
    <t>ЗАО "Технологический центр "ТЕНЕКС"</t>
  </si>
  <si>
    <t>УАЗ</t>
  </si>
  <si>
    <t>УЭМЗ</t>
  </si>
  <si>
    <t>УЭХК</t>
  </si>
  <si>
    <t>Хиагда</t>
  </si>
  <si>
    <t>Центр энергоэффективности ИНТЕР РАО ЕЭС</t>
  </si>
  <si>
    <t>ЦентрАтом</t>
  </si>
  <si>
    <t>ЦНИИТМАШ</t>
  </si>
  <si>
    <t>Экоальянс</t>
  </si>
  <si>
    <t>ЭГМК</t>
  </si>
  <si>
    <t>ЭГМК-проект</t>
  </si>
  <si>
    <t xml:space="preserve"> </t>
  </si>
  <si>
    <t>Эксп №2</t>
  </si>
  <si>
    <t>Элерон</t>
  </si>
  <si>
    <t>Энергоспецмонтаж</t>
  </si>
  <si>
    <t>ЭХЗ</t>
  </si>
  <si>
    <t>ЭХП</t>
  </si>
  <si>
    <t>ФГУП "Комбинат "Электрохимприбор"</t>
  </si>
  <si>
    <t>TENEX-Japan</t>
  </si>
  <si>
    <t>TENEX-Korea</t>
  </si>
  <si>
    <t>АтомТеплоСбыт</t>
  </si>
  <si>
    <t>Атомтехэкспорт</t>
  </si>
  <si>
    <t>Атомтранс</t>
  </si>
  <si>
    <t>ООО "Балаковская АЭС – Авто"</t>
  </si>
  <si>
    <t>БАЭС-2</t>
  </si>
  <si>
    <t>ООО "Белоярская АЭС – Авто"</t>
  </si>
  <si>
    <t>Былина</t>
  </si>
  <si>
    <t>ВДМУ</t>
  </si>
  <si>
    <t>ГК Глазов</t>
  </si>
  <si>
    <t>Изотоп Ектб</t>
  </si>
  <si>
    <t>Изотоп техно</t>
  </si>
  <si>
    <t>Итманово</t>
  </si>
  <si>
    <t>ИФТП</t>
  </si>
  <si>
    <t>Карху Гео</t>
  </si>
  <si>
    <t>КИАЭ-НИИАР</t>
  </si>
  <si>
    <t>ООО "Кольская АЭС – Авто"</t>
  </si>
  <si>
    <t>КРК Атомные станции</t>
  </si>
  <si>
    <t>КУЖФ</t>
  </si>
  <si>
    <t>Ленатомэнергострой</t>
  </si>
  <si>
    <t>Ленинградская АЭС – Авто</t>
  </si>
  <si>
    <t>ООО ИИП "НЕФТЕГАЗОВЫЕ ТЕХНОЛОГИИ"</t>
  </si>
  <si>
    <t>ООО ИТЦ "ДИАТЭК"</t>
  </si>
  <si>
    <t>ООО 'КПД-Газстрой'</t>
  </si>
  <si>
    <t>ООО Нефтегазпоставка</t>
  </si>
  <si>
    <t>ООО НЕФТЕГАЗСЕРВИС</t>
  </si>
  <si>
    <t>ООО НПО "УФАНЕФТЕГАЗМАШ"</t>
  </si>
  <si>
    <t>ООО НПП "ГИДРОГАЗПРИБОР"</t>
  </si>
  <si>
    <t>ООО НПП "Теплотэкс"</t>
  </si>
  <si>
    <t>ООО НТЦ "НОВОТЭК"</t>
  </si>
  <si>
    <t>ООО ПК ""ПРОМТЭК"</t>
  </si>
  <si>
    <t>ООО ПКФ "ЭЛТЭК"</t>
  </si>
  <si>
    <t>ООО ПО "Химтэк"</t>
  </si>
  <si>
    <t>ООО 'Промгаз-Ацетилен'</t>
  </si>
  <si>
    <t>ООО 'Промгазсервис'</t>
  </si>
  <si>
    <t>ООО ПСК "Теплотэкс"</t>
  </si>
  <si>
    <t>ООО ПТК Техгаз</t>
  </si>
  <si>
    <t>ООО ПТФ "ИНТЭК-СИГНАЛ"</t>
  </si>
  <si>
    <t>ООО Редакция газеты "Саров</t>
  </si>
  <si>
    <t>ООО Редакция журнала РЖД-Партнер</t>
  </si>
  <si>
    <t>ООО Рустэк</t>
  </si>
  <si>
    <t>ООО Сибирьгазстрой</t>
  </si>
  <si>
    <t>ООО СК ВТБ Страхование</t>
  </si>
  <si>
    <t>ООО Строй-Тата</t>
  </si>
  <si>
    <t>ООО ТД "ЗАПСИБГАЗПРОМ-ТРЕЙД"</t>
  </si>
  <si>
    <t>ООО ТД "ТЕХНИЧЕСКИЕ ГАЗЫ"</t>
  </si>
  <si>
    <t>ООО ТСЦ 'Рэлсиб'</t>
  </si>
  <si>
    <t xml:space="preserve">Начисление премии </t>
  </si>
  <si>
    <t>Начисление дисконта</t>
  </si>
  <si>
    <t xml:space="preserve">Начисление дисконта </t>
  </si>
  <si>
    <t>Корректировки в связи с исправлением ошибок</t>
  </si>
  <si>
    <t>Увеличение УК (увеличение номинальной стоимости акций)</t>
  </si>
  <si>
    <t>Увеличение стоимости ОС, НЗС  
при переоценке</t>
  </si>
  <si>
    <t>F_M1032</t>
  </si>
  <si>
    <t>Доходы, относящиеся непосредственно на увеличение добавочного капитала</t>
  </si>
  <si>
    <t>F_M1033</t>
  </si>
  <si>
    <t>Тип договора</t>
  </si>
  <si>
    <t>Признан убыток по счету 91</t>
  </si>
  <si>
    <t>Прочее погашение</t>
  </si>
  <si>
    <t>Прочее возникновении задолженности</t>
  </si>
  <si>
    <t>Списание дисконта</t>
  </si>
  <si>
    <t xml:space="preserve">Списание дисконта </t>
  </si>
  <si>
    <t xml:space="preserve">Вторичные затраты </t>
  </si>
  <si>
    <t>Виды затрат</t>
  </si>
  <si>
    <t>Себестоимость отгруженных товаров на конец отчетного периода</t>
  </si>
  <si>
    <t>Амортизация дисконта</t>
  </si>
  <si>
    <t xml:space="preserve">Первичные виды затрат </t>
  </si>
  <si>
    <t>ИТОГО</t>
  </si>
  <si>
    <t>{21}    Ядерные установки, используемые для научных целей, пункты хранения ядерных материалов и радиоактивных веществ, хранилища радиоактивных отходов</t>
  </si>
  <si>
    <t>{22}    Ледоколы, суда с ядерными энергетическими установками и суда атомно-технологического обслуживания</t>
  </si>
  <si>
    <t>{24}    Объекты, признаваемые объектами культурного наследия</t>
  </si>
  <si>
    <t>{25}    Земельные участки и объекты природопользования</t>
  </si>
  <si>
    <t>{01} Основные средства</t>
  </si>
  <si>
    <t>{03} Доходные вложения в материальные ценности</t>
  </si>
  <si>
    <t>{04} Нематериальные активы</t>
  </si>
  <si>
    <t>{07} Оборудование к установке</t>
  </si>
  <si>
    <t>{10} Материалы</t>
  </si>
  <si>
    <t>{20} Незавершенное производство</t>
  </si>
  <si>
    <t>{21} Полуфабрикаты и комплектующие собственного производства</t>
  </si>
  <si>
    <t>{41} Товары</t>
  </si>
  <si>
    <t>{43} Готовая продукция</t>
  </si>
  <si>
    <t>{45} Товары отгруженные</t>
  </si>
  <si>
    <t>{58} Финансовые вложения</t>
  </si>
  <si>
    <t>{99} Прочее имущество</t>
  </si>
  <si>
    <t>{02} Операционная касса</t>
  </si>
  <si>
    <t>{03} Денежные документы</t>
  </si>
  <si>
    <t>{04} Касса организации в валюте</t>
  </si>
  <si>
    <t>2450</t>
  </si>
  <si>
    <t>{11} Акции</t>
  </si>
  <si>
    <t>{12} Паи и доли</t>
  </si>
  <si>
    <t>{21} Векселя</t>
  </si>
  <si>
    <t>{22} Облигации</t>
  </si>
  <si>
    <t>{32} Предоставленные товарные займы</t>
  </si>
  <si>
    <t>{41} Вклады по договору простого товарищества (совместная деятельность)</t>
  </si>
  <si>
    <t>{43} Приобретенные права требований</t>
  </si>
  <si>
    <t>{44} Другие финансовые вложения</t>
  </si>
  <si>
    <t>{45} Депозиты</t>
  </si>
  <si>
    <t>Группы финансовых вложений</t>
  </si>
  <si>
    <t>2420</t>
  </si>
  <si>
    <t>Срок размещения депозитов</t>
  </si>
  <si>
    <t>{2} Со сроком до даты погашения (размещения) более трех месяцев</t>
  </si>
  <si>
    <t>Срок погашения долговых ценных бумаг и размещения депозитов</t>
  </si>
  <si>
    <t>Вид обеспечения</t>
  </si>
  <si>
    <t>9018</t>
  </si>
  <si>
    <t>{20} Расчеты неденежными средствами</t>
  </si>
  <si>
    <t>Формы расчетов</t>
  </si>
  <si>
    <t>9022</t>
  </si>
  <si>
    <t>{251111} Расчеты с покупателями продукции (товаров)</t>
  </si>
  <si>
    <t>{251112} Расчеты с покупателями прочих МПЗ</t>
  </si>
  <si>
    <t>{251121} Расчеты с заказчиками по договорам строительства/услуг, выручка по которым признается по проценту готовности</t>
  </si>
  <si>
    <t>{251122} Расчеты с заказчиками прочих услуг, работ</t>
  </si>
  <si>
    <t>{251011} Расчеты с поставщиками ОС</t>
  </si>
  <si>
    <t>{251012} Расчеты с поставщиками НМА</t>
  </si>
  <si>
    <t>{251013} Расчеты с подрядчиками по капитальному строительству</t>
  </si>
  <si>
    <t>{251014} Расчеты по НИОКР</t>
  </si>
  <si>
    <t>{251016} Расчеты с поставщиками по приобретению (созданию) поисковых активов</t>
  </si>
  <si>
    <t>{251021} Расчеты с поставщиками товарно-материальных ценностей (кроме товаров для перепродажи)</t>
  </si>
  <si>
    <t>{251022} Расчеты по товарам для перепродажи</t>
  </si>
  <si>
    <t>{251031} Расчеты с поставщиками работ и услуг (за исключением работ и услуг по капитальному строительству)</t>
  </si>
  <si>
    <t>{251041} Расчеты с поставщиками по банковским и финансовым операциям</t>
  </si>
  <si>
    <t>{252001} Целевое финансирование к получению</t>
  </si>
  <si>
    <t>{252003} Беспроцентные займы выданные</t>
  </si>
  <si>
    <t>{252004} Беспроцентные / бездисконтные векселя полученные</t>
  </si>
  <si>
    <t>{252005} Проценты по долгосрочным денежным займам к получению</t>
  </si>
  <si>
    <t>{252007} Проценты по финансовым вложениям к получению</t>
  </si>
  <si>
    <t>{252008} Расчеты по дивидендам и части прибыли от использования имущества, находящегося в хозяйственном ведении, оперативном управлении, к получению</t>
  </si>
  <si>
    <t>{252009} Плата за негативное воздействие на окружающую среду</t>
  </si>
  <si>
    <t>{252010} Платежи за пользование водными объектами</t>
  </si>
  <si>
    <t>{252011} Платежи за пользование недрами</t>
  </si>
  <si>
    <t>{252012} Расчеты с Агентами (Комиссионерами) по возмещению понесенных затрат при продаже продукции (работ, услуг) Комитента (Принципала)</t>
  </si>
  <si>
    <t>{252013} Расчеты с Агентами (Комиссионерами) по возмещению понесенных затрат при закупке продукции (работ, услуг) для Комитента (принципала)</t>
  </si>
  <si>
    <t>{252014} Расчеты с Агентами (Комиссионерами) по агентскому вознаграждению</t>
  </si>
  <si>
    <t>{252015} Расчеты с Комитентами (Принципалами) за реализованную продукцию (работы, услуги) Комитента (принципала)</t>
  </si>
  <si>
    <t xml:space="preserve">Доначислено налогов по акту всего (не подлежащий возмещению НДС) </t>
  </si>
  <si>
    <t>Период, за который доначислен налог</t>
  </si>
  <si>
    <t>Период, за который производилась проверка</t>
  </si>
  <si>
    <t>Дата итогового решения по налоговой проверке</t>
  </si>
  <si>
    <t>Дата акта по налоговой проверке</t>
  </si>
  <si>
    <t>Номер акта по налоговой проверке</t>
  </si>
  <si>
    <t>Заполняется информация по законченным налоговым проверкам, по которым в отчетном периоде получен акт, решение, в т.ч. по тем, по которым налоги не доначислялись</t>
  </si>
  <si>
    <t>Остаточная стоимость ДВМЦ</t>
  </si>
  <si>
    <t>Остаточная стоимость на 31 декабря</t>
  </si>
  <si>
    <t>Остаточная стоимость на 01 декабря</t>
  </si>
  <si>
    <t>Остаточная стоимость на 01 ноября</t>
  </si>
  <si>
    <t>Остаточная стоимость на 01 октября</t>
  </si>
  <si>
    <t>Остаточная стоимость на 01 сентября</t>
  </si>
  <si>
    <t>Остаточная стоимость на 01 августа</t>
  </si>
  <si>
    <t>Остаточная стоимость на 01 июля</t>
  </si>
  <si>
    <t>Остаточная стоимость на 01 июня</t>
  </si>
  <si>
    <t>Остаточная стоимость на 01 мая</t>
  </si>
  <si>
    <t>Остаточная стоимость на 01 апреля</t>
  </si>
  <si>
    <t>Остаточная стоимость на 01 марта</t>
  </si>
  <si>
    <t>Остаточная стоимость на 01 февраля</t>
  </si>
  <si>
    <t>Остаточная стоимость на 01 января</t>
  </si>
  <si>
    <t>Льготируемые основные средства</t>
  </si>
  <si>
    <t>x</t>
  </si>
  <si>
    <t>{252046} Расчеты по претензиям к получению</t>
  </si>
  <si>
    <t>{252047} Расчеты по операциям купли-продажи валюты</t>
  </si>
  <si>
    <t>{252048} Целевое финансирование предоставленное (кроме дипмиссий и торгпредств )</t>
  </si>
  <si>
    <t>{252049} Расчеты по купле финансовых вложений</t>
  </si>
  <si>
    <t>{252050} Расчеты по продаже финансовых вложений</t>
  </si>
  <si>
    <t>{252051} Расчеты по аренде с Арендодателем</t>
  </si>
  <si>
    <t>{252052} Прочие расчеты с кредиторами</t>
  </si>
  <si>
    <t>{252053} Прочие расчеты с дебиторами</t>
  </si>
  <si>
    <t>{252054} Расчеты по аренде с Арендатором</t>
  </si>
  <si>
    <t>{252055} Расчеты с брокером по производным финансовым инструментам (Дебитор)</t>
  </si>
  <si>
    <t>{252056} Расчеты с брокером по производным финансовым инструментам (Кредитор)</t>
  </si>
  <si>
    <t>{252057} НДС по неподтвержденному экспорту (пакет собран, ИФНС не подтвердила факт экспорта)</t>
  </si>
  <si>
    <t>{252058} Денежные средства, переданные в качестве обеспечения исполнения обязательств</t>
  </si>
  <si>
    <t>{252059} Денежные средства, полученные в качестве обеспечения исполнения обязательств</t>
  </si>
  <si>
    <t>{252060} Расчеты по приобретенным правам требований (бездоходные)</t>
  </si>
  <si>
    <t>{252061} Производные финансовые инструменты, от которых ожидается получение экономических выгод</t>
  </si>
  <si>
    <t>{252062} Производные финансовые инструменты, по которым ожидается уменьшение экономических выгод</t>
  </si>
  <si>
    <t>{252063} Расчеты по срочным сделкам (дебитор)</t>
  </si>
  <si>
    <t>{252064} Расчеты по срочным сделкам (кредитор)</t>
  </si>
  <si>
    <t>{252065} Проценты по долгосрочным товарным займам к получению</t>
  </si>
  <si>
    <t>{252066} Проценты по краткосрочным товарным займам к получению</t>
  </si>
  <si>
    <t>{252067} Расчеты Цедента с Цессионарием по реализации прав требования</t>
  </si>
  <si>
    <t>{252068} Расчеты Цессионария с Цедентом по приобретению прав требования</t>
  </si>
  <si>
    <t>{252069} Расчеты Должника с Цессионарием</t>
  </si>
  <si>
    <t>{252070} Целевое финансирование предоставленное дипмиссиям и торгпредствам</t>
  </si>
  <si>
    <t>Виды расчетов по типу счета</t>
  </si>
  <si>
    <t>{255221} Дебиторская задолженность</t>
  </si>
  <si>
    <t>{255211} Кредиторская задолженность</t>
  </si>
  <si>
    <t>{255212} Авансы выданные</t>
  </si>
  <si>
    <t>{255222} Авансы полученные</t>
  </si>
  <si>
    <t>{255131} Векселя выданные</t>
  </si>
  <si>
    <t>{255132} Векселя полученные</t>
  </si>
  <si>
    <t>9023</t>
  </si>
  <si>
    <t>Дата выдачи/
Дата получения</t>
  </si>
  <si>
    <t>Сумма по договору</t>
  </si>
  <si>
    <t>Виды заемных средств</t>
  </si>
  <si>
    <t>{1020000} Доходы от совместной деятельности</t>
  </si>
  <si>
    <t>{11} Прочие доходы в составе EBITDA</t>
  </si>
  <si>
    <t xml:space="preserve"> ФГУ ФМБЦ им</t>
  </si>
  <si>
    <t>Заем выданный</t>
  </si>
  <si>
    <t>{3} рынок на сутки вперёд</t>
  </si>
  <si>
    <t>"АВТ МЕДИКЭЛС"</t>
  </si>
  <si>
    <t>Кредит полученный</t>
  </si>
  <si>
    <t>{4} балансирующий рынок</t>
  </si>
  <si>
    <t>{3310} Геологоразведочные работы на вновь осваиваемых месторождениях</t>
  </si>
  <si>
    <t>{5} конкурентный отбор мощности</t>
  </si>
  <si>
    <t>{1040100} Доходы от реализации НМА (нетто)</t>
  </si>
  <si>
    <t>Проценты по займу к оплате</t>
  </si>
  <si>
    <t>{6} свободные двухсторонние договоры</t>
  </si>
  <si>
    <t>Продажа товаров</t>
  </si>
  <si>
    <t>{3430} Прочие подготовительные работы по разрабатываемым участкам</t>
  </si>
  <si>
    <t>{7} долгосрочный рынок мощности</t>
  </si>
  <si>
    <t>"Газ-Сервис"</t>
  </si>
  <si>
    <t>"ГАЗЭНЕРГОПРОМ Автоматизация"</t>
  </si>
  <si>
    <t>Продажа основных средств</t>
  </si>
  <si>
    <t>Продажа долей/акций</t>
  </si>
  <si>
    <t>"Инвестгазавтоматика"</t>
  </si>
  <si>
    <t>{1070200} Доходы от реализации паев (долей) в УК дочерних организаций</t>
  </si>
  <si>
    <t>"ОВО при Балаковском УВД Саратовской области"</t>
  </si>
  <si>
    <t>Покупка основных средств</t>
  </si>
  <si>
    <t>{1070400} Доходы от реализации паев (долей) в УК зависимых организаций</t>
  </si>
  <si>
    <t>{1070600} Доходы от реализации паев (долей) в УК прочих организаций</t>
  </si>
  <si>
    <t>{1070700} Доходы от распределения имущества ликвидируемой организации</t>
  </si>
  <si>
    <t>{1080100} Доходы от реализации государственных и муниципальных ценных бумаг</t>
  </si>
  <si>
    <t>{1080200} Доходы от реализации банковских облигаций</t>
  </si>
  <si>
    <t>"Юганскнефтегазгеофизика"</t>
  </si>
  <si>
    <t>{1080300} Доходы от реализации банковских векселей</t>
  </si>
  <si>
    <t>(15365) КГАУ "Редакция газеты "Наш Красноярский край""</t>
  </si>
  <si>
    <t>{1080400} Доходы от реализации векселей прочих эмитентов</t>
  </si>
  <si>
    <t>(16528) ООО "КрасТЭК"</t>
  </si>
  <si>
    <t>{1080500} Доходы от реализации облигаций прочих эмитентов</t>
  </si>
  <si>
    <t>(16869) ООО "Чистые газы"</t>
  </si>
  <si>
    <t>{1080600} Доходы от предъявления векселя к погашению</t>
  </si>
  <si>
    <t>(17182) ООО "Регион-ГАЗ"</t>
  </si>
  <si>
    <t>{1090100} Доходы от переуступки прав требований до наступления срока платежа</t>
  </si>
  <si>
    <t>(6120) ООО "Элситон"</t>
  </si>
  <si>
    <t>{1090200} Доходы от переуступки прав требований после наступления срока платежа</t>
  </si>
  <si>
    <t>{1090300} Доходы от переуступки прав требований как реализации финансовых услуг</t>
  </si>
  <si>
    <t>{1100000} Доходы от реализации прочих финансовых вложений</t>
  </si>
  <si>
    <t>000"Газпожтехсервис"</t>
  </si>
  <si>
    <t>{1110100} Доходы от реализации прочих активов (нетто)</t>
  </si>
  <si>
    <t>{1110101} Доходы от реализации прочих активов (НДС)</t>
  </si>
  <si>
    <t>Аватар НН</t>
  </si>
  <si>
    <t>{1110300} Доходы от реализации права на земельные участки</t>
  </si>
  <si>
    <t>Автогазсервис ООО</t>
  </si>
  <si>
    <t>{16} Прочие доходы не в составе EBITDA</t>
  </si>
  <si>
    <t>АвтоГАЗ-Сервис, ООО</t>
  </si>
  <si>
    <t>АвтоГАЗ-Центр ООО</t>
  </si>
  <si>
    <t>Автономное учреждение ВО "Газета "Молодой коммунар""</t>
  </si>
  <si>
    <t>АВТЭКС</t>
  </si>
  <si>
    <t>АГРИСОВГАЗ</t>
  </si>
  <si>
    <t>Адвокатская палата Владимирской области</t>
  </si>
  <si>
    <t>Администрация городского округа - город Нововоронеж</t>
  </si>
  <si>
    <t>{1150100} Процентный доход по долгосрочным займам</t>
  </si>
  <si>
    <t>{17} Проценты к получению</t>
  </si>
  <si>
    <t>{1150200} Дисконтный доход по долгосрочным займам</t>
  </si>
  <si>
    <t>Аква ТЭК</t>
  </si>
  <si>
    <t>{1150300} Процентные доходы от временного использования долгосрочных займов</t>
  </si>
  <si>
    <t>Алтэкс ТД</t>
  </si>
  <si>
    <t>{1160200} Дисконтный доход по краткосрочным займам</t>
  </si>
  <si>
    <t>Алтэкс-группа компаний</t>
  </si>
  <si>
    <t>{1160300} Процентные доходы от временного использования краткосрочных займов</t>
  </si>
  <si>
    <t>Алютэк</t>
  </si>
  <si>
    <t>АНАТЭК  НПФ ООО</t>
  </si>
  <si>
    <t>АНГАРСКАЯ ГЕ</t>
  </si>
  <si>
    <t>{1180200} Процентный доход по векселям</t>
  </si>
  <si>
    <t>АНО "Редакция газеты "Вести Максатихи"</t>
  </si>
  <si>
    <t>АНО "Редакция газеты "Лесной вестник"</t>
  </si>
  <si>
    <t>{1180400} Процентный доход по облигациям (кроме государственных)</t>
  </si>
  <si>
    <t>{12040000} Тара и тарные материалы (покупные)</t>
  </si>
  <si>
    <t>{12050000} Запасные части (покупные)</t>
  </si>
  <si>
    <t>{12060000} Строительные материалы (покупные)</t>
  </si>
  <si>
    <t>{12070000} Инвентарь и хозяйственные принадлежности (покупные)</t>
  </si>
  <si>
    <t>{12080000} Специальная оснастка и специальная одежда (покупные)</t>
  </si>
  <si>
    <t>{12090000} Прочие материалы (покупные)</t>
  </si>
  <si>
    <t>{13010000} Электроэнергия</t>
  </si>
  <si>
    <t>{13020100} Теплоэнергия в паре</t>
  </si>
  <si>
    <t>{13020200} Теплоэнергия в горячей воде</t>
  </si>
  <si>
    <t>{13090000} Прочая энергия</t>
  </si>
  <si>
    <t>{14010000} Услуги по обращению с ОЯТ</t>
  </si>
  <si>
    <t>{14020000} Услуги по обращению с РАО</t>
  </si>
  <si>
    <t>{14030000} Услуги по конверсии</t>
  </si>
  <si>
    <t>{14040000} Услуги по обогащению</t>
  </si>
  <si>
    <t>{14050000} Работы по изготовлению комплектующих</t>
  </si>
  <si>
    <t>{14060000} Работы по изготовлению порошка</t>
  </si>
  <si>
    <t>{14070000} Работы по изготовлению таблеток</t>
  </si>
  <si>
    <t>{14080000} Работы по изготовлению ТВС</t>
  </si>
  <si>
    <t>Рынки сбыта эл.энергии</t>
  </si>
  <si>
    <t>Географический регион</t>
  </si>
  <si>
    <t>х</t>
  </si>
  <si>
    <t>Отчет о реализации внутри группы (90 счет)</t>
  </si>
  <si>
    <t>ИНН контрагента</t>
  </si>
  <si>
    <t>Финансовый результат</t>
  </si>
  <si>
    <t>Наименование агента</t>
  </si>
  <si>
    <t>ИНН агента</t>
  </si>
  <si>
    <t>Счет 91.01. Прочие доходы</t>
  </si>
  <si>
    <t>Статья прочих доходов</t>
  </si>
  <si>
    <t>Группы прочих доходов и расходов</t>
  </si>
  <si>
    <t>Суммы прочих доходов</t>
  </si>
  <si>
    <t>Итого проценты к получению</t>
  </si>
  <si>
    <t>Итого доходы от участия в других организациях</t>
  </si>
  <si>
    <t>Итого НДС по прочей реализации</t>
  </si>
  <si>
    <t>Итого прочие доходы</t>
  </si>
  <si>
    <t>Счет 91.02. Прочие расходы</t>
  </si>
  <si>
    <t>Статья прочих расходов</t>
  </si>
  <si>
    <t>Суммы прочих расходов</t>
  </si>
  <si>
    <t>Итого проценты к уплате</t>
  </si>
  <si>
    <t>Итого прочие расходы</t>
  </si>
  <si>
    <t>Статьи прочих доходов</t>
  </si>
  <si>
    <t>По операциям  реализации долевых инструментов</t>
  </si>
  <si>
    <t>Себестоимость реализации</t>
  </si>
  <si>
    <t>ИНН контрагента - объекта финансового вложения (контрагента)</t>
  </si>
  <si>
    <t>={2150000} Проценты к уплате по долгосрочным кредитам и займам, кроме облигационных</t>
  </si>
  <si>
    <t>={2160000} Проценты к уплате по краткосрочным кредитам и займам, кроме облигационных</t>
  </si>
  <si>
    <t>={2180100} Проценты к уплате по долгосрочным облигационным займам</t>
  </si>
  <si>
    <t>={2180200} Проценты к уплате по краткосрочным облигационным займам</t>
  </si>
  <si>
    <t>={2180300} Процентные расходы по иным долгосрочным ценным бумагам</t>
  </si>
  <si>
    <t>={2180400} Процентные расходы по иным краткосрочным ценным бумагам</t>
  </si>
  <si>
    <t>={2180900} Процентные расходы от изменения дисконтированной стоимости</t>
  </si>
  <si>
    <t>={3030000} НДС на доходы от реализации ОС</t>
  </si>
  <si>
    <t>={3040000} НДС на доходы от реализации НМА</t>
  </si>
  <si>
    <t>={3050000} НДС на доходы от реализации незавершенного строительства</t>
  </si>
  <si>
    <t>={3060000} НДС на доходы от реализации сырья, материалов и неликвидов</t>
  </si>
  <si>
    <t>={3110100} НДС на доходы от реализации прочих активов</t>
  </si>
  <si>
    <t>={3141000} НДС на товары (работы, услуги) обслуживающих хозяйств</t>
  </si>
  <si>
    <t>={3999900} НДС с других доходов</t>
  </si>
  <si>
    <t>={3190000} НДС на доходы в виде санкций за нарушение договорных обязательств</t>
  </si>
  <si>
    <t>={3200000} НДС с курсовых разниц</t>
  </si>
  <si>
    <t>Итого проценты к уплате ВГО</t>
  </si>
  <si>
    <t>Итого НДС по прочей реализации ВГО</t>
  </si>
  <si>
    <t>Итого прочие расходы ВГО</t>
  </si>
  <si>
    <t>Итого расходы ВГО</t>
  </si>
  <si>
    <t>Источник финансирования
Год финансирования</t>
  </si>
  <si>
    <t>Прочее</t>
  </si>
  <si>
    <t>Сумма капитальных затрат</t>
  </si>
  <si>
    <t>Капитальные затраты (08)</t>
  </si>
  <si>
    <t>{52010300} Списание на расходы стоимости НИОКР</t>
  </si>
  <si>
    <t>{52020100} Страхование зданий и сооружений</t>
  </si>
  <si>
    <t>{52020200} Страхование ядерных материалов</t>
  </si>
  <si>
    <t>{52020300} Страхование прочего имущества</t>
  </si>
  <si>
    <t>{52020400} Страхование гражданской ответственности владельцев автотранспортных средств</t>
  </si>
  <si>
    <t>{52020500} Страхование гражданской ответственности организаций, эксплуатирующих опасные производственные объекты</t>
  </si>
  <si>
    <t>{52030100} Страхование грузов</t>
  </si>
  <si>
    <t>{52030200} Страхование зданий и сооружений (кроме арендованных)</t>
  </si>
  <si>
    <t>{52030300} Страхование зданий и сооружений арендованных</t>
  </si>
  <si>
    <t>{52030400} Страхование оборудования</t>
  </si>
  <si>
    <t>{52030500} Страхование имущества</t>
  </si>
  <si>
    <t>{52030600} Страхование гражданской ответственности за причинение вреда третьим лицам</t>
  </si>
  <si>
    <t>{52040100} Обязательное страхование спасателей профессиональных аварийно-спасательных служб, профессиональных аварийно-спасательных формирований</t>
  </si>
  <si>
    <t>{52050400} Добровольное личное страхование, предусматривающее выплаты исключительно в случае смерти и (или) причинения вреда здоровью застрахованного лица</t>
  </si>
  <si>
    <t>{52060200} Расходы по найму персонала</t>
  </si>
  <si>
    <t>{52069900} Прочие затраты на персонал</t>
  </si>
  <si>
    <t>{52070100} Авторское вознаграждение за использование интеллектуальной собственности</t>
  </si>
  <si>
    <t>{52070200} Страховые взносы на авторское вознаграждение</t>
  </si>
  <si>
    <t>{52080100} Налог на имущество организаций</t>
  </si>
  <si>
    <t>{52080200} Налог на добычу полезных ископаемых</t>
  </si>
  <si>
    <t>{52080500} Земельный налог</t>
  </si>
  <si>
    <t>{52080600} Транспортный налог</t>
  </si>
  <si>
    <t>{52080700} Водный налог</t>
  </si>
  <si>
    <t>{52080800} Платежи за пользование водными объектами</t>
  </si>
  <si>
    <t>{52080900} Госпошлина</t>
  </si>
  <si>
    <t>{52081000} НДС, включаемый в затраты периода</t>
  </si>
  <si>
    <t>{52081100} Квотирование рабочих мест</t>
  </si>
  <si>
    <t>{52089900} Прочие налоги, сборы и платежи</t>
  </si>
  <si>
    <t>{52090101} Аренда оборудования, находящегося в государственной и муниципальной собственности</t>
  </si>
  <si>
    <t>{52090102} Аренда земли, находящейся в государственной и муниципальной собственности</t>
  </si>
  <si>
    <t>{52090104} Аренда транспортных средств, находящихся в государственной и муниципальной собственности</t>
  </si>
  <si>
    <t>{52090105} Аренда прочих ОС, находящихся в государственной и муниципальной собственности</t>
  </si>
  <si>
    <t>{52090201} Аренда оборудования, кроме находящегося в государственной и муниципальной собственности</t>
  </si>
  <si>
    <t>{52090202} Аренда земли, кроме находящейся в государственной и муниципальной собственности</t>
  </si>
  <si>
    <t>{52090204} Аренда транспортных средств, кроме находящихся в государственной и муниципальной собственности</t>
  </si>
  <si>
    <t>{52090205} Аренда прочих ОС, кроме находящихся в государственной и муниципальной собственности</t>
  </si>
  <si>
    <t>{52090300} Аренда имущества непроизводственного назначения, находящегося в государственной и муниципальной собственности</t>
  </si>
  <si>
    <t>{52090400} Аренда имущества непроизводственного назначения, кроме имущества, находящегося в государственной и муниципальной собственности</t>
  </si>
  <si>
    <t>{52100100} Лизинг производственного оборудования</t>
  </si>
  <si>
    <t>{52100200} Лизинг транспортных средств</t>
  </si>
  <si>
    <t>{52100300} Лизинг прочих объектов ОС</t>
  </si>
  <si>
    <t>{2120000} Расходы, связанные с предоставлением в пользование прав на результаты интеллектуальной деятельности</t>
  </si>
  <si>
    <t>{23} Прочие расходы не в составе EBITDA</t>
  </si>
  <si>
    <t>Городская больница № 2 МУЗ</t>
  </si>
  <si>
    <t>Госметр  завод  ФГУП г. С-Петербург</t>
  </si>
  <si>
    <t>ГОСТЭКСПЕРТСЕРВИС</t>
  </si>
  <si>
    <t>ГОУ ВПО "СГГ</t>
  </si>
  <si>
    <t>{22} Расходы по соц.сфере</t>
  </si>
  <si>
    <t>ГОУТП "ТЭКОС</t>
  </si>
  <si>
    <t>ГП ВО "Автопромимпорт"</t>
  </si>
  <si>
    <t>{2150000} Проценты к уплате по долгосрочным кредитам и займам, кроме облигационных</t>
  </si>
  <si>
    <t>{24} Проценты к уплате</t>
  </si>
  <si>
    <t>Приложение к приказу по</t>
  </si>
  <si>
    <t>Государственной корпорации</t>
  </si>
  <si>
    <t>по атомной энергии "Росатом"</t>
  </si>
  <si>
    <t>Формы сбора данных</t>
  </si>
  <si>
    <t xml:space="preserve">по дочерним и зависимым обществам ГК «Росатом» </t>
  </si>
  <si>
    <t xml:space="preserve">для подготовки консолидированной финансовой отчетности </t>
  </si>
  <si>
    <t>Версия 1.0</t>
  </si>
  <si>
    <t>г. Москва</t>
  </si>
  <si>
    <t>К23</t>
  </si>
  <si>
    <t>К24</t>
  </si>
  <si>
    <t>К25</t>
  </si>
  <si>
    <t>К26</t>
  </si>
  <si>
    <t>К27</t>
  </si>
  <si>
    <t>К28</t>
  </si>
  <si>
    <t>К29</t>
  </si>
  <si>
    <t>К30</t>
  </si>
  <si>
    <t>К31</t>
  </si>
  <si>
    <t>К32</t>
  </si>
  <si>
    <t>К33</t>
  </si>
  <si>
    <t>К34</t>
  </si>
  <si>
    <t>К35</t>
  </si>
  <si>
    <t>К36</t>
  </si>
  <si>
    <t>К37</t>
  </si>
  <si>
    <t>К38</t>
  </si>
  <si>
    <t>К39</t>
  </si>
  <si>
    <t>К40</t>
  </si>
  <si>
    <t>К41</t>
  </si>
  <si>
    <t>К42</t>
  </si>
  <si>
    <t>К43</t>
  </si>
  <si>
    <t>К44</t>
  </si>
  <si>
    <t>К45</t>
  </si>
  <si>
    <t>К46</t>
  </si>
  <si>
    <t>К47</t>
  </si>
  <si>
    <t>К48</t>
  </si>
  <si>
    <t>К49</t>
  </si>
  <si>
    <t>К50</t>
  </si>
  <si>
    <t>К51</t>
  </si>
  <si>
    <t>К52</t>
  </si>
  <si>
    <t>К53</t>
  </si>
  <si>
    <t>Операции (обороты) со связанными сторонами - ассоциированные компании, предприятия под контролем государства.</t>
  </si>
  <si>
    <t>Фиксирование</t>
  </si>
  <si>
    <t>{000001} Нецелевые источники финансирования</t>
  </si>
  <si>
    <t>_1015</t>
  </si>
  <si>
    <t>_1010</t>
  </si>
  <si>
    <t>_2112</t>
  </si>
  <si>
    <t>{2} Общехозяйственные расходы</t>
  </si>
  <si>
    <t>{5} Коммерческие расходы</t>
  </si>
  <si>
    <t>_2113</t>
  </si>
  <si>
    <t>_tara</t>
  </si>
  <si>
    <t>Вид затрат (вторичные)</t>
  </si>
  <si>
    <t>Вид затрат (первичные)</t>
  </si>
  <si>
    <t>_1015_opex</t>
  </si>
  <si>
    <t xml:space="preserve">Вид затрат </t>
  </si>
  <si>
    <t>_2142</t>
  </si>
  <si>
    <t>_6003</t>
  </si>
  <si>
    <t>_2451</t>
  </si>
  <si>
    <t>_2450</t>
  </si>
  <si>
    <t>_2540</t>
  </si>
  <si>
    <t>{30} Взаимозачет задолженности</t>
  </si>
  <si>
    <t>_5100_fin</t>
  </si>
  <si>
    <t>вид движения (финансы)</t>
  </si>
  <si>
    <t>_2420</t>
  </si>
  <si>
    <t>_yn</t>
  </si>
  <si>
    <t>Да \ Нет</t>
  </si>
  <si>
    <t>_2640</t>
  </si>
  <si>
    <t>_2430</t>
  </si>
  <si>
    <t>_2422</t>
  </si>
  <si>
    <t>_2423</t>
  </si>
  <si>
    <t>_1008</t>
  </si>
  <si>
    <t>_1009</t>
  </si>
  <si>
    <t>_2610</t>
  </si>
  <si>
    <t>налоговые проверки</t>
  </si>
  <si>
    <t>_tc</t>
  </si>
  <si>
    <t>налоги</t>
  </si>
  <si>
    <t>_2720</t>
  </si>
  <si>
    <t>{14} Госпошлина</t>
  </si>
  <si>
    <t>_2720_other</t>
  </si>
  <si>
    <t>код налоговых операций</t>
  </si>
  <si>
    <t>{1180900} Процентные доходы от изменения дисконтированной стоимости</t>
  </si>
  <si>
    <t>{1190110} Доходы в виде неустойки в случае неисполнения или ненадлежащего исполнения обязательства (нетто)</t>
  </si>
  <si>
    <t>{1190111} Доходы в виде неустойки в случае неисполнения или ненадлежащего исполнения обязательства (НДС)</t>
  </si>
  <si>
    <t>Списано на прочие расходы отчетного периода (для НИОКР)</t>
  </si>
  <si>
    <t>Выбытие: Демонтаж, ликвидация</t>
  </si>
  <si>
    <t>F_M0110</t>
  </si>
  <si>
    <t>F_M0111</t>
  </si>
  <si>
    <t>F_M0112</t>
  </si>
  <si>
    <t>Наименование</t>
  </si>
  <si>
    <t>Статья расходов будущих периодов</t>
  </si>
  <si>
    <t>2250</t>
  </si>
  <si>
    <t>F_M0154</t>
  </si>
  <si>
    <t>F_M0155</t>
  </si>
  <si>
    <t>F_M0156</t>
  </si>
  <si>
    <t>10</t>
  </si>
  <si>
    <t>20</t>
  </si>
  <si>
    <t>X</t>
  </si>
  <si>
    <t>Операционные затраты за период</t>
  </si>
  <si>
    <t>Затраты на производство</t>
  </si>
  <si>
    <t>Общехозяйственные расходы</t>
  </si>
  <si>
    <t>Расходы на продажу</t>
  </si>
  <si>
    <t>5100</t>
  </si>
  <si>
    <t>Типы проектов</t>
  </si>
  <si>
    <t>Источники финансирования</t>
  </si>
  <si>
    <t>1015_1016</t>
  </si>
  <si>
    <t>Списание затрат периода на себестоимость готовой продукции, товаров, услуг, полуфабрикаты и непроизводственные счета</t>
  </si>
  <si>
    <t>Оборотно-сальдовая ведомость. Заполнение на основании форм сбора данных</t>
  </si>
  <si>
    <t>Заполнение на основании форм сбора данных</t>
  </si>
  <si>
    <t>Комментарии</t>
  </si>
  <si>
    <t>Счет</t>
  </si>
  <si>
    <t>Начальное сальдо</t>
  </si>
  <si>
    <t>Сальдо конечное</t>
  </si>
  <si>
    <t>01</t>
  </si>
  <si>
    <t>Основные средства</t>
  </si>
  <si>
    <t>02</t>
  </si>
  <si>
    <t>Амортизация</t>
  </si>
  <si>
    <t>02.01</t>
  </si>
  <si>
    <t>Амортизация ОС</t>
  </si>
  <si>
    <t>02.02</t>
  </si>
  <si>
    <t>Амортизация доходных вложений в материальные ценности</t>
  </si>
  <si>
    <t>03</t>
  </si>
  <si>
    <t>Доходные вложения в материальные ценности</t>
  </si>
  <si>
    <t>04</t>
  </si>
  <si>
    <t>НМА</t>
  </si>
  <si>
    <t>04.01</t>
  </si>
  <si>
    <t>04.02</t>
  </si>
  <si>
    <t>НИОКР</t>
  </si>
  <si>
    <t>04.03</t>
  </si>
  <si>
    <t>Деловая репутация</t>
  </si>
  <si>
    <t>05</t>
  </si>
  <si>
    <t>Амортизация НМА</t>
  </si>
  <si>
    <t>05.01</t>
  </si>
  <si>
    <t>05.02</t>
  </si>
  <si>
    <t>Амортизация НИОКР</t>
  </si>
  <si>
    <t>05.03</t>
  </si>
  <si>
    <t>07</t>
  </si>
  <si>
    <t>Оборудование к установке</t>
  </si>
  <si>
    <t>08</t>
  </si>
  <si>
    <t>Капитальные вложения</t>
  </si>
  <si>
    <t>09</t>
  </si>
  <si>
    <t>Отложенный налоговый актив</t>
  </si>
  <si>
    <t>Материалы</t>
  </si>
  <si>
    <t>11</t>
  </si>
  <si>
    <t>Животные на выращивании и откорме</t>
  </si>
  <si>
    <t>14</t>
  </si>
  <si>
    <t>Резервы под снижение стоимости материальных ценностей</t>
  </si>
  <si>
    <t>14.01</t>
  </si>
  <si>
    <t>Резервы под снижение стоимости материалов</t>
  </si>
  <si>
    <t>14.02</t>
  </si>
  <si>
    <t>Резервы под снижение стоимости товаров</t>
  </si>
  <si>
    <t>14.03</t>
  </si>
  <si>
    <t>Резервы под снижение стоимости готовой продукции</t>
  </si>
  <si>
    <t>14.04</t>
  </si>
  <si>
    <t>Резервы под снижение стоимости товаров отгруженных</t>
  </si>
  <si>
    <t>14.05</t>
  </si>
  <si>
    <t>Резервы под снижение стоимости незавершенного производства</t>
  </si>
  <si>
    <t>14.06</t>
  </si>
  <si>
    <t>Резервы под снижение стоимости  полуфабрикатов и комплектующих изделий собственного производства</t>
  </si>
  <si>
    <t>15</t>
  </si>
  <si>
    <t>Заготовление и приобретение материальных ценностей</t>
  </si>
  <si>
    <t>15.01</t>
  </si>
  <si>
    <t>Приобретение материалов</t>
  </si>
  <si>
    <t>15.02</t>
  </si>
  <si>
    <t>Приобретение товаров</t>
  </si>
  <si>
    <t>15.03</t>
  </si>
  <si>
    <t>Приобретение оборудования к установке</t>
  </si>
  <si>
    <t>15.04</t>
  </si>
  <si>
    <t>Счет 80. Уставный капитал</t>
  </si>
  <si>
    <t>Уменьшение номинальной стоимости акций</t>
  </si>
  <si>
    <t>Аннулирование собственных акций (долей)</t>
  </si>
  <si>
    <t>Взносы в качестве вклада в УК</t>
  </si>
  <si>
    <t>Увеличение за счет нераспределенной прибыли</t>
  </si>
  <si>
    <t>денежные средства</t>
  </si>
  <si>
    <t>Кол-во акций</t>
  </si>
  <si>
    <t>F_M1001</t>
  </si>
  <si>
    <t>F_M1002</t>
  </si>
  <si>
    <t>F_M1005</t>
  </si>
  <si>
    <t>F_M1006</t>
  </si>
  <si>
    <t>F_M1007</t>
  </si>
  <si>
    <t>F_M1008</t>
  </si>
  <si>
    <t>F_M1009</t>
  </si>
  <si>
    <t>F_M1010</t>
  </si>
  <si>
    <t>Счет 83. Добавочный капитал</t>
  </si>
  <si>
    <t>Погашение убытков</t>
  </si>
  <si>
    <t>Уценка внеоборотных активов в пределах проведенной дооценки</t>
  </si>
  <si>
    <t>Списание суммы дооценки по выбывшим объектам ОС (84)</t>
  </si>
  <si>
    <t>Курсовая разница, связанная с расчетами с учредителями по вкладам</t>
  </si>
  <si>
    <t xml:space="preserve">Прочие обороты </t>
  </si>
  <si>
    <t>F_M1011</t>
  </si>
  <si>
    <t>F_M1012</t>
  </si>
  <si>
    <t>F_M1013</t>
  </si>
  <si>
    <t>F_M1014</t>
  </si>
  <si>
    <t>F_M1015</t>
  </si>
  <si>
    <t>F_M1016</t>
  </si>
  <si>
    <t>F_M1017</t>
  </si>
  <si>
    <t>{100_~} Переоценка внеоборотных активов</t>
  </si>
  <si>
    <t>{200_~} Эмиссионный доход</t>
  </si>
  <si>
    <t>{200_01} Эмиссионный доход (Обыкновенные акции)</t>
  </si>
  <si>
    <t>{200_02} Эмиссионный доход (Привилегированные акции)</t>
  </si>
  <si>
    <t>{300_~} Присоединение сумм использованных целевых средств</t>
  </si>
  <si>
    <t>{310_~} Присоединение сумм использованных целевых средств (федеральный бюджет)</t>
  </si>
  <si>
    <t>{311_~} Основные средства (федеральный бюджет)</t>
  </si>
  <si>
    <t>{312_~} НМА (федеральный бюджет)</t>
  </si>
  <si>
    <t>{313_~} Ценные бумаги (федеральный бюджет)</t>
  </si>
  <si>
    <t>{314_~} Паи и доли (федеральный бюджет)</t>
  </si>
  <si>
    <t>{320_~} Присоединение сумм использованных целевых средств (прочее целевое финансирование)</t>
  </si>
  <si>
    <t>{321_~} Основные средства (прочее целевое финансирование)</t>
  </si>
  <si>
    <t>{322_~} НМА  (прочее целевое финансирование)</t>
  </si>
  <si>
    <t>{323_~} Ценные бумаги (прочее целевое финансирование)</t>
  </si>
  <si>
    <t>{324_~} Паи и доли (прочее целевое финансирование)</t>
  </si>
  <si>
    <t>{400_~} Вклад в имущество общества с ограниченной ответственностью</t>
  </si>
  <si>
    <t>{500_~} Курсовая разница по вкладам в уставный (складочный) капитал, выраженным в иностранной валюте</t>
  </si>
  <si>
    <t>{501_~} Курсовые разницы, возникающие в результате пересчета выраженной в иностранной валюте стоимости активов и обязательств организации, используемых для ведения деятельности за пределами РФ</t>
  </si>
  <si>
    <t>{600_~} Суммы НДС, восстановленного учредителем при передаче имущества в счет вклада в уставный капитал</t>
  </si>
  <si>
    <t>{700_~} Другие источники</t>
  </si>
  <si>
    <t>{800_~} Отложенный доход (убыток) по производным финансовым инструментам</t>
  </si>
  <si>
    <t>{810_~} Отложенный доход по ПФИ</t>
  </si>
  <si>
    <t>{820_~} Отложенный убыток по ПФИ</t>
  </si>
  <si>
    <t>Расшифровка данных по дополнительной эмиссии по счету 83</t>
  </si>
  <si>
    <t>ИНН Контрагента</t>
  </si>
  <si>
    <t>Расшифровка сальдо эмиссионного дохода по инвесторам на начало отчетного периода</t>
  </si>
  <si>
    <t>Расшифровка сальдо эмиссионного дохода по инвесторам на конец отчетного периода</t>
  </si>
  <si>
    <t>Счет 84. Нераспределенная прибыль/непокрытый убыток</t>
  </si>
  <si>
    <t>Статьи, формирующие счета "Нераспределенная прибыль" и "Нераспределенная прибыль прошлых лет"</t>
  </si>
  <si>
    <t>Остаток на начало</t>
  </si>
  <si>
    <t>Остаток на конец</t>
  </si>
  <si>
    <t>F_M1025</t>
  </si>
  <si>
    <t>ЦФО 3</t>
  </si>
  <si>
    <t>{1} Внутренний рынок</t>
  </si>
  <si>
    <t>Счет 99. Прибыль и убытки</t>
  </si>
  <si>
    <t>Начислены пени по налогу на прибыль (68 счет)</t>
  </si>
  <si>
    <t>Дополнительная эмиссия: данные в таблицу 83_расш перенесены полностью</t>
  </si>
  <si>
    <t>91_01</t>
  </si>
  <si>
    <t>91_02</t>
  </si>
  <si>
    <t>Результат</t>
  </si>
  <si>
    <t>{52110100} Обслуживание вычислительной и орг.техники (сторонние организации)</t>
  </si>
  <si>
    <t>{52110200} Программное и информационное обеспечение (лицензии) (сторонние организации)</t>
  </si>
  <si>
    <t>{52110300} Сопровождение и поддержка программного обеспечения (в т.ч. Справочно-правовых систем).</t>
  </si>
  <si>
    <t>{52110800} IT-ресурсы длительного использования (свыше 12 мес.), не являющиеся основными средствами согласно учетной политике</t>
  </si>
  <si>
    <t>{52120100} Услуги сотовой связи, кроме технологической</t>
  </si>
  <si>
    <t>{52120200} Услуги сотовой связи технологической</t>
  </si>
  <si>
    <t>{52130000} Услуги специальной связи</t>
  </si>
  <si>
    <t>{52140100} Услуги связи сторонних организаций (кроме услуг сотовой, технологической и специальной связи)</t>
  </si>
  <si>
    <t>{52140200} Аренда каналов связи сторонних организаций</t>
  </si>
  <si>
    <t>{2160000} Проценты к уплате по краткосрочным кредитам и займам, кроме облигационных</t>
  </si>
  <si>
    <t>{2180100} Проценты к уплате по долгосрочным облигационным займам</t>
  </si>
  <si>
    <t>{2180200} Проценты к уплате по краткосрочным облигационным займам</t>
  </si>
  <si>
    <t>{2180300} Процентные расходы по иным долгосрочным ценным бумагам</t>
  </si>
  <si>
    <t>{2180400} Процентные расходы по иным краткосрочным ценным бумагам</t>
  </si>
  <si>
    <t>{2180900} Процентные расходы от изменения дисконтированной стоимости</t>
  </si>
  <si>
    <t>{2190200} Расходы в виде возмещения убытков, причиненных неисполнением или ненадлежащим исполнением обязательства</t>
  </si>
  <si>
    <t>ГУ "НПО "Тайфун"</t>
  </si>
  <si>
    <t>ГУ "Редакция газеты "Тверская жизнь"</t>
  </si>
  <si>
    <t>{2190400} Компенсация работникам морального вреда, определяемая соглашением сторон трудового договора или судом, за счет средств организации</t>
  </si>
  <si>
    <t>ГУ "СПЕЦИАЛЬ</t>
  </si>
  <si>
    <t>ГУ ТВЕРСКОЙ ЦГМС</t>
  </si>
  <si>
    <t>ГУВД ПО ИРКУ</t>
  </si>
  <si>
    <t>ГУП "Агентство по госзаказу"</t>
  </si>
  <si>
    <t>ГУП "Аптека   42" ФМБА России</t>
  </si>
  <si>
    <t>ГУП "Мосгаз"</t>
  </si>
  <si>
    <t>ГУП "Мосгортранс"</t>
  </si>
  <si>
    <t>ГУП "ТЭК СПб"</t>
  </si>
  <si>
    <t>ГУП "ЧИТАГЕОЛОГОРАЗВЕДКА"</t>
  </si>
  <si>
    <t>{2220700} Расходы на резервы под обесценение долговых ценных бумаг, приобретенных для торговли</t>
  </si>
  <si>
    <t>ГУП РО "Редакция газеты "Наше время"</t>
  </si>
  <si>
    <t>{2220800} Расходы на резервы под обесценение долговых ценных бумаг, приобретенных для прочих целей</t>
  </si>
  <si>
    <t>{2220900} Расходы на резервы под обесценение прочих финансовых вложений</t>
  </si>
  <si>
    <t>ГУЧ Медико-санитарная часть   135</t>
  </si>
  <si>
    <t>ГУЧ Министерство лесного хозяйства природопользов</t>
  </si>
  <si>
    <t>ГУЧ Прокуратура Иркутской области</t>
  </si>
  <si>
    <t>Департамент Росприроднадзора</t>
  </si>
  <si>
    <t>Департамент Росприроднадзора по Центральному федеральному округу л/с 04731819180</t>
  </si>
  <si>
    <t>ДОАО "Центрэнергогаз" ОАО "Газпром"</t>
  </si>
  <si>
    <t>ДОАО ЦКБН ОАО "Газпром"</t>
  </si>
  <si>
    <t>Дорожная клиническая больница на ст.Челябинска ОАО "РЖД"</t>
  </si>
  <si>
    <t>{2260000} Списание дебиторской задолженности, под которую не сформирован резерв по сомнительной задолженности</t>
  </si>
  <si>
    <t>Забтэк</t>
  </si>
  <si>
    <t>{2270000} Расходы в виде недостачи материальных ценностей в производстве, убытки от хищений</t>
  </si>
  <si>
    <t>Завод "Газпроммаш"</t>
  </si>
  <si>
    <t>Завод СиН-газ ЗАО</t>
  </si>
  <si>
    <t>Закрытое акционерное общество "Газпромбанк Лизинг"</t>
  </si>
  <si>
    <t>{2280500} Балансовая стоимость списываемого объекта нематериальных активов</t>
  </si>
  <si>
    <t>ЗАКРЫТОЕ АКЦИОНЕРНОЕ ОБЩЕСТВО "ГАЗПРОМБАНК -УПРАВЛЕНИЕАКТИВАМИ " ДУ</t>
  </si>
  <si>
    <t>{2280600} Расходы на ликвидацию списываемого объекта нематериальных активов</t>
  </si>
  <si>
    <t>Закрытое акционерное общество "Магнитогорскгазстрой"</t>
  </si>
  <si>
    <t>{2280700} Работы по мобилизационной подготовке</t>
  </si>
  <si>
    <t>{2280800} Расходы по консервации объектов</t>
  </si>
  <si>
    <t>ЗАО "АвиаТАР"</t>
  </si>
  <si>
    <t>{2280900} Расходы по содержанию законсервированных объектов</t>
  </si>
  <si>
    <t>ЗАО "АВТОЦЕНТР КрасГАЗсервис"</t>
  </si>
  <si>
    <t>{2281100} Расходы на ликвидацию прочих ТМЦ</t>
  </si>
  <si>
    <t>ЗАО "БайкалГАЗсервис"</t>
  </si>
  <si>
    <t>{2300100} Расходы, осуществляемые в рамках субсидий из федерального, региональных и местных бюджетов (в рамках инвестиционной деятельности)</t>
  </si>
  <si>
    <t>{2300200} Расходы, осуществляемые в рамках субсидий из федерального, региональных и местных бюджетов (в рамках операционной и финансовой деятельности)</t>
  </si>
  <si>
    <t>{2310100} Расходы, осуществляемые в рамках международной безвозмездной материально-технической помощи</t>
  </si>
  <si>
    <t>ЗАО "ВНИИСТ-Нефтегазпроект"</t>
  </si>
  <si>
    <t>{2310200} Расходы, осуществляемые в рамках средств Специальных резервных фондов ГК</t>
  </si>
  <si>
    <t>{2310400} Расходы, осуществляемые в рамках прочего целевого финансирования</t>
  </si>
  <si>
    <t>ЗАО "ГАЗАВИА"</t>
  </si>
  <si>
    <t>{2360330} Расходы, связанные с получением облигационных займов. Прочие расходы, связанные с привлечением кредитов и займов</t>
  </si>
  <si>
    <t>ЗАО "Издательство "Российская газета"</t>
  </si>
  <si>
    <t>{2370000} Расходы, связанные с предоставлением займов</t>
  </si>
  <si>
    <t>ЗАО "ИТС "Диатэкс"</t>
  </si>
  <si>
    <t>ЗАО "КировТЭК"</t>
  </si>
  <si>
    <t>ЗАО "КТПИ "Газпроект"</t>
  </si>
  <si>
    <t>{2400200} Земельный налог</t>
  </si>
  <si>
    <t>ЗАО "Металлгазснаб"</t>
  </si>
  <si>
    <t>{2400300} Платежи за нег. возд.на окр.среду в пределах норм (в пределах норм, установленных в приложении)</t>
  </si>
  <si>
    <t>{2400400} Платежи за нег. возд.на окр.среду сверх норм (сверх норм установленных в приложении)</t>
  </si>
  <si>
    <t>ЗАО "МО "Газцентр"</t>
  </si>
  <si>
    <t>ЗАО "Мособлтрансагентство"</t>
  </si>
  <si>
    <t>{2409900} Прочие налоги и сборы</t>
  </si>
  <si>
    <t>ЗАО "ОбнинскНефтеГаз"</t>
  </si>
  <si>
    <t>ЗАО "ОПТЭК"</t>
  </si>
  <si>
    <t>ЗАО "Поморнефтегазгеофизика"</t>
  </si>
  <si>
    <t>ЗАО "ПТК Нефтьгазкомплект"</t>
  </si>
  <si>
    <t>ЗАО "РЕДАКЦИЯ "НЕЗАВИСИМОЙ ГАЗЕТЫ"</t>
  </si>
  <si>
    <t>ЗАО "Российские газеты"</t>
  </si>
  <si>
    <t>ЗАО "РОСТЭК - Татарстан"</t>
  </si>
  <si>
    <t>ЗАО "РОСТЭК-Забайкальск"</t>
  </si>
  <si>
    <t>ЗАО "РОСТЭК-Нижний Новгород"</t>
  </si>
  <si>
    <t>ЗАО "Сбербанк Лизинг"</t>
  </si>
  <si>
    <t>ЗАО "Севергазстроймонтаж"</t>
  </si>
  <si>
    <t>ЗАО "СИЛТЭК"</t>
  </si>
  <si>
    <t>ЗАО "СТЭК"</t>
  </si>
  <si>
    <t>ЗАО "Сургутнефтегазбанк"</t>
  </si>
  <si>
    <t>ЗАО "Терминалнефтегаз"</t>
  </si>
  <si>
    <t>ЗАО "Техногаз"</t>
  </si>
  <si>
    <t>ЗАО "Техногазсервис"</t>
  </si>
  <si>
    <t>ЗАО "УРАЛСЕВЕРГАЗ"</t>
  </si>
  <si>
    <t>ЗАО "Хатангский морской торговый порт"</t>
  </si>
  <si>
    <t>ЗАО "Центргазпромстрой"</t>
  </si>
  <si>
    <t>ЗАО "Центрогаз"</t>
  </si>
  <si>
    <t>ЗАО "ЭНЕРГОХИМТЭК"</t>
  </si>
  <si>
    <t>ЗАО "ЮКОН ДАТА"</t>
  </si>
  <si>
    <t>ЗАО АБ "Газпромбанк"</t>
  </si>
  <si>
    <t>ЗАО АСК "Юнитэк-Инжиниринг" (СБ РФ N 7825 ХИМКИНСКОЕ Г.ХИМКИ)</t>
  </si>
  <si>
    <t>ЗАО Газекс</t>
  </si>
  <si>
    <t>ЗАО з-д Уралтехгаз</t>
  </si>
  <si>
    <t>ЗАО ИТЦ "Газтехнадзор"</t>
  </si>
  <si>
    <t>ЗАО КБ "ГАЗБАНК"</t>
  </si>
  <si>
    <t>ЗАО СКБ "ХРОМАТЭК"</t>
  </si>
  <si>
    <t>ЗАО ЭНТЭК</t>
  </si>
  <si>
    <t>ЗАОР "НП Жуковмежрайгаз''</t>
  </si>
  <si>
    <t>{2600100} Возмещение расходов профсоюзным организациям по предоставлению путевок в санатории и дома отдыха для работников и членов их семей</t>
  </si>
  <si>
    <t>Згазэнергобанк ОАО/ Барциховский Ю.Б.</t>
  </si>
  <si>
    <t>{2600300} Расходы на проведение спортивных мероприятий, перечисляемые профсоюзному комитету</t>
  </si>
  <si>
    <t>ИБРАЭ РАН</t>
  </si>
  <si>
    <t>Иванино МУП</t>
  </si>
  <si>
    <t>{2600500} Добровольное медицинское страхование работников профсоюзных организаций</t>
  </si>
  <si>
    <t>ИННОТЭК Центр инноваций и развития</t>
  </si>
  <si>
    <t>Интэкс ООО</t>
  </si>
  <si>
    <t>ИНЭИ РАН</t>
  </si>
  <si>
    <t>{2630000} Гранты</t>
  </si>
  <si>
    <t>ИПЦ ООО</t>
  </si>
  <si>
    <t>Искра-Турбогаз</t>
  </si>
  <si>
    <t>{2650000} Выплаты членам наблюдательного совета</t>
  </si>
  <si>
    <t>ИФНС России N 13 по г. Москве</t>
  </si>
  <si>
    <t>{2660000} Выплаты членам ревизионной комиссии</t>
  </si>
  <si>
    <t>ИХ ДВО РАН</t>
  </si>
  <si>
    <t xml:space="preserve">{41} Расчеты по компенсационным выплатам от работодателя, не выполнившего условия квотирования </t>
  </si>
  <si>
    <t xml:space="preserve">{32} Расчеты с Территориальным фондом ОМС </t>
  </si>
  <si>
    <t xml:space="preserve">{31} Расчеты с Федеральным фондом ОМС </t>
  </si>
  <si>
    <t xml:space="preserve">{21} Расчеты с Пенсионным фондом РФ по страховой части трудовой пенсии </t>
  </si>
  <si>
    <t xml:space="preserve">{12} Расчеты по страхованию от несчастных случаев на производстве и профзаболеваний </t>
  </si>
  <si>
    <t>F_M0622</t>
  </si>
  <si>
    <t>F_M0621</t>
  </si>
  <si>
    <t>F_M0620</t>
  </si>
  <si>
    <t>F_M0619</t>
  </si>
  <si>
    <t>F_M0617</t>
  </si>
  <si>
    <t>F_M0616</t>
  </si>
  <si>
    <t>F_M0615</t>
  </si>
  <si>
    <t>Пени</t>
  </si>
  <si>
    <t>Остаток на конец период</t>
  </si>
  <si>
    <t>Начисление:</t>
  </si>
  <si>
    <t>Использование средств внебюджетного фонда</t>
  </si>
  <si>
    <t>Уплачено во внебюджетный фонд</t>
  </si>
  <si>
    <t>Счет 69. Расчеты по социальному страхованию и обеспечению</t>
  </si>
  <si>
    <t xml:space="preserve">      {3} Сумма пеней</t>
  </si>
  <si>
    <t xml:space="preserve">      {2} Сумма штрафов</t>
  </si>
  <si>
    <t xml:space="preserve">      {1} Сумма налога, сбора, страхового взноса</t>
  </si>
  <si>
    <t>{4} Расчеты ответственного участника с участниками КГН</t>
  </si>
  <si>
    <t>{3} Расчетная сумма налога ответственного участника КГН</t>
  </si>
  <si>
    <t>{2} Расчеты с ответственным участником КГН</t>
  </si>
  <si>
    <t>{1} Расчетная сумма налога участников КГН</t>
  </si>
  <si>
    <t xml:space="preserve">Итого </t>
  </si>
  <si>
    <t>Счет 78. Расчеты с участниками КГН</t>
  </si>
  <si>
    <t>{14} Отложенное налоговое обязательство по прочим расходам</t>
  </si>
  <si>
    <t>{13} Отложенное налоговое обязательство по курсовым разницам</t>
  </si>
  <si>
    <t>{12} Отложенное налоговое обязательство по расходам на спецодежду и оснастку</t>
  </si>
  <si>
    <t>{11} Отложенное налоговое обязательство по процентам от полученных кредитов (займов)</t>
  </si>
  <si>
    <t>{10} Отложенное налоговое обязательство по расходам на программное обеспечение</t>
  </si>
  <si>
    <t>{09} Отложенное налоговое обязательство по расходам на освоение природных ресурсов</t>
  </si>
  <si>
    <t xml:space="preserve">{08} Отложенное налоговое обязательство по резерву сомнительных долгов </t>
  </si>
  <si>
    <t>{07} Отложенное налоговое обязательство по амортизация основных средств</t>
  </si>
  <si>
    <t>{06} Отложенное налоговое обязательство по амортизации нематериальных активов</t>
  </si>
  <si>
    <t>{05} Отложенное налоговое обязательство по сырью, материалам, готовой продукции</t>
  </si>
  <si>
    <t>{04} Отложенное налоговое обязательство по незавершенному производству</t>
  </si>
  <si>
    <t>{03} Отложенное налоговое обязательство по прочим доходам</t>
  </si>
  <si>
    <t>{02} Отложенное налоговое обязательство по доходам от участия в других организациях</t>
  </si>
  <si>
    <t>{01} Отложенное налоговое обязательство по реализации товаров, работ, услуг</t>
  </si>
  <si>
    <t>Отложенные налоговые обязательства</t>
  </si>
  <si>
    <t>Счет 77. Отложенные налоговые обязательства</t>
  </si>
  <si>
    <t>Штрафные санкции по налогам и сборам</t>
  </si>
  <si>
    <t>Корректировки налога на прибыль за предыдущие периоды</t>
  </si>
  <si>
    <t>Итого налог на прибыль за период</t>
  </si>
  <si>
    <t>Налог на прибыль по дивидендам, полученным от иностранных организаций</t>
  </si>
  <si>
    <t>Текущий налог на прибыль за период</t>
  </si>
  <si>
    <t>Налог на прибыль ОПУ</t>
  </si>
  <si>
    <t>Эффект от применения льготной ставки по налогу на прибыль</t>
  </si>
  <si>
    <t>Налоговый убыток отчетного периода</t>
  </si>
  <si>
    <t>Налогооблагаемая прибыль отчетного периода</t>
  </si>
  <si>
    <t>Расходы на спецодежду и оснастку</t>
  </si>
  <si>
    <t>Проценты по полученным кредитам (займам)</t>
  </si>
  <si>
    <t>Расходы на программное обеспечение</t>
  </si>
  <si>
    <t>Расходы на освоение природных ресурсов</t>
  </si>
  <si>
    <t xml:space="preserve">Резервы по сомнительным долгам </t>
  </si>
  <si>
    <t>Амортизация основных средств</t>
  </si>
  <si>
    <t>Амортизация нематериальных активов</t>
  </si>
  <si>
    <t>Себестоимость сырья, материалов, готовой продукции</t>
  </si>
  <si>
    <t>Себестоимость незавершенного производства</t>
  </si>
  <si>
    <t>Доходы от участия в других организациях</t>
  </si>
  <si>
    <t>Выручка от реализации товаров, работ, услуг</t>
  </si>
  <si>
    <t>Убыток по ценным бумагам (необращающиеся)</t>
  </si>
  <si>
    <t>Убыток по ценным бумагам (обращающиеся)</t>
  </si>
  <si>
    <t>Расходы на страхование</t>
  </si>
  <si>
    <t>Сверка с 09 счетом (остаток на конец периода</t>
  </si>
  <si>
    <t>Вычитаемые временные разницы (различия в оценке активов и обязательств для целей бухгалтерского учета и налогообложения):</t>
  </si>
  <si>
    <t>Временные разницы (различия в оценке активов и обязательств для целей бухгалтерского учета и налогообложения):</t>
  </si>
  <si>
    <t>Доходы, не признаваемые в бухгалтерском учете и признаваемые в налоговом</t>
  </si>
  <si>
    <t>ООО "Завод углеродных и композиционных материалов"</t>
  </si>
  <si>
    <t>ИРМ</t>
  </si>
  <si>
    <t>от возврата предоставленных займов, от продажи долговых ценных бумаг (прав требования денежных средств к другим лицам)</t>
  </si>
  <si>
    <t>дивидендов, процентов по долговым финансовым вложениям и аналогичных поступлений от долевого участия в других организациях</t>
  </si>
  <si>
    <t>в связи с приобретением, созданием, модернизацией, реконструкцией и подготовкой к использованию внеоборотных активов</t>
  </si>
  <si>
    <t>в связи с приобретением акций других организаций (долей участия)</t>
  </si>
  <si>
    <t>в связи с приобретением долговых ценных бумаг (прав требования денежных средств к другим лицам), предоставление займов другим лицам</t>
  </si>
  <si>
    <t>процентов по долговым обязательствам, включаемым в стоимость инвестиционного актива</t>
  </si>
  <si>
    <t>Сальдо денежных потоков от инвестиционных операций</t>
  </si>
  <si>
    <t>Денежные потоки от финансовых операций</t>
  </si>
  <si>
    <t>получение кредитов и займов</t>
  </si>
  <si>
    <t>денежных вкладов собственников (участников)</t>
  </si>
  <si>
    <t>от выпуска акций, увеличения долей участия</t>
  </si>
  <si>
    <t>от выпуска облигаций, векселей и других долговых ценных бумаг и др.</t>
  </si>
  <si>
    <t>бюджетные ассигнования и иное целевое финансирование</t>
  </si>
  <si>
    <t>собственникам (участникам) в связи с выкупом у них акций (долей участия) организации или их выходом из состава участников</t>
  </si>
  <si>
    <t>на уплату дивидендов и иных платежей по распределению прибыли в пользу собственников (участников)</t>
  </si>
  <si>
    <t>в связи с погашением (выкупом) векселей и других долговых ценных бумаг, возврат кредитов и займов</t>
  </si>
  <si>
    <t>Сальдо денежных потоков от финансовых операций</t>
  </si>
  <si>
    <t>Сальдо денежных потоков за отчетный период</t>
  </si>
  <si>
    <t>Остаток денежных средств и денежных эквивалентов на начало отчетного периода</t>
  </si>
  <si>
    <t>Остаток денежных средств  и денежных эквивалентов на конец отчетного периода</t>
  </si>
  <si>
    <t>Величина влияния изменений курса иностранной валюты по отношению к рублю</t>
  </si>
  <si>
    <t>Данные для корректировки на суммы НДС.</t>
  </si>
  <si>
    <t>{DKK} Датская крона</t>
  </si>
  <si>
    <t xml:space="preserve">{ISK} Исландская крона </t>
  </si>
  <si>
    <t xml:space="preserve">{KZT} Казахский тенге </t>
  </si>
  <si>
    <t>{CAD} Канадский доллар</t>
  </si>
  <si>
    <t>{CNY} Китайский юань</t>
  </si>
  <si>
    <t>{NOK} Норвежская крона</t>
  </si>
  <si>
    <t>{SGD}  Сингапурский доллар</t>
  </si>
  <si>
    <t>{TRY} Турецкая лира</t>
  </si>
  <si>
    <t>{UAH} Украинская гривна</t>
  </si>
  <si>
    <t>{GBP} Фунт стерлингов</t>
  </si>
  <si>
    <t>{SEK} Шведская крона</t>
  </si>
  <si>
    <t xml:space="preserve">{CHF} Швейцарский франк </t>
  </si>
  <si>
    <t xml:space="preserve">{JPY} Японская иена </t>
  </si>
  <si>
    <t>{AZN} Азербайджанский манат</t>
  </si>
  <si>
    <t>{DZD} Алжирский динар</t>
  </si>
  <si>
    <t>{ARS} Аргентинское песо</t>
  </si>
  <si>
    <t>{AMD} Армянский драм</t>
  </si>
  <si>
    <t>{AWG} Арубанский гульден</t>
  </si>
  <si>
    <t>{AFN} Афгани</t>
  </si>
  <si>
    <t>{BSD} Багамский доллар</t>
  </si>
  <si>
    <t>{PAB} Бальбоа</t>
  </si>
  <si>
    <t>{BBD} Барбадосский доллар</t>
  </si>
  <si>
    <t>{THB} Бат</t>
  </si>
  <si>
    <t>{BHD} Бахрейнский динар</t>
  </si>
  <si>
    <t>{BZD} Белизский доллар</t>
  </si>
  <si>
    <t>{BMD} Бермудский доллар</t>
  </si>
  <si>
    <t>{BGN} Болгарский лев</t>
  </si>
  <si>
    <t>{VEB} Боливар</t>
  </si>
  <si>
    <t>{VEF} Боливар фуэрте</t>
  </si>
  <si>
    <t>{BOB} Боливиано</t>
  </si>
  <si>
    <t>{BRL} Бразильский реал</t>
  </si>
  <si>
    <t>{BND} Брунейский доллар</t>
  </si>
  <si>
    <t>{BIF} Бурундийский франк</t>
  </si>
  <si>
    <t>{VUV} Вату</t>
  </si>
  <si>
    <t>{KRW} Вона</t>
  </si>
  <si>
    <t>{XCD} Восточно-карибский доллар</t>
  </si>
  <si>
    <t>{GYD} Гайанский доллар</t>
  </si>
  <si>
    <t>{GNF} Гвинейский франк</t>
  </si>
  <si>
    <t>{1241050_~_~_~} Платежи по сборам за пользование объектами животного мира и за пользование объектами водных биологических ресурсов</t>
  </si>
  <si>
    <t>{1241060_~_~_~} Платежи по водному налогу</t>
  </si>
  <si>
    <t>{1241070_~_~_~} Государственная пошлина</t>
  </si>
  <si>
    <t>{1241080_~_~_~} Платежи по налогу на добычу полезных ископаемых</t>
  </si>
  <si>
    <t>{1241090_~_~_~} Платежи по единому сельскохозяйственному налогу</t>
  </si>
  <si>
    <t>{1241100_~_~_~} Платежи по упрощенной системе налогообложения</t>
  </si>
  <si>
    <t>{1241110_~_~_~} Платежи по единому налогу на вмененный доход</t>
  </si>
  <si>
    <t>{1241120_~_~_~} Платежи по транспортному налогу</t>
  </si>
  <si>
    <t>{1241130_~_~_~} Платежи по налогу на имущество организаций</t>
  </si>
  <si>
    <t>{1241140_~_~_~} Платежи по земельному налогу</t>
  </si>
  <si>
    <t>{1241150_~_~_~} Платежи по налогу на прибыль КГН</t>
  </si>
  <si>
    <t>{1241990_~_~_~} Прочие платежи по налогам и сборам</t>
  </si>
  <si>
    <t>{1240000_~_~_~} Выплаты по налогам и сборам</t>
  </si>
  <si>
    <t>Итого 4124</t>
  </si>
  <si>
    <t>{1290100_~_~_~} Расходы в виде санкций за нарушение договорных обязательств</t>
  </si>
  <si>
    <t>{5230100_~_~_~} Расходы от операций купли-продажи иностранной валюты</t>
  </si>
  <si>
    <t>{1290300_~_~_~} Банковские услуги и комиссия</t>
  </si>
  <si>
    <t>{1290400_~_~_~} Судебные расходы и арбитражные сборы</t>
  </si>
  <si>
    <t>{1290500_~_~_~} Расходы на корпоративные, спортивные и культурные мероприятия</t>
  </si>
  <si>
    <t>{1290600_~_~_~} Расходы на благотворительные цели и добровольные взносы</t>
  </si>
  <si>
    <t>{1290700_~_~_~} Платежи профсоюзным организациям</t>
  </si>
  <si>
    <t>{1290800_~_~_~} Платежи по специальным экологическим программам</t>
  </si>
  <si>
    <t>{1290900_~_~_~} Перечисление средств отраслевых резервов</t>
  </si>
  <si>
    <t>{5230900_~_~_~} Выдача денежных документов</t>
  </si>
  <si>
    <t>{1291100_~_~_~} Платежи за услуги по демонтажу и ликвидации объектов</t>
  </si>
  <si>
    <t>{1291200_~_~_~} Платежи за услуги по рекультивации земель</t>
  </si>
  <si>
    <t>{1291300_~_~_~} Выплата грантов</t>
  </si>
  <si>
    <t>{1299901_~_~_~} Предоставление ссуд работникам организации</t>
  </si>
  <si>
    <t>{INR} Индийская рупия</t>
  </si>
  <si>
    <t>{JOD} Иорданский динар</t>
  </si>
  <si>
    <t>{IQD} Иракский динар</t>
  </si>
  <si>
    <t>{IRR} Иранский риал</t>
  </si>
  <si>
    <t>{YER} Йеменский риал</t>
  </si>
  <si>
    <t>{QAR} Катарский риал</t>
  </si>
  <si>
    <t>{AOA} Кванза</t>
  </si>
  <si>
    <t>{MWK} Квача</t>
  </si>
  <si>
    <t>{KES} Кенийский шиллинг</t>
  </si>
  <si>
    <t>{GTQ} Кетсаль</t>
  </si>
  <si>
    <t>{PGK} Кина</t>
  </si>
  <si>
    <t>{LAK} Кип</t>
  </si>
  <si>
    <t>{CYP} Кипрский фунт</t>
  </si>
  <si>
    <t>{COP} Колумбийское песо</t>
  </si>
  <si>
    <t>{BAM} Конвертируемая марка</t>
  </si>
  <si>
    <t>{CUC} Конвертируемое песо</t>
  </si>
  <si>
    <t>{CDF} Конголезский франк</t>
  </si>
  <si>
    <t>{CRC} Костариканский колон</t>
  </si>
  <si>
    <t>{EEK} Крона</t>
  </si>
  <si>
    <t>{CUP} Кубинское песо</t>
  </si>
  <si>
    <t>{KWD} Кувейтский динар</t>
  </si>
  <si>
    <t>{MMK} Кьят</t>
  </si>
  <si>
    <t>{GEL} Лари</t>
  </si>
  <si>
    <t>{LVL} Латвийский лат</t>
  </si>
  <si>
    <t>{ALL} Лек</t>
  </si>
  <si>
    <t>{SLL} Леоне</t>
  </si>
  <si>
    <t>{LRD} Либерийский доллар</t>
  </si>
  <si>
    <t>{LBP} Ливанский фунт</t>
  </si>
  <si>
    <t>{LYD} Ливийский динар</t>
  </si>
  <si>
    <t>{SZL} Лилангени</t>
  </si>
  <si>
    <t>{LTL} Литовский лит</t>
  </si>
  <si>
    <t>{LSL} Лоти</t>
  </si>
  <si>
    <t>{MUR} Маврикийская рупия</t>
  </si>
  <si>
    <t>{MGA} Малагасийский ариари</t>
  </si>
  <si>
    <t>{MYR} Малайзийский ринггит</t>
  </si>
  <si>
    <t>{MTL} Мальтийская лира</t>
  </si>
  <si>
    <t>{TMM} Манат</t>
  </si>
  <si>
    <t>{MAD} Марокканский дирхам</t>
  </si>
  <si>
    <t>{MXN} Мексиканское песо</t>
  </si>
  <si>
    <t>{MZN} Метикал</t>
  </si>
  <si>
    <t>{MDL} Молдавский лей</t>
  </si>
  <si>
    <t>{NGN} Найра</t>
  </si>
  <si>
    <t>{ERN} Накфа</t>
  </si>
  <si>
    <t>{BTN} Нгултрум</t>
  </si>
  <si>
    <t>{NPR} Непальская рупия</t>
  </si>
  <si>
    <t>{ANG} Нидерландский антильский гульден</t>
  </si>
  <si>
    <t>{NZD} Новозеландский доллар</t>
  </si>
  <si>
    <t>{ILS} Новый израильский шекель</t>
  </si>
  <si>
    <t>{RON} Новый лей</t>
  </si>
  <si>
    <t>{TMT} Новый манат</t>
  </si>
  <si>
    <t>{PEN} Новый соль</t>
  </si>
  <si>
    <t>{TWD} Новый тайваньский доллар</t>
  </si>
  <si>
    <t>{OMR} Оманский риал</t>
  </si>
  <si>
    <t>{TOP} Паанга</t>
  </si>
  <si>
    <t>{PKR} Пакистанская рупия</t>
  </si>
  <si>
    <t>{MOP} Патака</t>
  </si>
  <si>
    <t>{GWP} Песо Гвинеи-Бисау</t>
  </si>
  <si>
    <t>{BWP} Пула</t>
  </si>
  <si>
    <t>{KHR} Риель</t>
  </si>
  <si>
    <t>{IDR} Рупия</t>
  </si>
  <si>
    <t>{MVR} Руфия</t>
  </si>
  <si>
    <t>{ZAR} Рэнд</t>
  </si>
  <si>
    <t>{SVC} Сальвадорский колон</t>
  </si>
  <si>
    <t>{SAR} Саудовский риял</t>
  </si>
  <si>
    <t>{XDR} СДР (специальные права заимствования)</t>
  </si>
  <si>
    <t>{KPW} Северокорейская вона</t>
  </si>
  <si>
    <t>{GHC} Седи</t>
  </si>
  <si>
    <t>{GHS} Седи</t>
  </si>
  <si>
    <t>{SCR} Сейшельская рупия</t>
  </si>
  <si>
    <t>{RSD} Сербский динар</t>
  </si>
  <si>
    <t>{SYP} Сирийский фунт</t>
  </si>
  <si>
    <t>{SKK} Словацкая крона</t>
  </si>
  <si>
    <t>{KGS} Сом</t>
  </si>
  <si>
    <t>{SOS} Сомалийский шиллинг</t>
  </si>
  <si>
    <t>{TJS} Сомони</t>
  </si>
  <si>
    <t>{SDG} Суданский фунт</t>
  </si>
  <si>
    <t>{SRD} Суринамский доллар</t>
  </si>
  <si>
    <t>{BDT} Така</t>
  </si>
  <si>
    <t>{WST} Тала</t>
  </si>
  <si>
    <t>{TZS} Танзанийский шиллинг</t>
  </si>
  <si>
    <t>{MNT} Тугрик</t>
  </si>
  <si>
    <t>{TND} Тунисский динар</t>
  </si>
  <si>
    <t>{UGX} Угандийский шиллинг</t>
  </si>
  <si>
    <t>{MRO} Угия</t>
  </si>
  <si>
    <t>{UZS} Узбекский сум</t>
  </si>
  <si>
    <t>{UYU} Уругвайское песо</t>
  </si>
  <si>
    <t>{UYI} Уругвайское песо в индексированных единицах</t>
  </si>
  <si>
    <t>{PНP} Филиппинское песо</t>
  </si>
  <si>
    <t>{DJF} Франк Джибути</t>
  </si>
  <si>
    <t>{KMF} Франк Комор</t>
  </si>
  <si>
    <t>{XAF} Франк КФА ВЕАС</t>
  </si>
  <si>
    <t>{XOF} Франк КФА ВСЕАО</t>
  </si>
  <si>
    <t>{XPF} Франк КФП</t>
  </si>
  <si>
    <t>{RWF} Франк Руанды</t>
  </si>
  <si>
    <t>{SHP} Фунт Святой Елены.</t>
  </si>
  <si>
    <t>{FKP} Фунт Фолклендских островов</t>
  </si>
  <si>
    <t>{HRK} Хорватская куна</t>
  </si>
  <si>
    <t>{CLР} Чилийское песо</t>
  </si>
  <si>
    <t>{LKR} Шри-Ланкийская рупия</t>
  </si>
  <si>
    <t>{CVE} Эскудо Кабо-Верде</t>
  </si>
  <si>
    <t>{JMD} Ямайский доллар</t>
  </si>
  <si>
    <t>{2} Чековые книжки</t>
  </si>
  <si>
    <t>{3} Корпоративные карты</t>
  </si>
  <si>
    <t>{5120000_~_~_~} Поступление денежных средств с других банковских счетов организации (в т.ч. в кассу)</t>
  </si>
  <si>
    <t>{5220000_~_~_~} Перечисление денежных средств на другие банковские счета организации (в т.ч. снятие наличных денежных средств в кассу)</t>
  </si>
  <si>
    <t>ООО "Ленинградская АЭС – Авто"</t>
  </si>
  <si>
    <t>ЛОК Колонтаево</t>
  </si>
  <si>
    <t>Лунное</t>
  </si>
  <si>
    <t>МЦОУ</t>
  </si>
  <si>
    <t>НЗХК-Инжиниринг</t>
  </si>
  <si>
    <t>Нововоронежская АЭС – Авто</t>
  </si>
  <si>
    <t>ООО "Нововоронежская АЭС – Авто"</t>
  </si>
  <si>
    <t>ОКТБ ИС</t>
  </si>
  <si>
    <t>Оргстройпроект</t>
  </si>
  <si>
    <t>РАС-Менеджмент</t>
  </si>
  <si>
    <t>РБМ-Казахстан</t>
  </si>
  <si>
    <t>СаровГаз</t>
  </si>
  <si>
    <t>Синий Утёс</t>
  </si>
  <si>
    <t>СМК-ЮГ</t>
  </si>
  <si>
    <t>ООО "Строительно-монтажное управление № 1"</t>
  </si>
  <si>
    <t>СП Чепца</t>
  </si>
  <si>
    <t>Стрельцовский СРТ</t>
  </si>
  <si>
    <t>ООО "Стрельцовский строительно-ремонтный трест"</t>
  </si>
  <si>
    <t>СЭСК</t>
  </si>
  <si>
    <t>Промышленные инновации</t>
  </si>
  <si>
    <t>Телевизионный центр</t>
  </si>
  <si>
    <t>ТЕНЕКС-Логистика</t>
  </si>
  <si>
    <t>Точмаш Глазов</t>
  </si>
  <si>
    <t>УАТ</t>
  </si>
  <si>
    <t>УАТ НЗХК</t>
  </si>
  <si>
    <t>УН Эстейт</t>
  </si>
  <si>
    <t>Центротех</t>
  </si>
  <si>
    <t>ЦОУ</t>
  </si>
  <si>
    <t>ЭИЗ</t>
  </si>
  <si>
    <t>ЭЛЕМАШ-АВТО</t>
  </si>
  <si>
    <t>ЭЛЕМАШ-МАГНИТ</t>
  </si>
  <si>
    <t>F_M0733</t>
  </si>
  <si>
    <t>F_M0734</t>
  </si>
  <si>
    <t>Возврат товарного займа кредитору</t>
  </si>
  <si>
    <t>Получение товарного займа от кредитора</t>
  </si>
  <si>
    <t>Возврат товарного займа от должника</t>
  </si>
  <si>
    <t>Выдача товарного займа должнику</t>
  </si>
  <si>
    <t>F_M0735</t>
  </si>
  <si>
    <t>F_M0736</t>
  </si>
  <si>
    <t>F_M0737</t>
  </si>
  <si>
    <t>F_M0738</t>
  </si>
  <si>
    <t>Включение НДС в стоимость внеоборотных активов (Д 08 К 19)</t>
  </si>
  <si>
    <t>Восстановление НДС (Дт 19 Кт 68)</t>
  </si>
  <si>
    <t>F_M0219</t>
  </si>
  <si>
    <t>Остаток на начало периода Дт</t>
  </si>
  <si>
    <t>Остаток на начало периода Кт</t>
  </si>
  <si>
    <t>Остаток на конец периода Дт</t>
  </si>
  <si>
    <t>Остаток на конец периода Кт</t>
  </si>
  <si>
    <t>F_M0920</t>
  </si>
  <si>
    <t>F_M0919</t>
  </si>
  <si>
    <t>Получено - Товарные займы</t>
  </si>
  <si>
    <t>Взносы в качестве вклада в УК (государственное участие)</t>
  </si>
  <si>
    <t>Получено имущество в качестве целевого финансирования</t>
  </si>
  <si>
    <t>F_M0121</t>
  </si>
  <si>
    <t>Дата договора</t>
  </si>
  <si>
    <t>Счет 40. Выпуск продукции</t>
  </si>
  <si>
    <t>Прочее увеличение задолженности</t>
  </si>
  <si>
    <t>Имущество</t>
  </si>
  <si>
    <t>Дата окончания срока гарантии / поручительства</t>
  </si>
  <si>
    <t>Дата начала срока гарантии / поручительства</t>
  </si>
  <si>
    <t>Процентная ставка по кредиту (предмету гарантии)</t>
  </si>
  <si>
    <t>Срок гарантии/поручительства</t>
  </si>
  <si>
    <t>Сумма поручительства/гарантии</t>
  </si>
  <si>
    <t>Предмет поручительства / гарантии</t>
  </si>
  <si>
    <t>Номер договора (соглашения)</t>
  </si>
  <si>
    <t>Наименование контрагента (Заемщик)</t>
  </si>
  <si>
    <t>Дата окончания срока поручительства</t>
  </si>
  <si>
    <t>Дата начала срока поручительства</t>
  </si>
  <si>
    <t>Срок поручительства</t>
  </si>
  <si>
    <t>Сумма поручительства</t>
  </si>
  <si>
    <t>Предмет поручительства</t>
  </si>
  <si>
    <t>ИНН кредитора</t>
  </si>
  <si>
    <t>Кредитор</t>
  </si>
  <si>
    <t xml:space="preserve">Контрагент </t>
  </si>
  <si>
    <t xml:space="preserve">Наименование контрагента </t>
  </si>
  <si>
    <t>2720</t>
  </si>
  <si>
    <t>Штраф</t>
  </si>
  <si>
    <t>Налог</t>
  </si>
  <si>
    <t>уплачено в бюджет</t>
  </si>
  <si>
    <t>отражено в учете</t>
  </si>
  <si>
    <t>Основания для доначисления по результатам проверки (кратко)</t>
  </si>
  <si>
    <t>Оценка вероятности отрицательного для компании решения суда по оспариваемой сумме</t>
  </si>
  <si>
    <t>Оспариваемая сумма, тыс.руб.</t>
  </si>
  <si>
    <t xml:space="preserve">Всего по налогам, доначисленным по результатам налоговых проверок, отражено в учете/уплачено в бюджет </t>
  </si>
  <si>
    <t xml:space="preserve">Доначислено налогов по решению налоговых органов всего (не подлежащий возмещению НДС) </t>
  </si>
  <si>
    <t>{2290000_~_~_~} Прочие выплаты и перечисления по инвестиционной деятельности</t>
  </si>
  <si>
    <t>Итого 4223</t>
  </si>
  <si>
    <t>{2200000_~_~_~} Выплата денежных средств по инвестиционной деятельности</t>
  </si>
  <si>
    <t>Итого 4220</t>
  </si>
  <si>
    <t>{2000000_~_~_~} Движение денежных средств по инвестиционной деятельности</t>
  </si>
  <si>
    <t>Итого 4200</t>
  </si>
  <si>
    <t>{3111000_~_~_~} Поступление средств облигационных займов, векселей, других долговых ценных бумаг и пр.</t>
  </si>
  <si>
    <t>{3112300_~_~_~} Поступление средств прочих целевых займов</t>
  </si>
  <si>
    <t>{3112400_~_~_~} Поступление средств прочих займов, взятых на общие цели</t>
  </si>
  <si>
    <t>{3112500_~_~_~} Поступление средств целевых кредитов</t>
  </si>
  <si>
    <t>{3112600_~_~_~} Поступление средств кредитов, взятых на общие цели</t>
  </si>
  <si>
    <t>{3110000_~_~_~} Поступления от займов и кредитов</t>
  </si>
  <si>
    <t>Итого 4311</t>
  </si>
  <si>
    <t>{3121000_~_~_2} Бюджетные ассигнования из бюджетов субъектов РФ</t>
  </si>
  <si>
    <t>{3121000_~_~_3} Бюджетные ассигнования из местного бюджета</t>
  </si>
  <si>
    <t>{3122000_~_~_~} Международная техническая помощь</t>
  </si>
  <si>
    <t>{3123000_~_~_~} Поступление средств отраслевых резервов</t>
  </si>
  <si>
    <t>{3124000_~_~_~} Финансирование из внебюджетных фондов</t>
  </si>
  <si>
    <t>{3125000_~_~_~} Поступление прочего целевого финансирования</t>
  </si>
  <si>
    <t>{3126000_~_~_~} Поступление грантов</t>
  </si>
  <si>
    <t>{3120000_~_~_~} Бюджетные ассигнования и иное целевое финансирование по текущей деятельности</t>
  </si>
  <si>
    <t>{3130000_~_~_~} Поступления от эмиссии акций или иных долевых бумаг</t>
  </si>
  <si>
    <t>Итого 4313</t>
  </si>
  <si>
    <t>{3191000_~_~_~} Поступления денежных вкладов собственников (участников)</t>
  </si>
  <si>
    <t>{3199999_~_~_~} Прочие поступления по финансовой деятельности</t>
  </si>
  <si>
    <t>{3190000_~_~_~} Прочие поступления по финансовой деятельности</t>
  </si>
  <si>
    <t>Итого 4314</t>
  </si>
  <si>
    <t>{3100000_~_~_~} Поступление денежных средств по финансовой деятельности</t>
  </si>
  <si>
    <t>Итого 4310</t>
  </si>
  <si>
    <t>{3211000_~_~_~} Погашение облигационных займов</t>
  </si>
  <si>
    <t>{3212300_~_~_~} Погашение средств прочих целевых займов</t>
  </si>
  <si>
    <t>{3212400_~_~_~} Погашение средств прочих займов, взятых на общие цели</t>
  </si>
  <si>
    <t>{3212500_~_~_~} Погашение средств целевых кредитов</t>
  </si>
  <si>
    <t>{3212600_~_~_~} Погашение средств кредитов, взятых на общие цели</t>
  </si>
  <si>
    <t>{3210000_~_~_~} Погашение займов и кредитов (без процентов)</t>
  </si>
  <si>
    <t>{3221000_~_~_~} Выплата дивидендов</t>
  </si>
  <si>
    <t>F_M0703</t>
  </si>
  <si>
    <t>F_M0707</t>
  </si>
  <si>
    <t>F_M0731</t>
  </si>
  <si>
    <t>F_M0723</t>
  </si>
  <si>
    <t>Внеоборотные активы — ОС</t>
  </si>
  <si>
    <t>Внеоборотные активы — НМА</t>
  </si>
  <si>
    <t>Сырье и материалы</t>
  </si>
  <si>
    <t>Счет 16. Отклонение в стоимости материальных ценностей</t>
  </si>
  <si>
    <t>Счет 21. Полуфабрикаты</t>
  </si>
  <si>
    <t>с 16 счета</t>
  </si>
  <si>
    <t>F_M0724</t>
  </si>
  <si>
    <t>F_M0726</t>
  </si>
  <si>
    <t>Счет 41.01. Товары для перепродажи на складе</t>
  </si>
  <si>
    <t>Тип товаров</t>
  </si>
  <si>
    <t>Закупка товаров</t>
  </si>
  <si>
    <t>Реализовано (Дт 90)</t>
  </si>
  <si>
    <t>Переведено в состав материалов (Дт 10)</t>
  </si>
  <si>
    <t>Закупка денежными средствами</t>
  </si>
  <si>
    <t>Закупка (бартерная схема)</t>
  </si>
  <si>
    <t>Переведено из "Товары в пути" (Кт 41.02)</t>
  </si>
  <si>
    <t>F_M0704</t>
  </si>
  <si>
    <t>F_M0706</t>
  </si>
  <si>
    <t>F_M0730</t>
  </si>
  <si>
    <t>Счет 41.02. Товары для перепродажи в пути</t>
  </si>
  <si>
    <t>Счет 43. Готовая продукция</t>
  </si>
  <si>
    <t>Номенклатурная группа ТМЦ</t>
  </si>
  <si>
    <t>из полуфабрикатов (21)</t>
  </si>
  <si>
    <t>F_M0712</t>
  </si>
  <si>
    <t>F_M0715</t>
  </si>
  <si>
    <t>Счет 45. Товары отгруженные</t>
  </si>
  <si>
    <t>Вид актива</t>
  </si>
  <si>
    <t>из товаров (Кт 41.01)</t>
  </si>
  <si>
    <t>F_M0717</t>
  </si>
  <si>
    <t>Счет 46. Выполненные этапы по незавершенным работам</t>
  </si>
  <si>
    <t>F_M0201</t>
  </si>
  <si>
    <t>F_M0204</t>
  </si>
  <si>
    <t>Счет 60.01. Кредиторская задолженность</t>
  </si>
  <si>
    <t>Зачет аванса</t>
  </si>
  <si>
    <t>Закупка без НДС</t>
  </si>
  <si>
    <t>НДС по закупке</t>
  </si>
  <si>
    <t>Курсовая разница</t>
  </si>
  <si>
    <t xml:space="preserve">Остаток на конец </t>
  </si>
  <si>
    <t>В т.ч. Долгосрочная часть</t>
  </si>
  <si>
    <t>F_M0202</t>
  </si>
  <si>
    <t>F_M0203</t>
  </si>
  <si>
    <t>F_M0213</t>
  </si>
  <si>
    <t>F_M0207</t>
  </si>
  <si>
    <t>F_M0208</t>
  </si>
  <si>
    <t>F_M0209</t>
  </si>
  <si>
    <t>F_M0210</t>
  </si>
  <si>
    <t>Счет 60.02. Авансы выданные</t>
  </si>
  <si>
    <t>Вид расчетов</t>
  </si>
  <si>
    <t>Выдан аванс</t>
  </si>
  <si>
    <t>F_M0212</t>
  </si>
  <si>
    <t>Операции с компаниями, входящими в РСБУ периметр консолидации, по авансам, выданным на кап.строительство, на объекты ОС</t>
  </si>
  <si>
    <t>Операции с компаниями, входящими в РСБУ периметр консолидации, по авансам, выданным на НМА</t>
  </si>
  <si>
    <t>Операции с компаниями, входящими в РСБУ периметр консолидации, по авансам, выданным на НИОКР</t>
  </si>
  <si>
    <t>Счет 62.01. Дебиторская задолженность</t>
  </si>
  <si>
    <t>1010</t>
  </si>
  <si>
    <t>Тип проекта</t>
  </si>
  <si>
    <t>Сумма планируемого возмещения</t>
  </si>
  <si>
    <t>Сумма планируемых затрат</t>
  </si>
  <si>
    <t>Сумма возмещения</t>
  </si>
  <si>
    <t>Сумма понесенных затрат</t>
  </si>
  <si>
    <t xml:space="preserve">Существует ли уверенность в получении полной стоимости (цены) услуг/работ по договору </t>
  </si>
  <si>
    <t>Cумма за выполненные работы, не предъявленная заказчику до выполнения определенных условий или до устранения выявленных недостатков работы на отчетную дату</t>
  </si>
  <si>
    <t>Расходы, которые будут понесены сверх сметы в следующих отчетных периодах (определяются техническими специалистами)</t>
  </si>
  <si>
    <t>Расходы, понесенные на отчетную дату и не предусмотренные сметой (определяются техническими специалистами)</t>
  </si>
  <si>
    <t>Сумма понесенных затрат, которые не отражены в бухгалтерском учете на конец периода (заполняется техническими специалистами, пример: документы не переданы в бухгалтерскую службу)</t>
  </si>
  <si>
    <t>Валюта аванса полученного</t>
  </si>
  <si>
    <t>Сумма затрат, признанных накопленным итогом в отчете о прибылях и убытках с начала оказания услуг</t>
  </si>
  <si>
    <t>Дата окончания выполнения работ/оказания услуг</t>
  </si>
  <si>
    <t>Дата начала выполнения работ/оказания услуг</t>
  </si>
  <si>
    <t>Общая стоимость (цена реализации) работ/услуг по договору (без НДС)</t>
  </si>
  <si>
    <t>Сведения об остатках НЗП, ГП для реализации внутри Группы.</t>
  </si>
  <si>
    <t>Дата возврата ЦБ
(2-я часть обратного РЕПО)</t>
  </si>
  <si>
    <t>Дата получения ЦБ
(1-я часть обратного РЕПО)</t>
  </si>
  <si>
    <t>Дата выкупа ЦБ
(2-я часть прямого РЕПО)</t>
  </si>
  <si>
    <t>Дата передачи ЦБ
(1-я часть прямого РЕПО)</t>
  </si>
  <si>
    <t>Торговый код ценной бумаги на ММВБ</t>
  </si>
  <si>
    <t>Сумма реализации (без НДС)</t>
  </si>
  <si>
    <t>2240</t>
  </si>
  <si>
    <t>{2} Прочие виды деятельности</t>
  </si>
  <si>
    <t>{0600} Прочие материалы</t>
  </si>
  <si>
    <t>{0500} Запасные части</t>
  </si>
  <si>
    <t>{0400} Тара и тарные материалы</t>
  </si>
  <si>
    <t>{0221} Покупные полуфабрикаты и комплектующие изделия, конструкции и детали, не содержащие ядерные материалы</t>
  </si>
  <si>
    <t>{0122} Прочее неядерное сырье и материалы</t>
  </si>
  <si>
    <t>2113</t>
  </si>
  <si>
    <t>2112</t>
  </si>
  <si>
    <t>Признак принадлежности к ЯТЦ</t>
  </si>
  <si>
    <t>Сумма за отчетный период (без НДС) со знаком ПЛЮС по всем операциям</t>
  </si>
  <si>
    <t>Всего по договору (без НДС)</t>
  </si>
  <si>
    <t>Начислено по состоянию на отчетную дату (без НДС)</t>
  </si>
  <si>
    <t>Всего по договору  (без НДС)</t>
  </si>
  <si>
    <t>Ожидаемая дата поставки/ постройки оборудования</t>
  </si>
  <si>
    <t>Величина обязательства по договору в валюте договора, если отличается от руб.</t>
  </si>
  <si>
    <t>Величина обязательства по договору в тыс. руб.</t>
  </si>
  <si>
    <t>Авансы выданные на отчетную дату в валюте договора, если отличается от руб.  (без НДС)</t>
  </si>
  <si>
    <t>Авансы выданные на отчетную дату в тыс. руб. (без НДС)</t>
  </si>
  <si>
    <t>Описание объекта капитального характера</t>
  </si>
  <si>
    <t>Договор</t>
  </si>
  <si>
    <t>100</t>
  </si>
  <si>
    <t>1008</t>
  </si>
  <si>
    <t>2-3 лет</t>
  </si>
  <si>
    <t>1-2 лет</t>
  </si>
  <si>
    <t>от 6 до 12 месяцев</t>
  </si>
  <si>
    <t>до 6 месяцев</t>
  </si>
  <si>
    <t>Разбить по срокам погашения в соответствии с договором:</t>
  </si>
  <si>
    <t>Просроченная</t>
  </si>
  <si>
    <t>Счет учета (60, 62, 76)</t>
  </si>
  <si>
    <t>2620</t>
  </si>
  <si>
    <t>10, 45</t>
  </si>
  <si>
    <t>Неотрицательный финансовый результат</t>
  </si>
  <si>
    <t>{11010000} Урансодержащие сырье и материалы</t>
  </si>
  <si>
    <t>{11020000} Урансодержащие полуфабрикаты и комплектующие изделия</t>
  </si>
  <si>
    <t>{11030000} Ядерное топливо</t>
  </si>
  <si>
    <t>{12010000} Сырье и материалы (покупные)</t>
  </si>
  <si>
    <t>{12020000} Полуфабрикаты и комплектующие изделия (покупные)</t>
  </si>
  <si>
    <t>{12030100} Газ природный (покупной)</t>
  </si>
  <si>
    <t>{12030400} Мазут (покупной)</t>
  </si>
  <si>
    <t>{12030500} Уголь (покупной)</t>
  </si>
  <si>
    <t>{12030600} Другое топливо (покупное)</t>
  </si>
  <si>
    <t>F_M0115</t>
  </si>
  <si>
    <t>F_C</t>
  </si>
  <si>
    <t>К1</t>
  </si>
  <si>
    <t>К2</t>
  </si>
  <si>
    <t>К3</t>
  </si>
  <si>
    <t>К9</t>
  </si>
  <si>
    <t>К6</t>
  </si>
  <si>
    <t>К5</t>
  </si>
  <si>
    <t>Итого</t>
  </si>
  <si>
    <t>Начисление амортизации</t>
  </si>
  <si>
    <t>Величина амортизации по прочему выбытию</t>
  </si>
  <si>
    <t>F_M0116</t>
  </si>
  <si>
    <t>F_M0117</t>
  </si>
  <si>
    <t>F_M0118</t>
  </si>
  <si>
    <t>F_M0119</t>
  </si>
  <si>
    <t>F_M0120</t>
  </si>
  <si>
    <t>К7</t>
  </si>
  <si>
    <t>К8</t>
  </si>
  <si>
    <t>Счет 03. Доходные вложения в материальные ценности</t>
  </si>
  <si>
    <t>Счет 02.02. Амортизация доходных вложений, учитываемых на счете 03</t>
  </si>
  <si>
    <t>Счет 04. Нематериальные активы</t>
  </si>
  <si>
    <t>Комментарий</t>
  </si>
  <si>
    <t>Х</t>
  </si>
  <si>
    <t>НМА приобретенные</t>
  </si>
  <si>
    <t>НМА, созданные собственными силами</t>
  </si>
  <si>
    <t>Счет 05. Амортизация НМА</t>
  </si>
  <si>
    <t>Счет 07. Оборудование к установке</t>
  </si>
  <si>
    <t>Поступление: приобретение</t>
  </si>
  <si>
    <t>Поступление:  Безвозмездное поступление</t>
  </si>
  <si>
    <t>Выбытие: Передано в монтаж (счет 08)</t>
  </si>
  <si>
    <t>F_M0102</t>
  </si>
  <si>
    <t>F_M0103</t>
  </si>
  <si>
    <t>F_M0107</t>
  </si>
  <si>
    <t>Счет 08. Капитальные вложения</t>
  </si>
  <si>
    <t>Группы капитальных вложений, Стадии НИОКР</t>
  </si>
  <si>
    <t>Выбытие: 
Ввод в эксплуатацию</t>
  </si>
  <si>
    <t>Выбытие: 
Реализация</t>
  </si>
  <si>
    <t>Списано на расходы по обычным видам деятельности (для НИОКР)</t>
  </si>
  <si>
    <t>Дата операции</t>
  </si>
  <si>
    <t>Наименование контрагента покупателя/продавца</t>
  </si>
  <si>
    <t>Вид движения</t>
  </si>
  <si>
    <t>Валюта операции</t>
  </si>
  <si>
    <t>Выручка от реализации в рублях</t>
  </si>
  <si>
    <t>Справочно: финансовый результат от реализации в рублях</t>
  </si>
  <si>
    <t>Схема расчета</t>
  </si>
  <si>
    <t>{10} Расчеты денежными средствами</t>
  </si>
  <si>
    <t>Дата погашения по договору</t>
  </si>
  <si>
    <t>Вид обеспечения (ограничение на использование)</t>
  </si>
  <si>
    <t xml:space="preserve">Остаток на начало периода </t>
  </si>
  <si>
    <t xml:space="preserve">Остаток на конец периода </t>
  </si>
  <si>
    <t>Приобретение объектов финансовых вложений   (основная сумма)</t>
  </si>
  <si>
    <t>Дополнительные расходы, связанные с приобретением финансовых вложений, увеличивающие стоимость ФВ (Дт 58 Кт76)</t>
  </si>
  <si>
    <t>Увеличение справедливой стоимости финансовых вложений (Дт 58 Кт 91)</t>
  </si>
  <si>
    <t>Продажа финансовых вложений  (Дт 91 Кт 58)</t>
  </si>
  <si>
    <t>Расходы, уменьшающие стоимость финансовых вложений (дисконт по финансовым вложениям) (Дт 97)</t>
  </si>
  <si>
    <t>Уменьшение справедливой стоимости финансовых вложений (Дт 91)</t>
  </si>
  <si>
    <t xml:space="preserve">Курсовые разницы </t>
  </si>
  <si>
    <t>4006</t>
  </si>
  <si>
    <t>F_M0910</t>
  </si>
  <si>
    <t>F_M0911</t>
  </si>
  <si>
    <t>F_M0914</t>
  </si>
  <si>
    <t>F_M0915</t>
  </si>
  <si>
    <t>{2} Удерживаемые до погашения</t>
  </si>
  <si>
    <t>Счет 58.04. Депозиты</t>
  </si>
  <si>
    <t>Банк</t>
  </si>
  <si>
    <t>ИНН банка</t>
  </si>
  <si>
    <t xml:space="preserve">Валюта </t>
  </si>
  <si>
    <t>Дата погашения</t>
  </si>
  <si>
    <t>в т.ч. денежные средства</t>
  </si>
  <si>
    <t>С ограничениями на использование</t>
  </si>
  <si>
    <t>4.21</t>
  </si>
  <si>
    <t>F_M0913</t>
  </si>
  <si>
    <t>{1} Со сроком до даты погашения (размещения) три и менее месяцев</t>
  </si>
  <si>
    <t>ГПБ (ОАО)</t>
  </si>
  <si>
    <t>Счет 59.01. Резервы под обесценение займов выданных</t>
  </si>
  <si>
    <t>Краткосрочные / Долгосрочные</t>
  </si>
  <si>
    <t>Остаток на конец  периода</t>
  </si>
  <si>
    <t>F_M0802</t>
  </si>
  <si>
    <t>F_M0803</t>
  </si>
  <si>
    <t>Счет 59.02. Резервы под обесценение долевых инструментов</t>
  </si>
  <si>
    <t>Наименование контрагента - объекта финансового вложения (контрагента)</t>
  </si>
  <si>
    <t>Приобретение внеоборотных активов — ОС</t>
  </si>
  <si>
    <t>15.05</t>
  </si>
  <si>
    <t>Приобретение внеоборотных активов — НМА</t>
  </si>
  <si>
    <t>16</t>
  </si>
  <si>
    <t>Отклонение в стоимости материальных ценностей</t>
  </si>
  <si>
    <t>16.01</t>
  </si>
  <si>
    <t>Отклонение в стоимости материалов</t>
  </si>
  <si>
    <t>16.02</t>
  </si>
  <si>
    <t>Отклонение в стоимости товаров</t>
  </si>
  <si>
    <t>16.03</t>
  </si>
  <si>
    <t>Отклонение в стоимости оборудования к установке</t>
  </si>
  <si>
    <t>16.04</t>
  </si>
  <si>
    <t>Отклонение в стоимости внеоборотных активов — ОС</t>
  </si>
  <si>
    <t>16.05</t>
  </si>
  <si>
    <t>Отклонение в стоимости внеоборотных активов — НМА</t>
  </si>
  <si>
    <t>НДС по приобретенным ценностям</t>
  </si>
  <si>
    <t>Основное производство</t>
  </si>
  <si>
    <t>21</t>
  </si>
  <si>
    <t>Полуфабрикаты собственного производства</t>
  </si>
  <si>
    <t>23</t>
  </si>
  <si>
    <t>Вспомогательное производство</t>
  </si>
  <si>
    <t>25</t>
  </si>
  <si>
    <t>Общепроизводственные расходы</t>
  </si>
  <si>
    <t>26</t>
  </si>
  <si>
    <t>28</t>
  </si>
  <si>
    <t>Брак в производстве</t>
  </si>
  <si>
    <t>29</t>
  </si>
  <si>
    <t>Обслуживающие производства и хозяйства</t>
  </si>
  <si>
    <t>40</t>
  </si>
  <si>
    <t>Выпуск продукции</t>
  </si>
  <si>
    <t>41</t>
  </si>
  <si>
    <t>Товары</t>
  </si>
  <si>
    <t>41.01</t>
  </si>
  <si>
    <t>Товары на складах</t>
  </si>
  <si>
    <t>41.02</t>
  </si>
  <si>
    <t>Товары в пути</t>
  </si>
  <si>
    <t>42</t>
  </si>
  <si>
    <t>Торговая наценка</t>
  </si>
  <si>
    <t>43</t>
  </si>
  <si>
    <t>Готовая продукция</t>
  </si>
  <si>
    <t>44</t>
  </si>
  <si>
    <t>45</t>
  </si>
  <si>
    <t>Готовая продукция и товары отгруженные</t>
  </si>
  <si>
    <t>45.01</t>
  </si>
  <si>
    <t>Готовая продукция отгруженная</t>
  </si>
  <si>
    <t>Товары отгруженные</t>
  </si>
  <si>
    <t>46</t>
  </si>
  <si>
    <t>Выполненные этапы по незавершенным работам</t>
  </si>
  <si>
    <t>50</t>
  </si>
  <si>
    <t>Касса</t>
  </si>
  <si>
    <t>50.01</t>
  </si>
  <si>
    <t>50.02</t>
  </si>
  <si>
    <t>Денежные документы</t>
  </si>
  <si>
    <t>51</t>
  </si>
  <si>
    <t>Расчетные счета</t>
  </si>
  <si>
    <t>52</t>
  </si>
  <si>
    <t>Валютные счета</t>
  </si>
  <si>
    <t>55</t>
  </si>
  <si>
    <t>Специальные счета в банках</t>
  </si>
  <si>
    <t>57</t>
  </si>
  <si>
    <t>Переводы в пути</t>
  </si>
  <si>
    <t>Финансовые вложения</t>
  </si>
  <si>
    <t>58.01</t>
  </si>
  <si>
    <t>Кредиты и займы выданные</t>
  </si>
  <si>
    <t>58.01.1</t>
  </si>
  <si>
    <t>Кредиты и займы выданные. Краткосрочные</t>
  </si>
  <si>
    <t>58.01.2</t>
  </si>
  <si>
    <t>Кредиты и займы выданные. Долгосрочные</t>
  </si>
  <si>
    <t>58.02</t>
  </si>
  <si>
    <t>Акции и прочие долевые инструменты</t>
  </si>
  <si>
    <t>58.03</t>
  </si>
  <si>
    <t>Прочие финансовые вложения</t>
  </si>
  <si>
    <t>58.03.1</t>
  </si>
  <si>
    <t>Прочие финансовые вложения. Краткосрочные.</t>
  </si>
  <si>
    <t>58.03.2</t>
  </si>
  <si>
    <t>Прочие финансовые вложения. Долгосрочные</t>
  </si>
  <si>
    <t>58.04</t>
  </si>
  <si>
    <t>Депозиты</t>
  </si>
  <si>
    <t>58.04.1</t>
  </si>
  <si>
    <t>Депозиты краткосрочные</t>
  </si>
  <si>
    <t>58.04.2</t>
  </si>
  <si>
    <t>Депозиты долгосрочные</t>
  </si>
  <si>
    <t>Резервы под обесценение финансовых вложений</t>
  </si>
  <si>
    <t>59.01</t>
  </si>
  <si>
    <t>Резервы под обесценение кредитов и займов выданных</t>
  </si>
  <si>
    <t>59.01.1</t>
  </si>
  <si>
    <t>Краткосрочные резервы под обесценение кредитов и займов выданных</t>
  </si>
  <si>
    <t>59.01.2</t>
  </si>
  <si>
    <t>Долгосрочные резервы под обесценение кредитов и займов выданных</t>
  </si>
  <si>
    <t>59.02</t>
  </si>
  <si>
    <t>Резервы под обесценение долевых инструментов</t>
  </si>
  <si>
    <t>59.03</t>
  </si>
  <si>
    <t>Резервы под обесценение прочих финансовых вложений</t>
  </si>
  <si>
    <t>59.03.1</t>
  </si>
  <si>
    <t>Краткосрочные резервы под обесценение прочих финансовых вложений</t>
  </si>
  <si>
    <t>59.03.2</t>
  </si>
  <si>
    <t>Долгосрочные резервы под обесценение прочих финансовых вложений</t>
  </si>
  <si>
    <t>Расчеты с поставщиками и подрядчиками</t>
  </si>
  <si>
    <t>60.1</t>
  </si>
  <si>
    <t>60.01.1</t>
  </si>
  <si>
    <t>Краткосрочная задолженность</t>
  </si>
  <si>
    <t>60.01.2</t>
  </si>
  <si>
    <t>Долгосрочная задолженность</t>
  </si>
  <si>
    <t>60.2</t>
  </si>
  <si>
    <t>Авансы выданные</t>
  </si>
  <si>
    <t>60.02.1</t>
  </si>
  <si>
    <t>Авансы выданные краткосрочные</t>
  </si>
  <si>
    <t>60.02.2</t>
  </si>
  <si>
    <t>Авансы выданные долгосрочные</t>
  </si>
  <si>
    <t>Расчеты с покупателями и заказчиками</t>
  </si>
  <si>
    <t>62.01</t>
  </si>
  <si>
    <t>62.01.1</t>
  </si>
  <si>
    <t>62.01.2</t>
  </si>
  <si>
    <t>62.02</t>
  </si>
  <si>
    <t>Авансы полученные</t>
  </si>
  <si>
    <t>62.02.1</t>
  </si>
  <si>
    <t>Авансы полученные краткосрочные</t>
  </si>
  <si>
    <t>62.02.2</t>
  </si>
  <si>
    <t>Авансы полученные долгосрочные</t>
  </si>
  <si>
    <t>Резервы по сомнительной дебиторской задолженности</t>
  </si>
  <si>
    <t>66</t>
  </si>
  <si>
    <t>Расчеты по краткосрочным кредитам и займам</t>
  </si>
  <si>
    <t>66.1</t>
  </si>
  <si>
    <t>Расчеты по краткосрочным кредитам и займам - Основная сумма</t>
  </si>
  <si>
    <t>66.2</t>
  </si>
  <si>
    <t>Расчеты по краткосрочным кредитам и займам — Проценты</t>
  </si>
  <si>
    <t>66.3</t>
  </si>
  <si>
    <t>Расчеты по краткосрочным кредитам и займам — Дисконт</t>
  </si>
  <si>
    <t>Расчеты по долгосрочным кредитам и займам</t>
  </si>
  <si>
    <t>67.1</t>
  </si>
  <si>
    <t>Расчеты по долгосрочным кредитам и займам - Основная сумма</t>
  </si>
  <si>
    <t>67.2</t>
  </si>
  <si>
    <t>Расчеты по долгосрочным кредитам и займам — Проценты</t>
  </si>
  <si>
    <t>67.3</t>
  </si>
  <si>
    <t>Расчеты по долгосрочным кредитам и займам — Дисконт</t>
  </si>
  <si>
    <t>Расчеты по налогам и сборам</t>
  </si>
  <si>
    <t>68.01</t>
  </si>
  <si>
    <t>Краткосрочные расчеты по налогам и сборам</t>
  </si>
  <si>
    <t>68.01.1</t>
  </si>
  <si>
    <t>НДФЛ</t>
  </si>
  <si>
    <t>68.01.2</t>
  </si>
  <si>
    <t>Налог на добавленную стоимость</t>
  </si>
  <si>
    <t>68.01.3</t>
  </si>
  <si>
    <t>Акцизы</t>
  </si>
  <si>
    <t>68.01.4</t>
  </si>
  <si>
    <t>Налог на прибыль</t>
  </si>
  <si>
    <t>68.01.5</t>
  </si>
  <si>
    <t>68.01.6</t>
  </si>
  <si>
    <t>Транспортный налог</t>
  </si>
  <si>
    <t>68.01.7</t>
  </si>
  <si>
    <t>Налог на имущество</t>
  </si>
  <si>
    <t>68.01.8</t>
  </si>
  <si>
    <t>ЕНВД</t>
  </si>
  <si>
    <t>Земельный налог</t>
  </si>
  <si>
    <t>68.01.11</t>
  </si>
  <si>
    <t>Водный налог</t>
  </si>
  <si>
    <t>Сборы за пользование объектами животного мира и за пользование объектами водных биологических ресурсов</t>
  </si>
  <si>
    <t>68.01.13</t>
  </si>
  <si>
    <t>ЕСН</t>
  </si>
  <si>
    <t>68.01.14</t>
  </si>
  <si>
    <t>68.02</t>
  </si>
  <si>
    <t>Долгосрочные расчеты по налогам и сборам</t>
  </si>
  <si>
    <t>Перевод краткосрочные / долгосрочные</t>
  </si>
  <si>
    <t>Счет 58.01.1. Краткосрочные кредиты и займы выданные</t>
  </si>
  <si>
    <t>Счет 58.01.2. Долгосрочные кредиты и займы выданные</t>
  </si>
  <si>
    <t>2423</t>
  </si>
  <si>
    <t>Счет 58.03.1. Прочие краткосрочные финансовые вложения</t>
  </si>
  <si>
    <t>Счет 58.03.2. Прочие долгосрочные финансовые вложения</t>
  </si>
  <si>
    <t>Счет 66. Краткосрочные займы и кредиты полученные</t>
  </si>
  <si>
    <t>от 2 до 3 лет</t>
  </si>
  <si>
    <t>от 1 до 2 лет</t>
  </si>
  <si>
    <t>Счет 67. Долгосрочные займы и кредиты полученные</t>
  </si>
  <si>
    <t>Лист 05</t>
  </si>
  <si>
    <t>Лист 04</t>
  </si>
  <si>
    <t>Лист 03</t>
  </si>
  <si>
    <t>Лист 02_1</t>
  </si>
  <si>
    <t>Лист 01</t>
  </si>
  <si>
    <t>91_01_ВГО, 91_02</t>
  </si>
  <si>
    <t>Проверка соответствия («меньше или равно») сумм по колонке «себестоимость» на листе 91_01_ВГО суммам по колонке «Дт оборот» на  листе 91_02</t>
  </si>
  <si>
    <t>83, 83_расш</t>
  </si>
  <si>
    <t>ДДС_Приложение, 50_движ, 51_движ_, 52_движ, 55_движ_, 57_движ</t>
  </si>
  <si>
    <t>41_01, 41_02</t>
  </si>
  <si>
    <t>Счёт 26: Дт оборот равен Кт обороту (счёт не имеет сальдо на начало и конец периода)</t>
  </si>
  <si>
    <t>Счёт 25: Дт оборот равен Кт обороту (счёт не имеет сальдо на начало и конец периода)</t>
  </si>
  <si>
    <t>Налог на прибыль, ОПУ</t>
  </si>
  <si>
    <t>Данные, заполненные в форме Налог на прибыль, соответствуют ОПУ</t>
  </si>
  <si>
    <t>Налог_на_прибыль, 09, 68, 77</t>
  </si>
  <si>
    <t>Данные, заполненные в форме Налог на прибыль, соответствуют данным счетов 09, 68, 77</t>
  </si>
  <si>
    <t>19</t>
  </si>
  <si>
    <t xml:space="preserve">Проверка равенства НДС, включенного в выручку 91.01 и НДС на счете 91.02  </t>
  </si>
  <si>
    <t>Проверка остатков на начало периода</t>
  </si>
  <si>
    <t>75_01_Неденеж, 75_01</t>
  </si>
  <si>
    <t>58_02_движ, 58_02</t>
  </si>
  <si>
    <t>Проверка полноты переноса данных между листами</t>
  </si>
  <si>
    <t>58_01_1, 58_01_2</t>
  </si>
  <si>
    <t>44, 45</t>
  </si>
  <si>
    <t>43, 45</t>
  </si>
  <si>
    <t>41_01, 45</t>
  </si>
  <si>
    <t>20, 45</t>
  </si>
  <si>
    <t>10_движ, 43</t>
  </si>
  <si>
    <t>10_движ, 41_01</t>
  </si>
  <si>
    <t>01, 03, 04, 08</t>
  </si>
  <si>
    <t>{52150600} Расходы на приобретение (изготовление) призов, вручаемых победителям розыгрышей таких призов во время проведения массовых рекламных кампаний</t>
  </si>
  <si>
    <t>{52150700} Расходы на иные виды рекламы</t>
  </si>
  <si>
    <t>{52150800} Маркетинг и исследование рынка</t>
  </si>
  <si>
    <t>{52160100} Суточные по командировкам по РФ</t>
  </si>
  <si>
    <t>{52160200} Расходы на проезд по командировка в РФ</t>
  </si>
  <si>
    <t>{52160300} Расходы на проживание в командировках по РФ</t>
  </si>
  <si>
    <t>{52160400} Прочие командировочные по РФ</t>
  </si>
  <si>
    <t>{52170100} Суточные по зарубежным командировкам</t>
  </si>
  <si>
    <t>{52170200} Расходы на проезд по зарубежным командировкам</t>
  </si>
  <si>
    <t>{52170300} Расходы на проживание по зарубежным командировкам</t>
  </si>
  <si>
    <t>{52170400} Прочие командировочные по зарубежным командировкам</t>
  </si>
  <si>
    <t>{52180100} Представительские расходы</t>
  </si>
  <si>
    <t>{52180200} Сувенирная продукция, относящаяся к представительским расходам</t>
  </si>
  <si>
    <t>{52190000} Аудиторские услуги</t>
  </si>
  <si>
    <t>{52200000} Услуги по ведению бухгалтерского учета (ОЦО)</t>
  </si>
  <si>
    <t>{52210000} Юридические и нотариальные услуги</t>
  </si>
  <si>
    <t>{52220000} Социологические исследования</t>
  </si>
  <si>
    <t>{52240000} Работы и услуги типографий</t>
  </si>
  <si>
    <t>{52250000} Почтовые услуги и курьерская отправка</t>
  </si>
  <si>
    <t>{52260200} Оплата стоянки автотранспорта</t>
  </si>
  <si>
    <t>{52270000} Услуги по договорам комиссии, агентским договорам и поручениям</t>
  </si>
  <si>
    <t>{52280000} Коммунальные услуги</t>
  </si>
  <si>
    <t>{52290000} Регистрация имущества и земли</t>
  </si>
  <si>
    <t>{52310000} Таможенное оформление</t>
  </si>
  <si>
    <t>{52320000} Таможенные пошлины (платежи)</t>
  </si>
  <si>
    <t>{52330000} Затраты на сертификацию и лицензирование</t>
  </si>
  <si>
    <t>{52340000} Услуги по организации и проведению торгов</t>
  </si>
  <si>
    <t>{52360000} Расходы на гражданскую оборону, предусмотренные законодательством Российской Федерации</t>
  </si>
  <si>
    <t>{52990000} Другие затраты</t>
  </si>
  <si>
    <t>{0020_~} Приобретение объектов природопользования</t>
  </si>
  <si>
    <t>{0031_~} Строительство новых объектов</t>
  </si>
  <si>
    <t>{0032_~} Реконструкция и модернизация объектов основных средств</t>
  </si>
  <si>
    <t>{0040_~} Приобретение объектов основных средств</t>
  </si>
  <si>
    <t>{0051_~} Создание нематериальных активов</t>
  </si>
  <si>
    <t>{0052_~} Приобретение нематериальных активов</t>
  </si>
  <si>
    <t>{0061_~} Перевод молодняка животных в основное стадо</t>
  </si>
  <si>
    <t>{0062_~} Приобретение взрослых животных</t>
  </si>
  <si>
    <t>{0070_1} Расходы на научно-исследовательские работы (стадия исследований)</t>
  </si>
  <si>
    <t>{0070_2} Расходы на опытно-конструкторские работы (стадия разработок)</t>
  </si>
  <si>
    <t>{0070_3} Расходы на технологические работы</t>
  </si>
  <si>
    <t>{0091_~} Создание материальных поисковых активов</t>
  </si>
  <si>
    <t>{0092_~} Создание нематериальных поисковых активов</t>
  </si>
  <si>
    <t>{0010_~} Приобретение земельных участков</t>
  </si>
  <si>
    <t>{113113} Резерв на обеспечение безопасности 2013</t>
  </si>
  <si>
    <t>{113213} Резерв на вывод из эксплуатации и НИОКР 2013</t>
  </si>
  <si>
    <t>{113313} Резерв на физическую защиту 2013</t>
  </si>
  <si>
    <t>{113413} Резерв на развитие 2013</t>
  </si>
  <si>
    <t>ЗАО "Газовик-Нефть</t>
  </si>
  <si>
    <t>{2340101} Убытки прошлых лет, признанные в текущем году (НДС)</t>
  </si>
  <si>
    <t>ЗАО "Газпромнефть-Кузбасс"</t>
  </si>
  <si>
    <t>{2360120} Расходы, связанные с получением заемных средств, выраженные в твердой сумме. Иные комиссионные сборы</t>
  </si>
  <si>
    <t>ЗАО "Газстрой"</t>
  </si>
  <si>
    <t>{2360130} Расходы, связанные с получением заемных средств, выраженные в твердой сумме. Прочие расходы, связанные с привлечением кредитов и займов</t>
  </si>
  <si>
    <t>ЗАО "Газтелеком" филиал ЗАО "Газтелеком"</t>
  </si>
  <si>
    <t>{2360200} Расходы, связанные с получением заемных средств, включенные в сумму процентов по кредиту</t>
  </si>
  <si>
    <t>ЗАО "ГАЗЭНЕРГОПОСТАВКА"</t>
  </si>
  <si>
    <t>ЗАО "Гидрогаз"</t>
  </si>
  <si>
    <t>{2360320} Расходы, связанные с получением облигационных займов. Иные комиссионные сборы</t>
  </si>
  <si>
    <t>ЗАО "Государственная акционерная компания "ЭЛЕГАЗ-КОНВЕРСИЯ"</t>
  </si>
  <si>
    <t>{1100} Специальная оснастка и специальная одежда в эксплуатации</t>
  </si>
  <si>
    <t>{1200} Специальная оснастка и специальная одежда на складе (НЕ новая)</t>
  </si>
  <si>
    <t>{1400} Страховой запас</t>
  </si>
  <si>
    <t>{1} Ядерно-топливный цикл</t>
  </si>
  <si>
    <t>2740</t>
  </si>
  <si>
    <t>{14161000} Услуги по предоставлению тары</t>
  </si>
  <si>
    <t>{14220200} Аттестация выделенных помещений и защита помещений по предписанию ФСБ</t>
  </si>
  <si>
    <t>{14240000} Расходы на обеспечение пожарной безопасности</t>
  </si>
  <si>
    <t>{16100000} Потери от брака</t>
  </si>
  <si>
    <t>{17999900} Прочие услуги производственного характера (собственные)</t>
  </si>
  <si>
    <t>{20030300} Оценочные обязательства по прочим выплатам персоналу (сумма выплат)</t>
  </si>
  <si>
    <t>{30500300} Оценочные обязательства по прочим выплатам персоналу (сумма страховых взносов)</t>
  </si>
  <si>
    <t>{51010500} Резерв на захоронение РАО</t>
  </si>
  <si>
    <t>{52020600} Страхование ответственности за ядерный ущерб (по Венской конвенции)</t>
  </si>
  <si>
    <t>{52090106} Аренда объектов природопользования, находящихся в государственной и муниципальной собственности</t>
  </si>
  <si>
    <t>{52260100} Расходы на компенсацию за использование для служебных поездок личных легковых автомобилей и мотоциклов</t>
  </si>
  <si>
    <t>{52269900} Прочие расходы на содержание служебного транспорта</t>
  </si>
  <si>
    <t>{52300000} Затраты на подписку периодических изданий , специальную литературу</t>
  </si>
  <si>
    <t>{1} Операционные затраты производства</t>
  </si>
  <si>
    <t>9021</t>
  </si>
  <si>
    <t>{900701} Закрытие на непроизводственные счета</t>
  </si>
  <si>
    <t>F_M0801</t>
  </si>
  <si>
    <t>{10} Резервы под снижение стоимости материалов</t>
  </si>
  <si>
    <t>{20} Резервы под снижение стоимости незавершенного производства</t>
  </si>
  <si>
    <t>{21} Резервы под снижение стоимости  полуфабрикатов и комплектующих изделий собственного производства</t>
  </si>
  <si>
    <t>{41} Резервы под снижение стоимости товаров</t>
  </si>
  <si>
    <t>{43} Резервы под снижение стоимости готовой продукции</t>
  </si>
  <si>
    <t>{45} Резервы под снижение стоимости товаров отгруженных</t>
  </si>
  <si>
    <t>Счет 15. Заготовление и приобретение материальных ценностей.</t>
  </si>
  <si>
    <t>Закупка (без НДС) / Производство (плановая себестоимость)</t>
  </si>
  <si>
    <t>10 и 10_расш "Остаток на конец периода"</t>
  </si>
  <si>
    <t>*{252013}*</t>
  </si>
  <si>
    <t>*{252016}*</t>
  </si>
  <si>
    <t>68.02.1</t>
  </si>
  <si>
    <t>68.02.2</t>
  </si>
  <si>
    <t>68.02.3</t>
  </si>
  <si>
    <t>68.02.4</t>
  </si>
  <si>
    <t>68.02.5</t>
  </si>
  <si>
    <t>68.02.6</t>
  </si>
  <si>
    <t>68.02.7</t>
  </si>
  <si>
    <t>68.02.8</t>
  </si>
  <si>
    <t>68.02.11</t>
  </si>
  <si>
    <t>68.02.13</t>
  </si>
  <si>
    <t>68.02.14</t>
  </si>
  <si>
    <t>Расчеты по социальному страхованию и обеспечению</t>
  </si>
  <si>
    <t>Расчеты с персоналом по оплате труда</t>
  </si>
  <si>
    <t>Расчеты с подотчетными лицами</t>
  </si>
  <si>
    <t>Расчеты с персоналом по прочим операциям</t>
  </si>
  <si>
    <t>73.01</t>
  </si>
  <si>
    <t>Расчеты с персоналом по прочим операциям. Краткосрочные</t>
  </si>
  <si>
    <t>73.02</t>
  </si>
  <si>
    <t>Расчеты с персоналом по прочим операциям. Долгосрочные</t>
  </si>
  <si>
    <t>Расчеты с учредителями</t>
  </si>
  <si>
    <t>75.01</t>
  </si>
  <si>
    <t>Расчеты по вкладам в уставный (складочный) капитал</t>
  </si>
  <si>
    <t>75.02</t>
  </si>
  <si>
    <t>Расчеты по выплате доходов</t>
  </si>
  <si>
    <t>Расчеты с прочими покупателями/заказчиками</t>
  </si>
  <si>
    <t>76.01</t>
  </si>
  <si>
    <t>77</t>
  </si>
  <si>
    <t>Отложенное налоговое обязательство</t>
  </si>
  <si>
    <t>78</t>
  </si>
  <si>
    <t xml:space="preserve"> Расчеты с участниками КГН</t>
  </si>
  <si>
    <t>Уставный капитал</t>
  </si>
  <si>
    <t>Собственные акции (доли)</t>
  </si>
  <si>
    <t>Резервный капитал</t>
  </si>
  <si>
    <t>82.01</t>
  </si>
  <si>
    <t>Резервы, образованные в соответствии с законодательством</t>
  </si>
  <si>
    <t>82.02</t>
  </si>
  <si>
    <t>Резервы, образованные в соответствии с учредительными документами</t>
  </si>
  <si>
    <t>Добавочный капитал</t>
  </si>
  <si>
    <t>83.01</t>
  </si>
  <si>
    <t>Эмиссионный доход</t>
  </si>
  <si>
    <t>83.02</t>
  </si>
  <si>
    <t>Добавочный капитал - прочее</t>
  </si>
  <si>
    <t>84</t>
  </si>
  <si>
    <t>Нераспределенная прибыль/непокрытый убыток</t>
  </si>
  <si>
    <t>84.01</t>
  </si>
  <si>
    <t>Прибыль/ убыток текущего года</t>
  </si>
  <si>
    <t>84.02</t>
  </si>
  <si>
    <t>Нераспределенная прибыль/ непокрытый убыток прошлых лет</t>
  </si>
  <si>
    <t>86</t>
  </si>
  <si>
    <t>Целевое финансирование</t>
  </si>
  <si>
    <t>86.01</t>
  </si>
  <si>
    <t>Целевое финансирование за счет бюджетных средств</t>
  </si>
  <si>
    <t>86.02</t>
  </si>
  <si>
    <t>Целевое финансирование за счет МТП</t>
  </si>
  <si>
    <t>86.03</t>
  </si>
  <si>
    <t>Целевое финансирование за счет резервов</t>
  </si>
  <si>
    <t>86.04</t>
  </si>
  <si>
    <t>Целевое финансирование за счет прочих источников</t>
  </si>
  <si>
    <t>90</t>
  </si>
  <si>
    <t>Продажи</t>
  </si>
  <si>
    <t>90.01</t>
  </si>
  <si>
    <t>Выручка от продаж</t>
  </si>
  <si>
    <t>90.01.1</t>
  </si>
  <si>
    <t>Выручка от продаж - реализация собственной продукции</t>
  </si>
  <si>
    <t>90.01.2</t>
  </si>
  <si>
    <t>Выручка от продаж - реализация товаров</t>
  </si>
  <si>
    <t>90.01.3</t>
  </si>
  <si>
    <t>Выручка от продаж - оказание услуг (выполнение работ)</t>
  </si>
  <si>
    <t>90.02</t>
  </si>
  <si>
    <t>Себестоимость продаж</t>
  </si>
  <si>
    <t>90.02.1</t>
  </si>
  <si>
    <t>Себестоимость продаж - реализация собственной продукции</t>
  </si>
  <si>
    <t>90.02.2</t>
  </si>
  <si>
    <t>Себестоимость продаж - реализация товаров</t>
  </si>
  <si>
    <t>90.02.3</t>
  </si>
  <si>
    <t>Себестоимость продаж - оказание услуг (выполнение работ)</t>
  </si>
  <si>
    <t>90.03</t>
  </si>
  <si>
    <t>90.04</t>
  </si>
  <si>
    <t>90.05</t>
  </si>
  <si>
    <t>Экспортные пошлины</t>
  </si>
  <si>
    <t>90.07</t>
  </si>
  <si>
    <t>90.08</t>
  </si>
  <si>
    <t>Управленческие расходы</t>
  </si>
  <si>
    <t>90.09</t>
  </si>
  <si>
    <t>Прибыль / убыток от продаж</t>
  </si>
  <si>
    <t>91</t>
  </si>
  <si>
    <t>Прочие доходы и расходы</t>
  </si>
  <si>
    <t>91.01</t>
  </si>
  <si>
    <t>Прочие доходы</t>
  </si>
  <si>
    <t>91.02</t>
  </si>
  <si>
    <t>Прочие расходы</t>
  </si>
  <si>
    <t>91.09</t>
  </si>
  <si>
    <t>Сальдо прочих доходов и расходов</t>
  </si>
  <si>
    <t>94</t>
  </si>
  <si>
    <t>Недостачи и потери от порчи ценностей</t>
  </si>
  <si>
    <t>Резервы предстоящих расходов</t>
  </si>
  <si>
    <t>96.01</t>
  </si>
  <si>
    <t>96.02</t>
  </si>
  <si>
    <t>96.03</t>
  </si>
  <si>
    <t>Отраслевые резервы</t>
  </si>
  <si>
    <t>Расходы будущих периодов</t>
  </si>
  <si>
    <t>97.01</t>
  </si>
  <si>
    <t>Расходы будущих периодов. Краткосрочные</t>
  </si>
  <si>
    <t>97.02</t>
  </si>
  <si>
    <t>Расходы будущих периодов. Долгосрочные</t>
  </si>
  <si>
    <t>98</t>
  </si>
  <si>
    <t>Доходы будущих периодов</t>
  </si>
  <si>
    <t>98.01</t>
  </si>
  <si>
    <t>99</t>
  </si>
  <si>
    <t>Прибыли и убытки</t>
  </si>
  <si>
    <t>99.01</t>
  </si>
  <si>
    <t>Прибыли и убытки - по данным учета</t>
  </si>
  <si>
    <t>99.02</t>
  </si>
  <si>
    <t>Прибыли и убытки - ручные корректировки</t>
  </si>
  <si>
    <t>Оборотно-сальдовая ведомость (сверка с данными учетных систем)</t>
  </si>
  <si>
    <t>Заполнение на основании данных учетных систем</t>
  </si>
  <si>
    <t>Конечное сальдо</t>
  </si>
  <si>
    <t>2080_2013</t>
  </si>
  <si>
    <t>Вид затрат</t>
  </si>
  <si>
    <t>Первичные виды затрат</t>
  </si>
  <si>
    <t>Вторичные виды затрат</t>
  </si>
  <si>
    <t>Коммерческие расходы</t>
  </si>
  <si>
    <t>Прочие</t>
  </si>
  <si>
    <t>Предприятие</t>
  </si>
  <si>
    <t>Холдинг</t>
  </si>
  <si>
    <t>Счет 50. Касса</t>
  </si>
  <si>
    <t>Виды кассы</t>
  </si>
  <si>
    <t>Валюта</t>
  </si>
  <si>
    <t>{01} Касса организации</t>
  </si>
  <si>
    <t>{ETB} Эфиопский быр</t>
  </si>
  <si>
    <t>Счет 51. Расчетные счета</t>
  </si>
  <si>
    <t>Счет 52. Валютные счета</t>
  </si>
  <si>
    <t>{EUR} Евро</t>
  </si>
  <si>
    <t>{AUD} Австралийский доллар</t>
  </si>
  <si>
    <t>Счет 55. Специальные счета в банках</t>
  </si>
  <si>
    <t>Виды специальных счетов</t>
  </si>
  <si>
    <t>{1} Аккредитивы</t>
  </si>
  <si>
    <t>{4} Прочие</t>
  </si>
  <si>
    <t>{DOP} Доминиканское песо</t>
  </si>
  <si>
    <t>Счет 57. Переводы в пути</t>
  </si>
  <si>
    <t>{CZK} Чешская крона</t>
  </si>
  <si>
    <t>Расшифровка движений по счетам денежных средств</t>
  </si>
  <si>
    <t>Движение за период</t>
  </si>
  <si>
    <t>2410_1010_1006_2730</t>
  </si>
  <si>
    <t>{2112000_~_~_~} Поступления от реализации НМА</t>
  </si>
  <si>
    <t>{2113000_~_~_~} Поступления от реализации незавершенного строительства</t>
  </si>
  <si>
    <t>Расшифровка движения денежных средств</t>
  </si>
  <si>
    <t>Статья ДДС</t>
  </si>
  <si>
    <t>Отсутствие оборотов по Кт для статей поступлений и по Дт для статей расходования</t>
  </si>
  <si>
    <t>={1150200} Дисконтный доход по долгосрочным займам</t>
  </si>
  <si>
    <t>={1150300} Процентные доходы от временного использования долгосрочных займов</t>
  </si>
  <si>
    <t>={1160100} Процентный доход по краткосрочным займам</t>
  </si>
  <si>
    <t>={1160200} Дисконтный доход по краткосрочным займам</t>
  </si>
  <si>
    <t>={1160300} Процентные доходы от временного использования краткосрочных займов</t>
  </si>
  <si>
    <t>={1170000} Процентный доход по депозитам</t>
  </si>
  <si>
    <t>={1180100} Процентный доход по банковским счетам</t>
  </si>
  <si>
    <t>={1180200} Процентный доход по векселям</t>
  </si>
  <si>
    <t>={1180300} Дисконтный доход по векселям</t>
  </si>
  <si>
    <t>={1180400} Процентный доход по облигациям (кроме государственных)</t>
  </si>
  <si>
    <t>={1180500} Дисконтный доход по облигациям (кроме государственных)</t>
  </si>
  <si>
    <t>={1180600} Процентный доход по государственным облигациям</t>
  </si>
  <si>
    <t>={1180700} Дисконтный доход по государственным облигациям</t>
  </si>
  <si>
    <t>={1180800} Проценты, полученные по прочим долговым обязательствам</t>
  </si>
  <si>
    <t>={1180900} Процентные доходы от изменения дисконтированной стоимости</t>
  </si>
  <si>
    <t>К11</t>
  </si>
  <si>
    <t>К12</t>
  </si>
  <si>
    <t>К13</t>
  </si>
  <si>
    <t>Итого проценты к получению ВГО</t>
  </si>
  <si>
    <t>Итого доходы от участия в других организациях ВГО</t>
  </si>
  <si>
    <t>Итого прочие доходы ВГО</t>
  </si>
  <si>
    <t>Итого доходы ВГО</t>
  </si>
  <si>
    <t>МЗП</t>
  </si>
  <si>
    <t>ЧМЗ</t>
  </si>
  <si>
    <t>КМЗ</t>
  </si>
  <si>
    <t>Гринатом</t>
  </si>
  <si>
    <t>АТА</t>
  </si>
  <si>
    <t>АЭПК</t>
  </si>
  <si>
    <t>НИКИЭТ</t>
  </si>
  <si>
    <t>{1999910} Другие доходы (НДС)</t>
  </si>
  <si>
    <t>{1010000} Доходы от долевого участия в других организациях</t>
  </si>
  <si>
    <t>ТВЭЛ-Строй</t>
  </si>
  <si>
    <t>{2030100} Остаточная стоимость реализуемых ОС</t>
  </si>
  <si>
    <t>{2060100} Стоимость реализованных ТМЦ</t>
  </si>
  <si>
    <t>{2060300} Стоимость реализованного лома и отходов черных и цветных металлов</t>
  </si>
  <si>
    <t>{2060400} Расходы, связанные с реализацией лома цветных и черных металлов</t>
  </si>
  <si>
    <t>{2060500} Стоимость реализованного лома и отходов, содержащих драгоценные металлы и камни</t>
  </si>
  <si>
    <t>{2190100} Расходы в виде неустойки в случае неисполнения или ненадлежащего исполнения обязательства</t>
  </si>
  <si>
    <t>{2190500} Пени и штрафы, подлежащие уплате в бюджет</t>
  </si>
  <si>
    <t>{2200100} Расходы в виде курсовых разниц по дог. в у.е.</t>
  </si>
  <si>
    <t>Сверка с 77 счетом (остаток на конец периода</t>
  </si>
  <si>
    <t>Налогооблагаемые временные разницы (различия в оценке активов и обязательств для целей бухгалтерского учета и налогообложения):</t>
  </si>
  <si>
    <t>Начисления по отложенным налогам и сборам</t>
  </si>
  <si>
    <t>Расходы по внутренним справочным документам</t>
  </si>
  <si>
    <t>Убыток от списания НИОКР</t>
  </si>
  <si>
    <t>Убыток от реализации основных средств</t>
  </si>
  <si>
    <t>Резерв под обесценение финансовых вложений</t>
  </si>
  <si>
    <t>Резерв под снижение стоимости МПЗ</t>
  </si>
  <si>
    <t>Налогооблагаемая прибыль</t>
  </si>
  <si>
    <t>Резерв по условным обязательствам</t>
  </si>
  <si>
    <t>Убытки по основной деятельности, переносимые на будущее</t>
  </si>
  <si>
    <t>Если сформирован ОНА, необходимо обосновать наличие достаточной налогооблагаемой прибыли для его реализации в будущих периодах</t>
  </si>
  <si>
    <t>Убытки ОПХ</t>
  </si>
  <si>
    <t>{1110000_~_202_~} Средства, полученные от продажи товаров, работ, услуг, компании, не входящие в РСБУ периметр консолидации (прочие компании ГК Росатом)</t>
  </si>
  <si>
    <t>{1110000_~_203_~} Средства, полученные от продажи товаров, работ, услуг, компании, входящие в РСБУ периметр консолидации</t>
  </si>
  <si>
    <t>{1110000_~_~_~} Средства, полученные от продажи продукции, товаров, работ и услуг</t>
  </si>
  <si>
    <t>Итого 4111</t>
  </si>
  <si>
    <t>{1120100_~_~_~} Доходы от активов, переданных в пользование (аренда, лизинг)</t>
  </si>
  <si>
    <t>{1120200_~_~_~} Доходы от предоставления в пользование прав на результаты интеллектуальной деятельности</t>
  </si>
  <si>
    <t>{1120300_~_~_~} Агентское вознаграждение</t>
  </si>
  <si>
    <t>{1120000_~_~_~} Арендные платежи, лицензионные платежи, гонорары, комиссионные платежи и пр.</t>
  </si>
  <si>
    <t>Итого 4112</t>
  </si>
  <si>
    <t>{1191100_~_~_~} Возврат косвенных налогов</t>
  </si>
  <si>
    <t>{1191200_~_~_~} Возврат прочих налогов и сборов</t>
  </si>
  <si>
    <t>{1191300_~_~_~} Возврат страховых взносов из внебюджетных фондов</t>
  </si>
  <si>
    <t>Расходы, не признаваемые в бухгалтерском учете и признаваемые в налоговом</t>
  </si>
  <si>
    <t>Доходы, не включаемые в налогооблагаемую базу</t>
  </si>
  <si>
    <t>Расходы, не включаемые в налогооблагаемую базу</t>
  </si>
  <si>
    <t>Постоянные разницы (различия в трактовке доходов и расходов для целей бухгалтерского учета и налогообложения):</t>
  </si>
  <si>
    <t>Показатель соответствует значению ОПУ</t>
  </si>
  <si>
    <t>Прибыль/(убыток) до налогообложения</t>
  </si>
  <si>
    <t>Изменение  временных разниц, не повлиявшее на налогооблагаемую прибыль</t>
  </si>
  <si>
    <t>Расшифровка источников формирования временных разниц по статьям ОПУ</t>
  </si>
  <si>
    <t>ARAKO</t>
  </si>
  <si>
    <t>Сокращенное название</t>
  </si>
  <si>
    <t>Номер ЦФО</t>
  </si>
  <si>
    <t>Полное название</t>
  </si>
  <si>
    <t>Включена в Периметр АЭПК по МСФО</t>
  </si>
  <si>
    <t>Включена в Периметр ГК по МСФО</t>
  </si>
  <si>
    <t>Внешние контрагенты</t>
  </si>
  <si>
    <t>CZ47152371</t>
  </si>
  <si>
    <t>Mantra Resources Ltd.</t>
  </si>
  <si>
    <t>NUKEM</t>
  </si>
  <si>
    <t>204/115/21479</t>
  </si>
  <si>
    <t>Uranium</t>
  </si>
  <si>
    <t>ROSATOM FINANCE</t>
  </si>
  <si>
    <t>АКМЭ-Инжиниринг</t>
  </si>
  <si>
    <t>АЛАБУГА-ВОЛОКНО</t>
  </si>
  <si>
    <t>Аргон</t>
  </si>
  <si>
    <t>АРМЗ</t>
  </si>
  <si>
    <t>АСЭ</t>
  </si>
  <si>
    <t>АТМ</t>
  </si>
  <si>
    <t>Атомбезопасность</t>
  </si>
  <si>
    <t>Атомзащитаинформ</t>
  </si>
  <si>
    <t>Атомкомплект</t>
  </si>
  <si>
    <t>Атомспецтранс</t>
  </si>
  <si>
    <t>Атомтехэнерго</t>
  </si>
  <si>
    <t>Атомфлот</t>
  </si>
  <si>
    <t>ФГУП атомного флота (ФГУП "Атомфлот")</t>
  </si>
  <si>
    <t>Атомэнергомаш</t>
  </si>
  <si>
    <t>Атомэнергосбыт</t>
  </si>
  <si>
    <t>Атомэнергоремонт</t>
  </si>
  <si>
    <t>АтомКапитал</t>
  </si>
  <si>
    <t>АТЦ СПб</t>
  </si>
  <si>
    <t>АЭМ-технологии</t>
  </si>
  <si>
    <t>АЭП</t>
  </si>
  <si>
    <t>АЭХК</t>
  </si>
  <si>
    <t>Балтийская АЭС</t>
  </si>
  <si>
    <t>ВО Изотоп</t>
  </si>
  <si>
    <t>ВНИИА</t>
  </si>
  <si>
    <t>ВНИИАЭС</t>
  </si>
  <si>
    <t>ВНИИТФ</t>
  </si>
  <si>
    <t>ФГУП "Российский Федеральный Ядерный Центр - Всероссийский научно-исследовательский институт технической физики имени академика Е.И. Забабахина"</t>
  </si>
  <si>
    <t>ВНИИХТ</t>
  </si>
  <si>
    <t>ФГУП "Российский федеральный ядерный центр–Всероссийский научно- исследовательский институт экспериментальной физики" (ФГУП "РФЯЦ-ВНИИЭФ")</t>
  </si>
  <si>
    <t>ВНИПИПромтехнологии</t>
  </si>
  <si>
    <t>Гидропресс</t>
  </si>
  <si>
    <t>Гиредмет</t>
  </si>
  <si>
    <t>ГСПИ</t>
  </si>
  <si>
    <t>ГХК</t>
  </si>
  <si>
    <t>ФГУП "Горно-химический комбинат"</t>
  </si>
  <si>
    <t>Далур</t>
  </si>
  <si>
    <t>Дедал</t>
  </si>
  <si>
    <t>ДЕЗ</t>
  </si>
  <si>
    <t>ЗАЭС</t>
  </si>
  <si>
    <t>ЗиО-Подольск</t>
  </si>
  <si>
    <t>ЗУКМ</t>
  </si>
  <si>
    <t>{1241030_~_~_~} Платежи по налогу на доходы физических лиц</t>
  </si>
  <si>
    <t>{1241040_~_~_~} Платежи по налогу на прибыль организаций</t>
  </si>
  <si>
    <t>{2280100} Остаточная стоимость списываемых основных средств</t>
  </si>
  <si>
    <t>{2281000} Стоимость ликвидируемых ТМЦ</t>
  </si>
  <si>
    <t>{2350000} Расходы на услуги банков, кроме процентных расходов</t>
  </si>
  <si>
    <t>{2380100} Расходы на подготовку проспекта эмиссии, изготовление и приобретение бланков, регистрацию ценных бумаг</t>
  </si>
  <si>
    <t>{2380200} Расходы, связанные с обслуживанием выпущенных ценных бумаг</t>
  </si>
  <si>
    <t>{2400100} Налог на имущество</t>
  </si>
  <si>
    <t>{2510200} Расходы на взаимодействие с иными образовательными организациями</t>
  </si>
  <si>
    <t>{2590100} Страховые взносы</t>
  </si>
  <si>
    <t>{2590200} Страхование от несчастных случаев на производстве и профзаболеваний</t>
  </si>
  <si>
    <t>{2600400} Расходы на проведение праздников и культурно-массовых мероприятий, перечисляемые профсоюзному комитету</t>
  </si>
  <si>
    <t>{2609900} Прочие расходы на содержание профсоюзных организаций</t>
  </si>
  <si>
    <t>{2610100} Расходы на проведение спортивных мероприятий</t>
  </si>
  <si>
    <t>{2610300} Расходы на проведение корпоративных мероприятий</t>
  </si>
  <si>
    <t>{2610400} Расходы на проведение мероприятий, направленных на реализацию молодежной политики</t>
  </si>
  <si>
    <t>{2640000} Выплаты членам совета директоров</t>
  </si>
  <si>
    <t>{2700000} Судебные расходы и арбитражные сборы</t>
  </si>
  <si>
    <t>{2710100} Амортизация ОС</t>
  </si>
  <si>
    <t>{2739900} Невозмещаемый НДС по прочим операциям</t>
  </si>
  <si>
    <t>{2800000} Расходы на услуги оценщика</t>
  </si>
  <si>
    <t>{2999900} Прочие расходы</t>
  </si>
  <si>
    <t>{3030000} НДС на доходы от реализации ОС</t>
  </si>
  <si>
    <t>{3060000} НДС на доходы от реализации сырья, материалов и неликвидов</t>
  </si>
  <si>
    <t>{2060200} Прочие расходы, связанные с реализацией ТМЦ</t>
  </si>
  <si>
    <t>{2280200} Расходы на ликвидацию списываемых основных средств</t>
  </si>
  <si>
    <t>{2400500} Госпошлина</t>
  </si>
  <si>
    <t>{2670000} Расходы на проведение собраний акционеров (участников)</t>
  </si>
  <si>
    <t>{3999900} НДС с других доходов</t>
  </si>
  <si>
    <t>Погашение задолженности за счет заработной платы (Дт 70)</t>
  </si>
  <si>
    <t>{01} Расчеты по предоставленным займам и ссудам</t>
  </si>
  <si>
    <t>{04} Расчеты с персоналом по прочим операциям</t>
  </si>
  <si>
    <t>Контрагенты, не входящие в периметр ГК "Росатом" по РСБУ</t>
  </si>
  <si>
    <t>Итого Прочее</t>
  </si>
  <si>
    <t>Итого Резервы</t>
  </si>
  <si>
    <t>Итого МТП</t>
  </si>
  <si>
    <t>Итого Бюджетные средства</t>
  </si>
  <si>
    <t>К22</t>
  </si>
  <si>
    <t>К20</t>
  </si>
  <si>
    <t>К18</t>
  </si>
  <si>
    <t>К17</t>
  </si>
  <si>
    <t>Закрытие 90 счета</t>
  </si>
  <si>
    <t>Закрытие 91 счета</t>
  </si>
  <si>
    <t>{21} Отложенный налоговый актив по прочим расходам</t>
  </si>
  <si>
    <t>{20} Отложенный налоговый актив по курсовым разницам</t>
  </si>
  <si>
    <t>{19} Отложенный налоговый актив по начислению отложенных налогов и сборов, включаемых в расходы</t>
  </si>
  <si>
    <t>{18} Отложенный налоговый актив по начисленным расходам</t>
  </si>
  <si>
    <t>Нематериальные активы</t>
  </si>
  <si>
    <t>{17} Отложенный налоговый актив по расходам на программное обеспечение</t>
  </si>
  <si>
    <t>{16} Отложенный налоговый актив по расходам на освоение природных ресурсов</t>
  </si>
  <si>
    <t>{15} Отложенный налоговый актив по убытку от списания НИОКР</t>
  </si>
  <si>
    <t>{22} Отложенный налоговый актив по резерву на отпуска и выплаты по достижению КПЭ</t>
  </si>
  <si>
    <t>{14} Отложенный налоговый актив по убытку от реализации основных средств</t>
  </si>
  <si>
    <t>{13} Отложенный налоговый актив по резерву под обесценения финансовых вложений</t>
  </si>
  <si>
    <t>Запасы</t>
  </si>
  <si>
    <t>{12} Отложенный налоговый актив по резерву под снижение стоимости МПЗ</t>
  </si>
  <si>
    <t>{11} Отложенный налоговый актив по резерву условных обязательств</t>
  </si>
  <si>
    <t xml:space="preserve">{10} Отложенный налоговый актив по резерву сомнительных долгов </t>
  </si>
  <si>
    <t>{09} Отложенный налоговый актив по амортизации основных средств</t>
  </si>
  <si>
    <t>{08} Отложенный налоговый актив по амортизации нематериальных активов</t>
  </si>
  <si>
    <t>{07} Отложенный налоговый актив по убытку от основной деятельности, переносимые на будущее</t>
  </si>
  <si>
    <t>{06} Отложенный налоговый актив по убытку ОПХ</t>
  </si>
  <si>
    <t>{05} Отложенный налоговый актив по убытку от ценных бумаг (необращающиеся)</t>
  </si>
  <si>
    <t>{04} Отложенный налоговый актив по убытку от ценных бумаг (обращающиеся)</t>
  </si>
  <si>
    <t>{03} Отложенный налоговый актив по расходам на страхование</t>
  </si>
  <si>
    <t>{02} Отложенный налоговый актив по прочим доходам</t>
  </si>
  <si>
    <t>{01} Отложенный налоговый актив по реализации товаров, работ, услуг</t>
  </si>
  <si>
    <t>F_M0503</t>
  </si>
  <si>
    <t>F_M0501</t>
  </si>
  <si>
    <t>Отложенные налоговые активы</t>
  </si>
  <si>
    <t>Счёт 09. Отложенные налоговые активы</t>
  </si>
  <si>
    <t>{6} НДС по кап.строительству (хоз.способом)</t>
  </si>
  <si>
    <t>{5} НДС восстановленный (в т.ч. нормированные расходы)</t>
  </si>
  <si>
    <t>{4} НДС уплаченный (Налоговый Агент)</t>
  </si>
  <si>
    <t>{3} НДС отложенный (экспорт)</t>
  </si>
  <si>
    <t>{2} НДС по импорту в Таможенном союзе</t>
  </si>
  <si>
    <t>{1} НДС по импорту</t>
  </si>
  <si>
    <t>{0} Входящий НДС</t>
  </si>
  <si>
    <t>F_M0606</t>
  </si>
  <si>
    <t>F_M0605</t>
  </si>
  <si>
    <t>F_M0604</t>
  </si>
  <si>
    <t>F_M0603</t>
  </si>
  <si>
    <t>F_M0602</t>
  </si>
  <si>
    <t>F_M0601</t>
  </si>
  <si>
    <t>НДС к зачету</t>
  </si>
  <si>
    <t>Включение НДС в состав прочих расходов (91 счет)</t>
  </si>
  <si>
    <t>Включение НДС в состав расходов (Дт 20, 21, 23, 25, 26, 29, 44)</t>
  </si>
  <si>
    <t>Выделен НДС по приобретенным товарам, работам, услугам</t>
  </si>
  <si>
    <t>Вид НДС</t>
  </si>
  <si>
    <t>Счет 19. НДС по приобретенным ценностям</t>
  </si>
  <si>
    <t>{99} Прочие</t>
  </si>
  <si>
    <t>{15} Сборы за пользование объектами животного мира и за пользование объектами водных биологических ресурсов</t>
  </si>
  <si>
    <t>{06} Водный налог</t>
  </si>
  <si>
    <t>{13} Земельный налог</t>
  </si>
  <si>
    <t>{11} ЕНВД</t>
  </si>
  <si>
    <t>{08} Налог на имущество</t>
  </si>
  <si>
    <t>{07} Транспортный налог</t>
  </si>
  <si>
    <t>{05} Налог на добычу полезных ископаемых</t>
  </si>
  <si>
    <t>{04} Налог на прибыль</t>
  </si>
  <si>
    <t>{03} Акцизы</t>
  </si>
  <si>
    <t>{02} НДС</t>
  </si>
  <si>
    <t>{01} НДФЛ</t>
  </si>
  <si>
    <t>F_M0614</t>
  </si>
  <si>
    <t>F_M0612</t>
  </si>
  <si>
    <t>F_M0611</t>
  </si>
  <si>
    <t>F_M0610</t>
  </si>
  <si>
    <t>F_M0609</t>
  </si>
  <si>
    <t>F_M0608</t>
  </si>
  <si>
    <t>F_M0607</t>
  </si>
  <si>
    <t>Возмещение из бюджета</t>
  </si>
  <si>
    <t>Уточнение расчетов за предыдущие периоды</t>
  </si>
  <si>
    <t>Доначисление налогов, штрафов, пеней по результатам налоговых проверок</t>
  </si>
  <si>
    <t>Начисление налогов</t>
  </si>
  <si>
    <t>Вычет по НДС</t>
  </si>
  <si>
    <t>Выплачено за период</t>
  </si>
  <si>
    <t>Бюджет для перечисления налогов</t>
  </si>
  <si>
    <t>Наименование налога / сбора / платежа</t>
  </si>
  <si>
    <t>Счет 68. Расчеты по налогам и сборам</t>
  </si>
  <si>
    <t>{1.02.01.25.01} Незавершенное производство - ядерное топливо (включая работы и услуги по изготовлению ЯТ)</t>
  </si>
  <si>
    <t>&lt;--- после нажатия кнопки нельзя переключаться в 
другие окна, пока не доработает макрос!!!</t>
  </si>
  <si>
    <t>{1.02.01.28.01} Незавершенное производство - прочая продукция, работы, услуги для ядерно-топливного цикла</t>
  </si>
  <si>
    <t>{1.02.01.29.01} Незавершенное производство - прочая ураносодержащая продукция, работы и услуги по созданию прочей ураносодержащей продукции</t>
  </si>
  <si>
    <t>ВНИМАНИЕ! При запуске ФСД обязательно нужно включить макросы</t>
  </si>
  <si>
    <t>Проверка_форматов_даты</t>
  </si>
  <si>
    <t>_10022_60_62_76</t>
  </si>
  <si>
    <t>Расходы от переоценки ценных бумаг по рыночной стоимости и 58_02движ</t>
  </si>
  <si>
    <t xml:space="preserve"> 91_01, 58_02_движ</t>
  </si>
  <si>
    <t xml:space="preserve"> 91_02, 58_02_движ</t>
  </si>
  <si>
    <t>C2=YTD;C1=F_C1;C6=0102;C9=1012</t>
  </si>
  <si>
    <t>C2=YTD;C1=F_C1;C6=0102;C9=1014</t>
  </si>
  <si>
    <t>C2=YTD;C1=F_C1;C6=0102;C9=1002</t>
  </si>
  <si>
    <t>C2=YTD;C1=F_C2;C6=0102;C9=1003</t>
  </si>
  <si>
    <t>C2=YTD;C1=F_C1;C6=0102;C9=1006</t>
  </si>
  <si>
    <t>ООО "ЭЛЕМАШ МАГНИТ"</t>
  </si>
  <si>
    <t>ЭЛЕМАШ-СТП</t>
  </si>
  <si>
    <t>ЭМСТ</t>
  </si>
  <si>
    <t>ЭнергоАвтотранс</t>
  </si>
  <si>
    <t>ООО "ЭнергоАвтотранс"</t>
  </si>
  <si>
    <t>Энергоатоминвест</t>
  </si>
  <si>
    <t>Энергоремонт</t>
  </si>
  <si>
    <t>20_23_25_29</t>
  </si>
  <si>
    <t>F_M0502</t>
  </si>
  <si>
    <t>Дт оборот</t>
  </si>
  <si>
    <t>Кт оборот</t>
  </si>
  <si>
    <t>Проверка (соответствие данных)</t>
  </si>
  <si>
    <t>АКТИВ</t>
  </si>
  <si>
    <t>на начало отчетного периода</t>
  </si>
  <si>
    <t>на конец отчетного периода</t>
  </si>
  <si>
    <t>I. ВНЕОБОРОТНЫЕ АКТИВЫ</t>
  </si>
  <si>
    <t>Результаты исследований и разработок</t>
  </si>
  <si>
    <t>Здания, машины, оборудование и другие основные средства</t>
  </si>
  <si>
    <t>Авансы выданные поставщикам и подрядчикам по капитальному строительству, поставщикам объектов основных средств</t>
  </si>
  <si>
    <t>Прочие внеоборотные активы</t>
  </si>
  <si>
    <t>Итого по разделу I</t>
  </si>
  <si>
    <t>II. ОБОРОТНЫЕ АКТИВЫ</t>
  </si>
  <si>
    <t>сырье, материалы и другие аналогичные ценности</t>
  </si>
  <si>
    <t>затраты в незавершенном производстве</t>
  </si>
  <si>
    <t>готовая продукция и товары для перепродажи</t>
  </si>
  <si>
    <t>товары отгруженные</t>
  </si>
  <si>
    <t>не предъявленная к оплате начисленная выручка</t>
  </si>
  <si>
    <t>прочие запасы и затраты</t>
  </si>
  <si>
    <t>Налог на добавленную стоимость по приобретенным ценностям</t>
  </si>
  <si>
    <t>Дебиторская задолженность</t>
  </si>
  <si>
    <t>расчеты с покупателями и заказчиками</t>
  </si>
  <si>
    <t>авансы выданные</t>
  </si>
  <si>
    <t>прочие дебиторы</t>
  </si>
  <si>
    <t>Финансовые вложения (за исключением денежных эквивалентов)</t>
  </si>
  <si>
    <t>Денежные средства и денежные эквиваленты</t>
  </si>
  <si>
    <t>Прочие оборотные активы</t>
  </si>
  <si>
    <t>Итого по разделу II</t>
  </si>
  <si>
    <t>БАЛАНС</t>
  </si>
  <si>
    <t>ПАССИВ</t>
  </si>
  <si>
    <t>III. КАПИТАЛ И РЕЗЕРВЫ, ЦЕЛЕВОЕ ФИНАНСИРОВАНИЕ</t>
  </si>
  <si>
    <t>Уставный капитал (складочный капитал, уставный фонд, вклады товарищей)</t>
  </si>
  <si>
    <t>Собственные акции, выкупленные у акционеров</t>
  </si>
  <si>
    <t>Переоценка внеоборотных активов</t>
  </si>
  <si>
    <t>Добавочный капитал (без переоценки)</t>
  </si>
  <si>
    <t>резервные фонды, образованные в соответствии с законодательством</t>
  </si>
  <si>
    <t>резервы, образованные в соответствии с учредительными документами</t>
  </si>
  <si>
    <t>Нераспределенная прибыль (непокрытый убыток)</t>
  </si>
  <si>
    <t>Итого по разделу III</t>
  </si>
  <si>
    <t>IV. ДОЛГОСРОЧНЫЕ ОБЯЗАТЕЛЬСТВА</t>
  </si>
  <si>
    <t>Заемные средства</t>
  </si>
  <si>
    <t>Оценочные обязательства</t>
  </si>
  <si>
    <t>Прочие обязательства</t>
  </si>
  <si>
    <t>Итого по разделу IV</t>
  </si>
  <si>
    <t>V. КРАТКОСРОЧНЫЕ ОБЯЗАТЕЛЬСТВА</t>
  </si>
  <si>
    <t>Кредиторская задолженность</t>
  </si>
  <si>
    <t>поставщики и подрядчики</t>
  </si>
  <si>
    <t>авансы полученные</t>
  </si>
  <si>
    <t>задолженность перед персоналом организации</t>
  </si>
  <si>
    <t>задолженность перед государственными внебюджетными фондами</t>
  </si>
  <si>
    <t>задолженность по налогам и сборам</t>
  </si>
  <si>
    <t>прочие кредиторы</t>
  </si>
  <si>
    <t>Итого по разделу V</t>
  </si>
  <si>
    <t>Проверка (Актив = Пассив)</t>
  </si>
  <si>
    <t>Бухгалтерский баланс</t>
  </si>
  <si>
    <t xml:space="preserve"> Данные за отчетный период</t>
  </si>
  <si>
    <t>Данные за предыдущий период</t>
  </si>
  <si>
    <t>ДОХОДЫ И РАСХОДЫ ПО ОБЫЧНЫМ ВИДАМ ДЕЯТЕЛЬНОСТИ</t>
  </si>
  <si>
    <t xml:space="preserve">Выручка </t>
  </si>
  <si>
    <t>Валовая прибыль (убыток)</t>
  </si>
  <si>
    <t>Прибыль (убыток) от продаж</t>
  </si>
  <si>
    <t>ПРОЧИЕ ДОХОДЫ И РАСХОДЫ</t>
  </si>
  <si>
    <t>Проценты к получению</t>
  </si>
  <si>
    <t>Проценты к уплате</t>
  </si>
  <si>
    <t>Прибыль (убыток) до налогообложения</t>
  </si>
  <si>
    <t>Текущий налог на прибыль</t>
  </si>
  <si>
    <t>Перераспределение налога на прибыль внутри консолидированной группы налогоплательщиков</t>
  </si>
  <si>
    <t>Чистая прибыль (убыток)</t>
  </si>
  <si>
    <t>СПРАВОЧНО</t>
  </si>
  <si>
    <t>Результат от переоценки внеоборотных активов, не включаемый в чистую прибыль (убыток) периода</t>
  </si>
  <si>
    <t>Результат от прочих операций, не включаемый в чистую прибыль (убыток) периода</t>
  </si>
  <si>
    <t>Совокупный финансовый результат периода</t>
  </si>
  <si>
    <t>Базовая прибыль (убыток) на акцию</t>
  </si>
  <si>
    <t>Разводненная прибыль (убыток) на акцию</t>
  </si>
  <si>
    <t>Проверка 96 счета и 96_расш</t>
  </si>
  <si>
    <t>50_51_52_55_57_движ и 50,51,52,55,57</t>
  </si>
  <si>
    <t>Движение за период с листа 50,51,55,57_движ</t>
  </si>
  <si>
    <t>Информация по договорам, содержащим гарантийные обязательства, и о выплаченных компенсациях, возвратах, ремонтах,  исправлениях бракованной продукции/работ за последние 3 года до отчетной даты</t>
  </si>
  <si>
    <t>Гарантии_2</t>
  </si>
  <si>
    <t>Налоговые_льготы_прочие</t>
  </si>
  <si>
    <t>Остаточная стоимость ОС, ДВМЦ и льготы по налогу на имущество</t>
  </si>
  <si>
    <t>Налоговые_льготы_имущество</t>
  </si>
  <si>
    <t>Информация о проверках налоговых органов</t>
  </si>
  <si>
    <t>Налог_пров</t>
  </si>
  <si>
    <t>Договоры поручительства (выданные)</t>
  </si>
  <si>
    <t>ДП_выданные</t>
  </si>
  <si>
    <t>Договоры поручительства и банковские гарантии (полученные)</t>
  </si>
  <si>
    <t>ДП_полученные</t>
  </si>
  <si>
    <t>90_контр, 90_ГП, 90_товары, 90_усл</t>
  </si>
  <si>
    <t>90_Контр, реализация без НДС</t>
  </si>
  <si>
    <t>Сверка с данными основного файла ФСД</t>
  </si>
  <si>
    <t>ФГУП ЭЗАН</t>
  </si>
  <si>
    <t>ФГУП производственное объединение "Аналитприбор"</t>
  </si>
  <si>
    <t>ФГУП "ВНИИМ им. Д.И.Менделеева"</t>
  </si>
  <si>
    <t>УФК(таможня)</t>
  </si>
  <si>
    <t>УФК по г.Москве (Арбитражный суд г.Москвы, л/с 05731328770)</t>
  </si>
  <si>
    <t>УКК Мособлгаз</t>
  </si>
  <si>
    <t>Согаз ОАО</t>
  </si>
  <si>
    <t>Россвязькомнадзор</t>
  </si>
  <si>
    <t>ООО "МАТЭК" при ФИ</t>
  </si>
  <si>
    <t>ООО "ЛЮБЕРГАЗ"</t>
  </si>
  <si>
    <t>ООО "Линде Газ рус"</t>
  </si>
  <si>
    <t>ООО "Амата"</t>
  </si>
  <si>
    <t>ОАО "Мосэнергосбыт"</t>
  </si>
  <si>
    <t>НПЦ "Фармзащита"</t>
  </si>
  <si>
    <t>Менделеевский ЦСМ</t>
  </si>
  <si>
    <t>Мелитэк ООО</t>
  </si>
  <si>
    <t>ЗАО"Лентехгаз"</t>
  </si>
  <si>
    <t>ГРКЦ ГУ БАНКА РОССИИ ПО Г. САНКТ-ПЕТЕРБУРГУ</t>
  </si>
  <si>
    <t>Прочие покупки (раскрыть в комментарии)</t>
  </si>
  <si>
    <t>Покупка услуг</t>
  </si>
  <si>
    <t>Покупка товаров</t>
  </si>
  <si>
    <t>Прочие продажи (раскрыть в комментарии)</t>
  </si>
  <si>
    <t>Продажа услуг</t>
  </si>
  <si>
    <t>Проценты по займу к получению</t>
  </si>
  <si>
    <t>Статьи прочих доходов и расходов</t>
  </si>
  <si>
    <t>Долгосрочная / краткосрочная</t>
  </si>
  <si>
    <t>ОКВ (Валюты)</t>
  </si>
  <si>
    <t>Тип проверки</t>
  </si>
  <si>
    <t>Вид налога</t>
  </si>
  <si>
    <t>Вид задолженности</t>
  </si>
  <si>
    <t>Статус контрагента</t>
  </si>
  <si>
    <t>Название</t>
  </si>
  <si>
    <t>C2=YTD;C1=F_C1;C6=0102;C9=1007</t>
  </si>
  <si>
    <t>C2=YTD;C1=F_C2;C6=0102;C9=1008</t>
  </si>
  <si>
    <t>C2=YTD;C1=F_C1;C6=0102;C9=1009</t>
  </si>
  <si>
    <t>C2=YTD;C1=F_C2;C6=0102;C9=1010</t>
  </si>
  <si>
    <t>C1=F_C1;C2=YTD;C4=0102;C3=906212</t>
  </si>
  <si>
    <t>C1=F_O1;C2=YTD;C6=0101;C3=20</t>
  </si>
  <si>
    <t>C1=F_O2;C2=YTD;C6=0101;C3=20</t>
  </si>
  <si>
    <t>доходы</t>
  </si>
  <si>
    <t>расходы</t>
  </si>
  <si>
    <t>Остаток на начало в т.ч. Краткосрочная часть (Дт)</t>
  </si>
  <si>
    <t>Остаток на начало периода в т.ч. Долгосрочная часть (Кт)</t>
  </si>
  <si>
    <t>Остаток на начало периода в т.ч.  краткосрочная часть (КТ)</t>
  </si>
  <si>
    <t>Остаток на конец в т.ч. Краткосрочная часть (Дт)</t>
  </si>
  <si>
    <t>Остаток на конец в т.ч. Долгосрочная часть (Кт)</t>
  </si>
  <si>
    <t>Остаток на конец в т.ч. Краткосрочная часть (Кт)</t>
  </si>
  <si>
    <t>R1=101020104</t>
  </si>
  <si>
    <t>R1=101030111</t>
  </si>
  <si>
    <t>R1=R302121000</t>
  </si>
  <si>
    <t>C1=F_C1;C2=YTD;C3=20;C4=0101</t>
  </si>
  <si>
    <t>C1=F_O1;C2=YTD;C3=20;C4=0101</t>
  </si>
  <si>
    <t>F_M0814</t>
  </si>
  <si>
    <t>C1=F_C1;C2=YTD;C6=0101;C3=20</t>
  </si>
  <si>
    <t>C1=F_C2;C2=YTD;C6=0101;C3=20</t>
  </si>
  <si>
    <t>C1=F_O1;C2=YTD;C5=5004;C9=V;C12=0102</t>
  </si>
  <si>
    <t>C2=YTD;C5=5004;C9=V;C12=0102</t>
  </si>
  <si>
    <t>C1=F_C1;C2=YTD;C5=5008;C9=V;C12=0102</t>
  </si>
  <si>
    <t>CHECK_VERS</t>
  </si>
  <si>
    <t>III.После внесения соответствующих исправлений, необходимо нажать кнопку "Проверка форматов даты" повторно</t>
  </si>
  <si>
    <t>IV. Выполнять пункты II-III до тех пор, пока в ячейке Е16 не будет значение "ИСТИНА"</t>
  </si>
  <si>
    <t>R1=101190100</t>
  </si>
  <si>
    <t>R1=101020105</t>
  </si>
  <si>
    <t>{5230200_~_~_~} Покупка векселей банков с наивысшими кредитными рейтингами со сроком погашения не более 3-х месяцев с даты покупки</t>
  </si>
  <si>
    <t>{5230400_~_~_~} Перечисление средств комитента (принципала, доверителя) 3-м лицам</t>
  </si>
  <si>
    <t>{5230500_~_~_~} Перечисление средств, полученных от 3-х лиц, комитенту (принципалу, доверителю)</t>
  </si>
  <si>
    <t>{5230600_~_~_~} Перечисление сумм возмещаемых расходов, полученных от контрагентов</t>
  </si>
  <si>
    <t>{5230700_~_~_~} Возврат контрагенту денежных средств, полученных ранее в качестве обеспечения заявки на участие в процедуре закупки</t>
  </si>
  <si>
    <t>{5230800_~_~_~} Перечисление контрагенту денежных средств для обеспечения заявки на участие в процедуре закупки</t>
  </si>
  <si>
    <t>{1299999_~_~_~} Иные прочие платежи по текущей деятельности</t>
  </si>
  <si>
    <t>{1290000_~_~_~} Прочие выплаты, перечисления по текущей деятельности</t>
  </si>
  <si>
    <t>{1200000_~_~_~} Выплаты по текущей деятельности</t>
  </si>
  <si>
    <t>Итого 4120</t>
  </si>
  <si>
    <t>{1000000_~_~_~} Движение денежных средств по текущей деятельности</t>
  </si>
  <si>
    <t>Итого 4100</t>
  </si>
  <si>
    <t>{2111000_~_~_~} Поступления от реализации основных средств</t>
  </si>
  <si>
    <t>{2114000_~_~_~} Поступления от реализации прочих активов</t>
  </si>
  <si>
    <t>{2110000_~_~_~} Поступления от продажи объектов основных средств и иных внеоборотных активов</t>
  </si>
  <si>
    <t>Итого 4211</t>
  </si>
  <si>
    <t>{2121100_~_~_~} Полученные дивиденды от долевого участия в других организациях</t>
  </si>
  <si>
    <t>{2121200_~_~_~} Получение прибыли от использования имущества, находящегося в хозяйственном ведении, оперативном управлении</t>
  </si>
  <si>
    <t>{2122000_~_~_~} Полученные проценты по финансовым вложениям</t>
  </si>
  <si>
    <t>{2120000_~_~_~} Дивиденды, проценты по финансовым вложениям</t>
  </si>
  <si>
    <t>{2191100_~_~_~} Поступления от реализации акций и долей</t>
  </si>
  <si>
    <t>{2191200_~_~_~} Поступления от реализации долговых ценных бумаг (за исключением денежных эквивалентов)</t>
  </si>
  <si>
    <t>{2191400_~_~_~} Поступления от реализации финансовых вложений, приобретенных с целью их перепродажи в краткосрочной перспективе (за исключением денежных эквивалентов)</t>
  </si>
  <si>
    <t>{2191900_~_~_~} Поступления от реализации прочих финансовых вложений</t>
  </si>
  <si>
    <t>{2192000_~_~_~} Поступления от погашения займов, предоставленных другим организациям</t>
  </si>
  <si>
    <t>{2193000_~_~_~} Возврат депозитных вкладов (за исключением денежных эквивалентов)</t>
  </si>
  <si>
    <t>{2199999_~_~_~} Прочие поступления по инвестиционной деятельности</t>
  </si>
  <si>
    <t>{2190000_~_~_~} Прочие поступления по инвестиционной деятельности</t>
  </si>
  <si>
    <t>Итого 4213</t>
  </si>
  <si>
    <t>{2100000_~_~_~} Поступление денежных средств по инвестиционной деятельности</t>
  </si>
  <si>
    <t>Итого 4210</t>
  </si>
  <si>
    <t>{2212000_~_~_~} Приобретение нематериальных активов</t>
  </si>
  <si>
    <t>{2213000_~_~_~} Приобретение доходных вложений в материальные ценности</t>
  </si>
  <si>
    <t>{2210000_~_~_~} Приобретение объектов основных средств, доходных вложений в материальные ценности и нематериальных активов</t>
  </si>
  <si>
    <t>Итого 4221</t>
  </si>
  <si>
    <t>{2221000_~_~_~} Займы, предоставленные юридическим и физическим лицам (кроме сотрудников)</t>
  </si>
  <si>
    <t>{2222000_~_~_~} Депозитные вклады (за исключением денежных эквивалентов)</t>
  </si>
  <si>
    <t>{5130300_~_~_~} Поступления от закрытия депозитов до востребования и сроком до 3-х месяцев</t>
  </si>
  <si>
    <t>{5230300_~_~_~} Размещение денежных средств на депозите до востребования и сроком до 3-х месяцев</t>
  </si>
  <si>
    <t>{2223100_~_~_~} Приобретение акций и долей (за исключением приобретенных для торговли)</t>
  </si>
  <si>
    <t>{2223200_~_~_~} Приобретение долговых ценных бумаг (за исключением денежных эквивалентов)</t>
  </si>
  <si>
    <t>{2223400_~_~_~} Приобретение финансовых вложений с целью их перепродажи в краткосрочной перспективе (за исключением денежных эквивалентов)</t>
  </si>
  <si>
    <t>{2223900_~_~_~} Приобретение прочих финансовых вложений</t>
  </si>
  <si>
    <t>{2220000_~_~_~} Направлено на финансовые вложения</t>
  </si>
  <si>
    <t>Итого 4222</t>
  </si>
  <si>
    <t>{2292000_~_~_~} Оплата НИОКР</t>
  </si>
  <si>
    <t>{2293000_~_~_~} Выплата процентов, связанных с инвестиционной деятельностью</t>
  </si>
  <si>
    <t>{2294000_~_~_~} Налоги, уплачиваемые по инвестиционной деятельности</t>
  </si>
  <si>
    <t>{2295000_~_~_~} Приобретение поисковых активов</t>
  </si>
  <si>
    <t>{2299999_~_~_~} Прочие выплаты по инвестиционной деятельности</t>
  </si>
  <si>
    <t>Счет 62.02. Авансы полученные</t>
  </si>
  <si>
    <t>F_M0211</t>
  </si>
  <si>
    <t>Остаток резерва на начало периода</t>
  </si>
  <si>
    <t>Восстановлено</t>
  </si>
  <si>
    <t>Начислено</t>
  </si>
  <si>
    <t>Остаток резерва на конец периода</t>
  </si>
  <si>
    <t>Счет 75.01. Расчеты с учредителями по взносам в УК</t>
  </si>
  <si>
    <t>Счет 75.01. Неденежные взносы в УК в разрезе контрагентов</t>
  </si>
  <si>
    <t>Контрагент</t>
  </si>
  <si>
    <t>Счет, по которому полученный объект принят к учету</t>
  </si>
  <si>
    <t>Объект, внесенный в качестве вклада в УК</t>
  </si>
  <si>
    <t>Оценка объекта для РСБУ (согласованная сумма)</t>
  </si>
  <si>
    <t>Счет 75.02. Расчеты с учредителями по выплате доходов</t>
  </si>
  <si>
    <t>Виды акций</t>
  </si>
  <si>
    <t>Выплата дивидендов (доходов)</t>
  </si>
  <si>
    <t>Удержание налога на прибыль с начисленных дивидендов</t>
  </si>
  <si>
    <t>Средства добавочного капитала распределены между участниками (83 счет)</t>
  </si>
  <si>
    <t>Начислены дивиденды (84 счет)</t>
  </si>
  <si>
    <t>F_M0215</t>
  </si>
  <si>
    <t>F_M0216</t>
  </si>
  <si>
    <t>F_M0217</t>
  </si>
  <si>
    <t>F_M0218</t>
  </si>
  <si>
    <t>Счет 76. Расчеты с прочими дебиторами/кредиторами</t>
  </si>
  <si>
    <t>Вид  расчетов</t>
  </si>
  <si>
    <t>Задолженность / Аванс</t>
  </si>
  <si>
    <t>Зачет авансов</t>
  </si>
  <si>
    <t>Счет 96. Резервы</t>
  </si>
  <si>
    <t>Вид резерва</t>
  </si>
  <si>
    <t>F_M0804</t>
  </si>
  <si>
    <t>{10310} Оценочные обязательства по выплате ежегодного вознаграждения за выслугу лет (сумма выплат)</t>
  </si>
  <si>
    <t>{10320} Оценочные обязательства по выплате ежегодного вознаграждения за выслугу лет (сумма страховых взносов)</t>
  </si>
  <si>
    <t>Счет 98.01. Целевое финансирование</t>
  </si>
  <si>
    <t>Списание на сумму расходов по демонтажу и ликвидации объектов, осуществляемых за счет целевого финансирования (Кт 91)</t>
  </si>
  <si>
    <t>Списание на сумму расходов по рекультивации земель, осуществляемых за счет целевого финансирования (Кт 91)</t>
  </si>
  <si>
    <t>Списание на сумму приобретения финансовых вложений, осуществляемых за счет целевого финансирования (Кт 91)</t>
  </si>
  <si>
    <t>Прочее списание</t>
  </si>
  <si>
    <t>Признание целевого финансирования, направленного на демонтаж и ликвидацию объектов, в качестве доходов будущих периодов (Дт 86)</t>
  </si>
  <si>
    <t>F_M0402</t>
  </si>
  <si>
    <t>F_M0403</t>
  </si>
  <si>
    <t>F_M0404</t>
  </si>
  <si>
    <t>F_M0405</t>
  </si>
  <si>
    <t>F_M0406</t>
  </si>
  <si>
    <t>F_M0408</t>
  </si>
  <si>
    <t>F_M0409</t>
  </si>
  <si>
    <t>F_M0410</t>
  </si>
  <si>
    <t>F_M0411</t>
  </si>
  <si>
    <t>F_M0412</t>
  </si>
  <si>
    <t>F_M0413</t>
  </si>
  <si>
    <t>F_M0414</t>
  </si>
  <si>
    <t>Счет 98.02 Безвозмездные поступления</t>
  </si>
  <si>
    <t>F_M0401</t>
  </si>
  <si>
    <t>Счет 98.04 Прочие доходы, полученные в счет будущих периодов (реализация товаров, работ, услуг, дисконт по финансовым вложениям)</t>
  </si>
  <si>
    <t>Вид дохода, полученного в счет будущих периодов</t>
  </si>
  <si>
    <t>Оказание услуг и признание выручки</t>
  </si>
  <si>
    <t>Признание реализации работ, услуг в качестве доходов будущих периодов</t>
  </si>
  <si>
    <t>Удержание НДФЛ  (Кт 68)</t>
  </si>
  <si>
    <t>Прочее уменьшение задолженности</t>
  </si>
  <si>
    <t>F_M0301</t>
  </si>
  <si>
    <t>F_M0303</t>
  </si>
  <si>
    <t>F_M0308</t>
  </si>
  <si>
    <t>F_M0314</t>
  </si>
  <si>
    <t>F_M0315</t>
  </si>
  <si>
    <t>Начислены проценты по займам</t>
  </si>
  <si>
    <t>Погашено денежными средствами (Дт 50, 51, 52)</t>
  </si>
  <si>
    <t>F_M0319</t>
  </si>
  <si>
    <t>Счет 01. Основные средства</t>
  </si>
  <si>
    <t>Остаток на начало периода</t>
  </si>
  <si>
    <t>Поступление прочее</t>
  </si>
  <si>
    <t>Выбытие: Реализация</t>
  </si>
  <si>
    <t>Выбытие: Безвозмездная передача</t>
  </si>
  <si>
    <t>Выбытие:
Демонтаж, ликвидация</t>
  </si>
  <si>
    <t>Выбытие: прочее</t>
  </si>
  <si>
    <t>Реклассификация (из группы в группу)</t>
  </si>
  <si>
    <t>Переоценка/
Обесценение</t>
  </si>
  <si>
    <t>Остаток на конец периода</t>
  </si>
  <si>
    <t>F_O</t>
  </si>
  <si>
    <t>F_M0101</t>
  </si>
  <si>
    <t>F_M0104</t>
  </si>
  <si>
    <t>F_M0105</t>
  </si>
  <si>
    <t>F_M0106</t>
  </si>
  <si>
    <t>F_M0108</t>
  </si>
  <si>
    <t>F_M0109</t>
  </si>
  <si>
    <t>F_M0113</t>
  </si>
  <si>
    <t>F_M0114</t>
  </si>
  <si>
    <t>Сумма</t>
  </si>
  <si>
    <t>Всего</t>
  </si>
  <si>
    <t>В том числе первоначальная стоимость доли в уставном капитале</t>
  </si>
  <si>
    <t>В том числе накопленная величина переоценки</t>
  </si>
  <si>
    <t>6004</t>
  </si>
  <si>
    <t>2422</t>
  </si>
  <si>
    <t>2640</t>
  </si>
  <si>
    <t>6003</t>
  </si>
  <si>
    <t>2430</t>
  </si>
  <si>
    <t>4.3</t>
  </si>
  <si>
    <t>{1} Приобретенные для торговли</t>
  </si>
  <si>
    <t>{01} Обыкновенные акции</t>
  </si>
  <si>
    <t>{3} Прочие</t>
  </si>
  <si>
    <t>{02} Привилегированные акции</t>
  </si>
  <si>
    <t>Счет 58.02. Долевые инструменты. Движение</t>
  </si>
  <si>
    <t>{121100} Федеральный бюджет</t>
  </si>
  <si>
    <t>{121200} Бюджет субъектов РФ</t>
  </si>
  <si>
    <t>Валюта договора</t>
  </si>
  <si>
    <t>Вид ставки</t>
  </si>
  <si>
    <t>Фиксированная часть</t>
  </si>
  <si>
    <t>Плавающая часть</t>
  </si>
  <si>
    <t>96_движ</t>
  </si>
  <si>
    <t>Счет 90. Расшифровка реализации по внешним контрагентам.</t>
  </si>
  <si>
    <t>90_контр</t>
  </si>
  <si>
    <t xml:space="preserve">Обязательства капитального характера перед сторонними компаниями.
</t>
  </si>
  <si>
    <t>ОКХ</t>
  </si>
  <si>
    <t>ОСС</t>
  </si>
  <si>
    <t>Затраты_Вход 1,21</t>
  </si>
  <si>
    <t>Проверка оборотов между счетами, списание 21 счета на счета учета затрат, равно поступлению с 21 на Затратах_Вход_1.</t>
  </si>
  <si>
    <t>_10019_1_96</t>
  </si>
  <si>
    <t>Вид затрат (первичные) для листа 96_движ</t>
  </si>
  <si>
    <t>Тип товаров
(только для товаров
для перепродажи)</t>
  </si>
  <si>
    <t>40,43</t>
  </si>
  <si>
    <t>Проверка оборотов между счетами, Поступление со счета 40, равно выбытию на счета учета готовой продукции (Дт 43)</t>
  </si>
  <si>
    <t>R1=R102101001</t>
  </si>
  <si>
    <t>R1=R201010000</t>
  </si>
  <si>
    <t>C1=F_O1;C5=5008;C2=YTD;C9=V;C12=0102</t>
  </si>
  <si>
    <t>C1=F_C1;C5=5008;C2=YTD;C9=V;C12=0102</t>
  </si>
  <si>
    <t>C1=F_C1;C7=2090200;C2=YTD;C12=0102</t>
  </si>
  <si>
    <t>C1=F_O3;C2=YTD;C4=0101</t>
  </si>
  <si>
    <t xml:space="preserve">F_M0104 </t>
  </si>
  <si>
    <t>ООО "Трест Росспецэнергомонтаж"</t>
  </si>
  <si>
    <t>Трест РСЭМ</t>
  </si>
  <si>
    <t>05, 20</t>
  </si>
  <si>
    <t>Проверка заполнения 40 счета</t>
  </si>
  <si>
    <t>{3222000_~_~_~} Перечисление прибыли от использования имущества, находящегося в хозяйственном ведении, оперативном управлении</t>
  </si>
  <si>
    <t>{3220000_~_~_~} Выплата дивидендов</t>
  </si>
  <si>
    <t>Итого 4322</t>
  </si>
  <si>
    <t>{3291000_~_~_~} Погашение обязательств по финансовой аренде</t>
  </si>
  <si>
    <t>{3292000_~_~_~} Выкуп собственных акций</t>
  </si>
  <si>
    <t>{3299999_~_~_~} Прочие выплаты по финансовой деятельности</t>
  </si>
  <si>
    <t>{3290000_~_~_~} Прочие выплаты по финансовой деятельности</t>
  </si>
  <si>
    <t>Итого 4323</t>
  </si>
  <si>
    <t>{3200000_~_~_~} Выплата денежных средств по финансовой деятельности</t>
  </si>
  <si>
    <t>Итого 4320</t>
  </si>
  <si>
    <t>{3000000_~_~_~} Движение денежных средств по финансовой деятельности</t>
  </si>
  <si>
    <t>Итого 4300</t>
  </si>
  <si>
    <t>{4000000_~_~_~} Величина влияния изменений курса иностранной валюты по отношению к рублю (курсовые разницы)</t>
  </si>
  <si>
    <t>Итого 4490</t>
  </si>
  <si>
    <t>Отчет о движении денежных средств</t>
  </si>
  <si>
    <t>Заполнение на основании форм финансовой отчетности</t>
  </si>
  <si>
    <t>Наименование показателей</t>
  </si>
  <si>
    <t>Код строки</t>
  </si>
  <si>
    <t>За отчетный период</t>
  </si>
  <si>
    <t xml:space="preserve"> данные за отчетный период</t>
  </si>
  <si>
    <t>Проверка</t>
  </si>
  <si>
    <t>Сумма расхождений за отчетный период</t>
  </si>
  <si>
    <t xml:space="preserve"> данные за предыдущий период</t>
  </si>
  <si>
    <t>Причина расхождения</t>
  </si>
  <si>
    <t>Денежные потоки от текущих операций</t>
  </si>
  <si>
    <t>Поступления - всего</t>
  </si>
  <si>
    <t>в том числе:</t>
  </si>
  <si>
    <t>от продажи продукции, товаров, работ и услуг</t>
  </si>
  <si>
    <t>арендных платежей, лицензионных платежей, роялти, комиссионных и иных аналогичных платежей</t>
  </si>
  <si>
    <t>от перепродажи финансовых вложений</t>
  </si>
  <si>
    <t>прочие поступления</t>
  </si>
  <si>
    <t>Платежи - всего</t>
  </si>
  <si>
    <t>поставщикам (подрядчикам) за сырье, материалы, работы, услуги</t>
  </si>
  <si>
    <t>в связи с оплатой труда работников</t>
  </si>
  <si>
    <t>процентов по долговым обязательствам</t>
  </si>
  <si>
    <t>налога на прибыль организаций</t>
  </si>
  <si>
    <t>прочие платежи</t>
  </si>
  <si>
    <t>Сальдо денежных потоков от текущих операций</t>
  </si>
  <si>
    <t>Денежные потоки от инвестиционных операций</t>
  </si>
  <si>
    <t>от продажи внеоборотных активов (кроме финансовых вложений)</t>
  </si>
  <si>
    <t>от продажи акций других организаций (долей участия)</t>
  </si>
  <si>
    <t>{121300} Местный бюджет</t>
  </si>
  <si>
    <t>{122100} Кредиты российских банков</t>
  </si>
  <si>
    <t>{122200} Кредиты иностранных банков</t>
  </si>
  <si>
    <t>{122300} Заемные средства других организаций</t>
  </si>
  <si>
    <t>{123100} Средства внебюджетных фондов</t>
  </si>
  <si>
    <t>{124100} Международная техническая помощь</t>
  </si>
  <si>
    <t>{125113} Резерв на вывод из эксплуатации и НИОКР ГК 2013</t>
  </si>
  <si>
    <t>{125213} Резерв на физическую защиту ГК 2013</t>
  </si>
  <si>
    <t>{125313} Резерв на развитие ГК 2013</t>
  </si>
  <si>
    <t>{125413} Резерв на безопасность 2013</t>
  </si>
  <si>
    <t>{129410} Безвозмездное получение имущества</t>
  </si>
  <si>
    <t>{126013} Резерв на безопасность (АТЦ) 2013</t>
  </si>
  <si>
    <t>{127100} Гранты</t>
  </si>
  <si>
    <t>{128900} Прочее целевое финансирование</t>
  </si>
  <si>
    <t>{129110} Средства, полученные от долевого участия</t>
  </si>
  <si>
    <t>{129210} Средства от выпуска корпоративных облигаций</t>
  </si>
  <si>
    <t>{129510} Объединение организаций</t>
  </si>
  <si>
    <t>{129600} Средства от эмиссии акций (взносов в УК) (ден. средствами)</t>
  </si>
  <si>
    <t>{130000} Прочие источники финансирования коммерческих организаций</t>
  </si>
  <si>
    <t>{211000} Имущественный взнос РФ</t>
  </si>
  <si>
    <t>{219000} Прочие вступительные взносы</t>
  </si>
  <si>
    <t>{229000} Прочие членские взносы</t>
  </si>
  <si>
    <t>{231000} Субсидия на выполнение гос.функций</t>
  </si>
  <si>
    <t>{239000} Прочие добровольные взносы</t>
  </si>
  <si>
    <t xml:space="preserve">{241000} Прибыль от предпринимательской деятельности </t>
  </si>
  <si>
    <t>{242000} Доходы от участия в других организациях (дивиденды)</t>
  </si>
  <si>
    <t>{243000} Доход от переоценки финансовых вложений до рыночной стоимости</t>
  </si>
  <si>
    <t>{244000} Присоединение добавочного капитала по ВНА (НКО)</t>
  </si>
  <si>
    <t>{249000} Прочие доходы</t>
  </si>
  <si>
    <t>{259000} Прочие источники некоммерческих организаций</t>
  </si>
  <si>
    <t>Год</t>
  </si>
  <si>
    <t>ТОО "СП "Русбурмаш-Казахстан"</t>
  </si>
  <si>
    <t>ООО "Агрофирма "Итманово"</t>
  </si>
  <si>
    <t>Uranium One Inc.</t>
  </si>
  <si>
    <t>ARAKO spol. s r.o.</t>
  </si>
  <si>
    <t>ООО "Аргон"</t>
  </si>
  <si>
    <t>ООО "Краун"</t>
  </si>
  <si>
    <t>TENEX-Korea Co., Ltd.</t>
  </si>
  <si>
    <t>TRADEWILL LIMITED</t>
  </si>
  <si>
    <t>ООО "Энергоатоминвест"</t>
  </si>
  <si>
    <t>ООО "Санаторий-профилакторий "Чепца"</t>
  </si>
  <si>
    <t>ООО "Энергоремонт"</t>
  </si>
  <si>
    <t>ООО "Прибор-Сервис"</t>
  </si>
  <si>
    <t>ООО "Волгодонское Монтажное Управление"</t>
  </si>
  <si>
    <t>ООО "Объединенная инновационная корпорация"</t>
  </si>
  <si>
    <t>KWINDER HOLDINGS LIMITED</t>
  </si>
  <si>
    <t>0000000002</t>
  </si>
  <si>
    <t>Виды спец.счетов</t>
  </si>
  <si>
    <t>Параметры загрузки</t>
  </si>
  <si>
    <t>Значение</t>
  </si>
  <si>
    <t>Курсовые разницы</t>
  </si>
  <si>
    <t xml:space="preserve">Код </t>
  </si>
  <si>
    <t>Наименование контрагента</t>
  </si>
  <si>
    <t>Номер договора</t>
  </si>
  <si>
    <t>Дата заключения договора</t>
  </si>
  <si>
    <t>Группа финансовых вложений</t>
  </si>
  <si>
    <t>Наличие залога, поручительства, гарантии</t>
  </si>
  <si>
    <t>Предмет залога</t>
  </si>
  <si>
    <t>Ограничения на использование</t>
  </si>
  <si>
    <t>Основная сумма долга (остатки и движения)</t>
  </si>
  <si>
    <t>Намерения руководства в отношении просроченного займа</t>
  </si>
  <si>
    <t>Ставка %</t>
  </si>
  <si>
    <t>Расчеты неденежными средствами</t>
  </si>
  <si>
    <t>Прочее увеличение</t>
  </si>
  <si>
    <t>Прочее уменьшение</t>
  </si>
  <si>
    <t xml:space="preserve"> Курсовые разницы </t>
  </si>
  <si>
    <t>В т.ч. долгосрочная часть</t>
  </si>
  <si>
    <t>Краткосрочная часть</t>
  </si>
  <si>
    <t>в т.ч. просроченный займ</t>
  </si>
  <si>
    <t>вид ставки</t>
  </si>
  <si>
    <t>на начало периода</t>
  </si>
  <si>
    <t>на конец периода</t>
  </si>
  <si>
    <t>F_M0902</t>
  </si>
  <si>
    <t>F_M0912</t>
  </si>
  <si>
    <t>F_M0905</t>
  </si>
  <si>
    <t>F_M0906</t>
  </si>
  <si>
    <t>F_M0907</t>
  </si>
  <si>
    <t>F_M0908</t>
  </si>
  <si>
    <t>F_M0909</t>
  </si>
  <si>
    <t>Нет</t>
  </si>
  <si>
    <t>Да</t>
  </si>
  <si>
    <t>Счету 58.02. Долевые инструменты</t>
  </si>
  <si>
    <t>Назначение финансовых вложений</t>
  </si>
  <si>
    <t>Вид акции</t>
  </si>
  <si>
    <t>Котируемость финансовых вложений</t>
  </si>
  <si>
    <t>Планируется ли выбытие в течение года после отчетной даты</t>
  </si>
  <si>
    <t>Количество акций</t>
  </si>
  <si>
    <t>Балансовая стоимость актива</t>
  </si>
  <si>
    <t>C1=F_O3;C2=YTD;C5=5003;C12=0102</t>
  </si>
  <si>
    <t>C1=F_C3;C2=YTD;C5=5003;C12=0102</t>
  </si>
  <si>
    <t>C1=X</t>
  </si>
  <si>
    <t>C1=F_M0814;C2=YTD;C4=0101</t>
  </si>
  <si>
    <t>2014.06</t>
  </si>
  <si>
    <t>Обороты между счетами, заполненные в разных формах должны быть равны</t>
  </si>
  <si>
    <t>Остатки денежных средств должны быть положительными</t>
  </si>
  <si>
    <t>Проверка ОДДС по погашению кредитов и займов полученных (строка  4321)</t>
  </si>
  <si>
    <t>Проверка остатков ДС в Балансе и ОДДС на конец отчетного периода</t>
  </si>
  <si>
    <t>Проверка остатков ДС в Балансе и ОДДС на начало отчетного периода</t>
  </si>
  <si>
    <t>Проверка Баланса, заполненного вручную (Актив=Пассив)</t>
  </si>
  <si>
    <t>Проверка Баланса, заполненного на основании форм сбора данных (Актив=Пассив)</t>
  </si>
  <si>
    <t>Проверка форм отчетности</t>
  </si>
  <si>
    <t>Сумма расхождений</t>
  </si>
  <si>
    <t>Сумма 2</t>
  </si>
  <si>
    <t>Сумма 1</t>
  </si>
  <si>
    <t>Листы модели</t>
  </si>
  <si>
    <t>Листы</t>
  </si>
  <si>
    <t>да</t>
  </si>
  <si>
    <t>91_01_ВГО</t>
  </si>
  <si>
    <t>91_02_ВГО</t>
  </si>
  <si>
    <t>COMP_CODE</t>
  </si>
  <si>
    <t>Признак для загрузки 
(загружать лист или нет)</t>
  </si>
  <si>
    <t>Итого задолженность по причитающимся дивидендам</t>
  </si>
  <si>
    <t>Прочая задолженность</t>
  </si>
  <si>
    <t>{11} Кредиторская задолженность</t>
  </si>
  <si>
    <t>{21} Дебиторская задолженность</t>
  </si>
  <si>
    <t>{12} Авансы выданные</t>
  </si>
  <si>
    <t>{22} Авансы полученные</t>
  </si>
  <si>
    <t>ВНИИЭФ</t>
  </si>
  <si>
    <t>ТВЭЛ</t>
  </si>
  <si>
    <t>МСЗ-М</t>
  </si>
  <si>
    <t>НИИАР</t>
  </si>
  <si>
    <t>ВНИИНМ</t>
  </si>
  <si>
    <t>НИИТФА</t>
  </si>
  <si>
    <t>Росэнергоатом</t>
  </si>
  <si>
    <t>ОКБМ</t>
  </si>
  <si>
    <t>ЦКБМ</t>
  </si>
  <si>
    <t>ЭНИЦ</t>
  </si>
  <si>
    <t>ФЭИ</t>
  </si>
  <si>
    <t>Атом-охрана</t>
  </si>
  <si>
    <t>НЗХК</t>
  </si>
  <si>
    <t>{1030100} Доходы от реализации основных средств (нетто)</t>
  </si>
  <si>
    <t>{1030101} Доходы от реализации основных средств (НДС)</t>
  </si>
  <si>
    <t>{1060100} Доходы от реализации сырья, материалов и неликвидов (нетто)</t>
  </si>
  <si>
    <t>{1060101} Доходы от реализации сырья, материалов и неликвидов (НДС)</t>
  </si>
  <si>
    <t>{1060300} Доходы от реализации лома и отходов черных и цветных металлов (нетто)</t>
  </si>
  <si>
    <t>{1060500} Доходы от реализации лома и отходов, содержащих драгоценные металлы и камни (нетто)</t>
  </si>
  <si>
    <t>{1160100} Процентный доход по краткосрочным займам</t>
  </si>
  <si>
    <t>{1170000} Процентный доход по депозитам</t>
  </si>
  <si>
    <t>{1180100} Процентный доход по банковским счетам</t>
  </si>
  <si>
    <t>{1180300} Дисконтный доход по векселям</t>
  </si>
  <si>
    <t>{1200100} Доходы в виде курсовых разниц по дог. в у.е.</t>
  </si>
  <si>
    <t>{1200200} Доходы в виде курсовых разниц по обязательствам и активам, выраженным в иностранной валюте</t>
  </si>
  <si>
    <t>{1210000} Доходы от операций купли-продажи иностранной валюты</t>
  </si>
  <si>
    <t>{1220100} Доходы в виде сумм восстановленных резервов по сомнительной задолженности</t>
  </si>
  <si>
    <t>{1290000} Доходы в виде стоимости ТМЦ, полученных при разборке, ликвидации, утилизации МПЗ</t>
  </si>
  <si>
    <t>{1320500} Прочее безвозмездно полученное имущество</t>
  </si>
  <si>
    <t>{1330000} Страховое возмещение при наступлении страхового случая</t>
  </si>
  <si>
    <t>{1340100} Доходы прошлых лет, выявленные в отчетном периоде (нетто)</t>
  </si>
  <si>
    <t>{1700000} Доход в виде сумм возврата судебных расходов и арбитражных сборов</t>
  </si>
  <si>
    <t>{1999900} Другие доходы (нетто)</t>
  </si>
  <si>
    <t>{1340110} Доходы прошлых лет, выявленные в отчетном периоде (НДС)</t>
  </si>
  <si>
    <t>={1150100} Процентный доход по долгосрочным займам</t>
  </si>
  <si>
    <t>Источник финансирования_Год финансирования</t>
  </si>
  <si>
    <t>2721</t>
  </si>
  <si>
    <t>2722</t>
  </si>
  <si>
    <t>{0111} Ураносодержащее сырье и материалы</t>
  </si>
  <si>
    <t>{0112} Прочее ядерное сырье и материалы</t>
  </si>
  <si>
    <t>{0121} Специальные неядерные сырье и материалы</t>
  </si>
  <si>
    <t>{0211} Покупные полуфабрикаты и комплектующие изделия, конструкции и детали, содержащие уран</t>
  </si>
  <si>
    <t>{0212} Покупные полуфабрикаты и комплектующие изделия, конструкции и детали, содержащие другие ядерные материалы</t>
  </si>
  <si>
    <t>{0310} Топливо ядерное</t>
  </si>
  <si>
    <t>{0320} Прочее топливо</t>
  </si>
  <si>
    <t>{0800} Строительные материалы</t>
  </si>
  <si>
    <t>{0900} Инвентарь и хозяйственные принадлежности</t>
  </si>
  <si>
    <t>{1000} Специальная оснастка и специальная одежда на складе (новая)</t>
  </si>
  <si>
    <t>Счет 59.03. Резервы под обесценение прочих финансовых вложений</t>
  </si>
  <si>
    <t>Краткосрочные/Долгосрочные</t>
  </si>
  <si>
    <t>Счет 76.01. Проценты по финансовым вложениям к получению.</t>
  </si>
  <si>
    <t>Расчеты денежными средствами</t>
  </si>
  <si>
    <t>Взаимозачет задолженности</t>
  </si>
  <si>
    <t>F_M0918</t>
  </si>
  <si>
    <t>К4</t>
  </si>
  <si>
    <t>К10</t>
  </si>
  <si>
    <t>К14</t>
  </si>
  <si>
    <t>К15</t>
  </si>
  <si>
    <t>К16</t>
  </si>
  <si>
    <t>К19</t>
  </si>
  <si>
    <t>К21</t>
  </si>
  <si>
    <t>Операции с компаниями, входящими в РСБУ периметр консолидации</t>
  </si>
  <si>
    <t>Вид заемных средств</t>
  </si>
  <si>
    <t>Назначение финансирования</t>
  </si>
  <si>
    <t xml:space="preserve">Срок кредитования в днях </t>
  </si>
  <si>
    <t>Основная сумма</t>
  </si>
  <si>
    <t>Проценты</t>
  </si>
  <si>
    <t>Дисконт (для векселей и облигаций)</t>
  </si>
  <si>
    <t>Обеспеченный займ/кредит</t>
  </si>
  <si>
    <t>Комиссия за выдачу (справочно для МСФО, не отражается на счете 66)</t>
  </si>
  <si>
    <t>Иные комиссионные сборы (справочно для МСФО, не отражаются на счете 66)</t>
  </si>
  <si>
    <t>Прочие расходы, связанные с привлечением кредитов и займов (справочно для МСФО, не отражаются на счете 66)</t>
  </si>
  <si>
    <t>Нарушение условий кредитного договора</t>
  </si>
  <si>
    <t>Сумма дохода от временного использования средств полученного займа (кредита) в качестве долгосрочных и (или) краткосрочных финансовых вложений, учтенная как уменьшение процентных расходов, в стоимости инвестиционных активов (справочно для РСБУ)</t>
  </si>
  <si>
    <t>График погашения основной суммы долга после отчетной даты</t>
  </si>
  <si>
    <t>Привлечение кредитов/займов</t>
  </si>
  <si>
    <t>Погашение процентов за период</t>
  </si>
  <si>
    <t>Начисление процентов</t>
  </si>
  <si>
    <t>Прочие обороты</t>
  </si>
  <si>
    <t>Курсовые разница</t>
  </si>
  <si>
    <t>Первоначально учтенная как расходы периода</t>
  </si>
  <si>
    <t>Первоначально учтенная как РБП</t>
  </si>
  <si>
    <t>Первоначально учтенные как расходы периода</t>
  </si>
  <si>
    <t>Первоначально учтенные как РБП</t>
  </si>
  <si>
    <t>Сумма дохода</t>
  </si>
  <si>
    <t>ИНН</t>
  </si>
  <si>
    <t>2610</t>
  </si>
  <si>
    <t>1009</t>
  </si>
  <si>
    <t>F_M0917</t>
  </si>
  <si>
    <t>F_M0916</t>
  </si>
  <si>
    <t/>
  </si>
  <si>
    <t>2612</t>
  </si>
  <si>
    <t>Счет 86. Целевое финансирование</t>
  </si>
  <si>
    <t>Наименование финансирующей организации</t>
  </si>
  <si>
    <t>ИНН финансирующей организации</t>
  </si>
  <si>
    <t>Источник финансирования</t>
  </si>
  <si>
    <t>Платежи из специальных резервных фондов ГК в пользу дочерних компаний  (Кт 76) (заполняется в ГК)</t>
  </si>
  <si>
    <t>Признание целевого финансирования, направленного на текущие затраты, в качестве доходов будущих периодов (Кт 98)</t>
  </si>
  <si>
    <t>Принятие к учету ОС и НМА, приобретенных, созданных за счет источника (Кт 98)</t>
  </si>
  <si>
    <t>Признание целевого финансирования, направленного на покупку финансовых вложений, в качестве доходов будущих периодов (Кт 98)</t>
  </si>
  <si>
    <t>Возврат неиспользованных денежных средств в ГК (Кт 51)</t>
  </si>
  <si>
    <t>Прочее использование</t>
  </si>
  <si>
    <t>Начисление ЦФ к получению (поступление отраслевых резервов в качестве ЦФ) 
 (Дт 76)</t>
  </si>
  <si>
    <t>Получение денежных средств (Дт 51)</t>
  </si>
  <si>
    <t>Прочее начисление</t>
  </si>
  <si>
    <t>К использованию в течении 12 месяцев после отчетной даты</t>
  </si>
  <si>
    <t>К использованию более чем через 12 месяцев после отчетной даты</t>
  </si>
  <si>
    <t>Государственная корпорация по атомной энергии "Росатом"</t>
  </si>
  <si>
    <t>Счет 10. Материалы</t>
  </si>
  <si>
    <t>Группы материалов</t>
  </si>
  <si>
    <t>Поступление</t>
  </si>
  <si>
    <t>Выбытие</t>
  </si>
  <si>
    <t>из демонтажа</t>
  </si>
  <si>
    <t>Прочее выбытие</t>
  </si>
  <si>
    <t>в т.ч. Запасы, относящиеся к аварийным/ стратегическим</t>
  </si>
  <si>
    <t>в т.ч. Прочие запасы, предназначенные для использования в производстве более чем через 12 месяцев после отчетной даты</t>
  </si>
  <si>
    <t>в т.ч Неликвидные запасы</t>
  </si>
  <si>
    <t>в т.ч. Невостребованные запасы</t>
  </si>
  <si>
    <t>в т.ч. Запасы, предназначенные для строительства и реконструкции объектов, находящихся в собственности компании</t>
  </si>
  <si>
    <t>F_M0702</t>
  </si>
  <si>
    <t>F_M0709</t>
  </si>
  <si>
    <t>F_M0713</t>
  </si>
  <si>
    <t>F_M0714</t>
  </si>
  <si>
    <t>F_M0705</t>
  </si>
  <si>
    <t>F_M0716</t>
  </si>
  <si>
    <t>F_M0718</t>
  </si>
  <si>
    <t>F_M0719</t>
  </si>
  <si>
    <t>F_M0720</t>
  </si>
  <si>
    <t>F_M0721</t>
  </si>
  <si>
    <t>F_M0722</t>
  </si>
  <si>
    <t>F_M0725</t>
  </si>
  <si>
    <t>F_M0727</t>
  </si>
  <si>
    <t>F_M0728</t>
  </si>
  <si>
    <t>F_M0729</t>
  </si>
  <si>
    <t>F_M0732</t>
  </si>
  <si>
    <t>2131</t>
  </si>
  <si>
    <t>2120</t>
  </si>
  <si>
    <t>Счет 14. Резервы по ТМЦ</t>
  </si>
  <si>
    <t>Виды резервов под снижение стоимости ТМЦ</t>
  </si>
  <si>
    <t>Группа материалов</t>
  </si>
  <si>
    <t>К использованию на цели, утвержденные Общим собранием акционеров</t>
  </si>
  <si>
    <t>Корректировки в связи с изменением законодательства РСБУ и учетной политики</t>
  </si>
  <si>
    <t>Промежуточные дивиденды</t>
  </si>
  <si>
    <t>На выплату дивидендов</t>
  </si>
  <si>
    <t>На формирование уставного капитала</t>
  </si>
  <si>
    <t>На прочие цели</t>
  </si>
  <si>
    <t>Доходы по корректировкам в связи с исправлением ошибок</t>
  </si>
  <si>
    <t>Расходы по корректировкам в связи с исправлением ошибок</t>
  </si>
  <si>
    <t>НДС по корректировкам в связи с исправлением ошибок</t>
  </si>
  <si>
    <t>{10000000} Амурская область</t>
  </si>
  <si>
    <t>{11000000} Архангельская область</t>
  </si>
  <si>
    <t>{12000000} Астраханская область</t>
  </si>
  <si>
    <t>{14000000} Белгородская область</t>
  </si>
  <si>
    <t>{15000000} Брянская область</t>
  </si>
  <si>
    <t>{17000000} Владимирская область</t>
  </si>
  <si>
    <t>{18000000} Волгоградская область</t>
  </si>
  <si>
    <t>{19000000} Вологодская область</t>
  </si>
  <si>
    <t>{20000000} Воронежская область</t>
  </si>
  <si>
    <t>{22000000} Нижегородская область</t>
  </si>
  <si>
    <t>{24000000} Ивановская область</t>
  </si>
  <si>
    <t>{25000000} Иркутская область</t>
  </si>
  <si>
    <t>{26600000} Республика Ингушетия</t>
  </si>
  <si>
    <t>{27000000} Калининградская область</t>
  </si>
  <si>
    <t>{28000000} Тверская область</t>
  </si>
  <si>
    <t>{29000000} Калужская область</t>
  </si>
  <si>
    <t>{30000000} Камчатский край</t>
  </si>
  <si>
    <t>{32000000} Кемеровская область</t>
  </si>
  <si>
    <t>{33000000} Кировская область</t>
  </si>
  <si>
    <t>{34000000} Костромская область</t>
  </si>
  <si>
    <t>{35000000} Республика Крым</t>
  </si>
  <si>
    <t>{36000000} Самарская область</t>
  </si>
  <si>
    <t>{37000000} Курганская область</t>
  </si>
  <si>
    <t>{38000000} Курская область</t>
  </si>
  <si>
    <t>{40000000} Город Санкт-Петербург</t>
  </si>
  <si>
    <t>{41000000} Ленинградская область</t>
  </si>
  <si>
    <t>{42000000} Липецкая область</t>
  </si>
  <si>
    <t>{44000000} Магаданская область</t>
  </si>
  <si>
    <t>{45000000} Город Москва</t>
  </si>
  <si>
    <t>{46000000} Московская область</t>
  </si>
  <si>
    <t>{47000000} Мурманская область</t>
  </si>
  <si>
    <t>{49000000} Новгородская область</t>
  </si>
  <si>
    <t>{50000000} Новосибирская область</t>
  </si>
  <si>
    <t>{52000000} Омская область</t>
  </si>
  <si>
    <t>{53000000} Оренбургская область</t>
  </si>
  <si>
    <t>{54000000} Орловская область</t>
  </si>
  <si>
    <t>{56000000} Пензенская область</t>
  </si>
  <si>
    <t>{57000000} Пермский край</t>
  </si>
  <si>
    <t>{58000000} Псковская область</t>
  </si>
  <si>
    <t>{60000000} Ростовская область</t>
  </si>
  <si>
    <t>{61000000} Рязанская область</t>
  </si>
  <si>
    <t>{63000000} Саратовская область</t>
  </si>
  <si>
    <t>{64000000} Сахалинская область</t>
  </si>
  <si>
    <t>{65000000} Свердловская область</t>
  </si>
  <si>
    <t>{66000000} Смоленская область</t>
  </si>
  <si>
    <t>{67000000} Город Севастополь (города федерального значения)</t>
  </si>
  <si>
    <t>{68000000} Тамбовская область</t>
  </si>
  <si>
    <t>{69000000} Томская область</t>
  </si>
  <si>
    <t>{70000000} Тульская область</t>
  </si>
  <si>
    <t>{71000000} Тюменская область</t>
  </si>
  <si>
    <t>{73000000} Ульяновская область</t>
  </si>
  <si>
    <t>{75000000} Челябинская область</t>
  </si>
  <si>
    <t>{76000000} Забайкальский край</t>
  </si>
  <si>
    <t>{77000000} Чукотский автономный округ</t>
  </si>
  <si>
    <t>{78000000} Ярославская область</t>
  </si>
  <si>
    <t>{79000000} Республика Адыгея</t>
  </si>
  <si>
    <t>{80000000} Республика Башкортостан</t>
  </si>
  <si>
    <t>{81000000} Республика Бурятия</t>
  </si>
  <si>
    <t>{82000000} Республика Дагестан</t>
  </si>
  <si>
    <t>{83000000} Кабардино-Балкарская</t>
  </si>
  <si>
    <t>{84000000} Республика Алтай</t>
  </si>
  <si>
    <t>{85000000} Республика Калмыкия</t>
  </si>
  <si>
    <t>{86000000} Республика Карелия</t>
  </si>
  <si>
    <t>{88000000} Республика Марий Эл</t>
  </si>
  <si>
    <t>{89000000} Республика Мордовия</t>
  </si>
  <si>
    <t>{90000000} Республика Северная Осетия</t>
  </si>
  <si>
    <t>{91000000} Карачаево-Черкесская</t>
  </si>
  <si>
    <t>{92000000} Республика Татарстан</t>
  </si>
  <si>
    <t>{93000000} Республика Тыва</t>
  </si>
  <si>
    <t>{94000000} Удмуртская Республика</t>
  </si>
  <si>
    <t>{95000000} Республика Хакасия</t>
  </si>
  <si>
    <t>{96000000} Чеченская Республика</t>
  </si>
  <si>
    <t>{97000000} Чувашская Республика</t>
  </si>
  <si>
    <t>{98000000} Республика Саха (Якутия)</t>
  </si>
  <si>
    <t>{99000000} Еврейская автономная область</t>
  </si>
  <si>
    <t>{01000000} Алтайский край</t>
  </si>
  <si>
    <t>{03000000} Краснодарский край</t>
  </si>
  <si>
    <t>{04000000} Красноярский край</t>
  </si>
  <si>
    <t>{05000000} Приморский край</t>
  </si>
  <si>
    <t>{07000000} Ставропольский край</t>
  </si>
  <si>
    <t>{08000000} Хабаровский край</t>
  </si>
  <si>
    <t>Начисление отраслевых резервов не может начисляться за счет других отраслевых резервов</t>
  </si>
  <si>
    <t>Затраты_Вход 1, Затраты_Вход_2</t>
  </si>
  <si>
    <t>Проверка оборотов между затратными листами</t>
  </si>
  <si>
    <t>{2142990} Расходы на содержание обслуживающих хозяйств и производств</t>
  </si>
  <si>
    <t>Начислен условный расход по налогу на прибыль</t>
  </si>
  <si>
    <t>Начислен условный доход по налогу на прибыль</t>
  </si>
  <si>
    <t>Перерасчет по налогу на прибыль за предыдущие периоды</t>
  </si>
  <si>
    <t>Пересчет отложенных налоговых активов, обязательств</t>
  </si>
  <si>
    <t>Корректировка налога на прибыль КГН</t>
  </si>
  <si>
    <t>320</t>
  </si>
  <si>
    <t>75,84</t>
  </si>
  <si>
    <t>Лист 86</t>
  </si>
  <si>
    <t>{1000} Нераспределенная прибыль/непокрытый убыток прошлых лет</t>
  </si>
  <si>
    <t xml:space="preserve">К использованию на цели, утвержденные Общим собранием акционеров </t>
  </si>
  <si>
    <t>Объединенные урановые предприятия</t>
  </si>
  <si>
    <t>{1210511_~_~_~} Обязательное профессиональное обучение и повышение квалификации</t>
  </si>
  <si>
    <t>{1210512_~_~_~} Оценка и развитие персонала</t>
  </si>
  <si>
    <t>{1210513_~_~_~} Расходы по найму персонала</t>
  </si>
  <si>
    <t>{1210911_~_~_~} Обслуживание вычислительной и орг.техники</t>
  </si>
  <si>
    <t>{1210912_~_~_~} Программное и информационное обеспечение (неисключительные лицензии)</t>
  </si>
  <si>
    <t>{1210913_~_~_~} Сопровождение и поддержка программного обеспечения (в т.ч. Справочно-правовых систем)</t>
  </si>
  <si>
    <t>{1210914_~_~_~} Консультационные IT-услуги: Услуги специализированного проектного офиса</t>
  </si>
  <si>
    <t>{1210915_~_~_~} Консультационные IT-услуги: Расходы, связанные с формированием требований к информационной системе</t>
  </si>
  <si>
    <t>{1210916_~_~_~} Консультационные IT-услуги: Расходы, связанные с вводом в действие информационной системы</t>
  </si>
  <si>
    <t>{1210917_~_~_~} Консультационные IT-услуги на стадии промышленной эксплуатации</t>
  </si>
  <si>
    <t>{1210918_~_~_~} IT-ресурсы длительного использования (свыше 12 мес.), не являющиеся основными средствами согласно учетной политике</t>
  </si>
  <si>
    <t>{1211010_~_~_~} Выставки</t>
  </si>
  <si>
    <t>{1211020_~_~_~} Реклама</t>
  </si>
  <si>
    <t>{1213201_~_~_~} Услуги по оценке активов и обязательств (для целей составления отчетности по МСФО)</t>
  </si>
  <si>
    <t>{1213202_~_~_~} Услуги по оценке активов и обязательств (для иных целей)</t>
  </si>
  <si>
    <t>{2211010_~_~_~} Приобретение земли</t>
  </si>
  <si>
    <t>{2211020_~_~_~} Приобретение зданий и сооружений</t>
  </si>
  <si>
    <t>{2211030_~_~_~} Приобретение машин и оборудования</t>
  </si>
  <si>
    <t>{2211040_~_~_~} Приобретение автотранспортных средств</t>
  </si>
  <si>
    <t>{2211050_~_~_~} Приобретение ИТ-оборудования</t>
  </si>
  <si>
    <t>{2211060_~_~_~} Приобретение прочих объектов основных средств</t>
  </si>
  <si>
    <t>{2291010_~_~_~} Строительно-монтажные работы</t>
  </si>
  <si>
    <t>{2291020_~_~_~} Оборудование (строительство)</t>
  </si>
  <si>
    <t>{2291030_~_~_~} Прочие ТМЦ, работы и услуги, связанные со строительством (кроме ПИР)</t>
  </si>
  <si>
    <t>{2291040_~_~_~} Проектно-изыскательские работы</t>
  </si>
  <si>
    <t>{1110000_~_111_~} Средства, полученные от продажи товаров, работ, услуг ГК "Росатом" в качестве гос заказчика по прочим проектам ГК</t>
  </si>
  <si>
    <t>{3121000_~_~_1} Бюджетные ассигнования из федерального бюджета в рамках прочих проектов</t>
  </si>
  <si>
    <t>Характер обязательств, под которые выданы поручительства, обеспечение, договор залога</t>
  </si>
  <si>
    <t>_9073</t>
  </si>
  <si>
    <t xml:space="preserve">{001} Исполнение обязательств по договору кредита/займа; </t>
  </si>
  <si>
    <t>{002} Исполнение обязательств по договору работ/услуг;</t>
  </si>
  <si>
    <t>{003} Исполнение обязательств по возврату авансового платежа;</t>
  </si>
  <si>
    <t>{004} Прочие обязательства</t>
  </si>
  <si>
    <t>{1191400_~_~_~} Возврат налога на прибыль КГН</t>
  </si>
  <si>
    <t>{1192300_~_~_~} Доходы от социальной сферы, обслуживающих хозяйств и производств</t>
  </si>
  <si>
    <t>{1192400_~_~_~} Доходы от реализации сырья, материалов и неликвидов</t>
  </si>
  <si>
    <t>{1192500_~_~_~} Доходы от реализации прочих оборотных активов</t>
  </si>
  <si>
    <t>{1192900_~_~_~} Иные доходы от прочей реализации</t>
  </si>
  <si>
    <t>{1193000_~_~_~} Страховое возмещение при наступлении страхового случая</t>
  </si>
  <si>
    <t>{1194000_~_~_~} Доходы в виде санкций за нарушение договорных обязательств</t>
  </si>
  <si>
    <t>{5130100_~_~_~} Доходы от операций купли-продажи иностранной валюты</t>
  </si>
  <si>
    <t>{5130900_~_~_~} Поступление денежных документов</t>
  </si>
  <si>
    <t>{1199001_~_~_~} Возврат ссуд (займов), выданных работниками</t>
  </si>
  <si>
    <t>{1199002_~_~_~} Проценты по займам, выданным работникам</t>
  </si>
  <si>
    <t>{1199003_~_~_~} Проценты по остаткам на расчетных счетах</t>
  </si>
  <si>
    <t>{5130200_~_~_~} Поступления от реализации векселей банков с наивысшими кредитными рейтингами со сроком погашения не более 3-х месяцев с даты покупки</t>
  </si>
  <si>
    <t>{5130400_~_~_~} Поступление средств от комитента (принципала, доверителя)</t>
  </si>
  <si>
    <t>{5130500_~_~_~} Поступление средств от 3-х лиц для перечисления комитенту (принципалу, доверителю)</t>
  </si>
  <si>
    <t>{5130600_~_~_~} Поступление от контрагента сумм возмещаемых расходов</t>
  </si>
  <si>
    <t>{5130700_~_~_~} Поступление от контрагента денежных средств, перечисленных в качестве обеспечения заявки на участие в процедуре закупки</t>
  </si>
  <si>
    <t>{5130800_~_~_~} Возврат от контрагента денежных средств, перечисленных ранее в качестве обеспечения заявки на участие в процедуре закупки</t>
  </si>
  <si>
    <t>{1199999_~_~_~} Иные прочие доходы по текущей деятельности</t>
  </si>
  <si>
    <t>{1190000_~_~_~} Прочие поступления по текущей деятельности</t>
  </si>
  <si>
    <t>{1100000_~_~_~} Поступление денежных средств по текущей деятельности</t>
  </si>
  <si>
    <t>Итого 4110</t>
  </si>
  <si>
    <t>{1210200_~_~_~} Платежи поставщикам энергии</t>
  </si>
  <si>
    <t>{1210301_~_~_~} Услуги по обращению с ОЯТ</t>
  </si>
  <si>
    <t>{1210302_~_~_~} Услуги по обращению с РАО</t>
  </si>
  <si>
    <t>{1210303_~_~_~} Услуги по конверсии и обогащению</t>
  </si>
  <si>
    <t>{1210304_~_~_~} Услуги по переработке</t>
  </si>
  <si>
    <t>{1210305_~_~_~} Геологоразведочные работы</t>
  </si>
  <si>
    <t>{1210306_~_~_~} Горно-подготовительные работы</t>
  </si>
  <si>
    <t>{1210308_~_~_~} Пар, водоснабжение и водоотведение</t>
  </si>
  <si>
    <t>{1210309_~_~_~} Услуги по капитальному ремонту</t>
  </si>
  <si>
    <t>{1210310_~_~_~} Услуги по текущему ремонту и техническому обслуживанию</t>
  </si>
  <si>
    <t>{1210311_~_~_~} Транспортные, складские и заготовительные услуги сторонних организаций</t>
  </si>
  <si>
    <t>{1210312_~_~_~} Работы и услуги по управлению производством, реализацией и обеспечению качества</t>
  </si>
  <si>
    <t>{1210313_~_~_~} Услуги по авторскому и надзорному сопровождению</t>
  </si>
  <si>
    <t>{1210314_~_~_~} Услуги по сопровождению производства, надзору за продукцией, послереакторным исследованиям</t>
  </si>
  <si>
    <t>{1210315_~_~_~} Услуги по охране труда и технике безопасности</t>
  </si>
  <si>
    <t>{1210316_~_~_~} Услуги по промышленной безопасности</t>
  </si>
  <si>
    <t>{1210317_~_~_~} Проведение природоохранных мероприятий</t>
  </si>
  <si>
    <t>{1210318_~_~_~} Плата за администрирование рынка электроэнергии</t>
  </si>
  <si>
    <t>{1210319_~_~_~} Услуги охраны</t>
  </si>
  <si>
    <t>{1210320_~_~_~} Строительно-монтажные работы</t>
  </si>
  <si>
    <t>{1210321_~_~_~} Выполнение научно-исследовательских, опытно-конструкторских и технологических работ</t>
  </si>
  <si>
    <t>{1210322_~_~_~} Проектно-изыскательские работы</t>
  </si>
  <si>
    <t>{1210399_~_~_~} Прочие услуги производственного характера</t>
  </si>
  <si>
    <t>{1210400_~_~_~} Платежи по страхованию</t>
  </si>
  <si>
    <t>{1210520_~_~_~} Прочие услуги, связанные с персоналом</t>
  </si>
  <si>
    <t>{1210600_~_~_~} Авторское вознаграждение</t>
  </si>
  <si>
    <t>{1210700_~_~_~} Арендные платежи</t>
  </si>
  <si>
    <t>{1210920_~_~_~} Сотовая связь</t>
  </si>
  <si>
    <t>{1210930_~_~_~} Услуги специальной связи</t>
  </si>
  <si>
    <t>{1210940_~_~_~} Связь, кроме сотовой</t>
  </si>
  <si>
    <t>{1211100_~_~_~} Командировочные расходы</t>
  </si>
  <si>
    <t>{1211200_~_~_~} Представительские расходы</t>
  </si>
  <si>
    <t>{1211300_~_~_~} Консультационные услуги</t>
  </si>
  <si>
    <t>{1211400_~_~_~} Аудиторские услуги</t>
  </si>
  <si>
    <t>{1211500_~_~_~} Услуги по ведению бухгалтерского учета (ОЦО)</t>
  </si>
  <si>
    <t>{1211600_~_~_~} Юридические услуги и нотариальные расходы</t>
  </si>
  <si>
    <t>{1211700_~_~_~} Социологические исследования</t>
  </si>
  <si>
    <t>{1211800_~_~_~} Работы и услуги типографий</t>
  </si>
  <si>
    <t>{1211900_~_~_~} Почтовые услуги и курьерская отправка</t>
  </si>
  <si>
    <t>{1212100_~_~_~} Услуги по договорам комиссии, агентским договорам и поручениям</t>
  </si>
  <si>
    <t>{1212200_~_~_~} Коммунальные услуги</t>
  </si>
  <si>
    <t>{1212400_~_~_~} Затраты на подписку периодических изданий , специальную литературу</t>
  </si>
  <si>
    <t>{1212500_~_~_~} Таможенное оформление</t>
  </si>
  <si>
    <t>{1212600_~_~_~} Таможенные пошлины (платежи)</t>
  </si>
  <si>
    <t>{1212700_~_~_~} Затраты на сертификацию и лицензирование</t>
  </si>
  <si>
    <t>{1212800_~_~_~} Услуги по организации и проведению торгов</t>
  </si>
  <si>
    <t>{1219999_~_~_~} Прочие платежи, связанные с приобретением товаров, работ, услуг, сырья и иных оборотных активов</t>
  </si>
  <si>
    <t>{1210000_~_~_~} Оплата товаров, работ, услуг, сырья и иных оборотных активов</t>
  </si>
  <si>
    <t>Итого 4121</t>
  </si>
  <si>
    <t>{1220000_~_~_~} Оплата труда и иные выплаты работникам в денежной форме</t>
  </si>
  <si>
    <t>Итого 4122</t>
  </si>
  <si>
    <t>{1230000_~_~_~} Выплата процентов по долговым обязательствам</t>
  </si>
  <si>
    <t>Итого 4123</t>
  </si>
  <si>
    <t>{1241010_~_~_~} Платежи по налогу на добавленную стоимость</t>
  </si>
  <si>
    <t>{1241020_~_~_~} Платежи по акцизам</t>
  </si>
  <si>
    <t>{2200200} Расходы в виде курсовых разниц по обязательствам и активам, выраженным в иностранной валюте</t>
  </si>
  <si>
    <t>{2210000} Расходы по операциям купли-продажи иностранной валюты</t>
  </si>
  <si>
    <t>{2220100} Расходы на резервы по сомнительной задолженности</t>
  </si>
  <si>
    <t>Проверка полноты переноса данных между листами 50_51_52_55_57_движ и 50</t>
  </si>
  <si>
    <t>Проверка полноты переноса данных между листами50_51_52_55_57_движ и 51</t>
  </si>
  <si>
    <t>Проверка полноты переноса данных между листами50_51_52_55_57_движ и 52</t>
  </si>
  <si>
    <t>Проверка полноты переноса данных между листами50_51_52_55_57_движ и 55</t>
  </si>
  <si>
    <t>Проверка полноты переноса данных между листами50_51_52_55_57_движ и 57</t>
  </si>
  <si>
    <t>50_51_52_55_57_движ и 50</t>
  </si>
  <si>
    <t>50_51_52_55_57_движ и 51</t>
  </si>
  <si>
    <t>50_51_52_55_57_движ и 52</t>
  </si>
  <si>
    <t>50_51_52_55_57_движ и 55</t>
  </si>
  <si>
    <t>50_51_52_55_57_движ и 57</t>
  </si>
  <si>
    <t>АО "Опытное Конструкторское Бюро Машиностроения имени И.И. Африкантова"</t>
  </si>
  <si>
    <t>АО "Опытно-демонстрационный центр вывода из эксплуатации уран-графитовых ядерных реакторов"</t>
  </si>
  <si>
    <t>АО "Московский завод полиметаллов"</t>
  </si>
  <si>
    <t>C1=F_C1;C2=YTD;C5=5004;C9=V;C12=0102</t>
  </si>
  <si>
    <t>C1=F_C1;C2=YTD;C5=5002;C12=0102</t>
  </si>
  <si>
    <t>Проверка заполнения 21 счета</t>
  </si>
  <si>
    <t>Организации Госкорпорации «Росатом», включены в периметр ПФА</t>
  </si>
  <si>
    <t>Атомэнергопромсбыт</t>
  </si>
  <si>
    <t>АО "Обеспечение РФЯЦ-ВНИИЭФ"</t>
  </si>
  <si>
    <t>АО "Сибирский химический комбинат"</t>
  </si>
  <si>
    <t>Инжект</t>
  </si>
  <si>
    <t>Ganz</t>
  </si>
  <si>
    <t>Ganz Energetika Kft. ООО «Ганз Инженерное и Энергетическое Машиностроение»</t>
  </si>
  <si>
    <t>ЦВТД</t>
  </si>
  <si>
    <t>ООО «Центр высокотехнологичной диагностики»</t>
  </si>
  <si>
    <t>Обороты между счетами, заполненные в разных формах должны быть равны Дт 08 Кт 07</t>
  </si>
  <si>
    <t>АО "Альянстрансатом"</t>
  </si>
  <si>
    <t>АО "Атомэнергоремонт"</t>
  </si>
  <si>
    <t>АО "Атомный энергопромышленный комплекс" (АО "Атомэнергопром")</t>
  </si>
  <si>
    <t>АО "Балтийская АЭС"</t>
  </si>
  <si>
    <t>АО"Всеросийский научно-исследовательский институт по эксплуатации атомных электростанций"</t>
  </si>
  <si>
    <t>АО "Всероссийское производственное объединение "Зарубежатомэнергострой" (АО "ВПО "ЗАЭС")</t>
  </si>
  <si>
    <t>АО "Институт реакторных материалов"</t>
  </si>
  <si>
    <t>АО "НИКИМТ "Атомстрой"</t>
  </si>
  <si>
    <t>АО "Объединенная компания “Разделительно-сублиматный комплекс”</t>
  </si>
  <si>
    <t>АО "РУСБУРМАШ"</t>
  </si>
  <si>
    <t>АО "Санкт-Петербургский "ИЗОТОП"</t>
  </si>
  <si>
    <t>АО "ТЕНЕКС-Сервис"</t>
  </si>
  <si>
    <t>АО "Технопарк-Технология"</t>
  </si>
  <si>
    <t>АО "Техснабэкспорт"</t>
  </si>
  <si>
    <t>АО "Электрогорский научно-исследовательский центр по безопасности атомных электростанций"</t>
  </si>
  <si>
    <t>Россельхозбанк</t>
  </si>
  <si>
    <t>{52160500} Суточные (служебные поездки по РФ)</t>
  </si>
  <si>
    <t>{52160600} Расходы на проезд (служебные поездки по РФ)</t>
  </si>
  <si>
    <t>{52160700} Расходы на проживание (служебные поездки по РФ)</t>
  </si>
  <si>
    <t>{52160800} Прочие (служебные поездки по РФ)</t>
  </si>
  <si>
    <t>{52170500} Суточные (зарубежные служебные поездки)</t>
  </si>
  <si>
    <t>{52170600} Расходы на проезд (зарубежные служебные поездки)</t>
  </si>
  <si>
    <t>{52170700} Расходы на проживание (зарубежные служебные поездки)</t>
  </si>
  <si>
    <t>{52170800} Прочие (зарубежные служебные поездки)</t>
  </si>
  <si>
    <t>Полученный от акционеров (участников) взнос в уставный капитал до регистрации изменений в учредительные документы</t>
  </si>
  <si>
    <t>Проверка наличия ВГО ИНН</t>
  </si>
  <si>
    <t>Кт02</t>
  </si>
  <si>
    <t>Кт05</t>
  </si>
  <si>
    <t>K2</t>
  </si>
  <si>
    <t>{20300}</t>
  </si>
  <si>
    <t>Проверка корректности заполнения Вида затрат</t>
  </si>
  <si>
    <t>АО "Экспедиция № 2"</t>
  </si>
  <si>
    <t>{113115} Резерв на обеспечение безопасности 2015</t>
  </si>
  <si>
    <t>{113215} Резерв на вывод из эксплуатации и НИОКР 2015</t>
  </si>
  <si>
    <t>{113315} Резерв на физическую защиту 2015</t>
  </si>
  <si>
    <t>{113415} Резерв на развитие 2015</t>
  </si>
  <si>
    <t>{125115} Резерв на вывод из эксплуатации и НИОКР ГК 2015</t>
  </si>
  <si>
    <t>{125215} Резерв на физическую защиту ГК 2015</t>
  </si>
  <si>
    <t>{125315} Резерв на развитие ГК 2015</t>
  </si>
  <si>
    <t>{125415} Резерв на безопасность 2015</t>
  </si>
  <si>
    <t>{126015} Резерв на безопасность (АТЦ) 2015</t>
  </si>
  <si>
    <t>{129701} Средства от эмиссии акций (взносов в УК) (имуществом) до 2008</t>
  </si>
  <si>
    <t>{129702} Средства от эмиссии акций (взносов в УК) (имуществом) 2008</t>
  </si>
  <si>
    <t>{129703} Средства от эмиссии акций (взносов в УК) (имуществом) 2009</t>
  </si>
  <si>
    <t>{129704} Средства от эмиссии акций (взносов в УК) (имуществом) 2010</t>
  </si>
  <si>
    <t>{129705} Средства от эмиссии акций (взносов в УК) (имуществом) 2011</t>
  </si>
  <si>
    <t>{129712} Средства от эмиссии акций (взносов в УК) (имуществом) 2012</t>
  </si>
  <si>
    <t>{129713} Средства от эмиссии акций (взносов в УК) (имуществом) 2013</t>
  </si>
  <si>
    <t>{129714} Средства от эмиссии акций (взносов в УК) (имуществом) 2014</t>
  </si>
  <si>
    <t>{129715} Средства от эмиссии акций (взносов в УК) (имуществом) 2015</t>
  </si>
  <si>
    <t>{129800} Прочие источники (Посреднические операции)</t>
  </si>
  <si>
    <t>{129900} Прочие привлеченные средства</t>
  </si>
  <si>
    <t>{251000} Резерв под обесценение финансовых вложений</t>
  </si>
  <si>
    <t>Проверка разбивки резерва по срокам возникновения задолженности</t>
  </si>
  <si>
    <t>08_расш</t>
  </si>
  <si>
    <t>75.01, 50_51_52_55_57_движ</t>
  </si>
  <si>
    <t>Поступления денежных вкладов собственников (участников)</t>
  </si>
  <si>
    <t>В таблице Фиксирование могут быть только отрицательные значения</t>
  </si>
  <si>
    <t>Проверка корректности заполнения первичных видов затрат</t>
  </si>
  <si>
    <t>Проверка заполненности наименования контрагента</t>
  </si>
  <si>
    <t>{20100}</t>
  </si>
  <si>
    <t>{20200}</t>
  </si>
  <si>
    <t>{20400}</t>
  </si>
  <si>
    <t>{20500}</t>
  </si>
  <si>
    <t>{20600}</t>
  </si>
  <si>
    <t>{20700}</t>
  </si>
  <si>
    <t>{20800}</t>
  </si>
  <si>
    <t>{20900}</t>
  </si>
  <si>
    <t>{21000}</t>
  </si>
  <si>
    <t>{21100}</t>
  </si>
  <si>
    <t>Проверка оборотов между счетами, Прочие оценочные обязательства</t>
  </si>
  <si>
    <t>УУГ</t>
  </si>
  <si>
    <t>Проверка правильности заполнения К2 для Прочих расчеты с дебиторами/Прочих расчетов с кредиторами</t>
  </si>
  <si>
    <t>C1=F_M0104;C2=YTD;C9=0101;C8=221052990000</t>
  </si>
  <si>
    <t>2240 доп</t>
  </si>
  <si>
    <t>Расходы на консервацию</t>
  </si>
  <si>
    <t>Расходы, осуществляемые в рамках целевого финансирования</t>
  </si>
  <si>
    <t>Убытки прошлых лет</t>
  </si>
  <si>
    <t>Расходы, не возмещаемые за счет целевых источников финансирования</t>
  </si>
  <si>
    <t>Проверка корректности заполнения</t>
  </si>
  <si>
    <t>Расшифровка прочих расходов по видам затрат</t>
  </si>
  <si>
    <t>Корректировка выручки</t>
  </si>
  <si>
    <t>АО "Государственный научный центр Российской Федерации Троицкий институт инновационных и термоядерных исследований"</t>
  </si>
  <si>
    <t>Начисление/восстановление резерва по сомнительной дебиторской задолженности на счёте 63 равняется Расходам/доходам на резервы по сомнительной задолженности на счётах 91.01, 91.02.</t>
  </si>
  <si>
    <t>Эффект на прочие за счет НЗП_ГП</t>
  </si>
  <si>
    <t>Разметка для переноса данных!</t>
  </si>
  <si>
    <t>Задолженность перед компаниями (компаний), входящими в МСФО периметр консолидации учитываемая на счете 60</t>
  </si>
  <si>
    <t>Задолженность перед компаниями (компаний), входящими в МСФО периметр консолидации учитываемая на счете 62</t>
  </si>
  <si>
    <t>Задолженность перед компаниями (компаний), входящими в МСФО периметр консолидации учитываемая на счете 76</t>
  </si>
  <si>
    <t>Прочие_расш</t>
  </si>
  <si>
    <t>{52080301} Платежи за нег. возд.на окр.среду в пределах норм в водные объекты</t>
  </si>
  <si>
    <t>{52080302} Платежи за нег. возд.на окр.среду в пределах норм в атмосферный воздух</t>
  </si>
  <si>
    <t>{52080303} Платежи за нег. возд.на окр.среду в пределах норм за размещение отходов производства и потребления</t>
  </si>
  <si>
    <t>{52080304} Платежи за нег. возд.на окр.среду в пределах норм в подземные горизонты</t>
  </si>
  <si>
    <t>{52080401} Платежи за нег. возд.на окр.среду сверх норм в водные объекты</t>
  </si>
  <si>
    <t>{52080402} Платежи за нег. возд.на окр.среду сверх норм в атмосферный воздух</t>
  </si>
  <si>
    <t>{52080403} Платежи за нег. возд.на окр.среду сверх норм за размещение отходов производства и потребления</t>
  </si>
  <si>
    <t>{52080404} Платежи за нег. возд.на окр.среду сверх норм в подземные горизонты</t>
  </si>
  <si>
    <t>{52440000} Услуги по переводу документации на иностранный язык и с иностранного языка на русский</t>
  </si>
  <si>
    <t>{14260300} Услуги по согласованию тех.документации</t>
  </si>
  <si>
    <t>{20010240}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социальные расходы</t>
  </si>
  <si>
    <t>{26} Расчеты с Пенсионным фондом РФ по дополнительному тарифу за работу с (особо) вредными и (особо) тяжелыми условиями труда (подклассы)</t>
  </si>
  <si>
    <t>{2190600} Средства (иски) и штрафы, взысканные в возмещение ущерба, причиненного нарушением природоохранного законодательства</t>
  </si>
  <si>
    <t>АО "Специальное научно-производственное объединение "Элерон"</t>
  </si>
  <si>
    <t>Лист 43</t>
  </si>
  <si>
    <t>Лист 45</t>
  </si>
  <si>
    <t>Налог_на_прибыль, 09</t>
  </si>
  <si>
    <t>Налог_на_прибыль, 77</t>
  </si>
  <si>
    <t>Проверка движения по счетам отложенных налоговых активов и обязательств в корреспонденции со счётом 99</t>
  </si>
  <si>
    <t>09, 77, 99</t>
  </si>
  <si>
    <t>Проверка корректности использования знаков в движении отложенного налогового актива</t>
  </si>
  <si>
    <t>Проверка корректности использования знаков в движении отложенного налогового обязательства</t>
  </si>
  <si>
    <t>Проверка расшифровки прочего движения, не повлиявшего на прибыль, по отложенному налоговому активу на листе "Налог на прибыль"</t>
  </si>
  <si>
    <t>Проверка расшифровки прочего движения, не повлиявшего на прибыль, по отложенному налоговому обязательству на листе "Налог на прибыль"</t>
  </si>
  <si>
    <t>Проверка соответствия Даты погашения по договору признаку Долгосрочная/
Краткосрочная</t>
  </si>
  <si>
    <t>Проверка: аналитика только на сч.44</t>
  </si>
  <si>
    <t>Аналитика {52150800} Маркетинг и исследование рынка только на счёте 44</t>
  </si>
  <si>
    <t>{5131100_~_~_~} Возврат денежных средств, переданных в качестве обеспечения исполнения обязательств</t>
  </si>
  <si>
    <t>{5131200_~_~_~} Денежные средства, полученные в качестве обеспечения исполнения обязательств</t>
  </si>
  <si>
    <t>{5231100_~_~_~} Денежные средства, переданные в качестве обеспечения исполнения обязательств</t>
  </si>
  <si>
    <t>{5231200_~_~_~} Возврат денежных средств, полученных в качестве обеспечения исполнения обязательств</t>
  </si>
  <si>
    <t>RAOS Voima Oy</t>
  </si>
  <si>
    <t>RAOS Voima</t>
  </si>
  <si>
    <t>АО "Атомэнергопромсбыт"</t>
  </si>
  <si>
    <t>ROSATOM FINANCE LTD (Росатом Финанс ЛТД)</t>
  </si>
  <si>
    <t>ООО "Алабуга-Волокно"</t>
  </si>
  <si>
    <t>АО "Атомстройэкспорт"</t>
  </si>
  <si>
    <t>АО "Атомкомплект"</t>
  </si>
  <si>
    <t>АО "АтомЭнергоСбыт"</t>
  </si>
  <si>
    <t>АО "АтомКапитал"</t>
  </si>
  <si>
    <t>АО Инжиниринговая компания "АЭМ-технологии"</t>
  </si>
  <si>
    <t>АО "Ангарский электролизный химический комбинат"</t>
  </si>
  <si>
    <t>ФГУП "Всероссийский научно-исследовательский институт автоматики им. Н.Л. Духова"</t>
  </si>
  <si>
    <t>АО "Ведущий научно-исследовательский институт химической технологии (ВНИИХТ)"</t>
  </si>
  <si>
    <t>АО "Ведущий проектно-изыскательский и научно-исследовательский институт промышленной технологии"</t>
  </si>
  <si>
    <t>АО "Государственный специализированный проектный институт" (АО "ГСПИ")</t>
  </si>
  <si>
    <t>АО "Далур"</t>
  </si>
  <si>
    <t>АО "Дирекция Единого Заказа оборудования для АЭС"</t>
  </si>
  <si>
    <t>АО "Инжиниринговый центр "Русская газовая центрифуга"</t>
  </si>
  <si>
    <t>ПАО "Ковровский механический завод"</t>
  </si>
  <si>
    <t>АО "Производственное объединение "Машиностроительный завод "Молния"</t>
  </si>
  <si>
    <t>ООО "МСЗ-МЕХАНИКА"</t>
  </si>
  <si>
    <t>АО "Наука и инновации"</t>
  </si>
  <si>
    <t>АО "Государственный научно-исследовательский институт конструкционных материалов на основе графита "НИИграфит"</t>
  </si>
  <si>
    <t>ООО "НЗХК-Инструмент"</t>
  </si>
  <si>
    <t>ООО "НЗХК-Энергия"</t>
  </si>
  <si>
    <t>ПАО "Новосибирский завод химконцентратов"</t>
  </si>
  <si>
    <t>АО Государственный научный центр - Научно-исследовательский институт атомных реакторов (АО "ГНЦ НИИАР")</t>
  </si>
  <si>
    <t>АО "Научно-исследовательский институт технической физики и автоматизации (НИИТФА)"</t>
  </si>
  <si>
    <t>ФГУП "Научно-исследовательский технологический институт имени А.П. Александрова"</t>
  </si>
  <si>
    <t>АО "Радиевый институт им. В.Г. Хлопина"</t>
  </si>
  <si>
    <t>АО "Научно-технический центр "Ядерно-физические исследования"</t>
  </si>
  <si>
    <t>ПАО "Приаргунское производственное горно-химическое объединение"</t>
  </si>
  <si>
    <t>АО "Производственная система "ПСР"</t>
  </si>
  <si>
    <t>АО "Промышленные инновации"</t>
  </si>
  <si>
    <t>АО "Русский сверхпроводник "</t>
  </si>
  <si>
    <t>АО "Русская ЭнергоМашиностроительная Компания"</t>
  </si>
  <si>
    <t>АО "Саровская Генерирующая Компания"</t>
  </si>
  <si>
    <t>АО "Специализированный научно-исследовательский институт приборостроения" (АО "СНИИП")</t>
  </si>
  <si>
    <t>АО "Саровская Теплосетевая Компания"</t>
  </si>
  <si>
    <t>ООО "Тепловодоканал"</t>
  </si>
  <si>
    <t>ООО "Точмаш-авто"</t>
  </si>
  <si>
    <t>АО "ТВЭЛ"</t>
  </si>
  <si>
    <t>АО "Владимирское производственное объединение "Точмаш"</t>
  </si>
  <si>
    <t>АО "Ураниум Уан Груп"</t>
  </si>
  <si>
    <t>АО "Уральский электрохимический комбинат"</t>
  </si>
  <si>
    <t>АО "Государственный научный центр Российской Федерации - Физико-энергетический институт имени А.И. Лейпунского"</t>
  </si>
  <si>
    <t>АО "Хиагда"</t>
  </si>
  <si>
    <t>АО "Центр управления непрофильными активами атомной отрасли"</t>
  </si>
  <si>
    <t>АО "Центральное конструкторское бюро машиностроения"</t>
  </si>
  <si>
    <t>АО "Научно-производственное объединение "Центральный научно-исследовательский институт технологии машиностроения"</t>
  </si>
  <si>
    <t>ООО "Экоальянс"</t>
  </si>
  <si>
    <t>АО "Эльконский горно-металлургический комбинат"</t>
  </si>
  <si>
    <t>АО "ЭГМК-проект"</t>
  </si>
  <si>
    <t>АО "Производственное объединение "Электрохимический завод"</t>
  </si>
  <si>
    <t>ООО "АтомТеплоЭлектроСеть"</t>
  </si>
  <si>
    <t>АО "Атомтранс"</t>
  </si>
  <si>
    <t>АО "Ветроэнергетическая отдельная генерирующая компания"</t>
  </si>
  <si>
    <t>АО "Ипотечная компания атомной отрасли"</t>
  </si>
  <si>
    <t>АО "Институт физико-технических проблем"</t>
  </si>
  <si>
    <t>АО "Консист-Оператор-Связи"</t>
  </si>
  <si>
    <t>АО "Лунное"</t>
  </si>
  <si>
    <t>АО "Международный центр по обогащению урана"</t>
  </si>
  <si>
    <t>АО "НЗХК-Инжиниринг"</t>
  </si>
  <si>
    <t>АО "КМЗ-Спецмаш"</t>
  </si>
  <si>
    <t>АО "Саровская Газоснабжающая Компания"</t>
  </si>
  <si>
    <t>АО "Саровская Электросетевая Компания"</t>
  </si>
  <si>
    <t>АО "Центральный проектно-технологический институт"</t>
  </si>
  <si>
    <t>АО "Русатом Сервис"</t>
  </si>
  <si>
    <t>Итого 4129</t>
  </si>
  <si>
    <t>Прочие платежи</t>
  </si>
  <si>
    <t>RAOS Project Oy</t>
  </si>
  <si>
    <t>RAOS Project</t>
  </si>
  <si>
    <t>{04735000001} Железногорск</t>
  </si>
  <si>
    <t>{04737000001} Зеленогорск</t>
  </si>
  <si>
    <t>{20727000001} Нововоронеж</t>
  </si>
  <si>
    <t>{1500} Материально-производственные запасы, используемые для создания внеоборотных активов</t>
  </si>
  <si>
    <t>{22704000001} Саров</t>
  </si>
  <si>
    <t>{28656101001} Удомля</t>
  </si>
  <si>
    <t>{38708000001} Курчатов</t>
  </si>
  <si>
    <t>{41754000001} Сосновый Бор</t>
  </si>
  <si>
    <t>{47719000001} Полярные Зори</t>
  </si>
  <si>
    <t>{56734000001} Заречный</t>
  </si>
  <si>
    <t>{60712000001} Волгодонск</t>
  </si>
  <si>
    <t>{63607101001} Балаково</t>
  </si>
  <si>
    <t>{65722000262} Снежинск (в направлении Никольское)</t>
  </si>
  <si>
    <t>{65737000001} Заречный</t>
  </si>
  <si>
    <t>{65749000001} Лесной</t>
  </si>
  <si>
    <t>{65752000001} Новоуральск</t>
  </si>
  <si>
    <t>{66710000001} Десногорск</t>
  </si>
  <si>
    <t>{69741000001} Северск</t>
  </si>
  <si>
    <t>{73705000001} Димитровград</t>
  </si>
  <si>
    <t>{75707000001} Трехгорный</t>
  </si>
  <si>
    <t>{75743000001} Озерск</t>
  </si>
  <si>
    <t>{75746000001} Снежинск</t>
  </si>
  <si>
    <t>{14230010} Поверка средств измерений температурных, теплофизических, электротехнических, магнитных, виброаккустических величин, ионизирующих излучений и т.п.</t>
  </si>
  <si>
    <t>{76621101001} Краснокаменск</t>
  </si>
  <si>
    <t>{77609101001} Билибино</t>
  </si>
  <si>
    <t>{89649420102} Саров (в направлении Жегалово)</t>
  </si>
  <si>
    <t>{14290000} Услуги по дезактивации зданий, помещений, оборудования, устройств</t>
  </si>
  <si>
    <t>{94720000001} Глазов</t>
  </si>
  <si>
    <t>АО "Свердловский научно-исследовательский институт химического машиностроения ("СвердНИИхиммаш")"</t>
  </si>
  <si>
    <t>АО "ТЕНЕКС-Логистика"</t>
  </si>
  <si>
    <t>105-158-750</t>
  </si>
  <si>
    <t>115-109-731</t>
  </si>
  <si>
    <t>115-110-829</t>
  </si>
  <si>
    <t>2596476-2</t>
  </si>
  <si>
    <t>2010/0624</t>
  </si>
  <si>
    <t>120-86-48471</t>
  </si>
  <si>
    <t>GB987386840</t>
  </si>
  <si>
    <t>88897 7170 RC0001</t>
  </si>
  <si>
    <t>Лист"Долгосрочные_договора"</t>
  </si>
  <si>
    <t>Расчетный процент готовности</t>
  </si>
  <si>
    <t>Закупка материалов (Д 10 К 15, 16, 60,71,76)</t>
  </si>
  <si>
    <t>INTERNEXCO GmbH (Швейцария)</t>
  </si>
  <si>
    <t>CHE-255.290.400</t>
  </si>
  <si>
    <t xml:space="preserve">Проверка оборотов </t>
  </si>
  <si>
    <t>Лист 66 и 67</t>
  </si>
  <si>
    <t>Какая сумма будет оплачена заказчиком в случае, если нет уверенности в возмещении полной стоимости (цены) продукции/работ/услуг</t>
  </si>
  <si>
    <t>Долгосрочные договоры, не завершенные на отчетную дату</t>
  </si>
  <si>
    <t>Точмаш</t>
  </si>
  <si>
    <t>РАСУ</t>
  </si>
  <si>
    <t>Получены денежные средства (Дт 51 Кт 76)</t>
  </si>
  <si>
    <t>2280100, 200, 300, 400</t>
  </si>
  <si>
    <t>2281000, 2281100</t>
  </si>
  <si>
    <t>{14300000} Работы по изготовлению продукции (кроме указанной выше), переработке давальческого сырья</t>
  </si>
  <si>
    <t>Проверка соответствия листов</t>
  </si>
  <si>
    <t>Несовпадение наименований контрагентов с одинаковым ИНН</t>
  </si>
  <si>
    <t>{52060100} Расходы на обучение, оценку и развитие персонала</t>
  </si>
  <si>
    <t>{2420100} Прочие расходы на персонал</t>
  </si>
  <si>
    <t>{27}  Расчеты с Пенсионным Фондом РФ (база в пределах лимита)</t>
  </si>
  <si>
    <t>{28} Расчеты с Пенсионным Фондом РФ (база сверх лимита)</t>
  </si>
  <si>
    <t>Дт 90.2 - Кт 46</t>
  </si>
  <si>
    <t>АО "Управление автомобильным транспортом НЗХК"</t>
  </si>
  <si>
    <t>АО "Красная Звезда"</t>
  </si>
  <si>
    <t>АО "Русатом Энерго Интернешнл"</t>
  </si>
  <si>
    <t>REIN</t>
  </si>
  <si>
    <t>Fennovoima Oy</t>
  </si>
  <si>
    <t>Uranium One Friesland Cooperatief</t>
  </si>
  <si>
    <t>Автотранс – А</t>
  </si>
  <si>
    <t>АТОММАШ-СЕРВИС</t>
  </si>
  <si>
    <t>ВНИИЭФ-Гарант</t>
  </si>
  <si>
    <t>Гуанья</t>
  </si>
  <si>
    <t>КП</t>
  </si>
  <si>
    <t>Общество с ограниченной ответственностью "Комплексный проект"</t>
  </si>
  <si>
    <t>Медсанчасть</t>
  </si>
  <si>
    <t>МЦКДМ</t>
  </si>
  <si>
    <t>ПЗМ-ТНП</t>
  </si>
  <si>
    <t>РМЗ ГХК</t>
  </si>
  <si>
    <t>СМРП ГХК</t>
  </si>
  <si>
    <t>СТС</t>
  </si>
  <si>
    <t>Телеком ГХК</t>
  </si>
  <si>
    <t>Трансэнерго</t>
  </si>
  <si>
    <t>УГК-Холдинг</t>
  </si>
  <si>
    <t>УЖТ</t>
  </si>
  <si>
    <t>ЦИРФРИ</t>
  </si>
  <si>
    <t>ЦКО ООО</t>
  </si>
  <si>
    <t>Liges s.r.o.</t>
  </si>
  <si>
    <t>ЯМТ-Снежинск</t>
  </si>
  <si>
    <t>ООО "Ядерные медицинские технологии-Снежинск"</t>
  </si>
  <si>
    <t>*{252017}*</t>
  </si>
  <si>
    <t>*{252014}*</t>
  </si>
  <si>
    <t>Справочник видов продукции, работ, услуг</t>
  </si>
  <si>
    <t>Вспомогательная таблица</t>
  </si>
  <si>
    <t xml:space="preserve">Долгосрочная </t>
  </si>
  <si>
    <t>Краткосрочная</t>
  </si>
  <si>
    <t xml:space="preserve">Остаток на конец периода (Дт) Долгосрочная </t>
  </si>
  <si>
    <t xml:space="preserve">Остаток на конец периода (Кт) Долгосрочная </t>
  </si>
  <si>
    <t>Остаток на конец периода (Дт) Краткосрочная</t>
  </si>
  <si>
    <t>Остаток на конец периода (Кт) Краткосрочная</t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</si>
  <si>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</t>
    </r>
  </si>
  <si>
    <r>
      <rPr>
        <b/>
        <sz val="10"/>
        <color indexed="37"/>
        <rFont val="Arial"/>
        <family val="2"/>
        <charset val="204"/>
      </rP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{252017} Расчеты с Комитентами (Принципалами) по агентскому вознаграждению</t>
    </r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</si>
  <si>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{252014} Расчеты с Агентами (Комиссионерами) по агентскому вознаграждению</t>
    </r>
  </si>
  <si>
    <t>{52081201} Платежи за негативное воздействие в пределах норм, причиняемое автомобильным дорогам общего пользования федерального значения транспортными средствами, имеющими разрешенную максимальную массу свыше 12 тонн</t>
  </si>
  <si>
    <t>{52081202} Платежи за негативное воздействие сверх норм, причиняемое автомобильным дорогам общего пользования федерального значения транспортными средствами, имеющими разрешенную максимальную массу свыше 12 тонн</t>
  </si>
  <si>
    <t>Значение поля счет учета, заполнено</t>
  </si>
  <si>
    <t>{113116} Резерв на обеспечение безопасности 2016</t>
  </si>
  <si>
    <t>{113117} Резерв на обеспечение безопасности 2017</t>
  </si>
  <si>
    <t>{113118} Резерв на обеспечение безопасности 2018</t>
  </si>
  <si>
    <t>{113216} Резерв на вывод из эксплуатации и НИОКР 2016</t>
  </si>
  <si>
    <t>{113217} Резерв на вывод из эксплуатации и НИОКР 2017</t>
  </si>
  <si>
    <t>{113218} Резерв на вывод из эксплуатации и НИОКР 2018</t>
  </si>
  <si>
    <t>{113316} Резерв на физическую защиту 2016</t>
  </si>
  <si>
    <t>{113317} Резерв на физическую защиту 2017</t>
  </si>
  <si>
    <t>{113318} Резерв на физическую защиту 2018</t>
  </si>
  <si>
    <t>{113416} Резерв на развитие 2016</t>
  </si>
  <si>
    <t>{113417} Резерв на развитие 2017</t>
  </si>
  <si>
    <t>{113418} Резерв на развитие 2018</t>
  </si>
  <si>
    <t>{125116} Резерв на вывод из эксплуатации и НИОКР ГК 2016</t>
  </si>
  <si>
    <t>{125117} Резерв на вывод из эксплуатации и НИОКР ГК 2017</t>
  </si>
  <si>
    <t>{125118} Резерв на вывод из эксплуатации и НИОКР ГК 2018</t>
  </si>
  <si>
    <t>{125216} Резерв на физическую защиту ГК 2016</t>
  </si>
  <si>
    <t>{125217} Резерв на физическую защиту ГК 2017</t>
  </si>
  <si>
    <t>{125218} Резерв на физическую защиту ГК 2018</t>
  </si>
  <si>
    <t>{125316} Резерв на развитие ГК 2016</t>
  </si>
  <si>
    <t>{125317} Резерв на развитие ГК 2017</t>
  </si>
  <si>
    <t>{125318} Резерв на развитие ГК 2018</t>
  </si>
  <si>
    <t>{125416} Резерв на безопасность 2016</t>
  </si>
  <si>
    <t>{125417} Резерв на безопасность 2017</t>
  </si>
  <si>
    <t>{125418} Резерв на безопасность 2018</t>
  </si>
  <si>
    <t>{129716} Средства от эмиссии акций (взносов в УК) (имуществом) 2016</t>
  </si>
  <si>
    <t>{129717} Средства от эмиссии акций (взносов в УК) (имуществом) 2017</t>
  </si>
  <si>
    <t>{129718} Средства от эмиссии акций (взносов в УК) (имуществом) 2018</t>
  </si>
  <si>
    <t>{126016} Резерв на безопасность (АТЦ) 2016</t>
  </si>
  <si>
    <t>{126017} Резерв на безопасность (АТЦ) 2017</t>
  </si>
  <si>
    <t>{126018} Резерв на безопасность (АТЦ) 2018</t>
  </si>
  <si>
    <t>{14090200} Камеральные работы по подсчету запасов</t>
  </si>
  <si>
    <t>{14099900} Прочие ГРР</t>
  </si>
  <si>
    <t>Лист 58.02</t>
  </si>
  <si>
    <t>Лист 91_01</t>
  </si>
  <si>
    <t>При наличии на листе 91.01 аналитики "{1999900} Другие доходы (нетто)" необходимо в поле "Комментарий" указать, что это за доходы</t>
  </si>
  <si>
    <t>{1920000} Доходы от переоценки основных средств, введенных в эксплуатацию до принятия ЕУП</t>
  </si>
  <si>
    <t>{2920000} Убытки от переоценки основных средств, введенных в эксплуатацию до принятия ЕУП</t>
  </si>
  <si>
    <t>По счету 20 или 46 заполнены колонки (К10-К13)</t>
  </si>
  <si>
    <t>_10019_1_96_движ</t>
  </si>
  <si>
    <t>Вид затрат (первичные) для листа 96_движ (исключена статья 52350300)</t>
  </si>
  <si>
    <t xml:space="preserve">Счет 96. Использование резервов. </t>
  </si>
  <si>
    <t>Страна реализации</t>
  </si>
  <si>
    <t>Проверка наличия страны реализации</t>
  </si>
  <si>
    <t>Проверка соответствия 90_контр и 90_01</t>
  </si>
  <si>
    <t>Проверка разбивки выручки по регионам на 90_01 и 90_контр</t>
  </si>
  <si>
    <t>90_01 и 90_контр</t>
  </si>
  <si>
    <t>{52370000} Услуги по управлению персоналом (ОЦО)</t>
  </si>
  <si>
    <t>сп</t>
  </si>
  <si>
    <t>{01001} Проекты в рамках ФЦП «Ядерные энерготехнологии нового поколения на период 2010-2015 годов и на перспективу до 2020 года»</t>
  </si>
  <si>
    <t>{01002} Проекты в рамках ФЦП «Обеспечение ядерной и радиационной безопасности на 2008 и на период до 2015 гг.»</t>
  </si>
  <si>
    <t>{01003} Проекты в рамках ФЦП «Обеспечение ядерной и радиационной безопасности на 2016 год и на период до 2019 года.»</t>
  </si>
  <si>
    <t>{01004} Проекты в рамках иных ФЦП и ПП</t>
  </si>
  <si>
    <t>{02002} Организационно-управленченские проекты</t>
  </si>
  <si>
    <t>{02003} Проекты административно-хозяйственного обеспечения</t>
  </si>
  <si>
    <t>{02004} Проекты ЯРБ в рамках медународного сотрудничества</t>
  </si>
  <si>
    <t>{02005} Прочие собственные проекты вне ФЦП и ПП</t>
  </si>
  <si>
    <t>{03001} Благотворительная деятельность</t>
  </si>
  <si>
    <t>{03002} Собственная непроектная деятельность в части ИТ</t>
  </si>
  <si>
    <t>{03004} Квалифицируемая непроектная деятельность</t>
  </si>
  <si>
    <t>{03005} Мероприятия</t>
  </si>
  <si>
    <t>{04006} Строительство ПАТЭС</t>
  </si>
  <si>
    <t>Проверка правильности расшифровки между листами 08 и 08_расш</t>
  </si>
  <si>
    <t>08 и 08_расш</t>
  </si>
  <si>
    <t>Корреспондирующий счет</t>
  </si>
  <si>
    <t>Компания указала себя в качестве контрагента</t>
  </si>
  <si>
    <t>Проверка заполнения 96 счета</t>
  </si>
  <si>
    <t>10806481-2-42</t>
  </si>
  <si>
    <t>Русреактор</t>
  </si>
  <si>
    <t>Заполнен комментарий по расхождению сальдо на начало</t>
  </si>
  <si>
    <t>Проверка Баланса, заполненного вручную (при расхождении на начало отчетного периода должен быть заполнен комментрий)</t>
  </si>
  <si>
    <t>Итого 4119</t>
  </si>
  <si>
    <t>4119/4124</t>
  </si>
  <si>
    <t>Итого 4214</t>
  </si>
  <si>
    <t>Итого 4315</t>
  </si>
  <si>
    <t>АО "Российский концерн по производству электрической и тепловой энергии на атомных станциях "Росэнергоатом"</t>
  </si>
  <si>
    <t>{05001} Бэк-Энд</t>
  </si>
  <si>
    <t>{05002} Регенерат</t>
  </si>
  <si>
    <t>{05003} Энерготрейдинг</t>
  </si>
  <si>
    <t xml:space="preserve">Выплата дивидендов </t>
  </si>
  <si>
    <t>Прибыль, перечисляемая ФГУП в ГК «Росатом»</t>
  </si>
  <si>
    <t>Проверка по счету 75 в части перечисления дивидендов</t>
  </si>
  <si>
    <t>{BYN} Белорусский рубль</t>
  </si>
  <si>
    <t>АО "Научно-исследовательский институт приборов"</t>
  </si>
  <si>
    <t>_2014</t>
  </si>
  <si>
    <t xml:space="preserve">Капитальные вложения </t>
  </si>
  <si>
    <t>Обоснование/подтверждение наличия высокой вероятности погашения задолженности</t>
  </si>
  <si>
    <t>Непросроченная</t>
  </si>
  <si>
    <t xml:space="preserve">Комментарий почему начислен резерв по непросроченной ДТ задолженности/ не начислен резерв по просроченной ДТ задолженности
</t>
  </si>
  <si>
    <t>более 12 месяцев</t>
  </si>
  <si>
    <t>Расходы на создание ВНА</t>
  </si>
  <si>
    <t>91_расш</t>
  </si>
  <si>
    <t>Расходы на содержание обслуживающих хозяйств и производств</t>
  </si>
  <si>
    <t>более 3 лет</t>
  </si>
  <si>
    <t>В т.ч. Долгосрочная часть (Кт) 60,76_контр</t>
  </si>
  <si>
    <t>В т.ч. Краткосрочная часть (Кт) 60,76_контр</t>
  </si>
  <si>
    <t>Проверка расшифровки долгосрочной Кт задолженности по срокам погашения</t>
  </si>
  <si>
    <t>Проверка расшифровки краткосрочной Кт задолженности по срокам погашения</t>
  </si>
  <si>
    <t>{14150010} Контроль технического состояния, диагностика оборудования, зданий, сооружений и т.п. услуги</t>
  </si>
  <si>
    <t>{14230020} Морфометрическое, гидрологическое обследование, экологические мониторинги</t>
  </si>
  <si>
    <t>{52090103} Аренда зданий и сооружений (за искл. административно-офисных), находящихся в государственной и муниципальной собственности</t>
  </si>
  <si>
    <t>{52090203} Аренда зданий и сооружений (за исключением административно-офисных),кроме находящихся в государственной и муниципальной собственности</t>
  </si>
  <si>
    <t>{52090107} Аренда зданий и сооружений (административно-офисных),находящихся в государственной и муниципальной собственности</t>
  </si>
  <si>
    <t>{52090108} Аренда машино-мест для парковки служебных автомобилей,находящихся в государственной и муниципальной собственности</t>
  </si>
  <si>
    <t>{52090207} Аренда зданий и сооружений (административно-офисных), кроме находящихся в государственной и муниципальной собственности</t>
  </si>
  <si>
    <t>{52090208} Аренда машино-мест для парковки служебных автомобилей, кроме находящихся в государственной и муниципальной собственности</t>
  </si>
  <si>
    <t>Проверка оборотов между счетами, Оценочные обязательства по оплате отпусков работников (сумма выплат)</t>
  </si>
  <si>
    <t>Проверка оборотов между счетами, Оценочные обязательства по оплате отпусков работников (сумма страховых взносов)</t>
  </si>
  <si>
    <t>Проверка оборотов между счетами, Оценочные обязательства по прочим выплатам персоналу (сумма выплат)</t>
  </si>
  <si>
    <t>Проверка оборотов между счетами, Оценочные обязательства по прочим выплатам персоналу (сумма страховых взносов)</t>
  </si>
  <si>
    <t>РАОС</t>
  </si>
  <si>
    <t>{5} Лицевые счета в УФК</t>
  </si>
  <si>
    <t>H</t>
  </si>
  <si>
    <t>{04087} АЭС малой и средней мощности</t>
  </si>
  <si>
    <t>{252072} НДС с авансов, выданных по капитальному строительству (предварит)</t>
  </si>
  <si>
    <t>{252073} НДС с авансов, выданных по капитальному строительству (перерасчетный)</t>
  </si>
  <si>
    <t>{08} Вложения во внеоборотные активы</t>
  </si>
  <si>
    <t>Сумма затрат за счет целевого финансирования</t>
  </si>
  <si>
    <t>Сумма начисленных претензий к уплате (см. лист 76, столбец К10)</t>
  </si>
  <si>
    <t xml:space="preserve">76, 91.02 </t>
  </si>
  <si>
    <t>Проверка сумм начисленных претензий к уплате</t>
  </si>
  <si>
    <t>Проверка разбивки выручки по аналитике справочника 2145 на 90_01 и 90_контр</t>
  </si>
  <si>
    <t>Оценочные обязательства, связанные с расчетами с персоналом</t>
  </si>
  <si>
    <t>Прочие оценочные обязательства</t>
  </si>
  <si>
    <t>{1110000_~_121_~} Средства, полученные от продажи товаров, работ, услуг, прочие российские заказчики</t>
  </si>
  <si>
    <t>{1110000_~_122_~} Средства, полученные от продажи товаров, работ, услуг, зарубежные заказчики</t>
  </si>
  <si>
    <t>Расходы на ликвидацию</t>
  </si>
  <si>
    <t>Прочие расходы, связанные с реализацией активов</t>
  </si>
  <si>
    <t>Расходы по содержанию непрофильного имущества и объектов социальной структуры</t>
  </si>
  <si>
    <t>Потери от простоев</t>
  </si>
  <si>
    <t>Затраты на производство, не давшее результат</t>
  </si>
  <si>
    <t>Расходы по совместной деятельности</t>
  </si>
  <si>
    <t>Прочие расходы, связанные с безвозмездными выбытием  активов</t>
  </si>
  <si>
    <t>Расходы от передачи имущества в хозяйственное ведение, оперативное управление</t>
  </si>
  <si>
    <t>Расходы на содержание временно неиспользуемого имущества (в т.ч. Арендованных объектов)</t>
  </si>
  <si>
    <t>Затраты_Выход, прочие_расш</t>
  </si>
  <si>
    <t>* Аналитику "Вид затрат" (колонка К2) необходимо выбирать после заполнения аналитики "Корреспондирующий счет" (колонка К4)</t>
  </si>
  <si>
    <t>{2231010} Отчисления в оценочные обязательства на выплату вознаграждений по итогам года (сумма выплат)</t>
  </si>
  <si>
    <t>{2231020} Отчисления в оценочные обязательства на выплату вознаграждений по итогам года (сумма страховых взносов)</t>
  </si>
  <si>
    <t>Проверка списания производственных затрат на прочие расходы</t>
  </si>
  <si>
    <t>Проверка списания управленческих расходов на прочие расходы</t>
  </si>
  <si>
    <t>Проверка списания коммерческих затрат на прочие расходы</t>
  </si>
  <si>
    <t>Проверка заполения колонки: "Группа финвложений"</t>
  </si>
  <si>
    <t>Mantra Resources Pty Ltd.</t>
  </si>
  <si>
    <t>NUKEM Technologies GmbH</t>
  </si>
  <si>
    <t>АО "Атомспецтранс"</t>
  </si>
  <si>
    <t>АО по наладке, совершенствованию эксплуатации и организации управления атомных станций "Атомтехэнерго"</t>
  </si>
  <si>
    <t>АО "Атомтехэкспорт"</t>
  </si>
  <si>
    <t>АО "Гринатом"</t>
  </si>
  <si>
    <t>АО "Научно-производственный комплекс "Дедал"</t>
  </si>
  <si>
    <t>АО «Первая горнорудная компания»</t>
  </si>
  <si>
    <t>ФГУП "РАДОН"</t>
  </si>
  <si>
    <t>АО "Управление административными зданиями"</t>
  </si>
  <si>
    <t>АО "Центр по обогащению урана"</t>
  </si>
  <si>
    <t>Canada Limited</t>
  </si>
  <si>
    <t>80931 9247 RC0001</t>
  </si>
  <si>
    <t>CZ 279 33 270</t>
  </si>
  <si>
    <t>68-068-0771</t>
  </si>
  <si>
    <t>Uranium One Friesland</t>
  </si>
  <si>
    <t>ААЭМ</t>
  </si>
  <si>
    <t>ООО «Атомстройэкспорт- Финанс»</t>
  </si>
  <si>
    <t>АО «РусАтомСтрой-Менеджмент»</t>
  </si>
  <si>
    <t>АО "Русатом растворные реакторы"</t>
  </si>
  <si>
    <t>СМБ</t>
  </si>
  <si>
    <t>С-плюс</t>
  </si>
  <si>
    <t>Общество с ограниченной ответственностью "С- плюс"</t>
  </si>
  <si>
    <t>АО "Телевизионный центр"</t>
  </si>
  <si>
    <t>10015_2014</t>
  </si>
  <si>
    <t>Проверка оборотов</t>
  </si>
  <si>
    <t>{1} Финансовые вложения и ПФИ, котирующиеся на открытых рынках и имеющие текущую рыночную стоимость</t>
  </si>
  <si>
    <t>{2} Финансовые вложения и ПФИ, не котирующиеся на открытых рынках</t>
  </si>
  <si>
    <t>{3} Сделка с отсрочкой исполнения</t>
  </si>
  <si>
    <t>{4} ПФИ</t>
  </si>
  <si>
    <t>{52150210} Услуги по верстке и печати рекламных брошюр и каталогов</t>
  </si>
  <si>
    <t>{52150900} Продвижение бренда Госкорпорации и основных торговых марок организаций Госкорпорации на культурно-массовых, спортивных и других аналогичных мероприятиях</t>
  </si>
  <si>
    <t>{52151000} Услуги в области PR (связей с общественностью)</t>
  </si>
  <si>
    <t>204/115/21517</t>
  </si>
  <si>
    <t>0253018827</t>
  </si>
  <si>
    <t>АвтоДом</t>
  </si>
  <si>
    <t>Расходы, связанные с предоставлением в пользование прав на результаты интеллектуальной деятельности</t>
  </si>
  <si>
    <t>_2018_45</t>
  </si>
  <si>
    <t>Проверка правильности заполнения К10,К11,К12</t>
  </si>
  <si>
    <t xml:space="preserve">Данные по договорам, по которым остатки на конец периода в сумме составляют менее 5% от общей суммы остатков по соответствующему счету за вычетом ВГО допускается отражать одной суммой, при этом необходимо в колонке «ИНН контрагента» указать значение «Внешние контрагенты».
Для расшифровки задолженности по физическим лицам (за исключением ИП) необходимо в колонке «ИНН контрагента» указать значение «Физические лица». 
</t>
  </si>
  <si>
    <t>Лист 21 и НЗП_ГП</t>
  </si>
  <si>
    <t>Лист 41_01 и НЗП_ГП</t>
  </si>
  <si>
    <t>Лист 43 и НЗП_ГП</t>
  </si>
  <si>
    <t>Проверка расшифровки остатков</t>
  </si>
  <si>
    <t>Отчет о реализации по внешним контрагентам (90 счет)</t>
  </si>
  <si>
    <t>Суммы НДС необходимо отражать по аналитике задолженность</t>
  </si>
  <si>
    <t>ГИД НСИ</t>
  </si>
  <si>
    <t>{03111} Охрана атмосферного воздуха и предотвращение изменения климата</t>
  </si>
  <si>
    <t>{03112} Сбор и очистка сточных вод</t>
  </si>
  <si>
    <t>{03113} Обращение с отходами</t>
  </si>
  <si>
    <t>{03114} Защита и реабилитация земель, поверхностных и подземных вод</t>
  </si>
  <si>
    <t>{03115} Защита окружающей среды от шумового, вибрационного и других видов физического воздействия</t>
  </si>
  <si>
    <t>{03116} Сохранение биоразнообразия и охрана природных территорий</t>
  </si>
  <si>
    <t>{03117} Обеспечение радиационной безопасности окружающей среды</t>
  </si>
  <si>
    <t>{03118} Научно-исследовательская деятельность и разработки по снижению негативных антропогенных воздействий на окружающую среду</t>
  </si>
  <si>
    <t>{03119} Другие направления деятельности в сфере охраны окружающей среды</t>
  </si>
  <si>
    <t>{03199} Другая прочая собственная непроектная деятельность</t>
  </si>
  <si>
    <t>L</t>
  </si>
  <si>
    <t>N</t>
  </si>
  <si>
    <t>AD</t>
  </si>
  <si>
    <t>2090</t>
  </si>
  <si>
    <t>Без ограничений на использование</t>
  </si>
  <si>
    <t>Остатки денежных средств должны быть положительными_50</t>
  </si>
  <si>
    <t>Остатки денежных средств должны быть положительными_51</t>
  </si>
  <si>
    <t>Остатки денежных средств должны быть положительными_52</t>
  </si>
  <si>
    <t>Остатки денежных средств должны быть положительными_55</t>
  </si>
  <si>
    <t>Другие затраты Затраты_Вход_1</t>
  </si>
  <si>
    <t>Другие затраты Лист 96_движ</t>
  </si>
  <si>
    <t>Затраты 43</t>
  </si>
  <si>
    <t>Затраты 21</t>
  </si>
  <si>
    <t>ИНН заполнен и содержит не менее 3-х символов_проверка 1</t>
  </si>
  <si>
    <t>ИНН заполнен и содержит не менее 3-х символов_проверка 2</t>
  </si>
  <si>
    <t>ИНН заполнен и содержит не менее 3-х символов_проверка 3</t>
  </si>
  <si>
    <t>ИНН заполнен и содержит не менее 3-х символов_проверка 4</t>
  </si>
  <si>
    <t>ИНН заполнен и содержит не менее 3-х символов_проверка 5</t>
  </si>
  <si>
    <t>ИНН заполнен и содержит не менее 3-х символов_проверка 6</t>
  </si>
  <si>
    <t>ИНН заполнен и содержит не менее 3-х символов_проверка 7</t>
  </si>
  <si>
    <t>ИНН заполнен и содержит не менее 3-х символов_проверка 8</t>
  </si>
  <si>
    <t>ИНН заполнен и содержит не менее 3-х символов_проверка 10</t>
  </si>
  <si>
    <t>ИНН заполнен и содержит не менее 3-х символов_проверка 11</t>
  </si>
  <si>
    <t>ИНН заполнен и содержит не менее 3-х символов_проверка 12</t>
  </si>
  <si>
    <t>ИНН заполнен и содержит не менее 3-х символов_проверка 14</t>
  </si>
  <si>
    <t>ИНН заполнен и содержит не менее 3-х символов_проверка 15</t>
  </si>
  <si>
    <t>ИНН заполнен и содержит не менее 3-х символов_проверка 16</t>
  </si>
  <si>
    <t>Прочие услуги (работы) производственного характера Лист 96_движ</t>
  </si>
  <si>
    <t>Прочие услуги производственного характера (собственные) Лист 96_движ</t>
  </si>
  <si>
    <t>Проверка корректности заполнения Лист Затраты_Вход_1</t>
  </si>
  <si>
    <t>Проверка наличия ВГО ИНН лист ОСС</t>
  </si>
  <si>
    <t>Проверка движения 96_движ</t>
  </si>
  <si>
    <t>Проверка наличия себестоимости 91_01_ВГО</t>
  </si>
  <si>
    <t>Проверка наличия себестоимости 90_ОРВГ</t>
  </si>
  <si>
    <t>Проверка движения 91_01_ВГО</t>
  </si>
  <si>
    <t>Проверка движения 58_02_движ</t>
  </si>
  <si>
    <t>Проверка остатков НЗП_ГП</t>
  </si>
  <si>
    <t>Проверка остатков Лист 43 и НЗП_ГП</t>
  </si>
  <si>
    <t>Проверка остатков Лист 41_01 и НЗП_ГП</t>
  </si>
  <si>
    <t>Проверка остатков Лист 21 и НЗП_ГП</t>
  </si>
  <si>
    <t>Проверка остатков Лист ОКХ</t>
  </si>
  <si>
    <t>Проверка остатков Лист 07</t>
  </si>
  <si>
    <t>Проверка остатков Лист 09</t>
  </si>
  <si>
    <t>Проверка остатков Лист 10</t>
  </si>
  <si>
    <t>Проверка остатков Лист 41</t>
  </si>
  <si>
    <t>Проверка если есть «Прочее выбытие» или «Прочее поступление» обязательно должен быть заполнен комментарий Лист 43</t>
  </si>
  <si>
    <t>Проверка если есть «Прочее выбытие» или «Прочее поступление» обязательно должен быть заполнен комментарий Лист 45</t>
  </si>
  <si>
    <t>Проверка остатков Лист 58.02</t>
  </si>
  <si>
    <t>Проверка остатков Лист 60.01</t>
  </si>
  <si>
    <t>Проверка остатков Лист 60.02</t>
  </si>
  <si>
    <t>Проверка остатков Лист 62.01</t>
  </si>
  <si>
    <t>Проверка остатков Лист 62.02</t>
  </si>
  <si>
    <t>Проверка остатков Лист 66</t>
  </si>
  <si>
    <t>Проверка остатков Лист 67</t>
  </si>
  <si>
    <t>Обороты между счетами, заполненные в разных формах должны быть равныДт 20,23,25,26,29 Кт 02 проверка 2</t>
  </si>
  <si>
    <t>Проверка востановленного резерва  91_01, 59_01</t>
  </si>
  <si>
    <t>Проверка востановленного резерва  91_01, 59_02</t>
  </si>
  <si>
    <t>Проверка востановленного резерва  91_01, 59_03</t>
  </si>
  <si>
    <t>Проверка начислленого резерва  91_02, 58_02</t>
  </si>
  <si>
    <t>Обороты между счетами, заполненные в разных формах должны быть равныДт 20,23,25,26,29 Кт 02 проверка 1</t>
  </si>
  <si>
    <t>Проверка начислленого резерва   91_02, 59_01</t>
  </si>
  <si>
    <t>Проверка начислленого резерва  91_02, 59_02</t>
  </si>
  <si>
    <t>Проверка начислленого резерва  91_02, 59_03</t>
  </si>
  <si>
    <t>Проверка корректности заполнения Вида затрат проверка 1</t>
  </si>
  <si>
    <t>Проверка оборотов между счетами 75,84</t>
  </si>
  <si>
    <t>Проверка оборотов между счетами 80,84</t>
  </si>
  <si>
    <t>Проверка правильности расшифровки между листами 10 и 10_расш проверка 1</t>
  </si>
  <si>
    <t>Проверка правильности расшифровки между листами 10 и 10_расш проверка 2</t>
  </si>
  <si>
    <t>Проверка правильности заполнения 10_расш проверка 1</t>
  </si>
  <si>
    <t>Проверка правильности заполнения 10_расш проверка 2</t>
  </si>
  <si>
    <t>Проверка Дт и Кт (Реклассификация (из группы в группу)) Лист 01</t>
  </si>
  <si>
    <t>Проверка Дт и Кт (Реклассификация (из группы в группу)) Лист 02_1</t>
  </si>
  <si>
    <t>Проверка Дт и Кт (Реклассификация (из группы в группу)) Лист 04</t>
  </si>
  <si>
    <t>Проверка Дт и Кт (Реклассификация (из группы в группу)) Лист 05</t>
  </si>
  <si>
    <t>Прочее поступление или выбытие, необходимо заполнить комментарий Лист 01</t>
  </si>
  <si>
    <t>Прочее поступление или выбытие, необходимо заполнить комментарий Лист 04</t>
  </si>
  <si>
    <t>Прочее поступление или выбытие, необходимо заполнить комментарий Лист 08</t>
  </si>
  <si>
    <t>Проверка остатков и оборотов (знаки) Лист 86</t>
  </si>
  <si>
    <t>Проверка остатков Лист 96 проверка 1</t>
  </si>
  <si>
    <t>Проверка остатков Лист 96 проверка 2</t>
  </si>
  <si>
    <t>Проверка остатков Лист 77</t>
  </si>
  <si>
    <t>Проверка остатков Лист 73</t>
  </si>
  <si>
    <t>Проверка остатков Лист 70</t>
  </si>
  <si>
    <t>Проверка остатков Лист 69</t>
  </si>
  <si>
    <t>Проверка остатков Лист 68</t>
  </si>
  <si>
    <t>Проверка остатков Лист 76 проверка 2</t>
  </si>
  <si>
    <t>Проверка остатков Лист 76 проверка 1</t>
  </si>
  <si>
    <t>2118</t>
  </si>
  <si>
    <t>Проверка заполнения прочих оборотов лист 14</t>
  </si>
  <si>
    <t>2145</t>
  </si>
  <si>
    <t>Проверка заполненности ИНН,GID</t>
  </si>
  <si>
    <t>2253</t>
  </si>
  <si>
    <t>2561</t>
  </si>
  <si>
    <t>R5=221040020000</t>
  </si>
  <si>
    <t>R5=221040010000</t>
  </si>
  <si>
    <t>C2=YTD;C1=F_C1;C6=0102;C9=1013</t>
  </si>
  <si>
    <t>C2=YTD;C1=F_C3;C6=0102;C9=1001;C11=V</t>
  </si>
  <si>
    <t>C2=YTD;C1=F_C1;C6=0102;C9=1011</t>
  </si>
  <si>
    <t>C1=F_M0919;C11=1;C2=YTD;C12=0101</t>
  </si>
  <si>
    <t>C1=F_M0919;C11=3;C2=YTD;C12=0101</t>
  </si>
  <si>
    <t>C1=F_M0919;C11=2;C2=YTD;C12=0101</t>
  </si>
  <si>
    <t>C1=F_M0804;C2=YTD;C4=0102</t>
  </si>
  <si>
    <t>R29=2101</t>
  </si>
  <si>
    <t>R29=2104</t>
  </si>
  <si>
    <t>R29=2105</t>
  </si>
  <si>
    <t>R29=2106</t>
  </si>
  <si>
    <t>R29=2107</t>
  </si>
  <si>
    <t>R29=2108</t>
  </si>
  <si>
    <t>R29=2109</t>
  </si>
  <si>
    <t>R29=2110</t>
  </si>
  <si>
    <t>R29=2111</t>
  </si>
  <si>
    <t>R29=2112</t>
  </si>
  <si>
    <t>R29=2113</t>
  </si>
  <si>
    <t>R29=2114</t>
  </si>
  <si>
    <t>R29=2115</t>
  </si>
  <si>
    <t>R29=2116</t>
  </si>
  <si>
    <t>R29=2117</t>
  </si>
  <si>
    <t>R29=2118</t>
  </si>
  <si>
    <t>R29=2119</t>
  </si>
  <si>
    <t>R29=2120</t>
  </si>
  <si>
    <t>R29=2121</t>
  </si>
  <si>
    <t>R29=2204</t>
  </si>
  <si>
    <t>R29=2205</t>
  </si>
  <si>
    <t>R29=2211</t>
  </si>
  <si>
    <t>R29=2212</t>
  </si>
  <si>
    <t>R29=2306</t>
  </si>
  <si>
    <t>R29=2307;R34=V</t>
  </si>
  <si>
    <t>R29=2308</t>
  </si>
  <si>
    <t>R29=2303</t>
  </si>
  <si>
    <t>R29=2301</t>
  </si>
  <si>
    <t>R29=2302</t>
  </si>
  <si>
    <t>C1=F_M0315;C2=YTD;C6=0101</t>
  </si>
  <si>
    <t>C1=F_O1;C2=YTD;C12=0101;C6=10</t>
  </si>
  <si>
    <t>C1=F_O1;C2=YTD;C12=0101;C6=20</t>
  </si>
  <si>
    <t>C1=F_C1;C2=YTD;C12=0101;C6=10</t>
  </si>
  <si>
    <t>C1=F_C2;C2=YTD;C12=0101;C6=10</t>
  </si>
  <si>
    <t>C1=F_C1;C2=YTD;C12=0101;C6=20</t>
  </si>
  <si>
    <t>C1=F_C2;C2=YTD;C12=0101;C6=20</t>
  </si>
  <si>
    <t>C1=F_C2;C5=26141;C2=YTD;C6=0102</t>
  </si>
  <si>
    <t>C1=F_C2;C5=26142;C2=YTD;C6=0102</t>
  </si>
  <si>
    <t>C1=F_C2;C5=26143;C2=YTD;C6=0102</t>
  </si>
  <si>
    <t>C1=F_C2;C5=26144;C2=YTD;C6=0102</t>
  </si>
  <si>
    <t>C1=F_C2;C5=26145;C2=YTD;C6=0102</t>
  </si>
  <si>
    <t>C1=F_C2;C11=1;C3=26143;C2=YTD;C12=0102</t>
  </si>
  <si>
    <t>C1=F_C2;C11=1;C3=26144;C2=YTD;C12=0102</t>
  </si>
  <si>
    <t>C1=F_C2;C11=1;C3=26145;C2=YTD;C12=0102</t>
  </si>
  <si>
    <t>C1=F_C2;C11=1;C3=26141;C2=YTD;C12=0102</t>
  </si>
  <si>
    <t>C1=F_C2;C11=1;C3=26142;C2=YTD;C12=0102</t>
  </si>
  <si>
    <t>C1=F_C1;C2=YTD;C4=0102;C7=2</t>
  </si>
  <si>
    <t>C1=F_C1;C2=YTD;C4=0102;C3=10</t>
  </si>
  <si>
    <t>C1=F_C1;C2=YTD;C4=0102;C8=21</t>
  </si>
  <si>
    <t>C1=F_C1;C2=YTD;C4=0102;C8=22</t>
  </si>
  <si>
    <t>{643} Россия</t>
  </si>
  <si>
    <t>{036} Австралия</t>
  </si>
  <si>
    <t>{040} Австрия</t>
  </si>
  <si>
    <t>{051} Армения</t>
  </si>
  <si>
    <t>{050} Бангладеш</t>
  </si>
  <si>
    <t>{112} Беларусь</t>
  </si>
  <si>
    <t>{056} Бельгия</t>
  </si>
  <si>
    <t>{100} Болгария</t>
  </si>
  <si>
    <t>{076} Бразилия</t>
  </si>
  <si>
    <t>{348} Венгрия</t>
  </si>
  <si>
    <t>{092} Британские Виргинские острова</t>
  </si>
  <si>
    <t>{704} Вьетнам</t>
  </si>
  <si>
    <t>{276} Германия</t>
  </si>
  <si>
    <t>{344} Гонконг</t>
  </si>
  <si>
    <t>{300} Греция</t>
  </si>
  <si>
    <t>{208} Дания</t>
  </si>
  <si>
    <t>{376} Израиль</t>
  </si>
  <si>
    <t>{356} Индия</t>
  </si>
  <si>
    <t>{360} Индонезия</t>
  </si>
  <si>
    <t>{364} Иран</t>
  </si>
  <si>
    <t>{724} Испания</t>
  </si>
  <si>
    <t>{380} Италия</t>
  </si>
  <si>
    <t>{398} Казахстан</t>
  </si>
  <si>
    <t>{124} Канада</t>
  </si>
  <si>
    <t>{196} Кипр</t>
  </si>
  <si>
    <t>{156} Китай</t>
  </si>
  <si>
    <t>{410} Республика Корея</t>
  </si>
  <si>
    <t>{428} Латвия</t>
  </si>
  <si>
    <t>{440} Литва</t>
  </si>
  <si>
    <t>{442} Люксембург</t>
  </si>
  <si>
    <t>{458} Малайзия</t>
  </si>
  <si>
    <t>{528} Нидерланды</t>
  </si>
  <si>
    <t>{578} Норвегия</t>
  </si>
  <si>
    <t>{784} Объединенные Арабские Эмираты</t>
  </si>
  <si>
    <t>{136} Острова Кайман</t>
  </si>
  <si>
    <t>{616} Польша</t>
  </si>
  <si>
    <t>{642} Румыния</t>
  </si>
  <si>
    <t>{688} Сербия</t>
  </si>
  <si>
    <t>{703} Словакия</t>
  </si>
  <si>
    <t>{826} Великобритания</t>
  </si>
  <si>
    <t>{840} США</t>
  </si>
  <si>
    <t>{158} Тайвань</t>
  </si>
  <si>
    <t>{792} Турция</t>
  </si>
  <si>
    <t>{860} Узбекистан</t>
  </si>
  <si>
    <t>{804} Украина</t>
  </si>
  <si>
    <t>{246} Финляндия</t>
  </si>
  <si>
    <t>{250} Франция</t>
  </si>
  <si>
    <t>{191} Хорватия</t>
  </si>
  <si>
    <t>{203} Чешская Республика</t>
  </si>
  <si>
    <t>{756} Швейцария</t>
  </si>
  <si>
    <t>{752} Швеция</t>
  </si>
  <si>
    <t>{233} Эстония</t>
  </si>
  <si>
    <t>{710} Южная Африка</t>
  </si>
  <si>
    <t>{392} Япония</t>
  </si>
  <si>
    <t>{895} Абхазия</t>
  </si>
  <si>
    <t>{031} Азербайджан</t>
  </si>
  <si>
    <t>{008} Албания</t>
  </si>
  <si>
    <t>{012} Алжир</t>
  </si>
  <si>
    <t>{016} Американское Самоа</t>
  </si>
  <si>
    <t>{660} Ангилья</t>
  </si>
  <si>
    <t>{024} Ангола</t>
  </si>
  <si>
    <t>{020} Андорра</t>
  </si>
  <si>
    <t>{010} Антарктида</t>
  </si>
  <si>
    <t>{028} Антигуа и Барбуда</t>
  </si>
  <si>
    <t>{032} Аргентина</t>
  </si>
  <si>
    <t>{533} Аруба</t>
  </si>
  <si>
    <t>{004} Афганистан</t>
  </si>
  <si>
    <t>{044} Багамы</t>
  </si>
  <si>
    <t>{052} Барбадос</t>
  </si>
  <si>
    <t>{048} Бахрейн</t>
  </si>
  <si>
    <t>{084} Белиз</t>
  </si>
  <si>
    <t>{204} Бенин</t>
  </si>
  <si>
    <t>{060} Бермуды</t>
  </si>
  <si>
    <t>{068} Боливия</t>
  </si>
  <si>
    <t>{535} Бонэйр, Синт-Эстатиус и Саба</t>
  </si>
  <si>
    <t>{070} Босния и Герцеговина</t>
  </si>
  <si>
    <t>{072} Ботсвана</t>
  </si>
  <si>
    <t>{086} Британская территория в Индийском океане</t>
  </si>
  <si>
    <t>{096} Бруней-Даруссалам</t>
  </si>
  <si>
    <t>{854} Буркина-Фасо</t>
  </si>
  <si>
    <t>{108} Бурунди</t>
  </si>
  <si>
    <t>{064} Бутан</t>
  </si>
  <si>
    <t>{548} Вануату</t>
  </si>
  <si>
    <t>{862} Венесуэла Боливарианская Республика</t>
  </si>
  <si>
    <t>{850} Виргинские острова, США</t>
  </si>
  <si>
    <t>{266} Габон</t>
  </si>
  <si>
    <t>{328} Гайана</t>
  </si>
  <si>
    <t>{332} Гаити</t>
  </si>
  <si>
    <t>{270} Гамбия</t>
  </si>
  <si>
    <t>{288} Гана</t>
  </si>
  <si>
    <t>{312} Гваделупа</t>
  </si>
  <si>
    <t>{320} Гватемала</t>
  </si>
  <si>
    <t>{624} Гвинея-Бисау</t>
  </si>
  <si>
    <t>{831} Гернси</t>
  </si>
  <si>
    <t>{292} Гибралтар</t>
  </si>
  <si>
    <t>{340} Гондурас</t>
  </si>
  <si>
    <t>{308} Гренада</t>
  </si>
  <si>
    <t>{304} Гренландия</t>
  </si>
  <si>
    <t>{268} Грузия</t>
  </si>
  <si>
    <t>{316} Гуам</t>
  </si>
  <si>
    <t>{832} Джерси</t>
  </si>
  <si>
    <t>{262} Джибути</t>
  </si>
  <si>
    <t>{212} Доминика</t>
  </si>
  <si>
    <t>{214} Доминиканская Республика</t>
  </si>
  <si>
    <t>{818} Египет</t>
  </si>
  <si>
    <t>{894} Замбия</t>
  </si>
  <si>
    <t>{732} Западная Сахара</t>
  </si>
  <si>
    <t>{716} Зимбабве</t>
  </si>
  <si>
    <t>{887} Йемен</t>
  </si>
  <si>
    <t>{400} Иордания</t>
  </si>
  <si>
    <t>{368} Ирак</t>
  </si>
  <si>
    <t>{372} Ирландия</t>
  </si>
  <si>
    <t>{352} Исландия</t>
  </si>
  <si>
    <t>{132} Кабо-Верде</t>
  </si>
  <si>
    <t>{116} Камбоджа</t>
  </si>
  <si>
    <t>{120} Камерун</t>
  </si>
  <si>
    <t>{634} Катар</t>
  </si>
  <si>
    <t>{404} Кения</t>
  </si>
  <si>
    <t>{417} Киргизия</t>
  </si>
  <si>
    <t>{296} Кирибати</t>
  </si>
  <si>
    <t>{166} Кокосовые (Килинг) острова</t>
  </si>
  <si>
    <t>{170} Колумбия</t>
  </si>
  <si>
    <t>{174} Коморы</t>
  </si>
  <si>
    <t>{178} Конго</t>
  </si>
  <si>
    <t>{180} Конго, демократическая республика</t>
  </si>
  <si>
    <t>{408} КНДР</t>
  </si>
  <si>
    <t>{188} Коста-Рика</t>
  </si>
  <si>
    <t>{384} Кот д'Ивуар</t>
  </si>
  <si>
    <t>{192} Куба</t>
  </si>
  <si>
    <t>{414} Кувейт</t>
  </si>
  <si>
    <t>{531} Кюрасао</t>
  </si>
  <si>
    <t>{418} Лаосская Народно-Демократическая Республика</t>
  </si>
  <si>
    <t>{426} Лесото</t>
  </si>
  <si>
    <t>{430} Либерия</t>
  </si>
  <si>
    <t>{422} Ливан</t>
  </si>
  <si>
    <t>{434} Ливия</t>
  </si>
  <si>
    <t>{438} Лихтенштейн</t>
  </si>
  <si>
    <t>{480} Маврикий</t>
  </si>
  <si>
    <t>{478} Мавритания</t>
  </si>
  <si>
    <t>{450} Мадагаскар</t>
  </si>
  <si>
    <t>{175} Майотта</t>
  </si>
  <si>
    <t>{446} Макао</t>
  </si>
  <si>
    <t>{454} Малави</t>
  </si>
  <si>
    <t>{466} Мали</t>
  </si>
  <si>
    <t>{581} Малые Тихоокеанские Отдаленные острова Соединенных Штатов</t>
  </si>
  <si>
    <t>{462} Мальдивы</t>
  </si>
  <si>
    <t>{470} Мальта</t>
  </si>
  <si>
    <t>{504} Марокко</t>
  </si>
  <si>
    <t>{474} Мартиника</t>
  </si>
  <si>
    <t>{584} Маршалловы Острова</t>
  </si>
  <si>
    <t>{484} Мексика</t>
  </si>
  <si>
    <t>{583} Микронезия, федеративные штаты</t>
  </si>
  <si>
    <t>{508} Мозамбик</t>
  </si>
  <si>
    <t>{498} Молдова</t>
  </si>
  <si>
    <t>{492} Монако</t>
  </si>
  <si>
    <t>{496} Монголия</t>
  </si>
  <si>
    <t>{500} Монтсеррат</t>
  </si>
  <si>
    <t>{104} Мьянма</t>
  </si>
  <si>
    <t>{516} Намибия</t>
  </si>
  <si>
    <t>{520} Науру</t>
  </si>
  <si>
    <t>{524} Непал</t>
  </si>
  <si>
    <t>{562} Нигер</t>
  </si>
  <si>
    <t>{566} Нигерия</t>
  </si>
  <si>
    <t>{558} Никарагуа</t>
  </si>
  <si>
    <t>{570} Ниуэ</t>
  </si>
  <si>
    <t>{554} Новая Зеландия</t>
  </si>
  <si>
    <t>{540} Новая Каледония</t>
  </si>
  <si>
    <t>{512} Оман</t>
  </si>
  <si>
    <t>{074} Остров Буве</t>
  </si>
  <si>
    <t>{833} Остров Мэн</t>
  </si>
  <si>
    <t>{574} Остров Норфолк</t>
  </si>
  <si>
    <t>{162} Остров Рождества</t>
  </si>
  <si>
    <t>{334} Остров Херд и острова Макдональд</t>
  </si>
  <si>
    <t>{184} Острова Кука</t>
  </si>
  <si>
    <t>{796} Острова Теркс и Кайкос</t>
  </si>
  <si>
    <t>{586} Пакистан</t>
  </si>
  <si>
    <t>{585} Палау</t>
  </si>
  <si>
    <t>{275} Палестина, государство</t>
  </si>
  <si>
    <t>{591} Панама</t>
  </si>
  <si>
    <t>{336} Папский Престол (Государство - город Ватикан)</t>
  </si>
  <si>
    <t>{598} Папуа Новая Гвинея</t>
  </si>
  <si>
    <t>{600} Парагвай</t>
  </si>
  <si>
    <t>{604} Перу</t>
  </si>
  <si>
    <t>{612} Питкерн</t>
  </si>
  <si>
    <t>{620} Португалия</t>
  </si>
  <si>
    <t>{630} Пуэрто-Рико</t>
  </si>
  <si>
    <t>{807} Республика Македония</t>
  </si>
  <si>
    <t>{638} Реюньон</t>
  </si>
  <si>
    <t>{646} Руанда</t>
  </si>
  <si>
    <t>{882} Самоа</t>
  </si>
  <si>
    <t>{674} Сан-Марино</t>
  </si>
  <si>
    <t>{678} Сан-Томе и Принсипи</t>
  </si>
  <si>
    <t>{682} Саудовская Аравия</t>
  </si>
  <si>
    <t>{748} Свазиленд</t>
  </si>
  <si>
    <t>{654} Святая Елена, остров Вознесения, Тристан-да-Кунья</t>
  </si>
  <si>
    <t>{580} Северные Марианские острова</t>
  </si>
  <si>
    <t>{690} Сейшелы</t>
  </si>
  <si>
    <t>{652} Сен-Бартелеми</t>
  </si>
  <si>
    <t>{686} Сенегал</t>
  </si>
  <si>
    <t>{659} Сен-Китс и Невис</t>
  </si>
  <si>
    <t>{663} Сен-Мартен</t>
  </si>
  <si>
    <t>{534} Сен-Мартен (нидерландская часть)</t>
  </si>
  <si>
    <t>{670} Сент-Винсент и Гренадины</t>
  </si>
  <si>
    <t>{662} Сент-Люсия</t>
  </si>
  <si>
    <t>{666} Сент-Пьер и Микелон</t>
  </si>
  <si>
    <t>{702} Сингапур</t>
  </si>
  <si>
    <t>{760} Сирийская Арабская Республика</t>
  </si>
  <si>
    <t>{705} Словения</t>
  </si>
  <si>
    <t>{090} Соломоновы Острова</t>
  </si>
  <si>
    <t>{706} Сомали</t>
  </si>
  <si>
    <t>{729} Судан</t>
  </si>
  <si>
    <t>{740} Суринам</t>
  </si>
  <si>
    <t>{694} Сьерра-Леоне</t>
  </si>
  <si>
    <t>{762} Таджикистан</t>
  </si>
  <si>
    <t>{764} Таиланд</t>
  </si>
  <si>
    <t>{834} Танзания</t>
  </si>
  <si>
    <t>{626} Тимор-Лесте</t>
  </si>
  <si>
    <t>{768} Того</t>
  </si>
  <si>
    <t>{772} Токелау</t>
  </si>
  <si>
    <t>{776} Тонга</t>
  </si>
  <si>
    <t>{780} Тринидад и Тобаго</t>
  </si>
  <si>
    <t>{798} Тувалу</t>
  </si>
  <si>
    <t>{788} Тунис</t>
  </si>
  <si>
    <t>{795} Туркмения</t>
  </si>
  <si>
    <t>{800} Уганда</t>
  </si>
  <si>
    <t>{876} Уоллис и Футуна</t>
  </si>
  <si>
    <t>{858} Уругвай</t>
  </si>
  <si>
    <t>{234} Фарерские острова</t>
  </si>
  <si>
    <t>{242} Фиджи</t>
  </si>
  <si>
    <t>{608} Филиппины</t>
  </si>
  <si>
    <t>{238} Фолклендские острова (Мальвинские)</t>
  </si>
  <si>
    <t>{254} Французская Гвиана</t>
  </si>
  <si>
    <t>{258} Французская Полинезия</t>
  </si>
  <si>
    <t>{260} Французские Южные территории</t>
  </si>
  <si>
    <t>{140} Центрально-Африканская Республика</t>
  </si>
  <si>
    <t>{148} Чад</t>
  </si>
  <si>
    <t>{499} Черногория</t>
  </si>
  <si>
    <t>{152} Чили</t>
  </si>
  <si>
    <t>{744} Шпицберген и Ян Майен</t>
  </si>
  <si>
    <t>{144} Шри-Ланка</t>
  </si>
  <si>
    <t>{218} Эквадор</t>
  </si>
  <si>
    <t>{226} Экваториальная Гвинея</t>
  </si>
  <si>
    <t>{248} Эландские острова</t>
  </si>
  <si>
    <t>{222} Эль-Сальвадор</t>
  </si>
  <si>
    <t>{232} Эритрея</t>
  </si>
  <si>
    <t>{231} Эфиопия</t>
  </si>
  <si>
    <t>{239} Южная Джорджия и Южные Сандвичевы острова</t>
  </si>
  <si>
    <t>{896} Южная Осетия</t>
  </si>
  <si>
    <t>{728} Южный Судан</t>
  </si>
  <si>
    <t>{388} Ямайка</t>
  </si>
  <si>
    <t>C1=F_C1;C2=90.02;C6=0101;C3=YTD</t>
  </si>
  <si>
    <t>2752</t>
  </si>
  <si>
    <t>Ставки налога на прибыль</t>
  </si>
  <si>
    <t>{1} Общеустановленная ставка</t>
  </si>
  <si>
    <t>Проверка остатков Лист 45 и НЗП_ГП</t>
  </si>
  <si>
    <t>Лист 45 и НЗП_ГП</t>
  </si>
  <si>
    <t>Мурманскому филиалу ФАУ "Российский морской регистр судоходства"</t>
  </si>
  <si>
    <t>ООО "ГОРОДСКАЯ ТЕЛЕРАДИОВЕЩАТЕЛЬНАЯ КОМПАНИЯ "ВЫШНИЙ ВОЛОЧЕК"</t>
  </si>
  <si>
    <t>ООО "ГАЗ" АРГОН-ПЛЮС</t>
  </si>
  <si>
    <t>ГУП "МОСАВТОТРАНС"</t>
  </si>
  <si>
    <t>в т.ч. просроченная</t>
  </si>
  <si>
    <t>{1110000_01001_111_~} Средства, полученные от продажи товаров, работ, услуг ГК "Росатом" в качестве гос заказчика в рамках ФЦП Ядерные энерготехнологии</t>
  </si>
  <si>
    <t>{1110000_01002_111_~} Средства, полученные от продажи товаров, работ, услуг ГК "Росатом" в качестве гос заказчика в рамках ФЦП ЯРБ на 2008 и на период до 2015 гг.</t>
  </si>
  <si>
    <t>{1110000_01003_111_~} Средства, полученные от продажи товаров, работ, услуг ГК "Росатом" в качестве гос заказчика в рамках ФЦП ЯРБ на 2016 год и на период до 2019 года.</t>
  </si>
  <si>
    <t>{1110000_01004_111_~} Средства, полученные от продажи товаров, работ, услуг ГК "Росатом" в качестве гос заказчика ФЦП и ПП</t>
  </si>
  <si>
    <t>{1110000_~_112_~} Средства, полученные от продажи товаров, работ, услуг, прочие гос заказчики</t>
  </si>
  <si>
    <t>{1241161_~_~_~} Платежи за нег. возд. на окр. среду в пределах норм в водные объекты</t>
  </si>
  <si>
    <t>{1241162_~_~_~} Платежи за нег. возд. на окр. среду в пределах норм в атмосферный воздух</t>
  </si>
  <si>
    <t>{1241163_~_~_~} Платежи за нег. возд. на окр. среду в пределах норм за размещение отходов производства и потребления</t>
  </si>
  <si>
    <t>{1241164_~_~_~} Платежи за нег. возд. на окр. среду в пределах норм в подземные горизонты</t>
  </si>
  <si>
    <t>{1241171_~_~_~} Платежи за нег. возд. на окр. среду сверх норм в водные объекты</t>
  </si>
  <si>
    <t>{1241172_~_~_~} Платежи за нег. возд. на окр. среду сверх норм в атмосферный воздух</t>
  </si>
  <si>
    <t>{1241173_~_~_~} Платежи за нег. возд. на окр. среду сверх норм за размещение отходов производства и потребления</t>
  </si>
  <si>
    <t>{1241174_~_~_~} Платежи за нег. возд. на окр. среду сверх норм в подземные горизонты</t>
  </si>
  <si>
    <t>{1299902_~_~_~} Средства (иски) и штрафы, взысканные в возмещение ущерба, причиненного нарушением природоохранного законодательства</t>
  </si>
  <si>
    <t>{3121000_01001_~_1} Бюджетные ассигнования из федерального бюджета в рамках ФЦП Ядерные энерготехнологии</t>
  </si>
  <si>
    <t>{3121000_01002_~_1} Бюджетные ассигнования из федерального бюджета в рамках ФЦП ЯРБ на 2008 и на период до 2015 гг.</t>
  </si>
  <si>
    <t>{3121000_01003_~_1} Бюджетные ассигнования из федерального бюджета в рамках ФЦП ЯРБ на 2016 год и на период до 2019 года.</t>
  </si>
  <si>
    <t>{3121000_01004_~_1} Бюджетные ассигнования из федерального бюджета в рамках иных ФЦП и ПП</t>
  </si>
  <si>
    <t>{1} Контрагент входит в периметр консолидации</t>
  </si>
  <si>
    <t>{2} Задолженность обеспечена поручительством/гарантией</t>
  </si>
  <si>
    <t>{3} Существует высокая вероятность погашения задолженности</t>
  </si>
  <si>
    <t>{4} Бюджет иностранного государства</t>
  </si>
  <si>
    <t>Компании с эффективной долей Госкорпорации "Росатом" более 50%, но по которым планируется мероприятия по отчуждению акций/долей в уставном капитале, или находящиеся  в стадии ликвидации/реорганизации или банкротства</t>
  </si>
  <si>
    <t>{1} Федеральный</t>
  </si>
  <si>
    <t>{2} Бюджет субъектов РФ</t>
  </si>
  <si>
    <r>
      <t>Остаток авансов (</t>
    </r>
    <r>
      <rPr>
        <b/>
        <u/>
        <sz val="10"/>
        <color indexed="9"/>
        <rFont val="Arial"/>
        <family val="2"/>
        <charset val="204"/>
      </rPr>
      <t>включая</t>
    </r>
    <r>
      <rPr>
        <b/>
        <sz val="10"/>
        <color indexed="9"/>
        <rFont val="Arial"/>
        <family val="2"/>
        <charset val="204"/>
      </rPr>
      <t xml:space="preserve"> НДС), полученных от заказчика на конец периода</t>
    </r>
  </si>
  <si>
    <t xml:space="preserve">ФГБУ "АМП Западной Арктики"  </t>
  </si>
  <si>
    <t xml:space="preserve">ФГБОУ ВПО "ГУМРФ имени адмирала С.О. Макарова" </t>
  </si>
  <si>
    <t xml:space="preserve">Космическая связь ФГУП </t>
  </si>
  <si>
    <t xml:space="preserve">УНИЦ "Курчатовский институт" </t>
  </si>
  <si>
    <t>МИК ГАОУ МО СПО</t>
  </si>
  <si>
    <t>ФГБУ ММЦ им. Н.И. Пирогова ФМБА России</t>
  </si>
  <si>
    <t xml:space="preserve">ГОБУЗ "Мурманский областной психоневрологический диспансер" </t>
  </si>
  <si>
    <t>ФГБУ  "Северный ЭО АСР"</t>
  </si>
  <si>
    <t xml:space="preserve">Управление ФСБ России по Мурманской области </t>
  </si>
  <si>
    <t xml:space="preserve">ММУП "Центр временного содержания животных" </t>
  </si>
  <si>
    <t xml:space="preserve">ФГУП ЦНИИ "Центр" </t>
  </si>
  <si>
    <t>ФГУП "ГТ Арктикуголь"</t>
  </si>
  <si>
    <t xml:space="preserve">Федеральное государственное бюджетное учреждение "Морская спасательная служба" Северный филиал   </t>
  </si>
  <si>
    <t>ГОУП "Мурманскводоканал"</t>
  </si>
  <si>
    <t xml:space="preserve">ФГУП "Нацрыбресурс" Мурманский филиал  </t>
  </si>
  <si>
    <t>ФГУП "Росморпорт"</t>
  </si>
  <si>
    <t xml:space="preserve">ФБУ "Служба морской безопасности" УФК по г. Москве </t>
  </si>
  <si>
    <t>УМВД России по Мурманской области ФГКУ УВО</t>
  </si>
  <si>
    <t xml:space="preserve">ФГБУЗ "ЦГ и Э №120" ФМБА России </t>
  </si>
  <si>
    <t>2018_2060</t>
  </si>
  <si>
    <t>ТОО "СП "Бетпак Дала"</t>
  </si>
  <si>
    <t>ТОО "Каратау"</t>
  </si>
  <si>
    <t>АО СП "Заречное</t>
  </si>
  <si>
    <t>КаратауТОО</t>
  </si>
  <si>
    <t>2613</t>
  </si>
  <si>
    <t>1241010_~_~_~</t>
  </si>
  <si>
    <t>Платежи по налогу на добавленную стоимость</t>
  </si>
  <si>
    <t xml:space="preserve"> Возврат косвенных налогов</t>
  </si>
  <si>
    <t>1191100_~_~_~</t>
  </si>
  <si>
    <t>C1=F_M0104;C2=YTD;C4=0103;C5=97</t>
  </si>
  <si>
    <t>R29=1000</t>
  </si>
  <si>
    <t>R29=2000</t>
  </si>
  <si>
    <t>R29=2100</t>
  </si>
  <si>
    <t>R29=2102</t>
  </si>
  <si>
    <t>R29=2103</t>
  </si>
  <si>
    <t>R29=2122</t>
  </si>
  <si>
    <t>R29=2200</t>
  </si>
  <si>
    <t>R29=2201</t>
  </si>
  <si>
    <t>R29=2202</t>
  </si>
  <si>
    <t>R29=2203</t>
  </si>
  <si>
    <t>R29=2206</t>
  </si>
  <si>
    <t>R29=2207</t>
  </si>
  <si>
    <t>R29=2208</t>
  </si>
  <si>
    <t>R29=2209</t>
  </si>
  <si>
    <t>R29=2210</t>
  </si>
  <si>
    <t>R29=2213</t>
  </si>
  <si>
    <t>R29=2214</t>
  </si>
  <si>
    <t>R29=2304</t>
  </si>
  <si>
    <t>R29=2309</t>
  </si>
  <si>
    <t>R29=2300</t>
  </si>
  <si>
    <t>R11=2310400;R31=НЗП_ГП</t>
  </si>
  <si>
    <t>R11=2340100;R31=90.01</t>
  </si>
  <si>
    <t>РХК</t>
  </si>
  <si>
    <t>АО "Русатом Хэлскеа"</t>
  </si>
  <si>
    <t>НПО Центротех</t>
  </si>
  <si>
    <t>Uranium One Technical Services</t>
  </si>
  <si>
    <t xml:space="preserve">СК "Харбинская  компания с ограниченной ответственностью по новым радиационным технологиям Гуанья" </t>
  </si>
  <si>
    <t>АО "Инфраструктура и Сервис РФЯЦ - ВНИИЭФ"</t>
  </si>
  <si>
    <t>УК Нижние котлы</t>
  </si>
  <si>
    <t>ОКБ КИПиА ГХК</t>
  </si>
  <si>
    <t>ООО «ОКБ КИПиА ГХК»</t>
  </si>
  <si>
    <t>ООО АРАКО</t>
  </si>
  <si>
    <t>ООО "АРАКО"</t>
  </si>
  <si>
    <t>ПРЭХ ГХК</t>
  </si>
  <si>
    <t>ООО «ПРЭХ ГХК»</t>
  </si>
  <si>
    <t>ООО "Ремонтно-механический завод Горно-химического комбината"</t>
  </si>
  <si>
    <t>ООО "Санаторий-профилакторий Юбилейный Горно-химического комбината"</t>
  </si>
  <si>
    <t>ООО "Телеком ГХК"</t>
  </si>
  <si>
    <t>Техэнерго-ЭХП</t>
  </si>
  <si>
    <t>ООО "Техэнерго - Электрохимприбор"</t>
  </si>
  <si>
    <t>{14260400} Расходы (услуги) по разработке и анализу нормативно-технической документации, связанной с инженерно-техническим сопровождением работ по совершенствованию систем, условий эксплуатации, по разработке учебно-методических материалов по подготовке оперативного, эксплуатационного и ремонтного персонала</t>
  </si>
  <si>
    <t>{14270500} Услуги по обеспечению надежности функционирования электроэнергетики путем организации отбора исполнителей и оплаты услуг по обеспечению системной надежности, услуг по обеспечению вывода Единой энергетической системы России из аварийных ситуаций и услуг по формированию технологического резерва мощностей</t>
  </si>
  <si>
    <t>{20010250}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прочие расходы</t>
  </si>
  <si>
    <t>{20030400} Оценочные обязательства на выплату проектной премии (сумма выплат)</t>
  </si>
  <si>
    <t>{30500400} Оценочные обязательства на выплату проектной премии (страховые взносы)</t>
  </si>
  <si>
    <t>{52150300} Расходы на световую и иную наружную рекламу, включая изготовление рекламных стендов и рекламных щитов</t>
  </si>
  <si>
    <t>{52150500} Расходы на участие в выставках, ярмарках, экспозициях, на оформление витрин, выставок-продаж, комнат образцов и демонстрационных залов, на уценку товаров, полностью или частично потерявших свои первоначальные качества при экспонировании.</t>
  </si>
  <si>
    <t>{52150610} Расходы на приобретение (изготовление) товарно-материальных ценностей с логотипом;</t>
  </si>
  <si>
    <t>{52410000} Расходы на услуги по предоставлению работников (технического и управленческого персонала) сторонними организациями для участия в производственном процессе, управлении производством либо для выполнения иных функций, связанных с производством и (или) реализацией</t>
  </si>
  <si>
    <t>{1231300} Доходы от восстановления оц.обяз. на выплату проектной премии</t>
  </si>
  <si>
    <t>{1850000} Прочие доходы от ПФИ, не связанные с реализацией базисного актива</t>
  </si>
  <si>
    <t>{1860000} Доходы от переоценки ПФИ по справедливой стоимости</t>
  </si>
  <si>
    <t>{2860000} Расходы от переоценки ПФИ по справедливой стоимости</t>
  </si>
  <si>
    <t>{2930000} Расходы по поддержке территорий присутствия ГК</t>
  </si>
  <si>
    <t>В полях "ИНН" или "GID" не заполнен внешний контрагент_1</t>
  </si>
  <si>
    <t>В полях "ИНН" или "GID" не заполнен внешний контрагент_2</t>
  </si>
  <si>
    <t>В полях "ИНН" или "GID" не заполнен внешний контрагент_3</t>
  </si>
  <si>
    <t>В полях "ИНН" или "GID" не заполнен внешний контрагент_4</t>
  </si>
  <si>
    <t>В полях "ИНН" или "GID" не заполнен внешний контрагент_5</t>
  </si>
  <si>
    <t>В полях "ИНН" или "GID" не заполнен внешний контрагент_7</t>
  </si>
  <si>
    <t>В полях "ИНН" или "GID" не заполнен внешний контрагент_8</t>
  </si>
  <si>
    <t>В полях "ИНН" или "GID" не заполнен внешний контрагент_9</t>
  </si>
  <si>
    <t>В полях "ИНН" или "GID" не заполнен внешний контрагент_10</t>
  </si>
  <si>
    <t>Проверка оборотов между счетами,  Резерв на обеспечение безопасности_1</t>
  </si>
  <si>
    <t>Проверка оборотов между счетами, Резерв на вывод из эксплуатации и НИОКР_1</t>
  </si>
  <si>
    <t>Проверка оборотов между счетами, Резерв на физическую защиту_1</t>
  </si>
  <si>
    <t>Проверка оборотов между счетами, Резерв по обеспечению развития_1</t>
  </si>
  <si>
    <t>Проверка оборотов между счетами, Резерв на захоронение РАО_1</t>
  </si>
  <si>
    <t>Затраты_Вход 2,96_движ</t>
  </si>
  <si>
    <t>{1199004_~_~_~} Проценты, полученные по депозитам со сроком до даты погашения (размещения) три и менее месяцев</t>
  </si>
  <si>
    <t>{252074} Проценты полученные по депозитам со сроком до даты погашения (размещения) три и менее месяцев</t>
  </si>
  <si>
    <t>{252075} Проценты полученные по депозитам со сроком до даты погашения (размещения) более трех месяцев</t>
  </si>
  <si>
    <t>{2010100} Налог на доходы от долевого участия в деятельности организаций, признанные в прошлые годы</t>
  </si>
  <si>
    <t>Физические лица</t>
  </si>
  <si>
    <t>Проверка заполнения ставки %</t>
  </si>
  <si>
    <t>Проверка заполения колонки: "Ставка %"</t>
  </si>
  <si>
    <t>Gladstone PTE Ltd.</t>
  </si>
  <si>
    <t>ФГБУЗ ЦГиЭ № 71 ФМБА России</t>
  </si>
  <si>
    <t>ФГУП "ГУССТ № 8 при Спецстрое России"</t>
  </si>
  <si>
    <t>Проверка правильности заполнения значения аналитик по Группе ФВ на листе 58_01_1</t>
  </si>
  <si>
    <t>Проверка правильности заполнения значения аналитик по Группе ФВ на листе 58_01_2</t>
  </si>
  <si>
    <t>Проверка правильности заполнения значения аналитик по Группе ФВ на листе 58_02_движ</t>
  </si>
  <si>
    <t>Проверка правильности заполнения значения аналитик по Группе ФВ на листе 58_03_1</t>
  </si>
  <si>
    <t>Проверка правильности заполнения значения аналитик по Группе ФВ на листе 58_03_2</t>
  </si>
  <si>
    <t>{14090101} Работы по эксплуатационной разведке, кроме бурения</t>
  </si>
  <si>
    <t>{14090102} Бурение эксплуатационно-разведочных скважин</t>
  </si>
  <si>
    <t>{14090301} Бурение поисковых скважин</t>
  </si>
  <si>
    <t>{14090302} Прочие поисковые работы</t>
  </si>
  <si>
    <t>{14090401} Бурение в рамках оценочных работ</t>
  </si>
  <si>
    <t>{14090402} Прочие ГРР стадии "Оценочные работы”</t>
  </si>
  <si>
    <t>{14090501} Разведочное бурение</t>
  </si>
  <si>
    <t>{14090502} Прочие работы стадии "Разведка месторождения"</t>
  </si>
  <si>
    <t>{14090601} Доразведочное бурение</t>
  </si>
  <si>
    <t>{14090602} Прочие работы по доразведке</t>
  </si>
  <si>
    <t>{14180500} Расходы на выдачу молока и лечебно-профилактического питания</t>
  </si>
  <si>
    <t>{14270200} Услуги по передаче электрической энергии (мощности) по электрическим сетям, принадлежащим на праве собственности или ином законном основании территориальным сетевым (иным) организациям</t>
  </si>
  <si>
    <t>{14310100} Бурение технических скважин</t>
  </si>
  <si>
    <t>{14310200} Бурение технологических (в т.ч. взрывных) скважин</t>
  </si>
  <si>
    <t>{14310300} Прочие виды буровых работ</t>
  </si>
  <si>
    <t>{14320000} Закладочные работы</t>
  </si>
  <si>
    <t>{52230200} Консультационные услуги по бухгалтерскому, налоговому учету и МСФО</t>
  </si>
  <si>
    <t>Возмещение</t>
  </si>
  <si>
    <t>Счет 78. Расчеты с участниками КГН; Счет 68. Расчеты по налогам и сборам</t>
  </si>
  <si>
    <t>Уплата</t>
  </si>
  <si>
    <t>68, ДДС_приложение</t>
  </si>
  <si>
    <t>Проверка использования корректных видов движения денежных средств по расчётам по налогам (кроме налога на прибыль компаний КГН)</t>
  </si>
  <si>
    <t>Проверка использования ГИДа 10018 - "НДС с авансов"</t>
  </si>
  <si>
    <t>Проверка использования ГИД - 10015 и ИНН "ВНЕШНИЕ КОНТРАГЕНТЫ"</t>
  </si>
  <si>
    <t>Проверка соответствия аналитик</t>
  </si>
  <si>
    <t>Проверка, что ИНН "внешние контрагенты" не превышает 5% от общей суммы задолженности или 10 млн. рублей</t>
  </si>
  <si>
    <t>{2610200} Расходы на проведение культурно-массовых мероприятий</t>
  </si>
  <si>
    <t>НДС с авансов</t>
  </si>
  <si>
    <t>66,67, ДДС_приложение</t>
  </si>
  <si>
    <t>Проверка оборотов между счетами,  Погашение займов и кредитов (без процентов)</t>
  </si>
  <si>
    <t>Проверка оборотов между счетами,  Привлечение займов и кредитов (без процентов)</t>
  </si>
  <si>
    <t>Внешние контрагенты (5%)</t>
  </si>
  <si>
    <t>Сумма выручки, признанная накопленным итогом в отчете о прибылях и убытках с начала оказания услуг (без НДС)</t>
  </si>
  <si>
    <t>Выручка, признанная за отчетный период (без НДС)</t>
  </si>
  <si>
    <t>В колонке Прочие обороты в ФСД должны отражаться суммы рекласса, итог должен быть равен 0</t>
  </si>
  <si>
    <t>{02} НДС, {03} Акцизы</t>
  </si>
  <si>
    <t>Контроль по расчётам по налогам и сборам, по бюджетным ассигнованиям, целевому финансированию, поступлению от эмиссии акций или иных долевых бумаг и выплате дивидендов</t>
  </si>
  <si>
    <t>Бюджетные ассигнования и целевое финансирование</t>
  </si>
  <si>
    <t>все остальное</t>
  </si>
  <si>
    <t>все</t>
  </si>
  <si>
    <t>не важно</t>
  </si>
  <si>
    <t>все, что седержит слово "резерв"</t>
  </si>
  <si>
    <t>Проверка по бюджетным ассигнованиям, целевому финансированию, поступлению от эмиссии акций или иных долевых бумаг и выплате дивидендов</t>
  </si>
  <si>
    <t>86, 75_01, 75_02, ДДС_приложение</t>
  </si>
  <si>
    <t>{10610} Оц.обяз.на выплату проектной премии (сумма выплаты)</t>
  </si>
  <si>
    <t>{10620} Оц.обяз.на выплату проектной премии (сумма страховых взносов)</t>
  </si>
  <si>
    <t>{10600} Оценочные обязательства на выплату проектной премии</t>
  </si>
  <si>
    <t>Оц.обяз.на выплату проектной премии (сумма страховых взносов)</t>
  </si>
  <si>
    <t>Оц.обяз.на выплату проектной премии (сумма выплаты)</t>
  </si>
  <si>
    <t>{52230400} Консультационные услуги, прочие</t>
  </si>
  <si>
    <t>{HUF} Венгерский форинт (тыс. )</t>
  </si>
  <si>
    <t>{EUR} Евро (тыс. )</t>
  </si>
  <si>
    <t>{CZK} Чешская крона (тыс. )</t>
  </si>
  <si>
    <t>{AUD} Австралийский доллар (тыс. )</t>
  </si>
  <si>
    <t>{BYN} Белорусский рубль (тыс. )</t>
  </si>
  <si>
    <t>{DKK} Датская крона (тыс. )</t>
  </si>
  <si>
    <t xml:space="preserve">{ISK} Исландская крона (тыс. ) </t>
  </si>
  <si>
    <t xml:space="preserve">{KZT} Казахский тенге (тыс. ) </t>
  </si>
  <si>
    <t>{CAD} Канадский доллар (тыс. )</t>
  </si>
  <si>
    <t>{CNY} Китайский юань (тыс. )</t>
  </si>
  <si>
    <t>{NOK} Норвежская крона (тыс. )</t>
  </si>
  <si>
    <t>{SGD}  Сингапурский доллар (тыс. )</t>
  </si>
  <si>
    <t>{TRY} Турецкая лира (тыс. )</t>
  </si>
  <si>
    <t>{UAH} Украинская гривна (тыс. )</t>
  </si>
  <si>
    <t>{GBP} Фунт стерлингов (тыс. )</t>
  </si>
  <si>
    <t>{SEK} Шведская крона (тыс. )</t>
  </si>
  <si>
    <t>{CHF} Швейцарский франк (тыс. )</t>
  </si>
  <si>
    <t>{JPY} Японская иена (тыс. )</t>
  </si>
  <si>
    <t>{AZN} Азербайджанский манат (тыс. )</t>
  </si>
  <si>
    <t>{DZD} Алжирский динар (тыс. )</t>
  </si>
  <si>
    <t>{ARS} Аргентинское песо (тыс. )</t>
  </si>
  <si>
    <t>{AMD} Армянский драм (тыс. )</t>
  </si>
  <si>
    <t>{AWG} Арубанский гульден (тыс. )</t>
  </si>
  <si>
    <t>{AFN} Афгани (тыс. )</t>
  </si>
  <si>
    <t>{BSD} Багамский доллар (тыс. )</t>
  </si>
  <si>
    <t>{PAB} Бальбоа (тыс. )</t>
  </si>
  <si>
    <t>{BBD} Барбадосский доллар (тыс. )</t>
  </si>
  <si>
    <t>{THB} Бат (тыс. )</t>
  </si>
  <si>
    <t>{BHD} Бахрейнский динар (тыс. )</t>
  </si>
  <si>
    <t>{BZD} Белизский доллар (тыс. )</t>
  </si>
  <si>
    <t>{BMD} Бермудский доллар (тыс. )</t>
  </si>
  <si>
    <t>{BGN} Болгарский лев (тыс. )</t>
  </si>
  <si>
    <t>{VEB} Боливар (тыс. )</t>
  </si>
  <si>
    <t>{VEF} Боливар фуэрте (тыс. )</t>
  </si>
  <si>
    <t>{BOB} Боливиано (тыс. )</t>
  </si>
  <si>
    <t>{BRL} Бразильский реал (тыс. )</t>
  </si>
  <si>
    <t>{BND} Брунейский доллар (тыс. )</t>
  </si>
  <si>
    <t>{BIF} Бурундийский франк (тыс. )</t>
  </si>
  <si>
    <t>{VUV} Вату (тыс. )</t>
  </si>
  <si>
    <t>{KRW} Вона (тыс. )</t>
  </si>
  <si>
    <t>{XCD} Восточно-карибский доллар (тыс. )</t>
  </si>
  <si>
    <t>{GYD} Гайанский доллар (тыс. )</t>
  </si>
  <si>
    <t>{GNF} Гвинейский франк (тыс. )</t>
  </si>
  <si>
    <t>{GIP} Гибралтарский фунт (тыс. )</t>
  </si>
  <si>
    <t>{HKD} Гонконгский доллар (тыс. )</t>
  </si>
  <si>
    <t>{PYG} Гуарани (тыс. )</t>
  </si>
  <si>
    <t>{HTG} Гурд (тыс. )</t>
  </si>
  <si>
    <t>{GMD} Даласи (тыс. )</t>
  </si>
  <si>
    <t>{MKD} Денар (тыс. )</t>
  </si>
  <si>
    <t>{AED} Дирхам (ОАЭ) (тыс. )</t>
  </si>
  <si>
    <t>{STD} Добра (тыс. )</t>
  </si>
  <si>
    <t>{ZWD} Доллар Зимбабве (тыс. )</t>
  </si>
  <si>
    <t>{ZWL} Доллар Зимбабве (тыс. )</t>
  </si>
  <si>
    <t>{NAD} Доллар Намибии (тыс. )</t>
  </si>
  <si>
    <t>{KYD} Доллар Островов Кайман (тыс. )</t>
  </si>
  <si>
    <t>{JMD} Ямайский доллар (тыс. )</t>
  </si>
  <si>
    <t>{ETB} Эфиопский быр (тыс. )</t>
  </si>
  <si>
    <t>{CVE} Эскудо Кабо-Верде (тыс. )</t>
  </si>
  <si>
    <t>{LKR} Шри-Ланкийская рупия (тыс. )</t>
  </si>
  <si>
    <t>{CLР} Чилийское песо (тыс. )</t>
  </si>
  <si>
    <t>{HRK} Хорватская куна (тыс. )</t>
  </si>
  <si>
    <t>{FKP} Фунт Фолклендских островов (тыс. )</t>
  </si>
  <si>
    <t>{SHP} Фунт Святой Елены. (тыс. )</t>
  </si>
  <si>
    <t>{RWF} Франк Руанды (тыс. )</t>
  </si>
  <si>
    <t>{XPF} Франк КФП (тыс. )</t>
  </si>
  <si>
    <t>{XOF} Франк КФА ВСЕАО (тыс. )</t>
  </si>
  <si>
    <t>{XAF} Франк КФА ВЕАС (тыс. )</t>
  </si>
  <si>
    <t>{KMF} Франк Комор (тыс. )</t>
  </si>
  <si>
    <t>{DJF} Франк Джибути (тыс. )</t>
  </si>
  <si>
    <t>{HUF} Форинт (тыс. )</t>
  </si>
  <si>
    <t>{PНP} Филиппинское песо (тыс. )</t>
  </si>
  <si>
    <t>{UYI} Уругвайское песо в индексированных единицах (тыс. )</t>
  </si>
  <si>
    <t>{UYU} Уругвайское песо (тыс. )</t>
  </si>
  <si>
    <t>{UZS} Узбекский сум (тыс. )</t>
  </si>
  <si>
    <t>{MRO} Угия (тыс. )</t>
  </si>
  <si>
    <t>{UGX} Угандийский шиллинг (тыс. )</t>
  </si>
  <si>
    <t>{TND} Тунисский динар (тыс. )</t>
  </si>
  <si>
    <t>{MNT} Тугрик (тыс. )</t>
  </si>
  <si>
    <t>{TZS} Танзанийский шиллинг (тыс. )</t>
  </si>
  <si>
    <t>{WST} Тала (тыс. )</t>
  </si>
  <si>
    <t>{SBD} Доллар Соломоновых Островов (тыс. )</t>
  </si>
  <si>
    <t>{TTD} Доллар Тринидада и Тобаго (тыс. )</t>
  </si>
  <si>
    <t>{FJD} Доллар Фиджи (тыс. )</t>
  </si>
  <si>
    <t>{DOP} Доминиканское песо (тыс. )</t>
  </si>
  <si>
    <t>{VND} Донг (тыс. )</t>
  </si>
  <si>
    <t>{COU} Единица реальной стоимости (тыс. )</t>
  </si>
  <si>
    <t>{ZMK} Замбийская квача (тыс. )</t>
  </si>
  <si>
    <t>{PLN} Злотый (тыс. )</t>
  </si>
  <si>
    <t>{NIO} Золотая кордоба (тыс. )</t>
  </si>
  <si>
    <t>{INR} Индийская рупия (тыс. )</t>
  </si>
  <si>
    <t>{JOD} Иорданский динар (тыс. )</t>
  </si>
  <si>
    <t>{IQD} Иракский динар (тыс. )</t>
  </si>
  <si>
    <t>{IRR} Иранский риал (тыс. )</t>
  </si>
  <si>
    <t>{YER} Йеменский риал (тыс. )</t>
  </si>
  <si>
    <t>{QAR} Катарский риал (тыс. )</t>
  </si>
  <si>
    <t>{AOA} Кванза (тыс. )</t>
  </si>
  <si>
    <t>{MWK} Квача (тыс. )</t>
  </si>
  <si>
    <t>{KES} Кенийский шиллинг (тыс. )</t>
  </si>
  <si>
    <t>{GTQ} Кетсаль (тыс. )</t>
  </si>
  <si>
    <t>{PGK} Кина (тыс. )</t>
  </si>
  <si>
    <t>{LAK} Кип (тыс. )</t>
  </si>
  <si>
    <t>{CYP} Кипрский фунт (тыс. )</t>
  </si>
  <si>
    <t>{COP} Колумбийское песо (тыс. )</t>
  </si>
  <si>
    <t>{BAM} Конвертируемая марка (тыс. )</t>
  </si>
  <si>
    <t>{CUC} Конвертируемое песо (тыс. )</t>
  </si>
  <si>
    <t>{CDF} Конголезский франк (тыс. )</t>
  </si>
  <si>
    <t>{CRC} Костариканский колон (тыс. )</t>
  </si>
  <si>
    <t>{EEK} Крона (тыс. )</t>
  </si>
  <si>
    <t>{CUP} Кубинское песо (тыс. )</t>
  </si>
  <si>
    <t>{KWD} Кувейтский динар (тыс. )</t>
  </si>
  <si>
    <t>{MMK} Кьят (тыс. )</t>
  </si>
  <si>
    <t>{GEL} Лари (тыс. )</t>
  </si>
  <si>
    <t>{LVL} Латвийский лат (тыс. )</t>
  </si>
  <si>
    <t>{ALL} Лек (тыс. )</t>
  </si>
  <si>
    <t>{SLL} Леоне (тыс. )</t>
  </si>
  <si>
    <t>{LRD} Либерийский доллар (тыс. )</t>
  </si>
  <si>
    <t>{LBP} Ливанский фунт (тыс. )</t>
  </si>
  <si>
    <t>{LYD} Ливийский динар (тыс. )</t>
  </si>
  <si>
    <t>{SZL} Лилангени (тыс. )</t>
  </si>
  <si>
    <t>{LTL} Литовский лит (тыс. )</t>
  </si>
  <si>
    <t>{LSL} Лоти (тыс. )</t>
  </si>
  <si>
    <t>{MUR} Маврикийская рупия (тыс. )</t>
  </si>
  <si>
    <t>{MGA} Малагасийский ариари (тыс. )</t>
  </si>
  <si>
    <t>{MYR} Малайзийский ринггит (тыс. )</t>
  </si>
  <si>
    <t>{MTL} Мальтийская лира (тыс. )</t>
  </si>
  <si>
    <t>{TMM} Манат (тыс. )</t>
  </si>
  <si>
    <t>{MAD} Марокканский дирхам (тыс. )</t>
  </si>
  <si>
    <t>{MXN} Мексиканское песо (тыс. )</t>
  </si>
  <si>
    <t>{MZN} Метикал (тыс. )</t>
  </si>
  <si>
    <t>{MDL} Молдавский лей (тыс. )</t>
  </si>
  <si>
    <t>{NGN} Найра (тыс. )</t>
  </si>
  <si>
    <t>{ERN} Накфа (тыс. )</t>
  </si>
  <si>
    <t>{BTN} Нгултрум (тыс. )</t>
  </si>
  <si>
    <t>{NPR} Непальская рупия (тыс. )</t>
  </si>
  <si>
    <t>{ANG} Нидерландский антильский гульден (тыс. )</t>
  </si>
  <si>
    <t>{NZD} Новозеландский доллар (тыс. )</t>
  </si>
  <si>
    <t>{ILS} Новый израильский шекель (тыс. )</t>
  </si>
  <si>
    <t>{RON} Новый лей (тыс. )</t>
  </si>
  <si>
    <t>{TMT} Новый манат (тыс. )</t>
  </si>
  <si>
    <t>{PEN} Новый соль (тыс. )</t>
  </si>
  <si>
    <t>{TWD} Новый тайваньский доллар (тыс. )</t>
  </si>
  <si>
    <t>{OMR} Оманский риал (тыс. )</t>
  </si>
  <si>
    <t>{TOP} Паанга (тыс. )</t>
  </si>
  <si>
    <t>{PKR} Пакистанская рупия (тыс. )</t>
  </si>
  <si>
    <t>{BDT} Така (тыс. )</t>
  </si>
  <si>
    <t>{SRD} Суринамский доллар (тыс. )</t>
  </si>
  <si>
    <t>{SDG} Суданский фунт (тыс. )</t>
  </si>
  <si>
    <t>{TJS} Сомони (тыс. )</t>
  </si>
  <si>
    <t>{SOS} Сомалийский шиллинг (тыс. )</t>
  </si>
  <si>
    <t>{KGS} Сом (тыс. )</t>
  </si>
  <si>
    <t>{SKK} Словацкая крона (тыс. )</t>
  </si>
  <si>
    <t>{SYP} Сирийский фунт (тыс. )</t>
  </si>
  <si>
    <t>{RSD} Сербский динар (тыс. )</t>
  </si>
  <si>
    <t>{SCR} Сейшельская рупия (тыс. )</t>
  </si>
  <si>
    <t>{GHS} Седи (тыс. )</t>
  </si>
  <si>
    <t>{MOP} Патака (тыс. )</t>
  </si>
  <si>
    <t>{GWP} Песо Гвинеи-Бисау (тыс. )</t>
  </si>
  <si>
    <t>{BWP} Пула (тыс. )</t>
  </si>
  <si>
    <t>{KHR} Риель (тыс. )</t>
  </si>
  <si>
    <t>{IDR} Рупия (тыс. )</t>
  </si>
  <si>
    <t>{MVR} Руфия (тыс. )</t>
  </si>
  <si>
    <t>{ZAR} Рэнд (тыс. )</t>
  </si>
  <si>
    <t>{SVC} Сальвадорский колон (тыс. )</t>
  </si>
  <si>
    <t>{SAR} Саудовский риял (тыс. )</t>
  </si>
  <si>
    <t>{XDR} СДР (специальные права заимствования) (тыс. )</t>
  </si>
  <si>
    <t>{KPW} Северокорейская вона (тыс. )</t>
  </si>
  <si>
    <t>{GHC} Седи (тыс. )</t>
  </si>
  <si>
    <t>C1=F_M0210;C2=YTD;C4=0101</t>
  </si>
  <si>
    <t>14.07</t>
  </si>
  <si>
    <t>14.08</t>
  </si>
  <si>
    <t>{23} Отложенный налоговый актив по резерву под обесценение ОНС и оборудования к установке</t>
  </si>
  <si>
    <t>Резерв под обесценение ОНС и оборудования к установке</t>
  </si>
  <si>
    <t>Проверка использования аналитик на листе 76</t>
  </si>
  <si>
    <t>Зачёт между видами налогов в сумме должен быть равен нулю</t>
  </si>
  <si>
    <t>R29=2123</t>
  </si>
  <si>
    <t>АО "Атомредметзолото"</t>
  </si>
  <si>
    <t>{52110900} Информационные услуги, предоставляемые посредством электронных каналов (сторонние организации)</t>
  </si>
  <si>
    <t>{52111000} Аренда ИТ-оборудования</t>
  </si>
  <si>
    <t>{52111100} Расходные материалы для ИТ</t>
  </si>
  <si>
    <t>{52230100} Консультационные ИТ-услуги</t>
  </si>
  <si>
    <t>{52230300} Консультационные услуги, связанные с обучением и развитием персонала</t>
  </si>
  <si>
    <t>{2416000} Расходы на улучшение жилищных условий</t>
  </si>
  <si>
    <t>№ п/п</t>
  </si>
  <si>
    <t>Дата внесения изменения</t>
  </si>
  <si>
    <t>На каком листе сделано изменение</t>
  </si>
  <si>
    <t>Что поменялось</t>
  </si>
  <si>
    <t>Описание ошибки/исправления</t>
  </si>
  <si>
    <t>Версия патча, в которой отражено изменение</t>
  </si>
  <si>
    <t xml:space="preserve">{11} Расчеты по взносам на социальное страхование
</t>
  </si>
  <si>
    <t xml:space="preserve">{22} Расчеты с Пенсионным фондом РФ по накопительной части трудовой пенсии 
</t>
  </si>
  <si>
    <t xml:space="preserve">{23} Расчеты с Пенсионным фондом РФ по дополнительным страховым взносам на накопительную часть трудовой пенсии
</t>
  </si>
  <si>
    <t xml:space="preserve">{24} Расчеты с Пенсионным фондом РФ по дополнительному тарифу за работу с (особо) вредными и (особо) тяжелыми условиями труда (список 1) без спец оценки
</t>
  </si>
  <si>
    <t xml:space="preserve">{25} Расчеты с Пенсионным фондом РФ по дополнительному тарифу за работу с вредными и тяжелыми условиями труда (список 2) без спец оценки
</t>
  </si>
  <si>
    <t>{29} Расчеты с Пенсионным Фондом по дополнительному тарифу за работу с (особо) вредными и (особо) тяжелыми условиями труда (список 1) подтв. спец.оценкой</t>
  </si>
  <si>
    <t>{42} Расчеты с ПФ по доп. тарифу за  работу с вредными и тяжелыми условиями труда (список 2) подтв. спец.оценкой</t>
  </si>
  <si>
    <t>_2145</t>
  </si>
  <si>
    <t>{12030200} Бензин (покупной) для транспортных средств</t>
  </si>
  <si>
    <t>{12030700} Масла и смазочные материалы (покупные), используемые для транспортных средств</t>
  </si>
  <si>
    <t>{12030800} Масла и смазочные материалы (покупные), кроме используемых для транспортных средств</t>
  </si>
  <si>
    <t>{14180200} Обязательное мед. освидетельствование для водителей транспорта</t>
  </si>
  <si>
    <t>{16030700} Масла и смазочные материалы (собственные), используемые для транспортных средств</t>
  </si>
  <si>
    <t>{16030800} Масла и смазочные материалы (собственные), кроме используемых для транспортных средств</t>
  </si>
  <si>
    <t>{40040000} Амортизация ОС, приобретенных за счет отраслевых резервов, субсидий и МТП</t>
  </si>
  <si>
    <t>{40050000} Амортизация НМА, приобретенных за счет отраслевых резервов, субсидий и МТП</t>
  </si>
  <si>
    <t>{52030800} КАСКО</t>
  </si>
  <si>
    <t>{52030900} ДСАГО</t>
  </si>
  <si>
    <t>{52260300} Расходы на ремонт служебного транспорта</t>
  </si>
  <si>
    <t>{52260400} Расходы на ТО служебного транспорта</t>
  </si>
  <si>
    <t>{1030300} Доходы в сумме превышения согласованной учредителями стоимости имущества, переданного в уставный капитал и его балансовой стоимостью (с учетом восстановленного НДС)</t>
  </si>
  <si>
    <t>{2030300} Расходы в виде разницы между согласованной учредителями стоимостью имущества, переданного в уставный капитал и балансовой стоимостью (с учетом восстановленного НДС</t>
  </si>
  <si>
    <t>{2141000} Амортизация и расходы по содержанию объектов, признанных в установленном порядке непрофильными, до момента их реализации или передачи</t>
  </si>
  <si>
    <t>{2320100} Безвозмездная финансовая помощь между материнской и дочерней организацией, в т.ч. на пополнение чистых активов</t>
  </si>
  <si>
    <t>{2320200} Безвозмездная передача (включая передачу в безвозмездное пользование) непрофильных активов в адрес государственных, муниципальных органов и НКО по согласованию с Госкорпорацией «Росатом»</t>
  </si>
  <si>
    <t>{2620100} Расходы по благотворительной деятельности согласно программе, согласованной комитетом по благотворительной деятельности Госкорпорации «Росатом» и соответствующие закону «О благотворительной деятельности и благотворительной организации</t>
  </si>
  <si>
    <t>{2620200} Расходы на благотворительность (прочие)</t>
  </si>
  <si>
    <t>{2850000} Прочие расходы по ПФИ, не связанные с реализацией базисного актива</t>
  </si>
  <si>
    <t>{2910000} Расходы на содержание временно неиспользуемого имущества (в т.ч. Арендованных объектов)</t>
  </si>
  <si>
    <t>{31} Предоставленные займы (кроме операций кэш пулинга)</t>
  </si>
  <si>
    <t>{33} Предоставленные займы в рамках операций кэш пулинга</t>
  </si>
  <si>
    <t>Проверка суммы авансов между листами (сравнивается сумма в целом по всему договору, номера договоров и даты на листах должны совпадать)</t>
  </si>
  <si>
    <t>{12} Займы в рамках операций кэш пулинга</t>
  </si>
  <si>
    <t>{10} Займы (кроме операций кэш пулинга)</t>
  </si>
  <si>
    <t>{21} Налоги и сборы социального характера в иностранный бюджет</t>
  </si>
  <si>
    <t>{89} Налоги, удержанные и уплаченные в бюджет другими организациями (кроме налога на прибыль)</t>
  </si>
  <si>
    <t>{3} Налог на прибыль у источника, удержанный и уплаченный с доходов других организаций (кроме налога с дивидендов)</t>
  </si>
  <si>
    <t>{5231400_~_~_~} Возврат пул-лидером средств займов по договорам кэш пулинга</t>
  </si>
  <si>
    <t>{4} Налог на прибыль (агентский), удержанный и уплаченный в бюджет другими организациями (кроме налога с дивидендов)</t>
  </si>
  <si>
    <t>Нижние котлы - ДУ</t>
  </si>
  <si>
    <t>-</t>
  </si>
  <si>
    <t>Проверка правильности использования аналитик</t>
  </si>
  <si>
    <t>Проверка использования аналитик на листе 76_01_%</t>
  </si>
  <si>
    <t>Сумма аванса в целом по всему договору на листе "Долгосроч_договоры" (суммируются все компании, кроме входящих в периметр АЭПК)</t>
  </si>
  <si>
    <t>Общероссийский классификатор территорий муниципальных образований. ОК 033-2013</t>
  </si>
  <si>
    <t>{87000000} Республика Коми</t>
  </si>
  <si>
    <t>Страны мира</t>
  </si>
  <si>
    <t>_6001</t>
  </si>
  <si>
    <t>_2752</t>
  </si>
  <si>
    <t>{AB} Абхазия</t>
  </si>
  <si>
    <t>{AD} Андорра</t>
  </si>
  <si>
    <t>{AE} ОАЭ</t>
  </si>
  <si>
    <t>{AF} Афганистан</t>
  </si>
  <si>
    <t>{AG} Антигуа/Бар</t>
  </si>
  <si>
    <t>{AI} Ангилья</t>
  </si>
  <si>
    <t>{AL} Албания</t>
  </si>
  <si>
    <t>{AM} Армения</t>
  </si>
  <si>
    <t>{AN} Антил.(Нид</t>
  </si>
  <si>
    <t>{AO} Ангола</t>
  </si>
  <si>
    <t>{AQ} Антарктика</t>
  </si>
  <si>
    <t>{AR} Аргентина</t>
  </si>
  <si>
    <t>{AS} Амер.Самоа</t>
  </si>
  <si>
    <t>{AT} Австрия</t>
  </si>
  <si>
    <t>{AU} Австралия</t>
  </si>
  <si>
    <t>{AW} Аруба</t>
  </si>
  <si>
    <t>{AX} Эландскиео</t>
  </si>
  <si>
    <t>{AZ} Азербайджан</t>
  </si>
  <si>
    <t>{BA} Босния-Герц</t>
  </si>
  <si>
    <t>{BB} Барбадос</t>
  </si>
  <si>
    <t>{BD} Бангладеш</t>
  </si>
  <si>
    <t>{BE} Бельгия</t>
  </si>
  <si>
    <t>{BF} Буркина-Фас</t>
  </si>
  <si>
    <t>{BG} Болгария</t>
  </si>
  <si>
    <t>{BH} Бахрейн</t>
  </si>
  <si>
    <t>{BI} Бурунди</t>
  </si>
  <si>
    <t>{BJ} Бенин</t>
  </si>
  <si>
    <t>{BL} Сен-Бартеле</t>
  </si>
  <si>
    <t>{BM} Бермудcкие</t>
  </si>
  <si>
    <t>{BN} Бруней</t>
  </si>
  <si>
    <t>{BO} Боливия</t>
  </si>
  <si>
    <t>{BQ} Бонэйр</t>
  </si>
  <si>
    <t>{BR} Бразилия</t>
  </si>
  <si>
    <t>{BS} Багамcкиео</t>
  </si>
  <si>
    <t>{BT} Бутан</t>
  </si>
  <si>
    <t>{BV} о.Буве</t>
  </si>
  <si>
    <t>{BW} Ботсвана</t>
  </si>
  <si>
    <t>{BY} Беларусь</t>
  </si>
  <si>
    <t>{BZ} Белиз</t>
  </si>
  <si>
    <t>{CA} Канада</t>
  </si>
  <si>
    <t>{CC} Кокосовыео</t>
  </si>
  <si>
    <t>{CD} Респ.Конго</t>
  </si>
  <si>
    <t>{CF} ЦАР</t>
  </si>
  <si>
    <t>{CG} Конго</t>
  </si>
  <si>
    <t>{CH} Швейцария</t>
  </si>
  <si>
    <t>{CI} Кот-д'Ивуар</t>
  </si>
  <si>
    <t>{CK} О-ваКука</t>
  </si>
  <si>
    <t>{CL} Чили</t>
  </si>
  <si>
    <t>{CM} Камерун</t>
  </si>
  <si>
    <t>{CN} Китай</t>
  </si>
  <si>
    <t>{CO} Колумбия</t>
  </si>
  <si>
    <t>{CR} Коста-Рика</t>
  </si>
  <si>
    <t>{CS} Серб./Черногор</t>
  </si>
  <si>
    <t>{CU} Куба</t>
  </si>
  <si>
    <t>{CV} Кабо-Верде</t>
  </si>
  <si>
    <t>{CW} Кюрасао</t>
  </si>
  <si>
    <t>{CX} О.Рождеств</t>
  </si>
  <si>
    <t>{CY} Кипр</t>
  </si>
  <si>
    <t>{CZ} Чехия</t>
  </si>
  <si>
    <t>{DE} Германия</t>
  </si>
  <si>
    <t>{DJ} Джибути</t>
  </si>
  <si>
    <t>{DK} Дания</t>
  </si>
  <si>
    <t>{DM} Доминика</t>
  </si>
  <si>
    <t>{DO} Доминик.ре</t>
  </si>
  <si>
    <t>{DZ} Алжир</t>
  </si>
  <si>
    <t>{EC} Эквадор</t>
  </si>
  <si>
    <t>{EE} Эстония</t>
  </si>
  <si>
    <t>{EG} Египет</t>
  </si>
  <si>
    <t>{EH} Зап.-сахарс</t>
  </si>
  <si>
    <t>{ER} Эритрея</t>
  </si>
  <si>
    <t>{ES} Испания</t>
  </si>
  <si>
    <t>{ET} Эфиопия</t>
  </si>
  <si>
    <t>{EU} Европ.Союз</t>
  </si>
  <si>
    <t>{FI} Финляндия</t>
  </si>
  <si>
    <t>{FJ} Фиджи</t>
  </si>
  <si>
    <t>{FK} Фолкленд.о</t>
  </si>
  <si>
    <t>{FM} Микронезия</t>
  </si>
  <si>
    <t>{FO} Фареры</t>
  </si>
  <si>
    <t>{FR} Франция</t>
  </si>
  <si>
    <t>{GA} Габон</t>
  </si>
  <si>
    <t>{GB} Соед.Корол</t>
  </si>
  <si>
    <t>{GD} Гренада</t>
  </si>
  <si>
    <t>{GE} Грузия</t>
  </si>
  <si>
    <t>{GF} Франц.Гайа</t>
  </si>
  <si>
    <t>{GG} Гернси</t>
  </si>
  <si>
    <t>{GH} Гана</t>
  </si>
  <si>
    <t>{GI} Гибралтар</t>
  </si>
  <si>
    <t>{GL} Гренландия</t>
  </si>
  <si>
    <t>{GM} Гамбия</t>
  </si>
  <si>
    <t>{GN} Гвинея</t>
  </si>
  <si>
    <t>{GP} Гваделупа</t>
  </si>
  <si>
    <t>{GQ} Экват.Гвин</t>
  </si>
  <si>
    <t>{GR} Греция</t>
  </si>
  <si>
    <t>{GS} Сэндвичевы</t>
  </si>
  <si>
    <t>{GT} Гватемала</t>
  </si>
  <si>
    <t>{GU} Гуам</t>
  </si>
  <si>
    <t>{GW} Гвинея-Биса</t>
  </si>
  <si>
    <t>{GY} Гайана</t>
  </si>
  <si>
    <t>{HK} Гонконг</t>
  </si>
  <si>
    <t>{HM} о.Херд</t>
  </si>
  <si>
    <t>{HN} Гондурас</t>
  </si>
  <si>
    <t>{HR} Хорватия</t>
  </si>
  <si>
    <t>{HT} Гаити</t>
  </si>
  <si>
    <t>{HU} Венгрия</t>
  </si>
  <si>
    <t>{ID} Индонезия</t>
  </si>
  <si>
    <t>{IE} Ирландия</t>
  </si>
  <si>
    <t>{IL} Израиль</t>
  </si>
  <si>
    <t>{IM} ОстровМэн</t>
  </si>
  <si>
    <t>{IN} Индия</t>
  </si>
  <si>
    <t>{IO} БритТеррИн</t>
  </si>
  <si>
    <t>{IQ} Ирак</t>
  </si>
  <si>
    <t>{IR} Иран</t>
  </si>
  <si>
    <t>{IS} Исландия</t>
  </si>
  <si>
    <t>{IT} Италия</t>
  </si>
  <si>
    <t>{JE} Джерси</t>
  </si>
  <si>
    <t>{JM} Ямайка</t>
  </si>
  <si>
    <t>{JO} Иордания</t>
  </si>
  <si>
    <t>{JP} Япония</t>
  </si>
  <si>
    <t>{KE} Кения</t>
  </si>
  <si>
    <t>{KG} Киргизия</t>
  </si>
  <si>
    <t>{KH} Камбоджа</t>
  </si>
  <si>
    <t>{KI} Кирибати</t>
  </si>
  <si>
    <t>{KM} Коморскиео</t>
  </si>
  <si>
    <t>{KN} Ст.Киттс&amp;Н</t>
  </si>
  <si>
    <t>{KP} СевернаяКо</t>
  </si>
  <si>
    <t>{KR} ЮжнаяКорея</t>
  </si>
  <si>
    <t>{KW} Кувейт</t>
  </si>
  <si>
    <t>{KY} Каймановыо</t>
  </si>
  <si>
    <t>{KZ} Казахстан</t>
  </si>
  <si>
    <t>{LA} Лаос</t>
  </si>
  <si>
    <t>{LB} Ливан</t>
  </si>
  <si>
    <t>{LC} Сент-Люсия</t>
  </si>
  <si>
    <t>{LI} Лихтенштейн</t>
  </si>
  <si>
    <t>{LK} Шри-Ланка</t>
  </si>
  <si>
    <t>{LR} Либерия</t>
  </si>
  <si>
    <t>{LS} Лесото</t>
  </si>
  <si>
    <t>{LT} Литва</t>
  </si>
  <si>
    <t>{LU} Люксембург</t>
  </si>
  <si>
    <t>{LV} Латвия</t>
  </si>
  <si>
    <t>{LY} Ливия</t>
  </si>
  <si>
    <t>{MA} Марокко</t>
  </si>
  <si>
    <t>{MC} Монако</t>
  </si>
  <si>
    <t>{MD} Молдавия</t>
  </si>
  <si>
    <t>{ME} Черногория</t>
  </si>
  <si>
    <t>{MG} Мадагаскар</t>
  </si>
  <si>
    <t>{MH} Маршалловы</t>
  </si>
  <si>
    <t>{MK} Македония</t>
  </si>
  <si>
    <t>{ML} Мали</t>
  </si>
  <si>
    <t>{MM} Мьянма</t>
  </si>
  <si>
    <t>{MN} Монголия</t>
  </si>
  <si>
    <t>{MO} Макао</t>
  </si>
  <si>
    <t>{MP} С.-Мариан.</t>
  </si>
  <si>
    <t>{MQ} Мартиника</t>
  </si>
  <si>
    <t>{MR} Мавритания</t>
  </si>
  <si>
    <t>{MS} Монтсеррат</t>
  </si>
  <si>
    <t>{MT} Мальта</t>
  </si>
  <si>
    <t>{MU} Маврикий</t>
  </si>
  <si>
    <t>{MV} Мальдивск.</t>
  </si>
  <si>
    <t>{MW} Малави</t>
  </si>
  <si>
    <t>{MX} Мексика</t>
  </si>
  <si>
    <t>{MY} Малайзия</t>
  </si>
  <si>
    <t>{MZ} Мозамбик</t>
  </si>
  <si>
    <t>{NA} Намибия</t>
  </si>
  <si>
    <t>{NC} НоваяКалед</t>
  </si>
  <si>
    <t>{NE} Нигер</t>
  </si>
  <si>
    <t>{NF} О.Норфолк</t>
  </si>
  <si>
    <t>{NG} Нигерия</t>
  </si>
  <si>
    <t>{NI} Никарагуа</t>
  </si>
  <si>
    <t>{NL} Нидерланды</t>
  </si>
  <si>
    <t>{NO} Норвегия</t>
  </si>
  <si>
    <t>{NP} Непал</t>
  </si>
  <si>
    <t>{NR} Науру</t>
  </si>
  <si>
    <t>{NT} НАТО</t>
  </si>
  <si>
    <t>{NU} Ниуэ</t>
  </si>
  <si>
    <t>{NZ} НоваяЗелан</t>
  </si>
  <si>
    <t>{OM} Оман</t>
  </si>
  <si>
    <t>{OR} Оранжевый</t>
  </si>
  <si>
    <t>{PA} Панама</t>
  </si>
  <si>
    <t>{PE} Перу</t>
  </si>
  <si>
    <t>{PF} Фр.Полинез</t>
  </si>
  <si>
    <t>{PG} Папуа-Н.Гв</t>
  </si>
  <si>
    <t>{PH} Филиппины</t>
  </si>
  <si>
    <t>{PK} Пакистан</t>
  </si>
  <si>
    <t>{PL} Польша</t>
  </si>
  <si>
    <t>{PM} С.-Пьер,Мик</t>
  </si>
  <si>
    <t>{PN} О-ваПиткэр</t>
  </si>
  <si>
    <t>{PR} Пуэрто-Рико</t>
  </si>
  <si>
    <t>{PS} Палестина</t>
  </si>
  <si>
    <t>{PT} Португалия</t>
  </si>
  <si>
    <t>{PW} Палау</t>
  </si>
  <si>
    <t>{PY} Парагвай</t>
  </si>
  <si>
    <t>{QA} Катар</t>
  </si>
  <si>
    <t>{RE} Реюньон</t>
  </si>
  <si>
    <t>{RO} Румыния</t>
  </si>
  <si>
    <t>{RS} Сербия</t>
  </si>
  <si>
    <t>{RU} Россия</t>
  </si>
  <si>
    <t>{RW} Руанда</t>
  </si>
  <si>
    <t>{SA} Сауд.Арави</t>
  </si>
  <si>
    <t>{SB} Соломоновы</t>
  </si>
  <si>
    <t>{SC} Сейшельск.</t>
  </si>
  <si>
    <t>{SD} Судан</t>
  </si>
  <si>
    <t>{SE} Швеция</t>
  </si>
  <si>
    <t>{SG} Сингапур</t>
  </si>
  <si>
    <t>{SH} О.Св.Елен</t>
  </si>
  <si>
    <t>{SI} Словения</t>
  </si>
  <si>
    <t>{SJ} Шпицберген</t>
  </si>
  <si>
    <t>{SK} Словакия</t>
  </si>
  <si>
    <t>{SL} Сьерра-Леон</t>
  </si>
  <si>
    <t>{SM} Сан-Марино</t>
  </si>
  <si>
    <t>{SN} Сенегал</t>
  </si>
  <si>
    <t>{SO} Сомали</t>
  </si>
  <si>
    <t>{SR} Суринам</t>
  </si>
  <si>
    <t>{ST} С.-ТомеиП</t>
  </si>
  <si>
    <t>{SV} Сальвадор</t>
  </si>
  <si>
    <t>{SX} Сен-Мартен</t>
  </si>
  <si>
    <t>{SY} Сирия</t>
  </si>
  <si>
    <t>{SZ} Свазиленд</t>
  </si>
  <si>
    <t>{TC} Теркс,Кайк</t>
  </si>
  <si>
    <t>{TD} Чад</t>
  </si>
  <si>
    <t>{TF} FrenchS.Te</t>
  </si>
  <si>
    <t>{TG} Того</t>
  </si>
  <si>
    <t>{TH} Таиланд</t>
  </si>
  <si>
    <t>{TJ} Таджикистан</t>
  </si>
  <si>
    <t>{TK} О-ваТокела</t>
  </si>
  <si>
    <t>{TL} Вост.Тимоа</t>
  </si>
  <si>
    <t>{TM} Туркмениста</t>
  </si>
  <si>
    <t>{TN} Тунис</t>
  </si>
  <si>
    <t>{TO} Тонга</t>
  </si>
  <si>
    <t>{TP} ВосточныйТимо</t>
  </si>
  <si>
    <t>{TR} Турция</t>
  </si>
  <si>
    <t>{TT} Тринидад,То</t>
  </si>
  <si>
    <t>{TV} Тувалу</t>
  </si>
  <si>
    <t>{TW} Тайвань</t>
  </si>
  <si>
    <t>{TZ} Танзания</t>
  </si>
  <si>
    <t>{UA} Украина</t>
  </si>
  <si>
    <t>{UG} Уганда</t>
  </si>
  <si>
    <t>{UM} Мал.Аутл.</t>
  </si>
  <si>
    <t>{UN} Объед.нации</t>
  </si>
  <si>
    <t>{US} США</t>
  </si>
  <si>
    <t>{UY} Уругвай</t>
  </si>
  <si>
    <t>{UZ} Узбекистан</t>
  </si>
  <si>
    <t>{VA} Ватикан</t>
  </si>
  <si>
    <t>{VC} Сент-Винсен</t>
  </si>
  <si>
    <t>{VE} Венесуэла</t>
  </si>
  <si>
    <t>{VG} Брит.Виргин</t>
  </si>
  <si>
    <t>{VI} Амер.Виргин</t>
  </si>
  <si>
    <t>{VN} Вьетнам</t>
  </si>
  <si>
    <t>{VU} Вануату</t>
  </si>
  <si>
    <t>{WF} Уоллис,Фут</t>
  </si>
  <si>
    <t>{WS} Зап.Самоа</t>
  </si>
  <si>
    <t>{YE} Йемен</t>
  </si>
  <si>
    <t>{YT} Майотта</t>
  </si>
  <si>
    <t>{ZA} ЮжнаяАфрик</t>
  </si>
  <si>
    <t>{ZM} Замбия</t>
  </si>
  <si>
    <t>{ZW} Зимбабве</t>
  </si>
  <si>
    <t>Страны мира/ Территории муниципальных образований</t>
  </si>
  <si>
    <t>6001_6018</t>
  </si>
  <si>
    <t>{5231000_~_~_~} Перечисление денежных средств Ответственному участнику КГН</t>
  </si>
  <si>
    <t>{5131000_~_~_~} Поступление денежных средств от Ответственного участника КГН</t>
  </si>
  <si>
    <t>{5231500_~_~_~} Перечисление Ответственным участником КГН денежных средств Участникам КГН</t>
  </si>
  <si>
    <t>{5131500_~_~_~} Получение Ответственным участником КГН денежных средств от Участников КГН</t>
  </si>
  <si>
    <t>{04091} Строительство, ПСЭ и ВЭ АЭС в России</t>
  </si>
  <si>
    <t>{04092} Строительство, ПСЭ и ВЭ АЭС за рубежом</t>
  </si>
  <si>
    <t>Значения по видам движения Дт 99 и Кт 99 должны быть отражены с корректными знаками (Дт 99 отражается на листе 78 с "-", а Дт 99 - с "+")</t>
  </si>
  <si>
    <t>C1=F_M0732;C5=91;C2=YTD;C4=0102</t>
  </si>
  <si>
    <t>C1=F_M0732;C5=ПРОЧИЕ;C2=YTD;C4=0102</t>
  </si>
  <si>
    <t>Проверка наличия ВГО GID</t>
  </si>
  <si>
    <t>Проверка наличия ВГО ИНН и GID лист 90_контр</t>
  </si>
  <si>
    <t>Проверка наличия ВГО ИНН и GID лист 91_01</t>
  </si>
  <si>
    <t>{1} Просроченная менее 45 дней</t>
  </si>
  <si>
    <t>{2} Просроченная 46-90 дней</t>
  </si>
  <si>
    <t>{3} Просроченная от 91 дня до 6 мес.</t>
  </si>
  <si>
    <t>{4} Просроченная от 6 мес. до 1 года</t>
  </si>
  <si>
    <t>{5} Просроченная более 1 года</t>
  </si>
  <si>
    <t>{6} Безнадежная к взысканию</t>
  </si>
  <si>
    <t>{7} Непросроченная</t>
  </si>
  <si>
    <t>Операции с компаниями, входящими в РСБУ периметр консолидации, по авансам, выданным на ДВ</t>
  </si>
  <si>
    <t>Проверка заполнения по одной строке ДЗ или КЗ</t>
  </si>
  <si>
    <t>Cheetah Resources</t>
  </si>
  <si>
    <t>Headspring Investments Pty</t>
  </si>
  <si>
    <t>Liges s.r.</t>
  </si>
  <si>
    <t>MANTRA EAST AFRICA LIMITED</t>
  </si>
  <si>
    <t>NYANZA GOLDFIELDS Limited</t>
  </si>
  <si>
    <t>Omega Corp Minerals Limitada</t>
  </si>
  <si>
    <t>REVISS SERVICES (UK) Ltd</t>
  </si>
  <si>
    <t>Runex Uranium RTY LTD</t>
  </si>
  <si>
    <t>JSC SELMI</t>
  </si>
  <si>
    <t>UrAsia Energy ltd.</t>
  </si>
  <si>
    <t>VOSTOK POWER RESOURCES LTD</t>
  </si>
  <si>
    <t>0266008329</t>
  </si>
  <si>
    <t>0269000159</t>
  </si>
  <si>
    <t>0273059966</t>
  </si>
  <si>
    <t>0273084923</t>
  </si>
  <si>
    <t>0275000990</t>
  </si>
  <si>
    <t>0276053659</t>
  </si>
  <si>
    <t>0277096447</t>
  </si>
  <si>
    <t>0277100848</t>
  </si>
  <si>
    <t>0278173623</t>
  </si>
  <si>
    <t>0323025475</t>
  </si>
  <si>
    <t>0323121958</t>
  </si>
  <si>
    <t>0323337354</t>
  </si>
  <si>
    <t>0326023099</t>
  </si>
  <si>
    <t>0411052446</t>
  </si>
  <si>
    <t>0411076013</t>
  </si>
  <si>
    <t>0711008455</t>
  </si>
  <si>
    <t>0814166090</t>
  </si>
  <si>
    <t>0901000327</t>
  </si>
  <si>
    <t>{252002} Проценты по займам, выданным в рамках операций кэш пулинга, к получению</t>
  </si>
  <si>
    <t>{252006} Проценты по краткосрочным займам (кроме кэш пулинга) к получению</t>
  </si>
  <si>
    <t>АО ВО "Безопасность"</t>
  </si>
  <si>
    <t>Корректировка выручки от исполнения инструмента хеджирования</t>
  </si>
  <si>
    <t>Налог на добычу полезных ископаемых</t>
  </si>
  <si>
    <t>Госпошлина</t>
  </si>
  <si>
    <t>68.01.15</t>
  </si>
  <si>
    <t>68.01.16</t>
  </si>
  <si>
    <t>68.01.89</t>
  </si>
  <si>
    <t xml:space="preserve">Налоги, удержанные и уплаченные в бюджет другими организациями (кроме налога на прибыль) </t>
  </si>
  <si>
    <t>68.01.99</t>
  </si>
  <si>
    <t>68.02.15</t>
  </si>
  <si>
    <t>68.02.16</t>
  </si>
  <si>
    <t>68.02.89</t>
  </si>
  <si>
    <t>68.02.99</t>
  </si>
  <si>
    <t>НДС</t>
  </si>
  <si>
    <t xml:space="preserve">Сводная таблица по счетам </t>
  </si>
  <si>
    <t>149639</t>
  </si>
  <si>
    <t>7701927935</t>
  </si>
  <si>
    <t>402234</t>
  </si>
  <si>
    <t>Инициатор изменения и проверяющий ФСД после редактирования.</t>
  </si>
  <si>
    <t>Козлов Николай Викторович  NiVKozlov@rosatom.ru  (499) 949-47-02</t>
  </si>
  <si>
    <t>Андреев Сергей Евгеньевич  SeEAndreev@rosatom.ru  (499) 949-44-84</t>
  </si>
  <si>
    <t>Малахай Виктория Николаевна  VNMalakhay@rosatom.ru  (499) 949-48-22</t>
  </si>
  <si>
    <t>Емельянова Наталия Валериевна  NVEmelyanova@rosatom.ru  (499) 949-47-82</t>
  </si>
  <si>
    <t>Кожевникова Светлана Игоревна  SIKozhevnikova@rosatom.ru  (499) 949-43-51</t>
  </si>
  <si>
    <t>Бурцева Ольга Леонидовна  OlLBurtseva@rosatom.ru  (499) 949-20-37</t>
  </si>
  <si>
    <t>Леванков Вячеслав Вячеславович  VVLevankov@rosatom.ru  (499) 949-25-45</t>
  </si>
  <si>
    <t>Кукоба Мария Викторовна  MVKukoba@rosatom.ru  (499) 949-26-20</t>
  </si>
  <si>
    <t>Гуров Александр Анатольевич AAGurov@rosatom.ru  (499) 949-41-27</t>
  </si>
  <si>
    <t>списки</t>
  </si>
  <si>
    <t>лист 60,62,76_контр - 63 счет</t>
  </si>
  <si>
    <t>Значение в столбце К1 должно быть из выпадающего списка</t>
  </si>
  <si>
    <t>Значение в столбце К2 должно быть из выпадающего списка</t>
  </si>
  <si>
    <t>Значение в столбце К3 должно быть из выпадающего списка</t>
  </si>
  <si>
    <t>Значения в столбцах К1-К3 должны быть из выпадающего списка</t>
  </si>
  <si>
    <t>ПЗМсервис</t>
  </si>
  <si>
    <t>ООО ПЗМ-Сервис</t>
  </si>
  <si>
    <t>Сумма накопленной выручки на КП должна быть больше или равна выручке за период</t>
  </si>
  <si>
    <t>Проверка оборотов между затратными листами_2</t>
  </si>
  <si>
    <t>Затраты_Вход 1, Свод по счетам</t>
  </si>
  <si>
    <t>Номер счета 1 Trial Balance</t>
  </si>
  <si>
    <t>{14330000} Услуги по ледокольному обеспечению судов</t>
  </si>
  <si>
    <t>{14170400} Услуги по изготовлению, конвертованию и доставке квитанций</t>
  </si>
  <si>
    <t>{14170500} Комиссионное вознаграждение за прием платежей потребителей</t>
  </si>
  <si>
    <t>{14189901} Расходы на реализацию мероприятий, направленных на развитие физкультурно-оздоровительной и спортивной работы</t>
  </si>
  <si>
    <t>{20040001} Расходы в связи с выполнением работ, оказанием услуг физическими лицами по договорам гражданско-правового характера, связанных с реализацией мероприятий по поддержке трудоспособности работников (кроме ПБОЮЛ)</t>
  </si>
  <si>
    <t>{52230500} Консультационные услуги по охране труда (в т.ч. услуги по оценке травмирующих факторов)</t>
  </si>
  <si>
    <t>{2940001} Выплата авторам рацпредложений, за содействие изобретательству и рационализаторству (не работникам)</t>
  </si>
  <si>
    <t>{2080710} Расходы от списания облигаций ликвидируемой организации</t>
  </si>
  <si>
    <t>{2080720} Расходы от списания векселей ликвидируемой организации</t>
  </si>
  <si>
    <t>{252025} НДС по авансам выданным (предварит) без кап строительства</t>
  </si>
  <si>
    <t>{252029} НДС по авансам выданным (перерасчетный) без капитального строительства</t>
  </si>
  <si>
    <t>Соответствие аналитик выпадающему списку</t>
  </si>
  <si>
    <t>Соответствие аналитик в К1 выпадающему списку</t>
  </si>
  <si>
    <t>Соответствие аналитик в К2 выпадающему списку</t>
  </si>
  <si>
    <t>Прочее поступление или выбытие, необходимо заполнить комментарий Лист 86</t>
  </si>
  <si>
    <t>Прочее поступление или выбытие, необходимо заполнить комментарий Лист 98.01</t>
  </si>
  <si>
    <t>Лист 98.01</t>
  </si>
  <si>
    <t>Наличие комментария для "Прочего использования" и "Прочего начисления"</t>
  </si>
  <si>
    <t>Наличие комментария для "Прочего списания" и "Прочего начисления"</t>
  </si>
  <si>
    <t>{1_0111} ТМЦ приобретенные: Ураносодержащее сырье и материалы</t>
  </si>
  <si>
    <t>{1_0112} ТМЦ приобретенные: Прочее ядерное сырье и материалы</t>
  </si>
  <si>
    <t>{1_0121} ТМЦ приобретенные: Специальные неядерные сырье и материалы</t>
  </si>
  <si>
    <t>{1_0122} ТМЦ приобретенные: Прочее неядерное сырье и материалы</t>
  </si>
  <si>
    <t>{1_0211} ТМЦ приобретенные: Покупные полуфабрикаты и комплектующие изделия, конструкции и детали, содержащие уран</t>
  </si>
  <si>
    <t>{1_0212} ТМЦ приобретенные: Покупные полуфабрикаты и комплектующие изделия, конструкции и детали, содержащие другие ядерные материалы</t>
  </si>
  <si>
    <t>{1_0221} ТМЦ приобретенные: Покупные полуфабрикаты и комплектующие изделия, конструкции и детали, не содержащие ядерные материалы</t>
  </si>
  <si>
    <t>{1_0310} ТМЦ приобретенные: Топливо ядерное в запасе</t>
  </si>
  <si>
    <t>{1_0312} ТМЦ приобретенные: Топливо ядерное в загрузке</t>
  </si>
  <si>
    <t>{2_0310} ТМЦ созданные собственными силами: Топливо ядерное в запасе</t>
  </si>
  <si>
    <t>{2_0312} ТМЦ созданные собственными силами: Топливо ядерное в загрузке</t>
  </si>
  <si>
    <t>{1_0222} ТМЦ приобретенные: Комплектующие активной зоны в загрузке</t>
  </si>
  <si>
    <t>{1_0320} ТМЦ приобретенные: Прочее топливо</t>
  </si>
  <si>
    <t>{1_0400} ТМЦ приобретенные: Тара и тарные материалы</t>
  </si>
  <si>
    <t>{1_0500} ТМЦ приобретенные: Запасные части</t>
  </si>
  <si>
    <t>{1_0600} ТМЦ приобретенные: Прочие материалы</t>
  </si>
  <si>
    <t>{1_0800} ТМЦ приобретенные: Строительные материалы</t>
  </si>
  <si>
    <t>{1_0900} ТМЦ приобретенные: Инвентарь и хозяйственные принадлежности</t>
  </si>
  <si>
    <t>{1_1000} ТМЦ приобретенные: Специальная оснастка и специальная одежда на складе (новая)</t>
  </si>
  <si>
    <t>{1_1100} ТМЦ приобретенные: Специальная оснастка и специальная одежда в эксплуатации</t>
  </si>
  <si>
    <t>{1_1200} ТМЦ приобретенные: Специальная оснастка и специальная одежда на складе (НЕ новая)</t>
  </si>
  <si>
    <t>{1_1400} ТМЦ приобретенные: Страховой запас</t>
  </si>
  <si>
    <t>{1_1500} ТМЦ приобретенные: Материально-производственные запасы, используемые для создания внеоборотных активов</t>
  </si>
  <si>
    <t>{2_0111} ТМЦ созданные собственными силами: Ураносодержащее сырье и материалы</t>
  </si>
  <si>
    <t>{2_0112} ТМЦ созданные собственными силами: Прочее ядерное сырье и материалы</t>
  </si>
  <si>
    <t>{2_0121} ТМЦ созданные собственными силами: Специальные неядерные сырье и материалы</t>
  </si>
  <si>
    <t>{2_0122} ТМЦ созданные собственными силами: Прочее неядерное сырье и материалы</t>
  </si>
  <si>
    <t>{2_0211} ТМЦ созданные собственными силами: Покупные полуфабрикаты и комплектующие изделия, конструкции и детали, содержащие уран</t>
  </si>
  <si>
    <t>{2_0212} ТМЦ созданные собственными силами: Покупные полуфабрикаты и комплектующие изделия, конструкции и детали, содержащие другие ядерные материалы</t>
  </si>
  <si>
    <t>{2_0221} ТМЦ созданные собственными силами: Покупные полуфабрикаты и комплектующие изделия, конструкции и детали, не содержащие ядерные материалы</t>
  </si>
  <si>
    <t>{2_0222} ТМЦ созданные собственными силами: Комплектующие активной зоны в загрузке</t>
  </si>
  <si>
    <t>{2_0320} ТМЦ созданные собственными силами: Прочее топливо</t>
  </si>
  <si>
    <t>{2_0400} ТМЦ созданные собственными силами: Тара и тарные материалы</t>
  </si>
  <si>
    <t>{2_0500} ТМЦ созданные собственными силами: Запасные части</t>
  </si>
  <si>
    <t>{2_0600} ТМЦ созданные собственными силами: Прочие материалы</t>
  </si>
  <si>
    <t>{2_0800} ТМЦ созданные собственными силами: Строительные материалы</t>
  </si>
  <si>
    <t>{2_0900} ТМЦ созданные собственными силами: Инвентарь и хозяйственные принадлежности</t>
  </si>
  <si>
    <t>{2_1000} ТМЦ созданные собственными силами: Специальная оснастка и специальная одежда на складе (новая)</t>
  </si>
  <si>
    <t>{2_1100} ТМЦ созданные собственными силами: Специальная оснастка и специальная одежда в эксплуатации</t>
  </si>
  <si>
    <t>{2_1200} ТМЦ созданные собственными силами: Специальная оснастка и специальная одежда на складе (НЕ новая)</t>
  </si>
  <si>
    <t>{2_1400} ТМЦ созданные собственными силами: Страховой запас</t>
  </si>
  <si>
    <t>{2_1500} ТМЦ собственного производства: Материально-производственные запасы, используемые для создания внеоборотных активов</t>
  </si>
  <si>
    <t>{1_0100} ТМЦ приобретенные: Сырье и материалы</t>
  </si>
  <si>
    <t>{1_0110} ТМЦ приобретенные: Ядерные сырье и материалы</t>
  </si>
  <si>
    <t>{1_0120} ТМЦ приобретенные: Неядерные сырье и материалы</t>
  </si>
  <si>
    <t>{1_0200} ТМЦ приобретенные: приобретенные полуфабрикаты и комплектующие изделия, конструкции и детали</t>
  </si>
  <si>
    <t>{1_0210} ТМЦ приобретенные: приобретенные полуфабрикаты и комплектующие изделия, конструкции и детали, содержащие ядерные материалы</t>
  </si>
  <si>
    <t>{2_0100} ТМЦ созданные собственными силами: Сырье и материалы</t>
  </si>
  <si>
    <t>{2_0110} ТМЦ созданные собственными силами: Ядерные сырье и материалы</t>
  </si>
  <si>
    <t>{2_0120} ТМЦ созданные собственными силами: Неядерные сырье и материалы</t>
  </si>
  <si>
    <t>{2_0200} ТМЦ созданные собственными силами: Покупные полуфабрикаты и комплектующие изделия, конструкции и детали</t>
  </si>
  <si>
    <t>{2_0210} ТМЦ созданные собственными силами: Покупные полуфабрикаты и комплектующие изделия, конструкции и детали, содержащие ядерные материалы</t>
  </si>
  <si>
    <t>2014_2112</t>
  </si>
  <si>
    <t>{1_~} ТМЦ приобретенные</t>
  </si>
  <si>
    <t>{2_~} ТМЦ созданные собственными силами</t>
  </si>
  <si>
    <t>14, 91_01 и 91_02</t>
  </si>
  <si>
    <t>Сверка аналитик по обесценению запасов на счете 14 с аналитиками счетов 91.01 и 91.02</t>
  </si>
  <si>
    <t>91_01, 91_01_ВГО, 91_02, 91_02_ВГО, Прочие_расш</t>
  </si>
  <si>
    <t>Проверка на то, что на листах прочих доходов и прочих расходов аналитики выбраны из выпадающего списка</t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</si>
  <si>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{252048} Целевое финансирование предоставленное (кроме дипмиссий и торгпредств )</t>
    </r>
  </si>
  <si>
    <r>
      <rPr>
        <b/>
        <sz val="10"/>
        <color indexed="37"/>
        <rFont val="Arial"/>
        <family val="2"/>
        <charset val="204"/>
      </rP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{252048} Целевое финансирование предоставленное (кроме дипмиссий и торгпредств )</t>
    </r>
  </si>
  <si>
    <t>СПЮ ГХК</t>
  </si>
  <si>
    <t>Частные учреждения "Росатома",  предоставляют отчетность КВАРТАЛЬНО</t>
  </si>
  <si>
    <t>ЧУ ЦТРПЭ</t>
  </si>
  <si>
    <t>Частное учреждение "Центр третейского регулирования и правовой экспертизы"</t>
  </si>
  <si>
    <t>ЧУ СГИК</t>
  </si>
  <si>
    <t>Частное учреждение "Служба генерального инспектора Государственной корпорации по атомной энергии "Росатом"</t>
  </si>
  <si>
    <t>Частное учреждение "Центральный архив атомной отрасли  Государственной корпорации по атомной энергии "Росатом"</t>
  </si>
  <si>
    <t>ЧУ ПЦИТЭР</t>
  </si>
  <si>
    <t>ЧУ ПРОРЫВ</t>
  </si>
  <si>
    <t>ЧУ ГК "Росатом" "Инновационно-технологический центр проекта "ПРОРЫВ"</t>
  </si>
  <si>
    <t>ЧУ ОЦКС</t>
  </si>
  <si>
    <t>ЧУ ГК "Росатом" "Отраслевой центр капитального строительства"</t>
  </si>
  <si>
    <t>ЧУ ИКЦ</t>
  </si>
  <si>
    <t>Частное учреждение "Историко-культурный центр"</t>
  </si>
  <si>
    <t>ЧУ Атомстандарт</t>
  </si>
  <si>
    <t xml:space="preserve">Частное учреждение "Институт технического регулирования, обеспечения единства измерений и стандартизации Росатома" </t>
  </si>
  <si>
    <t>ЧУ СКЦ Росатома</t>
  </si>
  <si>
    <t>Частное учреждение по информационно- аналитическому обеспечению "Ситуационно-Кризисный Центр Росатома"</t>
  </si>
  <si>
    <r>
      <t xml:space="preserve">Контрагент
</t>
    </r>
    <r>
      <rPr>
        <sz val="8"/>
        <color indexed="9"/>
        <rFont val="Arial"/>
        <family val="2"/>
        <charset val="204"/>
      </rPr>
      <t xml:space="preserve">заполняется только при условии:
Виды налогов = </t>
    </r>
    <r>
      <rPr>
        <sz val="8"/>
        <color rgb="FFFF0000"/>
        <rFont val="Arial"/>
        <family val="2"/>
        <charset val="204"/>
      </rPr>
      <t>{04} Налог на прибыль</t>
    </r>
    <r>
      <rPr>
        <sz val="8"/>
        <color indexed="9"/>
        <rFont val="Arial"/>
        <family val="2"/>
        <charset val="204"/>
      </rPr>
      <t xml:space="preserve"> и
Ставки налога на прибыль = </t>
    </r>
    <r>
      <rPr>
        <sz val="8"/>
        <color rgb="FFFF0000"/>
        <rFont val="Arial"/>
        <family val="2"/>
        <charset val="204"/>
      </rPr>
      <t>{3} Налог на прибыль у источника</t>
    </r>
    <r>
      <rPr>
        <sz val="8"/>
        <color indexed="9"/>
        <rFont val="Arial"/>
        <family val="2"/>
        <charset val="204"/>
      </rPr>
      <t xml:space="preserve"> или </t>
    </r>
    <r>
      <rPr>
        <sz val="8"/>
        <color rgb="FFFF0000"/>
        <rFont val="Arial"/>
        <family val="2"/>
        <charset val="204"/>
      </rPr>
      <t xml:space="preserve">{4} Налог на прибыль (агентский),
</t>
    </r>
    <r>
      <rPr>
        <sz val="8"/>
        <color theme="0"/>
        <rFont val="Arial"/>
        <family val="2"/>
        <charset val="204"/>
      </rPr>
      <t>в остальных случаях = X</t>
    </r>
  </si>
  <si>
    <r>
      <rPr>
        <b/>
        <sz val="10"/>
        <rFont val="Arial"/>
        <family val="2"/>
        <charset val="204"/>
      </rPr>
      <t xml:space="preserve">Контрагент
</t>
    </r>
    <r>
      <rPr>
        <sz val="8"/>
        <rFont val="Arial"/>
        <family val="2"/>
        <charset val="204"/>
      </rPr>
      <t xml:space="preserve">заполняется только при условии:
Виды налогов = </t>
    </r>
    <r>
      <rPr>
        <sz val="8"/>
        <color rgb="FFFF0000"/>
        <rFont val="Arial"/>
        <family val="2"/>
        <charset val="204"/>
      </rPr>
      <t>{04} Налог на прибыль</t>
    </r>
    <r>
      <rPr>
        <sz val="8"/>
        <color indexed="9"/>
        <rFont val="Arial"/>
        <family val="2"/>
        <charset val="204"/>
      </rPr>
      <t xml:space="preserve"> </t>
    </r>
    <r>
      <rPr>
        <sz val="8"/>
        <rFont val="Arial"/>
        <family val="2"/>
        <charset val="204"/>
      </rPr>
      <t xml:space="preserve">и
Ставки налога на прибыль = </t>
    </r>
    <r>
      <rPr>
        <sz val="8"/>
        <color rgb="FFFF0000"/>
        <rFont val="Arial"/>
        <family val="2"/>
        <charset val="204"/>
      </rPr>
      <t>{3} Налог на прибыль у источника</t>
    </r>
    <r>
      <rPr>
        <sz val="8"/>
        <color indexed="9"/>
        <rFont val="Arial"/>
        <family val="2"/>
        <charset val="204"/>
      </rPr>
      <t xml:space="preserve"> </t>
    </r>
    <r>
      <rPr>
        <sz val="8"/>
        <rFont val="Arial"/>
        <family val="2"/>
        <charset val="204"/>
      </rPr>
      <t xml:space="preserve">или </t>
    </r>
    <r>
      <rPr>
        <sz val="8"/>
        <color rgb="FFFF0000"/>
        <rFont val="Arial"/>
        <family val="2"/>
        <charset val="204"/>
      </rPr>
      <t xml:space="preserve">{4} Налог на прибыль (агентский),
</t>
    </r>
    <r>
      <rPr>
        <sz val="8"/>
        <rFont val="Arial"/>
        <family val="2"/>
        <charset val="204"/>
      </rPr>
      <t>в остальных случаях = X</t>
    </r>
  </si>
  <si>
    <t>Контрагент расшифрован по корректным аналитикам</t>
  </si>
  <si>
    <t xml:space="preserve">Реализация с НДС </t>
  </si>
  <si>
    <t>ЧУ РМС</t>
  </si>
  <si>
    <t>Частное учреждение обеспечения развития международной региональной сети атомного энергопромышленного комплекса "Русатом-Международная Сеть"</t>
  </si>
  <si>
    <t>АНО КАР</t>
  </si>
  <si>
    <t>Автономная некоммерческая организация "Корпоративная Академия Госкорпорации "Росатом"</t>
  </si>
  <si>
    <t>Вспомогательная таблица для выпадающего списка в колонке Бюджет для перечисления налогов</t>
  </si>
  <si>
    <t>Проверка на заполненность всех необходимых аналитик</t>
  </si>
  <si>
    <t>{F_M0723} на счет 08 (Дт 08)</t>
  </si>
  <si>
    <t>{F_M0731} Переведено в состав материалов (Дт 10,15, 16)</t>
  </si>
  <si>
    <t>{F_M0729} на прочие расходы (Дт 91)</t>
  </si>
  <si>
    <t>{F_M0732} Прочее выбытие</t>
  </si>
  <si>
    <t>{F_M0752} на счет 40 (Дт 40)</t>
  </si>
  <si>
    <t>{F_M0724} на счета учета готовой продукции (Дт 43)</t>
  </si>
  <si>
    <t>{F_M0726} на счета учета отгруженных товаров (Дт 45)</t>
  </si>
  <si>
    <t>{F_M0730} Реализовано (Дт 90)</t>
  </si>
  <si>
    <t>{F_M0750} на счета учета полуфабрикатов (21)</t>
  </si>
  <si>
    <t>{F_M0728} на счета 96, 98 (Дт96, Дт98)</t>
  </si>
  <si>
    <t>{F_M0727} на счет 97 (Дт 97)</t>
  </si>
  <si>
    <t>{F_M0719} на счет 07 (Дт 07)</t>
  </si>
  <si>
    <t>Проверка заполнения 08 счета</t>
  </si>
  <si>
    <t>Проверка оборотов между счетами, Оценочные обязательства по выплате вознаграждений по итогам работы за год (сумма выплат) (текущий год)</t>
  </si>
  <si>
    <t>Проверка оборотов между счетами, Оценочные обязательства по выплате вознаграждений по итогам работы за год (сумма выплат) (прошлый год)</t>
  </si>
  <si>
    <t>Проверка оборотов между счетами, Оценочные обязательства по выплате вознаграждений по итогам работы за год (сумма страховых взносов) (текущий год)</t>
  </si>
  <si>
    <t>Проверка оборотов между счетами, Оценочные обязательства по выплате вознаграждений по итогам работы за год (сумма страховых взносов) (прошлый год)</t>
  </si>
  <si>
    <t>Начисление оценочных обязательств</t>
  </si>
  <si>
    <t>Госкорпорация Росатом</t>
  </si>
  <si>
    <t>Лист 96, 96_движ</t>
  </si>
  <si>
    <t>{14180210} Обязательное медицинское освидетельствование (кроме водителей транспорта)</t>
  </si>
  <si>
    <t>{2940000} Авторские вознаграждения за открытия, изобретения, промышленные образцы, не используемые в деятельности организации и понесенные после закрытия договора</t>
  </si>
  <si>
    <t>{30500500} Страховые взносы на сумму оценочного обязательства по прочим премиям персоналу в соответствии с ЕУСОТ и выплатам персоналу в рамках реструктуризации</t>
  </si>
  <si>
    <t>{20030500} Оценочное обязательство по прочим премиям персоналу в соответствии с ЕУСОТ и выплатам персоналу в рамках реструктуризации (сумма выплаты)</t>
  </si>
  <si>
    <t>{2231400} Доначисление оценочного обязательства по прочим премиям персоналу в соответствии с ЕУСОТ и выплатам персоналу в рамках реструктуризации</t>
  </si>
  <si>
    <t>{1231400} Восстановление оценочного обязательства по прочим премиям персоналу в соответствии с ЕУСОТ и выплатам персоналу в рамках реструктуризации</t>
  </si>
  <si>
    <t>{10700} Оценочное обязательство по прочим премиям персоналу в соответствии с ЕУСОТ и выплатам персоналу в рамках реструктуризации</t>
  </si>
  <si>
    <t>{10710} Оценочное обязательство по прочим премиям персоналу в соответствии с ЕУСОТ и выплатам персоналу в рамках реструктуризации (сумма выплаты)</t>
  </si>
  <si>
    <t>{10720} Оценочное обязательство по прочим премиям персоналу в соответствии с ЕУСОТ и выплатам персоналу в рамках реструктуризации (страховые взносы)</t>
  </si>
  <si>
    <t>Проверка страховых взносов, начисляемых на счёт капвложений</t>
  </si>
  <si>
    <t>69 и Затраты_Вход_1</t>
  </si>
  <si>
    <t>Итог</t>
  </si>
  <si>
    <t>C1=F_C1;C2=90.01;C6=0101;C3=YTD;C9=1101002</t>
  </si>
  <si>
    <t>C1=F_C1;C2=90.01;C6=0101;C8=43;C3=YTD;C9=1101002</t>
  </si>
  <si>
    <t>C1=F_M0718;C2=YTD;C4=0103;C5=08</t>
  </si>
  <si>
    <t>C1=F_M0718;C2=YTD;C4=0103;C5=28</t>
  </si>
  <si>
    <t>UMATEX Group Europe</t>
  </si>
  <si>
    <t>UMATEX Group Europe s.r.o.</t>
  </si>
  <si>
    <t>UMATEX Composite Materials Trading</t>
  </si>
  <si>
    <t>UMATEX Composite Materials Trading (Shanghai) Co.,Ltd.</t>
  </si>
  <si>
    <t>RAOS Energy</t>
  </si>
  <si>
    <t>RAOS Energy Enerji Yatırımları Danışmanlığı Anonim Şirketi</t>
  </si>
  <si>
    <t>АО "Всерегиональное объединение "Изотоп"</t>
  </si>
  <si>
    <t>АО "Атомтрубопроводмонтаж"</t>
  </si>
  <si>
    <t>АО "АКМЭ-Инжиниринг"</t>
  </si>
  <si>
    <t>АО "Изотоп" г. Екатеринбург</t>
  </si>
  <si>
    <t>Счет 68. Расчеты по налогам и сборам +
Счет 69. Расчеты по социальному страхованию и обеспечению</t>
  </si>
  <si>
    <t>ЧУ ЦАА</t>
  </si>
  <si>
    <t>{7} НДС, предъявленный за рубежом</t>
  </si>
  <si>
    <t>АНО ДПО «Техническая академия Росатома»</t>
  </si>
  <si>
    <t>Проверка корректности использования знаков в движении по видам движения</t>
  </si>
  <si>
    <t>Проверка сумм на листах 98.01, 98.02 и 86 с 91.01 и 91.01 ВГО</t>
  </si>
  <si>
    <t>98.01, 98.02 и 86, 91.01 и 91.01 ВГО</t>
  </si>
  <si>
    <t>НоваВинд</t>
  </si>
  <si>
    <t>АО «НоваВинд»</t>
  </si>
  <si>
    <t>ППГХО-Услуги</t>
  </si>
  <si>
    <t>АНО ТАР</t>
  </si>
  <si>
    <t>{14260500} Работы ПКР и РКД (внешние)</t>
  </si>
  <si>
    <t>{14220500} Профессиональная подготовка работников ведомственной охраны</t>
  </si>
  <si>
    <t>{14220400} Услуги по защите гостайны</t>
  </si>
  <si>
    <t>{2390000} Остаточная стоимость спецодежды и оснастки, форменной одежды, списываемой до истечения срока полезного использования</t>
  </si>
  <si>
    <t>{52040200} Налоги и сборы социального характера в иностранный бюджет</t>
  </si>
  <si>
    <t>Долгосрочная часть</t>
  </si>
  <si>
    <t>Сумма аванса в целом по всему договору на листе "60,62,76_контр"</t>
  </si>
  <si>
    <t>Расходы, связанные с обслуживанием выпущенных ценных бумаг</t>
  </si>
  <si>
    <t>Проверка оборотов по депозитам со сроком три и менее месяцев</t>
  </si>
  <si>
    <t>лист 76 Кт</t>
  </si>
  <si>
    <t>Проверка, что на листе 76 не выбираются аналитики в ячейках с С11 по С18</t>
  </si>
  <si>
    <t>Проверка соответствия вида расчетов задолженности/авансу</t>
  </si>
  <si>
    <t>Проверка соответствия знаков: Дт с плюсом, Кт с минусом</t>
  </si>
  <si>
    <t>Проверка соответствия знаков по движению задолженности (колонки L - N) согласно видам задолженности</t>
  </si>
  <si>
    <t>Проверка соответствия аналитик: Прочие дебиторы - ДЗ и авансам выданным, а Прочие кредиторы - КЗ и авансам полученным</t>
  </si>
  <si>
    <t>Проверка корректности отнесения задолженности согласно аналитикам</t>
  </si>
  <si>
    <t>=G14&amp;I14</t>
  </si>
  <si>
    <t>Остаток на начало и на конец расшифрован с корректными знаками</t>
  </si>
  <si>
    <t>{17} - {20} ЕСН</t>
  </si>
  <si>
    <t>Дата выдачи займа</t>
  </si>
  <si>
    <t>Дата погашения займа по договору</t>
  </si>
  <si>
    <t>19.01</t>
  </si>
  <si>
    <t>19.02</t>
  </si>
  <si>
    <t>НДС по приобретенным ценностям. Краткосрочный</t>
  </si>
  <si>
    <t>НДС по приобретенным ценностям. Долгосрочный</t>
  </si>
  <si>
    <t>Налоговая стоимость на конец периода</t>
  </si>
  <si>
    <t>Проверка полноты заполнения (конечного покупателя)</t>
  </si>
  <si>
    <t>Наименование конечного покупателя</t>
  </si>
  <si>
    <t>ИНН конечного покупателя</t>
  </si>
  <si>
    <t>Резерв по сомнительной задолженности</t>
  </si>
  <si>
    <t>Восстановлено на сч.63</t>
  </si>
  <si>
    <t>Начислено на сч.63</t>
  </si>
  <si>
    <t>Проверка правильности заполнения значения аналитик по Группе ФВ на листе 58_02 и доли владения %</t>
  </si>
  <si>
    <t>доля владения не может быть более 100%</t>
  </si>
  <si>
    <t>{2791000} Целевые взносы некоммерческим организациям МАГАТЭ, ВАО АЭС, MAI</t>
  </si>
  <si>
    <t>{52450000} Услуги по проверке надежности контрагента</t>
  </si>
  <si>
    <t>{20010260}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улучшение жилищных условий</t>
  </si>
  <si>
    <t>{52460000} Расходы на компенсацию затрат понесенных воинскими частями Нацгвардии</t>
  </si>
  <si>
    <t>ЧУ Атом-регион</t>
  </si>
  <si>
    <t>Частное учреждение по сопровождению реализации территориальных проектов атомной отрасли "Атом-регион"</t>
  </si>
  <si>
    <t>{2790000} Целевые взносы некоммерческим организациям, кроме МАГАТЭ, ВАО АЭС, MAI</t>
  </si>
  <si>
    <t>{52050600} Дополнительное пенсионное страхование по договорам негосударственного пенсионного обеспечения (программа 1)</t>
  </si>
  <si>
    <t>{52050700} Дополнительное пенсионное страхование по договорам негосударственного пенсионного обеспечения (программа 2)</t>
  </si>
  <si>
    <t>98.01 и 86, 91.01 и 91.01 ВГО</t>
  </si>
  <si>
    <t>Проверка сумм на листах 98.01 и 86 с 91.01 и 91.01 ВГО (Бюджетные средства)</t>
  </si>
  <si>
    <t>Поступление:
Выплаченные лизинговые платежи по выкупаемому имуществу</t>
  </si>
  <si>
    <t>F_M0100</t>
  </si>
  <si>
    <t>F_M0099</t>
  </si>
  <si>
    <t>Поступление:
Взнос в УК от других организаций</t>
  </si>
  <si>
    <t>F_M0098</t>
  </si>
  <si>
    <t>ОЗ ВЭИ</t>
  </si>
  <si>
    <t>Балальт</t>
  </si>
  <si>
    <t>Проверка сумм на листах 98.01 и 86 с 91.01 и 91.01 ВГО (МТП)</t>
  </si>
  <si>
    <t>Проверка сумм на листах 98.01 и 86 с 91.01 и 91.01 ВГО (Резервы)</t>
  </si>
  <si>
    <t>Проверка сумм на листах 98.01 и 86 с 91.01 и 91.01 ВГО (Прочее)</t>
  </si>
  <si>
    <t>Проверка сумм на листах 98.02 с 91.01 (Безвозмездные поступления)</t>
  </si>
  <si>
    <t>98.02, 91.01</t>
  </si>
  <si>
    <t>={2180500} Дисконтный расход по векселям</t>
  </si>
  <si>
    <t>Суммы прочих доходов (должны быть отрицательные)</t>
  </si>
  <si>
    <t>Поступление:
Капитализация процентов</t>
  </si>
  <si>
    <t>F_M0097</t>
  </si>
  <si>
    <t>Резерв на отпуска и выплаты по достижению КПЭ</t>
  </si>
  <si>
    <t>C1=F_M0100;C2=YTD;C9=0101</t>
  </si>
  <si>
    <t>C1=F_M0099;C2=YTD;C9=0101</t>
  </si>
  <si>
    <t>C1=F_M0098;C2=YTD;C9=0101</t>
  </si>
  <si>
    <t>C1=F_M0097;C2=YTD;C9=0101</t>
  </si>
  <si>
    <t>C1=F_M0801;C2=YTD;C8=0101</t>
  </si>
  <si>
    <t>C1=F_O1;C2=YTD;C4=0101;C5=10</t>
  </si>
  <si>
    <t>C1=F_O1;C2=YTD;C4=0101;C5=20</t>
  </si>
  <si>
    <t>C1=F_C1;C2=YTD;C4=0101;C5=10</t>
  </si>
  <si>
    <t>C1=F_C2;C2=YTD;C8=0102;C3=90.01</t>
  </si>
  <si>
    <t>C1=F_C1;C2=YTD;C5=5009;C12=0102</t>
  </si>
  <si>
    <t>C1=F_C1;C7=2090100;C2=YTD;C12=0102</t>
  </si>
  <si>
    <t>C1=F_O2;C2=YTD;C4=0101;C5=10</t>
  </si>
  <si>
    <t>C1=F_O2;C2=YTD;C4=0101;C5=20</t>
  </si>
  <si>
    <t>C1=F_M0609;C2=YTD;C4=0101</t>
  </si>
  <si>
    <t>C1=F_M0616;C2=YTD;C4=0101</t>
  </si>
  <si>
    <t>C1=F_C1;C2=YTD;C4=0101;C5=20</t>
  </si>
  <si>
    <t>C1=F_C2;C2=YTD;C4=0101;C5=10</t>
  </si>
  <si>
    <t>C1=F_C2;C2=YTD;C4=0101;C5=20</t>
  </si>
  <si>
    <t>R29=1001</t>
  </si>
  <si>
    <t>R29=1002</t>
  </si>
  <si>
    <t>R29=1003</t>
  </si>
  <si>
    <t>R29=1004</t>
  </si>
  <si>
    <t>R29=1005</t>
  </si>
  <si>
    <t>R29=1006</t>
  </si>
  <si>
    <t>R29=1007</t>
  </si>
  <si>
    <t>R29=1008</t>
  </si>
  <si>
    <t>R29=1009</t>
  </si>
  <si>
    <t>R29=1010</t>
  </si>
  <si>
    <t>R29=1011</t>
  </si>
  <si>
    <t>R29=1012</t>
  </si>
  <si>
    <t>R29=1013</t>
  </si>
  <si>
    <t>R29=1015</t>
  </si>
  <si>
    <t>R29=1016</t>
  </si>
  <si>
    <t>R29=1017</t>
  </si>
  <si>
    <t>R29=1018</t>
  </si>
  <si>
    <t>R29=1019</t>
  </si>
  <si>
    <t>R29=1020</t>
  </si>
  <si>
    <t>R29=1021</t>
  </si>
  <si>
    <t>R29=1022</t>
  </si>
  <si>
    <t>R29=1023</t>
  </si>
  <si>
    <t>R29=1024</t>
  </si>
  <si>
    <t>R29=1025</t>
  </si>
  <si>
    <t>R29=1026</t>
  </si>
  <si>
    <t>R29=1027</t>
  </si>
  <si>
    <t>R29=1028</t>
  </si>
  <si>
    <t>R29=1029</t>
  </si>
  <si>
    <t>R29=1030</t>
  </si>
  <si>
    <t>R29=1031</t>
  </si>
  <si>
    <t>R29=1032</t>
  </si>
  <si>
    <t>R29=1033</t>
  </si>
  <si>
    <t>R29=1034</t>
  </si>
  <si>
    <t>R29=1035</t>
  </si>
  <si>
    <t>R29=1036</t>
  </si>
  <si>
    <t>R29=1037</t>
  </si>
  <si>
    <t>R29=1038</t>
  </si>
  <si>
    <t>R29=1039</t>
  </si>
  <si>
    <t>R29=1040</t>
  </si>
  <si>
    <t>R29=1042</t>
  </si>
  <si>
    <t>R29=1043</t>
  </si>
  <si>
    <t>R29=1044</t>
  </si>
  <si>
    <t>R29=1045</t>
  </si>
  <si>
    <t>R29=1046</t>
  </si>
  <si>
    <t>R29=1047</t>
  </si>
  <si>
    <t>R29=1048</t>
  </si>
  <si>
    <t>R29=1049</t>
  </si>
  <si>
    <t>R29=1050</t>
  </si>
  <si>
    <t>R29=1051</t>
  </si>
  <si>
    <t>R29=1052</t>
  </si>
  <si>
    <t>R29=1053</t>
  </si>
  <si>
    <t>R29=1054</t>
  </si>
  <si>
    <t>R29=1056</t>
  </si>
  <si>
    <t>R29=1057</t>
  </si>
  <si>
    <t>R29=1058</t>
  </si>
  <si>
    <t>R29=1059</t>
  </si>
  <si>
    <t>R29=1060</t>
  </si>
  <si>
    <t>R29=1061</t>
  </si>
  <si>
    <t>R29=1062</t>
  </si>
  <si>
    <t>R29=1063</t>
  </si>
  <si>
    <t>R29=1064</t>
  </si>
  <si>
    <t>R29=1065</t>
  </si>
  <si>
    <t>R29=1066</t>
  </si>
  <si>
    <t>R29=1067</t>
  </si>
  <si>
    <t>R29=1068</t>
  </si>
  <si>
    <t>R29=1069</t>
  </si>
  <si>
    <t>R29=1070</t>
  </si>
  <si>
    <t>R29=1071</t>
  </si>
  <si>
    <t>R29=1072</t>
  </si>
  <si>
    <t>R29=1073</t>
  </si>
  <si>
    <t>R29=1074</t>
  </si>
  <si>
    <t>R29=1075</t>
  </si>
  <si>
    <t>R29=1076</t>
  </si>
  <si>
    <t>R29=1077</t>
  </si>
  <si>
    <t>R29=1078</t>
  </si>
  <si>
    <t>R29=1079</t>
  </si>
  <si>
    <t>R29=1080</t>
  </si>
  <si>
    <t>R29=1081</t>
  </si>
  <si>
    <t>R29=1082</t>
  </si>
  <si>
    <t>R29=1083</t>
  </si>
  <si>
    <t>R29=1084</t>
  </si>
  <si>
    <t>R29=1085</t>
  </si>
  <si>
    <t>R29=1088</t>
  </si>
  <si>
    <t>R29=1089</t>
  </si>
  <si>
    <t>R29=1999</t>
  </si>
  <si>
    <t>R29=2001</t>
  </si>
  <si>
    <t>R29=2002</t>
  </si>
  <si>
    <t>R29=2003</t>
  </si>
  <si>
    <t>R29=2004</t>
  </si>
  <si>
    <t>R29=2005</t>
  </si>
  <si>
    <t>R29=2006</t>
  </si>
  <si>
    <t>R29=2007</t>
  </si>
  <si>
    <t>R29=2008</t>
  </si>
  <si>
    <t>R29=2009</t>
  </si>
  <si>
    <t>R29=2010</t>
  </si>
  <si>
    <t>R29=2011</t>
  </si>
  <si>
    <t>R29=2012</t>
  </si>
  <si>
    <t>R29=2013</t>
  </si>
  <si>
    <t>R29=2014</t>
  </si>
  <si>
    <t>R29=2015</t>
  </si>
  <si>
    <t>R29=2016</t>
  </si>
  <si>
    <t>R29=3000</t>
  </si>
  <si>
    <t>R29=3001</t>
  </si>
  <si>
    <t>R29=3999</t>
  </si>
  <si>
    <t>R29=4000</t>
  </si>
  <si>
    <t>R29=5000</t>
  </si>
  <si>
    <t>R29=5001</t>
  </si>
  <si>
    <t>R29=2400</t>
  </si>
  <si>
    <t>Проверка на корректность аналитик "Страны мира/ Территории муниципальных образований"</t>
  </si>
  <si>
    <t>Проверка на корректность и заполненность аналитик</t>
  </si>
  <si>
    <t>{5131300_~_~_~} Поступление средств займов по договорам кэш пулинга на счет пул-лидера</t>
  </si>
  <si>
    <t>CZ05556121</t>
  </si>
  <si>
    <t>91310000MA1FW5B51F</t>
  </si>
  <si>
    <t>{20040000} Расходы в связи с выполнением работ, оказанием услуг физическими лицами по договорам гражданско-правового характера, не связанных с реализацией мероприятий по поддержке трудоспособности работников</t>
  </si>
  <si>
    <t>Проверка на корректность "Х" в колонке "Бюджет для перечисления налогов"</t>
  </si>
  <si>
    <t>Преобразование ИИН Контрагента</t>
  </si>
  <si>
    <t>Преобразование ИНН Контрагента</t>
  </si>
  <si>
    <t>Вспомогательная таблица: Исключение компаний, по которым есть сверка в портале ВГО</t>
  </si>
  <si>
    <t>Проверка использования ИНН и ГИД</t>
  </si>
  <si>
    <t xml:space="preserve">Бухгалтерский баланс </t>
  </si>
  <si>
    <t>Баланс (Прочие оборотные Активы и Резервы в пассиве, ДБП, ц.ф.)</t>
  </si>
  <si>
    <t>Баланс (Заемные средства (как долгосрочные, так и краткосрочные))</t>
  </si>
  <si>
    <t>Баланс (Раздел Капитал)</t>
  </si>
  <si>
    <t>Баланс (Запасы)</t>
  </si>
  <si>
    <t>Баланс (ДТ и КТ )</t>
  </si>
  <si>
    <t xml:space="preserve">Баланс (Денежные средства) </t>
  </si>
  <si>
    <t>Баланс (Финансовые вложения (долгосрочные, краткосрочные))</t>
  </si>
  <si>
    <t>Баланс (ОНА/ОНО)</t>
  </si>
  <si>
    <t>Денисова Ольга Александровна  OAlDenisova@rosatom.ru  (499) 949-41-89</t>
  </si>
  <si>
    <t>Баланс (1й раздел в части НМА, ОСов, НИОКРов и Прочих ВНА)</t>
  </si>
  <si>
    <t>в т.ч. краткосрочная часть</t>
  </si>
  <si>
    <t>долгосрочная часть</t>
  </si>
  <si>
    <t>98.01.1.1</t>
  </si>
  <si>
    <t>Целевое финансирование за счет бюджетных средств. Краткосрочные</t>
  </si>
  <si>
    <t>98.01.1.2</t>
  </si>
  <si>
    <t>Целевое финансирование за счет бюджетных средств. Долгосрочные</t>
  </si>
  <si>
    <t>98.01.2.1</t>
  </si>
  <si>
    <t>Целевое финансирование за счет МТП. Краткосрочные</t>
  </si>
  <si>
    <t>98.01.2.2</t>
  </si>
  <si>
    <t>Целевое финансирование за счет МТП. Долгосрочные</t>
  </si>
  <si>
    <t>98.01.3.1</t>
  </si>
  <si>
    <t>Целевое финансирование за счет резервов. Краткосрочные</t>
  </si>
  <si>
    <t>Целевое финансирование за счет резервов. Долгосрочные</t>
  </si>
  <si>
    <t>98.01.4.1</t>
  </si>
  <si>
    <t>Целевое финансирование за счет прочих источников. Краткосрочные</t>
  </si>
  <si>
    <t>98.01.4.2</t>
  </si>
  <si>
    <t>Целевое финансирование за счет прочих источников. Долгосрочные</t>
  </si>
  <si>
    <t>98.02.1</t>
  </si>
  <si>
    <t>Безвозмездные поступления. Краткосрочные</t>
  </si>
  <si>
    <t>98.02.2</t>
  </si>
  <si>
    <t>Безвозмездные поступления. Долгосрочные</t>
  </si>
  <si>
    <t>98.04.1</t>
  </si>
  <si>
    <t>Прочие доходы будущих периодов. Краткосрочные</t>
  </si>
  <si>
    <t>98.04.2</t>
  </si>
  <si>
    <t>Прочие доходы будущих периодов. Долгосрочные</t>
  </si>
  <si>
    <t>Баланс (Прочие обязательства)</t>
  </si>
  <si>
    <t>98.01.3.2</t>
  </si>
  <si>
    <t>{100100} Представительские расходы</t>
  </si>
  <si>
    <t>{100200} Аудиторские услуги</t>
  </si>
  <si>
    <t>{100300} Юридические и нотариальные услуги</t>
  </si>
  <si>
    <t>{100400} Консультационные услуги</t>
  </si>
  <si>
    <t>{100500} Расходы на содержание служебного транспорта</t>
  </si>
  <si>
    <t>{100600} Затраты на подписку периодических изданий , специальную литературу</t>
  </si>
  <si>
    <t>{100700} Услуги по охране труда и технике безопасности</t>
  </si>
  <si>
    <t>{100800} Услуги по проведению природоохранных мероприятий</t>
  </si>
  <si>
    <t>{100900} Расходы на обучение, оценку и развитие персонала</t>
  </si>
  <si>
    <t>{101000} Возмещение расходов, связанных со служебными командировками по РФ и служебными поездками по РФ</t>
  </si>
  <si>
    <t>{101100} Возмещение расходов, связанных со служебными командировками зарубеж и служебными поездками зарубеж</t>
  </si>
  <si>
    <t>{101200} Реклама и маркетинг</t>
  </si>
  <si>
    <t>{101300} Социологические исследования</t>
  </si>
  <si>
    <t>{101400} Затраты на сертификацию и лицензирование</t>
  </si>
  <si>
    <t>{101500} Информационно-техническое обеспечение</t>
  </si>
  <si>
    <t>{101600} Обязательное страхование имущества и ответственности</t>
  </si>
  <si>
    <t>{101700} Добровольное страхование имущества и ответственности</t>
  </si>
  <si>
    <t>{101800} Обязательное страхование работников</t>
  </si>
  <si>
    <t>{101900} Добровольное страхование работников и членов их семей</t>
  </si>
  <si>
    <t>{102000} Расходы от реализации и прочего выбытия основных средств</t>
  </si>
  <si>
    <t>{102100} Расходы от реализации НМА</t>
  </si>
  <si>
    <t>{102200} Расходы от реализации незавершенного строительства</t>
  </si>
  <si>
    <t>{102300} Расходы от реализации сырья, материалов и неликвидов</t>
  </si>
  <si>
    <t>{102400} Расходы, связанные с реализацией прочих активов</t>
  </si>
  <si>
    <t>{102500} Расходы в виде недостачи материальных ценностей в производстве, убытки от хищений</t>
  </si>
  <si>
    <t>{102600} Ущерб от стихийных бедствий, пожаров, аварий и прочих ЧС</t>
  </si>
  <si>
    <t>{102700} Расходы на ликвидацию выводимых из эксплуатации основных средств, включая суммы недоначисленной амортизации, а также расходы на ликвидацию объектов незавершенного строительства, НМА</t>
  </si>
  <si>
    <t>{102800} Расходы на НИОКР и ПИР</t>
  </si>
  <si>
    <t>{102900} Расходы, производимые в рамках целевого финансирования из федерального, региональных и местных бюджетов</t>
  </si>
  <si>
    <t>{103000} Расходы, производимые в рамках целевого финансирования (за исключением бюджетного)</t>
  </si>
  <si>
    <t>{103100} Расходы, не возмещаемые за счет целевых источников финансирования</t>
  </si>
  <si>
    <t>{103200} Амортизация ОС</t>
  </si>
  <si>
    <t>{103300} Амортизация НМА</t>
  </si>
  <si>
    <t>{103400} Амортизация имущества, предоставляемого в пользование (аренда, лизинг)</t>
  </si>
  <si>
    <t>{103500} Амортизация ОС, приобретенных за счет отраслевых резервов, субсидий и МТП</t>
  </si>
  <si>
    <t>{103600} Амортизация НМА, приобретенных за счет отраслевых резервов, субсидий и МТП</t>
  </si>
  <si>
    <t>{103700} Амортизация и расходы по содержанию объектов, признанных в установленном порядке непрофильными, до момента их реализации или передачи</t>
  </si>
  <si>
    <t>{103800} Амортизация нефункциональных объектов ОС и НМА</t>
  </si>
  <si>
    <t>{103900} Убытки от переоценки основных средств, введенных в эксплуатацию до принятия ЕУП</t>
  </si>
  <si>
    <t>{104000} Расходы на содержание обслуживающих хозяйств и производств</t>
  </si>
  <si>
    <t>{104100} Расходы от операций купли-продажи иностранной валюты</t>
  </si>
  <si>
    <t>{104200} Штрафы и пени к уплате</t>
  </si>
  <si>
    <t>{104300} Налоги, сборы и платежи</t>
  </si>
  <si>
    <t>{104400} Налоги и сборы по прочим расходам</t>
  </si>
  <si>
    <t>{104500} Невозмещаемый НДС</t>
  </si>
  <si>
    <t>{104600} Расходы от переоценки ценных бумаг по рыночной стоимости</t>
  </si>
  <si>
    <t>{104700} Расходы по производным финансовым инструментам</t>
  </si>
  <si>
    <t>{104800} Расходы, связанные с реализацией акций и долей</t>
  </si>
  <si>
    <t>{104900} Расходы, связанные с реализацией долговых ценных бумаг</t>
  </si>
  <si>
    <t>{105000} Расходы, связанные с переуступкой прав требований</t>
  </si>
  <si>
    <t>{105100} Расходы, связанные с реализацией прочих финансовых вложений</t>
  </si>
  <si>
    <t>{105200} Безвозмездная финансовая помощь между материнской и дочерней организацией, в т.ч. на пополнение чистых активов</t>
  </si>
  <si>
    <t>{105300} Безвозмездная передача (включая передачу в безвозмездное пользование) непрофильных активов в адрес государственных, муниципальных органов и НКО по согласованию с Госкорпорацией «Росатом»</t>
  </si>
  <si>
    <t>{105400} Безвозмездная передача имущества (работ, услуг, имущественных прав) и расходы, связанные с такой передачей (прочие основания)</t>
  </si>
  <si>
    <t>{105500} Убытки прошлых лет, признанные в текущем году (нетто)</t>
  </si>
  <si>
    <t>{105600} Убытки прошлых лет, включенные в расходы в предыдущих налоговых периодах (уточненные декларации поданы в налоговые органы)</t>
  </si>
  <si>
    <t>{105700} Убытки прошлых лет, выявленные в текущем году (расходы в налоговом учете не учтены, уточненные декларации не поданы)</t>
  </si>
  <si>
    <t>{105800} Убытки прошлых лет, признанные в текущем году (НДС)</t>
  </si>
  <si>
    <t>{105900} Расходы по благотворительной деятельности согласно программе, согласованной комитетом по благотворительной деятельности Госкорпорации «Росатом» и соответствующие закону "О благотворительной деятельности и благотворительной организации"</t>
  </si>
  <si>
    <t>{106000} Расходы на благотворительность (прочие)</t>
  </si>
  <si>
    <t>{106100} Целевые взносы некоммерческим организациям</t>
  </si>
  <si>
    <t>{106200} Расходы на содержание профсоюзных организаций</t>
  </si>
  <si>
    <t>{106300} Расходы, произведенные в пользу работника, предусмотренные трудовым договором и (или) коллективным договором</t>
  </si>
  <si>
    <t>{106400} Расходы, произведенные в пользу работника, не предусмотренные трудовым договором и (или) коллективным договором</t>
  </si>
  <si>
    <t>{106500} Оценочные обязательства, связанные с персоналом</t>
  </si>
  <si>
    <t>{106600} Расходы в связи с выполнением работ, оказанием услуг физическими лицами по договорам гражданско-правового характера (кроме ПБОЮЛ)</t>
  </si>
  <si>
    <t>{106700} Санаторно-курортное лечение и оздоровление</t>
  </si>
  <si>
    <t>{106800} Поддержка неработающих пенсионеров</t>
  </si>
  <si>
    <t>{106900} Страховые взносы</t>
  </si>
  <si>
    <t>{107000} Страховые взносы во внебюджетные фонды по социальным выплатам</t>
  </si>
  <si>
    <t>{107100} Расходы на содержание объектов социальной инфраструктуры</t>
  </si>
  <si>
    <t>{107200} Выплаты социального характера работникам</t>
  </si>
  <si>
    <t>{107300} Расходы на содержание молодежных организаций</t>
  </si>
  <si>
    <t>{107400} Прочие расходы социального характера</t>
  </si>
  <si>
    <t>{107500} Прочие расходы на персонал</t>
  </si>
  <si>
    <t>{107600} Расходы на программу создание и развитие НИЯУ МИФИ</t>
  </si>
  <si>
    <t>{107700} Расходы на взаимодействие с иными образовательными организациями</t>
  </si>
  <si>
    <t>{107800} Расходы на корпоративные, спортивные и культурные мероприятия</t>
  </si>
  <si>
    <t>{107900} Проценты к уплате по долгосрочным кредитам и займам, кроме облигационных</t>
  </si>
  <si>
    <t>{108000} Проценты к уплате по краткосрочным кредитам и займам, кроме облигационных</t>
  </si>
  <si>
    <t>{108100} Прочие проценты к уплате</t>
  </si>
  <si>
    <t>{108200} Расходы на услуги банков, кроме процентных расходов</t>
  </si>
  <si>
    <t>{108300} Списание дебиторской задолженности, под которую не сформирован резерв по сомнительной задолженности</t>
  </si>
  <si>
    <t>{108400} Судебные расходы и арбитражные споры</t>
  </si>
  <si>
    <t>{108500} Расходы на Специальные экологические программы</t>
  </si>
  <si>
    <t>{108600} Выплаты членам совета директоров, наблюдательного совета, ревизинной коммисии</t>
  </si>
  <si>
    <t>{108700} Прочие расходы на проведение собрания акционеров, совета директоров, наблюдательного совета, ревизинной коммисии</t>
  </si>
  <si>
    <t>{108800} Отчисления в оценочные резервы</t>
  </si>
  <si>
    <t>{108900} Отчисления в оценочные обязательства</t>
  </si>
  <si>
    <t>{199900} Прочие расходы</t>
  </si>
  <si>
    <t>{200100} Доходы прошлых лет, выявленные в отчетном периоде (нетто)</t>
  </si>
  <si>
    <t>{200200} Доходы от переоценки ценных бумаг по рыночной стоимости</t>
  </si>
  <si>
    <t>{200300} Доходы по производным финансовым инструментам</t>
  </si>
  <si>
    <t>{200400} Доходы, связанные с реализацией акций, долей</t>
  </si>
  <si>
    <t>{200500} Доходы от реализации долговых ценных бумаг</t>
  </si>
  <si>
    <t>{200600} Доходы от переуступки прав требований</t>
  </si>
  <si>
    <t>{200700} Доходы от реализации прочих финансовых вложений</t>
  </si>
  <si>
    <t>{200800} Доходы от переоценки основных средств, введенных в эксплуатацию до принятия ЕУП</t>
  </si>
  <si>
    <t>{200900} Доходы от долевого участия в других организациях</t>
  </si>
  <si>
    <t>{201000} Доходы от совместной деятельности</t>
  </si>
  <si>
    <t>{201100} Доходы, связанные с имуществом, полученным безвозмездно</t>
  </si>
  <si>
    <t>{201200} Доходы, связанные с имуществом, полученным из федерального, региональных и местных бюджетов</t>
  </si>
  <si>
    <t>{201300} Доходы, связанные с имуществом, полученным в рамках целевого финансирования (за исключением бюджетного)</t>
  </si>
  <si>
    <t>{201400} Доходы в виде списанной кредиторской задолженности</t>
  </si>
  <si>
    <t>{201500} Доходы в виде сумм восстановленных оценочных резервов</t>
  </si>
  <si>
    <t>{201600} Доходы от операций купли-продажи иностранной валюты</t>
  </si>
  <si>
    <t>{299900} Другие доходы</t>
  </si>
  <si>
    <t>{300100} Списание на расходы стоимости НИОКР по перечню, установленному Правительством РФ</t>
  </si>
  <si>
    <t>{399900} Прочие расходы</t>
  </si>
  <si>
    <t>R29=2999</t>
  </si>
  <si>
    <t>R29=1086</t>
  </si>
  <si>
    <t>R29=1087</t>
  </si>
  <si>
    <t>R29=1055</t>
  </si>
  <si>
    <t>C1=F_O2;C3=20;C2=YTD;C6=0101</t>
  </si>
  <si>
    <t>C1=F_O2;C3=10;C2=YTD;C6=0101</t>
  </si>
  <si>
    <t>R29=1014</t>
  </si>
  <si>
    <t>R29=1041</t>
  </si>
  <si>
    <t>2671_2721</t>
  </si>
  <si>
    <t>Погашено в течение периода - Расчеты денежными средствами</t>
  </si>
  <si>
    <t>58_04, 58_01_1, 58_01_2 и 50_51_52_55_57_движ</t>
  </si>
  <si>
    <t>ИиС РФЯЦ - ВНИИЭФ</t>
  </si>
  <si>
    <t>АО "Трансэнерго"</t>
  </si>
  <si>
    <t>прочие_расш</t>
  </si>
  <si>
    <t>Проверка знаков по видам движения Лист 67</t>
  </si>
  <si>
    <t>Проверка знаков по видам движения Лист 66</t>
  </si>
  <si>
    <t>Поступление: Оборудование, изготовленное собственными силами, требующее монтажа</t>
  </si>
  <si>
    <t>Налоги и сборы социального характера в иностранный бюджет</t>
  </si>
  <si>
    <t>68.02.21</t>
  </si>
  <si>
    <t>68.01.21</t>
  </si>
  <si>
    <t>F_M0096</t>
  </si>
  <si>
    <t>4122/4129</t>
  </si>
  <si>
    <t>4119/4129</t>
  </si>
  <si>
    <t>4311/4323</t>
  </si>
  <si>
    <t>Проверка отсутствия отрицательных остатков</t>
  </si>
  <si>
    <t>Проверка отсутствия отрицательных остатков счет 52</t>
  </si>
  <si>
    <t>Проверка отсутствия отрицательных остатков счет 51</t>
  </si>
  <si>
    <t>KABUSHIKI KAISHA TENEX-JAPAN</t>
  </si>
  <si>
    <t>"AKKUYU NUKLEER ANONIM SIRKETI"</t>
  </si>
  <si>
    <t>ООО "АРМЗ Сервис"</t>
  </si>
  <si>
    <t>АО "Ордена Трудового Красного Знамени Научно-исследовательский физико-химический институт имени Л.Я. Карпова" (НИФХИ)</t>
  </si>
  <si>
    <t xml:space="preserve"> АО "Русатом Автоматизированные системы управления"</t>
  </si>
  <si>
    <t>ООО "Системы Мониторинга "Беркут"</t>
  </si>
  <si>
    <t>АО "Управляющая компания индустриального парка "Нижние котлы"</t>
  </si>
  <si>
    <t xml:space="preserve">ООО "Турбинные технологии ААЭМ" </t>
  </si>
  <si>
    <t>ООО "АТОММАШ-СЕРВИС"</t>
  </si>
  <si>
    <t>СЗАО "Изотопные технологии"</t>
  </si>
  <si>
    <t>ООО "Научно-производственное предприятие «Инжект»</t>
  </si>
  <si>
    <t>СП "Пекинская КИАЭ-НИИАР компания радиоизотопов с ограниченной ответственностью"</t>
  </si>
  <si>
    <t>ООО Медицинская компания «Медсанчасть»</t>
  </si>
  <si>
    <t xml:space="preserve">ООО "Объединенные урановые предприятия" </t>
  </si>
  <si>
    <t>АО «Опытное предприятие атомно-энергетического и нефтехимического машиностроения»</t>
  </si>
  <si>
    <t>ООО "Уральский Генерирующий Конверсионный Холдинг"</t>
  </si>
  <si>
    <t>ООО "ППГХО-Услуги"</t>
  </si>
  <si>
    <t>ООО "Центр компетенции и обучения"</t>
  </si>
  <si>
    <t>РУСАТ</t>
  </si>
  <si>
    <t>ООО «Русатом-Аддитивные технологии»</t>
  </si>
  <si>
    <t>АО "Русатом Оверсиз"</t>
  </si>
  <si>
    <t>АО "Федеральный научно-производственный центр "Производственное объединение "Старт" имени М.В. Проценко"</t>
  </si>
  <si>
    <t>Проверка Лист 50_51_52_55_57_движ, по статьям поступлений нет Кт оборотов и по статьям расходов нет Дт оборотов</t>
  </si>
  <si>
    <t>АО «НИИЭФА им. Д.В. Ефремова»</t>
  </si>
  <si>
    <t>{113101} Резерв на обеспечение безопасности до 2008</t>
  </si>
  <si>
    <t>{113102} Резерв на обеспечение безопасности 2008</t>
  </si>
  <si>
    <t>{113103} Резерв на обеспечение безопасности 2009</t>
  </si>
  <si>
    <t>{113104} Резерв на обеспечение безопасности 2010</t>
  </si>
  <si>
    <t>{113105} Резерв на обеспечение безопасности 2011</t>
  </si>
  <si>
    <t>{125101} Резерв на вывод из эксплуатации и НИОКР ГК до 2008</t>
  </si>
  <si>
    <t>{113112} Резерв на обеспечение безопасности 2012</t>
  </si>
  <si>
    <t>{125102} Резерв на вывод из эксплуатации и НИОКР ГК 2008</t>
  </si>
  <si>
    <t>{125103} Резерв на вывод из эксплуатации и НИОКР ГК 2009</t>
  </si>
  <si>
    <t>{125104} Резерв на вывод из эксплуатации и НИОКР ГК 2010</t>
  </si>
  <si>
    <t>{125105} Резерв на вывод из эксплуатации и НИОКР ГК 2011</t>
  </si>
  <si>
    <t>{125112} Резерв на вывод из эксплуатации и НИОКР ГК 2012</t>
  </si>
  <si>
    <t>{113201} Резерв на вывод из эксплуатации и НИОКР до 2008</t>
  </si>
  <si>
    <t>{113202} Резерв на вывод из эксплуатации и НИОКР 2008</t>
  </si>
  <si>
    <t>{113203} Резерв на вывод из эксплуатации и НИОКР 2009</t>
  </si>
  <si>
    <t>{113204} Резерв на вывод из эксплуатации и НИОКР 2010</t>
  </si>
  <si>
    <t>{113205} Резерв на вывод из эксплуатации и НИОКР 2011</t>
  </si>
  <si>
    <t>{125201} Резерв на физическую защиту ГК до 2008</t>
  </si>
  <si>
    <t>{113212} Резерв на вывод из эксплуатации и НИОКР 2012</t>
  </si>
  <si>
    <t>{125202} Резерв на физическую защиту ГК 2008</t>
  </si>
  <si>
    <t>{125203} Резерв на физическую защиту ГК 2009</t>
  </si>
  <si>
    <t>{125204} Резерв на физическую защиту ГК 2010</t>
  </si>
  <si>
    <t>{125205} Резерв на физическую защиту ГК 2011</t>
  </si>
  <si>
    <t>{125212} Резерв на физическую защиту ГК 2012</t>
  </si>
  <si>
    <t>{113301} Резерв на физическую защиту до 2008</t>
  </si>
  <si>
    <t>{113302} Резерв на физическую защиту 2008</t>
  </si>
  <si>
    <t>{113303} Резерв на физическую защиту 2009</t>
  </si>
  <si>
    <t>{113304} Резерв на физическую защиту 2010</t>
  </si>
  <si>
    <t>{113305} Резерв на физическую защиту 2011</t>
  </si>
  <si>
    <t>{125301} Резерв на развитие ГК до 2008</t>
  </si>
  <si>
    <t>{113312} Резерв на физическую защиту 2012</t>
  </si>
  <si>
    <t>{125302} Резерв на развитие ГК 2008</t>
  </si>
  <si>
    <t>{125303} Резерв на развитие ГК 2009</t>
  </si>
  <si>
    <t>{125304} Резерв на развитие ГК 2010</t>
  </si>
  <si>
    <t>{125305} Резерв на развитие ГК 2011</t>
  </si>
  <si>
    <t>{125312} Резерв на развитие ГК 2012</t>
  </si>
  <si>
    <t>{113401} Резерв на развитие до 2008</t>
  </si>
  <si>
    <t>{113402} Резерв на развитие 2008</t>
  </si>
  <si>
    <t>{113403} Резерв на развитие 2009</t>
  </si>
  <si>
    <t>{113404} Резерв на развитие 2010</t>
  </si>
  <si>
    <t>{113405} Резерв на развитие 2011</t>
  </si>
  <si>
    <t>{125401} Резерв на безопасность до 2008</t>
  </si>
  <si>
    <t>{113412} Резерв на развитие 2012</t>
  </si>
  <si>
    <t>{125402} Резерв на безопасность 2008</t>
  </si>
  <si>
    <t>{125403} Резерв на безопасность 2009</t>
  </si>
  <si>
    <t>{125404} Резерв на безопасность 2010</t>
  </si>
  <si>
    <t>{125405} Резерв на безопасность 2011</t>
  </si>
  <si>
    <t>{125412} Резерв на безопасность 2012</t>
  </si>
  <si>
    <t>{126001} Резерв на безопасность (АТЦ) 2010</t>
  </si>
  <si>
    <t>{126002} Резерв на безопасность (АТЦ) 2011</t>
  </si>
  <si>
    <t>{126012} Резерв на безопасность (АТЦ) 2012</t>
  </si>
  <si>
    <t>комментарии</t>
  </si>
  <si>
    <t>Проверка наличия комментария в аналитике "{4} Прочие"</t>
  </si>
  <si>
    <t>{12030300} Дизельное топливо (покупное) для транспортных средств</t>
  </si>
  <si>
    <t>{13040100} Компенсация технологического расхода (потерь) теплоэнергии в паре</t>
  </si>
  <si>
    <t>{13040200} Компенсация технологического расхода (потерь) теплоэнергии в горячей воде</t>
  </si>
  <si>
    <t>10019</t>
  </si>
  <si>
    <t>Проверка, что пустых номеров договора в К5 быть не должно</t>
  </si>
  <si>
    <t>Преобразуем ИНН</t>
  </si>
  <si>
    <t>Ищем ИНН в списке компаний</t>
  </si>
  <si>
    <t>Контрагент внешний?</t>
  </si>
  <si>
    <t>Контрагент входит в АЭПК?</t>
  </si>
  <si>
    <t>Контрагент входит в ГК?</t>
  </si>
  <si>
    <t>Контрагент входит только в ГК-АЭПК?</t>
  </si>
  <si>
    <t>Аванс должен быть  на листе 60_62_76_контр?</t>
  </si>
  <si>
    <t>Запускать проверку?</t>
  </si>
  <si>
    <t>АО "ГАРДЕА"</t>
  </si>
  <si>
    <t>CZ26426129</t>
  </si>
  <si>
    <t>Проверка Дт и Кт (Реклассификация (из группы в группу)) Лист 08</t>
  </si>
  <si>
    <t>Проверка на корректность заполнения колонки "Бюджет для перечисления налогов"</t>
  </si>
  <si>
    <t>Проверка, что пустых ячеек в К4 - К8 быть не должно</t>
  </si>
  <si>
    <t xml:space="preserve">Величина обязательств не больше, чем начислено + авансы выданные </t>
  </si>
  <si>
    <t>_2730_124</t>
  </si>
  <si>
    <t>_2730_14</t>
  </si>
  <si>
    <t>_2730_24</t>
  </si>
  <si>
    <t>_2730_4</t>
  </si>
  <si>
    <t>Проверка отсутствия отрицательных остатков счет 50</t>
  </si>
  <si>
    <t>Проверка отсутствия отрицательных остатков счет 55</t>
  </si>
  <si>
    <t>Проверка отсутствия отрицательных остатков счет 57</t>
  </si>
  <si>
    <t>Лист Свод_по_счетам</t>
  </si>
  <si>
    <t xml:space="preserve">Проверка остатков по счетам </t>
  </si>
  <si>
    <t>Перевод краткосрочные/долгосрочные</t>
  </si>
  <si>
    <t xml:space="preserve">Проверка соответствия знаков по  видам движению  (колонки M - S/колонки AA - AB) </t>
  </si>
  <si>
    <t xml:space="preserve">Проверка соответствия знаков по  видам движению  (колонки M - S/колонки Z - AA) </t>
  </si>
  <si>
    <t>Общая, актуализированная  величина всех затрат относящихся к договору (признанные за все периоды + ожидаемые до конца договора)</t>
  </si>
  <si>
    <t>АО «Ордена Ленина Научно-исследовательский и конструкторский институт энерготехники имени Н.А. Доллежаля»</t>
  </si>
  <si>
    <t>ВетроОГК-2</t>
  </si>
  <si>
    <t>АО  «Ветроэнергетическая отдельная генерирующая компания-2»</t>
  </si>
  <si>
    <t>ОАО "ЭнергосбыТ Плюс"</t>
  </si>
  <si>
    <t>АО "СО ЕЭС"</t>
  </si>
  <si>
    <t>ПАО "МРСК Сибири"</t>
  </si>
  <si>
    <t>ФГУП "ЦЭНКИ"</t>
  </si>
  <si>
    <t>ФГУП "ВИМИ"</t>
  </si>
  <si>
    <t>ФГУП РСВО</t>
  </si>
  <si>
    <t>{9100} Технологическое присоединение к электросетям</t>
  </si>
  <si>
    <t>0302001219</t>
  </si>
  <si>
    <t>Наименование конечного контрагента</t>
  </si>
  <si>
    <t>{HUF} Венгерский форинт</t>
  </si>
  <si>
    <t>Кукоба Мария Викторовна  MVKukoba@rosatom.ru  (499) 949-26-20
Кожевникова Светлана Игоревна  SIKozhevnikova@rosatom.ru  (499) 949-43-51</t>
  </si>
  <si>
    <t>Вспомогательная таблица для проверки суммы авансов на листах "Долгосроч_договоры" и "60, 62,76_контр"</t>
  </si>
  <si>
    <t>Сумма за выполненные работы, не предъявленная заказчику на листе "Долгосроч_договоры"</t>
  </si>
  <si>
    <t>Сумма за выполненные работы, не предъявленная заказчику на листе "46"</t>
  </si>
  <si>
    <t>Сумма за выполненные работы, не предъявленная заказчику на листе "Долгосроч_договоры" столбец К31 должна сходится с остатком на листе 46</t>
  </si>
  <si>
    <t>Сумма в колонке К11 должна быть меньше или равна сумме в колонке К21</t>
  </si>
  <si>
    <t>Налоговые льготы</t>
  </si>
  <si>
    <t>Вид налога/сбора (налог на прибыль, ФСС)</t>
  </si>
  <si>
    <t xml:space="preserve">Территории муниципальных образований </t>
  </si>
  <si>
    <t xml:space="preserve"> ЦФО 4-го уровня (филиалы), выделенные на отдельный баланс</t>
  </si>
  <si>
    <t>Налоговая ставка/размер скидки (для ФСС), %</t>
  </si>
  <si>
    <t>Использование</t>
  </si>
  <si>
    <t>Причины не использования льгот (только для ФСС и НИОКР)</t>
  </si>
  <si>
    <t>{20} ЕСН (ФСС)</t>
  </si>
  <si>
    <t>1014
ЦФО 4 уровня Филиал</t>
  </si>
  <si>
    <t>Высоковольтный научно-исследовательский центр (ВНИЦ ВЭИ имени В.И. Ленина) - филиал ФГУП "Всероссийский электротехнический институт имени В.И. Ленина"</t>
  </si>
  <si>
    <t>Волгодонский филиал АО "Инжиниринговая компания "АЭМ-технологии"</t>
  </si>
  <si>
    <t>Удомельский филиал Закрытого акционерного общества "Атомтрубопроводмонтаж"</t>
  </si>
  <si>
    <t>Ангарский филиал ООО "Новоуральский приборный завод"</t>
  </si>
  <si>
    <t>Зеленогорский филиал ООО "Новоуральский приборный завод"</t>
  </si>
  <si>
    <t>Петрозаводский филиал Акционерного общества "Инжиниринговая компания "АЭМ-технологии"</t>
  </si>
  <si>
    <t>Филиал ОАО "Энергоспецмонтаж" ВУС-ЭСМ</t>
  </si>
  <si>
    <t>Филиал ОАО "Энергоспецмонтаж" "Монтажно-строительное управление №3"</t>
  </si>
  <si>
    <t>Филиал ОАО "Энергоспецмонтаж" "Монтажно-строительное управление №4"</t>
  </si>
  <si>
    <t>МСУ-58 филиал ОАО "Энергоспецмонтаж"</t>
  </si>
  <si>
    <t>Монтажно-строительное управление №8 филиал ОАО "Энергоспецмонтаж" ПУ</t>
  </si>
  <si>
    <t>Монтажно-строительное управление №8 филиал ОАО "Энергоспецмонтаж"</t>
  </si>
  <si>
    <t>Филиал "Северозападный "  ОАО "Энергоспецмонтаж"</t>
  </si>
  <si>
    <t>Филиал ОАО " Энергоспецмонтаж " "Управление механизации и автотранспорта"</t>
  </si>
  <si>
    <t>Уральский филиал АО "Атомспецтранс"</t>
  </si>
  <si>
    <t>Красноярский филиал АО "Атомспецтранс"</t>
  </si>
  <si>
    <t>Новоуральский филиал АО "Атомспецтранс"</t>
  </si>
  <si>
    <t>Сибирский филиал АО "Атомспецтранс"</t>
  </si>
  <si>
    <t>Центральный филиал АО "Атомспецтранс"</t>
  </si>
  <si>
    <t>Балаковский филиал «Балаковоатомтехэнерго» АО «Атомтехэнерго»</t>
  </si>
  <si>
    <t>Калининский филиал «Калининатомтехэнерго» АО «Атомтехэнерго»</t>
  </si>
  <si>
    <t>Московский филиал «Центратомтехэнерго» АО «Атомтехэнерго»</t>
  </si>
  <si>
    <t>Нововоронежский филиал учебно-тренировочный центр «Атомтехэнерго»</t>
  </si>
  <si>
    <t>Нововоронежский филиал «Нововоронежатомтехэнерго» АО «Атомтехэнерго»</t>
  </si>
  <si>
    <t>Ростовский филиал «Ростоватомтехэнерго» АО «Атомтехэнерго»</t>
  </si>
  <si>
    <t>Смоленский филиал «Смоленскатомтехэнерго» АО «Атомтехэнерго»</t>
  </si>
  <si>
    <t>Смоленский филиал учебно-тренировочный центр «Атомтехэнерго»</t>
  </si>
  <si>
    <t>Нововоронежский проектно-изыскательский филиал(НПИФ) АО «Атомэнергопроект»</t>
  </si>
  <si>
    <t>Малоярославецкий изыскательский филиал АО «Атомэнергопроект»</t>
  </si>
  <si>
    <t>Нововоронежский филиал АО "Атомэнергопроект" - гостиница "Дон"</t>
  </si>
  <si>
    <t>Нововоронежский филиал АО "Атомэнергопроект" - Дирекция по сооружению НВАЭС-2</t>
  </si>
  <si>
    <t>Балаковский проектно-изыскательский филиал АО "Атомэнергопроект"</t>
  </si>
  <si>
    <t>Десногорский проектно-изыскательский филиал АО "Атомэнергопроект"</t>
  </si>
  <si>
    <t>Курчатовский проектно-изыскательский филиал АО "Атомэнергопроект"</t>
  </si>
  <si>
    <t>Московский проектно-конструкторский филиал АО "Атомэнергопроект" - дизайн центр ВВЭР</t>
  </si>
  <si>
    <t>Филиал АО "Атомэнергопроект" ВНИПИЭТ</t>
  </si>
  <si>
    <t>Филиал ОАО "НИИТФА" в г. Саранск</t>
  </si>
  <si>
    <t>филиал ОХТЗ ОАО "ВНИИХТ"</t>
  </si>
  <si>
    <t>Уральский филиал</t>
  </si>
  <si>
    <t>Красноярский филиал</t>
  </si>
  <si>
    <t>Новосибирский филиал</t>
  </si>
  <si>
    <t>Филиал АО «Концерн Росэнергоатом»«Балаковская атомная станция»</t>
  </si>
  <si>
    <t>Филиал АО «Концерн Росэнергоатом»«Белоярская атомная станция»</t>
  </si>
  <si>
    <t>Филиал АО «Концерн Росэнергоатом»«Билибинская атомная станция»</t>
  </si>
  <si>
    <t>Филиал АО «Концерн Росэнергоатом»«Калининская атомная станция»</t>
  </si>
  <si>
    <t>Филиал АО «Концерн Росэнергоатом»«Кольская атомная станция»</t>
  </si>
  <si>
    <t>Филиал АО «Концерн Росэнергоатом»«Курская атомная станция»</t>
  </si>
  <si>
    <t>Филиал АО «Концерн Росэнергоатом»«Ленинградская атомная станция»</t>
  </si>
  <si>
    <t>Филиал АО «Концерн Росэнергоатом»«Нововоронежская атомная станция»</t>
  </si>
  <si>
    <t>Филиал АО «Концерн Росэнергоатом»«Смоленская атомная станция»</t>
  </si>
  <si>
    <t>Филиал АО «Концерн Росэнергоатом»«Ростовская атомная станция»</t>
  </si>
  <si>
    <t>Филиал АО «Концерн Росэнергоатом» «Дирекция строящейся Воронежской атомной станции теплоснабжения»</t>
  </si>
  <si>
    <t>Филиал АО «Концерн Росэнергоатом» «Дирекция строящейся Костромской атомной станции»</t>
  </si>
  <si>
    <t>Дирекция по сооружению и эксплуатации плавучих атомных теплоэлектростанций</t>
  </si>
  <si>
    <t>Технологический филиал</t>
  </si>
  <si>
    <t>Филиал АО «Концерн Росэнергоатом» «Дирекция строящейся Балтийской атомной станции»</t>
  </si>
  <si>
    <t>Управление сооружением объектов</t>
  </si>
  <si>
    <t>Филиал АО «Концерн Росэнергоатом» «Научно-инженерный центр»</t>
  </si>
  <si>
    <t>Филиал АО «Концерн Росэнергоатом» «Дирекция строящейся Нижегородской атомной станции»</t>
  </si>
  <si>
    <t>Филиал АО «Концерн Росэнергоатом» «Ресурс-Болгария»</t>
  </si>
  <si>
    <t>Филиал АО «Концерн Росэнергоатом» «Опытно-демонстрационный инженерный центр по выводу из эксплуатации»</t>
  </si>
  <si>
    <t>Филиал АО «Концерн Росэнергоатом» по реализации капитальных проектов</t>
  </si>
  <si>
    <t>Нововоронежатомэнергоремонт</t>
  </si>
  <si>
    <t>Смоленскатомэнергоремонт</t>
  </si>
  <si>
    <t>Калининатомэнергоремонт</t>
  </si>
  <si>
    <t>Уралатомэнергоремонт</t>
  </si>
  <si>
    <t>Балаковатомэнергоремонт</t>
  </si>
  <si>
    <t>Колатомэнергоремонт</t>
  </si>
  <si>
    <t>Волгодонскатомэнергоремонт</t>
  </si>
  <si>
    <t>Курскатомэнергоремонт</t>
  </si>
  <si>
    <t>ЛенАтомэнергоремонт</t>
  </si>
  <si>
    <t>"КурскАтомЭнергоСбыт" АО "АтомЭнергоСбыт"</t>
  </si>
  <si>
    <t>"ТверьАтомЭнергоСбыт" АО "АтомЭнергоСбыт"</t>
  </si>
  <si>
    <t>"СмоленскАтомЭнергоСбыт" АО "АтомЭнергоСбыт"</t>
  </si>
  <si>
    <t>"КолАтомЭнергоСбыт" АО "АтомЭнергоСбыт"</t>
  </si>
  <si>
    <t>Московский филиал Акционерного общества "Инжиниринговая компания "АСЭ"</t>
  </si>
  <si>
    <t>Курский филиал Акционерного общества "Инжиниринговая компания "АСЭ" - "Дирекция генерального подрядчика на Курской атомной станции-2"</t>
  </si>
  <si>
    <t>Волгодонский филиал Акционерного общества Инжиниринговая компания "АСЭ" - "Дирекция генерального подрядчика на Ростовкой атомной станции"</t>
  </si>
  <si>
    <t>Балтийский филиал Акционерного общества Иннжиниринговая компания "АСЭ" - "Дирекция генерального подрядчика на Балтийской атомной станции"</t>
  </si>
  <si>
    <t>Навашинский филиал Акционерного общества "Инжиниринговая компания "АСЭ" - "Дирекция генерального подрядчика на Нижегородской атомной станции"</t>
  </si>
  <si>
    <t>Волгодонское представительство Акционерного общества Инжиниринговая компания "АСЭ"</t>
  </si>
  <si>
    <t>Удомельский филиал Акционерного общества "Инжиниринговая компания "АСЭ" - "Дирекция генерального подрядчика на Калининской АЭС"</t>
  </si>
  <si>
    <t>Московское представительство Акционерного общества Инжиниринговая компания "АСЭ"</t>
  </si>
  <si>
    <t>Удомельское представительство Акционерного общества Инжиниринговая компания "АСЭ"</t>
  </si>
  <si>
    <t>Санкт-Петербургское представительство Акционерного общества Инжиниринговая компания "АСЭ"</t>
  </si>
  <si>
    <t>Филиал АО "ЦКБМ" "ЦКБМ 2"</t>
  </si>
  <si>
    <t>филиал АО "ОТЭК" г. Глазов</t>
  </si>
  <si>
    <t>Филиал АО "ОТЭК" г. Новоуральск</t>
  </si>
  <si>
    <t>Филиал АО "ОТЭК" г. Северск</t>
  </si>
  <si>
    <t>Филиал АО "ОТЭК" г.  Краснокаменск</t>
  </si>
  <si>
    <t>Филиал ФГУП "Аварийно-технический центр Минатома России" (г. Санкт-Петербург) Центр аварийно-спасательных подводно-технических работ "Эпрон"</t>
  </si>
  <si>
    <t>Глазовский филиал ФГУП "Аварийно-технический центр Минатома России" (г. Санкт-Петербург)</t>
  </si>
  <si>
    <t>Нововоронежский филиал ФГУП "Аварийно-технический центр Минатома России" (г. Санкт-Петербург)</t>
  </si>
  <si>
    <t>Северский филиал ФГУП "Аварийно-технический центр Минатома России" (г. Санкт-Петербург)</t>
  </si>
  <si>
    <t>Филиал "Приволжский территориальный округ"</t>
  </si>
  <si>
    <t>Филиал "Северо-Западный территориальный округ</t>
  </si>
  <si>
    <t>Филиал "Сибирский территориальный округ"</t>
  </si>
  <si>
    <t>Филиал"Уральский территориальный округ"</t>
  </si>
  <si>
    <t>Филиал "Южный территориальный округ"</t>
  </si>
  <si>
    <t>СЗЦ «СевРАО» - филиал ФГУП «РосРАО»</t>
  </si>
  <si>
    <t>ДВЦ «ДальРАО» – филиал ФГУП «РосРАО»</t>
  </si>
  <si>
    <t>Филиал "Северо-кавказский территориальный округ"</t>
  </si>
  <si>
    <t>Протвинский филиал ФГУП «НИИ НПО «ЛУЧ»</t>
  </si>
  <si>
    <t>Дмитровоградский филиал ФГУП "Национальный оператор по обращению с радиоактивными отходами"</t>
  </si>
  <si>
    <t>Северский филиал ФГУП "Национальный оператор по обращению с радиоактивными отходами"</t>
  </si>
  <si>
    <t>Железногорский филиал ФГУП "Национальный оператор по обращению с радиоактивными отходами"</t>
  </si>
  <si>
    <t>Межрегиональное управление ведомственной охраны № 7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</si>
  <si>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1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</si>
  <si>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2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</si>
  <si>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3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</si>
  <si>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4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</si>
  <si>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5 Федерального государственного унитарного предприятия "Ведомственная охрана "Росатома"</t>
  </si>
  <si>
    <t>Межрегиональное управление ведомственной охраны № 6 Федерального государственного унитарного предприятия "Ведомственная охрана "Росатома"</t>
  </si>
  <si>
    <t>Филиал АО "КОНСИСТ - ОС" "Кольский"</t>
  </si>
  <si>
    <t>Филиал АО "КОНСИСТ - ОС" "Балаковский"</t>
  </si>
  <si>
    <t>Филиал АО "КОНСИСТ-ОС" "Смоленский"</t>
  </si>
  <si>
    <t>Филиал АО "КОНСИСТ-ОС" "Нововоронежский"</t>
  </si>
  <si>
    <t>Филиал АО "КОНСИСТ-ОС" "Калининский"</t>
  </si>
  <si>
    <t>Филиал АО "КОНСИСТ - ОС" "Ленинградский"</t>
  </si>
  <si>
    <t>Филиал АО "КОНСИСТ-ОС" "Курский"</t>
  </si>
  <si>
    <t>Филиал ООО "АтомТеплоСбыт" "Атом-ЖКХ. Нововоронеж"</t>
  </si>
  <si>
    <t>Нововоронежский филиал ООО "АтомТеплоЭлектроСеть"</t>
  </si>
  <si>
    <t>Зареченский филиал ООО "АтомТеплоЭлектроСеть"</t>
  </si>
  <si>
    <t>Филиал ООО "АтомТеплоЭлектроСеть" в г.Полярные Зори</t>
  </si>
  <si>
    <t>Филиал АО "НИКИМТ - Атомстрой" - Дирекция на Смоленской АЭС</t>
  </si>
  <si>
    <t>Филиал АО "НИКИМТ - Атомстрой" Дирекция в г. Димитровграде</t>
  </si>
  <si>
    <t>Филиал АО "НИКИМТ - Атомстрой" Дирекция в г. Озерске</t>
  </si>
  <si>
    <t>Филиал АО "НИКИМТ - Атомстрой" Дирекция на Курской АЭС</t>
  </si>
  <si>
    <t>Филиал АО "НИКИМТ - Атомстрой" Дирекция на Нововоронежской АЭС</t>
  </si>
  <si>
    <t>Филиал АО "НИКИМТ - Атомстрой" ОИЦ НИКИМТ</t>
  </si>
  <si>
    <t>Филиал АО "НИКИМТ - Атомстрой" ТПИИ ВНИПИЭТ</t>
  </si>
  <si>
    <t>Московский филиал НОУ ДПО "ЦИПК Росатома"</t>
  </si>
  <si>
    <t>Филиал ОАО "Энергоспецмонтаж" "МСУ-7"</t>
  </si>
  <si>
    <t>Филиал АО "ВНИИХТ" Пансионат "Кристалл"</t>
  </si>
  <si>
    <t>Удомельский филиал ООО "АтомТеплоЭлектроСеть"</t>
  </si>
  <si>
    <t>Филиал АО "КОНСИСТ - ОС" "Волгодонский"</t>
  </si>
  <si>
    <t>использование</t>
  </si>
  <si>
    <t>частично</t>
  </si>
  <si>
    <r>
      <t>(если "нет" или "частично", то заполнить "</t>
    </r>
    <r>
      <rPr>
        <b/>
        <sz val="10"/>
        <color rgb="FFFF0000"/>
        <rFont val="Arial"/>
        <family val="2"/>
        <charset val="204"/>
      </rPr>
      <t xml:space="preserve">Причины не использования льгот </t>
    </r>
    <r>
      <rPr>
        <b/>
        <sz val="10"/>
        <color indexed="9"/>
        <rFont val="Arial"/>
        <family val="2"/>
        <charset val="204"/>
      </rPr>
      <t>")</t>
    </r>
  </si>
  <si>
    <t>{02} Применение сниженной налоговой ставки в соответствии с региональным законодательством</t>
  </si>
  <si>
    <t>{03} Применение сниженной налоговой ставки резидентами ОЭЗ и СЭЗ</t>
  </si>
  <si>
    <t>{04} Применение сниженной налоговой ставки резидентами территорий опережающего социально - экономического развития</t>
  </si>
  <si>
    <t>{05} Применение скидки к тарифам</t>
  </si>
  <si>
    <t>{101} Отсутствовали расходы на НИОКР</t>
  </si>
  <si>
    <t>{102} Темы НИОКР не соответствовали перечню Правительства РФ</t>
  </si>
  <si>
    <t>{103} Иные причины</t>
  </si>
  <si>
    <t>{501} Наличие в предшествующем финансовом году страхового случая со смертельным исходом, произошедшего не по вине третьих лиц</t>
  </si>
  <si>
    <t>{502} Непроведение специальной оценки условий труда и/или обязательных предварительных и периодических медицинских осмотрах</t>
  </si>
  <si>
    <t>{503} Один из основных показателей больше аналогичных показателей по виду экономической деятельности, к которому отнесен основной вид деятельности страхователя</t>
  </si>
  <si>
    <t>{504} Осуществление страхователем финансово-хозяйственной деятельности в течение менее 3 лет с момента его государственной регистрации до года, в котором рассчитывается скидка</t>
  </si>
  <si>
    <t>{505} Несвоевременная уплата страхователем текущих страховых взносов</t>
  </si>
  <si>
    <t>{506} Наличие задолженности по страховым взносам на дату подачи заявления об установлении скидки</t>
  </si>
  <si>
    <t>{507} Страхователь не обратился в установленный срок с заявлением об установлении скидки на текущий год к страховщику по месту своей</t>
  </si>
  <si>
    <t>2755
Причины не применения (частичного применения) налоговых льгот</t>
  </si>
  <si>
    <t>Проверка заполнения</t>
  </si>
  <si>
    <t>{01} Применение коэффициента 1,5 в отношении расходов на НИОКР в указанном периоде</t>
  </si>
  <si>
    <t>{20060000} Единовременные выплаты, перечисленные в НПФ на выходящих на пенсию работников</t>
  </si>
  <si>
    <t>{52111110} ИТ-расходы по роботизации и автоматизации</t>
  </si>
  <si>
    <t>Проверка на знаки:
во всех колонках знак в количестве должен совпадать со знаком в сумме.</t>
  </si>
  <si>
    <t>Лист 80</t>
  </si>
  <si>
    <r>
      <t xml:space="preserve">не заполнена колонка 
</t>
    </r>
    <r>
      <rPr>
        <b/>
        <sz val="10"/>
        <color rgb="FFFF0000"/>
        <rFont val="Arial"/>
        <family val="2"/>
        <charset val="204"/>
      </rPr>
      <t>"Использование"</t>
    </r>
  </si>
  <si>
    <t>«Внешние контрагенты» не превышают 5% от общей суммы задолженности</t>
  </si>
  <si>
    <t>Проверка соответствия вида расчетов задолженности/авансу + курсовые разницы</t>
  </si>
  <si>
    <t>Проверка, что в ДЗ просроченным может быть только один период (колонки O - R)</t>
  </si>
  <si>
    <t>Проверка заполнения просроченной ДЗ и КЗ задолженности</t>
  </si>
  <si>
    <t>Проверка соответствия аналитик 60_62_76</t>
  </si>
  <si>
    <t>(Дт)</t>
  </si>
  <si>
    <t>(Кт)</t>
  </si>
  <si>
    <t>Прочие расходы на персонал</t>
  </si>
  <si>
    <t>Страховые взносы</t>
  </si>
  <si>
    <t>суммы поступлений "+"
суммы выбытий "-"</t>
  </si>
  <si>
    <t>Проверка: суммы поступлений "+", суммы выбытий "-"</t>
  </si>
  <si>
    <t>Лист 10, 21, 40, 41_01,41_02, 43. 45</t>
  </si>
  <si>
    <t>Реклассификация</t>
  </si>
  <si>
    <t>Сумма реклассификации по каждому блоку в отдельности д.б. = 0</t>
  </si>
  <si>
    <t xml:space="preserve"> Сумма реклассификации по каждому блоку в отдельности на листе 96 д.б.=0</t>
  </si>
  <si>
    <t>до 3 месяцев</t>
  </si>
  <si>
    <t>от 3 до 6 месяцев</t>
  </si>
  <si>
    <t>_1015_10</t>
  </si>
  <si>
    <t>{1241} Международная техническая помощь</t>
  </si>
  <si>
    <t>{1271} Гранты</t>
  </si>
  <si>
    <t>{2310} Субсидия на выполнение гос. Функий</t>
  </si>
  <si>
    <t>{1260} Резерв на безопасность АТЦ</t>
  </si>
  <si>
    <t>Сумма реклассификации д.б. = 0</t>
  </si>
  <si>
    <t>Счет 68 - {89} Налоги, удержанные и уплаченные в бюджет другими организациями (кроме налога на прибыль), {99} Прочие
Счет 69 - {41} Расчеты по компенсационным выплатам от работодателя, не выполнившего условия квотирования</t>
  </si>
  <si>
    <t xml:space="preserve">Счет 68 - {21} Налоги и сборы социального характера в иностранный бюджет
Счет 69 - все аналитики, кроме {23} Расчеты с Пенсионным фондом РФ по дополнительным страховым взносам на накопительную часть трудовой пенсиии
и {41} Расчеты по компенсационным выплатам от работодателя, не выполнившего условия квотирования </t>
  </si>
  <si>
    <t xml:space="preserve">Источник финансирования
</t>
  </si>
  <si>
    <t>1015</t>
  </si>
  <si>
    <t>Проверка знаков для 63 счета: использовано и восстановлено всегда с "плюсом", начислено всегда с "минусом"</t>
  </si>
  <si>
    <t>Обесценение по налогам и социальному страхованию (cчет 68 и 69)</t>
  </si>
  <si>
    <t>60,62,63,76_контр</t>
  </si>
  <si>
    <t>60,62,63,76_контр, 60_01,62_02,76</t>
  </si>
  <si>
    <t>Проверка остатков 60,62,63,76_контр проверка 1</t>
  </si>
  <si>
    <t>Счет 60, 62, 63, 76. Расшифровка остатков задолженности по контрагентам и договорам. Резервы по сомнительной дебиторской задолженности</t>
  </si>
  <si>
    <t>Долгосрочное Обесценение - авансы прочие</t>
  </si>
  <si>
    <t>Краткосрочное Обесценение - авансы прочие</t>
  </si>
  <si>
    <t>Долгосрочное Обесценение торговой дебиторской задолженности</t>
  </si>
  <si>
    <t>Краткосрочное Обесценение торговой дебиторской задолженности</t>
  </si>
  <si>
    <t xml:space="preserve">Долгосрочное Обесценение прочей дебиторской задолженности </t>
  </si>
  <si>
    <t xml:space="preserve">Краткосрочное Обесценение прочей дебиторской задолженности </t>
  </si>
  <si>
    <t>Проверка соответствия Даты погашения по договору (К9) признаку Долгосрочная/
Краткосрочная (К10)</t>
  </si>
  <si>
    <t>Проверка, что аналитика в колонке К31 выбрана из выпадающего списка</t>
  </si>
  <si>
    <t xml:space="preserve"> «Контрагент входит в периметр консолидации» - относится к проверке в колонке AX</t>
  </si>
  <si>
    <t>Перед прохождением данных проверок необходимо выбрать свою компанию на листе Содержание</t>
  </si>
  <si>
    <t>{4} Задолженность в столбцах К13-К15 имеет признак нереальной для взыскания</t>
  </si>
  <si>
    <t>GID 
(Глобальный идентификатор контрагента из системы ЕОС НСИ)</t>
  </si>
  <si>
    <t>НИКИРЭТ - филиал АО "ФНПЦ "ПО "Старт" им. М.В. Проценко"</t>
  </si>
  <si>
    <t>Научно-исследовательский институт измерительных систем им. Ю.Е. Седакова</t>
  </si>
  <si>
    <t>Филиал АО "НоваВинд" в г. Ставрополе</t>
  </si>
  <si>
    <t>Филиал АО "НоваВинд" в г. Ростове-на-Дону</t>
  </si>
  <si>
    <t>Томский филиал акционерного общества "Государственный специализированный проектный институт"</t>
  </si>
  <si>
    <t>Курский филиал ООО "СМУ №1"</t>
  </si>
  <si>
    <t>Филиал "ВМУ" ООО "СМУ №1"</t>
  </si>
  <si>
    <t>Филиал в городе Краснодаре Акционерного общества "НоваВинд"</t>
  </si>
  <si>
    <t>Филиал в городе Волгодонске Акционерного общества "НоваВинд"</t>
  </si>
  <si>
    <t>Филиал в городе Ставрополе Акционерного общества "НоваВинд"</t>
  </si>
  <si>
    <t>Филиал в городе Ростове-на-Дону Акционерного общества "НоваВинд"</t>
  </si>
  <si>
    <t>Новоуральское Обособленное подразделение филиала "Северский" Федерального государственного унитарного предприятия "Национальный оператор по обращению с радиоактивными отходами"</t>
  </si>
  <si>
    <t>Филиал Акционерного общества "Ордена Трудового Красного Знамени научно-исследовательнкий физико-химический институт имени Л.Я. Карпова"</t>
  </si>
  <si>
    <t>Санкт-Петербургский филиал АНО ДПО "Техническая академия Росатома"</t>
  </si>
  <si>
    <t>Уральский филиал АНО ДПО "Техническая академия Росатома"</t>
  </si>
  <si>
    <t>Московский филиал АНО ДПО "Техническая академия Росатома"</t>
  </si>
  <si>
    <t>филиал АНО ДПО "Техническая академия Росатома" "Нововоронежский учебно-тренировочный центр"</t>
  </si>
  <si>
    <t>филиал АНО ДПО "Техническая академия Росатома" "Ленинградский учебно-тренировочный центр"</t>
  </si>
  <si>
    <t>филиал АНО ДПО "Техническая академия Росатома" "Смоленский учебно-тренировочный центр"</t>
  </si>
  <si>
    <t>Филиал ФГУП "ПО "Маяк" - "Базальт"</t>
  </si>
  <si>
    <t>Сальдо на начало периода</t>
  </si>
  <si>
    <t>Сальдо на конец периода</t>
  </si>
  <si>
    <t>Долгосрочная часть ДТ</t>
  </si>
  <si>
    <t>Краткосрочная часть ДТ</t>
  </si>
  <si>
    <t>Долгосрочная часть КТ</t>
  </si>
  <si>
    <t>Краткосрочная часть КТ</t>
  </si>
  <si>
    <t>R1=R302120900</t>
  </si>
  <si>
    <t>C1=F_С1;C2=YTD;C4=0102;C11=7002</t>
  </si>
  <si>
    <t>C1=F_C1;C8=25612;C2=YTD;C6=0102</t>
  </si>
  <si>
    <t>C1=F_O2;C2=YTD;C6=0101;C7=63</t>
  </si>
  <si>
    <t>C1=F_M0801;C2=YTD;C6=0101;C7=63</t>
  </si>
  <si>
    <t>C1=F_M0802;C2=YTD;C6=0101;C7=63</t>
  </si>
  <si>
    <t>C1=F_M0811;C2=YTD;C6=0101;C7=63</t>
  </si>
  <si>
    <t>C1=F_M0803;C2=YTD;C6=0101;C7=63</t>
  </si>
  <si>
    <t>C1=F_C2;C2=YTD;C6=0101;C7=63</t>
  </si>
  <si>
    <t>Лист 46, НЗП_ГП</t>
  </si>
  <si>
    <t>Русатом Гринвэй</t>
  </si>
  <si>
    <t>{12} Единый налог при применении упрощенной системы налогообложения</t>
  </si>
  <si>
    <t>{17} ЕСН (федеральный бюджет)</t>
  </si>
  <si>
    <t>{18} ЕСН (ФФОМС)</t>
  </si>
  <si>
    <t>{19} ЕСН (ТФОМС)</t>
  </si>
  <si>
    <t>{1} низкая</t>
  </si>
  <si>
    <t>{2} ниже среднего</t>
  </si>
  <si>
    <t>{3} средняя</t>
  </si>
  <si>
    <t>{4} выше среднего</t>
  </si>
  <si>
    <t>{5} высокая</t>
  </si>
  <si>
    <t>Проверка корректного выбора аналитики "Виды затрат"</t>
  </si>
  <si>
    <t>Проверка корректного выбора аналитики "Виды затрат" в зависимости от корр. счета</t>
  </si>
  <si>
    <t>Ставка налога на прибыль в РФ</t>
  </si>
  <si>
    <t>Ставка налога на прибыль в стране регистрации организации в текущем периоде</t>
  </si>
  <si>
    <t>Заполнена ставка налога на прибыль в стране регистрации организации</t>
  </si>
  <si>
    <t>Налог на прибыль, ставка</t>
  </si>
  <si>
    <t>Поступление: приобретение (вкл. Счет 16 отклонение в стоимости ТМЦ)</t>
  </si>
  <si>
    <t xml:space="preserve">Выявлено при инвентаризации (поступление и выбытие) </t>
  </si>
  <si>
    <t>Cторно КВ предыдущих периодов</t>
  </si>
  <si>
    <t>F_M0095</t>
  </si>
  <si>
    <t>{1211} Федеральный бюджет</t>
  </si>
  <si>
    <t>{1212} Бюджет субъектов РФ</t>
  </si>
  <si>
    <t>{1213} Местный бюджет</t>
  </si>
  <si>
    <t>{1231} Средства внебюджетных фондов</t>
  </si>
  <si>
    <t>{1251} Резерв на вывод из эксплуатации и НИОКР ГК</t>
  </si>
  <si>
    <t>{1252} Резерв на физическую защиту ГК</t>
  </si>
  <si>
    <t>{1253} Резерв на развитие ГК</t>
  </si>
  <si>
    <t>{1254} Резерв на безопасность ГК</t>
  </si>
  <si>
    <t>{1255} Резерв на РАО (ГК)</t>
  </si>
  <si>
    <t>{1289} Прочее целевое финансирование</t>
  </si>
  <si>
    <t>C1=F_M0095;C2=YTD;C9=0101</t>
  </si>
  <si>
    <t>C1=F_C2;C5=261499;C2=YTD;C6=0102</t>
  </si>
  <si>
    <t>R29=2310;R34=V</t>
  </si>
  <si>
    <t>Прорыв</t>
  </si>
  <si>
    <t>АО "Прорыв"</t>
  </si>
  <si>
    <t>*ЕСН*</t>
  </si>
  <si>
    <t xml:space="preserve">Сверка авансов на листах "Долгосроч_договоры" и "60, 62,76_контр". Проверка сойдется, когда будут листы заполнены полностью   </t>
  </si>
  <si>
    <t xml:space="preserve">Сверка остатка по 46 счету на листах  "Долгосроч_договоры" и "46". Проверка сойдется, когда листы будут заполнены полностью  </t>
  </si>
  <si>
    <t>C1=F_M1025;C2=YTD;C4=0101;C6=3000</t>
  </si>
  <si>
    <t>Остаток на конец периода по дебету</t>
  </si>
  <si>
    <t>Остаток на конец периода по кредиту</t>
  </si>
  <si>
    <t>Остаток на начало периода по дебету</t>
  </si>
  <si>
    <t>Остаток на начало периода по кредиту</t>
  </si>
  <si>
    <t>2754</t>
  </si>
  <si>
    <t>{1} Камеральная</t>
  </si>
  <si>
    <t>{2} Выездная</t>
  </si>
  <si>
    <t>{3} Встречная</t>
  </si>
  <si>
    <t>Корректные знаки по видам движения, кроме Прочее уменьшение, Уточнение расчетов</t>
  </si>
  <si>
    <t>Зачеты между видами налогов и бюджетов</t>
  </si>
  <si>
    <t>Проверка вторичных видов затрат</t>
  </si>
  <si>
    <t>Втоичные затраты Затраты_Вход_1</t>
  </si>
  <si>
    <t>Рудник 6</t>
  </si>
  <si>
    <t>ООО "Рудник 6"</t>
  </si>
  <si>
    <t>Препрег-СКМ</t>
  </si>
  <si>
    <t>АО "Препрег – Современные Композиционные Материалы"</t>
  </si>
  <si>
    <t>Препрег-Дубна</t>
  </si>
  <si>
    <t>ООО "Препрег-Дубна"</t>
  </si>
  <si>
    <t>Название эмитента</t>
  </si>
  <si>
    <t>ИНН эмитента - объекта финансового вложения</t>
  </si>
  <si>
    <t>КОНЦЕРН ТИТАН-2</t>
  </si>
  <si>
    <t> АО"КОНЦЕРН ТИТАН-2"</t>
  </si>
  <si>
    <t>Проверка, что аналитика в колонке К8 выбрана из выпадающего списка</t>
  </si>
  <si>
    <t>Долгосроч_договоры и 60,62,63,76_контр</t>
  </si>
  <si>
    <t>76_01_%, 60,62,63,76_контр</t>
  </si>
  <si>
    <t>91_01, 91_02</t>
  </si>
  <si>
    <t>{52430000} Услуги по осуществлению полномочий единоличного исполнительного органа. Услуги управляющей компании</t>
  </si>
  <si>
    <t>{2010000} Налог на доходы от долевого участия в деятельности организаций, признанные в текущем году</t>
  </si>
  <si>
    <t>{2320310} Остаточная стоимость безвозмездно выбываемого имущества</t>
  </si>
  <si>
    <t>{2340100} Убытки прошлых лет, признанные в текущем году (нетто) (для целей налогового учета признаются в текущем налоговом периоде, включаются в декларацию текущего налогового периода)</t>
  </si>
  <si>
    <t>{2340110} Убытки прошлых лет, признанные в текущем году (нетто) (для целей налогового учета признаются в периоде совершения ошибки, представляется УНД)</t>
  </si>
  <si>
    <t>{2340120} Убытки прошлых лет, признанные в текущем году (нетто) (для целей налогового учета не признаются)</t>
  </si>
  <si>
    <t>{2223500_~_~_~} Выплаты по договорам уступки прав требования у нового кредитора</t>
  </si>
  <si>
    <t>{2115000_~_~_~} Поступления от продажи непрофильных активов (имущественных комплексов, недвижимого имущества)</t>
  </si>
  <si>
    <t>{2191110_~_~_~} Поступления от продажи непрофильных активов (акционерного капитала)</t>
  </si>
  <si>
    <t>{2191500_~_~_~} Поступление по договорам уступки прав требования у нового кредитора</t>
  </si>
  <si>
    <t>Проверка, что не может быть резерв в колонке AF на отсутствующую ДЗ в колонке N + резерв может быть только по ДЗ и авансам выданным</t>
  </si>
  <si>
    <t>Проверка на корректность расшифрованной суммы в остатках по счетам 60, 62, 76, 63 на листе 60, 62, 63, 76_контр</t>
  </si>
  <si>
    <t>Проверка на корректность расшифрованной суммы на листе 60,62,63,76_контр лист 60_01</t>
  </si>
  <si>
    <t>Проверка на корректность расшифрованной суммы на листе 60,62,63,76_контр лист 60_02</t>
  </si>
  <si>
    <t>Проверка на корректность расшифрованной суммы на листе 60,62,63,76_контр лист 62_01</t>
  </si>
  <si>
    <t>Проверка на корректность расшифрованной суммы на листе 60,62,63,76_контр лист 62_02</t>
  </si>
  <si>
    <t>Проверка на корректность расшифрованной суммы на листе 60,62,63,76_контр лист 76</t>
  </si>
  <si>
    <t>Проверка переноса "авансов полученных" по долгосрочным договорам с листа 60,62,63,76_контр</t>
  </si>
  <si>
    <t>Проверка остатков 60,62,63,76_контр проверка 2</t>
  </si>
  <si>
    <t>Проверка соответствия аналитик на листе 60,62,63,76_контр</t>
  </si>
  <si>
    <t>Проверка соответствия аналитик 76_01_% c 60,62,63,76_контр</t>
  </si>
  <si>
    <t>{USD} Доллар США</t>
  </si>
  <si>
    <t>{USD} Доллар США (тыс. )</t>
  </si>
  <si>
    <t>C1=F_C3;C2=YTD;C4=0104</t>
  </si>
  <si>
    <t>C1=F_C3;C2=YTD;C3=0104</t>
  </si>
  <si>
    <t>C1=F_O3;C2=YTD;C3=0104</t>
  </si>
  <si>
    <t>C1=F_M0096;C2=YTD;C9=0101</t>
  </si>
  <si>
    <t>C1=F_C3;C2=YTD;C4=0103</t>
  </si>
  <si>
    <t>C1=F_O2;C2=YTD;C6=0101</t>
  </si>
  <si>
    <t>C1=F_C2;C2=YTD;C6=0101</t>
  </si>
  <si>
    <t>_для проверки лист 60_62_76 контр</t>
  </si>
  <si>
    <t xml:space="preserve">Проверка использования аналитик 12,14,71 как КЗ/авансы выданые по аналитикам "Расчеты с агентами" </t>
  </si>
  <si>
    <t>Проверка использования аналитик 17 и 19 как ДЗ/авансы полученные по аналитикам "Расчеты с агентами" + аналитике {252007}</t>
  </si>
  <si>
    <t>{EGP} Египетский фунт</t>
  </si>
  <si>
    <t>{EGP} Египетский фунт (тыс. )</t>
  </si>
  <si>
    <t>{2320320} Расходы, связанные с безвозмездным выбытием активов</t>
  </si>
  <si>
    <t>{2320330} НДС начисленный при безвозмездной передаче активов</t>
  </si>
  <si>
    <t>Если на этом листе 58_04  указан номер договора, то на листе «Финдоговоры» по этому же договору должна быть обязательно аналитика {45} Депозиты</t>
  </si>
  <si>
    <t>58_04, Фин_договоры</t>
  </si>
  <si>
    <t>ТВЭЛ-КЦ</t>
  </si>
  <si>
    <t>АО "ТВЭЛ-Корпоративный центр"</t>
  </si>
  <si>
    <t>{RUB} Российские рубли</t>
  </si>
  <si>
    <t>Корректные знаки по видам движения, кроме Уточнение расчетов и Зачеты между видами налогов</t>
  </si>
  <si>
    <t>7707067683</t>
  </si>
  <si>
    <t>Росгосстрах</t>
  </si>
  <si>
    <t>АО "Атом-ТОР"</t>
  </si>
  <si>
    <t>Атом-ТОР</t>
  </si>
  <si>
    <t>Атомгарант</t>
  </si>
  <si>
    <t>АО "НПФ Атомгарант"</t>
  </si>
  <si>
    <t>Проверка, что колонка К9 не может быть пустой</t>
  </si>
  <si>
    <t>Выручка на 90 КОНТР без НДС (GID+2145 Справочник видов продукции)</t>
  </si>
  <si>
    <t>Выручка на 90 ОРВГ без НДС (GID+2145 Справочник видов продукции)</t>
  </si>
  <si>
    <t>На листе долгосроч_договоры должны быть заполнена ставка НДС</t>
  </si>
  <si>
    <t>Ответственный сотрудник бухгалтерии за предоставление ФСД ФИО</t>
  </si>
  <si>
    <t>Ответственный сотрудник бухгалтерии за предоставление ФСД Телефон</t>
  </si>
  <si>
    <t>Ответственный сотрудник бухгалтерии за предоставление ФСД Электронная почта</t>
  </si>
  <si>
    <t>Счет 07. Расшифровка оборудования к установке</t>
  </si>
  <si>
    <t>Счет 40. Выпуск продукции (работ, услуг)</t>
  </si>
  <si>
    <t>Счет 60, 62, 63, 76. Расшифровка остатков задолженности по контрагентам и договорам</t>
  </si>
  <si>
    <t>Счет 76.01. Проценты по финансовым вложениям к получению. Расшифровочная таблица</t>
  </si>
  <si>
    <t>Операции (обороты) со связанными сторонами - ассоциированные компании, предприятия под контролем государства</t>
  </si>
  <si>
    <t>Счет 96. Использование резервов</t>
  </si>
  <si>
    <t>Счет 97.01. Расходы будущих периодов</t>
  </si>
  <si>
    <t>Счет 98.02. Безвозмездные поступления</t>
  </si>
  <si>
    <t>Сведения об остатках НЗП, ГП для реализации внутри Группы</t>
  </si>
  <si>
    <t>Счет 90. Расшифровка реализации по внешним контрагентам</t>
  </si>
  <si>
    <t>Если К4 не равно "Прочее", то в К2 и К3 должен стоять "Х"</t>
  </si>
  <si>
    <t>Проверка равенства между листами "Затраты_Вход_1" и "Затраты_Вход_2"</t>
  </si>
  <si>
    <t>Сумма накопленной выручки на конец периода должна быть больше или равна выручке за период</t>
  </si>
  <si>
    <t>Компания, заполняющая ФСД, входит в АЭПК?</t>
  </si>
  <si>
    <t>Проверка заполненности ИНН и/или ГИД</t>
  </si>
  <si>
    <t>Проверка заполненности ИНН</t>
  </si>
  <si>
    <t>Статьи движений денежных средств по группам контрагентов, видам бюджетов и проектам</t>
  </si>
  <si>
    <t>ИНН (эмитента ценной бумаги)</t>
  </si>
  <si>
    <t>в т.ч. долгосрочная часть</t>
  </si>
  <si>
    <t>Если на листе 58.04 указан номер договора, то на листе «Фин_договоры» по этому договору обязательно должна быть аналитика 45</t>
  </si>
  <si>
    <t>Увеличение депозитов со сроком 3 и менее месяцев + перечисление средств по кэш-пуллингу должны совпадать с аналитикой {5230300_~_~_~} на листе "50_51_52_55_57_движ"</t>
  </si>
  <si>
    <t>Уменьшение депозитов со сроком 3 и менее месяцев + возврат средств по кэш-пуллингу должны совпадать с аналитикой {5130300_~_~_~} на листе "50_51_52_55_57_движ"</t>
  </si>
  <si>
    <t>Проверка на заполненность столбца "Кредитор"</t>
  </si>
  <si>
    <t>Проверка заполненности ИНН и/или ГИД контрагента</t>
  </si>
  <si>
    <t>Проверка заполненности ИНН и/или ГИД кредитора</t>
  </si>
  <si>
    <t>Курс.разн. только по договорам, где валюта договора - не рубли</t>
  </si>
  <si>
    <t>Операции с компаниями, входящими в РСБУ периметр консолидации, по прочим авансам выданным</t>
  </si>
  <si>
    <t>Проверка, что начальное и конечное сальдо отражены с правильным знаком</t>
  </si>
  <si>
    <t>Проверка, что переводы сумм между счетами 66 и 67 верно отражены на обоих листах</t>
  </si>
  <si>
    <t>Номер итогового решения по налоговой проверке</t>
  </si>
  <si>
    <t>Проверка корректности знаков начального и конечного сальдо</t>
  </si>
  <si>
    <t>Проверка корректности знаков оборотов за период</t>
  </si>
  <si>
    <t>Проверка соответствия знаков видам задолженности: ДЗ и аванс выданный с плюсом, КЗ и аванс полученный с минусом</t>
  </si>
  <si>
    <t xml:space="preserve">Расчеты по причитающимся дивидендам с компаниями, входящими в РСБУ периметр консолидации </t>
  </si>
  <si>
    <t>Прочие операции с компаниями, входящими в РСБУ периметр консолидации</t>
  </si>
  <si>
    <r>
      <rPr>
        <b/>
        <sz val="10"/>
        <color rgb="FFFF0000"/>
        <rFont val="Arial"/>
        <family val="2"/>
        <charset val="204"/>
      </rPr>
      <t>Проверка на знаки:</t>
    </r>
    <r>
      <rPr>
        <b/>
        <sz val="10"/>
        <color indexed="9"/>
        <rFont val="Arial"/>
        <family val="2"/>
        <charset val="204"/>
      </rPr>
      <t xml:space="preserve">
во всех колонках знак в количестве должен совпадать со знаком в сумме</t>
    </r>
  </si>
  <si>
    <t>Распределение сумм между учредителями организации (75.02)</t>
  </si>
  <si>
    <t>Курсовая разница от пересчета активов и обязательств, используемых для ведения деятельности за пределами РФ</t>
  </si>
  <si>
    <t>Приобретение объектов основных средств за счет средств целевого финансирования (Кт 83), только для ГК</t>
  </si>
  <si>
    <t>Проверка знаков для сальдо и оборотов по кредиту</t>
  </si>
  <si>
    <t>Проверка знаков для оборотов по дебиту</t>
  </si>
  <si>
    <t>В качестве контрагентов не должны использоваться "физ.лица" и "внешние контрагенты"</t>
  </si>
  <si>
    <t>Выручка от реализации</t>
  </si>
  <si>
    <t>Проверка заполненности колонки К10</t>
  </si>
  <si>
    <t>Сворачивание статей в ОПУ:</t>
  </si>
  <si>
    <t>Проверка заполненности столбца К10 (для статей, для которых это применимо)</t>
  </si>
  <si>
    <t>Сумма расходов по неустойкам</t>
  </si>
  <si>
    <t>Расшифровка по статье "Другие затраты" не превышает 1 млн.руб.</t>
  </si>
  <si>
    <t>Расшифровка по статье "Прочие услуги (работы) производственного характера" не превышает 1 млн.руб.</t>
  </si>
  <si>
    <t>Операции со связанными сторонами</t>
  </si>
  <si>
    <t xml:space="preserve">Суммы операций заполнены со знаком "+"
</t>
  </si>
  <si>
    <t>Проверка корректности знаков начального и конечного кредитового сальдо</t>
  </si>
  <si>
    <t>Контрагент указан</t>
  </si>
  <si>
    <t>Признание целевого финансирования, направленного на текущие расходы, в качестве доходов будущих периодов (Дт 86)</t>
  </si>
  <si>
    <t>Признание целевого финансирования, направленного на рекультивацию земель, в качестве доходов будущих периодов (Дт 86)</t>
  </si>
  <si>
    <t>Признание целевого финансирования, направленного на  приобретение финансовых вложений, в качестве доходов будущих периодов (Дт 86)</t>
  </si>
  <si>
    <t>К использованию в течение 12 месяцев после отчетной даты</t>
  </si>
  <si>
    <t>Проверка корректности знаков</t>
  </si>
  <si>
    <t>Проверка корректности знаков (сальдо и обороты по кредиту)</t>
  </si>
  <si>
    <t>Проверка корректности знаков (обороты по дебету)</t>
  </si>
  <si>
    <t>Принятие к учету прочих активов, полученных безвозмездно</t>
  </si>
  <si>
    <t>Принятие к учету ОС и НМА (безвозмездно полученные; полученные по целевому финансированию)</t>
  </si>
  <si>
    <t>Начислены штрафы по налогу на прибыль (68 счет)</t>
  </si>
  <si>
    <t>УФК</t>
  </si>
  <si>
    <t>остальные аналитики</t>
  </si>
  <si>
    <t>Главный бухгалтер Телефон</t>
  </si>
  <si>
    <t>Главный бухгалтер ФИО</t>
  </si>
  <si>
    <t>Главный бухгалтер  Электронная почта</t>
  </si>
  <si>
    <r>
      <rPr>
        <b/>
        <u/>
        <sz val="10"/>
        <color rgb="FFFF0000"/>
        <rFont val="Arial"/>
        <family val="2"/>
        <charset val="204"/>
      </rPr>
      <t>Содержание (не заполнены поля):</t>
    </r>
    <r>
      <rPr>
        <sz val="10"/>
        <color indexed="8"/>
        <rFont val="Arial"/>
        <family val="2"/>
        <charset val="204"/>
      </rPr>
      <t xml:space="preserve">
- ОГРН - Основной Государственный Регистрационный Номер;
- Ответственный сотрудник  бухгалтерии за предоставление ФСД ФИО;
- Ответственный сотрудник бухгалтерии  за предоставление ФСД Телефон;
- Ответственный сотрудник бухгалтерии  за предоставление ФСД  Электронная почта;
- Главный бухгалтер ФИО;
- Главный бухгалтер Телефон;
- Главный бухгалтер  Электронная почта</t>
    </r>
  </si>
  <si>
    <t>Обороты между счетами, заполненные в разных формах должны быть равны Дт41 Кт10</t>
  </si>
  <si>
    <t xml:space="preserve">Емельянова Наталия Валериевна  NVEmelyanova@rosatom.ru  (499) 949-47-82
Храмченко Светлана Игоревна  SIKhramchenko@rosatom.ru  (499) 949-41-93
</t>
  </si>
  <si>
    <t>Лист удалён</t>
  </si>
  <si>
    <t xml:space="preserve">Емельянова Наталия Валериевна  NVEmelyanova@rosatom.ru  (499) 949-47-82
Гуров Александр Анатольевич AAGurov@rosatom.ru  (499) 949-41-27
</t>
  </si>
  <si>
    <t>Храмченко Светлана Игоревна SIKhramchenko@rosatom.ru  (499) 949-4193</t>
  </si>
  <si>
    <t>C2=YTD;C1=F_C3;C6=0102;C9=1018;C11=V</t>
  </si>
  <si>
    <t>C1=F_M0210;C2=YTD;C4=0102;C5=55;C6=5</t>
  </si>
  <si>
    <t>C1=F_M0210;C2=YTD;C4=0102;C5=55;C6=4</t>
  </si>
  <si>
    <t>Проверка заполнения на листах: ОКХ, Фин_договоры, Долгосроч_договоры в столбце " Номер договора" не может содержаться символ "№"</t>
  </si>
  <si>
    <t>ОКХ, Фин_договоры, Долгосроч_договоры</t>
  </si>
  <si>
    <t>Доля, % от количества размещенных акций</t>
  </si>
  <si>
    <t>Изменение доли, % от количества размещенных акций</t>
  </si>
  <si>
    <t>СЕЗАМ</t>
  </si>
  <si>
    <t xml:space="preserve">АО «СЕЗАМ» </t>
  </si>
  <si>
    <t>Атомфонд</t>
  </si>
  <si>
    <t>АО НПФ «Атомфонд»</t>
  </si>
  <si>
    <t>Суммы прочих расходов (должны быть положительными)</t>
  </si>
  <si>
    <t>F_M0128, F_M0102, F_M0104, F_M0103, F_M0098, F_M0097</t>
  </si>
  <si>
    <t>РИР-Лесной</t>
  </si>
  <si>
    <t>Компас-Управление</t>
  </si>
  <si>
    <t>ООО «Компас-Управление»</t>
  </si>
  <si>
    <t>РадонИТ</t>
  </si>
  <si>
    <t>Общество с ограниченной ответственностью "РАДОН ИННОВАЦИОННЫЕ ТЕХНОЛОГИИ"</t>
  </si>
  <si>
    <t>Общество с ограниченной ответственностью "СКУ-АТОМ"</t>
  </si>
  <si>
    <t>Станкостроение</t>
  </si>
  <si>
    <t>Titan-2 Finland Oy</t>
  </si>
  <si>
    <t> FI26363571</t>
  </si>
  <si>
    <t>Titan-2 Finland Ltd</t>
  </si>
  <si>
    <t>ТИТАНЖИЛКОМ</t>
  </si>
  <si>
    <t> 4714014976</t>
  </si>
  <si>
    <t>Акционерное общество «ТИТАНЖИЛКОМ»</t>
  </si>
  <si>
    <t>АДС</t>
  </si>
  <si>
    <t> 4726002118</t>
  </si>
  <si>
    <t>Общество с ограниченной ответственностью «АГЕНТСТВО ДОРОЖНОГО СТРОИТЕЛЬСТВА»</t>
  </si>
  <si>
    <t xml:space="preserve">Частное учреждение "Проектный центр ИТЭР" </t>
  </si>
  <si>
    <t>{13} Расчеты по выплатам страхового обеспечения и иных выплат в субъектах РФ, участвующих в реализации пилотного проекта</t>
  </si>
  <si>
    <t>{40} Недвижимое имущество льготируемое по видам льгот</t>
  </si>
  <si>
    <t>{2} Налог на прибыль, удержанный с выплаченных дивидендов</t>
  </si>
  <si>
    <t>{113119} Резерв на обеспечение безопасности 2019</t>
  </si>
  <si>
    <t>{113319} Резерв на физическую защиту 2019</t>
  </si>
  <si>
    <t>{113419} Резерв на развитие 2019</t>
  </si>
  <si>
    <t>{125119} Резерв на вывод из эксплуатации и НИОКР ГК 2019</t>
  </si>
  <si>
    <t>{125219} Резерв на физическую защиту ГК 2019</t>
  </si>
  <si>
    <t>{125319} Резерв на развитие ГК 2019</t>
  </si>
  <si>
    <t>{125419} Резерв на безопасность 2019</t>
  </si>
  <si>
    <t>{126019} Резерв на безопасность (АТЦ) 2019</t>
  </si>
  <si>
    <t>{129719} Средства от эмиссии акций (взносов в УК) (имуществом) 2019</t>
  </si>
  <si>
    <t>{113219} Резерв на вывод из эксплуатации и НИОКР 2019</t>
  </si>
  <si>
    <t>{125219} Резерв на физическую защиту ГК 2018</t>
  </si>
  <si>
    <t>45.41</t>
  </si>
  <si>
    <t>Основные средства отгруженные</t>
  </si>
  <si>
    <r>
      <t>Ответственный сотрудник ОКО за лист ФСД  2019г.(</t>
    </r>
    <r>
      <rPr>
        <sz val="12"/>
        <color rgb="FFFF0000"/>
        <rFont val="Arial"/>
        <family val="2"/>
        <charset val="204"/>
      </rPr>
      <t>проверяющий ФСД после редактирования - перед рассылкой</t>
    </r>
    <r>
      <rPr>
        <sz val="12"/>
        <color indexed="9"/>
        <rFont val="Arial"/>
        <family val="2"/>
        <charset val="204"/>
      </rPr>
      <t>)</t>
    </r>
  </si>
  <si>
    <t>45.10</t>
  </si>
  <si>
    <t>Материалы отгруженные</t>
  </si>
  <si>
    <t>45.43</t>
  </si>
  <si>
    <t>Проверка заполненности колонки К7;К8;К37</t>
  </si>
  <si>
    <t>Проверка заполненности колонки К7;К8;К38</t>
  </si>
  <si>
    <t>Проверка заполнения поля "Вид заемных средств";"Назначение финансирования";"Обеспеченный займ/кредит" для листа 66</t>
  </si>
  <si>
    <t>Проверка заполнения поля "Вид заемных средств";"Назначение финансирования";"Обеспеченный займ/кредит" для листа 67</t>
  </si>
  <si>
    <t>Проверка заполненности колонки К20</t>
  </si>
  <si>
    <t>Проверка заполненности колонки К7,К12</t>
  </si>
  <si>
    <t>Проверка использования ГИД - 10000 и ИНН "Физические лица"</t>
  </si>
  <si>
    <t>Проверка использования ИНН и ГИД для "Физические лица"</t>
  </si>
  <si>
    <t>58_03_3</t>
  </si>
  <si>
    <t xml:space="preserve">Проверка заполнения аналитик на листе </t>
  </si>
  <si>
    <t>Проверка заполнения аналитик на листе</t>
  </si>
  <si>
    <t xml:space="preserve">Проверка заполнения аналитик на листе  </t>
  </si>
  <si>
    <t>Дата получения авансов полученных</t>
  </si>
  <si>
    <t>Дата получения долгосрочного аванса полученного не может быть пустой</t>
  </si>
  <si>
    <r>
      <rPr>
        <b/>
        <sz val="10"/>
        <color indexed="37"/>
        <rFont val="Arial"/>
        <family val="2"/>
        <charset val="204"/>
      </rP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{252071} Расчеты с Агентами (Комиссионерами) по возмещению понесенных затрат</t>
    </r>
  </si>
  <si>
    <t>Ставка НДС лист 60_62_76 контр</t>
  </si>
  <si>
    <t>не требуется</t>
  </si>
  <si>
    <t>Проверка листа 50_51_52_55_57_движ аналитик
5120000 и 5220000</t>
  </si>
  <si>
    <t>Проверка аналитик
5120000 и 5220000</t>
  </si>
  <si>
    <t>Ставка НДС для авансов выданных под капстрой для аналитик 11,13,15</t>
  </si>
  <si>
    <t>`</t>
  </si>
  <si>
    <t>01,91_01</t>
  </si>
  <si>
    <t>Проверка оборотов между счетами. Выбытие: Демонтаж, ликвидация 01 счета</t>
  </si>
  <si>
    <t>Проверка оборотов между счетами. Переоценка/Обесценение 01 счета</t>
  </si>
  <si>
    <t>07,08,91_01</t>
  </si>
  <si>
    <t>Проверка оборотов между счетами. Выбытие: Демонтаж, ликвидация 07/08 счета</t>
  </si>
  <si>
    <t>Проверка знаков "Движение за период"</t>
  </si>
  <si>
    <t>Проверка суммы "Остаток на конец периода"</t>
  </si>
  <si>
    <t>84_расш1</t>
  </si>
  <si>
    <t>00</t>
  </si>
  <si>
    <t>98.02</t>
  </si>
  <si>
    <t>Проверка: заполнен комментарий</t>
  </si>
  <si>
    <t>Проверка: заполнен корреспондирующий счет</t>
  </si>
  <si>
    <t>Проверка заполнения корреспондирующего счета и комментариев по расшифровке прочего движения по счёту 84</t>
  </si>
  <si>
    <t>РусВэллГруп</t>
  </si>
  <si>
    <t xml:space="preserve">АО "РусВэллГруп" </t>
  </si>
  <si>
    <t>Проверка, что аналитики в колонке К9 выбраны из выпадающего списка</t>
  </si>
  <si>
    <t>=G14&amp;I15</t>
  </si>
  <si>
    <t>=G14&amp;I16</t>
  </si>
  <si>
    <t>Лист 96_движ,96</t>
  </si>
  <si>
    <t>{01} Ставка 18%</t>
  </si>
  <si>
    <t>{02} Ставка 20%</t>
  </si>
  <si>
    <t>{04} НДС не облагается</t>
  </si>
  <si>
    <t>Ставка НДС</t>
  </si>
  <si>
    <t>Исключения</t>
  </si>
  <si>
    <t>Проверка корректности отражения знака при заполнении 96_Движ</t>
  </si>
  <si>
    <t>V1</t>
  </si>
  <si>
    <t>Проверка оборотов между счетами. Выбытие: Реализация, безвозмездная передача 01/07/08 счета</t>
  </si>
  <si>
    <t>01,07,08,45,91_02</t>
  </si>
  <si>
    <t>Акционерное общество "Производственное Объединение "Север"</t>
  </si>
  <si>
    <t>Акционерное общество "Уральский электромеханический завод"</t>
  </si>
  <si>
    <t>Акционерное общество "Координационный Центр по созданию систем безопасности и управления "Атомбезопасность"</t>
  </si>
  <si>
    <t>Акционерное общество "Ведомственная охрана Росатома"</t>
  </si>
  <si>
    <t>Акционерное общество "Научно-технический и сертификационный центр по комплексной защите информации"</t>
  </si>
  <si>
    <t>Акционерное общество "АВАРИЙНО-ТЕХНИЧЕСКИЙ ЦЕНТР РОСАТОМА"</t>
  </si>
  <si>
    <t>{2417000} Выплаты, в связи с награждением государственными и правительственными наградами</t>
  </si>
  <si>
    <t>{2510300} Расходы на взаимодействие с НИЯУ МИФИ и его филиалами</t>
  </si>
  <si>
    <t>{2510400} Расходы на исполнение вмененных ГК «Росатом» обязательств по финансированию образовательных организаций</t>
  </si>
  <si>
    <t>{2412050} Расходы на приобретение путевок в санаторно-курортные и оздоровительные учреждения работникам (п. 16, п. 24.2 ст.255 НК РФ)</t>
  </si>
  <si>
    <t>{2412060} Расходы на приобретение путевок в санаторно-курортные и оздоровительные учреждения детям работников (п. 16, п. 24.2 ст.255 НК РФ)</t>
  </si>
  <si>
    <t>{2412070} Расходы на приобретение путевок в санаторно-курортные и оздоровительные учреждения членам семей работников (п. 16, п. 24.2 ст.255 НК РФ)</t>
  </si>
  <si>
    <t>{05} НДС 0%</t>
  </si>
  <si>
    <t>"Начислено" и "использовано" по гарантийным и судебным на листе "96" должно соответствовать расшифровке на "96_движ"</t>
  </si>
  <si>
    <t>Проверка амортизации дисконта по Оценочным обязательствам</t>
  </si>
  <si>
    <t>Проверка заполения колонки: "Группа финвложений";
Если договор поручительства, необходимо заполнить ДП в колонке "Комментарий"</t>
  </si>
  <si>
    <t>При заполнении контрагента необходимо заполнить ИНН или Gid</t>
  </si>
  <si>
    <t>Управление Роскомнадзора по Центральному федеральному округу</t>
  </si>
  <si>
    <t>Акционерное общество "Высокотехнологический научно-исследовательский институт неорганических материалов имени академика А.А. Бочвара"</t>
  </si>
  <si>
    <t>Проверка корректности знаков начального и конечного дебетового сальдо</t>
  </si>
  <si>
    <t>ТЗР  (Кт 60, Кт23)</t>
  </si>
  <si>
    <t>Проверка оборотов между счетами, оплата труда</t>
  </si>
  <si>
    <t>Свод_по_счетам и и 50_51_52_55_57_движ</t>
  </si>
  <si>
    <t>Проверка оборотов между счетами, расходы на персонал</t>
  </si>
  <si>
    <t>Свод_по_счетам и и Затраты_Вход_1</t>
  </si>
  <si>
    <t>Пенсионные обязательства (только для НПФ)</t>
  </si>
  <si>
    <t>{100} Обязательства по страховым договорам по ОПС</t>
  </si>
  <si>
    <t>{101} Обязательства по страховым договорам НПО</t>
  </si>
  <si>
    <t>{102} Обязательства по инвестиционным договорам по НПО</t>
  </si>
  <si>
    <t>{101} Пенсионные взносы</t>
  </si>
  <si>
    <t>{102} Уменьшение пенсионных обязательств</t>
  </si>
  <si>
    <t>{103} Увеличение отложенных аквизиционных расходов</t>
  </si>
  <si>
    <t>{104} Прочие доходы по пенсионной деятельности</t>
  </si>
  <si>
    <t>{201} Выплаты по пенсионной деятельности</t>
  </si>
  <si>
    <t>{202} Увеличение пенсионных обязательств</t>
  </si>
  <si>
    <t>{203} Аквизиционные расходы, уменьшение отложенных аквизиционных расходов</t>
  </si>
  <si>
    <t>{204} Прочие расходы по пенсионной деятельности</t>
  </si>
  <si>
    <t>Лист 70, Свод по счетам</t>
  </si>
  <si>
    <t>Проверка оборотов между листами</t>
  </si>
  <si>
    <t>Лист 11, Свод по счетам</t>
  </si>
  <si>
    <t>Лист 28, Свод по счетам</t>
  </si>
  <si>
    <t>Лист 42, Свод по счетам</t>
  </si>
  <si>
    <t>Лист 71, Свод по счетам</t>
  </si>
  <si>
    <t>Лист 81, Свод по счетам</t>
  </si>
  <si>
    <t>Лист 94, Свод по счетам</t>
  </si>
  <si>
    <t xml:space="preserve">Проверка оборотов между листами </t>
  </si>
  <si>
    <t xml:space="preserve">Проверка оборотов между листами  </t>
  </si>
  <si>
    <t xml:space="preserve">Проверка оборотов между листами    </t>
  </si>
  <si>
    <t xml:space="preserve">Проверка оборотов между листами     </t>
  </si>
  <si>
    <t xml:space="preserve">Проверка оборотов между листами       </t>
  </si>
  <si>
    <t xml:space="preserve">Проверка оборотов между листами        </t>
  </si>
  <si>
    <t>ООО "ЛИДЕР КОНСОРЦИУМА "МЕЖДУНАРОДНЫЙ ЦЕНТР ИССЛЕДОВАНИЙ НА БАЗЕ РЕАКТОРА МБИР"</t>
  </si>
  <si>
    <t>ЛК МЦИ МБИР</t>
  </si>
  <si>
    <t>ТОО "СП "Русатом Вотэр Азия"</t>
  </si>
  <si>
    <t>Русатом Вотэр Азия</t>
  </si>
  <si>
    <t>ООО "Русатом-Цифровые решения"</t>
  </si>
  <si>
    <t>РЦР</t>
  </si>
  <si>
    <t>{11}   Недвижимое имущество не льготируемое</t>
  </si>
  <si>
    <t>{50}   Движимое имущество</t>
  </si>
  <si>
    <t>{114000} Средства от контрагентов за счет бюджетного финансирования, полученного в качестве имущественного взноса</t>
  </si>
  <si>
    <t>{03} НДС будет включен в стоимость актива</t>
  </si>
  <si>
    <t>C2=YTD;C1=F_C2;C6=0102;C9=1016;C3=10</t>
  </si>
  <si>
    <t>C2=YTD;C1=F_C2;C6=0102;C9=1017;C3=20</t>
  </si>
  <si>
    <t>Проверка корректности знаков (обороты по дебету)_1</t>
  </si>
  <si>
    <t>Проверка корректности знаков (обороты по дебету)_2</t>
  </si>
  <si>
    <t>{49}   Иные льготы, в т.ч. установленные субъектами РФ</t>
  </si>
  <si>
    <t>{20} Не признается объектом налогообложения</t>
  </si>
  <si>
    <t>{26}    Суда, зарегистрированные в Российском международном реестре судов</t>
  </si>
  <si>
    <t>Проверка, что не может быть резерв в колонках AC-AH на КЗ и авансы полученные</t>
  </si>
  <si>
    <t>Проверка корректности знаков (сальдо и обороты по кредиту)_2</t>
  </si>
  <si>
    <t>Проверка корректности знаков (сальдо и обороты по кредиту)_1</t>
  </si>
  <si>
    <t xml:space="preserve">Кап. вложения </t>
  </si>
  <si>
    <t>58.01.1_Кредиты и займы выданные. Краткосрочные</t>
  </si>
  <si>
    <t>58.01.2_Кредиты и займы выданные. Долгосрочные</t>
  </si>
  <si>
    <t>58.02_Акции и прочие долевые инструменты</t>
  </si>
  <si>
    <t>58.03.1_Прочие финансовые вложения. Краткосрочные.</t>
  </si>
  <si>
    <t>58.03.2_Прочие финансовые вложения. Долгосрочные</t>
  </si>
  <si>
    <t>58.04.1_Депозиты краткосрочные</t>
  </si>
  <si>
    <t>58.04.2_Депозиты долгосрочные</t>
  </si>
  <si>
    <t>66.1_Расчеты по краткосрочным кредитам и займам - Основная сумма</t>
  </si>
  <si>
    <t>66.2_Расчеты по краткосрочным кредитам и займам — Проценты</t>
  </si>
  <si>
    <t>66.3_Расчеты по краткосрочным кредитам и займам — Дисконт</t>
  </si>
  <si>
    <t>67.1_Расчеты по долгосрочным кредитам и займам - Основная сумма</t>
  </si>
  <si>
    <t>67.2_Расчеты по долгосрочным кредитам и займам — Проценты</t>
  </si>
  <si>
    <t>67.3_Расчеты по долгосрочным кредитам и займам — Дисконт</t>
  </si>
  <si>
    <t>68.01.1_НДФЛ</t>
  </si>
  <si>
    <t>68.01.2_НДС</t>
  </si>
  <si>
    <t>68.01.3_Акцизы</t>
  </si>
  <si>
    <t>68.01.4_Налог на прибыль</t>
  </si>
  <si>
    <t>68.01.5_Налог на добычу полезных ископаемых</t>
  </si>
  <si>
    <t>68.01.6_Водный налог</t>
  </si>
  <si>
    <t>68.01.7_Транспортный налог</t>
  </si>
  <si>
    <t>68.01.8_Налог на имущество</t>
  </si>
  <si>
    <t>68.01.11_ЕНВД</t>
  </si>
  <si>
    <t>68.01.13_Земельный налог</t>
  </si>
  <si>
    <t>68.01.14_Госпошлина</t>
  </si>
  <si>
    <t>68.01.15_Сборы за пользование объектами животного мира и за пользование объектами водных биологических ресурсов</t>
  </si>
  <si>
    <t>68.01.16_ЕСН</t>
  </si>
  <si>
    <t>68.01.21_Налоги и сборы социального характера в иностранный бюджет</t>
  </si>
  <si>
    <t xml:space="preserve">68.01.89_Налоги, удержанные и уплаченные в бюджет другими организациями (кроме налога на прибыль) </t>
  </si>
  <si>
    <t>68.01.99_Прочие</t>
  </si>
  <si>
    <t>68.02.1_НДФЛ</t>
  </si>
  <si>
    <t>68.02.2_НДС</t>
  </si>
  <si>
    <t>68.02.3_Акцизы</t>
  </si>
  <si>
    <t>68.02.4_Налог на прибыль</t>
  </si>
  <si>
    <t>68.02.5_Налог на добычу полезных ископаемых</t>
  </si>
  <si>
    <t>68.02.6_Водный налог</t>
  </si>
  <si>
    <t>68.02.7_Транспортный налог</t>
  </si>
  <si>
    <t>68.02.8_Налог на имущество</t>
  </si>
  <si>
    <t>68.02.11_ЕНВД</t>
  </si>
  <si>
    <t>68.02.13_Земельный налог</t>
  </si>
  <si>
    <t>68.02.14_Госпошлина</t>
  </si>
  <si>
    <t>68.02.15_Сборы за пользование объектами животного мира и за пользование объектами водных биологических ресурсов</t>
  </si>
  <si>
    <t>68.02.16_ЕСН</t>
  </si>
  <si>
    <t>68.02.21_Налоги и сборы социального характера в иностранный бюджет</t>
  </si>
  <si>
    <t xml:space="preserve">68.02.89_Налоги, удержанные и уплаченные в бюджет другими организациями (кроме налога на прибыль) </t>
  </si>
  <si>
    <t>68.02.99_Прочие</t>
  </si>
  <si>
    <t>96_10000_Оценочные обязательства, связанные с расчетами с персоналом</t>
  </si>
  <si>
    <t>96_30000_Отраслевые резервы</t>
  </si>
  <si>
    <t>96_20100_Оценочные обязательства по выводу из эксплуатации объектов основных средств</t>
  </si>
  <si>
    <t xml:space="preserve">96_20200_Оценочные обязательства по рекультивации нарушенных земель </t>
  </si>
  <si>
    <t>96_20300_Оценочные обязательства по обращению с радиоактивными и прочими отходами</t>
  </si>
  <si>
    <t>96_20400_Оценочные обязательства по проведению экологических мероприятий</t>
  </si>
  <si>
    <t>96_20500_Оценочные обязательства по обременительным договорам</t>
  </si>
  <si>
    <t>96_20600_Оценочные обязательства по судебным искам</t>
  </si>
  <si>
    <t>96_20700_Оценочные обязательства по налоговым искам/претензиям</t>
  </si>
  <si>
    <t>96_20800_Оценочные обязательства по реструктуризации</t>
  </si>
  <si>
    <t>96_20900_Оценочные обязательства по гарантийным обязательствам</t>
  </si>
  <si>
    <t>96_21000_Оценочные обязательства по финансовым гарантиям/поручительствам</t>
  </si>
  <si>
    <t>96_21100_Прочие оценочные обязательства</t>
  </si>
  <si>
    <t>96_21200_Оценочные обязательства по обращению с отработавшим ядерным топливом</t>
  </si>
  <si>
    <t>96_100_Пенсионные обязательства (только для НПФ)</t>
  </si>
  <si>
    <t>96_101_Пенсионные обязательства (только для НПФ)</t>
  </si>
  <si>
    <t>96_102_Пенсионные обязательства (только для НПФ)</t>
  </si>
  <si>
    <t>АРМЗ Горные машины</t>
  </si>
  <si>
    <t>ООО «АРМЗ Горные машины»</t>
  </si>
  <si>
    <t>98.04</t>
  </si>
  <si>
    <t>96.04</t>
  </si>
  <si>
    <t>Пенсионные обязательства</t>
  </si>
  <si>
    <t>Остаточная стоимость ОС</t>
  </si>
  <si>
    <t>TITAN2 IC</t>
  </si>
  <si>
    <t>TITAN2 IC ICTAS INSAAT ANONIM SIRKETI</t>
  </si>
  <si>
    <t>Гидрографическое предприятие</t>
  </si>
  <si>
    <t>ФГУП «Гидрографическое предприятие»</t>
  </si>
  <si>
    <t>TENEX-USA, Incorporated</t>
  </si>
  <si>
    <t>TENEX-USA</t>
  </si>
  <si>
    <t>Перечисление денежных средств распорядителю д.б. = сумме на "50_51_52_55_57_движ" по аналитике "{1290900_~_~_~} Перечисление средств отраслевых резервов"</t>
  </si>
  <si>
    <t>Лист 96 и 50_51_52_55_57_движ</t>
  </si>
  <si>
    <t>Если на листе "Фин_договоры" депозит сроком &gt; 1 года,то на листе 76_01_% ипользовать аналитику "{252007} Проценты по финансовым вложениям к получению"</t>
  </si>
  <si>
    <t>Количество дней договора</t>
  </si>
  <si>
    <t>76_01_%, Фин_договоры</t>
  </si>
  <si>
    <t>Проверка корректности знаков на листе 96_движ</t>
  </si>
  <si>
    <t>Вспомогательные графы для ограничения выпадающего списка видов продукции на листе 46</t>
  </si>
  <si>
    <t>Создаем перечень видов продукции без дубликатов (это и будет выпадающий список на листе 46)</t>
  </si>
  <si>
    <t>Вспомогательная таблица с перечнем ставок НДС</t>
  </si>
  <si>
    <t>Определяем какой остаток по 46 счету показан на листе "Долгосроч_договоры" в разрезе видов продукции по этому договору (т.е. комбинация договор+вид продукции). (вспомогательная графа)</t>
  </si>
  <si>
    <t>9221 Ставка НДС для долгосроч_договоры</t>
  </si>
  <si>
    <t>9221</t>
  </si>
  <si>
    <t>ЛЦ ЯТЦ</t>
  </si>
  <si>
    <t>Акционерное общество "ЛОГИСТИЧЕСКИЙ ЦЕНТР ЯТЦ"</t>
  </si>
  <si>
    <t>Дублируем тут виды продукции чтобы потом подтянуть их ВПРом в перечень для выпадающего списка</t>
  </si>
  <si>
    <t>Отмечаем виды продукции чтобы не было повторяющихся</t>
  </si>
  <si>
    <t>Определяем остаток по 46 счету, который  показан на листе "46" в разрезе видов продукции по этому договору (т.е. комбинация договор+вид продукции). (вспомогательная графа)</t>
  </si>
  <si>
    <t>Сравниваем остатки по 46 счету на листе "Долгосроч_договоры" и на листе "46" в разрезе видов продукции и договоров (т.е. комбинация договор+вид продукции)</t>
  </si>
  <si>
    <t>Лист 46, Долгосроч_договоры</t>
  </si>
  <si>
    <t>Остаток по 46 счету на листе "Долгосроч_договоры" должен равнятся остатку на листе "46" по договорам и видам продукции (комбинация договор+вид продукции)</t>
  </si>
  <si>
    <t>{0101010000000000} Химический концентрат природного урана (ХКПУ)</t>
  </si>
  <si>
    <t>{0101020000000000} ЗОУ (закись-окись урана)</t>
  </si>
  <si>
    <t>{0101030000000000} Руды редкоземельных металлов</t>
  </si>
  <si>
    <t>{0101040401000000} Оксид скандия</t>
  </si>
  <si>
    <t>{0101040600000000} Золото</t>
  </si>
  <si>
    <t>{0101040800000000} Прочие металлические руды</t>
  </si>
  <si>
    <t>{0101050100000000} Уголь сортовой</t>
  </si>
  <si>
    <t>{0101050200000000} Уголь рядовой</t>
  </si>
  <si>
    <t>{0201020101000000} Гексафторид урана (ГФУ) марки Н</t>
  </si>
  <si>
    <t>{0201020102000000} Гексафторид урана (ГФУ) марки РС</t>
  </si>
  <si>
    <t>{0201020103000000} Гексафторид урана (ГФУ) марки РТ</t>
  </si>
  <si>
    <t>{0201020201000000} Гексафторид урана (ГФУ) обогащенный марки н</t>
  </si>
  <si>
    <t>{0201020202000000} Гексафторид урана (ГФУ) обогащенный марки рс</t>
  </si>
  <si>
    <t>{0201020203000000} Гексафторид урана (ГФУ) обогащенный марки рт</t>
  </si>
  <si>
    <t>{0201020300000000} Гексафторид урана (ГФУ) (UF6) отвальный</t>
  </si>
  <si>
    <t>{0201040101000000} Плав урана марки А (РС)</t>
  </si>
  <si>
    <t>{0201040102000000} Плав урана марки В (РТ)</t>
  </si>
  <si>
    <t>{0201040103000000} Прочие плавы</t>
  </si>
  <si>
    <t>{0201040200000000} Регенерированная закись-окись</t>
  </si>
  <si>
    <t>{0201040300000000} Техокись урана (сырье марки "FM")</t>
  </si>
  <si>
    <t>{0201090000000000} Прочие ядерные материалы (конверсия и обогащение)</t>
  </si>
  <si>
    <t>{0301010000000000} Скандий</t>
  </si>
  <si>
    <t>{0301020100000000} Титановые слитки</t>
  </si>
  <si>
    <t>{0301020200000000} Титановые прутки</t>
  </si>
  <si>
    <t>{0301020300000000} Титановые поковки</t>
  </si>
  <si>
    <t>{0301020400000000} Титановая проволока</t>
  </si>
  <si>
    <t>{0301020500000000} Титановые трубы</t>
  </si>
  <si>
    <t>{0301020600000000} Традиционная продукция из титана</t>
  </si>
  <si>
    <t>{0301020700000000} Диоксид титана</t>
  </si>
  <si>
    <t>{0301020800000000} Прочая продукция из титана</t>
  </si>
  <si>
    <t>{0301030100000000} Кальциевая инжекционная проволока</t>
  </si>
  <si>
    <t>{0301030200000000} Слитки кальция</t>
  </si>
  <si>
    <t>{0301030300000000} Крупка 2-7 мм</t>
  </si>
  <si>
    <t>{0301030400000000} Куски кальция 50-160 мм</t>
  </si>
  <si>
    <t>{0301030500000000} Традиционная продукция из кальция</t>
  </si>
  <si>
    <t>{0301030600000000} Прочая продукция из кальция</t>
  </si>
  <si>
    <t>{0301040100000000} Порошки H9 YSZ/SSZ</t>
  </si>
  <si>
    <t>{0301040300000000} Порошки для плазменного напыления</t>
  </si>
  <si>
    <t>{0301040400000000} Техническая керамика на основе диоксида циркония</t>
  </si>
  <si>
    <t>{0301040500000000} Традиционная продукция из циркония</t>
  </si>
  <si>
    <t>{0301040600000000} Прочая продукция из циркония</t>
  </si>
  <si>
    <t>{0301050100000000} Гидрооксид лития</t>
  </si>
  <si>
    <t>{0301050200000000} Металлический литий</t>
  </si>
  <si>
    <t>{0301050301000000} Катодные материалы</t>
  </si>
  <si>
    <t>{0301050303000000} Лития тетрафторборат</t>
  </si>
  <si>
    <t>{0301050304000000} Лития гексафторфосфат</t>
  </si>
  <si>
    <t>{0301050305000000} Литий хлористый</t>
  </si>
  <si>
    <t>{0301050306000000} Гипохлорит натрия</t>
  </si>
  <si>
    <t>{0301050307000000} Литированный оксид кобальта</t>
  </si>
  <si>
    <t>{0301050308000000} Гидрид лития</t>
  </si>
  <si>
    <t>{0301050309000000} Отбеливатель</t>
  </si>
  <si>
    <t>{0301050310000000} Литий металлический катализированный</t>
  </si>
  <si>
    <t>{0301050399000000} Прочая литиевая продукция</t>
  </si>
  <si>
    <t>{0301070200000000} Оксид ниобия, оксид тантала</t>
  </si>
  <si>
    <t>{0301070300000000} Прочие переходные металлы</t>
  </si>
  <si>
    <t>{0301080101000000} Поковки из спец. стали</t>
  </si>
  <si>
    <t>{0301080102000000} Слитки из спец. стали</t>
  </si>
  <si>
    <t>{0301080103000000} Кольцо (Заготовка) для корпуса реактора из спец.стали</t>
  </si>
  <si>
    <t>{0301080104000000} Обечайка зоны патрубков верхняя (Заготовка) для корпуса реактора из спец.стали</t>
  </si>
  <si>
    <t>{0301080105000000} Обечайка (Заготовка) для корпуса реактора из спец.стали</t>
  </si>
  <si>
    <t>{0301080106000000} Обечайка зоны патрубков нижняя (Заготовка) для корпуса реактора из спец стали</t>
  </si>
  <si>
    <t>{0301080107000000} Обечайка опорная (Заготовка) для корпуса реактора из спец.стали</t>
  </si>
  <si>
    <t>{0301080108000000} Заготовка под разгибку для штамповки днища корпуса реактора для корпуса реактора из спец.стали</t>
  </si>
  <si>
    <t>{0301080109000000} Заготовка_Кольцо для выгородки для реактора из. спец.стали</t>
  </si>
  <si>
    <t>{0301080110000000} Поковка_Обечайка блока защитных труб для реактора из спец.стали</t>
  </si>
  <si>
    <t>{0301080199000000} Прочая металлургическая продукция из спец. стали</t>
  </si>
  <si>
    <t>{0301080300000000} Прочая металлургическая продукция</t>
  </si>
  <si>
    <t>{0301100000000000} Продукция механической обработки металлов</t>
  </si>
  <si>
    <t>{0401010100000000} Топливные таблетки</t>
  </si>
  <si>
    <t>{0401010200000000} Уран-гадолиниевые таблетки</t>
  </si>
  <si>
    <t>{0401010300000000} Уран-эрбиевые таблетки</t>
  </si>
  <si>
    <t>{0401010400000000} Порошок диоксида урана</t>
  </si>
  <si>
    <t>{0401010600000000} Металлический уран</t>
  </si>
  <si>
    <t>{0401010700000000} Тепловыделяющие элементы</t>
  </si>
  <si>
    <t>{0401010801000000} Тепловыделяющие сборки PWR и BWR</t>
  </si>
  <si>
    <t>{0401010802000000} Тепловыделяющие сборки БН-600</t>
  </si>
  <si>
    <t>{0401010803000000} Тепловыделяющие сборки БН-800</t>
  </si>
  <si>
    <t>{0401010804000000} Тепловыделяющие сборки ВВЭР-1000</t>
  </si>
  <si>
    <t>{0401010805000000} Тепловыделяющие сборки ВВЭР-440</t>
  </si>
  <si>
    <t>{0401010806000000} Тепловыделяющие сборки прочие</t>
  </si>
  <si>
    <t>{0401010807000000} Тепловыделяющие сборки РБМК-1000</t>
  </si>
  <si>
    <t>{0401010808000000} Тепловыделяющие сборки ЭГП-6</t>
  </si>
  <si>
    <t>{0401010809000000} Тепловыделяющие сборки Квадрат</t>
  </si>
  <si>
    <t>{0401010810000000} Тепловыделяющие сборки ВВЭР-1200</t>
  </si>
  <si>
    <t>{0401010900000000} МОКС-топливо</t>
  </si>
  <si>
    <t>{0401011000000000} Тепловыделяющие сборки для исследовательских реакторов</t>
  </si>
  <si>
    <t>{0401011200000000} Поглощающие стержни системы управления защитой (ПС СУЗ)</t>
  </si>
  <si>
    <t>{0401011300000000} Поглощающие элементы (ПЭЛ)</t>
  </si>
  <si>
    <t>{0401011400000000} Прочие ядерные материалы</t>
  </si>
  <si>
    <t>{0401011500000000} Головка для ТВЭЛ</t>
  </si>
  <si>
    <t>{0401011600000000} Хвостовик для ТВЭЛ</t>
  </si>
  <si>
    <t>{0401011700000000} Цирконий для ТВС</t>
  </si>
  <si>
    <t>{0601010000000000} Здания, сооружения и др. объекты недвижимого имущества</t>
  </si>
  <si>
    <t>{0601070000000000} Инструменты по управлению проектами (PMC: project management consultant);</t>
  </si>
  <si>
    <t>{0601110000000000} Проектная документация стадии П</t>
  </si>
  <si>
    <t>{0601120000000000} Рабочая документация</t>
  </si>
  <si>
    <t>{1001010110000000} Реактор CEFR</t>
  </si>
  <si>
    <t>{1001010120000000} Реактор CFR-600</t>
  </si>
  <si>
    <t>{1001010130000000} Реактор в сборе</t>
  </si>
  <si>
    <t>{1001010140000000} Оборудование: CEFR/CFR (вспом.оборуд,зап.части для реакторов CEFR/CFR)</t>
  </si>
  <si>
    <t>{1001010201000000} Корпус парогенератора</t>
  </si>
  <si>
    <t>{1001010202000000} Опора для ПГВ</t>
  </si>
  <si>
    <t>{1001010203000000} Коллектор первого контура для ПГВ</t>
  </si>
  <si>
    <t>{1001010204000000} Коллектор пара для ПГВ</t>
  </si>
  <si>
    <t>{1001010205000000} Детали закладные для ПГВ</t>
  </si>
  <si>
    <t>{1001010206000000} Внутреннее насышение ПГВ</t>
  </si>
  <si>
    <t>{1001010207000000} Цапфы и кронштейны для ПГВ</t>
  </si>
  <si>
    <t>{1001010208000000} Комплект монтажных частей для ПГВ</t>
  </si>
  <si>
    <t>{1001010209000000} Комплект оборудования для обслуживания, контроля и ремонта парогенератора</t>
  </si>
  <si>
    <t>{1001010210000000} Комплект запасных частей для ПГВ</t>
  </si>
  <si>
    <t>{1001010211000000} Комплект контрольных монтажных сварных соединений для парогенератора</t>
  </si>
  <si>
    <t>{1001010212000000} ПГВ в сборе</t>
  </si>
  <si>
    <t>{1001010301000000} Корпус ГЦНА с проставкой, элементами крепления, опорами и инструментом</t>
  </si>
  <si>
    <t>{1001010302000000} Приводной асинхронный двигатель для ГЦНА (электродвигатель ГЦНА)</t>
  </si>
  <si>
    <t>{1001010303000000} Выемные части с вспомогательным оборудованием и приспособлениями для ГЦНА</t>
  </si>
  <si>
    <t>{1001010304000000} ГЦНА в сборе</t>
  </si>
  <si>
    <t>{1001010399000000} Прочие комплектующие ГЦНА</t>
  </si>
  <si>
    <t>{1001010402000000} Насосное оборудование РО</t>
  </si>
  <si>
    <t>{1001010406000000} Вентиляционное оборудование и фильтры</t>
  </si>
  <si>
    <t>{1001010499000000} Насосное оборудование прочих систем для АЭ</t>
  </si>
  <si>
    <t>{1001010500000000} Cистемы аварийного охлаждения зоны</t>
  </si>
  <si>
    <t>{1001010600000000} Cистемы пассивного залива активной зоны</t>
  </si>
  <si>
    <t>{1001010701000000} Компенсатор давления</t>
  </si>
  <si>
    <t>{1001010702000000} Элементы крепления компенсатора давления</t>
  </si>
  <si>
    <t>{1001010703000000} Детали закладные элементов крепления компенсатора давления</t>
  </si>
  <si>
    <t>{1001010704000000} Блоки ТЭН</t>
  </si>
  <si>
    <t>{1001010705000000} Ошиновка КД</t>
  </si>
  <si>
    <t>{1001010706000000} Компенсатор давления в сборе</t>
  </si>
  <si>
    <t>{1001010800000000} Главный циркуляционный трубопровод</t>
  </si>
  <si>
    <t>{1001010901000000} Шахта внутрикорпусная для шахты реактора и ревизии</t>
  </si>
  <si>
    <t>{1001010902000000} Оборудование шахты реактора</t>
  </si>
  <si>
    <t>{1001010903000000} Детали закладные шахты реактора</t>
  </si>
  <si>
    <t>{1001010904000000} Оборудование шахты ревизии</t>
  </si>
  <si>
    <t>{1001010905000000} Закладные шахты ревизии</t>
  </si>
  <si>
    <t>{1001010999000000} Прочее оборудование шахты реактора и ревизии</t>
  </si>
  <si>
    <t>{1001011100000000} Подогреватели высокого давления</t>
  </si>
  <si>
    <t>{1001011200000000} Сепараторы-пароперегреватели</t>
  </si>
  <si>
    <t>{1001011300000000} Подогреватели сетевой воды</t>
  </si>
  <si>
    <t>{1001011403000000} Трубопроводы компенсации объема</t>
  </si>
  <si>
    <t>{1001011499000000} Трубопроводы для АЭ (прочие системы)</t>
  </si>
  <si>
    <t>{1001011500000000} Прочее оборудование длительного цикла изготовления</t>
  </si>
  <si>
    <t>{1001011600000000} Прочее не ОДЦИ</t>
  </si>
  <si>
    <t>{1001012001000000} Комплектная паровая турбина</t>
  </si>
  <si>
    <t>{1001012002000000} Комплектный генератор</t>
  </si>
  <si>
    <t>{1001012003000000} Комплектный конденсатор турбины</t>
  </si>
  <si>
    <t>{1001012004000000} Комплект клапанов БРУ-К (Байпас турбины)</t>
  </si>
  <si>
    <t>{1001012005000000} Система шарикоочистки трубок конденсатора</t>
  </si>
  <si>
    <t>{1001012006000000} Система регенерации низкого давления (ПНД)</t>
  </si>
  <si>
    <t>{1001012007000000} Насосное оборудование МЗ</t>
  </si>
  <si>
    <t>{1001012008000000} Комплект внутритурбинных трубопроводов</t>
  </si>
  <si>
    <t>{1001012009000000} Комплект внутритурбинной арматуры</t>
  </si>
  <si>
    <t>{1001012011000000} Предохранительные клапаны СПП и разрывные диафрагмы установленные на выходных трубах ЧВД</t>
  </si>
  <si>
    <t>{1001012012000000} Бак сбора сепарата, бак сбора конденсата греющего пара</t>
  </si>
  <si>
    <t>{1001012013000000} Насос возврата сепарата с электроприводом</t>
  </si>
  <si>
    <t>{1001012019000000} Прочее оборудование системы сепарации и промперегрева</t>
  </si>
  <si>
    <t>{1001012022000000} Услуги для МЗ</t>
  </si>
  <si>
    <t>{1001012029000000} Прочее оборудование системы высокого давления</t>
  </si>
  <si>
    <t>{1001012096000000} Насосное оборудование МЗ НП</t>
  </si>
  <si>
    <t>{1001012097000000} Комплект внутритурбинных трубопроводов НП</t>
  </si>
  <si>
    <t>{1001012098000000} Комплект внутритурбинной арматуры НП</t>
  </si>
  <si>
    <t>{1001012099000000} Прочее оборудование турбоустановки</t>
  </si>
  <si>
    <t>{1001012100000000} Корпус реактора</t>
  </si>
  <si>
    <t>{1001012200000000} Кольцо опорное для реактора</t>
  </si>
  <si>
    <t>{1001012300000000} Кольцо упорное для реактора</t>
  </si>
  <si>
    <t>{1001012400000000} Детали уплотнения главного разъема для реактора</t>
  </si>
  <si>
    <t>{1001012500000000} Образцы свидетели для реактора</t>
  </si>
  <si>
    <t>{1001012600000000} Шахта внутрикорпусная для реактора</t>
  </si>
  <si>
    <t>{1001012700000000} Выгородка для реактора</t>
  </si>
  <si>
    <t>{1001012800000000} Блок защитных труб для реактора</t>
  </si>
  <si>
    <t>{1001012900000000} Блок верхний (комплектно с коленом воздушника и сигнализаторами протечек) для реактора</t>
  </si>
  <si>
    <t>{1001013000000000} Приспособление для центровки для реактора</t>
  </si>
  <si>
    <t>{1001013100000000} Приводы СУЗ</t>
  </si>
  <si>
    <t>{1001013500000000} Кран эстакады реакторного отделения</t>
  </si>
  <si>
    <t>{1001013700000000} Устройство локализации расплава активной зоны</t>
  </si>
  <si>
    <t>{1001013800000000} Машина перегрузки топлива</t>
  </si>
  <si>
    <t>{1001013900000000} Системы пассивного отвода тепла</t>
  </si>
  <si>
    <t>{1001014000000000} Прочее оборудование Турбинного острова</t>
  </si>
  <si>
    <t>{1001014101000000} Оборудование систем диагностики и обслуживания</t>
  </si>
  <si>
    <t>{1001014103000000} Оборудование для монтажа, обслуживания и ремонта реактора</t>
  </si>
  <si>
    <t>{1001014106000000} Барботер</t>
  </si>
  <si>
    <t>{1001014107000000} БСТИ изоляция оборуд-я и трубопроводов 1-го контура</t>
  </si>
  <si>
    <t>{1001014108000000} Шлюзы герметичные</t>
  </si>
  <si>
    <t>{1001014109000000} Шлюз транспортный</t>
  </si>
  <si>
    <t>{1001014110000000} Стеллажи СУХТ и ТВС</t>
  </si>
  <si>
    <t>{1001014111000000} Прочие емкости и баки РО</t>
  </si>
  <si>
    <t>{1001014112000000} Прочие емкости и баки ТО</t>
  </si>
  <si>
    <t>{1001014199000000} Прочее оборудование для ядерного острова</t>
  </si>
  <si>
    <t>{1001014500000000} ЯМ и элементы для эксперимент и исследоват ядерных реакторов</t>
  </si>
  <si>
    <t>{1001014601000000} Трубопроводная арматура РО</t>
  </si>
  <si>
    <t>{1001014699000000} Трубопроводная арматура АЭ (прочие системы)</t>
  </si>
  <si>
    <t>{1001020000000000} Системы контроля и управления РУ ВВЭР</t>
  </si>
  <si>
    <t>{1001030000000000} Исследовательские реакторы</t>
  </si>
  <si>
    <t>{1001040100000000} Энергетические котлы для ТЭ</t>
  </si>
  <si>
    <t>{1001040200000000} Котлы-утилизаторы для ТЭ</t>
  </si>
  <si>
    <t>{1001040300000000} Трубопроводы для ТЭ</t>
  </si>
  <si>
    <t>{1001040500000000} Прочее оборудование ТЭ</t>
  </si>
  <si>
    <t>{1001040700000000} Трубопроводная арматура для ТЭ</t>
  </si>
  <si>
    <t>{1001040800000000} Оборудование для малой гидрогенерации</t>
  </si>
  <si>
    <t>{1001040900000000} Насосное оборудование для ТЭ</t>
  </si>
  <si>
    <t>{1001050100000000} Теплообменники ГНХ</t>
  </si>
  <si>
    <t>{1001050200000000} Колонны/реакторы/емкости ГНХ</t>
  </si>
  <si>
    <t>{1001050400000000} Задвижки/клапаны/вентили ГНХ</t>
  </si>
  <si>
    <t>{1001050700000000} Прочее оборудование ГНХ</t>
  </si>
  <si>
    <t>{1001050800000000} Трубопроводы для ГНХ</t>
  </si>
  <si>
    <t>{1001070000000000} Опреснительные установки</t>
  </si>
  <si>
    <t>{1001080000000000} Обор по обращ со свеж ЯТ, ОЯТ, РАО (вкл. конт для свеж ЯТ)</t>
  </si>
  <si>
    <t>{1001090100000000} Корабельн и судовые реакторные установки (и их составляющие)</t>
  </si>
  <si>
    <t>{1001090200000000} Судостроение (кроме РУ)</t>
  </si>
  <si>
    <t>{1001100000000000} Прочая тематика</t>
  </si>
  <si>
    <t>{1001120000000000} Оборудование комплектной турбоустановки</t>
  </si>
  <si>
    <t>{1001130000000000} Бак запаса питательной воды и деаэратор</t>
  </si>
  <si>
    <t>{1001140000000000} Дизель-генераторная установка</t>
  </si>
  <si>
    <t>{1001150000000000} Пароприемное устройство для приема пара от БРУ-К с устройством охлаждения в горловине конденсатора</t>
  </si>
  <si>
    <t>{1001160000000000} Трансформатор блочный</t>
  </si>
  <si>
    <t>{1001170000000000} Кран эстакады (кран транспортного портала)</t>
  </si>
  <si>
    <t>{1001180000000000} Кран здания ядерного обслуживания г/п до 50 тн.</t>
  </si>
  <si>
    <t>{1001190000000000} Кран здания ядерного обслуживания г/п от 50 тн. и более</t>
  </si>
  <si>
    <t>{1001200000000000} Кран мостовой электрический здания машзала г/п от 15 до 50 тн</t>
  </si>
  <si>
    <t>{1001210000000000} Кран мостовой электрический здания машзала г/п от 50 тн. и более</t>
  </si>
  <si>
    <t>{1001220000000000} Кран мостовой электрический кругового действия (полярный кран)</t>
  </si>
  <si>
    <t>{1001230000000000} Кран мостовой электрический хранилища ТРО г/п от 16 до 32 тн.</t>
  </si>
  <si>
    <t>{1001240000000000} Кран мостовой электрический хранилища ТРО г/п от 32 тн. и более</t>
  </si>
  <si>
    <t>{1001250000000000} Кран мостовой электрический хранилища ТТО г/п от 16 до 32 тн.</t>
  </si>
  <si>
    <t>{1001260000000000} Кран мостовой электрический хранилища ТТО г/п от 32 тн. и более</t>
  </si>
  <si>
    <t>{1001270000000000} Кран хранилища свежего ядерного топлива (ХСТ) г/п от 16 тн. до 40 тн.</t>
  </si>
  <si>
    <t>{1001280000000000} Кран хранилища свежего ядерного топлива (ХСТ) г/п от 40 тн. и более</t>
  </si>
  <si>
    <t>{1001300000000000} Газовые центрифуги</t>
  </si>
  <si>
    <t>{1001400000000000} Буровое оборудование</t>
  </si>
  <si>
    <t>{1001500000000000} Оборудование для аддитивных технологий</t>
  </si>
  <si>
    <t>{1101010100000000} Мощность АЭС</t>
  </si>
  <si>
    <t>{1101010200000000} Мощность прочая</t>
  </si>
  <si>
    <t>{1101020100000000} Электроэнергия АЭС</t>
  </si>
  <si>
    <t>{1101020200000000} Электроэнергия прочая</t>
  </si>
  <si>
    <t>{1101030100000000} Теплоэнергия АЭС</t>
  </si>
  <si>
    <t>{1101030200000000} Теплоэнергия прочая</t>
  </si>
  <si>
    <t>{1101040100000000} Горячая вода</t>
  </si>
  <si>
    <t>{1101040200000000} Питьевая вода</t>
  </si>
  <si>
    <t>{1101040300000000} Техническая вода</t>
  </si>
  <si>
    <t>{1101040400000000} Опресненная вода</t>
  </si>
  <si>
    <t>{1101090000000000} Продукты переработки золошлаковых материалов угольных ТЭЦ</t>
  </si>
  <si>
    <t>{1201010000000000} Транспортно-упаковочный контейнер (ОЯТ)</t>
  </si>
  <si>
    <t>{1201080000000000} Комплекс по обращению с ОЯТ</t>
  </si>
  <si>
    <t>{1301010000000000} Транспортно-упаковочный контейнер (РАО)</t>
  </si>
  <si>
    <t>{1301110000000000} Комплекс по обращению с РАО</t>
  </si>
  <si>
    <t>{1301130000000000} Оборудование по переработке РАО</t>
  </si>
  <si>
    <t>{1401010000000000} Системы радиационного контроля</t>
  </si>
  <si>
    <t>{1401020001000000} ГИК-А6 (на основе Со-60)</t>
  </si>
  <si>
    <t>{1401020101000000} Промышленные источники на основе Со-60 типа ГИК</t>
  </si>
  <si>
    <t>{1401020300000000} Торий-229</t>
  </si>
  <si>
    <t>{1401020400000000} Германий -72</t>
  </si>
  <si>
    <t>{1401020500000000} Цинк-64, в виде оксида, в форме таблеток (оксид цинка)</t>
  </si>
  <si>
    <t>{1401020600000000} Цинк-64, в виде оксида, в форме порошка (порошок оксида цинка)</t>
  </si>
  <si>
    <t>{1401020700000000} Цинк-64, в виде дигидрата ацетата, в форме кристаллов произвольных размеров (дигидрат ацетата цинка)</t>
  </si>
  <si>
    <t>{1401020900000000} Прочие приборы и оборудование, используемые при обращении с радиоизотопной продукцией</t>
  </si>
  <si>
    <t>{1401021010000000} Америций-241</t>
  </si>
  <si>
    <t>{1401021020000000} Германий -76</t>
  </si>
  <si>
    <t>{1401021030000000} Гидроксид лития (ЛГО-7)</t>
  </si>
  <si>
    <t>{1401021040000000} Изотопы иридия - 192</t>
  </si>
  <si>
    <t>{1401021050000000} Изотопы углерода С-14</t>
  </si>
  <si>
    <t>{1401021060000000} Иридий-192</t>
  </si>
  <si>
    <t>{1401021070000000} Калифорний-252</t>
  </si>
  <si>
    <t>{1401021080000000} Ксенон-136</t>
  </si>
  <si>
    <t>{1401021090000000} Молибден-100 (не медицинский)</t>
  </si>
  <si>
    <t>{1401021100000000} Прометий-147</t>
  </si>
  <si>
    <t>{1401021110000000} Селен-75</t>
  </si>
  <si>
    <t>{1401021120000000} Стронций-90</t>
  </si>
  <si>
    <t>{1401021130000000} Цезий-137</t>
  </si>
  <si>
    <t>{1401021140000000} Прочие источники на основе Со-60</t>
  </si>
  <si>
    <t>{1401021150000000} Co-60, источник ГК60Р03 100 мКи</t>
  </si>
  <si>
    <t>{1401021160000000} Co-60, источник ГК60Р03 200 мКи</t>
  </si>
  <si>
    <t>{1401021170000000} Co-60, источник ГК60Р03 9000 Ки</t>
  </si>
  <si>
    <t>{1401021180000000} Co-60, источник ГК60Т03 11000 Ки</t>
  </si>
  <si>
    <t>{1401021190000000} Co-60, источник ГК60Т03 8000 Ки</t>
  </si>
  <si>
    <t>{1401021200000000} Прочие изотопы кроме медицинских (в т.ч. промышленные изотопы)</t>
  </si>
  <si>
    <t>{1401050305000000} Генератор технеция-99м ГТ-4к (11ГБк)</t>
  </si>
  <si>
    <t>{1401050306000000} Генератор технеция-99м ГТ-4к (19 ГБк)</t>
  </si>
  <si>
    <t>{1401050307000000} Генератор технеция-99м ГТ-4К (4 ГБк)</t>
  </si>
  <si>
    <t>{1401050308000000} Генератор технеция-99м ГТ-4К (6 ГБк)</t>
  </si>
  <si>
    <t>{1401050309000000} Генератор технеция-99м ГТ-4к (8 ГБк)</t>
  </si>
  <si>
    <t>{1401050310000000} Натрия йодид 131- I (2,0 ГБк)</t>
  </si>
  <si>
    <t>{1401050311000000} Молибден-100</t>
  </si>
  <si>
    <t>{1401050312000000} 18-ФДГ</t>
  </si>
  <si>
    <t>{1401050313000000} Молибден-99 в виде молибдата натрия Na2Mo04</t>
  </si>
  <si>
    <t>{1401050314000000} Элемент топливный исследовательского реактора (мишень) для Мо-99</t>
  </si>
  <si>
    <t>{1401050315000000} Стронций-89 (Sr-89)</t>
  </si>
  <si>
    <t>{1401050316000000} Источники на основе высокоудельного Со-60 типа ГИК</t>
  </si>
  <si>
    <t>{1401050399000000} Прочие радиофармпрепараты (в т.ч. медицинские изотопы)</t>
  </si>
  <si>
    <t>{1401050400000000} Медицинское оборудование</t>
  </si>
  <si>
    <t>{1401050700000000} Циклотронный комплекс СС-30/15</t>
  </si>
  <si>
    <t>{1401070000000000} Уст рад об с/х прод,прод пит,мед изд и пр.мат</t>
  </si>
  <si>
    <t>{1401090100000000} Контейнеры для источников ионизирующих излучений</t>
  </si>
  <si>
    <t>{1401099900000000} Проч прод для обращ с источниками ионизирующего излучения</t>
  </si>
  <si>
    <t>{1401200000000000} Приборы неразрушающего контроля</t>
  </si>
  <si>
    <t>{1501010100000000} Изделия из углеродного волокна</t>
  </si>
  <si>
    <t>{1501010200000000} Высокомодульные углеродные волокна</t>
  </si>
  <si>
    <t>{1501010301000000} Ленты углеродные конструкционные (ЛУ-П)</t>
  </si>
  <si>
    <t>{1501010302000000} Ленты углеродные конструкционные (ЭЛУР)</t>
  </si>
  <si>
    <t>{1501010303000000} Ленты углеродные однонаправленные (УОЛ)</t>
  </si>
  <si>
    <t>{1501010400000000} Среднепрочные углеродные волокна</t>
  </si>
  <si>
    <t>{1501010500000000} Ткани углеродные (УТ)</t>
  </si>
  <si>
    <t>{1501010601000000} Толстые углеродные нити</t>
  </si>
  <si>
    <t>{1501010602000000} Тонкие углеродные нити</t>
  </si>
  <si>
    <t>{1501010700000000} Углерод-углеродные композиц конструкционные материалы (УУКМ)</t>
  </si>
  <si>
    <t>{1501010900000000} Ткани мультиаксиальные</t>
  </si>
  <si>
    <t>{1501011000000000} Среднемодульные углеродные волокна</t>
  </si>
  <si>
    <t>{1501011200000000} Ткани углеродные UWUD</t>
  </si>
  <si>
    <t>{1501011300000000} Ткани углеродные УТ-Н</t>
  </si>
  <si>
    <t>{1501011400000000} Ткани углеродные UWB</t>
  </si>
  <si>
    <t>{1501020000000000} Композиционный материал КИМФ</t>
  </si>
  <si>
    <t>{1501030000000000} Полиакрилонитрильные (ПАН) волокна</t>
  </si>
  <si>
    <t>{1501040000000000} Препреги</t>
  </si>
  <si>
    <t>{1501060000000000} Прочие композиционные материалы и изделия из них</t>
  </si>
  <si>
    <t>{1501070000000000} Монокристаллы(галлий,кремний,сапфир и т.д.) и изделия из них</t>
  </si>
  <si>
    <t>{1501080000000000} Порошки для аддитивных и MIM-технологий</t>
  </si>
  <si>
    <t>{1501090000000000} Карбид кремния и изделия из него</t>
  </si>
  <si>
    <t>{1501100000000000} Полиуретаны, пенополиуретаны, эластомеры и изделия из них</t>
  </si>
  <si>
    <t>{1501110000000000} Компоненты для производства эластомеров</t>
  </si>
  <si>
    <t>{1501120000000000} Металлические и пенополиуретановые конструкционные изделия</t>
  </si>
  <si>
    <t>{1501130000000000} Изделия, полученные методом филаментной намотки</t>
  </si>
  <si>
    <t>{1501140000000000} Фурнитура для высокотемпературных печей</t>
  </si>
  <si>
    <t>{1501150000000000} Углеродная теплоизоляция</t>
  </si>
  <si>
    <t>{1501160000000000} Изделие типа МО</t>
  </si>
  <si>
    <t>{1501170000000000} Углеродный войлок</t>
  </si>
  <si>
    <t>{1501180000000000} Сотовый наполнитель из композиционных материалов</t>
  </si>
  <si>
    <t>{9901010100000000} Малогабаритные источники тока</t>
  </si>
  <si>
    <t>{9901010200000000} Накопители энергии</t>
  </si>
  <si>
    <t>{9901010300000000} Системы на щелочных топливных элементах</t>
  </si>
  <si>
    <t>{9901010400000000} Системы на твердооксидных топливных элементах (ТОТЭ)</t>
  </si>
  <si>
    <t>{9901010600000000} Электролиты</t>
  </si>
  <si>
    <t>{9901020100000000} Радиационные мониторы</t>
  </si>
  <si>
    <t>{9901020200000000} Детекторы паров и частиц запрещенных веществ</t>
  </si>
  <si>
    <t>{9901020400000000} Системы контроля и управления доступом</t>
  </si>
  <si>
    <t>{9901020500000000} Металлообнаружители</t>
  </si>
  <si>
    <t>{9901020600000000} Охранная и пожарная сигнализации</t>
  </si>
  <si>
    <t>{9901020800000000} Нейтронные системы</t>
  </si>
  <si>
    <t>{9901020900000000} Системы охраны периметра</t>
  </si>
  <si>
    <t>{9901030101000000} Предпроектное обследование, обоснование СВБУ</t>
  </si>
  <si>
    <t>{9901030102000000} Проектирование СВБУ</t>
  </si>
  <si>
    <t>{9901030103000000} Шеф-монтаж СВБУ</t>
  </si>
  <si>
    <t>{9901030104000000} Проведение испытаний/Шеф-наладка СВБУ</t>
  </si>
  <si>
    <t>{9901030105000000} Пуско-наладочные работы (ПНР) СВБУ</t>
  </si>
  <si>
    <t>{9901030106000000} Сервисное обслуживание СВБУ</t>
  </si>
  <si>
    <t>{9901030107000000} Обучение персонала СВБУ</t>
  </si>
  <si>
    <t>{9901030108000000} Прочие услуги АСУ ТП для СВБУ</t>
  </si>
  <si>
    <t>{9901030109000000} Система верхнего блочного уровня (СВБУ)</t>
  </si>
  <si>
    <t>{9901030201000000} Предпроектное обследование, обоснование СКУД</t>
  </si>
  <si>
    <t>{9901030202000000} Проектирование СКУД</t>
  </si>
  <si>
    <t>{9901030203000000} Шеф-монтаж СКУД</t>
  </si>
  <si>
    <t>{9901030204000000} Проведение испытаний/Шеф-наладка СКУД</t>
  </si>
  <si>
    <t>{9901030205000000} Пуско-наладочные работы (ПНР) СКУД</t>
  </si>
  <si>
    <t>{9901030206000000} Сервисное обслуживание СКУД</t>
  </si>
  <si>
    <t>{9901030207000000} Обучение персонала СКУД</t>
  </si>
  <si>
    <t>{9901030208000000} Прочие услуги АСУ ТП для СКУД</t>
  </si>
  <si>
    <t>{9901030209000000} Система контроля управления и диагностики (СКУД)</t>
  </si>
  <si>
    <t>{9901030301000000} Предпроектное обследование, обоснование ТС ОДУ БПУ, РПУ</t>
  </si>
  <si>
    <t>{9901030302000000} Проектирование ТС ОДУ БПУ, РПУ</t>
  </si>
  <si>
    <t>{9901030303000000} Шеф-монтаж ТС ОДУ БПУ, РПУ</t>
  </si>
  <si>
    <t>{9901030304000000} Проведение испытаний/Шеф-наладка ТС ОДУ БПУ, РПУ</t>
  </si>
  <si>
    <t>{9901030305000000} Пуско-наладочные работы (ПНР) ТС ОДУ БПУ, РПУ</t>
  </si>
  <si>
    <t>{9901030306000000} Сервисное обслуживание ТС ОДУ БПУ, РПУ</t>
  </si>
  <si>
    <t>{9901030307000000} Обучение персонала ТС ОДУ БПУ, РПУ</t>
  </si>
  <si>
    <t>{9901030308000000} Прочие услуги АСУ ТП для ТС ОДУ БПУ, РПУ</t>
  </si>
  <si>
    <t>{9901030309000000} Технические средства оперативно-диспетчерского управления блочного пункта управления и резервного пункта управления (ТС ОДУ БПУ, РПУ)</t>
  </si>
  <si>
    <t>{9901030901000000} Предпроектное обследование, обоснование АЗ, ПЗ - УСБИ</t>
  </si>
  <si>
    <t>{9901030902000000} Проектирование АЗ, ПЗ - УСБИ</t>
  </si>
  <si>
    <t>{9901030903000000} Шеф-монтаж АЗ, ПЗ - УСБИ</t>
  </si>
  <si>
    <t>{9901030904000000} Проведение испытаний/Шеф-наладка АЗ, ПЗ - УСБИ</t>
  </si>
  <si>
    <t>{9901030905000000} Пуско-наладочные работы (ПНР) АЗ, ПЗ - УСБИ</t>
  </si>
  <si>
    <t>{9901030906000000} Сервисное обслуживание АЗ, ПЗ - УСБИ</t>
  </si>
  <si>
    <t>{9901030907000000} Обучение персонала АЗ, ПЗ - УСБИ</t>
  </si>
  <si>
    <t>{9901030908000000} Прочие услуги АСУ ТП для АЗ, ПЗ - УСБИ</t>
  </si>
  <si>
    <t>{9901030909000000} Инициирующая часть подсистемы аварийной и предупредительной защиты и управляющей системы безопасности технологической (АЗ, ПЗ - УСБИ)</t>
  </si>
  <si>
    <t>{9901031001000000} Предпроектное обследование, обоснование ИЧ УСБТ</t>
  </si>
  <si>
    <t>{9901031002000000} Проектирование ИЧ УСБТ</t>
  </si>
  <si>
    <t>{9901031003000000} Шеф-монтаж ИЧ УСБТ</t>
  </si>
  <si>
    <t>{9901031004000000} Проведение испытаний/Шеф-наладка ИЧ УСБТ</t>
  </si>
  <si>
    <t>{9901031005000000} Пуско-наладочные работы (ПНР) ИЧ УСБТ</t>
  </si>
  <si>
    <t>{9901031006000000} Сервисное обслуживание ИЧ УСБТ</t>
  </si>
  <si>
    <t>{9901031007000000} Обучение персонала ИЧ УСБТ</t>
  </si>
  <si>
    <t>{9901031008000000} Прочие услуги АСУ ТП для ИЧ УСБТ</t>
  </si>
  <si>
    <t>{9901031009000000} Исполнительная часть управляющей системы безопасности технологической (ИЧ УСБТ)</t>
  </si>
  <si>
    <t>{9901031101000000} Предпроектное обследование, обоснование ДСЗ СУЗ-УСБТ</t>
  </si>
  <si>
    <t>{9901031102000000} Проектирование ДСЗ СУЗ-УСБТ</t>
  </si>
  <si>
    <t>{9901031103000000} Шеф-монтаж ДСЗ СУЗ-УСБТ</t>
  </si>
  <si>
    <t>{9901031104000000} Проведение испытаний/Шеф-наладка ДСЗ СУЗ-УСБТ</t>
  </si>
  <si>
    <t>{9901031105000000} Пуско-наладочные работы (ПНР) ДСЗ СУЗ-УСБТ</t>
  </si>
  <si>
    <t>{9901031106000000} Сервисное обслуживание ДСЗ СУЗ-УСБТ</t>
  </si>
  <si>
    <t>{9901031107000000} Обучение персонала ДСЗ СУЗ-УСБТ</t>
  </si>
  <si>
    <t>{9901031108000000} Прочие услуги АСУ ТП для ДСЗ СУЗ-УСБТ</t>
  </si>
  <si>
    <t>{9901031109000000} Диверсная система защиты системы управления и защиты реакторной установки – управляющей системы безопасности технологической (ДСЗ СУЗ-УСБТ)</t>
  </si>
  <si>
    <t>{9901031201000000} Предпроектное обследование, обоснование КЭ СУЗ</t>
  </si>
  <si>
    <t>{9901031202000000} Проектирование КЭ СУЗ</t>
  </si>
  <si>
    <t>{9901031203000000} Шеф-монтаж КЭ СУЗ</t>
  </si>
  <si>
    <t>{9901031204000000} Проведение испытаний/Шеф-наладка КЭ СУЗ</t>
  </si>
  <si>
    <t>{9901031205000000} Пуско-наладочные работы (ПНР) КЭ СУЗ</t>
  </si>
  <si>
    <t>{9901031206000000} Сервисное обслуживание КЭ СУЗ</t>
  </si>
  <si>
    <t>{9901031207000000} Обучение персонала КЭ СУЗ</t>
  </si>
  <si>
    <t>{9901031208000000} Прочие услуги АСУ ТП для КЭ СУЗ</t>
  </si>
  <si>
    <t>{9901031209000000} Комплекс электрооборудования СУЗ (КЭ СУЗ)</t>
  </si>
  <si>
    <t>{9901031301000000} Предпроектное обследование, обоснование АКНП</t>
  </si>
  <si>
    <t>{9901031302000000} Проектирование АКНП</t>
  </si>
  <si>
    <t>{9901031303000000} Шеф-монтаж АКНП</t>
  </si>
  <si>
    <t>{9901031304000000} Проведение испытаний/Шеф-наладка АКНП</t>
  </si>
  <si>
    <t>{9901031305000000} Пуско-наладочные работы (ПНР) АКНП</t>
  </si>
  <si>
    <t>{9901031306000000} Сервисное обслуживание АКНП</t>
  </si>
  <si>
    <t>{9901031307000000} Обучение персонала АКНП</t>
  </si>
  <si>
    <t>{9901031308000000} Прочие услуги АСУ ТП для АКНП</t>
  </si>
  <si>
    <t>{9901031309000000} Аппаратура контроля нейтронного потока (АКНП)</t>
  </si>
  <si>
    <t>{9901031501000000} Предпроектное обследование, обоснование СКУ НЭ</t>
  </si>
  <si>
    <t>{9901031502000000} Проектирование СКУ НЭ</t>
  </si>
  <si>
    <t>{9901031503000000} Шеф-монтаж СКУ НЭ</t>
  </si>
  <si>
    <t>{9901031504000000} Проведение испытаний/Шеф-наладка СКУ НЭ</t>
  </si>
  <si>
    <t>{9901031505000000} Пуско-наладочные работы (ПНР) СКУ НЭ</t>
  </si>
  <si>
    <t>{9901031506000000} Сервисное обслуживание СКУ НЭ</t>
  </si>
  <si>
    <t>{9901031507000000} Обучение персонала СКУ НЭ</t>
  </si>
  <si>
    <t>{9901031508000000} Прочие услуги АСУ ТП для СКУ НЭ</t>
  </si>
  <si>
    <t>{9901031509000000} Система контроля и управления оборудованием нормальной эксплуатации, включая ПТК ШУ КХОП, ПТК ВД, ПТК ТД, ПТК ШУ КХНП (СКУ НЭ)</t>
  </si>
  <si>
    <t>{9901032001000000} Предпроектное обследование, обоснование АСРК</t>
  </si>
  <si>
    <t>{9901032002000000} Проектирование АСРК</t>
  </si>
  <si>
    <t>{9901032003000000} Шеф-монтаж АСРК</t>
  </si>
  <si>
    <t>{9901032004000000} Проведение испытаний/Шеф-наладка АСРК</t>
  </si>
  <si>
    <t>{9901032005000000} Пуско-наладочные работы (ПНР) АСРК</t>
  </si>
  <si>
    <t>{9901032006000000} Сервисное обслуживание АСРК</t>
  </si>
  <si>
    <t>{9901032007000000} Обучение персонала АСРК</t>
  </si>
  <si>
    <t>{9901032008000000} Прочие услуги АСУ ТП для АСРК</t>
  </si>
  <si>
    <t>{9901032009000000} Автоматизированная система радиационного контроля (АСРК)</t>
  </si>
  <si>
    <t>{9901039999000000} Прочая продукция АСУТП</t>
  </si>
  <si>
    <t>{9901040000000000} Лазерные и ускорительные технологии (продукция)</t>
  </si>
  <si>
    <t>{9901050000000000} Электротехника</t>
  </si>
  <si>
    <t>{9901060000000000} Полимеры, пластические массы, химические волокна и каучуки</t>
  </si>
  <si>
    <t>{9901080000000000} Средства и методы вычислений (продукция)</t>
  </si>
  <si>
    <t>{9901090000000000} Оборудование теплотехнического стенда</t>
  </si>
  <si>
    <t>{9901240000000000} Материалы строительные</t>
  </si>
  <si>
    <t>{9901250001000000} Серная кислота</t>
  </si>
  <si>
    <t>{9901250099000000} Прочие кислоты неорганические и их производные, окислы</t>
  </si>
  <si>
    <t>{9901280000000000} Каталитические блоки, нейтрализаторы</t>
  </si>
  <si>
    <t>{9901290000000000} Безводный фтористый водород</t>
  </si>
  <si>
    <t>{9901300000000000} Продукция опытных химических производств</t>
  </si>
  <si>
    <t>{9901310000000000} Программное обеспечение</t>
  </si>
  <si>
    <t>{9901330000000000} Тренажеры и др. ТСО для АЭС (продукция)</t>
  </si>
  <si>
    <t>{9901370000000000} Автомобильные катализаторы</t>
  </si>
  <si>
    <t>{9901380000000000} Перспективная продукция</t>
  </si>
  <si>
    <t>{9901390000000000} Полиграфическая продукция</t>
  </si>
  <si>
    <t>{9901410000000000} Дополнительные продукты B2B и B2C</t>
  </si>
  <si>
    <t>{9901440000000000} Общая техника (продукция)</t>
  </si>
  <si>
    <t>{9901450000000000} ВЧ-генераторы</t>
  </si>
  <si>
    <t>{9901460000000000} Станкостроение (продукция)</t>
  </si>
  <si>
    <t>{9901470000000000} Комплектующие для рудной переработки и добычи полезных ископаемых</t>
  </si>
  <si>
    <t>{9901480000000000} Полимерные и битумные защитные покрытия</t>
  </si>
  <si>
    <t>{9901601000000000} Аппаратные платформы</t>
  </si>
  <si>
    <t>{9901602000000000} Прочие ЦП</t>
  </si>
  <si>
    <t>{9901990000000000} Продукты прочие</t>
  </si>
  <si>
    <t>{0102080001000000} Технологическое и разведочное бурение</t>
  </si>
  <si>
    <t>{0102080002000000} Поисково-оценочное бурение</t>
  </si>
  <si>
    <t>{0102080003000000} Геологическое сопровождение</t>
  </si>
  <si>
    <t>{0102090000000000} Прочие услуги в области добычи полезных ископаемых</t>
  </si>
  <si>
    <t>{0202050100000000} Услуги по конверсии урана Н</t>
  </si>
  <si>
    <t>{0202050200000000} Услуги по конверсии урана РС</t>
  </si>
  <si>
    <t>{0202050300000000} Услуги по конверсии урана РТ</t>
  </si>
  <si>
    <t>{0202050400000000} Услуги по конверсии урана прочие</t>
  </si>
  <si>
    <t>{0202060100000000} Услуги по обогащению гексафторида урана (UF6) природного</t>
  </si>
  <si>
    <t>{0202060200000000} Услуги по обогащению гексафторида урана (UF6) РС</t>
  </si>
  <si>
    <t>{0202060300000000} Услуги по обогащению гексафторида урана (UF6) РТ</t>
  </si>
  <si>
    <t>{0202060400000000} Услуги по обогащению гексафторида урана (UF6) прочие</t>
  </si>
  <si>
    <t>{0202070101000000} Обогащенная закись-окись (Н)</t>
  </si>
  <si>
    <t>{0202070102000000} Обогащенная закись-окись (РС)</t>
  </si>
  <si>
    <t>{0202080000000000} Услуги по вторичной переработке ОГФУ</t>
  </si>
  <si>
    <t>{0202100000000000} Прочие услуги по производству и обработке ядерных материалов</t>
  </si>
  <si>
    <t>{0302090000000000} Услуги по произв прочих металлов, сплавов и их соединений</t>
  </si>
  <si>
    <t>{0302100000000000} Услуги механической обработки металлов</t>
  </si>
  <si>
    <t>{0402020100000000} Работы (услуги) по производству топливных таблеток</t>
  </si>
  <si>
    <t>{0402020200000000} Работы (услуги) по производству уран-гадолиниевых таблеток</t>
  </si>
  <si>
    <t>{0402020300000000} Работы (услуги) по производству уран-эрбиевых таблеток</t>
  </si>
  <si>
    <t>{0402030000000000} Работы (услуги) по изготовл тепловыделяющих элементов (ТВЭЛ)</t>
  </si>
  <si>
    <t>{0402040100000000} Работы (услуги) по изготовлению тепловыделяющих сборок (ТВС) БН-600</t>
  </si>
  <si>
    <t>{0402040200000000} Работы (услуги) по изготовлению тепловыделяющих сборок (ТВС) БН-800</t>
  </si>
  <si>
    <t>{0402040300000000} Работы (услуги) по изготовлению тепловыделяющих сборок (ТВС) ВВЭР-1000</t>
  </si>
  <si>
    <t>{0402040400000000} Работы (услуги) по изготовлению тепловыделяющих сборок (ТВС) ВВЭР-440</t>
  </si>
  <si>
    <t>{0402040500000000} Работы (услуги) по изготовлению тепловыделяющих сборок (ТВС) прочих</t>
  </si>
  <si>
    <t>{0402040600000000} Работы (услуги) по изготовлению тепловыделяющих сборок (ТВС) РБМК-1000</t>
  </si>
  <si>
    <t>{0402050000000000} Работы (услуги) по изг тепловыдел элем с гадолинием (ТВЭГ)</t>
  </si>
  <si>
    <t>{0402060000000000} Услуги по производству порошка диоксида урана</t>
  </si>
  <si>
    <t>{0402070000000000} Работы (услуги) по изг ядерного топлива и его компонентов</t>
  </si>
  <si>
    <t>{0502010100000000} Проектно-конструкторские работы для ВВЭР (ЯППУ)</t>
  </si>
  <si>
    <t>{0502010200000000} Проектно-конструкторские работы для БН (ЯППУ)</t>
  </si>
  <si>
    <t>{0502010300000000} Проектно-конструкторские работы для оборудование вне ЯППУ</t>
  </si>
  <si>
    <t>{0502010400000000} Проектно-конструкт работы для АЭС малой и средней мощности</t>
  </si>
  <si>
    <t>{0502010600000000} ПКР для Трансп, судовой и кораб энергетики (проч тематики)</t>
  </si>
  <si>
    <t>{0502010700000000} Проектно-конструкторские работы для тепловой энергетики</t>
  </si>
  <si>
    <t>{0502010800000000} Проектно-конструкторские работы для газнефтехимии</t>
  </si>
  <si>
    <t>{0502011000000000} Проектно-конструкторские работы для сист управл и КИП для АЭ</t>
  </si>
  <si>
    <t>{0502011200000000} ПКР по проектам ВЭ объектов обращения с РАО и ОЯТ</t>
  </si>
  <si>
    <t>{0502011300000000} ПКР по проектам сооружения объектов обращения с РАО / ОЯТ</t>
  </si>
  <si>
    <t>{0502011400000000} ПКР для оборудования/продукции по прочим тематикам</t>
  </si>
  <si>
    <t>{0602010001000000} Проектно-изыскательские работы (ПИР) АЭ</t>
  </si>
  <si>
    <t>{0602010004000000} Проектно-изыскательские работы (ПИР) для ТЭ</t>
  </si>
  <si>
    <t>{0602010099000000} Прочие ПИР</t>
  </si>
  <si>
    <t>{0602020001000000} СМР подготовительного периода в том числе обустройство территории, земляные работы, сооружение строительной базы и т.д.</t>
  </si>
  <si>
    <t>{0602020002000000} СМР основного периода: ЯО</t>
  </si>
  <si>
    <t>{0602020003000000} СМР основного периода: ТО</t>
  </si>
  <si>
    <t>{0602020004000000} СМР основного периода: прочие</t>
  </si>
  <si>
    <t>{0602020999000000} СМР прочие</t>
  </si>
  <si>
    <t>{0602030000000000} Авторский надзор</t>
  </si>
  <si>
    <t>{0602040000000000} Технический надзор</t>
  </si>
  <si>
    <t>{0602050000000000} Услуги по вводу в эксплуатацию АЭС (пуско-наладочные работы)</t>
  </si>
  <si>
    <t>{0602060000000000} Услуги по подготовке персонала АЭС</t>
  </si>
  <si>
    <t>{0602070000000000} Консультационные услуги (PMC: project management consultant)</t>
  </si>
  <si>
    <t>{0602080000000000} Услуги по ген. подряду</t>
  </si>
  <si>
    <t>{0602090000000000} Услуги по вводу в эксплуатацию промышленных объектов, кроме АЭС (пуско-наладочные работы)</t>
  </si>
  <si>
    <t>{0602100000000000} Контроль качества изготовления и приемка оборудования</t>
  </si>
  <si>
    <t>{0602110000000000} Оценка соответствия в форме приемки и испытаний оборудования, комплектующих материалов и полуфабрикатов, поставляемых на объекты использования атомной энергии</t>
  </si>
  <si>
    <t>{0602120000000000} Предпроектные, изыскательские работы</t>
  </si>
  <si>
    <t>{0702010000000000} Услуги по модерн и продлении сроков эксплуатации (ПСЭ) АЭС</t>
  </si>
  <si>
    <t>{0702020000000000} Услуги по проведению ремонтных работ и техобслуживания на АЭС</t>
  </si>
  <si>
    <t>{0702030000000000} Услуги сервиса на объектах теплоэнергетики</t>
  </si>
  <si>
    <t>{0702040000000000} Услуги сервиса на прочих промышленных объектах</t>
  </si>
  <si>
    <t>{0802010000000000} Техническое обслуживание и ремонт (кроме АЭС)</t>
  </si>
  <si>
    <t>{0902010000000000} Услуги по выводу из эксплуатации</t>
  </si>
  <si>
    <t>{1002040100000000} Услуги для малой гидрогенерации</t>
  </si>
  <si>
    <t>{1002040500000000} Прочие услуги для теплоэнергетики</t>
  </si>
  <si>
    <t>{1002050700000000} Прочие услуги для газнефтехимии</t>
  </si>
  <si>
    <t>{1002060900000000} Прочие услуги для ветроэнергетики</t>
  </si>
  <si>
    <t>{1002090100000000} Кораб и судовые реакт установ (и их составляющие) (услуги)</t>
  </si>
  <si>
    <t>{1002090200000000} Судостроение (кроме РУ) (услуги)</t>
  </si>
  <si>
    <t>{1002110000000000} Услуги по изготовлению агрегатов газовых центрифуг</t>
  </si>
  <si>
    <t>{1102050000000000} Услуги эксплуатации АЭС</t>
  </si>
  <si>
    <t>{1102060102000000} Перед э/э(мощн) по электросетям, принадл терр сетевым орг-ям</t>
  </si>
  <si>
    <t>{1102060103000000} Технологическое присоединение к электрическим сетям</t>
  </si>
  <si>
    <t>{1102060203000000} Сбыт электрической энергии</t>
  </si>
  <si>
    <t>{1102070100000000} Пр-во т/э(мощ)в реж ком выр э/э и т/э с мощ пр-ва э/э&gt;=25МВт</t>
  </si>
  <si>
    <t>{1102070200000000} Пр-во т/э(мощ)в реж комб выр э/э и т/э с мощ пр-ва э/э&lt;25МВт</t>
  </si>
  <si>
    <t>{1102070300000000} Произв т/э (мощн) не в режиме комбинир выраб э/э и т/э</t>
  </si>
  <si>
    <t>{1102070401000000} Передача тепловой энергии и теплоносителя</t>
  </si>
  <si>
    <t>{1102070402000000} Сбыт тепловой энергии и теплоносителя</t>
  </si>
  <si>
    <t>{1102080000000000} Сбор, очистка и распределение вод</t>
  </si>
  <si>
    <t>{1102090000000000} Услуги CEFR, CFR-600</t>
  </si>
  <si>
    <t>{1202020001000000} Услуги по хранению ОЯТ ВВЭР-440 (зарубежное)</t>
  </si>
  <si>
    <t>{1202020002000000} Услуги по хранению ОЯТ ВВЭР-440 (собственность КРЭА)</t>
  </si>
  <si>
    <t>{1202020003000000} Услуги по хранению ОЯТ ВВЭР-440 (федеральная собственность)</t>
  </si>
  <si>
    <t>{1202020004000000} Услуги по хранению ОЯТ ВВЭР-1000 (федеральная собственность)</t>
  </si>
  <si>
    <t>{1202020005000000} Услуги по хранению ОЯТ ВВЭР-1000/1200 (зарубежное)</t>
  </si>
  <si>
    <t>{1202020006000000} Услуги по хранению ОЯТ ВВЭР-1000/1200 (собственность КРЭА)</t>
  </si>
  <si>
    <t>{1202020007000000} Услуги по хранению ОЯТ РБМК-1000 (собственность КРЭА)</t>
  </si>
  <si>
    <t>{1202020008000000} Услуги по хранению ОЯТ РБМК-1000 (федеральная собственность)</t>
  </si>
  <si>
    <t>{1202020009000000} Услуги по хранению ОЯТ БН-600 (собственность КРЭА)</t>
  </si>
  <si>
    <t>{1202020010000000} Услуги по хранению ОЯТ БН-600 (федеральная собственность)</t>
  </si>
  <si>
    <t>{1202020011000000} Услуги по размещению на долговременное хранение ОЯТ ВВЭР-1000 (федеральная собственность)</t>
  </si>
  <si>
    <t>{1202020012000000} Услуги по размещению на долговременное хранение ОЯТ ВВЭР-1000/1200 (зарубежное)</t>
  </si>
  <si>
    <t>{1202020013000000} Услуги по размещению на долговременное хранение ОЯТ ВВЭР-1000/1200 (собственность КРЭА)</t>
  </si>
  <si>
    <t>{1202020014000000} Услуги по перегрузке из мокрого хранилища в сухое ОЯТ ВВЭР-1000 (федеральная собственность)</t>
  </si>
  <si>
    <t>{1202020015000000} Услуги по перегрузке из мокрого хранилища в сухое ОЯТ ВВЭР-1000 (зарубежное)</t>
  </si>
  <si>
    <t>{1202020016000000} Услуги по перегрузке из мокрого хранилища в сухое ОЯТ ВВЭР-1000 (собственность КРЭА)</t>
  </si>
  <si>
    <t>{1202020999000000} Хранение прочего ОЯТ</t>
  </si>
  <si>
    <t>{1202030001000000} Услуги по транспортировке ОЯТ ВВЭР-440 (зарубежное)</t>
  </si>
  <si>
    <t>{1202030002000000} Услуги по транспортировке ОЯТ ВВЭР-440 (собственность КРЭА)</t>
  </si>
  <si>
    <t>{1202030003000000} Услуги по транспортировке ОЯТ ВВЭР-440 (федеральная собственность)</t>
  </si>
  <si>
    <t>{1202030004000000} Услуги по транспортировке ОЯТ ВВЭР-1000 (федеральная собственность)</t>
  </si>
  <si>
    <t>{1202030005000000} Услуги по транспортировке ОЯТ ВВЭР-1000/1200 (зарубежное)</t>
  </si>
  <si>
    <t>{1202030006000000} Услуги по транспортировке ОЯТ ВВЭР-1000/1200 (собственность КРЭА)</t>
  </si>
  <si>
    <t>{1202030007000000} Услуги по транспортировке ОЯТ РБМК-1000 (собственность КРЭА)</t>
  </si>
  <si>
    <t>{1202030008000000} Услуги по транспортировке ОЯТ РБМК-1000 (федеральная собственность)</t>
  </si>
  <si>
    <t>{1202030009000000} Услуги по транспортировке ОЯТ БН-600 (собственность КРЭА)</t>
  </si>
  <si>
    <t>{1202030010000000} Услуги по транспортировке ОЯТ БН-600 (федеральная собственность)</t>
  </si>
  <si>
    <t>{1202030011000000} Услуги по транспортировке ОЯТ ИР (зарубежное)</t>
  </si>
  <si>
    <t>{1202030012000000} Услуги по транспортировке ОЯТ ИР (федеральная собственность)</t>
  </si>
  <si>
    <t>{1202030099000000} Услуги по транспортировке прочего ОЯТ</t>
  </si>
  <si>
    <t>{1202040001000000} Услуги по переработке ОЯТ ВВЭР-1000 (федеральная собственность)</t>
  </si>
  <si>
    <t>{1202040002000000} Услуги по переработке ОЯТ ВВЭР-1000/1200 (зарубежное)</t>
  </si>
  <si>
    <t>{1202040003000000} Услуги по переработке ОЯТ ВВЭР-1000/1200 (собственность КРЭА)</t>
  </si>
  <si>
    <t>{1202040004000000} Услуги по переработке ОЯТ ВВЭР-440 (зарубежное)</t>
  </si>
  <si>
    <t>{1202040005000000} Услуги по переработке ОЯТ ВВЭР-440 (собственность КРЭА)</t>
  </si>
  <si>
    <t>{1202040006000000} Услуги по переработке ОЯТ ВВЭР-440 (федеральная собственность)</t>
  </si>
  <si>
    <t>{1202040007000000} Услуги по переработке ОЯТ РБМК-1000 (собственность КРЭА)</t>
  </si>
  <si>
    <t>{1202040008000000} Услуги по переработке ОЯТ РБМК-1000 (федеральная собственность)</t>
  </si>
  <si>
    <t>{1202040009000000} Услуги по переработке ОЯТ БН-600 (собственность КРЭА)</t>
  </si>
  <si>
    <t>{1202040010000000} Услуги по переработке ОЯТ БН-600 (федеральная собственность)</t>
  </si>
  <si>
    <t>{1202040011000000} Услуги по переработке ОЯТ ИР (зарубежное)</t>
  </si>
  <si>
    <t>{1202040012000000} Услуги по переработке ОЯТ ИР (федеральная собственность)</t>
  </si>
  <si>
    <t>{1202040099000000} Услуги по переработке прочего ОЯТ</t>
  </si>
  <si>
    <t>{1202050000000000} Утилизация накопленного ОЯТ</t>
  </si>
  <si>
    <t>{1202060000000000} Выгрузка ОЯТ УАПЛ</t>
  </si>
  <si>
    <t>{1202070100000000} Единый проект (компл усл по выв, трансп, перераб, хран зарубежного ОЯТ)</t>
  </si>
  <si>
    <t>{1202070200000000} Единый проект (компл усл по выв, трансп, перераб, хран ОЯТ федеральной собственности)</t>
  </si>
  <si>
    <t>{1202070300000000} Единый проект (компл усл по выв, трансп, перераб, хран ОЯТ (собственность КРЭА))</t>
  </si>
  <si>
    <t>{1202080000000000} Сооружение комплексов по обращению с ОЯТ</t>
  </si>
  <si>
    <t>{1302020000000000} Хранение РАО</t>
  </si>
  <si>
    <t>{1302030000000000} Изготовление упаковок для захоронения РАО</t>
  </si>
  <si>
    <t>{1302040000000000} Консалтинг по обращению с РАО</t>
  </si>
  <si>
    <t>{1302050100000000} Сбор РАО</t>
  </si>
  <si>
    <t>{1302050200000000} Сортировка РАО</t>
  </si>
  <si>
    <t>{1302050300000000} Переработка РАО</t>
  </si>
  <si>
    <t>{1302050400000000} Кондиционирование РАО</t>
  </si>
  <si>
    <t>{1302050500000000} Перевозка РАО</t>
  </si>
  <si>
    <t>{1302050600000000} Комплекс по обращению с РАО (услуги)</t>
  </si>
  <si>
    <t>{1302060000000000} Услуги по захоронению РАО</t>
  </si>
  <si>
    <t>{1302070000000000} Услуги дезактивации выявленных загрязненных участков</t>
  </si>
  <si>
    <t>{1302080000000000} Услуги реабил радиационно-загрязненных территорий и объектов</t>
  </si>
  <si>
    <t>{1302090000000000} Услуги по очистке оборуд и сред от природных радионуклидов</t>
  </si>
  <si>
    <t>{1302100000000000} Инженерно-радиацоинное обследование</t>
  </si>
  <si>
    <t>{1302110000000000} Сооружение комплексов по обращению с РАО</t>
  </si>
  <si>
    <t>{1302120000000000} Лабораторные исследования по обращению с РАО</t>
  </si>
  <si>
    <t>{1302140000000000} Очистка труб НКТ и нефтегазового оборудования, загрязненного ПРН</t>
  </si>
  <si>
    <t>{1402020000000000} Производство изотопов (кроме медицинских)</t>
  </si>
  <si>
    <t>{1402030000000000} Услуги радиационно-экологического мониторинга</t>
  </si>
  <si>
    <t>{1402040000000000} Услуги радиационного обследования загрязненных участков</t>
  </si>
  <si>
    <t>{1402050100000000} Услуги радионуклидной диагностики</t>
  </si>
  <si>
    <t>{1402050200000000} Усл ионн/протонн, радионукл, контактн и дистанц лучев терап</t>
  </si>
  <si>
    <t>{1402050301000000} Услуга по изготовлению мишени для Мо-99</t>
  </si>
  <si>
    <t>{1402050399000000} Производство прочих РФП (в т.ч. медицинских изотопов)</t>
  </si>
  <si>
    <t>{1402050400000000} Производство и модернизация медицинского оборудования</t>
  </si>
  <si>
    <t>{1402050500000000} Услуги комплекс сопровожд пациентов центров ядерной медицины</t>
  </si>
  <si>
    <t>{1402050600000000} Сервис и ТО медицинского оборудования</t>
  </si>
  <si>
    <t>{1402050700000000} Циклотронный комплекс СС-30/15 (работы, услуги)</t>
  </si>
  <si>
    <t>{1402070200000000} Обработка продуктов питания</t>
  </si>
  <si>
    <t>{1402070300000000} Стерилизация медицинских изделий</t>
  </si>
  <si>
    <t>{1402080000000000} Прочие услуги по радиационной обработке, облучению</t>
  </si>
  <si>
    <t>{1402090100000000} Сбор источников ионизирующего излучения</t>
  </si>
  <si>
    <t>{1402090200000000} Перевозка источников ионизирующего излучения</t>
  </si>
  <si>
    <t>{1402090300000000} Хранение источников ионизирующего излучения</t>
  </si>
  <si>
    <t>{1402099900000000} Прочие услуги по обращ с источниками ионизирующего излучения</t>
  </si>
  <si>
    <t>{1402110000000000} Орг сбыта изотопной продукции за рубежом (договора комиссии)</t>
  </si>
  <si>
    <t>{1502011000000000} Переработка углеродных волокон</t>
  </si>
  <si>
    <t>{1602010000000000} Услуги морского транспорта</t>
  </si>
  <si>
    <t>{1602030000000000} Услуги портового флота</t>
  </si>
  <si>
    <t>{1702021000000000} НИР: материаловедение</t>
  </si>
  <si>
    <t>{1702022000000000} ОКР: материаловедение</t>
  </si>
  <si>
    <t>{1702031000000000} НИР: обращение с ОЯТ и РАО</t>
  </si>
  <si>
    <t>{1702032000000000} ОКР: обращение с ОЯТ и РАО</t>
  </si>
  <si>
    <t>{1702041000000000} НИР: топливо</t>
  </si>
  <si>
    <t>{1702042000000000} ОКР: топливо</t>
  </si>
  <si>
    <t>{1702060100000000} НИР: моделирования процессов</t>
  </si>
  <si>
    <t>{1702060200000000} ОКР: моделирования процессов</t>
  </si>
  <si>
    <t>{1702070100000000} НИР: разработка технологических процессов</t>
  </si>
  <si>
    <t>{1702070200000000} ОКР: разработка технологических процессов</t>
  </si>
  <si>
    <t>{1702080100000000} НИР: проектирование оборудования</t>
  </si>
  <si>
    <t>{1702080200000000} ОКР: проектирование оборудования</t>
  </si>
  <si>
    <t>{1702090100000000} НИР: испытание оборудования</t>
  </si>
  <si>
    <t>{1702090200000000} ОКР: испытание оборудования</t>
  </si>
  <si>
    <t>{1702100100000000} НИР: пр-во опыт об</t>
  </si>
  <si>
    <t>{1702100200000000} ОКР: пр-во опыт об</t>
  </si>
  <si>
    <t>{1702111000000000} НИР: прочие</t>
  </si>
  <si>
    <t>{1702112000000000} ОКР: прочие</t>
  </si>
  <si>
    <t>{1702131000000000} НИР по ФЦП</t>
  </si>
  <si>
    <t>{1702132000000000} ОКР по ФЦП</t>
  </si>
  <si>
    <t>{1702141000000000} НИР по перспективной продукции</t>
  </si>
  <si>
    <t>{1702142000000000} ОКР по перспективной продукции</t>
  </si>
  <si>
    <t>{1702150100000000} НИР: теплоэнергетика</t>
  </si>
  <si>
    <t>{1702150200000000} ОКР: теплоэнергетика</t>
  </si>
  <si>
    <t>{1702160100000000} НИР: газнефтехимия</t>
  </si>
  <si>
    <t>{1702160200000000} ОКР: газнефтехимия</t>
  </si>
  <si>
    <t>{1702170100000000} НИР: судостроение</t>
  </si>
  <si>
    <t>{1702170200000000} ОКР: судостроение</t>
  </si>
  <si>
    <t>{1702180100000000} НИР: ветроэнергетика</t>
  </si>
  <si>
    <t>{1702180200000000} ОКР: ветроэнергетика</t>
  </si>
  <si>
    <t>{1702190100000000} НИР: спец. стали</t>
  </si>
  <si>
    <t>{1702190200000000} ОКР: спец. стали</t>
  </si>
  <si>
    <t>{1702200100000000} НИР (электротехника)</t>
  </si>
  <si>
    <t>{1702200200000000} ОКР (электротехника)</t>
  </si>
  <si>
    <t>{1702210100000000} НИР (Лазерные и ускорительные технологии)</t>
  </si>
  <si>
    <t>{1702210200000000} ОКР (Лазерные и ускорительные технологии)</t>
  </si>
  <si>
    <t>{1702220100000000} НИР (ядерная медицина)</t>
  </si>
  <si>
    <t>{1702220200000000} ОКР (ядерная медицина)</t>
  </si>
  <si>
    <t>{1702230100000000} НИР (CEFR, CFR-600)</t>
  </si>
  <si>
    <t>{1702230200000000} ОКР (CEFR, CFR-600)</t>
  </si>
  <si>
    <t>{1702250100000000} НИР: общепромышленная деятельность</t>
  </si>
  <si>
    <t>{1702250200000000} ОКР: общепромышленная деятельность</t>
  </si>
  <si>
    <t>{9902020000000000} Системы безопасности (услуги)</t>
  </si>
  <si>
    <t>{9902030000000000} АСУТП (услуги) прочие</t>
  </si>
  <si>
    <t>{9902040000000000} Лазерные и ускорительные технологии (услуги)</t>
  </si>
  <si>
    <t>{9902050000000000} Электротехника (услуги)</t>
  </si>
  <si>
    <t>{9902070000000000} Услуги лазерной механообработки</t>
  </si>
  <si>
    <t>{9902080000000000} Средства и методы вычислений</t>
  </si>
  <si>
    <t>{9902090000000000} Услуги по обеспеч. безопасности и проведению расследований</t>
  </si>
  <si>
    <t>{9902100000000000} Услуги аренды</t>
  </si>
  <si>
    <t>{9902110000000000} Услуги лизинга</t>
  </si>
  <si>
    <t>{9902120000000000} Управление эксплуатацией недвижимого имущества</t>
  </si>
  <si>
    <t>{9902130000000000} Услуги, связ. с созд. и исп. баз данных и информац. ресурсов</t>
  </si>
  <si>
    <t>{9902140000000000} Услуги управления, предоставляемые холдингами</t>
  </si>
  <si>
    <t>{9902150000000000} Ответственное хранение</t>
  </si>
  <si>
    <t>{9902160000000000} Услуги связи</t>
  </si>
  <si>
    <t>{9902170000000000} Услуги по оптовой и розничной торговле</t>
  </si>
  <si>
    <t>{9902180000000000} Услуги гостиниц и ресторанов</t>
  </si>
  <si>
    <t>{9902190000000000} Услуги транспорта</t>
  </si>
  <si>
    <t>{9902200000000000} Коммунальные услуги</t>
  </si>
  <si>
    <t>{9902210000000000} Услуги по организации торгов</t>
  </si>
  <si>
    <t>{9902220000000000} Услуги по контролю качества, метрологии и стандартизации</t>
  </si>
  <si>
    <t>{9902230000000000} Услуги по предоставлению поручительства за третьих лиц</t>
  </si>
  <si>
    <t>{9902250000000000} Услуги для теплотехнического стенда</t>
  </si>
  <si>
    <t>{9902310000000000} Предоставление прав использования РИД</t>
  </si>
  <si>
    <t>{9902320000000000} Образовательные услуги</t>
  </si>
  <si>
    <t>{9902330000000000} Тренажеры и др. ТСО для АЭС (услуги)</t>
  </si>
  <si>
    <t>{9902340000000000} Посреднические услуги</t>
  </si>
  <si>
    <t>{9902380000000000} Перспективная продукция (услуги)</t>
  </si>
  <si>
    <t>{9902400000000000} Пред. прав исп.технологий (научно-техн сопров, авт надзор)</t>
  </si>
  <si>
    <t>{9902420000000000} Оказание содействия в создании и совершенствовании ядерной инфраструктуры</t>
  </si>
  <si>
    <t>{9902430000000000} Консультационные услуги по эксплуатации объектов атомной энергии</t>
  </si>
  <si>
    <t>{9902440000000000} Общая техника (услуги)</t>
  </si>
  <si>
    <t>{9902460000000000} Станкостроение (услуги)</t>
  </si>
  <si>
    <t>{9902480000000000} Услуги по энергоэффективности</t>
  </si>
  <si>
    <t>{9902490000000000} Услуги по энергосбережению</t>
  </si>
  <si>
    <t>{9902500100000000} Утилизация отходов производства и потребления</t>
  </si>
  <si>
    <t>{9902500200000000} Рекультивация и экологическая реабилитация территорий в рамках ликвидации НЭВ</t>
  </si>
  <si>
    <t>{9902601000000000} Лицензии</t>
  </si>
  <si>
    <t>{9902602000000000} Услуги цифровые</t>
  </si>
  <si>
    <t>{9902603000000000} Облачные вычисления (SaaS, PaaS, IaaS)</t>
  </si>
  <si>
    <t>{9902604000000000} Услуги техподдержки ЦП</t>
  </si>
  <si>
    <t>{9902605000000000} Услуги обучения пользователей заказчика работе с ЦП</t>
  </si>
  <si>
    <t>{9902606000000000} Услуги кастомизированной доработки ЦП</t>
  </si>
  <si>
    <t>{9902607000000000} Услуги по интеграции собственных ЦП с системами заказчика</t>
  </si>
  <si>
    <t>{9902608000000000} Процессный консалтинг</t>
  </si>
  <si>
    <t>{9902609000000000} Услуги по внедрению ЦП</t>
  </si>
  <si>
    <t>{9902610000000000} Сертификация ФСТЭК</t>
  </si>
  <si>
    <t>{9902611000000000} Аренда ЦП</t>
  </si>
  <si>
    <t>{9902990000000000} Услуги прочие</t>
  </si>
  <si>
    <t>Проверка наличия ВГО ИНН (сделано исключение для "Доходы в виде сумм восстановленных оценочных обязательств по судебным искам")</t>
  </si>
  <si>
    <t>Проверка наличия ВГО GID (сделано исключение для "Доходы в виде сумм восстановленных оценочных обязательств по судебным искам")</t>
  </si>
  <si>
    <t>По статье "Доходы в виде сумм восстановленных оценочных обязательств по судебным искам" обязательно должен быть указан контрагент (или сторонний или ВГО)</t>
  </si>
  <si>
    <t>По статье "Доходы в виде сумм восстановленных оценочных обязательств по судебным искам" необходимо указать контрагента (или стороннего или ВГО)</t>
  </si>
  <si>
    <t>Проверка аналитики "Другие доходы"</t>
  </si>
  <si>
    <t>Должны быть заполнены: Тип проекта (К9), уверенность в получении и сумма (К12 и К13), величина всех затрат (К14), дата начала и окончания (К18 и К19), ставка НДС (К32)</t>
  </si>
  <si>
    <t>Мишуров Александр Владимирович  AlVMishurov@rosatom.ru  (499) 949-46-63</t>
  </si>
  <si>
    <t>Бурцева Ольга Леонидовна  OlLBurtseva@rosatom.ru  (499) 949-20-37
Мишуров Александр Владимирович  AlVMishurov@rosatom.ru  (499) 949-46-63</t>
  </si>
  <si>
    <t>Выручка по этой строке очищенная от НДС</t>
  </si>
  <si>
    <t>Выручка на листе 46 без НДС (комбинация GID+2145 Справочник видов продукции)</t>
  </si>
  <si>
    <t>Суммы НДС отсутсвуют</t>
  </si>
  <si>
    <t>Проверка сумм НДС на листе ДДС</t>
  </si>
  <si>
    <t>Проверка оборотов между листами (Дт28)</t>
  </si>
  <si>
    <t>ЧУ Цифрум</t>
  </si>
  <si>
    <t>ЧУ ЦИФРУМ</t>
  </si>
  <si>
    <t>ЧУ Наука и Инновации</t>
  </si>
  <si>
    <t>ЧАСТНОЕ УЧРЕЖДЕНИЕ ПО ОБЕСПЕЧЕНИЮ НАУЧНОГО РАЗВИТИЯ АТОМНОЙ ОТРАСЛИ "НАУКА И ИННОВАЦИИ"</t>
  </si>
  <si>
    <t>Русатом Карго</t>
  </si>
  <si>
    <t>ООО «Русатом Карго»</t>
  </si>
  <si>
    <t>Контроль на пропуски в виде пустых строк (между заполненных) на листе.</t>
  </si>
  <si>
    <t>Проверка знаков поступление /выбытие/остаток на конец периода</t>
  </si>
  <si>
    <t>По всем счетам ВНА проверка знаков Поступление/Выбытие/Остаток на конец периода</t>
  </si>
  <si>
    <t>Проверка СН по ДП выданным</t>
  </si>
  <si>
    <t>Свод_по _счетам, Дп Выданные (СН)</t>
  </si>
  <si>
    <t>Проверка СК по ДП выданным</t>
  </si>
  <si>
    <t>Свод_по _счетам, Дп Выданные (СК)</t>
  </si>
  <si>
    <t xml:space="preserve">Проверка, что информация о поручительствах СН добавлена </t>
  </si>
  <si>
    <t>Свод_по _счетам (СН)</t>
  </si>
  <si>
    <t xml:space="preserve">Проверка, что информация о поручительствах СК добавлена </t>
  </si>
  <si>
    <t>Свод_по _счетам (СК)</t>
  </si>
  <si>
    <t>009</t>
  </si>
  <si>
    <t xml:space="preserve">Обеспечения обязательств и платежей выданные </t>
  </si>
  <si>
    <t xml:space="preserve"> проверку наличия даты договора</t>
  </si>
  <si>
    <t>контроль на проверку наличия даты договора</t>
  </si>
  <si>
    <t>Контроль на проверку наличия даты договора</t>
  </si>
  <si>
    <t>{24} Отложенное налоговое обязательство по переоценке ПФИ по рыночной стоимости</t>
  </si>
  <si>
    <t>{24} Отложенный налоговый актив по переоценке ПФИ по рыночной стоимости</t>
  </si>
  <si>
    <t>Отложенный налоговый актив по переоценке ПФИ по рыночной стоимости</t>
  </si>
  <si>
    <t>Отложенное налоговое обязательство по переоценке ПФИ по рыночной стоимости</t>
  </si>
  <si>
    <t>R29=2224</t>
  </si>
  <si>
    <t>R29=2124</t>
  </si>
  <si>
    <t>{400100} Доходы в виде безвозмездно полученного имущества (работ, услуг) или имущественных прав, в том числе по договорам безвозмездного пользования</t>
  </si>
  <si>
    <t>{400200} Доходы от добровольного уменьшения уставного капитала без выплаты акционерам (участникам)</t>
  </si>
  <si>
    <t>{499999} Прочие доходы</t>
  </si>
  <si>
    <t>R29=4001</t>
  </si>
  <si>
    <t>R29=4002</t>
  </si>
  <si>
    <t>R29=4999</t>
  </si>
  <si>
    <t>{52370100} Услуги по документационному обеспечению управления ОЦО</t>
  </si>
  <si>
    <t>{52370200} Услуги по экономике и финансовому контроллингу ОЦО</t>
  </si>
  <si>
    <t>{52370300} Услуги по управлению инвестиционно-проектной деятельностью ОЦО</t>
  </si>
  <si>
    <t>2080160, 2080170</t>
  </si>
  <si>
    <t>В качестве контрагентов нельзя использовать "физ.лица", "внешние контрагенты" и саму себя</t>
  </si>
  <si>
    <t>В полях "ИНН" или "GID" не заполнен внешний контрагент_1, Гос.контракты и физ.лицо. В качестве контрагентов нельзя указывать саму себя</t>
  </si>
  <si>
    <t>Проверка отсутствия в расшифровке внешних контрагентов, гос.контрактов, физ.лиц и самой себя</t>
  </si>
  <si>
    <r>
      <rPr>
        <b/>
        <sz val="11"/>
        <color indexed="8"/>
        <rFont val="Calibri"/>
        <family val="2"/>
        <charset val="204"/>
      </rPr>
      <t>Задолженность перед компаниями (компаний), входящими в МСФО периметр консолидации</t>
    </r>
    <r>
      <rPr>
        <sz val="11"/>
        <color indexed="8"/>
        <rFont val="Calibri"/>
        <family val="2"/>
        <charset val="204"/>
      </rPr>
      <t xml:space="preserve"> ( без учета предоставленных займов в рамках операций кэш пулинга) </t>
    </r>
  </si>
  <si>
    <r>
      <rPr>
        <b/>
        <sz val="11"/>
        <color indexed="8"/>
        <rFont val="Calibri"/>
        <family val="2"/>
        <charset val="204"/>
      </rPr>
      <t>Задолженность перед компаниями (компаний), входящими в МСФО периметр консолидации</t>
    </r>
    <r>
      <rPr>
        <sz val="11"/>
        <color indexed="8"/>
        <rFont val="Calibri"/>
        <family val="2"/>
        <charset val="204"/>
      </rPr>
      <t xml:space="preserve"> (предоставленные займы в рамках операций кэш пулинга) </t>
    </r>
  </si>
  <si>
    <t xml:space="preserve">Проверка на то, что аналитики из выпадающего списка на листе 50,51,52,57_движ </t>
  </si>
  <si>
    <t>_ддс_</t>
  </si>
  <si>
    <t>Сумма кредитов и займов полученых от компаний, входящих в МСФО периметр консолидации</t>
  </si>
  <si>
    <t>Сумма займов предоставленных компаниям, входящих в МСФО периметр консолидации</t>
  </si>
  <si>
    <t xml:space="preserve">Лист 50,51,52,57_движ </t>
  </si>
  <si>
    <t>Проверка, что аналитика в колонке выбрана из выпадающего списка</t>
  </si>
  <si>
    <t>Проверка, что аналитика в колонке К1 выбрана из выпадающего списка</t>
  </si>
  <si>
    <t>Лист 60,62,63,76_контр</t>
  </si>
  <si>
    <t>Проверка на то, что аналитики из выпадающего списка на листе 60,62,63,76_контр</t>
  </si>
  <si>
    <t>97 Затраты_Вход_1</t>
  </si>
  <si>
    <t>Проверка списание РБП на производственные расходы</t>
  </si>
  <si>
    <t>Проверка списание РБП на коммерческие расходы</t>
  </si>
  <si>
    <t>Проверка списание РБП на управленческие расходы</t>
  </si>
  <si>
    <t>Затраты на производтсво</t>
  </si>
  <si>
    <t>97 счет</t>
  </si>
  <si>
    <t>Проверка списания РБП</t>
  </si>
  <si>
    <t>2014_2112_2145</t>
  </si>
  <si>
    <t>Убытки прошлых лет на листе "Прочие_расш"</t>
  </si>
  <si>
    <t>ООО "Региональные цифровые платформы"</t>
  </si>
  <si>
    <t>На формирование резервного капитала/ Погашение убытка за счет резервного капита</t>
  </si>
  <si>
    <t>Проверка соответствия оборотов по счету 82 и 84 в части формирования резервного капитала/ погашения убытка за счет резервного капитала</t>
  </si>
  <si>
    <t>Должны быть заполнены: Тип проекта (К9), уверенность в получении и сумма (К12 и К13), величина всех затрат (К14), дата начала и окончания (К18 и К19), ставка НДС (К32), информация о конечном контрагенте (К33 и К35)</t>
  </si>
  <si>
    <t>{HUF} Форинт</t>
  </si>
  <si>
    <t>Курсовая разница не должна заполняться (Валюта = Валюте договора )</t>
  </si>
  <si>
    <t>Проверка, заполнения колонки «курсовая разница».</t>
  </si>
  <si>
    <t>Лист 59_01</t>
  </si>
  <si>
    <t>Лист 59_02</t>
  </si>
  <si>
    <t>Лист 59_03</t>
  </si>
  <si>
    <t>Курсовая разница не должна заполняться (Валюта = Валюте договора)</t>
  </si>
  <si>
    <t xml:space="preserve">Счет 60, 62, 63, 76. Расшифровка остатков задолженности по контрагентам и договорам. </t>
  </si>
  <si>
    <t>C1=F_M1017;C2=YTD;C4=0101;C6=1240</t>
  </si>
  <si>
    <t>C1=F_M0209;C2=YTD;C6=0101;C7=63</t>
  </si>
  <si>
    <t>{03198} Другая непроектная деятельность по новым направлениям бизнеса</t>
  </si>
  <si>
    <t>{1110300} Доходы от реализации права на земельный участок, приобретенного у гос-ва или муницип. органов в период с 01.01.07 по 31.12.11</t>
  </si>
  <si>
    <t>{1110400} Доходы от реализации права на земельный участок, за искл.приобретенного у гос-ва или муницип. органов в период с 01.01.07 по 31.12.11</t>
  </si>
  <si>
    <t>{2110500} Расходы на реализацию права на земельный участок, приобретенного у гос-ва или муницип. органов в период с 01.01.07 по 31.12.11</t>
  </si>
  <si>
    <t>Проверка 
(без учета листа "84_расш" и "Прочие_расш")</t>
  </si>
  <si>
    <t>Итоговая Проверка с учетом листа "84_расш" и "Прочие_расш"</t>
  </si>
  <si>
    <t>Долгосроч_договоры
Фин_договоры
ДП_полученные
ДП_выданные
ОКХ
66
67
86</t>
  </si>
  <si>
    <t>АО "УРАНГЕО"</t>
  </si>
  <si>
    <t>АО "ПМГРЭ"</t>
  </si>
  <si>
    <t>РОСНАНО</t>
  </si>
  <si>
    <t>Химгазкомплект, ООО</t>
  </si>
  <si>
    <t xml:space="preserve">ХК ПетрозаводскМаш </t>
  </si>
  <si>
    <t>ЗАО "Совлакс-Батарея"</t>
  </si>
  <si>
    <t>ИТСК</t>
  </si>
  <si>
    <t>ОАО "ТГК-5"</t>
  </si>
  <si>
    <t>Интер РАО</t>
  </si>
  <si>
    <t>СтавАЭС</t>
  </si>
  <si>
    <t>ООО "БелТЭКО"</t>
  </si>
  <si>
    <t>ТУФА по упра</t>
  </si>
  <si>
    <t>3801020251 ОВО УМВД России по г. Ангарску</t>
  </si>
  <si>
    <t>3808065036 ТЕРРИТ.УПРАВЛ.ФЕДЕРАЛЬНОГО АГЕНТСТВА ПО УПРАВЛЕН.ГОС. ИМУЩЕСТВА ПО ИРКУТСКОЙ ОБЛ.</t>
  </si>
  <si>
    <t>ФГУ МСУЦ</t>
  </si>
  <si>
    <t>Далур Финанс</t>
  </si>
  <si>
    <t>Ум ооо</t>
  </si>
  <si>
    <t>ООО УКС</t>
  </si>
  <si>
    <t>СМУ №4 зао</t>
  </si>
  <si>
    <t>УОР</t>
  </si>
  <si>
    <t>СМУ №7 зао</t>
  </si>
  <si>
    <t>ФГУП "ЦНИИТОЧМАШ"</t>
  </si>
  <si>
    <t>Росгосстрах ООО 5027089703</t>
  </si>
  <si>
    <t>ФГУ "32 ГНИИИ Минобороны России"</t>
  </si>
  <si>
    <t>ОАО "Ногинск-ГАЗ-автосервис"</t>
  </si>
  <si>
    <t>Фрязево</t>
  </si>
  <si>
    <t>Строитель-плюс</t>
  </si>
  <si>
    <t>ГК "Эдем"</t>
  </si>
  <si>
    <t>ПТК ЗиО</t>
  </si>
  <si>
    <t>УФК по Московской области (Подольское отделение Управления Федерального казначейства по М.о.)</t>
  </si>
  <si>
    <t>ЦентрАтом-Комплект</t>
  </si>
  <si>
    <t>ООО "ОТОП"</t>
  </si>
  <si>
    <t>ГУ ОВО при О</t>
  </si>
  <si>
    <t>Территориальное управление Росимущества Мурманской области (ИНН 5190121507): аренда</t>
  </si>
  <si>
    <t>Управление Федеральной регистрационной службы по Москве</t>
  </si>
  <si>
    <t>Комитет по лесному хозяйству (ИНН 5190162334): аренда</t>
  </si>
  <si>
    <t>Мордовский филиал ОАО "ТГК-6"</t>
  </si>
  <si>
    <t>ТТМ</t>
  </si>
  <si>
    <t>ФГУ "333 ВГ СибВО" Минобороны России</t>
  </si>
  <si>
    <t>ОАО "ТГК-9"</t>
  </si>
  <si>
    <t>ФГУП НПО  АВТОМАТИКИ (ИНН 6662025576): -</t>
  </si>
  <si>
    <t>ОАО "СВЕРДЛОВЭНЕРГОСБЫТ"</t>
  </si>
  <si>
    <t>СМУ №2 ооо</t>
  </si>
  <si>
    <t>ООО "Аватар"</t>
  </si>
  <si>
    <t>ООО "Рост газового строительства"</t>
  </si>
  <si>
    <t>ИнтелЭнергоМаш</t>
  </si>
  <si>
    <t>Атом-Сервис</t>
  </si>
  <si>
    <t>АЭМ-инвест</t>
  </si>
  <si>
    <t>ФГУП ГНИВЦ ФНС России</t>
  </si>
  <si>
    <t>ОКСАТ НИКИЭТ</t>
  </si>
  <si>
    <t>ФГУП ВО "Безопасность"</t>
  </si>
  <si>
    <t>КБ 84 ФМБА России</t>
  </si>
  <si>
    <t>ЦУ "Урандобыча</t>
  </si>
  <si>
    <t>Ростехнадзор МТУ</t>
  </si>
  <si>
    <t>УФК по г. Москве (Территориальное управление Росимущества по городу Москве) ИНН 7710280436</t>
  </si>
  <si>
    <t>ВТБ 24 (ПАО)</t>
  </si>
  <si>
    <t>МИПК Атомэнерго</t>
  </si>
  <si>
    <t>Газстройсервис ООО</t>
  </si>
  <si>
    <t>ФГУП НИИР</t>
  </si>
  <si>
    <t>ЗАО "Компания Центрогаз"</t>
  </si>
  <si>
    <t>Финпроматом</t>
  </si>
  <si>
    <t>ВНИЦ ВЭИ - ф</t>
  </si>
  <si>
    <t>ОЗТМ и ТС ФГУП</t>
  </si>
  <si>
    <t>ФГУП "МЗСС"</t>
  </si>
  <si>
    <t>ФГУ "1 ЦНИИ Минобороны России"</t>
  </si>
  <si>
    <t>Атомпроф</t>
  </si>
  <si>
    <t>Атом-Транс Сервис</t>
  </si>
  <si>
    <t>ОАО "Банк ВТБ Северо-Запад"</t>
  </si>
  <si>
    <t>ЗАО "Газпром межрегионгаз Санкт-Петербург"</t>
  </si>
  <si>
    <t>ФГУП "ЦентрИнформ"</t>
  </si>
  <si>
    <t>Билибинская АЭС – Авто</t>
  </si>
  <si>
    <t>ЗАО "Сбербанк КИБ"</t>
  </si>
  <si>
    <t>ФГУП "ВНИИР"</t>
  </si>
  <si>
    <t>НИУ МГСУ</t>
  </si>
  <si>
    <t>АО "ВТБ Капитал"</t>
  </si>
  <si>
    <t>ФГБУ "Арктический и Антарктический Научно-исследовательский институт" ИНН 7801028057</t>
  </si>
  <si>
    <t>ВТБ Банк (Германия) АГ</t>
  </si>
  <si>
    <t>АО "СБЕРБАНК РОССИИ"</t>
  </si>
  <si>
    <t>Публичное акционерное общество "Дочерний Банк Сбербанка России" Киевское отделение №18</t>
  </si>
  <si>
    <t>ОАО "БПС-Сбербанк"</t>
  </si>
  <si>
    <t>АО "АИЖК"</t>
  </si>
  <si>
    <t>ПАО "САРОВБИЗНЕСБАНК"</t>
  </si>
  <si>
    <t>5254004350</t>
  </si>
  <si>
    <t>ТОО "Кызылкум"</t>
  </si>
  <si>
    <t>ТОО "СКЗ-U"</t>
  </si>
  <si>
    <t>ТОО "СП "Хорасан-U"</t>
  </si>
  <si>
    <t>ООО "МК ЧМЗ"</t>
  </si>
  <si>
    <t>АО СП ''Заречное''</t>
  </si>
  <si>
    <t>Ред Винд  Б. В.</t>
  </si>
  <si>
    <t>АНО "СОПК "Композиты без границ"</t>
  </si>
  <si>
    <t>Сумма выручки за текущий период на листе "Долгосроч_договоры" (суммирует по ГИД+справочник 2145+справочник 1010)</t>
  </si>
  <si>
    <t>Сумма выручки за текущий период на листе "90_ОРВГ" (суммирует по ГИД+справочник 2145+справочник 1010). Т.к. по агентской схеме на 90_ОРВГ в качестве контрагента заполняют конечного покупателя продукции, работ, услуг, а не агента, на которого отражена выручка в учете, то в проверке прибавляем того, кто указан в столбце "агент" на 90_ОРВГ</t>
  </si>
  <si>
    <t>Сумма выручки за текущий период на листе "90_контр" (суммирует по ГИД+справочник 2145)</t>
  </si>
  <si>
    <t>Операции с компаниями, входящими в МСФО периметр консолидации</t>
  </si>
  <si>
    <t>Аналитический расчет для сворачивания остатков по 46 в разрезе договоров. 
Определяем какой остаток в целом по договору - Дебетовый или Кредитовый. Если в целом по договору остаток Дт, то остаток на конец периода попадет в графу К13, даже если договор разбит на несколько строк по видам продукции и по одному из видов продукции получается кредитовый остаток.  Суммы в графах К13 и К14 будут отражены в зависимости от того, какой остаток получился в челом по договору. (вспомогательная графа)</t>
  </si>
  <si>
    <t>Проверка корректности заполнения Лист Затраты_Вход_1 (Общехозяйственные затраты)</t>
  </si>
  <si>
    <t>Получен аванс (в том числе в натуральной форме)</t>
  </si>
  <si>
    <t>Проверка знака</t>
  </si>
  <si>
    <t>Проверку на заполняемость колонки "Наличие залога, поручительства, гарантии"</t>
  </si>
  <si>
    <t>Отложенный налог на прибыль</t>
  </si>
  <si>
    <t>Налог на прибыль от операций, результат которых не включается в чистую прибыль (убыток) периода</t>
  </si>
  <si>
    <t>{14999800} Вознаграждение поручителя. Расходы по банковским гарантиям и комиссиям</t>
  </si>
  <si>
    <t>{52350500} Оценочные обязательства по обременительным</t>
  </si>
  <si>
    <t>{1310100} Доходы, связанные с имуществом, полученным в рамках международной безвозмездной материально-технической помощи (в рамках инвестиционной деятельности)</t>
  </si>
  <si>
    <t>{1310110} Доходы, связанные с имуществом, полученным в рамках международной безвозмездной материально-технической помощи (в рамках операционной и финансовой деятельности)</t>
  </si>
  <si>
    <t>{1310200} Доходы, связанные с имуществом и денежными средствами, полученными (созданными) за счет средств Специальных резервных фондов ГК (в рамках инвестиционной деятельности)</t>
  </si>
  <si>
    <t>{1310210} Доходы, связанные с имуществом и денежными средствами, полученными (созданными) за счет средств Специальных резервных фондов ГК (в рамках операционной и финансовой деятельности)</t>
  </si>
  <si>
    <t>{1310300} Доход в виде использованного не по назначению имущества, полученного в рамках целевых поступлений, целевого финансирования (в рамках инвестиционной деятельности)</t>
  </si>
  <si>
    <t>{1310310} Доход в виде использованного не по назначению имущества, полученного в рамках целевых поступлений, целевого финансирования (в рамках операционной и финансовой деятельности)</t>
  </si>
  <si>
    <t>{1310900} Доходы, связанные с имуществом, полученным в рамках прочего целевого финансирования (в рамках инвестиционной деятельности)</t>
  </si>
  <si>
    <t>{1310910} Доходы, связанные с имуществом, полученным в рамках прочего целевого финансирования (в рамках операционной и финансовой деятельности)</t>
  </si>
  <si>
    <t>{1950000} Доходы от восстановления сумм обесценения поисковых активов</t>
  </si>
  <si>
    <t>{2110600} Расходы на реализацию права на земельный̆ участок, за искл.приобретенного у гос-ва или муницип. органов в период с 01.01.2007 по 31.12.2011</t>
  </si>
  <si>
    <t>{2950000} Расходы в виде обесценения поисковых активов</t>
  </si>
  <si>
    <t>{12} Доходы по соц.сфере</t>
  </si>
  <si>
    <t>{13} Признание амортизационных отчислений в качестве доходов</t>
  </si>
  <si>
    <t>{113120} Резерв на обеспечение безопасности 2020</t>
  </si>
  <si>
    <t>{125120} Резерв на вывод из эксплуатации и НИОКР ГК 2020</t>
  </si>
  <si>
    <t>{113220} Резерв на вывод из эксплуатации и НИОКР 2020</t>
  </si>
  <si>
    <t>{125220} Резерв на физическую защиту ГК 2020</t>
  </si>
  <si>
    <t>{113320} Резерв на физическую защиту 2020</t>
  </si>
  <si>
    <t>{125320} Резерв на развитие ГК 2020</t>
  </si>
  <si>
    <t>{113420} Резерв на развитие 2020</t>
  </si>
  <si>
    <t>{125420} Резерв на безопасность 2020</t>
  </si>
  <si>
    <t>{126020} Резерв на безопасность (АТЦ) 2020</t>
  </si>
  <si>
    <t>{129720} Средства от эмиссии акций (взносов в УК) (имуществом) 2020</t>
  </si>
  <si>
    <t>{2100} Лицензии на программные продукты</t>
  </si>
  <si>
    <t>{2200} Расходы на разработку и внедрение программных продуктов</t>
  </si>
  <si>
    <t>{3100} Лицензии на месторождения</t>
  </si>
  <si>
    <t>{3422} Прочие горно-подготовительные работы</t>
  </si>
  <si>
    <t>{3500} Доразведка на освоенных месторождениях</t>
  </si>
  <si>
    <t>{4100} Лицензии на виды деятельности</t>
  </si>
  <si>
    <t>{4200} Расходы на сертификацию</t>
  </si>
  <si>
    <t>{4300} Прочие неисключительные лицензии и сертификаты</t>
  </si>
  <si>
    <t>{7100} Комиссия за выдачу кредита</t>
  </si>
  <si>
    <t>{7200} Иные комиссионные сборы</t>
  </si>
  <si>
    <t>{7300} Прочие расходы, связанные с привлечением кредитов и займов</t>
  </si>
  <si>
    <t>{9500} Дополнительные расходы по приобретению финансовых вложений до момента принятия ФВ к учету</t>
  </si>
  <si>
    <t>{9900} Другие виды РБП</t>
  </si>
  <si>
    <t>{05004} Топливные гранулы</t>
  </si>
  <si>
    <t>Начислен постоянный налоговый расход/доход</t>
  </si>
  <si>
    <t>{3121000} НДС на доходы от передачи исключительных прав на использование товарного знака</t>
  </si>
  <si>
    <t>{14340000} Услуги по обеспечению прохода судов</t>
  </si>
  <si>
    <t>{0101060000000000} Прочая продукция горнодобывающих производств</t>
  </si>
  <si>
    <t>{0201040400000000} Гексафторид урана (ГФУ) из регенерированного сырья зарубежных заказчиков</t>
  </si>
  <si>
    <t>{0201040500000000} Порошок диоксида урана из регенерированного сырья зарубежных заказчиков</t>
  </si>
  <si>
    <t>{0211000000000000} Прочие продукты НС ЯТЦ</t>
  </si>
  <si>
    <t>{0301070100000000} Гафний и продукция из него</t>
  </si>
  <si>
    <t>{0502010900000000} Проектно-конструкторские работы прочие</t>
  </si>
  <si>
    <t>{1001060000000000} Оборудование для ветроэнергетики</t>
  </si>
  <si>
    <t>{1202010000000000} Консалтинг по обращению с ОЯТ</t>
  </si>
  <si>
    <t>{1402070400000000} Услуги по радиационной обработке прочих материалов</t>
  </si>
  <si>
    <t>{1501011100000000} Прочая углеродная продукция</t>
  </si>
  <si>
    <t>{1702011000000000} НИОКР: радиохимические технологии</t>
  </si>
  <si>
    <t>{1702051000000000} НИОКР: ядерная безопасность</t>
  </si>
  <si>
    <t>{1702240100000000} НИОКР по теплотехническому стенду</t>
  </si>
  <si>
    <t>{1702260100000000} НИР (Сверхпроводимость)</t>
  </si>
  <si>
    <t>{1702260200000000} ОКР (Сверхпроводимость)</t>
  </si>
  <si>
    <t>{9901010700000000} Топливные гранулы</t>
  </si>
  <si>
    <t>{9901029900000000} Прочие системы безопасности, ТСО</t>
  </si>
  <si>
    <t>{9901700000000000} Сверхпроводимость (продукция)</t>
  </si>
  <si>
    <t>{9902700000000000} Сверхпроводимость (услуги)</t>
  </si>
  <si>
    <t>{9902710000000000} Гидрографические работы</t>
  </si>
  <si>
    <t>{9902720000000000} Лоцманские проводки</t>
  </si>
  <si>
    <t>{9902730000000000} Портовые сборы</t>
  </si>
  <si>
    <t>Проверка на заполняемость колонки "Наличие залога, поручительства, гарантии"</t>
  </si>
  <si>
    <t>Проверка на заполняемость колонки "Ставка %" должна быть числовой</t>
  </si>
  <si>
    <t>2020 год</t>
  </si>
  <si>
    <r>
      <t>"</t>
    </r>
    <r>
      <rPr>
        <u/>
        <sz val="12"/>
        <rFont val="Arial"/>
        <family val="2"/>
        <charset val="204"/>
      </rPr>
      <t>__</t>
    </r>
    <r>
      <rPr>
        <sz val="12"/>
        <rFont val="Arial"/>
        <family val="2"/>
        <charset val="204"/>
      </rPr>
      <t xml:space="preserve">" </t>
    </r>
    <r>
      <rPr>
        <u/>
        <sz val="12"/>
        <rFont val="Arial"/>
        <family val="2"/>
        <charset val="204"/>
      </rPr>
      <t>__________</t>
    </r>
    <r>
      <rPr>
        <sz val="12"/>
        <rFont val="Arial"/>
        <family val="2"/>
        <charset val="204"/>
      </rPr>
      <t xml:space="preserve"> 2020 г. № ___</t>
    </r>
  </si>
  <si>
    <t>{52370400} Услуги по управлению казначейскими операциями</t>
  </si>
  <si>
    <t>АО "Ордена Трудового Красного Знамени и ордена труда ЧССР - опытное конструкторское бюро "ГИДРОПРЕСС"</t>
  </si>
  <si>
    <t>ДА</t>
  </si>
  <si>
    <t>РЦП</t>
  </si>
  <si>
    <t>Акционерное общество "ИПН АО "ИПН Станкостроение""</t>
  </si>
  <si>
    <t>ТОО "СКЗ-Пирит"</t>
  </si>
  <si>
    <t>Проверка "Взаимозачет задолженности"</t>
  </si>
  <si>
    <t>60.01, 62.01, 76, 76%</t>
  </si>
  <si>
    <t>Проверки</t>
  </si>
  <si>
    <t>C1=F_M0718;C2=YTD;C4=0102;C5=26;C6=R102014800</t>
  </si>
  <si>
    <t>C1=F_M0718;C2=YTD;C4=0102;C5=26;C6=R102014900</t>
  </si>
  <si>
    <t>ФГУП "Федеральный экологический оператор"</t>
  </si>
  <si>
    <t>ФЭО</t>
  </si>
  <si>
    <t>{03197} Другая непроектная деятельность по цифровым продуктам</t>
  </si>
  <si>
    <t>{03196} Развитие атомного энергопромышленного комплекса</t>
  </si>
  <si>
    <t>{9902800000000000} Услуги ведения казначейских операций</t>
  </si>
  <si>
    <t>{252076} Расчеты с концедентом по возмещению расходов на создание (реконструкцию) объектов концессионного соглашения</t>
  </si>
  <si>
    <t>АО «Почта России»</t>
  </si>
  <si>
    <t xml:space="preserve">НДС по налоговому агенту </t>
  </si>
  <si>
    <t>НДС по налоговому агенту</t>
  </si>
  <si>
    <t xml:space="preserve">GID 
(Глобальный идентификатор контрагента из системы ЕОС НСИ)
</t>
  </si>
  <si>
    <r>
      <t>GID 
(Глобальный идентификатор контрагента из системы ЕОС НСИ)</t>
    </r>
    <r>
      <rPr>
        <b/>
        <sz val="10"/>
        <color indexed="9"/>
        <rFont val="Arial"/>
        <family val="2"/>
        <charset val="204"/>
      </rPr>
      <t xml:space="preserve">
</t>
    </r>
  </si>
  <si>
    <t>{201233_1} Право (лицензия) на осуществление деятельности с использованием Объекта концессионного соглашения</t>
  </si>
  <si>
    <t>{201233_2} Право (лицензия) на осуществление деятельности с использованием Объекта концессионного соглашения</t>
  </si>
  <si>
    <t>Если К1="{1} Со сроком до даты погашения (размещения) три и менее месяцев" то нельзя заполнить К10 и К18, поверка будет выдавать "ЛОЖЬ" при заполении.</t>
  </si>
  <si>
    <t>Суммы прочих расходов (ВГО)</t>
  </si>
  <si>
    <t>Прочие_расш (ВГО)</t>
  </si>
  <si>
    <t>Корректировка выручки (ВГО)</t>
  </si>
  <si>
    <t>Проверка gid по внешним контрагентам</t>
  </si>
  <si>
    <t>{03006} Мероприятия по предупреждению распространения коронавирусной</t>
  </si>
  <si>
    <t>{1221100} Доходы в виде сумм восстановленных резервов под снижение стоимости долгосрочных активов к продаже</t>
  </si>
  <si>
    <t>{2221100} Резерв под снижение стоимости долгосрочных активов к продаже</t>
  </si>
  <si>
    <r>
      <t xml:space="preserve">Проверка расшифровки "начисления" на листе 96_движ по аналитике {20600} Оценочные обязательства по судебным искам </t>
    </r>
    <r>
      <rPr>
        <sz val="10"/>
        <color rgb="FFFF0000"/>
        <rFont val="Arial"/>
        <family val="2"/>
        <charset val="204"/>
      </rPr>
      <t>(на 96_движ движение в разрезе контрагентов необходимо отражать развернуто)</t>
    </r>
  </si>
  <si>
    <r>
      <t>Проверка расшифровки "использования" на листе 96_движ по аналитике {20600} Оценочные обязательства по судебным искам</t>
    </r>
    <r>
      <rPr>
        <sz val="10"/>
        <color rgb="FFFF0000"/>
        <rFont val="Arial"/>
        <family val="2"/>
        <charset val="204"/>
      </rPr>
      <t xml:space="preserve"> (на 96_движ движение в разрезе контрагентов необходимо отражать развернуто)</t>
    </r>
  </si>
  <si>
    <r>
      <t>Проверка расшифровки "начисления" на листе 96_движ по аналитике {20900} Оценочные обязательства по гарантийным обязательствам</t>
    </r>
    <r>
      <rPr>
        <sz val="10"/>
        <color rgb="FFFF0000"/>
        <rFont val="Arial"/>
        <family val="2"/>
        <charset val="204"/>
      </rPr>
      <t xml:space="preserve"> (на 96_движ движение в разрезе контрагентов необходимо отражать развернуто)</t>
    </r>
  </si>
  <si>
    <r>
      <t xml:space="preserve">Проверка расшифровки "использования" на листе 96_движ по аналитике {20900} Оценочные обязательства по гарантийным обязательствам </t>
    </r>
    <r>
      <rPr>
        <sz val="10"/>
        <color rgb="FFFF0000"/>
        <rFont val="Arial"/>
        <family val="2"/>
        <charset val="204"/>
      </rPr>
      <t>(на 96_движ движение в разрезе контрагентов необходимо отражать развернуто)</t>
    </r>
  </si>
  <si>
    <t>Использовано д.б. с +</t>
  </si>
  <si>
    <t>Перечислено распорядителю средств отраслевых резервов  д.б. с +</t>
  </si>
  <si>
    <t>Восстановлено  д.б. с +</t>
  </si>
  <si>
    <t>Начислено  д.б. с -</t>
  </si>
  <si>
    <t>Амортизация дисконта  д.б. с -</t>
  </si>
  <si>
    <t>Проверка знаков по видам движения</t>
  </si>
  <si>
    <t>Проверку контрагентов 60,62,63,76_контр.
Сверяется внешний контрагент и сумма остатка по виду расчетов {252002}, {252005},{252006} на конец между листами:
Лист 60,62,63,76_контр:  K2-наименование контрагента, F_C1 – остаток на конец периода ДТ
Лист 76%: К3-наименование контрагента, К22 –остаток на конец.</t>
  </si>
  <si>
    <t xml:space="preserve">Вспомогательная таблица: </t>
  </si>
  <si>
    <t>Исключение компаний, по которым есть сверка в портале ВГО</t>
  </si>
  <si>
    <t>60,62,63,76_контр и лист 76%</t>
  </si>
  <si>
    <t>Проверка контрагентов 60,62,63,76_контр.</t>
  </si>
  <si>
    <t>Смолев Алексей Сергеевич ASSmolev@rosatom.ru  (499) 949-46-63</t>
  </si>
  <si>
    <t>ЦПиРУГ</t>
  </si>
  <si>
    <t xml:space="preserve">Акционерное общество "ЦИФРОВЫЕ ПЛАТФОРМЫ И РЕШЕНИЯ УМНОГО ГОРОДА" </t>
  </si>
  <si>
    <t>{06000} Управление проектами ВОО</t>
  </si>
  <si>
    <t>{07000} Единый отраслевой тематический план (ЕОТП)</t>
  </si>
  <si>
    <t>Счет 98.04 Прочие доходы, полученные в счет будущих периодов (реализация товаров, работ, услуг)</t>
  </si>
  <si>
    <t>Счет 98.04. Прочие доходы, полученные в счет будущих периодов (реализация товаров, работ, услуг)</t>
  </si>
  <si>
    <t>ИТЦ ДЖЭТ</t>
  </si>
  <si>
    <t>АО "ИТЦ"ДЖЭТ"</t>
  </si>
  <si>
    <t>Композит Инвест</t>
  </si>
  <si>
    <t>ООО "Композит Инвест"</t>
  </si>
  <si>
    <t>Центротех-Инжиниринг</t>
  </si>
  <si>
    <t>ООО "Центротех-Инжиниринг"</t>
  </si>
  <si>
    <t>_2420X</t>
  </si>
  <si>
    <t>Не заполняется К18 «Котируемость ФВ» , для аналитик 2420:
{12} Паи и доли
{21} Векселя</t>
  </si>
  <si>
    <t>Не заполняются К18 «Котируемость ФВ» и К19 «Назначение ФВ», для аналитик 2420: 
{31} ; {32} ;{33}; {41}; {43}; {44}; {45};</t>
  </si>
  <si>
    <t>_2420х</t>
  </si>
  <si>
    <r>
      <rPr>
        <b/>
        <u/>
        <sz val="10"/>
        <color indexed="8"/>
        <rFont val="Arial"/>
        <family val="2"/>
        <charset val="204"/>
      </rPr>
      <t>1) Не должны заполняться аналитики справочников ЕПС 2422 «Назначение ФВ» и 2430 «Котируемость ФВ», т.к. они не применимы для аналитик 2420:</t>
    </r>
    <r>
      <rPr>
        <sz val="10"/>
        <color indexed="8"/>
        <rFont val="Arial"/>
        <family val="2"/>
        <charset val="204"/>
      </rPr>
      <t xml:space="preserve">
{31} Предоставленные займы (кроме операций кэш пулинга)
{32} Предоставленные товарные займы
{33} Предоставленные займы в рамках операций кэш пулинга
{41} Вклады по договору простого товарищества (совместная деятельность)
{43} Приобретенные права требований
{44} Другие финансовые вложения
{45} Депозиты
</t>
    </r>
    <r>
      <rPr>
        <b/>
        <u/>
        <sz val="10"/>
        <color indexed="8"/>
        <rFont val="Arial"/>
        <family val="2"/>
        <charset val="204"/>
      </rPr>
      <t>2) Не должны заполняться аналитики справочника 2430 «Котируемость ФВ», т.к. они не применимы для аналитик 2420:</t>
    </r>
    <r>
      <rPr>
        <sz val="10"/>
        <color indexed="8"/>
        <rFont val="Arial"/>
        <family val="2"/>
        <charset val="204"/>
      </rPr>
      <t xml:space="preserve">
{12} Паи и доли
{21} Векселя
</t>
    </r>
  </si>
  <si>
    <t>Дата заключения договора должна быть равна или раньше отчетной даты</t>
  </si>
  <si>
    <t>АО "Русатом Гринвэй"</t>
  </si>
  <si>
    <t>РИР</t>
  </si>
  <si>
    <t>Акционерное общество "Русатом Инфраструктурные решения"</t>
  </si>
  <si>
    <t>Если К7="Прочее", то должны быть заполнены либо К5, либо К6</t>
  </si>
  <si>
    <t>Если заполнен К1, то должен быть заполнен К7</t>
  </si>
  <si>
    <t>В одной строке не могут быть заполнены одновременно К5 и К6</t>
  </si>
  <si>
    <t>Если К7="Прочее", то заполнение К6 допустимо только если К1="{2340100}"</t>
  </si>
  <si>
    <t>Соответствие аналитик в К5 выпадающему списку</t>
  </si>
  <si>
    <t>Соответствие аналитик в К6 выпадающему списку</t>
  </si>
  <si>
    <t>ХК АЭМ</t>
  </si>
  <si>
    <t>ООО «Холдинговая компания АЭМ»</t>
  </si>
  <si>
    <t>{2961000} Расходы, связанные с поддержанием в безопасном состоянии объектов ядерного наследия</t>
  </si>
  <si>
    <t>{2962000} Расходы, связанные с выводом из эксплуатации объектов ядерного наследия</t>
  </si>
  <si>
    <t>АО "Почта России"</t>
  </si>
  <si>
    <t>Если у организации нет доходов/расходов в виде курсовых разниц по обязательствам и активам, выраженным в иностранной валюте на листах: 91_01, 91_01_ВГО, 91_02, 91_02_ВГО, то курсовые разницы д.б. = 0</t>
  </si>
  <si>
    <t>Если у организации нет доходов/расходов в виде курсовых разниц по обязательствам и активам, выраженным в иностранной валюте на листах: 91_01, 91_01_ВГО, 91_02, 91_02_ВГО, то курсовые разницы в К13 д.б. = 0</t>
  </si>
  <si>
    <t>Курсовые разницы по оценочным обязательствам, выраженным в иностранной валюте</t>
  </si>
  <si>
    <t>Госконтракты</t>
  </si>
  <si>
    <t>{0402040700000000} Работы (услуги) по изготовлению тепловыделяющих сборок (ТВС) ВВЭР-1200</t>
  </si>
  <si>
    <t>14.01_Резервы под снижение стоимости материалов</t>
  </si>
  <si>
    <t>14.02_Резервы под снижение стоимости товаров</t>
  </si>
  <si>
    <t>14.03_Резервы под снижение стоимости готовой продукции</t>
  </si>
  <si>
    <t>14.04_Резервы под снижение стоимости товаров отгруженных</t>
  </si>
  <si>
    <t>14.05_Резервы под снижение стоимости незавершенного производства</t>
  </si>
  <si>
    <t>14.08_Вложения во внеоборотные активы</t>
  </si>
  <si>
    <t>14.06_Резервы под снижение стоимости  полуфабрикатов и комплектующих изделий собственного производства</t>
  </si>
  <si>
    <t>14.07_Оборудование к установке</t>
  </si>
  <si>
    <t>Организации Госкорпорации «Росатом», выбыла из периметра консолидации</t>
  </si>
  <si>
    <t>проверка между счетами (Дт10-Кт15,16)</t>
  </si>
  <si>
    <t>Проверка правильности расшифровки между листами 10 и 15,16</t>
  </si>
  <si>
    <t>10,15,16</t>
  </si>
  <si>
    <t>C1=F_C1;C2=91.02.ВГО;C6=0102;C3=YTD</t>
  </si>
  <si>
    <t xml:space="preserve">Общество с ограниченной ответственностью "Инфраструктурные Решения - Сахалин" 
</t>
  </si>
  <si>
    <t>РИР-САХАЛИН</t>
  </si>
  <si>
    <t>Русатом ГазТех</t>
  </si>
  <si>
    <t>ООО «Русатом ГазТех»</t>
  </si>
  <si>
    <t>ПСМ</t>
  </si>
  <si>
    <t xml:space="preserve">ООО «ПОРШЕ СОВРЕМЕННЫЕ МАТЕРИАЛЫ» </t>
  </si>
  <si>
    <t>Технопарк Саров</t>
  </si>
  <si>
    <t>АО "Технопарк "Саров"</t>
  </si>
  <si>
    <t>ТИТАН ПЕРЕВОД</t>
  </si>
  <si>
    <t>АКЦИОНЕРНОЕ ОБЩЕСТВО «ТИТАН ПЕРЕВОД»</t>
  </si>
  <si>
    <t>РГ-Западная Сибирь</t>
  </si>
  <si>
    <t>АО «РГ-Западная Сибирь»</t>
  </si>
  <si>
    <t>РГ-Восток</t>
  </si>
  <si>
    <t>АО «РГ-Восток»</t>
  </si>
  <si>
    <t>Тэфра</t>
  </si>
  <si>
    <t>ООО "Тэфра"</t>
  </si>
  <si>
    <t>При расшифровке использования по "{20600} Оценочные обязательства по судебным искам" (положительные суммы) в графе "К2 Корреспондирующий счет" необходимо указывать 76, при начислении (отрицательные суммы) надо Х</t>
  </si>
  <si>
    <t>При расшифровке использования по "{20600} Оценочные обязательства по судебным искам" (положительные суммы) в графе "К2 Корреспондирующий счет" необходимо указывать 76, при начислении (отрицательные суммы) надо указывать Х</t>
  </si>
  <si>
    <t>счета 96_движ</t>
  </si>
  <si>
    <t>Расчеты с компаниями, входящими в периметр ГК консолидации</t>
  </si>
  <si>
    <t>Реализация компаниям Группы, входящим в периметр ГК консолидации</t>
  </si>
  <si>
    <t>{203} Расчеты с компаниями, входящими в периметр ГК консолидации</t>
  </si>
  <si>
    <t>Общество с ограниченной ответственностью "РЭНЕРА"</t>
  </si>
  <si>
    <t>РЭНЕРА</t>
  </si>
  <si>
    <t>{52370500} Услуги по отражению операций в системе автоматизированной системы управления имущественными активами (АСУИА)</t>
  </si>
  <si>
    <t>{30500600} Оценочные обязательства на выплату авторам за создание РИД (страховые взносы)</t>
  </si>
  <si>
    <t>{20030600} Оценочные обязательства на выплату авторам за создание РИД (сумма выплат)</t>
  </si>
  <si>
    <t>2020.12</t>
  </si>
  <si>
    <t>58_03_01</t>
  </si>
  <si>
    <t>58_03_02</t>
  </si>
  <si>
    <t>Проверка заполненности колонки
К14 "Вид обеспечения (ограничение на использование)"</t>
  </si>
  <si>
    <t xml:space="preserve">Проверка заполненности колонки
К14 "Вид обеспечения (ограничение на использование)" </t>
  </si>
  <si>
    <t>Проверка заполненности колонки
К3, К4, К5 должны быть заполнены, если заполнена сумма по столбцу К6</t>
  </si>
  <si>
    <t>Проверка заполненности колонки
К3, К5 должны быть заполнены, если заполнена сумма по столбцу К6</t>
  </si>
  <si>
    <t>Таблица исключений GID</t>
  </si>
  <si>
    <t>II. В случае если в ячейке Е16 стоит значение "ЛОЖЬ", перейти на "Лист_ошибок", на котором указаны ячейки с ошибками</t>
  </si>
  <si>
    <t>III.После внесения соответствующих исправлений, необходимо нажать кнопку "Проверка ГИД" повторно</t>
  </si>
  <si>
    <t>ГИД корректны:</t>
  </si>
  <si>
    <t>Параметры проверки</t>
  </si>
  <si>
    <t>Номер столбца ИНН</t>
  </si>
  <si>
    <t>Номер столбца ГИД</t>
  </si>
  <si>
    <t>Для проверки ГИД необходимо:</t>
  </si>
  <si>
    <t>Проверка заполненности колонки К1</t>
  </si>
  <si>
    <t>I. Нажать на кнопку "Проверка ГИД", в появившемся окне выбрать файл-"Справочник ГИД"(версия файла выложена в системе 1С:Консолидация в хранилище дополнительной информации) и дождаться появления сообщения "Проверка ГИД завершена"</t>
  </si>
  <si>
    <t>Проверка ГИД</t>
  </si>
  <si>
    <t>Проверка_ГИД</t>
  </si>
  <si>
    <t>АКЦИОНЕРНОЕ ОБЩЕСТВО "МАШИНОСТРОИТЕЛЬНЫЙ ЗАВОД "ЗИО-ПОДОЛЬСК"</t>
  </si>
  <si>
    <t>Атомдата-центр</t>
  </si>
  <si>
    <t>АО "Атомдата-центр"</t>
  </si>
  <si>
    <t>Атомдата-Иннополис</t>
  </si>
  <si>
    <t>АО "Атомдата-Иннополис"</t>
  </si>
  <si>
    <t>АТОМЦИФРОСБЫТ</t>
  </si>
  <si>
    <t xml:space="preserve">ООО "АтомЦифроСбыт" </t>
  </si>
  <si>
    <t>Если ФВ не {11} Акции, то и аналитика "2640" К17 по акциям должна быть пустой</t>
  </si>
  <si>
    <t>Проверка если ФВ не {11} Акции, то и аналитика "2640" К17 по акциям должна быть пустой</t>
  </si>
  <si>
    <t>{10800} Оценочные обязательства на выплату авторам за создание РИД</t>
  </si>
  <si>
    <t>{10810} Оценочные обязательства на выплату авторам за создание РИД (сумма выплаты)</t>
  </si>
  <si>
    <t>{10820} Оценочные обязательства на выплату авторам за создание РИД (сумма страховых взносов)</t>
  </si>
  <si>
    <t>{30198} Резерв на обеспечение безопасности_Прошлых лет</t>
  </si>
  <si>
    <t>{30199} Резерв на обеспечение безопасности_Текущий год</t>
  </si>
  <si>
    <t>{30298} Резерв на вывод из эксплуатации и НИОКР_Прошлых лет</t>
  </si>
  <si>
    <t>{30499} Резерв по обеспечению развития_Текущий год</t>
  </si>
  <si>
    <t>{30399} Резерв на физическую защиту_Текущий год</t>
  </si>
  <si>
    <t>{30299} Резерв на вывод из эксплуатации и НИОКР_Текущий год</t>
  </si>
  <si>
    <t>{30398} Резерв на физическую защиту_Прошлых лет</t>
  </si>
  <si>
    <t>{30498} Резерв по обеспечению развития_Прошлых лет</t>
  </si>
  <si>
    <t>Справочник</t>
  </si>
  <si>
    <t>В т.ч. Долгосрочная часть 
(Дт)</t>
  </si>
  <si>
    <t>Краткосрочная часть
(Дт)</t>
  </si>
  <si>
    <t>Изменена структура листа</t>
  </si>
  <si>
    <t>08_НИОКР</t>
  </si>
  <si>
    <t>Название контрагента</t>
  </si>
  <si>
    <r>
      <rPr>
        <u/>
        <sz val="11"/>
        <color indexed="8"/>
        <rFont val="Calibri"/>
        <family val="2"/>
        <charset val="204"/>
      </rPr>
      <t>Проверка заполненния:</t>
    </r>
    <r>
      <rPr>
        <sz val="11"/>
        <color indexed="8"/>
        <rFont val="Calibri"/>
        <family val="2"/>
        <charset val="204"/>
      </rPr>
      <t xml:space="preserve">
(сумма может быть только в одной колонке)</t>
    </r>
  </si>
  <si>
    <r>
      <rPr>
        <u/>
        <sz val="11"/>
        <color indexed="8"/>
        <rFont val="Calibri"/>
        <family val="2"/>
        <charset val="204"/>
      </rPr>
      <t>Проверка заполненния:</t>
    </r>
    <r>
      <rPr>
        <sz val="11"/>
        <color indexed="8"/>
        <rFont val="Calibri"/>
        <family val="2"/>
        <charset val="204"/>
      </rPr>
      <t xml:space="preserve">
(если заполнена сумма в колонке «Расходы на создание ВНА», то контрагенты не заполняются)</t>
    </r>
  </si>
  <si>
    <t>Счет 08. НИОКР</t>
  </si>
  <si>
    <t>Источник финансирования_Год финансирования_НИОКР</t>
  </si>
  <si>
    <t>{113221} Резерв на вывод из эксплуатации и НИОКР 2021</t>
  </si>
  <si>
    <t>{125121} Резерв на вывод из эксплуатации и НИОКР ГК 2021</t>
  </si>
  <si>
    <t xml:space="preserve">       в т.ч авансы на приобретение финансовых вложений</t>
  </si>
  <si>
    <t>08 НИОКР</t>
  </si>
  <si>
    <t>Проверка правильности расшифровки между листами 08 и 08 НИОКР</t>
  </si>
  <si>
    <t>08 и 08 НИОКР</t>
  </si>
  <si>
    <t>Проверка заполненния 08 НИОКР:</t>
  </si>
  <si>
    <t>{252077} Расчеты по купле долгосрочных финансовых вложений</t>
  </si>
  <si>
    <t>Дт 83</t>
  </si>
  <si>
    <t>F_M0505</t>
  </si>
  <si>
    <t xml:space="preserve"> Кт 83</t>
  </si>
  <si>
    <t>F_M0506</t>
  </si>
  <si>
    <t>Кт 83</t>
  </si>
  <si>
    <t>В т.ч. Краткосрочная часть
(Дт)</t>
  </si>
  <si>
    <t>В т.ч. Долгосрочная часть 
(Кт)</t>
  </si>
  <si>
    <t>В т.ч. Краткосрочная часть
(Кт)</t>
  </si>
  <si>
    <t>в т.ч. Прочие запасы, предназначенные для использования в производстве более чем через 12 месяцев с даты начала периода</t>
  </si>
  <si>
    <t>{113121} Резерв на обеспечение безопасности 2021</t>
  </si>
  <si>
    <t>{113321} Резерв на физическую защиту 2021</t>
  </si>
  <si>
    <t>{113421} Резерв на развитие 2021</t>
  </si>
  <si>
    <t>{125221} Резерв на физическую защиту ГК 2021</t>
  </si>
  <si>
    <t>{125321} Резерв на развитие ГК 2021</t>
  </si>
  <si>
    <t>{125421} Резерв на безопасность 2021</t>
  </si>
  <si>
    <t>{126021} Резерв на безопасность (АТЦ) 2021</t>
  </si>
  <si>
    <t>{129721} Средства от эмиссии акций (взносов в УК) (имуществом) 2021</t>
  </si>
  <si>
    <t>УДК Горное</t>
  </si>
  <si>
    <t>АО "Уранодобывающая компания "Горное"</t>
  </si>
  <si>
    <t>{1001012009990000} Внутритурбинные трубопроводы и арматура систем турбоустановки</t>
  </si>
  <si>
    <t>{1001014199990000} Емкостное оборудование</t>
  </si>
  <si>
    <t>{1001014699990000} Трубопроводная арматура</t>
  </si>
  <si>
    <t>{1001290000000000} Краны</t>
  </si>
  <si>
    <t>{1001800000000000} Машины и техника</t>
  </si>
  <si>
    <t>{1001900000000000} Прочее нетехнологическое оборудование и материалы</t>
  </si>
  <si>
    <t>{9901031109990000} Система управления и защиты реакторной установки (СУЗ)</t>
  </si>
  <si>
    <t>{1002050100000000} Пуско-наладка и сервисное обслуживание оборудования для газнефтехимии,</t>
  </si>
  <si>
    <t>{1002500000000000} Аддитивные технологии (пуско-наладка и сервисное обслуживание</t>
  </si>
  <si>
    <t>{9902010200000000} Накопители энергии (переоборудование)</t>
  </si>
  <si>
    <t>{9902370000000000} Автомобильные катализаторы и нейтрализаторы (сервисное обслуживание)</t>
  </si>
  <si>
    <t>{20010241}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расходы по КСП</t>
  </si>
  <si>
    <t>{52470000} Услуги по предоставлению жилья сотрудникам организации, находящимся на местах стройки АЭС</t>
  </si>
  <si>
    <t>{14350000} Услуги, связанные с организацией питания в санаториях-профилакториях для лиц, находящихся на санаторно-курортном лечении</t>
  </si>
  <si>
    <t>{14180900} Услуги, связанные с организацией питания работников</t>
  </si>
  <si>
    <r>
      <rPr>
        <b/>
        <u/>
        <sz val="10"/>
        <color indexed="56"/>
        <rFont val="Arial"/>
        <family val="2"/>
        <charset val="204"/>
      </rPr>
      <t>список 2210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</si>
  <si>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{1220500} Доходы в виде сумм восстановленных резервов под обесценение инвестиций/вкладов в УК организаций, приобретенных для торговли</t>
  </si>
  <si>
    <t>{1220600} Доходы в виде сумм восстановленных резервов под обесценение инвестиций/вкладов в УК организаций, приобретенных для прочих целей</t>
  </si>
  <si>
    <t>{2220500} Расходы на резервы под обесценение инвестиций/вкладов в УК организаций, приобретенных для торговли</t>
  </si>
  <si>
    <t>{2220600} Расходы на резервы под обесценение инвестиций/вкладов в УК организаций, приобретенных для прочих целей</t>
  </si>
  <si>
    <t>{1272000} Доходы в виде стоимости излишков в необоротных активов, выявленным в результате инвентаризации</t>
  </si>
  <si>
    <t>{1271000} Доходы в виде стоимости излишков оборотных активов, выявленным в результате инвентаризации</t>
  </si>
  <si>
    <t>{1232000} Доходы в виде сумм восстановленных оценочных обязательств по обращению с ОЯТ</t>
  </si>
  <si>
    <t>{2232000} Отчисления в оценочные обязательства по обращению с ОЯТ</t>
  </si>
  <si>
    <r>
      <rPr>
        <b/>
        <u/>
        <sz val="10"/>
        <color indexed="56"/>
        <rFont val="Arial"/>
        <family val="2"/>
        <charset val="204"/>
      </rPr>
      <t>список 2240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</si>
  <si>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{251023} Корректировка расчетов с поставщиками товарно-материальных ценностей</t>
  </si>
  <si>
    <r>
      <rPr>
        <b/>
        <u/>
        <sz val="10"/>
        <color indexed="56"/>
        <rFont val="Arial"/>
        <family val="2"/>
        <charset val="204"/>
      </rPr>
      <t>список 2510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</si>
  <si>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{13} Коммерческий кредит</t>
  </si>
  <si>
    <t>{900_~} Источник в виде имущества, полученного на праве хозяйственного ведения Отложенный убыток по ПФИ</t>
  </si>
  <si>
    <t>АО "Энергоспецмонтаж"</t>
  </si>
  <si>
    <t>{21200}</t>
  </si>
  <si>
    <t>Проверка оборотов между счетами, Доходы в виде сумм восстановленных оценочных обязательств по обращению с ОЯТ</t>
  </si>
  <si>
    <t>Сверка с Балансом (стр. 1160 и 1151)
(остаток на конец периода)</t>
  </si>
  <si>
    <t>{F_M0730} Себестоимость (Дт 90)</t>
  </si>
  <si>
    <t>Восстановление и начисление резерва под ТМЦ (14 счет)</t>
  </si>
  <si>
    <t>СМУ ГХК</t>
  </si>
  <si>
    <t>Общество с ограниченной ответственностью «Строительно-монтажное управление Горно-химического комбината»</t>
  </si>
  <si>
    <t>91_02, 84_расш, 96</t>
  </si>
  <si>
    <t>{0301080113000000} Прокатные валки из спецстали</t>
  </si>
  <si>
    <t>{0301080114000000} Прочие Литые заготовки из спецстали</t>
  </si>
  <si>
    <t>{0301080115000000} Прочие кованые заготовки из спецстали</t>
  </si>
  <si>
    <t>{1001010150000000} Оборудование  для атомных станции малой мощности (АСММ), в т.ч. ОПЭБ,</t>
  </si>
  <si>
    <t>{1001090400000000} Конструктивные элементы корпуса судна и движительных систем из спецстали</t>
  </si>
  <si>
    <t>{0602130100000000} Шеф-монтаж оборудования (ядерный остров)</t>
  </si>
  <si>
    <t>{0602130200000000} Шеф-наладка оборудования (ядерный остров)</t>
  </si>
  <si>
    <t>{1002030000000000} Услуги для исследовательских и промышленных реакторов</t>
  </si>
  <si>
    <t>{1002120100000000} Шеф-монтаж оборудования (машинное отделение)</t>
  </si>
  <si>
    <t>{1002120200000000} Шеф-наладка оборудования (машинное отделение)</t>
  </si>
  <si>
    <t>{1002130100000000} Пуско-наладочные работы (спецстали)</t>
  </si>
  <si>
    <t>{1102100000000000} Услуги для атомных станции малой мощности (АСММ), в т.ч. ОПЭБ</t>
  </si>
  <si>
    <t>{1702270100000000} НИР  по атомным станциям малой мощности (АСММ), в т.ч. ОПЭБ</t>
  </si>
  <si>
    <t>{1702270200000000} ОКР по атомным станциям малой мощности (АСММ), в т.ч. ОПЭБ</t>
  </si>
  <si>
    <t>{1702280100000000} НИР  по исследовательским и промышленным реакторам</t>
  </si>
  <si>
    <t>{1702280200000000} ОКР по исследовательским и промышленным реакторам</t>
  </si>
  <si>
    <t>{9902620000000000} Услуга по коммерческой диспетчеризации</t>
  </si>
  <si>
    <t>Остаток на конец периода 
(в том числе активы для продажи)</t>
  </si>
  <si>
    <t>Остаток на начало периода
(в том числе активы для продажи)</t>
  </si>
  <si>
    <t>Основные средства (активы для продажи)</t>
  </si>
  <si>
    <t>Амортизация (активы для продажи)</t>
  </si>
  <si>
    <t>Доходные вложения в материальные ценности (активы для продажи)</t>
  </si>
  <si>
    <t>НМА (активы для продажи)</t>
  </si>
  <si>
    <t>Амортизация НМА (активы для продажи)</t>
  </si>
  <si>
    <t>Капитальные вложения (активы для продажи)</t>
  </si>
  <si>
    <t>Проверка начисления по аналитикам резерва под снижение стоимости актива, предназначенного для продажи с аналитикой {2221100} Резерв под снижение стоимости долгосрочных активов к продаже счета 91.02</t>
  </si>
  <si>
    <t>14.09_Резерв под снижение стоимости актива, предназначенного для продажи</t>
  </si>
  <si>
    <t>Проверка начисления по аналитикам резерва под снижение стоимости актива, предназначенного для продажи с аналитикой {1221100} Доходы в виде сумм восстановленных резервов под снижение стоимости долгосрочных активов к продаже счета 91.01</t>
  </si>
  <si>
    <t>{37} Резерв под снижение стоимости актива, предназначенного для продажи</t>
  </si>
  <si>
    <t xml:space="preserve">Акционерное общество "Государственный научно-исследовательский и проектный институт редкометаллической промышленности "Гиредмет" </t>
  </si>
  <si>
    <t>Проверка соответствия аналитик выпадающему списку</t>
  </si>
  <si>
    <t>10_расш, НЗП_ГП</t>
  </si>
  <si>
    <t>Закрытие в Кт 91</t>
  </si>
  <si>
    <t>Проверка ДП_ Выданные (кредитор и заемщик не совпадают)</t>
  </si>
  <si>
    <t>Проверка ДП_ Полученные (кредитор и заемщик не совпадают)</t>
  </si>
  <si>
    <t>Проверка что заемщик не совпадает с кредитором</t>
  </si>
  <si>
    <t>C1=F_O1;C2=YTD;C6=0101;C3=10</t>
  </si>
  <si>
    <t>C1=F_C1;C2=YTD;C6=0101;C3=10</t>
  </si>
  <si>
    <t>C1=F_O1;C2=YTD;C5=37;C9=0101</t>
  </si>
  <si>
    <t>C1=F_C1;C2=YTD;C5=37;C9=0101</t>
  </si>
  <si>
    <t>C1=F_O2;C2=YTD;C5=37;C9=0101</t>
  </si>
  <si>
    <t>C1=F_C2;C2=YTD;C5=37;C9=0101</t>
  </si>
  <si>
    <t>C1=F_M0102;C2=YTD;C5=0102</t>
  </si>
  <si>
    <t>C1=F_M0128;C2=YTD;C5=0102</t>
  </si>
  <si>
    <t>C1=F_M0505;C2=YTD;C4=0101</t>
  </si>
  <si>
    <t>C1=F_M0506;C2=YTD;C4=0101</t>
  </si>
  <si>
    <t>C1=F_O1;C2=YTD;C7=10;C8=0101</t>
  </si>
  <si>
    <t>C1=F_O1;C2=YTD;C7=20;C8=0101</t>
  </si>
  <si>
    <t>C1=F_O2;C2=YTD;C7=10;C8=0101</t>
  </si>
  <si>
    <t>C1=F_O2;C2=YTD;C7=20;C8=0101</t>
  </si>
  <si>
    <t>C1=F_C1;C2=YTD;C7=10;C8=0101</t>
  </si>
  <si>
    <t>C1=F_C1;C2=YTD;C7=20;C8=0101</t>
  </si>
  <si>
    <t>C1=F_C2;C2=YTD;C7=10;C8=0101</t>
  </si>
  <si>
    <t>C1=F_C2;C2=YTD;C7=20;C8=0101</t>
  </si>
  <si>
    <t>R2=900706</t>
  </si>
  <si>
    <t>C1=F_M0802;C5=14;C2=YTD;C4=0102</t>
  </si>
  <si>
    <t>C1=F_M0803;C5=14;C2=YTD;C4=0102</t>
  </si>
  <si>
    <t>R2=900712</t>
  </si>
  <si>
    <t>C1=F_O1;C7=10;C2=YTD;C8=0102</t>
  </si>
  <si>
    <t>Дт 76</t>
  </si>
  <si>
    <t>F_M0224</t>
  </si>
  <si>
    <t>F_M0225</t>
  </si>
  <si>
    <t>C1=F_M0225;C2=YTD;C6=0101</t>
  </si>
  <si>
    <t>ООО "СМУ "Маяк"</t>
  </si>
  <si>
    <t>СМУ МАЯК</t>
  </si>
  <si>
    <t xml:space="preserve">ООО «РусВэллГруп – Технологические Партнерства» </t>
  </si>
  <si>
    <t xml:space="preserve">ООО «Т-КОМ» </t>
  </si>
  <si>
    <t>Т-КОМ</t>
  </si>
  <si>
    <t xml:space="preserve">ООО "Научно-исследовательский центр «ПРОМТЕСТ» </t>
  </si>
  <si>
    <t xml:space="preserve">АО "Неорганические сорбенты" </t>
  </si>
  <si>
    <t>Неорганические сорбенты</t>
  </si>
  <si>
    <t>ООО "Радиологические медицинские технологии"</t>
  </si>
  <si>
    <t>РМТ</t>
  </si>
  <si>
    <t>{01001} Проекты в рамках ФЦП "Ядерные энерготехнологии нового поколения"</t>
  </si>
  <si>
    <t>{01002} Проекты в рамках ФЦП "Обеспечение ядерной и радиационной безопасности"</t>
  </si>
  <si>
    <t>{02001} Проекты в рамках Программы трансформации/цифровизации ИТ</t>
  </si>
  <si>
    <t>{03007} Проектная деятельность по реализации договоров концессионных соглашений</t>
  </si>
  <si>
    <t>{03123} Газонефтехимия</t>
  </si>
  <si>
    <t>{03125} Оборудование машинного зала АЭС</t>
  </si>
  <si>
    <t>{03127} Судостроение (в т.ч. ТСКЭ)</t>
  </si>
  <si>
    <t>{03178} Исследовательские и промышленные реакторы (в т.ч. CEFR, CFR-600, BARC и т.п.)</t>
  </si>
  <si>
    <t>{03180} Энергофлот на базе оптимизированных плавучих атомных электростанций</t>
  </si>
  <si>
    <t>{03191} Оборудование и услуги для АЭС зарубежного дизайна</t>
  </si>
  <si>
    <t>_1010_60_02</t>
  </si>
  <si>
    <t>АО "КРК СП ''ЗАРЕЧНОЕ''"</t>
  </si>
  <si>
    <t>АО СП ''ЗАРЕЧНОЕ''</t>
  </si>
  <si>
    <t>{2411061} Выплаты работникам советов ветеранов (зарплата, соц.выплаты)</t>
  </si>
  <si>
    <t>{52480000} Денежное довольствие военнослужащим</t>
  </si>
  <si>
    <t>АТОМДАТА</t>
  </si>
  <si>
    <t>АО "АТОМДАТА"</t>
  </si>
  <si>
    <r>
      <rPr>
        <b/>
        <sz val="10"/>
        <color theme="0"/>
        <rFont val="Arial"/>
        <family val="2"/>
        <charset val="204"/>
      </rPr>
      <t>Депозиты менее 3х мес для аналитики:</t>
    </r>
    <r>
      <rPr>
        <b/>
        <sz val="10"/>
        <color indexed="8"/>
        <rFont val="Arial"/>
        <family val="2"/>
        <charset val="204"/>
      </rPr>
      <t xml:space="preserve">
</t>
    </r>
    <r>
      <rPr>
        <b/>
        <sz val="10"/>
        <color rgb="FFFFFF00"/>
        <rFont val="Arial"/>
        <family val="2"/>
        <charset val="204"/>
      </rPr>
      <t xml:space="preserve">{252074} Проценты полученные по депозитам со сроком до даты погашения (размещения) три и менее месяцев
</t>
    </r>
  </si>
  <si>
    <r>
      <rPr>
        <b/>
        <sz val="10"/>
        <color theme="0"/>
        <rFont val="Arial"/>
        <family val="2"/>
        <charset val="204"/>
      </rPr>
      <t>Депозиты больше 3х мес</t>
    </r>
    <r>
      <rPr>
        <b/>
        <sz val="10"/>
        <color indexed="8"/>
        <rFont val="Arial"/>
        <family val="2"/>
        <charset val="204"/>
      </rPr>
      <t xml:space="preserve">
</t>
    </r>
    <r>
      <rPr>
        <b/>
        <sz val="10"/>
        <color rgb="FFFFFF00"/>
        <rFont val="Arial"/>
        <family val="2"/>
        <charset val="204"/>
      </rPr>
      <t>- {252007} Проценты по финансовым вложениям к получению
- {252075} Проценты полученные по депозитам со сроком до даты погашения (размещения) более трех месяцев</t>
    </r>
    <r>
      <rPr>
        <b/>
        <sz val="10"/>
        <color indexed="8"/>
        <rFont val="Arial"/>
        <family val="2"/>
        <charset val="204"/>
      </rPr>
      <t xml:space="preserve">
</t>
    </r>
  </si>
  <si>
    <t>Резерв под снижение стоимости актива, предназначенного для продажи</t>
  </si>
  <si>
    <t>14.37</t>
  </si>
  <si>
    <t>{2609910} Выплаты освобожденным работникам профсоюзов (зарплата, соц.выплаты)</t>
  </si>
  <si>
    <t>В т.ч. Долгосрочная часть (Дт) 
(только для концессионных соглашений)</t>
  </si>
  <si>
    <t>РЭК</t>
  </si>
  <si>
    <t>ООО "Региональная Энергосбытовая Компания"</t>
  </si>
  <si>
    <t>{03} Уменьшение уставного фонда ФГУП</t>
  </si>
  <si>
    <t>Проверка заполненности колонки К1 и К3</t>
  </si>
  <si>
    <t>Проверка заполненности колонки К3</t>
  </si>
  <si>
    <t>Проверка заполненности колонки "Типы проектов"</t>
  </si>
  <si>
    <t>*{252071}*</t>
  </si>
  <si>
    <t>Прочие доходы/расходы (расшифровка)</t>
  </si>
  <si>
    <t>Доходы прошлых лет</t>
  </si>
  <si>
    <t>Суммы прочих доходов/расходов</t>
  </si>
  <si>
    <t>Статья прочих доходов/расходов</t>
  </si>
  <si>
    <t>{2781000} Сверхнормативные затраты по браку</t>
  </si>
  <si>
    <t>{20030110} Оценочные обязательства по выплате вознаграждений по итогам работы за год (корректировка прошлого года) (сумма выплат)</t>
  </si>
  <si>
    <t>_10019_96_движ</t>
  </si>
  <si>
    <t>Прибыль от компенсации амортизации в уменьшение уставного фонда</t>
  </si>
  <si>
    <t>R11=1340100;R31=90.01</t>
  </si>
  <si>
    <t>C1=F_M1010;C2=YTD;C4=0101;C6=4000</t>
  </si>
  <si>
    <t>Акционерное общество "Машиностроительный завод"</t>
  </si>
  <si>
    <t>РГ-Центр</t>
  </si>
  <si>
    <t>АКЦИОНЕРНОЕ ОБЩЕСТВО "РГ-ЦЕНТР"</t>
  </si>
  <si>
    <t>Русатом Микроэлектроника</t>
  </si>
  <si>
    <t>АО «Русатом микроэлектроника»</t>
  </si>
  <si>
    <t>Атом-ТОР-Северск</t>
  </si>
  <si>
    <t>ООО "Атом-ТОР-Северск"</t>
  </si>
  <si>
    <t>Атом-ТОР-Заречный</t>
  </si>
  <si>
    <t>ООО "Атом-ТОР-Заречный"</t>
  </si>
  <si>
    <t>ИнноХаб</t>
  </si>
  <si>
    <t>ООО «Инновационный Хаб»</t>
  </si>
  <si>
    <t>91_01,Прочие_расш,84_расш,96</t>
  </si>
  <si>
    <t>Присоединение добавочного капитала по дооценке ВНА при выбытии объекта, в том числе при выбытии объекта по стоимости имущества, полученного в хозяйственное ведение</t>
  </si>
  <si>
    <t>По отраслевым резервам можно выбирать Х из выпадющего списка только, если кор счет 71 или 91</t>
  </si>
  <si>
    <t>{2320500} Стоимость имущества, безвозмездно переданного некоммерческим организациям, перечисленным в пп. 19.6 п. 1 ст. 265 НК РФ</t>
  </si>
  <si>
    <t>{2320600} Стоимость имущества, безвозмездно переданного получателям и на цели, предусмотренные пп. 19.5 п. 1 ст. 265 НК РФ</t>
  </si>
  <si>
    <t>{2620300} Стоимость имущества, безвозмездно переданного получателям и на цели, предусмотренные пп. 19.5 п. 1 ст. 265 НК РФ (контролируемые ГК)</t>
  </si>
  <si>
    <t>{2620400} Стоимость имущества, безвозмездно переданного некоммерческим организациям, перечисленным в пп. 19.6 п. 1 ст. 265 НК РФ (контролируемые ГК)</t>
  </si>
  <si>
    <t xml:space="preserve">Признак компания на обслуживании в ОЦО или нет </t>
  </si>
  <si>
    <t>Учетная система</t>
  </si>
  <si>
    <t>ОЦО</t>
  </si>
  <si>
    <t>1С ERP</t>
  </si>
  <si>
    <t>SAP ERP (заполняют ФСД)</t>
  </si>
  <si>
    <t>SAP ERP</t>
  </si>
  <si>
    <t>собственная 1С (грузят ФСД)</t>
  </si>
  <si>
    <t>Акционерное общество "Научно-исследовательский институт Научно-производственное объединение "ЛУЧ"</t>
  </si>
  <si>
    <t>Период</t>
  </si>
  <si>
    <t>(стр. 1160 остаток на конец периода)</t>
  </si>
  <si>
    <t>(стр. 1151 остаток на конец периода)</t>
  </si>
  <si>
    <t>ФГУП "Приборостроительный завод имени К.А. Володина"</t>
  </si>
  <si>
    <t>Если в столбце К7 заполнена аналитика  {33} Предоставленные займы в рамках операций кэш пулинга и если в столбце К4 (гид) соответствует компаниям в периметре МСФО АЭПК или ГК то  ИСТИНА, а если не соответствует периметру АЭПК или ГК то ЛОЖЬ</t>
  </si>
  <si>
    <t>ЮМАТЕКС</t>
  </si>
  <si>
    <t>Акционерное общество "ЮМАТЕКС"</t>
  </si>
  <si>
    <t xml:space="preserve">{33} Предоставленные займы в рамках операций кэш пулинга соответствует только компаниям в периметре МСФО АЭПК или ГК </t>
  </si>
  <si>
    <t>{33} Предоставленные займы в рамках операций кэш пулинга соответствует только компаниям в периметре МСФО АЭПК или ГК</t>
  </si>
  <si>
    <t>Суммана листе "Долгосроч_договоры"</t>
  </si>
  <si>
    <t>Сумма на листе "НЗП_ГП"</t>
  </si>
  <si>
    <t>Остаток НЗП на листе "Долгосроч_договоры" д.б. не меньше, чем на листе "НЗП_ГП" (в разрезе продуктов)</t>
  </si>
  <si>
    <t>Долгосроч_договоры, НЗП_ГП</t>
  </si>
  <si>
    <t>АО "ТВЭЛ-СТРОЙ"</t>
  </si>
  <si>
    <t>ООО "Научно-производсвенное объединение "Центротех"</t>
  </si>
  <si>
    <t>Проверка заполненности К10 и К11</t>
  </si>
  <si>
    <t>ДП_выданные, ДП_полученные</t>
  </si>
  <si>
    <t>Проверка заполненности К11 и К12</t>
  </si>
  <si>
    <t>Проверка наличия дат начала и окончания сроков по ДП выданным и полученным</t>
  </si>
  <si>
    <t>Атом-ТОР-Железногорск</t>
  </si>
  <si>
    <t>ООО "Атом-ТОР-Железногорск"</t>
  </si>
  <si>
    <t>НИЦ</t>
  </si>
  <si>
    <t xml:space="preserve">ООО "Научный инновационный центр" </t>
  </si>
  <si>
    <t xml:space="preserve">Сальдо "+"
</t>
  </si>
  <si>
    <t>{1101000} Выручка от реализации собственной продукции (без НДС)</t>
  </si>
  <si>
    <t>Проверка заполненности колонки К17</t>
  </si>
  <si>
    <t>Проверка заполненности колонки 
К9</t>
  </si>
  <si>
    <t>Проверка заполненности колонки К9</t>
  </si>
  <si>
    <t>{1201000} Выручка от реализации товаров (без НДС)</t>
  </si>
  <si>
    <t>{1311000} Выручка от выполнения работ (многоэтапные работы) без НДС</t>
  </si>
  <si>
    <t>{1321000} Выручка от оказания комиссионных услуг без НДС</t>
  </si>
  <si>
    <t>{1330000} Выручка от продаж, облагаемых ЕНВД</t>
  </si>
  <si>
    <t>{1343000} Выручка от предоставления в пользование прав на результаты интеллектуальной деятельности (нетто)</t>
  </si>
  <si>
    <t>{1391000} Выручка от выполнения прочих работ, оказания прочих услуг без НДС</t>
  </si>
  <si>
    <t>Не расшифровывается выручка с контрагентами, с которыми на ежеквартальной основе производится сверка в Портале ВГО, за исключением агентских договоров.</t>
  </si>
  <si>
    <r>
      <t xml:space="preserve">Выручка за период
</t>
    </r>
    <r>
      <rPr>
        <b/>
        <i/>
        <sz val="8"/>
        <color indexed="9"/>
        <rFont val="Arial"/>
        <family val="2"/>
        <charset val="204"/>
      </rPr>
      <t xml:space="preserve">(в валюте учёта)
</t>
    </r>
    <r>
      <rPr>
        <b/>
        <sz val="10"/>
        <color indexed="9"/>
        <rFont val="Arial"/>
        <family val="2"/>
        <charset val="204"/>
      </rPr>
      <t>без НДС</t>
    </r>
  </si>
  <si>
    <r>
      <t xml:space="preserve"> Выручка за период 
</t>
    </r>
    <r>
      <rPr>
        <b/>
        <i/>
        <sz val="8"/>
        <color indexed="9"/>
        <rFont val="Arial"/>
        <family val="2"/>
        <charset val="204"/>
      </rPr>
      <t xml:space="preserve">(в валюте договора)
</t>
    </r>
    <r>
      <rPr>
        <b/>
        <sz val="10"/>
        <color indexed="9"/>
        <rFont val="Arial"/>
        <family val="2"/>
        <charset val="204"/>
      </rPr>
      <t>без НДС</t>
    </r>
  </si>
  <si>
    <t>№ договора</t>
  </si>
  <si>
    <t>Полное наименование заказчика</t>
  </si>
  <si>
    <t>GID заказчика
(Глобальный идентификатор контрагента из системы ЕОС НСИ)</t>
  </si>
  <si>
    <t>ИНН заказчика</t>
  </si>
  <si>
    <t>Страна поставки/ оказания услуг</t>
  </si>
  <si>
    <r>
      <t xml:space="preserve">Дата начала действия договора
</t>
    </r>
    <r>
      <rPr>
        <b/>
        <i/>
        <sz val="10"/>
        <color indexed="9"/>
        <rFont val="Arial"/>
        <family val="2"/>
        <charset val="204"/>
      </rPr>
      <t>(</t>
    </r>
    <r>
      <rPr>
        <b/>
        <i/>
        <sz val="8"/>
        <color indexed="9"/>
        <rFont val="Arial"/>
        <family val="2"/>
        <charset val="204"/>
      </rPr>
      <t>Ввести дату в формате ДД.ММ.ГГГГ)</t>
    </r>
  </si>
  <si>
    <r>
      <t xml:space="preserve">Сумма НДС/VAT
</t>
    </r>
    <r>
      <rPr>
        <b/>
        <i/>
        <sz val="8"/>
        <color indexed="9"/>
        <rFont val="Arial"/>
        <family val="2"/>
        <charset val="204"/>
      </rPr>
      <t>(в валюте договора)</t>
    </r>
  </si>
  <si>
    <t>В колонках К1 и К2 сумму выручки необходимо показывать со знаком минус (-)</t>
  </si>
  <si>
    <t>В колонках К12 и К13 суммы в целом по договору отображаются со знаком плюс (+)</t>
  </si>
  <si>
    <t>тыс. валюты</t>
  </si>
  <si>
    <t>Расшифровка зарубежной выручки (за пределы РФ)</t>
  </si>
  <si>
    <t>Валюта учета</t>
  </si>
  <si>
    <r>
      <t xml:space="preserve">Расшифровка зарубежной выручки (за пределы РФ)
</t>
    </r>
    <r>
      <rPr>
        <b/>
        <sz val="10"/>
        <color rgb="FFFF0000"/>
        <rFont val="Arial"/>
        <family val="2"/>
        <charset val="204"/>
      </rPr>
      <t>исключена сумма по Аккую Нуклеар</t>
    </r>
  </si>
  <si>
    <t>_6001_</t>
  </si>
  <si>
    <r>
      <t>Проверка, что аналитика в колонке "</t>
    </r>
    <r>
      <rPr>
        <b/>
        <sz val="10"/>
        <color rgb="FFFFFF00"/>
        <rFont val="Arial"/>
        <family val="2"/>
        <charset val="204"/>
      </rPr>
      <t>Страна реализации</t>
    </r>
    <r>
      <rPr>
        <b/>
        <sz val="10"/>
        <color theme="0"/>
        <rFont val="Arial"/>
        <family val="2"/>
        <charset val="204"/>
      </rPr>
      <t>"</t>
    </r>
    <r>
      <rPr>
        <b/>
        <sz val="10"/>
        <color indexed="9"/>
        <rFont val="Arial"/>
        <family val="2"/>
        <charset val="204"/>
      </rPr>
      <t xml:space="preserve"> выбрана из выпадающего списка "</t>
    </r>
    <r>
      <rPr>
        <b/>
        <sz val="10"/>
        <color rgb="FFFFFF00"/>
        <rFont val="Arial"/>
        <family val="2"/>
        <charset val="204"/>
      </rPr>
      <t>{RU} Россия</t>
    </r>
    <r>
      <rPr>
        <b/>
        <sz val="10"/>
        <color indexed="9"/>
        <rFont val="Arial"/>
        <family val="2"/>
        <charset val="204"/>
      </rPr>
      <t>"</t>
    </r>
  </si>
  <si>
    <t>Проверка, что аналитика в колонке "Страна реализации" выбрана из выпадающего списка "{RU} Россия"</t>
  </si>
  <si>
    <t>Зарубежная_выручка</t>
  </si>
  <si>
    <t>C1=F_C2;C2=90.01;C6=0102;C3=YTD;C10=4001</t>
  </si>
  <si>
    <t>C1=F_C2;C2=90.01;C6=0102;C3=YTD;C10=4002</t>
  </si>
  <si>
    <t>C1=F_C2;C2=90.01;C6=0102;C3=YTD;C10=4003</t>
  </si>
  <si>
    <t>Выручка на "Зарубежная выручка" без НДС (GID+2145 Справочник видов продукции)</t>
  </si>
  <si>
    <t>Выручка на листе "Зарубежная выручка" без НДС (суммирует по ГИД+справочник 2145+справочник 1010)</t>
  </si>
  <si>
    <r>
      <t xml:space="preserve">Выручка за текущий период на листе "Долгосроч_договоры" в разрезе контрагентов д.б. не больше, чем на листах: 90_ОРВГ, 90_контр и Зарубежная выручка. </t>
    </r>
    <r>
      <rPr>
        <b/>
        <i/>
        <sz val="8"/>
        <color rgb="FFFF0000"/>
        <rFont val="Arial"/>
        <family val="2"/>
        <charset val="204"/>
      </rPr>
      <t xml:space="preserve">Проверка сойдется, когда листы будут заполнены полностью  </t>
    </r>
  </si>
  <si>
    <t>Выручка на 46 д.б. не больше, чем на "90_Контр ", "90_ОРВГ" и "Зарубежная выручка"</t>
  </si>
  <si>
    <t>Выручка на 46 д.б. не больше, чем на 90_Контр+90_ОРВГ+Зарубежная выручка</t>
  </si>
  <si>
    <t>Долгосроч_договоры, 46,  90_Контр, 90_ОРВГ, Зарубежная выручка</t>
  </si>
  <si>
    <t>Долгосроч_договоры, 90_Контр, 90_ОРВГ, Зарубежная выручка</t>
  </si>
  <si>
    <t>Выручка за текущий период на листе "Долгосроч_договоры" в разрезе контрагентов д.б. не больше, чем на листах: 90_ОРВГ+90_контр.+Зарубежная выручка</t>
  </si>
  <si>
    <t>Реализация Дт46 Кт90</t>
  </si>
  <si>
    <t>Предъявлено Заказчику Дт62  Кт46</t>
  </si>
  <si>
    <t>Нетто в тыс. рублей</t>
  </si>
  <si>
    <t>Нетто в тыс. валюты договора</t>
  </si>
  <si>
    <t>НДС в тыс. валюты договора</t>
  </si>
  <si>
    <t>Терешин Артем Викторович 
AVTeryoshin@rosatom.ru (499) 949-46-16</t>
  </si>
  <si>
    <t xml:space="preserve">Проверка К12 (сумма по договору) не заполнена.  </t>
  </si>
  <si>
    <t>Не предъявленная заказчику выручка м.б. только, если используется счет 46</t>
  </si>
  <si>
    <t>сумма выручки за исключением "{RU} Россия" по договору на листе 46 (К13) не должна быть больше, чем на листе Зарубежная выручка (К1)</t>
  </si>
  <si>
    <t>Cумма выручки за исключением "{RU} Россия" по договору на листе 46 (К13) не должна быть больше, чем на листе Зарубежная выручка (К1)</t>
  </si>
  <si>
    <t>Проекты</t>
  </si>
  <si>
    <t>{054-000-002} Строительство АЭС "Аккую" (Турция)</t>
  </si>
  <si>
    <t>{054-000-003} Аргус-М</t>
  </si>
  <si>
    <t>{054-000-004} Актуализация ИТ стратегии Госкорпорации "Росатом"</t>
  </si>
  <si>
    <t>{054-000-005} Внедрение системы автоматизации нагрузочного тестирования и мониторинга бизнес-приложений</t>
  </si>
  <si>
    <t>{054-000-006} Создание отраслевой Системы управления ИТ-активами</t>
  </si>
  <si>
    <t>{054-000-007} Инфраструктура для корпоративных систем</t>
  </si>
  <si>
    <t>{054-000-008} Расширение функциональности корпоративного хранилища данных в соответствии с дорожной картой проекта КХД</t>
  </si>
  <si>
    <t>{054-000-009} Расширение КХД новыми блоками отчетности</t>
  </si>
  <si>
    <t>{054-000-010} Тиражирование унифицированной системы управления ресурсами предприятия "1С ERP:Росатом"</t>
  </si>
  <si>
    <t>{054-000-011} Разработка и внедрение типового решения по капитальному строительству АЭС на базе решения ИСУП КС и для инжиниринговых компаний (на базе SAP ERP) и создание Информационной системы управления процессом выполнения федеральной адресной инвестиционной програм</t>
  </si>
  <si>
    <t>{054-000-012} Проектирование и внедрение IT-системы поддержки деятельности СВКиА Госкорпорации «Росатом»</t>
  </si>
  <si>
    <t>{054-000-013} Внедрение расширенной функциональности единой отраслевой системы электронного документооборота с переводом на новую платформу, повышение производительности и использование мобильных решений</t>
  </si>
  <si>
    <t>{054-000-014} База корпоративной структуры управления ГК "Росатом"</t>
  </si>
  <si>
    <t>{054-000-015} Внедрение единой отраслевой системы электронного документооборота.</t>
  </si>
  <si>
    <t>{054-000-016} Тиражирование расширенной функциональности мастер-системы по управлению персоналом на производственных предприятиях 1-ой очереди</t>
  </si>
  <si>
    <t>{054-000-017} Тиражирование типового решения системы управления ресурсами предприятий ТК на АО «СХК»</t>
  </si>
  <si>
    <t>{054-000-019} Механизация Ростовской строительной площадки для выполнения СМР</t>
  </si>
  <si>
    <t>{054-000-020} Тиражирование расширенной функциональности мастер-системы по управлению персоналом на производственных предприятиях</t>
  </si>
  <si>
    <t>{054-000-021} Обновление единой системы интеграции корпоративных бизнес-приложений</t>
  </si>
  <si>
    <t>{054-000-022} Создание информационной системы управления материально-техническим обеспечением Госкорпорации «Росатом» (типовое решение)</t>
  </si>
  <si>
    <t>{054-000-023} Создание информационной системы управления правами на результаты интеллектуальной деятельности</t>
  </si>
  <si>
    <t>{054-000-024} Создание социальной сети научных экспертов (сообщество практиков)</t>
  </si>
  <si>
    <t>{054-000-025} Миграция функционала управления инвестиционной деятельностью, реализованного в ИСУПП ГК, на новую платформу</t>
  </si>
  <si>
    <t>{054-000-026} Разработка системы расчёта рейтинга деловой репутации поставщиков/подрядчиков/ исполнителей для использования при проведении закупок для нужд Госкорпорации «Росатом», её акционерных обществ и подведомственных ФГУП</t>
  </si>
  <si>
    <t>{054-000-027} Создание подсистемы мониторинга, контроля и анализа инцидентов, связанных с активами Госкорпорации "Росатом" и ее организаций</t>
  </si>
  <si>
    <t>{054-000-028} Организация на базе существующей площадки 2-го узла ЦОД уровня ГК, включающий инфраструктуру резервного Центра Управления уровня ГК</t>
  </si>
  <si>
    <t>{054-000-029} Создание корпоративной сети передачи данных Госкорпорации "Росатом"</t>
  </si>
  <si>
    <t>{054-000-030} Наращивание функциональности и производительности корпоративных сервисов и тиражирование решений в ЦОД предприятий</t>
  </si>
  <si>
    <t>{054-000-031} Переход к оказанию государственных услуг Госкорпорацией "Росатом" в электронной форме с использованием системы межведомственного электронного взаимодействия"</t>
  </si>
  <si>
    <t>{054-000-032} Создание корпоративного уровня отраслевой информационной системы по выводу из эксплуатации ядерных и радиационно-опасных объектов (ОИС ВЭ ЯРОО)</t>
  </si>
  <si>
    <t>{054-000-033} Трансформация системы государственного учета и контроля радиоактивных веществ и радиоактивных отходов</t>
  </si>
  <si>
    <t>{054-000-034} Создание и внедрение автоматизированной системы управления энергоэффективностью (АСУЭ) в организациях Госкорпорации «Росатом»</t>
  </si>
  <si>
    <t>{054-000-035} Инфраструктура 2. Создание и развитие инфраструктуры Волгодонского филиала (Ростовская АЭС)</t>
  </si>
  <si>
    <t>{054-000-036} Механизация Белорусской строительной площадки для выполнения СМР</t>
  </si>
  <si>
    <t>{054-000-037} Инфраструктура 2. Создание и развитие инфраструктуры Белорусского представительства (Белорусская АЭС)</t>
  </si>
  <si>
    <t>{054-000-038} Механизация Курской строительной площадки для выполнения СМР</t>
  </si>
  <si>
    <t>{054-000-039} Инфраструктура 2. Создание и развитие инфраструктуры Курского филиала (Курская АЭС)</t>
  </si>
  <si>
    <t>{054-000-040} Инфраструктура 2. Создание и развитие инфраструктуры Венгерского филиала (АЭС "Пакш")</t>
  </si>
  <si>
    <t>{054-000-041} ИТ-проект (АО ИК "АСЭ")</t>
  </si>
  <si>
    <t>{054-000-042} Оборудование для инженерно-изыскательских работ</t>
  </si>
  <si>
    <t>{054-000-043} Инфраструктура 1. Обеспечение безопасности Центрального аппарата</t>
  </si>
  <si>
    <t>{054-000-044} Инфраструктура 1. Обеспечение безопасности Центрального аппарата (Московский филиал)</t>
  </si>
  <si>
    <t>{054-000-045} Инфраструктура 1. Обеспечение безопасности Центрального аппарата (АО АСЭ)</t>
  </si>
  <si>
    <t>{054-000-046} Инфраструктура 3. Развитие инфраструктуры Центрального аппарата</t>
  </si>
  <si>
    <t>{054-000-047} Инфраструктура 3. Развитие инфраструктуры Центрального аппарата (Московский филиал)</t>
  </si>
  <si>
    <t>{054-000-048} Инфраструктура 3. Развитие инфраструктуры Центрального аппарата (АО АСЭ)</t>
  </si>
  <si>
    <t>{054-000-049} Приобретение долей в уставном капитале ООО "Трест РосСЭМ"</t>
  </si>
  <si>
    <t>{054-000-050} Программа развития базы строительной техники и оборудования ООО "Трест РосСЭМ"</t>
  </si>
  <si>
    <t>{054-000-051} Программа развития инфраструктуры ООО "Трест РосСЭМ"</t>
  </si>
  <si>
    <t>{054-000-052} ИТ-проект (ООО "Трест РосСЭМ")</t>
  </si>
  <si>
    <t>{054-000-053} Механизация строительной площадки ФГУП ПО "Маяк" (г.Озерск) для выполнения СМР</t>
  </si>
  <si>
    <t>{054-000-054} Механизация строительной площадки в Турции (АЭС Аккую) для выполнения СМР</t>
  </si>
  <si>
    <t>{054-000-055} Инфраструктура 2. Создание и развитие инфраструктуры Турецкого филиала (АЭС Аккую)</t>
  </si>
  <si>
    <t>{054-000-056} Механизация строительной площадки Объекта - 53 для выполнения СМР</t>
  </si>
  <si>
    <t>{054-000-057} Инфраструктура 2. Создание и развитие инфраструктуры Объекта - 53</t>
  </si>
  <si>
    <t>{054-000-058} Механизация строительной площадки в Бангладеш (АЭС Руппур) для выполнения СМР</t>
  </si>
  <si>
    <t>{054-000-059} Инфраструктура 2. Создание и развитие инфраструктуры представительства в Бангладеш (АЭС Руппур)</t>
  </si>
  <si>
    <t>{054-000-060} Инфраструктура 2. Создание и развитие инфраструктуры представительства во Вьетнаме (АЭС Ниньтхуан)</t>
  </si>
  <si>
    <t>{054-000-061} Инфраструктура 2. Создание и развитие инфраструктуры представительств в Китае (г.Пекин, Ляньюньган)</t>
  </si>
  <si>
    <t>{054-000-062} Инфраструктура 2. Создание и развитие инфраструктуры представительств в Индии (г.Дели, г.Мумбай)</t>
  </si>
  <si>
    <t>{054-000-063} ИТ-проект (АО "Атомстройэкспорт")</t>
  </si>
  <si>
    <t>{054-000-064} ИТ-проект (ООО "АСЭ-Инжиниринг")</t>
  </si>
  <si>
    <t>{054-000-065} ИТ-проект (NUKEM Technologies GmbH)</t>
  </si>
  <si>
    <t>{054-000-066} Приобретение оборудования для исполнения контрактных обязательств по мероприятиям направления 1 ПДД Госкорпорации «Росатом»</t>
  </si>
  <si>
    <t>{054-000-067} Программа развития базы строительной техники и оборудования АО "НИКИМТ-Атомстрой"</t>
  </si>
  <si>
    <t>{054-000-068} Программа развития инфраструктуры АО "НИКИМТ-Атомстрой"</t>
  </si>
  <si>
    <t>{054-000-069} Выполнение обязательных мероприятий по предписаниям надзорных органов</t>
  </si>
  <si>
    <t>{054-000-070} Механизация производственно-конструкторской базы АО "НИКИМТ-Атомстрой"</t>
  </si>
  <si>
    <t>{054-000-071} Программа  обеспечения и обновления информационных систем, программных и лицензионных продуктов</t>
  </si>
  <si>
    <t>{054-000-072} Строительство золошлакоотвала № 1А. Железногорская ТЭЦ</t>
  </si>
  <si>
    <t>{054-000-073} Приобретение автотранспорта, специальной техники и средств механизации</t>
  </si>
  <si>
    <t>{054-000-074} Приобретение ИТ-оборудования и ПО (ПАО "Энергоспецмонтаж")</t>
  </si>
  <si>
    <t>{054-000-075} Инфраструктура 1. Обеспечение безопасности АО «Атомэнергопроект»</t>
  </si>
  <si>
    <t>{054-000-076} Программа развития базы строительной техники и оборудования АО «Атомэнергопроект»</t>
  </si>
  <si>
    <t>{054-000-077} Инфраструктура 3. Развитие инфраструктуры АО «Атомэнергопроект»</t>
  </si>
  <si>
    <t>{054-000-078} Развитие комплекса ПО и иного аналогичного имущества</t>
  </si>
  <si>
    <t>{054-000-079} Развитие комплекса самоходной и прицепной техники</t>
  </si>
  <si>
    <t>{054-000-080} Дооснащение проектно-изыскательских подразделений производственным оборудованием</t>
  </si>
  <si>
    <t>{054-000-081} Актуализация комплекса ИТ-имущества</t>
  </si>
  <si>
    <t>{054-000-082} Патентование/регистрация результатов интеллектуальной деятельности АО "Атомэнергопроект"</t>
  </si>
  <si>
    <t>{054-000-083} НИОКР</t>
  </si>
  <si>
    <t>{054-000-084} Финансовое оздоровление ООО "СМУ № 1"</t>
  </si>
  <si>
    <t>{054-000-085} НЭМЛ (Независимая экспертная металловедческая лаборатория)</t>
  </si>
  <si>
    <t>{054-000-086} Капитальные вложения в арендуемые помещения в связи с переездом в другое здание</t>
  </si>
  <si>
    <t>{054-000-087} "Участие ОАО «АтомЭнергоСбыт» в конкурсе за статус гарантирующего поставщика в Курской области"</t>
  </si>
  <si>
    <t>{054-000-088} Создание систем коммерческого учета электрической энергии</t>
  </si>
  <si>
    <t>{054-000-089} Обновление приборов и инструментов для выполнения пуско-наладочных работ на объектах атомной и тепловой энергетики</t>
  </si>
  <si>
    <t>{054-000-090} "Участие ОАО «АтомЭнергоСбыт» в конкурсе за статус гарантирующего поставщика в Тверской области"</t>
  </si>
  <si>
    <t>{054-000-091} "Участие ОАО «АтомЭнергоСбыт» в конкурсе за статус гарантирующего поставщика в Смоленской области"</t>
  </si>
  <si>
    <t>{054-000-093} Модернизация ИТ-оборудования для обеспечения основной производственной деятельности и исполнения требований информационной безопасности</t>
  </si>
  <si>
    <t>{054-000-094} Восстановление основных фондов АО "Атомтехэнерго"</t>
  </si>
  <si>
    <t>{054-000-095} Реконструкция коммунальных сетей, зданий и сооружений для обеспечения бесперебойной и безопасной работы АЭР</t>
  </si>
  <si>
    <t>{054-000-096} Реконструкция и модернизация производственных зданий, сооружений филиалов АЭР для выполнения обязательств по ремонту и обслуживанию АЭС</t>
  </si>
  <si>
    <t>{054-000-097} Обновление средств технического оснащения и ремонта на филиалах АЭР для выполнения работ вне инвестиционной программы КРЭА</t>
  </si>
  <si>
    <t>{054-000-098} Строительство, реконструкция и оснащение производственных баз АО «Атомэнергоремонт» (г. Сосновый бор, г. Заречный, г. Волгодонск)</t>
  </si>
  <si>
    <t>{054-000-099} Приобретение ИТ-оборудования для общехозяйственных нужд предприятия</t>
  </si>
  <si>
    <t>{054-000-100} Строительство и оснащение лабораторно-складского комплекса</t>
  </si>
  <si>
    <t>{054-000-101} Обновление основных фондов для поддержания основной деятельности</t>
  </si>
  <si>
    <t>{054-000-102} Строительство опорного центра обработки и хранения данных АО "Концерн Росэнергоатом"</t>
  </si>
  <si>
    <t>{054-000-103} Увеличение мощности ПАО "ЗиО-Подольск" для обеспечения выпуска оборудования неатомной тематики</t>
  </si>
  <si>
    <t>{054-000-104} Увеличение мощности АО «ЗиО-Подольск» для обеспечения целевых показателей выпуска продукции общей техники</t>
  </si>
  <si>
    <t>{054-000-105} Обеспечение требуемого уровня качества ПАО «ЗиО-Подольск»</t>
  </si>
  <si>
    <t>{054-000-106} Восполнение и поддержание производственных мощностей  ПАО "ЗиО-Подольск"</t>
  </si>
  <si>
    <t>{054-000-107} Восполнение и поддержание инфраструктуры АО "ЗиО-Подольск"</t>
  </si>
  <si>
    <t>{054-000-108} ОКБМ: ПЭБ</t>
  </si>
  <si>
    <t>{054-000-109} ОКБМ: ИИК</t>
  </si>
  <si>
    <t>{054-000-110} «Замена морально устаревшего и физически изношенного контрольно-измерительного оборудования»</t>
  </si>
  <si>
    <t>{054-000-111} «Техническое перевооружение производства  ОАО ОКБ «ГИДРОПРЕСС» с целью увеличения выпуска приводов СУЗ ШЭМ-3 до 270 шт. в год»</t>
  </si>
  <si>
    <t>{054-000-112} Развитие вычислительной базы</t>
  </si>
  <si>
    <t>{054-000-113} Техническое  перевооружение и развитие инфраструктуры</t>
  </si>
  <si>
    <t>{054-000-114} Техническое перевооружение и развитие опытно-экспериментальной базы</t>
  </si>
  <si>
    <t>{054-000-115} «Развитие инфраструктуры и вспомогательных служб предприятия АО ОКБ «ГИДРОПРЕСС»</t>
  </si>
  <si>
    <t>{054-000-116} Модернизация участка изготовления трубных узлов главного циркуляционного трубопровода (ГЦТ)</t>
  </si>
  <si>
    <t>{054-000-117} Создание арматурного участка  ОАО "ПЗМ"</t>
  </si>
  <si>
    <t>{054-000-118} Модернизация службы качества</t>
  </si>
  <si>
    <t>{054-000-119} Внедрение автоматизированных систем управления конструкторско-технологической подготовкой производства наукоемкого нестандартного технологического оборудования на предприятиях дивизиона "Машиностроение"</t>
  </si>
  <si>
    <t>{054-000-120} Модернизация энергосистем затратный</t>
  </si>
  <si>
    <t>{054-000-121} Создание производственного комплекса для изготовления тяжелого оборудования реакторной установки для АЭС на базе сварочного производства</t>
  </si>
  <si>
    <t>{054-000-122} Проекты ИТ (развивающие)</t>
  </si>
  <si>
    <t>{054-000-123} Проекты ИТ (поддерживающие)</t>
  </si>
  <si>
    <t>{054-000-124} Локализация персонала в АБК ЦМК – 3я очередь</t>
  </si>
  <si>
    <t>{054-000-125} Поддержка производственно-технической базы ПАО "Энергомашспецсталь"</t>
  </si>
  <si>
    <t>{054-000-126} Замена вспомогательного оборудования для изготовления оборудования МОКС-топлива и оборудования ОДЦ</t>
  </si>
  <si>
    <t>{054-000-127} Проект по перевооружению производства для изготовления оборудования фабрикации МОКС-топлива и оборудования ОДЦ</t>
  </si>
  <si>
    <t>{054-000-128} Разработка и монтаж пожарной сигнализации и системы оповещения в зданиях института</t>
  </si>
  <si>
    <t>{054-000-129} Комплексная программа технического перевооружения производственной базы ОАО «СНИИП»</t>
  </si>
  <si>
    <t>{054-000-130} Замена морально изношенного и устаревшего оборудования</t>
  </si>
  <si>
    <t>{054-000-131} Расширение парка технологического промышленного оборудования АО "НПО "ЦНИИТМАШ"</t>
  </si>
  <si>
    <t>{054-000-132} Обеспечение требуемого уровня проектной и конструкторской документации  АО «ИК «ЗИОМАР»</t>
  </si>
  <si>
    <t>{054-000-133} Внедрение 3D - моделирования</t>
  </si>
  <si>
    <t>{054-000-134} Капитальный ремонт здания , благоустройство территории.</t>
  </si>
  <si>
    <t>{054-000-135} Объединение информационных систем и рабочего пространства ОАО "ГСПИ"</t>
  </si>
  <si>
    <t>{054-000-136} Планирование производства проектных работ ОАО "ГСПИ"</t>
  </si>
  <si>
    <t>{054-000-137} Приобретение оргтехники и оборудования  ОАО "ГСПИ"</t>
  </si>
  <si>
    <t>{054-000-138} Приобретение производственного оборудования.</t>
  </si>
  <si>
    <t>{054-000-139} СОЗДАНИЕ ЦЕНТРАЛИЗОВАННОЙ СИСТЕМЫ РЕГИСТРАЦИИ И РАСПРЕДЕЛЕНИЯ ЗАЯВОК ОАО "АТОМЭНЕРГОМАШ" (CRM)</t>
  </si>
  <si>
    <t>{054-000-140} Окончательная оплата за уже приобретенные акции компаний</t>
  </si>
  <si>
    <t>{054-000-141} Восполнение и поддержание инфраструктуры АО ИК "ЗИОМАР"</t>
  </si>
  <si>
    <t>{054-000-142} Техперевооружение и модернизация производственного комплекса ОАО "ЦКБМ"</t>
  </si>
  <si>
    <t>{054-000-143} Внедрение АИИС КУЭ на ОАО Вента</t>
  </si>
  <si>
    <t>{054-000-144} Внедрение и лицензирование систем автоматизированного проектирования</t>
  </si>
  <si>
    <t>{054-000-145} Компактизация производственной площадки ПАО "ЗиО-Подольск" (гражданская часть)</t>
  </si>
  <si>
    <t>{054-000-146} Изготовление реакторной установки "РИТМ-200"</t>
  </si>
  <si>
    <t>{054-000-147} Изготовление трубопроводов (Перенос с ООО "СТЭП")</t>
  </si>
  <si>
    <t>{054-000-148} Релокация АО «ВНИИАМ» на территорию АО «НПО «ЦНИИТМАШ»</t>
  </si>
  <si>
    <t>{054-000-149} Реконструкция и модернизация имущественного комплекса» ОАО «СНИИП» (2 этап).</t>
  </si>
  <si>
    <t>{054-000-150} ИТ проект развития инфраструктуры ОАО "Атомэнергомаш"</t>
  </si>
  <si>
    <t>{054-000-151} Освоение производства продукции для АЭС и нефтегазохимии</t>
  </si>
  <si>
    <t>{054-000-152} Реконструкция и строительство зданий и сооружений (коммерческий)</t>
  </si>
  <si>
    <t>{054-000-153} Реконструкция и строительство зданий и сооружений (затратный)</t>
  </si>
  <si>
    <t>{054-000-154} Достижение соответствия ИТ-инфраструктуры корпоративным стандартам бизнес-процессов (затратный)</t>
  </si>
  <si>
    <t>{054-000-155} ИТ проект развивающий</t>
  </si>
  <si>
    <t>{054-000-156} Создание высокотехнологичного производства шиберных и клиновых штампосварных задвижек для предприятий атомной, тепловой энергетики и нефтегазовой отрасли с применением наноструктурированного защитного покрытия</t>
  </si>
  <si>
    <t>{054-000-157} Создание современного производства стеллажей хранения тепловыделяющих сборок (ТВС) с использованием стали с повышенным содержанием бора.</t>
  </si>
  <si>
    <t>{054-000-158} Исследование и аттестация материалов и технологии электрошлаковой наплавки ООАП на внутреннюю поверхность корпуса гидроемкости САОЗ и корпуса компенсатора давления</t>
  </si>
  <si>
    <t>{054-000-159} Создание высокотехнологичного производства клапанов осесимметричных для нефтегазовой отрасли, предприятий тепловой энергетики с применением наноструктурированного защитного покрытия</t>
  </si>
  <si>
    <t>{054-000-160} Разработка и внедрение информационной системы по автоматизации процессов налогового учета.</t>
  </si>
  <si>
    <t>{054-000-161} Погашение задолженности за выполненные работы для обеспечения нужд  основного и вспомогателного производства на территории ф-л ЗАО "АТМ" в г.Удомле</t>
  </si>
  <si>
    <t>{054-000-162} Обеспечение  Отдела физико-химических исследований металлов необходимым оборудованием:  атомно-абсорбционный спектрометр  PinAAcle 900 (комбайн) фирмы «Perkin Elmer»</t>
  </si>
  <si>
    <t>{054-000-163} Модернизация и восстановление стенда «ГЦНА-1391» для испытаний насосных агрегатов для АЭС с ВВЭР-1000, 1200</t>
  </si>
  <si>
    <t>{054-000-164} Комплексная программа технического перевооружения производственной базы АО «СНИИП» 2015-2018 г.</t>
  </si>
  <si>
    <t>{054-000-165} Разработка ультразвукового дефектоскопа на фазированных решетках для автоматизированных систем ультразвукового контроля</t>
  </si>
  <si>
    <t>{054-000-166} Технологическая подготовка АО «ЦКБМ» в части изготовления электродвигателя  ГЦНА «одновальной» конструкции с подшипниками на водяной смазке</t>
  </si>
  <si>
    <t>{054-000-167} Релокация имущественно-производственного комплекса ОАО «ЦКБМ»</t>
  </si>
  <si>
    <t>{054-000-168} Разработка концептуального проекта  реакторной установки и системы  управления и защиты  реакторной установки  для  погружного энергомодуля современных и иновационных проектов РУ</t>
  </si>
  <si>
    <t>{054-000-169} Поддержание производственного комплекса ОАО "ЦКБМ"</t>
  </si>
  <si>
    <t>{054-000-170} Приобретение активного сетевого оборудования для ОП г.Таганрог АО "ИК "ЗИОМАР"</t>
  </si>
  <si>
    <t>{054-000-171} Приобретение программного обеспечения "Intergraph® PV EliteTM 2014" (2 лицензии) для ДО ГНХ  АО «ИК «ЗИОМАР»</t>
  </si>
  <si>
    <t>{054-000-172} Оборудование и аттестация режимного помещения для работы с закрытой информацией</t>
  </si>
  <si>
    <t>{054-000-173} Резерв</t>
  </si>
  <si>
    <t>{054-000-174} Информационные стенды (Инфоцентр) и демонстрационная витрина для выявления, визуализации и устранения потерь и отклонений, возникающих в процессе производства</t>
  </si>
  <si>
    <t>{054-000-175} Приобретение транспортного средства Audi A8L для последующей передачи  в аренду АО «Атомэнергомаш»</t>
  </si>
  <si>
    <t>{054-000-182} Автоматизация деятельности АО «СНИИП» в части управления жизненным циклом изделия и календарного планирования производства</t>
  </si>
  <si>
    <t>{054-000-183} Закупка программного обеспечения инженерного анализа конструкций ANSYS Mechanical  АО «ВНИИАМ»</t>
  </si>
  <si>
    <t>{054-000-184} Приобретение легкового автомобиля» АО «СНИИП»</t>
  </si>
  <si>
    <t>{054-000-185} Поддерживающие мероприятия АО «ОЗТМ и ТС»</t>
  </si>
  <si>
    <t>{054-000-186} Берёзовое</t>
  </si>
  <si>
    <t>{054-000-187} Павловское</t>
  </si>
  <si>
    <t>{054-000-188} ОСиНМА АРМЗ</t>
  </si>
  <si>
    <t>{054-000-189} Поддержание инфраструктуры ВНИПИПТ</t>
  </si>
  <si>
    <t>{054-000-190} ИНЖИНИРИНГОВЫЙ ЦЕНТР</t>
  </si>
  <si>
    <t>{054-000-191} Хиагда</t>
  </si>
  <si>
    <t>{054-000-192} Далур</t>
  </si>
  <si>
    <t>{054-000-193} РБМ Уран</t>
  </si>
  <si>
    <t>{054-000-194} Развитие основного бизнеса РУСБУРМАШ</t>
  </si>
  <si>
    <t>{054-000-195} Элькон</t>
  </si>
  <si>
    <t>{054-000-196} Рудник №8</t>
  </si>
  <si>
    <t>{054-000-197} Реконструкция гидротехнических сооружений</t>
  </si>
  <si>
    <t>{054-000-198} Строительство водоотводного канала разреза "Уртуйский" ОАО "ППГХО" (Канал)</t>
  </si>
  <si>
    <t>{054-000-199} Энергокомплекс</t>
  </si>
  <si>
    <t>{054-000-200} Уголь</t>
  </si>
  <si>
    <t>{054-000-201} Комплексное повышение эффективности уранового производства (Уран КПЭ)</t>
  </si>
  <si>
    <t>{054-000-202} Уран. Поддержание производственной инфраструктуры ППГХО (Уран ПОФ)</t>
  </si>
  <si>
    <t>{054-000-203} ГКР+ПОФ</t>
  </si>
  <si>
    <t>{054-000-204} НИОКР ППГХО</t>
  </si>
  <si>
    <t>{054-000-205} Резерв 2016</t>
  </si>
  <si>
    <t>{054-000-206} Освоение Аргунского и Жерлового месторождений. Строительство Рудника №6 ПАО «ППГХО», расположенного в Забайкальском крае</t>
  </si>
  <si>
    <t>{054-000-207} Организация попутной добычи скандия и производства алюмо-скандиевой лигатуры в АО «Далур»</t>
  </si>
  <si>
    <t>{054-000-208} Переработка пиритных огарков на промышленной площадке ПАО "ППГХО"</t>
  </si>
  <si>
    <t>{054-000-209} Оснащение объектов АО "Красная Звезда"средствами пожарной автоматики</t>
  </si>
  <si>
    <t>{054-000-210} Софинансирование со стороны АО "НИКИЭТ" мероприятий федеральных целевых программ</t>
  </si>
  <si>
    <t>{054-000-211} «Создание единого экономического пространства Дирекции по ЯОК для обеспечения государственных нужд в сфере государственного оборонного заказа»</t>
  </si>
  <si>
    <t>{054-000-212} Реконструкция и модернизация объекта 5012 Госкорпорации "Росатом"</t>
  </si>
  <si>
    <t>{054-000-213} Строительство 3 очереди ТЭЦ</t>
  </si>
  <si>
    <t>{054-000-214} Поддержание в рабочем состоянии производственных фондов предприятия</t>
  </si>
  <si>
    <t>{054-000-215} Создание на территории ФГУП "ПО "Маяк" участка подготовки и отгрузки диоксида плутония на ФГУП ФЯО "ГХК"</t>
  </si>
  <si>
    <t>{054-000-216} Комплексная валидация технических решений реакторного комплекса</t>
  </si>
  <si>
    <t>{054-000-217} Создание типовой информационной системы предприятий ЯОК в пилотной зоне ФГУП РФЯЦ-ВНИИЭФ</t>
  </si>
  <si>
    <t>{054-000-218} Разработка геофизической аппаратуры для ОАО «НК «Роснефть»</t>
  </si>
  <si>
    <t>{054-000-219} Инвестиционный проект по созданию портового флота в порту Сабетта для нужд ОАО «Ямал СПГ»</t>
  </si>
  <si>
    <t>{054-000-220} Разработка системы контроля коррозионных процессов оборудования ОИАЭ, находящегося в контакте с водными теплоносителями</t>
  </si>
  <si>
    <t>{054-000-221} Концептуальный проект вывода из эксплуатации энергоблоков атомных станций</t>
  </si>
  <si>
    <t>{054-000-222} Обеспечение пожарной безопасности института</t>
  </si>
  <si>
    <t>{054-000-223} Реконструкция помещений и модернизация материально-технической базы</t>
  </si>
  <si>
    <t>{054-000-224} Развитие ИТ инфраструктуры</t>
  </si>
  <si>
    <t>{054-000-225} Обеспечение безопасности и режима защиты государственной тайны</t>
  </si>
  <si>
    <t>{054-000-226} Удаление SD08979330</t>
  </si>
  <si>
    <t>{054-000-227} НИОКР в обоснование удержания расплава в корпусе реактора АЭС с ВВЭР</t>
  </si>
  <si>
    <t>{054-000-228} Разработка методов сокращения сроков и стоимости капитального строительства ВВЭР</t>
  </si>
  <si>
    <t>{054-000-229} Модернизация производственно-технической базы и лабораторного комплекса</t>
  </si>
  <si>
    <t>{054-000-230} СВБР-100</t>
  </si>
  <si>
    <t>{054-000-231} НИОКР молодых ученых</t>
  </si>
  <si>
    <t>{054-000-232} Создание IP оператора</t>
  </si>
  <si>
    <t>{054-000-233} Программа школ инновационного развития в рамках взаимодействия со Сколково</t>
  </si>
  <si>
    <t>{054-000-234} Поддержание в рабочем состоянии производственных фондов предприятия</t>
  </si>
  <si>
    <t>{054-000-235} Замена измерительно-вычислительного комплекса (ИВК) учета газа  в соответствии с требованиями ГОСТ Р 8.740-2011</t>
  </si>
  <si>
    <t>{054-000-236} Оснащение лаборатории высокотемпературной химии и электрохимии высокотехнологичным научным оборудованием</t>
  </si>
  <si>
    <t>{054-000-237} Организация малотоннажного производства нового поколения композиционных полировальных порошков</t>
  </si>
  <si>
    <t>{054-000-238} Переезд ОАО "Гиредмет"</t>
  </si>
  <si>
    <t>{054-000-239} Г_С. Техническое перевооружение</t>
  </si>
  <si>
    <t>{054-000-240} Приобретение спецоборудования в рамках НИР</t>
  </si>
  <si>
    <t>{054-000-241} Закрытая тематика</t>
  </si>
  <si>
    <t>{054-000-242} Поддержка в рабочем состоянии производственных фондов предприятия</t>
  </si>
  <si>
    <t>{054-000-243} Поддержание в рабочем состоянии производственных мощностей</t>
  </si>
  <si>
    <t>{054-000-244} Удаление SD10256703</t>
  </si>
  <si>
    <t>{054-000-245} Изготовление водоохлаждаемых технологических каналов для реактора ИВГ-1М.</t>
  </si>
  <si>
    <t>{054-000-246} Увеличение мощностей по наработке ЗОУ</t>
  </si>
  <si>
    <t>{054-000-247} «Создание участка по возврату в ЯТЦ урановых неликвидов низкого обогащения 0,9?2,5 % и обеднённого урана»</t>
  </si>
  <si>
    <t>{054-000-248} ПБ. Необходимые работы по пожарной безопасности</t>
  </si>
  <si>
    <t>{054-000-249} Мероприятия по повышению безопасности и повышению эффективности экспериментальной базы атомной энергетики</t>
  </si>
  <si>
    <t>{054-000-250} Обеспечение безопасности преприятий БУИ - модернизация физической защиты</t>
  </si>
  <si>
    <t>{054-000-251} Формирование ИТ инфраструктуры предприятий контура управления «АО Наука и инновации (ЕОСИБ)</t>
  </si>
  <si>
    <t>{054-000-252} Закупка компьютерной техники для автоматизированных рабочих мест сотрудников  АО «Наука и инновации"</t>
  </si>
  <si>
    <t>{054-000-253} Модернизация производства калифорния-252 и других изотопов трансплутониевых элементов</t>
  </si>
  <si>
    <t>{054-000-254} Модернизация установки производства препарата Йод-131</t>
  </si>
  <si>
    <t>{054-000-255} ФЦП "ЯРБ". Обеспечение ЯРБ.</t>
  </si>
  <si>
    <t>{054-000-256} Поддержание в рабочем состоянии производственных фондов предприятия</t>
  </si>
  <si>
    <t>{054-000-257} Строительство исследовательской ядерной установки на базе многоцелевого исследовательского реактора на быстрых нейтронах МБИР</t>
  </si>
  <si>
    <t>{054-000-258} Перенос и модернизация участка производства источников медицинского назначения на основе радионуклида Со-60</t>
  </si>
  <si>
    <t>{054-000-259} Строительство полифункционального радиохимического исследовательского комплекса</t>
  </si>
  <si>
    <t>{054-000-260} Разработка технологии получения радионуклида Мо-99 с использованием низкообогащенного урана</t>
  </si>
  <si>
    <t>{054-000-261} Закрытая тематика</t>
  </si>
  <si>
    <t>{054-000-262} Техническое перевооружение опытных участков</t>
  </si>
  <si>
    <t>{054-000-263} Старт</t>
  </si>
  <si>
    <t>{054-000-264} Модернизация ИТ АО «НИИграфит»</t>
  </si>
  <si>
    <t>{054-000-265} Трансформация ИТ АО «НИИграфит» на соответствие ЕОСИБ</t>
  </si>
  <si>
    <t>{054-000-266} Поддержание в рабочем состоянии производственных фондов предприятия</t>
  </si>
  <si>
    <t>{054-000-267} Фуллерены</t>
  </si>
  <si>
    <t>{054-000-268} Закупка оборудования для  системы оборотного водяного охлаждения</t>
  </si>
  <si>
    <t>{054-000-269} ФЦП "Фармпрепараты". Разработка технологии и организация производства компонентов для автоматизированных модулей синтеза радиофармпрепаратов</t>
  </si>
  <si>
    <t>{054-000-270} "Поддержание в рабочем состоянии производственных фондов предприятия АО "НИИТФА""</t>
  </si>
  <si>
    <t>{054-000-271} Модернизация производства генераторов технеция  Tc-99m в филиале  ОАО «НИФХИ им. Л.Я.Карпова</t>
  </si>
  <si>
    <t>{054-000-272} “Создание парка транспортных контейнеров  в филиале ОАО «НИФХИ им. Л.Я. Карпова»</t>
  </si>
  <si>
    <t>{054-000-273} Организация импортозамещающего производства пожаробезопасных безгалогенных композиционных материалов электроизоляционного назначения</t>
  </si>
  <si>
    <t>{054-000-274} Создание опытно-производственного участка выделения осколочного ксенона-133 для радифармпрепаратов в АО «НИФХИ им. Л.Я. Карпова»</t>
  </si>
  <si>
    <t>{054-000-275} Проект «Сверхпроводниковая индустрия» Совета при Президенте Российской Федерации по модернизации и технологическому развитию экономики России</t>
  </si>
  <si>
    <t>{054-000-276} Создание Технопарка-Система Саров</t>
  </si>
  <si>
    <t>{054-000-277} Техническое перевооружение токамака Т-11М , объектов технологического центра и информационной сети управляемого термоядерного синтеза.</t>
  </si>
  <si>
    <t>{054-000-278} Поддержание в рабочем состоянии производственных фондов предприятия</t>
  </si>
  <si>
    <t>{054-000-279} Поддержание в рабочем состоянии производственных фондов предприятия</t>
  </si>
  <si>
    <t>{054-000-280} Обеспечение ядерно-, радиационно-безопасной эксплуатации объектов предприятия</t>
  </si>
  <si>
    <t>{054-000-281} ФЭИ: Объект 590</t>
  </si>
  <si>
    <t>{054-000-282} Создание опытно - промышленного производства микроисточников (МИ) для брахитерапии онкологических заболеваний</t>
  </si>
  <si>
    <t>{054-000-283} Системы контроля примесей в жидких и газовых средах</t>
  </si>
  <si>
    <t>{054-000-284} U1</t>
  </si>
  <si>
    <t>{054-000-285} Крылья (Намибия)</t>
  </si>
  <si>
    <t>{054-000-286} ОСиНМА</t>
  </si>
  <si>
    <t>{054-000-287} АРМЕНИЯ</t>
  </si>
  <si>
    <t>{054-000-288} Mantra</t>
  </si>
  <si>
    <t>{054-000-289} Обеспечение безопасности и устойчивого функционирования разделительного производства на АО "АЭХК" (затратный)</t>
  </si>
  <si>
    <t>{054-000-290} Обеспечение безопасности и устойчивого функционирования разделительного производства на АО "АЭХК" (коммерческий)</t>
  </si>
  <si>
    <t>{054-000-291} Обеспечение безопасности и устойчивого функционирования сублиматного производства</t>
  </si>
  <si>
    <t>{054-000-292} Создание совместного предприятия для производства оксидов ниобия и тантала</t>
  </si>
  <si>
    <t>{054-000-293} Возобновление производства ангидрида трифторметансульфокислоты</t>
  </si>
  <si>
    <t>{054-000-294} Энергосбережение и повышение энергоэффективности среднеокупаемые</t>
  </si>
  <si>
    <t>{054-000-295} Совершенствование и модернизация энергетического хозяйства и инженерных сетей</t>
  </si>
  <si>
    <t>{054-000-296} Совершенствование управлением предприятия, внедрение новых информационных технологий (КИС, IТ-инфраструктуры)</t>
  </si>
  <si>
    <t>{054-000-297} Обеспечение ядерной и радиационной безопасности в соответствии с ФЦП ЯРБ</t>
  </si>
  <si>
    <t>{054-000-298} Обеспечение ядерной и радиационной безопасности (мероприятия, не вошедшие в ФЦП ЯРБ)</t>
  </si>
  <si>
    <t>{054-000-299} Обеспечение физической защиты</t>
  </si>
  <si>
    <t>{054-000-300} Обеспечение общепромышленной, радиационной, пожарной безопасности, охраны окружающей среды, ГОиЧС и приведение инфраструктуры в соответствии с нормами федерального законодательства на АО «АЭХК</t>
  </si>
  <si>
    <t>{054-000-301} Вывод из эксплуатации корпуса 2, здание № 802 и корпуса 4, здание 804, как части ЯУ разделения изотопов урана АО «АЭХК»</t>
  </si>
  <si>
    <t>{054-000-302} «Модернизация разделительного производства УЭХК»</t>
  </si>
  <si>
    <t>{054-000-303} Техническое перевооружение объектов энергетического хозяйства и инфраструктуры</t>
  </si>
  <si>
    <t>{054-000-304} «Энергосбережение и повышение энергоэффективности» среднеокупаемые</t>
  </si>
  <si>
    <t>{054-000-305} «Совершенствование физической защиты предприятия»</t>
  </si>
  <si>
    <t>{054-000-306} «Обеспечение общепромышленной, ядерной, радиационной, пожарной безопасности, охраны окружающей среды, ГО и ЧС»</t>
  </si>
  <si>
    <t>{054-000-307} Создание центра комплексной обработки емкостей</t>
  </si>
  <si>
    <t>{054-000-308} Замена радиометрических установок РПГ-06П, РПГ-06ПМ на гамма-радиометрические установки КСС-Т</t>
  </si>
  <si>
    <t>{054-000-309} Техническое перевооружение участка переплава цветных металлов</t>
  </si>
  <si>
    <t>{054-000-310} "Создание производства автоматизированных комплексов послойного синтеза сложнопрофильных металлических деталей из полипорошковых композиций".</t>
  </si>
  <si>
    <t>{054-000-311} Реконструкция, расширение и техническое перевооружение разделительного производства</t>
  </si>
  <si>
    <t>{054-000-312} Совершенствование технологий ХМЗ</t>
  </si>
  <si>
    <t>{054-000-313} Совершенствование и модернизация энергетического хозяйства и инженерных сетей</t>
  </si>
  <si>
    <t>{054-000-314} Замена оборудования для обеспечения надежности основных производств АО «СХК»</t>
  </si>
  <si>
    <t>{054-000-315} Обеспечение ядерной и радиационной безопасности в соответствии с ФЦП ЯРБ</t>
  </si>
  <si>
    <t>{054-000-316} Обеспечение ядерной и радиационной безопасности (мероприятия, не вошедшие в ФЦП ЯРБ, но включенные в ПДД)</t>
  </si>
  <si>
    <t>{054-000-317} Модернизация, реконструкция АУПС и СОУЭ заводов СХК</t>
  </si>
  <si>
    <t>{054-000-318} Совершенствование физической защиты предприятия</t>
  </si>
  <si>
    <t>{054-000-319} Строительство пиковой водогрейной котельной ПВК-400</t>
  </si>
  <si>
    <t>{054-000-320} Обеспечение общепромышленной, радиационной, пожарной безопасности, охраны окружающей среды, ГОиЧС и приведение инфраструктуры предприятия в соответствии с требованиями и нормами федерального законодательства</t>
  </si>
  <si>
    <t>{054-000-321} Строительство модуля переработки отработавшего ядерного топлива реакторов на быстрых нейтронах</t>
  </si>
  <si>
    <t>{054-000-322} Строительство модуля фабрикации и рефабрикации плотного смешанного уран-плутониевого топлива для реакторов на быстрых нейтронах</t>
  </si>
  <si>
    <t>{054-000-323} «Создание установки по производству электролита на основе ТФБЛ  для первичных источников тока производительностью 10 тонн/год»</t>
  </si>
  <si>
    <t>{054-000-324} Создание производства пигментного диоксида титана на основе фторидной технологии производительностью 20 000 тонн в год по ильменитовому концентрату</t>
  </si>
  <si>
    <t>{054-000-325} Финансовое оздоровление ООО "СибРегионПромсервис"</t>
  </si>
  <si>
    <t>{054-000-326} Концентрация аффинажного производства на площадке 3 РХЗ АО «СХК</t>
  </si>
  <si>
    <t>{054-000-327} Концентрация  конверсионного производства на площадке АО «СХК»</t>
  </si>
  <si>
    <t>{054-000-328} Модернизация разделительного производства АО "ПО ЭХЗ"</t>
  </si>
  <si>
    <t>{054-000-329} Совершенствование и модернизация энергетического хозяйства и инженерных сетей</t>
  </si>
  <si>
    <t>{054-000-330} Энергосбережение и повышение энергоэффективности - долгоокупаемые</t>
  </si>
  <si>
    <t>{054-000-331} Энергосбережение и повышение энергоэффективности - среднеокупаемые</t>
  </si>
  <si>
    <t>{054-000-332} Модернизация производства и объектов инфраструктуры изотопного производства</t>
  </si>
  <si>
    <t>{054-000-333} Техническое перевооружение объектов основных средств ЦВП ГФУ</t>
  </si>
  <si>
    <t>{054-000-334} Совершенствование физзащиты предприятия</t>
  </si>
  <si>
    <t>{054-000-335} Обеспечение общепромышленной, радиационной, пожарной безопасности, охраны окружающей среды, ГО и ЧС и приведение инфраструктуры предприятия в соответствии с требованиями и нормами федерального законодательства</t>
  </si>
  <si>
    <t>{054-000-336} Совершенствование управлением предприятия, внедрение новых информационных технологий (КИС,  IT-инфраструктуры)</t>
  </si>
  <si>
    <t>{054-000-337} Перенос участка сборки ТВС РБМК в корп. 274</t>
  </si>
  <si>
    <t>{054-000-338} Развитие изотопного производства в АО "ПО ЭХЗ"</t>
  </si>
  <si>
    <t>{054-000-339} Разработка комплекса оборудования и технологий для центрифужного разделения изотопов редкоземельных элементов и создание промышленной установки получения изотопов Неодима</t>
  </si>
  <si>
    <t>{054-000-340} Приобретение основных средств для собственных нужд</t>
  </si>
  <si>
    <t>{054-000-341} Развитие и модернизация производ. мощностей по выпуску ТВС для реакторов типа ВВЭР</t>
  </si>
  <si>
    <t>{054-000-342} Техническое перевооружение производственных мощностей по выпуску ТВС для реакторов канального типа</t>
  </si>
  <si>
    <t>{054-000-343} Перенос участка сборки ТВС  заказа 131 в корпус №189А</t>
  </si>
  <si>
    <t>{054-000-344} Развитие и модернизация производ. мощностей по выпуску ТВС для реакторов типа БН</t>
  </si>
  <si>
    <t>{054-000-345} Развитие и модернизация производственных мощностей предприятия по выпуску таблеток</t>
  </si>
  <si>
    <t>{054-000-346} Развитие и модернизация производ. мощностей предприятия по выпуску таблеток</t>
  </si>
  <si>
    <t>{054-000-347} Модернизация производственных мощностей по выпуску комплектующих для ТВС</t>
  </si>
  <si>
    <t>{054-000-348} Развитие и модернизация производ. мощностей для заказа AREVA NP</t>
  </si>
  <si>
    <t>{054-000-349} Создание производства ПЭЛ и ОР СУЗ</t>
  </si>
  <si>
    <t>{054-000-350} Совершенствование и модернизация энергетического хозяйства и инженерных сетей</t>
  </si>
  <si>
    <t>{054-000-351} Совершенствование управления предприятием, внедрение новых информационных технологий (КИС, IT-инфраструктура)</t>
  </si>
  <si>
    <t>{054-000-352} Развитие производства по выпуску нестандартного оборудования</t>
  </si>
  <si>
    <t>{054-000-353} Развитие оказания услуг непромышленного характера</t>
  </si>
  <si>
    <t>{054-000-354} Энергосбережение и повышение энергоэффективности</t>
  </si>
  <si>
    <t>{054-000-355} Совершенствование физзащиты предприятия в условиях реструктуризации МСЗ</t>
  </si>
  <si>
    <t>{054-000-356} Обеспечение общепромышленной, радиационной, пожарной безопасности, охраны окружающей среды, ГОиЧС и приведение инфраструктуры предприятия в соответствии с требованиями и нормами федерального законодательства</t>
  </si>
  <si>
    <t>{054-000-357} Международная техническая помощь</t>
  </si>
  <si>
    <t>{054-000-358} МСЗ: Резерв ТК</t>
  </si>
  <si>
    <t>{054-000-359} Развитие и поддержание мощностей ядерного производства</t>
  </si>
  <si>
    <t>{054-000-360} Развитие и модернизация производственных мощностей предприятия по выпуску таблеток</t>
  </si>
  <si>
    <t>{054-000-361} Создание производства ТВС Квадрат</t>
  </si>
  <si>
    <t>{054-000-362} Комплексная переработка производственных отходов</t>
  </si>
  <si>
    <t>{054-000-363} Развитие и модернизация производственных мощностей для обеспечения выпуска топлива для промышленных и исследовательских реакторов</t>
  </si>
  <si>
    <t>{054-000-364} Создание конкурентоспособного, безопасного производства коммерческого лития (мероприятие Обеспечение безопасности труда и экологической безопасности производства коммерческого лития)</t>
  </si>
  <si>
    <t>{054-000-365} Создание участка переработки карбоната лития-7 с получением раствора гидроокиси лития-7</t>
  </si>
  <si>
    <t>{054-000-366} Создание единого складского комплекса ПАО «НЗХК»</t>
  </si>
  <si>
    <t>{054-000-367} Обеспечение ядерной и радиационной безопасности в соответствии с ФЦП ЯРБ</t>
  </si>
  <si>
    <t>{054-000-368} Энергосбережение и повышение энергоэффективности ПАО "НЗХК" долгоокупаемые</t>
  </si>
  <si>
    <t>{054-000-369} Реконструкция хозяйственно-бытовой канализации ПАО "НЗХК"</t>
  </si>
  <si>
    <t>{054-000-370} Совершенствование организационной структуры предприятия</t>
  </si>
  <si>
    <t>{054-000-371} Совершенствование физзащиты предприятия в условиях реструктуризации НЗХК</t>
  </si>
  <si>
    <t>{054-000-372} Обеспечение общепромышленной, радиационной, пожарной безопасности, охраны окружающей среды, ГОиЧС и приведение инфраструктуры предприятия в соответствии с требованиями и нормами федерального законодательства</t>
  </si>
  <si>
    <t>{054-000-373} Техническое перевооружение производства специальных литиевых материалов</t>
  </si>
  <si>
    <t>{054-000-374} Обеспечение ядерной и радиационной безопасности (мероприятия, не вошедшие в ФЦП ЯРБ)</t>
  </si>
  <si>
    <t>{054-000-375} Замена кабельного хозяйства АО "ВНИИНМ"</t>
  </si>
  <si>
    <t>{054-000-376} Модернизация систем спецвентиляции АО «ВНИИНМ»</t>
  </si>
  <si>
    <t>{054-000-377} Модернизация и замена изношенного оборудования, реконструкция действующих производственных участков АО ЧМЗ</t>
  </si>
  <si>
    <t>{054-000-378} Создание хлоридной технологии</t>
  </si>
  <si>
    <t>{054-000-379} Разработка альтернативных вариантов обеспечения хлоридной технологии конструкционными материалами, сырьем, оборудованием, повышение надежности оборудования</t>
  </si>
  <si>
    <t>{054-000-380} Обеспечение функционирования уранового производства (минимальный)</t>
  </si>
  <si>
    <t>{054-000-381} Создание на базе АО ЧМЗ производства кальциевой проволоки для обработки металлургических расплавов</t>
  </si>
  <si>
    <t>{054-000-382} Организация и освоение производства титана</t>
  </si>
  <si>
    <t>{054-000-383} Совершенствование и модернизация энергетического хозяйства и инженерных сетей (минимальный)</t>
  </si>
  <si>
    <t>{054-000-384} Энергосбережение и повышение энергоэффективности долгоокупаемый</t>
  </si>
  <si>
    <t>{054-000-385} Совершенствование управлением предприятия, внедрение новых информационных технологий (КИС, IT - инфраструктуры)</t>
  </si>
  <si>
    <t>{054-000-386} Обеспечение ядерной и радиационной безопасности</t>
  </si>
  <si>
    <t>{054-000-387} Обеспечение ядерной и радиационной безопасности (мероприятия, не вошедшие в ФЦП ЯРБ)</t>
  </si>
  <si>
    <t>{054-000-388} Совершенствование физзащиты предприятия в условиях реструктуризации</t>
  </si>
  <si>
    <t>{054-000-389} Обеспечение общепромышленной, радиационной, пожарной безопасности, охраны окружающей среды, ГО и ЧС и приведение инфраструктуры предприятия в соответствии с требованиями федерального законодательства</t>
  </si>
  <si>
    <t>{054-000-390} Выкуп арендуемого оборудования у АО "ТВЭЛ"</t>
  </si>
  <si>
    <t>{054-000-391} Техническое перевооружение отделения 300-3</t>
  </si>
  <si>
    <t>{054-000-392} Техническое перевооружение комплекса конструкционных и сверхпроводящих материалов, объектов информационной сети управляемого термоядерного синтеза</t>
  </si>
  <si>
    <t>{054-000-393} Техническое перевооружение</t>
  </si>
  <si>
    <t>{054-000-394} Вывод из эксплуатации и реабилитации объектов «ядерного наследия»  АО ВНИИНМ</t>
  </si>
  <si>
    <t>{054-000-395} Создание промышленного производства наноструктурных электротехнических проводов со сверхвысокой прочностью и электропроводностью</t>
  </si>
  <si>
    <t>{054-000-396} Капитальные вложения в НМА и результаты НИОКР</t>
  </si>
  <si>
    <t>{054-000-397} Организация производства переносных металлизаторов и расходных элементов</t>
  </si>
  <si>
    <t>{054-000-398} Замена теплообменников</t>
  </si>
  <si>
    <t>{054-000-399} Модернизация и перемещение аналитического отдела П-307 из корпуса «Б» и корпус «И-3»</t>
  </si>
  <si>
    <t>{054-000-400} Техническое переоснащение метрологического отделения АО «ВНИИНМ»</t>
  </si>
  <si>
    <t>{054-000-401} UA-14/1 Модернизация физической защиты</t>
  </si>
  <si>
    <t>{054-000-402} ВНИИНМ: Резерв ТК 2**</t>
  </si>
  <si>
    <t>{054-000-403} Разработка технологий производства устройств рентгеновской оптики наноразмерного разрешения с использованием нового поколения рентгеногомогенных материалов на основе структурированного бериллия</t>
  </si>
  <si>
    <t>{054-000-404} Создание участка по нанесению многофункциональных покрытий на эндопротезы</t>
  </si>
  <si>
    <t>{054-000-405} Защита информации в АСФЗ</t>
  </si>
  <si>
    <t>{054-000-406} Реконструкция строений с обеспечением инженерных сетей и коммуникаций для сдачи в аренду</t>
  </si>
  <si>
    <t>{054-000-407} Модернизация КПП и охранного периметра</t>
  </si>
  <si>
    <t>{054-000-408} Энергосбережение и повышение энергоэффективности (долгоокупаемые)</t>
  </si>
  <si>
    <t>{054-000-409} Новый завод по производству ГЦ</t>
  </si>
  <si>
    <t>{054-000-410} Совершенствование управления предприятия, внедрение новых информационных технологий (КИС,IT-инфраструктуры)</t>
  </si>
  <si>
    <t>{054-000-412} Дооснащение объектов ПАО "КМЗ" автоматическими системами противопожарной защиты (АСПЗ)</t>
  </si>
  <si>
    <t>{054-000-413} Обеспечение собственных нужд предприятия</t>
  </si>
  <si>
    <t>{054-000-414} Организация производства изделия "Блок №5"</t>
  </si>
  <si>
    <t>{054-000-415} Реновация производства</t>
  </si>
  <si>
    <t>{054-000-416} Энергосбережение и повышение энергоэффективности, среднеокупаемые</t>
  </si>
  <si>
    <t>{054-000-417} Совершенствование и модернизация энергетического хозяйства и инженерных сетей</t>
  </si>
  <si>
    <t>{054-000-418} Обеспечение общепромышленной, радиационной, пожарной безопасности, окружающей среды, ГО и ЧС и приведение инфраструктуры предприятия в соответствии с требованиями и нормами федерального законодательства</t>
  </si>
  <si>
    <t>{054-000-419} Техническое перевооружение предприятия (развитие и модернизация производственных мощностей по выпуску ГЦ)</t>
  </si>
  <si>
    <t>{054-000-420} Разработка активной зоны 14-15-1 с высокообогащенным интерметаллидным топливом для РУ РИТМ-200 универсального атомного ледокола</t>
  </si>
  <si>
    <t>{054-000-421} Энергосбережение и повышение энергоэффективности (среднеокупаемые мероприятия)</t>
  </si>
  <si>
    <t>{054-000-422} Совершенствование управлением предприятия, внедрение новых информационных технологий (КИС, IT-инфраструктуры)</t>
  </si>
  <si>
    <t>{054-000-423} Обеспечение общепромышленной, радиационной, пожарной  безопасности, охраны окружающей среды, ГО и ЧС и приведение инфраструктуры предприятия в соответствии с требованиями и нормами федерального законодательства</t>
  </si>
  <si>
    <t>{054-000-424} Совершенствование и модернизация энергетического хозяйства и инженерных сетей  ООО "УЗГЦ"</t>
  </si>
  <si>
    <t>{054-000-425} Организация опытно-промышленного участка по выпуску оборудования для систем очистки бурового раствора</t>
  </si>
  <si>
    <t>{054-000-426} Пилотное внедрение типового решения функциональности ТОРО на базе SAP ERP</t>
  </si>
  <si>
    <t>{054-000-427} Обеспечение финансирования инвестиционных проектов Обществ Топливной компании и формирование контура собственности Топливной компании</t>
  </si>
  <si>
    <t>{054-000-428} Резерв ТК № 1  на исполнение  инвестиционных проектов</t>
  </si>
  <si>
    <t>{054-000-429} Разработки новых моделей вспомогательного оборудования разделительных производств</t>
  </si>
  <si>
    <t>{054-000-430} Разработка и совершенствование ядерного топлива и активных зон исследовательских реакторов и атомных станций малой мощности</t>
  </si>
  <si>
    <t>{054-000-431} "КОЛУМБ"</t>
  </si>
  <si>
    <t>{054-000-432} Мероприятие "Разработка ОБИН создания Завода начальной стадии ЯТЦ (ЗНС ЯТЦ)"</t>
  </si>
  <si>
    <t>{054-000-433} Внедрение АСУ КТПП в АО «ВПО «Точмаш»</t>
  </si>
  <si>
    <t>{054-000-434} Диверсификация производства СПМ (доходный)</t>
  </si>
  <si>
    <t>{054-000-435} Диверсификация производства СПМ (затратный)</t>
  </si>
  <si>
    <t>{054-000-436} Разработка конструкции и технологии изготовления сверхпроводящего Nb3Sn провода по требованиям ЦЕРН</t>
  </si>
  <si>
    <t>{054-000-437} Патентно-правовое обеспечение производства и поставок продукции</t>
  </si>
  <si>
    <t>{054-000-438} Внедрение лабораторной информационной системы в АО ЧМЗ</t>
  </si>
  <si>
    <t>{054-000-439} Разработка и совершенствование конструкции ГЦ 9-го поколения</t>
  </si>
  <si>
    <t>{054-000-440} Разработка и совершенствование конструкции ГЦ 10-го поколения</t>
  </si>
  <si>
    <t>{054-000-441} Разработка ГЦ 11-го поколения и конструкционных материалов ГЦ-11</t>
  </si>
  <si>
    <t>{054-000-442} Развитие ИТ-инфраструктуры (информационные технологии)</t>
  </si>
  <si>
    <t>{054-000-443} Создание высокотехнологичного Центра ядерной медицины на территории Дальневосточного Федерального университета (АМТ-ДВ)</t>
  </si>
  <si>
    <t>{054-000-444} СМБ</t>
  </si>
  <si>
    <t>{054-000-445} ЦВТД</t>
  </si>
  <si>
    <t>{054-000-446} Переработка золошлаковых материалов</t>
  </si>
  <si>
    <t>{054-000-447} Стерион</t>
  </si>
  <si>
    <t>{054-000-448} Запуск производства радиофармпрепаратов и открытых радионуклидных источников для нужд лечебно-профилактических учреждений Уральского Федерального Округа</t>
  </si>
  <si>
    <t>{054-000-449} Создание распределенной системы планирования и бюджетирования</t>
  </si>
  <si>
    <t>{054-000-450} Разработка стратегии, целеполагания и дорожной карты развития Производственной системы Росатом</t>
  </si>
  <si>
    <t>{054-000-451} Ценности Росатома</t>
  </si>
  <si>
    <t>{054-000-453} Электронная информационная площадка по продаже непрофильных активов организаций атомной отрасли</t>
  </si>
  <si>
    <t>{054-000-454} Регистрация товарных знаков Госкорпорации "Росатом" по расширенному перечню зарубежных стран</t>
  </si>
  <si>
    <t>{054-000-455} Обеспечение энергонезависимости объекта АО «ЦУФС» расположенного по адресу г. Москва, мкр. Бирюлево-Загорье, Проектируемый проезд 3989,  с целью завершения очередного этапа по вводу объекта незавершенного строительством в эксплуатацию и последующей продаж</t>
  </si>
  <si>
    <t>{054-000-456} Реализация программ развития лидеров и участников глобализации</t>
  </si>
  <si>
    <t>{054-000-458} Модернизация производствнного оборудования для повышения качества выпускаемой продукции ООО "Аргон"</t>
  </si>
  <si>
    <t>{054-000-459} Строительство газовой котельной блочно-модульного типа на  ООО "Аргон"</t>
  </si>
  <si>
    <t>{054-000-460} Модернизация системы электроснабжения  ООО "Аргон" по результатам проведённого энергоаудита для повышения стабильности производственного процесса</t>
  </si>
  <si>
    <t>{054-000-461} Промышленная безопасность</t>
  </si>
  <si>
    <t>{054-000-462} Качество</t>
  </si>
  <si>
    <t>{054-000-463} Проект "Алабуга-Волокно"</t>
  </si>
  <si>
    <t>{054-000-464} Приобретение газовых хроматографов</t>
  </si>
  <si>
    <t>{054-000-465} Приобретение корпусов установок АГАТ-3,2 (3шт.)</t>
  </si>
  <si>
    <t>{054-000-466} Поддержание функционирования ТЭЦ в г. Северске</t>
  </si>
  <si>
    <t>{054-000-467} Приобретение станков для участка мехобработки</t>
  </si>
  <si>
    <t>{054-000-468} Модернизация стендовой установки</t>
  </si>
  <si>
    <t>{054-000-469} Проект "4,5 ГПа в кубе"</t>
  </si>
  <si>
    <t>{054-000-470} Поддержание функционирования АО "Железногорская ТЭЦ"</t>
  </si>
  <si>
    <t>{054-000-471} Поддержание функционирования ТЭЦ ООО "НИИАР-Генерация"</t>
  </si>
  <si>
    <t>{054-000-472} Поддержание функционирования ТЭЦ в г. Новоуральске</t>
  </si>
  <si>
    <t>{054-000-473} Поддержание функционирования ТЭЦ в г. Глазове</t>
  </si>
  <si>
    <t>{054-000-474} Поддержание функционирования энергокомплекса в г. Краснокаменске</t>
  </si>
  <si>
    <t>{054-000-475} Установка общедомовых приборов учета тепловой энергии и холодного водоснабжения</t>
  </si>
  <si>
    <t>{054-000-476} Создание ИТ-инфраструктуры и вспомогательных инженерных систем для управляющей компании и филиалов АО "РИР"</t>
  </si>
  <si>
    <t>{054-000-477} Транспортно-логистический комплекс "Запад" (ТЛК "Запад")</t>
  </si>
  <si>
    <t>{054-000-478} Парк транспортного оборудования</t>
  </si>
  <si>
    <t>{054-000-479} Приобретение цилиндров 48Y</t>
  </si>
  <si>
    <t>{054-000-480} Перевод бизнеса компании Internexco GmbH из Германии в Швейцарию</t>
  </si>
  <si>
    <t>{054-000-481} Обновление автотранспортного парка АО "СПб "ИЗОТОП"</t>
  </si>
  <si>
    <t>{054-000-482} Инвестиционные мероприятия Техснабэкспорт</t>
  </si>
  <si>
    <t>{054-000-483} ГИМ «Инвестиционные мероприятия ИЗОТОП»</t>
  </si>
  <si>
    <t>{054-000-484} Инвестиционные мероприятия Краун</t>
  </si>
  <si>
    <t>{054-000-485} Создание демонстрационного образца установки термовакуумной сушки отработавших ионообменных смол</t>
  </si>
  <si>
    <t>{054-000-486} Техническое регулирование при управлении организациями Госкорпорации "Росатом" и нормативно-техническое регулирование в области использования атомной энергии</t>
  </si>
  <si>
    <t>{054-000-487} Развитие системы метрологического обеспечения Госкорпорации "Росатом"</t>
  </si>
  <si>
    <t>{054-000-488} Новый дизайн рабочего пространства Госкорпорации "Росатом"</t>
  </si>
  <si>
    <t>{054-000-489} "Комплексная оптимизация производства предприятий атомной отрасли"</t>
  </si>
  <si>
    <t>{054-000-490} Формирование общего пула региональных характеристик (экономических, социальных, демографических) и  синхронизированных документов развития территорий присутствия ГК</t>
  </si>
  <si>
    <t>{054-000-491} Установка накопителей электроэнергии на основе литий-ионных аккумуляторов на электротранспорт АО "УЭХК"</t>
  </si>
  <si>
    <t>{054-000-492} Приобретение лицензий под реализуемые проекты базового сценария</t>
  </si>
  <si>
    <t>{054-000-493} Оптимизация производительности ЕОС-Закупки</t>
  </si>
  <si>
    <t>{054-000-494} Развитие международного сотрудничества и экспорт услуг в области ядерного образования</t>
  </si>
  <si>
    <t>{054-000-495} Поддержка формирования кластеров атомной отрасли</t>
  </si>
  <si>
    <t>{054-000-496} Обеспечение безопасности радиохимического и сублиматного производства АО «СХК»</t>
  </si>
  <si>
    <t>{054-000-497} Создание произзводства углеродных сорбентов для разделения и очистки газов</t>
  </si>
  <si>
    <t>{054-000-498} Выкуп оборудования и зданий у предприятий Новоуральской промышленной площадки</t>
  </si>
  <si>
    <t>{054-000-499} Исследование и разработка технологии изготовления герметизированных твэлов нового поколения на основе SiC</t>
  </si>
  <si>
    <t>{054-000-500} Установка накопителей электроэнергии на основе литий-ионных аккумуляторов на электротранспорт АО "ПО ЭХЗ".</t>
  </si>
  <si>
    <t>{054-000-501} Развитие энергосбытового бизнеса АО «АтомЭнергоСбыт» в качестве гарантирующего поставщика в Мурманской области</t>
  </si>
  <si>
    <t>{054-000-502} Разработка конструкции комбинированной внутренней защитной оболочки (КВЗО)</t>
  </si>
  <si>
    <t>{054-000-503} Вывод из эксплуатации сублиматного производства АО "АЭХК"</t>
  </si>
  <si>
    <t>{054-000-504} Приобретение в собственность ПАО"НЗХК" объекта "АИДА"</t>
  </si>
  <si>
    <t>{054-000-505} Развитие ИТ-инфраструктуры и защита информации АО «ВПО «Точмаш»</t>
  </si>
  <si>
    <t>{054-000-506} Оснащение специальными механизмами строительной площадки Объекта - 53 часть 1</t>
  </si>
  <si>
    <t>{054-000-507} Реконструкция и модернизация зданий и сооружений  АО «ВНИИАЭС» для обеспечения действующих требований безопасности</t>
  </si>
  <si>
    <t>{054-000-508} Модернизация ИТ-оборудования и обеспечение лицензионным ПО АЭР для выполнения основной производственной деятельности</t>
  </si>
  <si>
    <t>{054-000-509} Реализация мероприятий по исполнению технических регламентов эксплуатации оборудования</t>
  </si>
  <si>
    <t>{054-000-510} Приобретение оборудования для обеспечения бесперебойной работы ИТ-системы</t>
  </si>
  <si>
    <t>{054-000-511} Развитие и модернизация экспериментальной и опытно-производственной базы</t>
  </si>
  <si>
    <t>{054-000-512} Развитие внутрикорпоративных коммуникаций</t>
  </si>
  <si>
    <t>{054-000-513} Создание производства накопителей и генераторов энергии на топливных элементов</t>
  </si>
  <si>
    <t>{054-000-514} Внедрение системы извещения о пожаре,установка вентиляции по дымоудалению,установка огнезадерживающих клапонов в зд.64,64Г</t>
  </si>
  <si>
    <t>{054-000-515} Компактизация производства в комплексе зданий 100, 1, 1А</t>
  </si>
  <si>
    <t>{054-000-516} Удаление SD10070430</t>
  </si>
  <si>
    <t>{054-000-517} Техническое перевооружение предприятия (развитие и модернизация производственных мощностей по выпуску продукции)</t>
  </si>
  <si>
    <t>{054-000-518} Совершенствование и модернизация энергетического хозяйства и инженерных сетей</t>
  </si>
  <si>
    <t>{054-000-519} Организация специального участка по выпуску авиационных средств поражения</t>
  </si>
  <si>
    <t>{054-000-520} Механизация строительной площадки в Бангладеш (АЭС Руппур) для выполнения СМР подготовительного периода сооружения</t>
  </si>
  <si>
    <t>{054-000-521} Тиражирование типового решения управления ресурсами предприятия SAP ERP ТК в АО «МЗП»</t>
  </si>
  <si>
    <t>{054-000-522} Модернизация разделительного производства УЭХК, первая очередь здания 2001</t>
  </si>
  <si>
    <t>{054-000-523} Поддержание в рабочем состоянии основных фондов предприятия филиал АО «НИФХИ им. Л.Я. Карпова» в 2016 году</t>
  </si>
  <si>
    <t>{054-000-524} Реконструкция</t>
  </si>
  <si>
    <t>{054-000-525} Оборудование</t>
  </si>
  <si>
    <t>{054-000-526} Актуализация мер противодействия киберугрозам</t>
  </si>
  <si>
    <t>{054-000-527} Создание инфраструктуры для специального электронного архива атомной отрасли (ГТ)</t>
  </si>
  <si>
    <t>{054-000-528} Каскадирование проекта Карьера и преемственность - все руководители</t>
  </si>
  <si>
    <t>{054-000-529} Реализация функциональности исполнения договоров в соответствии с постановлением правительства 1132</t>
  </si>
  <si>
    <t>{054-000-530} Реализация законодательства по контролируемым иностранным компаниям</t>
  </si>
  <si>
    <t>{054-000-531} Разработка и внедрение решения по интерактивной отчетности (монитор руководителя) топ-30</t>
  </si>
  <si>
    <t>{054-000-532} Развитие системы управления портфелем проектов Корпорации ИС «СИРИУС»</t>
  </si>
  <si>
    <t>{054-000-533} Пилотное внедрение функций обучения и подбора персонала</t>
  </si>
  <si>
    <t>{054-000-534} Перевод предприятий с 1C ЗУП:Росатом на систему ИАСУП</t>
  </si>
  <si>
    <t>{054-000-535} Перевод 1C:ERP Росатом на платформу 1С:Предприятие 8.3 КОРП</t>
  </si>
  <si>
    <t>{054-000-536} Создание металлической теплоизоляции для трубопроводов, расположенных внутри защитной оболочки АЭС</t>
  </si>
  <si>
    <t>{054-000-537} Подготовка к аттестации расчетных кодов для обоснования безопасности и технических решений</t>
  </si>
  <si>
    <t>{054-000-538} Модернизация схемных, строительных и строительно-технологических решений проектов АЭС-2006, БН-1200</t>
  </si>
  <si>
    <t>{054-000-539} Развитие разделительного производства</t>
  </si>
  <si>
    <t>{054-000-540} Финансовое оздоровление ООО "СМУ № 1"</t>
  </si>
  <si>
    <t>{054-000-541} Переход на новую платформу консолидации «1С:Управление холдингом»</t>
  </si>
  <si>
    <t>{054-000-542} Развитие распределенной системы планирования и бюджетирования</t>
  </si>
  <si>
    <t>{054-000-543} Тиражирование корпоративных ERP систем в дивизионе "Сбыт и трейдинг"</t>
  </si>
  <si>
    <t>{054-000-544} Тиражирование информационной системы управления материально-техническим обеспечением Госкорпорации «Росатом»</t>
  </si>
  <si>
    <t>{054-000-545} Новый дизайн рабочего пространства здания Госкорпорации "Росатом" (Ремонт правого крыла 10 и 11 этажей здания Госкорпорации "Росатом" по адресу: ул. Большая Ордынка, д.24)</t>
  </si>
  <si>
    <t>{054-000-546} Концепция развития офисного пространства (Надстройка существующего строения по адресу: ул. Б. Ордынка" д.26)</t>
  </si>
  <si>
    <t>{054-000-547} Ремонт Актового зала Госкорпорации «Росатом» (Приведение актового зала Госкорпорации «Росатом», расположенного по адресу Б.Ордынка д. 24, в соответствие со стандартом дизайна)</t>
  </si>
  <si>
    <t>{054-000-548} Изготовление и сертификация транспортного упаковочного комплекта ТУК-95-В для перевозки обогащённого урана всеми видами транспорта, включая воздушный» ПАО «НЗХК»</t>
  </si>
  <si>
    <t>{054-000-549} «Замена малотоннажных автомобилей»</t>
  </si>
  <si>
    <t>{054-000-550} «Замена микроавтобуса»</t>
  </si>
  <si>
    <t>{054-000-551} «Закупка офисной оргтехники на  2016 год»</t>
  </si>
  <si>
    <t>{054-000-552} Ремонт фасада изотопного комплекса обособленного подразделения База ОАО «В/О «Изотоп»</t>
  </si>
  <si>
    <t>{054-000-553} Тиражирование корпоративных ERP систем в дивизионе «Инжиниринг и сооружение»</t>
  </si>
  <si>
    <t>{054-000-554} Тиражирование корпоративных ERP систем в электроэнергетическом дивизионе</t>
  </si>
  <si>
    <t>{054-000-555} Создание зависимого хозяйственного общества ООО «ОКБ КИПиА ГХК» на базе подразделения ФГУП «ГХК» Особого конструкторского бюро КИПиА</t>
  </si>
  <si>
    <t>{054-000-556} Организация специального участка по выпуску авиационных средств поражения изделий У-605, У-611, АВУ-581К</t>
  </si>
  <si>
    <t>{054-000-557} Создание участка комплексной очистки растворов гидроксида лития-7 от примесей с получением готовой продукции</t>
  </si>
  <si>
    <t>{054-000-558} Создание отраслевой информационной системы международного маркетинга и продаж ОАЗИС</t>
  </si>
  <si>
    <t>{054-000-559} Развитие производства гафния в АО ЧМЗ</t>
  </si>
  <si>
    <t>{054-000-560} Пилотный проект по юридически значимому электронному документообороту</t>
  </si>
  <si>
    <t>{054-000-561} Строительство «пилотной» ВЭС</t>
  </si>
  <si>
    <t>{054-000-562} Строительство завода по  производству ВЭУ</t>
  </si>
  <si>
    <t>{054-000-563} Приобретение корпусов установок АГАТ-3,2 (2шт.)</t>
  </si>
  <si>
    <t>{054-000-564} Дооборудование режимных помещений  АО «Атомэнергомаш»</t>
  </si>
  <si>
    <t>{054-000-565} Программа развития научного потенциала</t>
  </si>
  <si>
    <t>{054-000-566} Консультационные услуги на информационно-аналитическое обеспечение разработки и выполенения ИПР ГК Росатом</t>
  </si>
  <si>
    <t>{054-000-567} Создание высокотехнологичного производства прутков и проволоки с регламентированными структурой, технологическими и эксплуатационными свойствами из высокопрочных титановых сплавов для применения в изделиях судостроительной, авиационной и ракетно-космическ</t>
  </si>
  <si>
    <t>{054-000-568} Пилотное внедрение системы антикоррупционного декларирования</t>
  </si>
  <si>
    <t>{054-000-569} Модернизация вагон-транспортеров ТК-10, ТК-ВГ-13 для транспортирования ОЯТ ВВЭР-1000 с целью продления их срока службы (эксплуатации)</t>
  </si>
  <si>
    <t>{054-000-570} Создание автоматизированной системы расчета полной сквозной себестоимости по ключевым продуктам</t>
  </si>
  <si>
    <t>{054-000-571} Консолидация 100 долей «Ganz EEM»</t>
  </si>
  <si>
    <t>{054-000-572} Приобретение электроэрозионного проволочно-вырезного станка с ЧПУ струйного типа</t>
  </si>
  <si>
    <t>{054-000-573} Разработка, изготовление и испытание опытных образцов элегазового КРУЭ 110 кВ с тремя фазами в одной оболочке</t>
  </si>
  <si>
    <t>{054-000-574} Разработка бакового вакуумного выключателя на номинальное напряжение 110 кВ</t>
  </si>
  <si>
    <t>{054-000-575} Разработка вакуумной дугогасительной камеры 110 кВ</t>
  </si>
  <si>
    <t>{054-000-576} Испытательная лаборатория для проведения специальной оценки условий труда</t>
  </si>
  <si>
    <t>{054-000-577} Изготовление оборудования судостроительной техники ПАО «ЗиО-Подольск»</t>
  </si>
  <si>
    <t>{054-000-578} Проведение предварительного аудита, планирование валидации EU GMP имеющихся и создаваемых производств и оформления разрешения на распространение на рынках ЕС  изотопной медицинской продукции предприятий ГК Росатом</t>
  </si>
  <si>
    <t>{054-000-579} Создание производства РФП с целью реализации медицинским учреждениям г. Москвы</t>
  </si>
  <si>
    <t>{054-000-580} Рабочие и инженерные кадры для производственно-технологического роста</t>
  </si>
  <si>
    <t>{054-000-581} Регрейдинг должностей Госкорпорации «Росатом» и управляющих компаний дивизионов</t>
  </si>
  <si>
    <t>{054-000-582} Развитие Школы Управления Проектами на базе Корпоративной академии</t>
  </si>
  <si>
    <t>{054-000-583} Реализация программы оптимизации расходов</t>
  </si>
  <si>
    <t>{054-000-584} Регистрация группы обозначений ВВЭР</t>
  </si>
  <si>
    <t>{054-000-585} Получение патентов на изобретения за рубежом</t>
  </si>
  <si>
    <t>{054-000-586} Обследование эффективности налоговой функции Госкорпорации "Росатом"</t>
  </si>
  <si>
    <t>{054-000-587} Аудит финансово-экономической модели для целей 2-го раунда ПДМ</t>
  </si>
  <si>
    <t>{054-000-588} Создание производства особо чистого кварцевого концентрата</t>
  </si>
  <si>
    <t>{054-000-589} Совершенствование управлением предприятия, внедрение  новых информационных технологий 2 (КИС, IT-инфраструктура)</t>
  </si>
  <si>
    <t>{054-000-590} Выкуп земельного участка</t>
  </si>
  <si>
    <t>{054-000-591} Совершенствование и модернизация энергетики и инженерных сетей</t>
  </si>
  <si>
    <t>{054-000-592} Совершенствование и модернизация энергетического хозяйства и инженерных сетей</t>
  </si>
  <si>
    <t>{054-000-593} Энергосбережение и повышение энергоэффективности (среднеокупаемые)</t>
  </si>
  <si>
    <t>{054-000-594} Обеспечение комплексной безопасности предприятия и выполнение соглашений по охране труда</t>
  </si>
  <si>
    <t>{054-000-595} Совершенствование управлением предприятия, внедрение новых информационных технологий (КИС,IT-инфраструктуры)</t>
  </si>
  <si>
    <t>{054-000-596} Совершенствование физической защиты предприятия в условиях реструктуризации. Внедрение СИВ.</t>
  </si>
  <si>
    <t>{054-000-597} Организация участка горячей штамповки</t>
  </si>
  <si>
    <t>{054-000-598} Внедрение Корпоративного интранет-портала "Страна Росатом"</t>
  </si>
  <si>
    <t>{054-000-599} «Оснащение производственной среды предприятия основными средствами»</t>
  </si>
  <si>
    <t>{054-000-600} «Модернизация  системы физической защиты предприятия»</t>
  </si>
  <si>
    <t>{054-000-601} «Модернизация противопожарной защиты  АО ОКБ «ГИДРОПРЕСС»</t>
  </si>
  <si>
    <t>{054-000-602} «Внедрение современных средств автоматизации»</t>
  </si>
  <si>
    <t>{054-000-603} Реконструкция очистных сооружений бессточной системы водоснабжения филиала ОАО "АЭМ-технологии" «Петрозаводскмаш»</t>
  </si>
  <si>
    <t>{054-000-604} Интегрированная система физической и технической безопасности предприятия</t>
  </si>
  <si>
    <t>{054-000-605} Обновление парка ИТ-оборудования АО "СвердНИИхиммаш"</t>
  </si>
  <si>
    <t>{054-000-606} «Разработка пилотного проекта по внедрению автоматизированных систем управления технологической подготовкой производства и управления производством на предприятиях-производителях оборудования длительного цикла изготовления»</t>
  </si>
  <si>
    <t>{054-000-607} Модернизация системы связи АО "СвердНИИхиммаш"</t>
  </si>
  <si>
    <t>{054-000-608} Проект телекоммуникационной структуры машиностроительного Дивизиона</t>
  </si>
  <si>
    <t>{054-000-609} Комплекс мероприятий по повышению энергоэффективности  АО «ЦКБМ» (этап 2016 года)</t>
  </si>
  <si>
    <t>{054-000-610} Обеспечение необходимого уровня технического оснащения АРМ АО «ИК «ЗИОМАР»</t>
  </si>
  <si>
    <t>{054-000-611} Создание автоматизированной системы технологической подготовки и оперативного управления производством АО «ЦКБМ»</t>
  </si>
  <si>
    <t>{054-000-612} Выполнение отраслевых требований по информационной безопасности Госкорпорации «Росатом» в АО «ЦКБМ»</t>
  </si>
  <si>
    <t>{054-000-613} Оснащение филиала ЦКБМ 2  АО «ЦКБМ» комплексом инженерно-технических средств охраны</t>
  </si>
  <si>
    <t>{054-000-614} «Модернизация металлообрабатывающего оборудования»</t>
  </si>
  <si>
    <t>{054-000-615} «Создание стендовой системы частотного регулирования для испытания одновального ГЦНА»</t>
  </si>
  <si>
    <t>{054-000-616} Обеспечение физической защиты АО "СНИИП"</t>
  </si>
  <si>
    <t>{054-000-617} Проект телекоммуникационной структуры АО "СНИИП"</t>
  </si>
  <si>
    <t>{054-000-618} Проект телекоммуникационной структуры ООО "Турбинные технологии ААЭМ"</t>
  </si>
  <si>
    <t>{054-000-619} Проект телекоммуникационной структуры АО "АЭМ-Технологии"</t>
  </si>
  <si>
    <t>{054-000-620} Проект телекоммуникационной структуры ЗАО "АТМ"</t>
  </si>
  <si>
    <t>{054-000-621} Проект телекоммуникационной структуры АО "ИФТП"</t>
  </si>
  <si>
    <t>{054-000-622} Регенерат (вовлечение в ядерный топливный цикл регенерированного урана зарубежных владельцев)</t>
  </si>
  <si>
    <t>{054-000-623} Реконструкция пункта хранения радиоактивных отходов филиала Ленинградского отделения филиала СЗТО ФГУП "РосРАО"</t>
  </si>
  <si>
    <t>{054-000-624} Строительство сухого хранилища облученного ядерного топлива реакторов РБМК-1000 и ВВЭР-1000(ХОТ-2)</t>
  </si>
  <si>
    <t>{054-000-625} Строительство хранилища для безопасного хранения препаратов государственного радиевого фонда России</t>
  </si>
  <si>
    <t>{054-000-626} Cоздание производства МОКС-топлива для энергоблоков с реакторами на быстрых нейтронах БН -800</t>
  </si>
  <si>
    <t>{054-000-627} Создание опытно-демонстрационного центра по переработке отработавшего ядерного топлива на основе инновационных технологий</t>
  </si>
  <si>
    <t>{054-000-628} Модернизация и реконструкция действующих объектов, приобретение оборудования для замены изношенного</t>
  </si>
  <si>
    <t>{054-000-629} Сооружение долговременного хранилища(I-я очередь) отвержденных радиоактивных отходов в горных выработках федерального государственного унитарного предприятия «Горно-химический комбинат».</t>
  </si>
  <si>
    <t>{054-000-630} Реконструкция полигона твердых радиоактивных отходов федерального государственного унитарного предприятия «Горно-химический комбинат»</t>
  </si>
  <si>
    <t>{054-000-631} Прочие проекты ЯОК</t>
  </si>
  <si>
    <t>{054-000-632} Мероприятия по обеспечению физической защиты, учета и контроля ЯМ</t>
  </si>
  <si>
    <t>{054-000-633} Обеспечение безопасности особо радиационно опасных и ядерно опасных производств и объектов (кроме атомных станций) на всех стадиях их жизненного цикла</t>
  </si>
  <si>
    <t>{054-000-634} Поддержание производственно-технической базы ФГУП "РосРАО"</t>
  </si>
  <si>
    <t>{054-000-635} Обновление парка транспортно-упаковочных комплектов для транспортировки ОТВС АЭС на объекты централизованного обращения</t>
  </si>
  <si>
    <t>{054-000-636} Поддержание IT инфраструктуры АО ФЦЯРБ</t>
  </si>
  <si>
    <t>{054-000-637} Поддержание производственно-технической базы ФГУП "ФЭО" в части обеспечения ЯРБ</t>
  </si>
  <si>
    <t>{054-000-638} Поддержание производственно-технической базы ФГУП "ФЭО" в части физической защиты</t>
  </si>
  <si>
    <t>{054-000-639} Поддержание производственных мощностей ФГУП "РАДОН" (в части КИР)</t>
  </si>
  <si>
    <t>{054-000-640} Приобретение автомобиля ГАЗ-322132</t>
  </si>
  <si>
    <t>{054-000-641} Строительство хранилищ для временного хранения твердых радиоактивных отходов</t>
  </si>
  <si>
    <t>{054-000-642} Разработка ОБИН для сооружения "сухого дока" в бухте Чажма</t>
  </si>
  <si>
    <t>{054-000-643} Поддержание производственных функций ФГУП "ФЭО"</t>
  </si>
  <si>
    <t>{054-000-644} Строительство легковозводимого хранилища для контейнерного хранения низкоактивных РАО в филиале «Южный территориальный округ»</t>
  </si>
  <si>
    <t>{054-000-645} Приобретение оборудования для замены изношенного</t>
  </si>
  <si>
    <t>{054-000-646} "Приобретение основных средств для поддержания технических мощностей АО "ОДЦ УГР" и реализации государственных контрактов."</t>
  </si>
  <si>
    <t>{054-000-647} Техническое  перевооружение.  Подстанция П-1,    объект    390,    ОРУ-110  кВ.    Замена трансформатора С3Т. РЗ ФГУП «ГХК»</t>
  </si>
  <si>
    <t>{054-000-648} Реконструкция участка ВЛ-35 кВ кабельной трассы КЛТ-5, КЛТ-6</t>
  </si>
  <si>
    <t>{054-000-649} Рекультивация хвостохранилища обогатительной фабрики бывшего Новотроицкого рудоуправления и территории</t>
  </si>
  <si>
    <t>{054-000-650} Инвестиционные мероприятия, направленные на модернизацию производства «ФГУП «РосРАО» («Приобретение техники для формирования блоков РО»)</t>
  </si>
  <si>
    <t>{054-000-651} Инвестиционные мероприятия, направленные на модернизацию производства «ФГУП «РосРАО» ("Создание участка по производству комплектующих для формирования блоков РО»)</t>
  </si>
  <si>
    <t>{054-000-652} Инвестиционные мероприятия, направленные на модернизацию производства «ФГУП «РосРАО» («Модернизация ПД «Сакура» - ДВЦ «ДальРАО»)</t>
  </si>
  <si>
    <t>{054-000-653} «Мобильная установка дезактивации ТРО»</t>
  </si>
  <si>
    <t>{054-000-654} Инвестиционные мероприятия, направленные на модернизацию производства «ФГУП «РосРАО» («Реконструкция здания №5 Иркутск»)</t>
  </si>
  <si>
    <t>{054-000-655} Инвестиционные мероприятия, направленные на модернизацию производства «ФГУП «РосРАО» («Создания мобильной установки компактирования ТРО» для филиала "СЗТО")</t>
  </si>
  <si>
    <t>{054-000-656} Инвестиционные мероприятия, направленные на модернизацию производства «ФГУП «РосРАО» («Приобретение охладителя X-cooler»)</t>
  </si>
  <si>
    <t>{054-000-657} Инвестиционные мероприятия, направленные на модернизацию производства «ФГУП «РосРАО» («Приобретение спецавтомобиля и полуприцепа для нужд филиала «УТО»)</t>
  </si>
  <si>
    <t>{054-000-658} Инвестиционные мероприятия, направленные на модернизацию производства «ФГУП «РосРАО» («Приобретение спецавтомобиля для нужд филиала «ЮТО»)</t>
  </si>
  <si>
    <t>{054-000-659} Поддержание производственно-технический базы ФГУП "РосРАО" в части вывода из эксплуатации</t>
  </si>
  <si>
    <t>{054-000-660} «Приобретение основных средств для поддержания технических мощностей АО «ОДЦ УГР» с 2016 по 2019 гг.»</t>
  </si>
  <si>
    <t>{054-000-661} "Модернизация  тепловых  сетей  производственных зданий и сооружений  площадки № 2  и площадки № 11  АО «ОДЦ УГР»"</t>
  </si>
  <si>
    <t>{054-000-662} Строительство комплекса очистных сооружений хозяйственно-бытовых стоков и поверхностных сточных вод ФГУП "РАДОН"</t>
  </si>
  <si>
    <t>{054-000-663} Техническое перевооружение хранилища жидких радиоактивных отходов (ХЖО-1)</t>
  </si>
  <si>
    <t>{054-000-666} Андрюшкинское</t>
  </si>
  <si>
    <t>{054-000-667} Децентрализация системы снабжения предприятия сжатым воздухом</t>
  </si>
  <si>
    <t>{054-000-668} Удаление SD10843630</t>
  </si>
  <si>
    <t>{054-000-669} Обеспечение ядерной и радиационной безопасности на предприятии в соответствии с действующей ФЦП "ЯРБ"</t>
  </si>
  <si>
    <t>{054-000-671} Организация серийного производства  по изготовлению контейнеров  МЗК-3.0 в здании 5Г Ленинградского отделения филиала «Северо-западный территориальный округ» ФГУП «РосРАО»</t>
  </si>
  <si>
    <t>{054-000-672} Создание участка извлечения ртути из шламов</t>
  </si>
  <si>
    <t>{054-000-673} Создание участка переработки оборотов литиевого производства с получением раствора хлорида лития и ртути</t>
  </si>
  <si>
    <t>{054-000-674} Восполнение и модернизация производственных мощностей АО «ЦКБМ»</t>
  </si>
  <si>
    <t>{054-000-675} Привлечение проектного финансирования на зарубежные проекты Госкорпорации "Росатом"</t>
  </si>
  <si>
    <t>{054-000-676} Разработка комплексного объекта управления, вкл. цикл обращения с РАО</t>
  </si>
  <si>
    <t>{054-000-677} Разработка модели прогноза обязательств в области ЗСЖЦ на среднесрочный период</t>
  </si>
  <si>
    <t>{054-000-678} Разработка программы технологизации  деятельности в области ЗСЖЦ</t>
  </si>
  <si>
    <t>{054-000-679} Строительство современного завода ПАН-прекурсора</t>
  </si>
  <si>
    <t>{054-000-680} Разработка и освоение производства насосов для машинных залов АЭС</t>
  </si>
  <si>
    <t>{054-000-681} Инвестиционные мероприятия Тестовая запись</t>
  </si>
  <si>
    <t>{054-000-682} Удаление SD09731062</t>
  </si>
  <si>
    <t>{054-000-683} Обеспечение локальной вычислительной сетью (ЛВС) корпуса 2</t>
  </si>
  <si>
    <t>{054-000-684} Разработка технологии очистки радиоактивно загрязненных грунтов  СП АО «АЭХК» методом гидросепарации</t>
  </si>
  <si>
    <t>{054-000-685} Концентрация центрального складского хозяйства ПАО «КМЗ»</t>
  </si>
  <si>
    <t>{054-000-686} Модернизация системы индивидуального дозиметрического контроля (ИДК) филиала «СТО»</t>
  </si>
  <si>
    <t>{054-000-688} Создание в Свердловском отделении легковозводимого хранилища для контейнерного хранения низкоактивных РАО</t>
  </si>
  <si>
    <t>{054-000-689} Размещение лаборатории для проведения ИДК, радиационного контроля и поверке оборудования в республике Крым</t>
  </si>
  <si>
    <t>{054-000-690} Организация участка по обращению с РАО в крупногабаритных контейнерах в здании № 31 Ленинградского отделения филиала "Северо-западный территориальный округ «ФГУП «РосРАО»</t>
  </si>
  <si>
    <t>{054-000-691} Модернизация мобильного технологического  комплекса по фрагментации ТРО</t>
  </si>
  <si>
    <t>{054-000-692} Техническое перевооружение филиала в целях выполнения контрактов по САО</t>
  </si>
  <si>
    <t>{054-000-693} Создание в Ленинградском отделении легковозводимого хранилища для контейнерного хранения низкоактивных РАО</t>
  </si>
  <si>
    <t>{054-000-694} Перепрофилирование хранилищ ЖРО (емкости №5) в хранилища ТРО на ПХРО Новосибирского отделения филиала «Сибирский  территориальный округ»</t>
  </si>
  <si>
    <t>{054-000-695} Ultra - продажа доли в Uranium One Inc. стратегическому инвестору</t>
  </si>
  <si>
    <t>{054-000-696} Реконструкция здания 902 с расширением производства обедненного гексафторида урана</t>
  </si>
  <si>
    <t>{054-000-697} Концентрация разделительных производств ТК</t>
  </si>
  <si>
    <t>{054-000-698} Создание фабрикационного производства на ЗНС ЯТЦ</t>
  </si>
  <si>
    <t>{054-000-699} Создание производства наноструктурированного Мо-98</t>
  </si>
  <si>
    <t>{054-000-700} Создание производства источников тока на основе радиоизотопа Ni-63</t>
  </si>
  <si>
    <t>{054-000-701} Организация производства изотопа углерод-13 и продуктов на его основе</t>
  </si>
  <si>
    <t>{054-000-702} Модернизация блоков</t>
  </si>
  <si>
    <t>{054-000-703} Обновление технической базы современной компьютерной техникой  и оборудованием бесперебойного питания для производственной деятельности АО «ВПО «ЗАЭС»</t>
  </si>
  <si>
    <t>{054-000-704} Выкуп ПАО "МСЗ" у АО "ЧМЗ" 100% доли в уставном капитале ООО "ЭЛЕМАШ-СТП"</t>
  </si>
  <si>
    <t>{054-000-705} Поддержание административно-хозяйственной деятельности управляющей компании АО "ОТЭК"</t>
  </si>
  <si>
    <t>{054-000-706} Повышение эффективности разделительного производства АО "СХК"</t>
  </si>
  <si>
    <t>{054-000-707} Повышение эффективности разделительного производства АО "СХК"</t>
  </si>
  <si>
    <t>{054-000-708} Повышение эффективности конверсионного производства АО "СХК"</t>
  </si>
  <si>
    <t>{054-000-709} Энергоэффективность ТОУ-64, 65</t>
  </si>
  <si>
    <t>{054-000-710} Совершенствование производства фтора АО "СХК"</t>
  </si>
  <si>
    <t>{054-000-711} Разработка и сертификация транспортного упаковочного комплекта для перевозки низкообогащенных урансодержащих материалов всеми видами транспорта, включая воздушный</t>
  </si>
  <si>
    <t>{054-000-712} Восстановление кабельной сети 6 кВ АО "ВПО "Точмаш" фидер № 663, № 669 - ПС 220/110/6 кВ "Районная" (Волго-Окское ПМЭС ПАО "ФСК ЕЭС«)</t>
  </si>
  <si>
    <t>{054-000-713} Энергоэффективность. Модернизация системы пневмоснабжения предприятия</t>
  </si>
  <si>
    <t>{054-000-714} Модернизация автоматической пожарной сигнализации и системы оповещения и управления эвакуацией людей при пожаре</t>
  </si>
  <si>
    <t>{054-000-715} Модернизация наружных инженерных сетей производства и реконструкция внутриплощадочных дорог ЦКБМ-2</t>
  </si>
  <si>
    <t>{054-000-716} Создание опытно-промышленной установки производства электролита для литий-ионных аккумуляторов на основе гексафторфосфата лития мощностью 65 т/год</t>
  </si>
  <si>
    <t>{054-000-717} "Совершенствование и модернизация энергетического хозяйства и инженерных сетей ПАО "НЗХК"</t>
  </si>
  <si>
    <t>{054-000-718} Удаление</t>
  </si>
  <si>
    <t>{054-000-719} Формирование пула активов для целей реализации программы "Развитие новых бизнесов Дивизиона Uranium One Holding"</t>
  </si>
  <si>
    <t>{054-000-720} Энергосбережение и повышение энергоэффективности ПАО "НЗХК" 2017-2020гг.</t>
  </si>
  <si>
    <t>{054-000-721} Приобретение и ввод в эксплуатацию модульной установки по демеркуризации грунтов</t>
  </si>
  <si>
    <t>{054-000-722} Внедрение CFD-методов для поддержки проектирования и обоснования проектов РУ</t>
  </si>
  <si>
    <t>{054-000-723} Удаление</t>
  </si>
  <si>
    <t>{054-000-724} Постановка на производство ПЭЛ и ОР СУЗ с таблеточными (компактированными) наполнителями</t>
  </si>
  <si>
    <t>{054-000-725} Гепард-4</t>
  </si>
  <si>
    <t>{054-000-726} ОКБМ: Строительство цеха</t>
  </si>
  <si>
    <t>{054-000-727} Создание трехуровневой интегрированной системы формирования, размещения и контроля выполнения в сфере государственного оборонного заказа Дирекции по ядерному оружейному комплексу (КАМИЗ-Гамма)</t>
  </si>
  <si>
    <t>{054-000-728} Создание комплексов оборудования для разработки элементной базы квантового компьютера и для измерения состояний многокубитных систем</t>
  </si>
  <si>
    <t>{054-000-729} ЦФПИ, ФГУП «ВНИИА»</t>
  </si>
  <si>
    <t>{054-000-730} Разработка геофизической аппаратуры для ОАО "Росгеология"</t>
  </si>
  <si>
    <t>{054-000-731} Создание мобильной установки сухой сепарации загрязненных грунтов</t>
  </si>
  <si>
    <t>{054-000-732} Временный участок модульного типа для обращения с ТРО</t>
  </si>
  <si>
    <t>{054-000-733} Организация нового производства по очистке и дезактивации труб нефтегазового оборудования</t>
  </si>
  <si>
    <t>{054-000-734} Закупка самоходной тележки</t>
  </si>
  <si>
    <t>{054-000-735} Обеспечение условий и возможности выполнения доходного договора по Вводу в эксплуатацию Белорусской АЭС</t>
  </si>
  <si>
    <t>{054-000-736} Процессный центр ПНР</t>
  </si>
  <si>
    <t>{054-000-737} Испытательная лаборатория АСУ ТП</t>
  </si>
  <si>
    <t>{054-000-738} Разработка  SCADA системы для АСУ ТП АЭС</t>
  </si>
  <si>
    <t>{054-000-739} Жилое помещение для проживания обучающегося персонала АТЭ и зарубежных АЭС в г. Нововоронеж</t>
  </si>
  <si>
    <t>{054-000-740} Мультифункциональный тренажер для обучения</t>
  </si>
  <si>
    <t>{054-000-741} Обеспечение исполнения требований пожарной безопасности и установка систем безопасности объектов БАТЭ</t>
  </si>
  <si>
    <t>{054-000-742} Обеспечение условий и возможности выполнения доходного договора по Вводу в эксплуатацию АЭС Ханхикиви</t>
  </si>
  <si>
    <t>{054-000-743} Выполнение работ по увеличению мощности энергоснабжения здания Ленинградского отделения КАТЭ и установке освещения</t>
  </si>
  <si>
    <t>{054-000-744} Реализация мероприятий по антитеррористической защищенности объектов</t>
  </si>
  <si>
    <t>{054-000-745} Развитие СУОФ на ППГХО</t>
  </si>
  <si>
    <t>{054-000-746} Перемещение специальной пожарно-спасательной части на территорию предприятия ПАО «НЗХК».</t>
  </si>
  <si>
    <t>{054-000-747} Организация производства Co-60 на реакторах типа РБМК</t>
  </si>
  <si>
    <t>{054-000-748} Финансирование мероприятий для принятия решения о возобновлении активной стадии реализации проекта Балтийской АЭС</t>
  </si>
  <si>
    <t>{054-000-749} Закупка вилочного погрузчика грузоподъемностью 8 тонн</t>
  </si>
  <si>
    <t>{054-000-750} Ремонт кровли склада №10 обособленного подразделения База ОАО "В/О "Изотоп"</t>
  </si>
  <si>
    <t>{054-000-751} Ремонт технологического зала обособленного подразделения База ОАО «В/О «Изотоп»</t>
  </si>
  <si>
    <t>{054-000-752} Создание современного производства РФП и прочей изотопной продукции для ядерной медицины</t>
  </si>
  <si>
    <t>{054-000-753} Поддержание и развитие инфраструктуры АО "Изотоп"</t>
  </si>
  <si>
    <t>{054-000-754} Модернизация системы физической защиты (СФЗ) изотопного комплекса Базы ОАО «В/О «Изотоп»</t>
  </si>
  <si>
    <t>{054-000-755} Замена крана однобалочного и координатного подъемника горячей камеры обособленного подразделения База ОАО «В/О «Изотоп»</t>
  </si>
  <si>
    <t>{054-000-756} Закупка дозиметров-радиометров МКС-АТ1117М (1 компл.), МКС-АТ6130 (3 шт.)</t>
  </si>
  <si>
    <t>{054-000-757} Поддержание и развитие инфраструктуры АО "В/О "Изотоп"</t>
  </si>
  <si>
    <t>{054-000-758} Совершенствование материально-технической базы ФГУП "Атом-охрана" для обеспечения надежной защиты объектов организаций атомной отрасли</t>
  </si>
  <si>
    <t>{054-000-759} Замена крупнотоннажных автомобилей</t>
  </si>
  <si>
    <t>{054-000-760} Внедрение аппаратов РИФ-ПЕ</t>
  </si>
  <si>
    <t>{054-000-761} Обеспечение производственных и административных подразделений АО "ЗиО-Подольск" IT и копировально-множительной техникой</t>
  </si>
  <si>
    <t>{054-000-762} Исполнение предписаний надзорных органов в части соблюдение норм противопожарной защиты АО "ЗиО-Подольск"</t>
  </si>
  <si>
    <t>{054-000-763} Замена ограждающих конструкций стен и подкрановых балок блока цехов № №2,12 ПАО "ЗиО-Подольск"</t>
  </si>
  <si>
    <t>{054-000-764} Обеспечение бесперебойного энергоснабжения производственных процессов ПАО "ЗиО-Подольск"</t>
  </si>
  <si>
    <t>{054-000-765} Создание  аккредитованной испытательной лаборатории</t>
  </si>
  <si>
    <t>{054-000-766} Приобретение оборудования ЛВС и СЗИ, оргтехники взамен изношенного (МИЗИ оборудования) ПАО «НЗХК»</t>
  </si>
  <si>
    <t>{054-000-768} Приобретение офиса в Курской области</t>
  </si>
  <si>
    <t>{054-000-769} Модернизация автоматизированной системы учета и контроля ядерных материалов</t>
  </si>
  <si>
    <t>{054-000-770} Организация серийного производства алюминиевого проката и комплектующих</t>
  </si>
  <si>
    <t>{054-000-771} Разработка, изготовление  и сертификация транспортного упаковочного комплекта для перевозки ТВС ВВЭР-1000, ТВС ВВЭР-1200 и ТВС ВВЭР-ТОИ всеми видами транспорта, включая воздушный</t>
  </si>
  <si>
    <t>{054-000-772} Энергосбережение и повышение энергоэффективности на базе проведенного повторного энергетического обследования</t>
  </si>
  <si>
    <t>{054-000-773} Обновление основных фондов для поддержания основной деятельности</t>
  </si>
  <si>
    <t>{054-000-774} Создание участка изготовления имитационной зоны и комплектующих активной зоны реакторной установки "БРЕСТ-ОД-300"</t>
  </si>
  <si>
    <t>{054-000-775} Организация пунктов учета водных и тепловых ресурсов на ФГУП «ГХК»</t>
  </si>
  <si>
    <t>{054-000-776} Обоснование технико-экономических показателей энергоблока БН-1200 и анализ его конкурентоспособности для принятия решения о дальнейшем развитии проекта</t>
  </si>
  <si>
    <t>{054-000-777} Приобретение имущества общего и специального назначения для нужд АО "АтомЭнергоСбыт"</t>
  </si>
  <si>
    <t>{054-000-778} Закупка контейнера транспортно-перезарядного гамма-дефектоскопа  «Гаммарид 2010 Р»</t>
  </si>
  <si>
    <t>{054-000-779} Приобретение ИТ-имущества для нужд АО "АтомЭнергоСбыт"</t>
  </si>
  <si>
    <t>{054-000-782} Мероприятия по подготовке серверного помещения нового офиса к переезду АО "АтомЭнергоСбыт"</t>
  </si>
  <si>
    <t>{054-000-783} Приобретение офиса в Тверской области</t>
  </si>
  <si>
    <t>{054-000-785} Приобретение офисного помещения в городе Мурманске</t>
  </si>
  <si>
    <t>{054-000-786} Выход АО «АтомЭнергоСбыт» на рынки дополнительных продуктов B2B и B2C</t>
  </si>
  <si>
    <t>{054-000-787} Внедрение водородно-калиевого водно-химического режима первого контура в рамках проекта АЭС-2006</t>
  </si>
  <si>
    <t>{054-000-788} Создание системы мониторинга инженерных сооружений АЭС</t>
  </si>
  <si>
    <t>{054-000-789} Приобретение ИТ-оборудования для внедрения информационных систем Госкорпорации «Росатом»</t>
  </si>
  <si>
    <t>{054-000-791} Энергосбережение и повышение энергоэффективности</t>
  </si>
  <si>
    <t>{054-000-792} Создание производства гипертеплопроводящих секций (ГТПС) для систем управления (распределение и (или) вынос тепла)</t>
  </si>
  <si>
    <t>{054-000-793} Создание системы гамма – спектрометрического мониторинга</t>
  </si>
  <si>
    <t>{054-000-794} Разработка и модернизация графических библиотек и интегрирующих модулей теплогидравлических РК Кортес и Корсар</t>
  </si>
  <si>
    <t>{054-000-795} Организация производства окисно-никелевых электродов и никель-кадмиевых аккумуляторов</t>
  </si>
  <si>
    <t>{054-000-796} Освоение производства фильтрационного оборудования для ТЭК</t>
  </si>
  <si>
    <t>{054-000-797} Разработка и освоение производства масс-спектрометров  для изотопного анализа в твердой фазе</t>
  </si>
  <si>
    <t>{054-000-798} Организация в ООО «НПО «Центротех» "Центра Технологической Компетенции Полимерные Композиционные Материалы"</t>
  </si>
  <si>
    <t>{054-000-799} Развитие производства фильтров на основе порошковых технологий</t>
  </si>
  <si>
    <t>{054-000-801} Разработка и экспериментальное обоснование методики расчета железобетонных конструкций с внешней листовой арматурой, расположенных в герметичном объеме здания реактора, с учетом эксплуатационных, монтажных, пожарных, аварийных и сейсмических воздействий</t>
  </si>
  <si>
    <t>{054-000-802} Разработка программного обеспечения для расчета строительных конструкций с учетом динамических нагрузок для снижения консервативности расчетов</t>
  </si>
  <si>
    <t>{054-000-803} Конкурентный технологический анализ проектов ВВЭР-ТОИ, AP1000 и ESBWR</t>
  </si>
  <si>
    <t>{054-000-804} Разработка составов бетона и технологических регламентов бетонирования монолитных конструкций Курской АЭС-2 с использованием самоуплотняющихся бетонных смесей</t>
  </si>
  <si>
    <t>{054-000-805} Автоматическая сварка трубопроводов оборудованием производства Дивизиона</t>
  </si>
  <si>
    <t>{054-000-806} Разработка опытно-промышленной установки переработки ионообменных смол</t>
  </si>
  <si>
    <t>{054-000-807} Разработка технологических карт на изготовление и монтаж армоконструкций</t>
  </si>
  <si>
    <t>{054-000-808} Квалификация изделий для AECL, GNF/GE</t>
  </si>
  <si>
    <t>{054-000-809} Организация производства изделий из тяжёлого сплава на основе вольфрама</t>
  </si>
  <si>
    <t>{054-000-810} Выполнение отраслевых требований по информационной безопасности в АО "Атомэнергомаш"</t>
  </si>
  <si>
    <t>{054-000-811} Выполнение отраслевых требований по информационной безопасности в АО "АЭМ-Технологии"</t>
  </si>
  <si>
    <t>{054-000-813} Выполнение отраслевых требований по информационной безопасности в АО "СНИИП"</t>
  </si>
  <si>
    <t>{054-000-814} Удаление SD12023944</t>
  </si>
  <si>
    <t>{054-000-815} Разработка и поставка опреснительных  комплексов, интегрированных с АЭС</t>
  </si>
  <si>
    <t>{054-000-816} Продвижение услуг по переоснащению внутризаводского электротранспорта на системы накопления электроэнергии на литий-ионных аккумуляторах</t>
  </si>
  <si>
    <t>{054-000-817} Проект информационного оповещения АО "ЦКБМ"</t>
  </si>
  <si>
    <t>{054-000-818} Проект информационного оповещения АО "СНИИП"</t>
  </si>
  <si>
    <t>{054-000-819} Проект информационного оповещения АО "ИФТП"</t>
  </si>
  <si>
    <t>{054-000-820} Проект информационного оповещения ПАО "ЗиО-Подольск"</t>
  </si>
  <si>
    <t>{054-000-821} Проект информационного оповещения АО "ОКБ "Гидропресс"</t>
  </si>
  <si>
    <t>{054-000-822} Проект информационного оповещения АО "АЭМ-Технологии"</t>
  </si>
  <si>
    <t>{054-000-823} Проект информационного оповещения машиностроительного Дивизиона</t>
  </si>
  <si>
    <t>{054-000-824} Проект информационного оповещения ЗАО "АТМ"</t>
  </si>
  <si>
    <t>{054-000-825} Проект информационного оповещения ООО "Турбинные технологии ААЭМ"</t>
  </si>
  <si>
    <t>{054-000-826} Проект информационного оповещения АО "НПО "ЦНИИТМАШ"</t>
  </si>
  <si>
    <t>{054-000-827} Выполнение работ по информационной безопасности в части конфиденциальной печати и сканирования документов</t>
  </si>
  <si>
    <t>{054-000-829} Реконструкция СФЗ периметра объекта 980 ФГУП «ГХК»</t>
  </si>
  <si>
    <t>{054-000-830} ЗНС. Концентрация разделительных мощностей в АО «ПО ЭХЗ»/Концентрация РП/ Перемещение мощностей 2-й этап</t>
  </si>
  <si>
    <t>{054-000-831} Создание участка автоматизированного контроля и упаковки трубной продукции</t>
  </si>
  <si>
    <t>{054-000-832} Подготовка автономного источника  тока ТОТЭ ЭХГ-1500 для проведения приемочных испытаний в ПАО "Газпром" ("ЭХГ-ТОТЭ"1/2")</t>
  </si>
  <si>
    <t>{054-000-833} Формирование имущественного комплекса НПО</t>
  </si>
  <si>
    <t>{054-000-834} Автоматизация производства АО ЧМЗ</t>
  </si>
  <si>
    <t>{054-000-835} Реструктуризация имущественного комплекса АО ЧМЗ</t>
  </si>
  <si>
    <t>{054-000-837} Производственные фонды</t>
  </si>
  <si>
    <t>{054-000-838} Организация производства автономных комплексов водоподготовки контейнерного или  блочно-модульного типа</t>
  </si>
  <si>
    <t>{054-000-839} Разработка системного связного расчетного кода для поддержки проектирования и обоснования безопасности современных и инновационных проектов РУ</t>
  </si>
  <si>
    <t>{054-000-840} Приобретение АО ОКБ "ГИДРОПРЕСС" земельных участков, принадлежащих ПАО "ЗиО-Подольск"</t>
  </si>
  <si>
    <t>{054-000-841} Благоустройство территории земельного участка с элементами парковочных мест</t>
  </si>
  <si>
    <t>{054-000-842} Приобретение корпоративных мобильных устройств для АО ОКБ "ГИДРОПРЕСС"</t>
  </si>
  <si>
    <t>{054-000-843} Изготовление и приобретение защищенного абонентского пункта распределения системы электронной почты "Атлас" (изделие)</t>
  </si>
  <si>
    <t>{054-000-844} Модернизация стенда сейсмических и вибрационных испытаний ТВС</t>
  </si>
  <si>
    <t>{054-000-845} Модернизация службы качества Филиала АО «АЭМ-технологии» «Петрозаводскмаш» 2017</t>
  </si>
  <si>
    <t>{054-000-846} Обеспечение выполнения требований пожарной безопасности и охраны труда сотрудников Филиала АО «АЭМ-технологии» «Петрозаводскмаш»</t>
  </si>
  <si>
    <t>{054-000-847} Энергосбережение и повышение энергоэффективности среднеокупаемые (стратегический сценарий)</t>
  </si>
  <si>
    <t>{054-000-848} Повышение эффективности производства продукции для АЭС и нефтегазохимии</t>
  </si>
  <si>
    <t>{054-000-849} Создание платформы программно-технических средств СКУ РУ</t>
  </si>
  <si>
    <t>{054-000-851} Выполнение отраслевых требований по информационной безопасности в АО ОКБ "ГИДРОПРЕСС"</t>
  </si>
  <si>
    <t>{054-000-852} Модернизация службы качества филиала АО «АЭМ-технологии» «Атоммаш» в г. Волгодонск</t>
  </si>
  <si>
    <t>{054-000-853} Модернизация печи газовой камерной ВД-1Т инв. номер 421515 20  (2-44)</t>
  </si>
  <si>
    <t>{054-000-854} Приобретение роликоопорых стендов гп 200 т</t>
  </si>
  <si>
    <t>{054-000-855} Обеспечение безопасной эксплуатации Федерального хранилища делящихся материалов</t>
  </si>
  <si>
    <t>{054-000-856} Предотвращение возникновения негативных последствий, на производствах подгорной части предприятия в случае нарушения электроснабжения ФГУП «ГХК»</t>
  </si>
  <si>
    <t>{054-000-857} Совершенствование конструкции серийной ГЦ 9+</t>
  </si>
  <si>
    <t>{054-000-858} Реконструкция и модернизация имущественного комплекса АО "СНИИП" (3 этап)</t>
  </si>
  <si>
    <t>{054-000-859} Модернизация станка вертикально-расточного ВД-10 V2500SN FOREST, инв.№4102278 20</t>
  </si>
  <si>
    <t>{054-000-860} Модернизация токарно-карусельного станка с преднабором модели SD600/6500 инвентарный №451178 20</t>
  </si>
  <si>
    <t>{054-000-861} Приобретение горизонтально-расточного станка с ЧПУ</t>
  </si>
  <si>
    <t>{054-000-862} Модернизация горизонтально-расточного станка FA C221 ВД 69-3 (поз. 81-7), инв. № 451522</t>
  </si>
  <si>
    <t>{054-000-863} Приобретение плоскошлифовального станка</t>
  </si>
  <si>
    <t>{054-000-864} Поддержание, развитие энергетических мощностей и повышение энергетической эффективности филиала АО "АЭМ-технологии" "Петрозаводскмаш"</t>
  </si>
  <si>
    <t>{054-000-865} Механизация строительной площадки в Венгрии (АЭС "Пакш II") для выполнения СМР</t>
  </si>
  <si>
    <t>{054-000-866} Развитие беспроводной сети связи (Wi-Fi)</t>
  </si>
  <si>
    <t>{054-000-867} Развитие системы мониторинга производственного оборудования (СМПО)</t>
  </si>
  <si>
    <t>{054-000-868} Обеспечение (восстановление) лицензионной чистоты корпоративного программного обеспечения</t>
  </si>
  <si>
    <t>{054-000-869} Реконструкция верхнего освещения в корпусе №1 на участках с круглосуточным режимом работы производства</t>
  </si>
  <si>
    <t>{054-000-870} Механизация строительной площадки в Бангладеш (АЭС Руппур) для выполнения СМР основного периода сооружения</t>
  </si>
  <si>
    <t>{054-000-871} Освоение производства механически обработанного корпуса из высокопрочного чугуна с шаровидным графитом контейнера для обращения с ОЯТ и РАО</t>
  </si>
  <si>
    <t>{054-000-872} Поддержание и развитие производственных мощностей филиала АО «АЭМ-технологии» «Петрозаводскмаш»</t>
  </si>
  <si>
    <t>{054-000-873} Создание системы цифровой радиосвязи АО "ВНИИНМ"</t>
  </si>
  <si>
    <t>{054-000-874} Расширение технологических возможностей производственной базы АО "СНИИП"</t>
  </si>
  <si>
    <t>{054-000-875} Создание установки переработки жидких радиоактивных отходов</t>
  </si>
  <si>
    <t>{054-000-876} Удаление  по SD09047599</t>
  </si>
  <si>
    <t>{054-000-877} Модернизация активной зоны реактора СМ-3</t>
  </si>
  <si>
    <t>{054-000-878} Аддитивные технологии</t>
  </si>
  <si>
    <t>{054-000-879} Создание на площадке АО "ИРМ" производства источниковна основе Ir-192,радиофармацевтического прекурсора трихлорид Lu-177</t>
  </si>
  <si>
    <t>{054-000-880} Создание производства импульсных ламп накачки (ИЛН) для мощных широкоапертурных лазерных усилителей</t>
  </si>
  <si>
    <t>{054-000-881} Центр перспективных исследований</t>
  </si>
  <si>
    <t>{054-000-882} Создание единого Центра отвественности - Компания " Росатом-Здравоохранение"</t>
  </si>
  <si>
    <t>{054-000-883} Создание МЦО в Индии</t>
  </si>
  <si>
    <t>{054-000-884} Сопровождение создания ОДЭК и ввода в эксплуатацию МФР</t>
  </si>
  <si>
    <t>{054-000-885} Развитие опытно-промышленного участка по выпуску оборудования для информационного сопровождения скважин при наклонно-направленном и горизонтальном бурении (Телеметрия)</t>
  </si>
  <si>
    <t>{054-000-886} Патентование/регистрация результатов интеллектуальной деятельности АО "АТОМПРОЕКТ"</t>
  </si>
  <si>
    <t>{054-000-887} Обеспечение безопасности подразделений АО "АтомЭнергоСбыт"</t>
  </si>
  <si>
    <t>{054-000-888} Удаление</t>
  </si>
  <si>
    <t>{054-000-889} Удаление</t>
  </si>
  <si>
    <t>{054-000-891} Развитие ИТ-инфраструктуры АО «Промышленные инновации»</t>
  </si>
  <si>
    <t>{054-000-892} Внедрение базового функционала MES</t>
  </si>
  <si>
    <t>{054-000-893} Утверждение финансирования и показателей Проекта «Внедрение лабораторной информационной системы в АО «СХК»</t>
  </si>
  <si>
    <t>{054-000-894} Внедрение лабораторной информационной системы в ОА «СХК»</t>
  </si>
  <si>
    <t>{054-000-895} Удаление</t>
  </si>
  <si>
    <t>{054-000-896} Удаление</t>
  </si>
  <si>
    <t>{054-000-897} Удаление</t>
  </si>
  <si>
    <t>{054-000-898} Разработка конструкции и технологии изготовления перспективных сверхпроводящих проводов для проекта FCC, устройст физики высоких энергий и других применений</t>
  </si>
  <si>
    <t>{054-000-899} Разработка комплекса конструкций и технологии изготовления сверхпроводников на основе диборида магния для различных применений</t>
  </si>
  <si>
    <t>{054-000-900} Разработка конструкции и технологии изготовления перспективного сверхпроводящего провода для Термоядерного источника нейтронов (ТИН)</t>
  </si>
  <si>
    <t>{054-000-901} Обновление парка транспортных средств АО "Альянстрансатом"</t>
  </si>
  <si>
    <t>{054-000-902} Выкуп транспортных средств из лизинга</t>
  </si>
  <si>
    <t>{054-000-903} Программа создания современного производства РФП и прочей изотопной продукции для ядерной медицины - 2-я очередь (производство GMP РФП)</t>
  </si>
  <si>
    <t>{054-000-904} Программа создания производства источников и организации облучения на АЭС Со-60</t>
  </si>
  <si>
    <t>{054-000-905} Программа увеличения производственных мощностей Мо-99 (конверсия, НОУ, GMP)</t>
  </si>
  <si>
    <t>{054-000-906} Удаление</t>
  </si>
  <si>
    <t>{054-000-907} Организация производства ГЦ-11 в ПАО «КМЗ»</t>
  </si>
  <si>
    <t>{054-000-908} Материаловедческое обоснование применения аддитивных технологий для производства ответственных изделий</t>
  </si>
  <si>
    <t>{054-000-909} Проект «Программа АСММ в Северной Америке»</t>
  </si>
  <si>
    <t>{054-000-910} Проект «Программа АСММ на период 2016-2017 годов и на перспективу до 2030 года»</t>
  </si>
  <si>
    <t>{054-000-911} Разработка технологии производства ПАН прекурсора для УВ с прочностью не менее 5,5 ГПА</t>
  </si>
  <si>
    <t>{054-000-912} Модернизация стендовой установки</t>
  </si>
  <si>
    <t>{054-000-913} ИТ-Инфраструктура</t>
  </si>
  <si>
    <t>{054-000-914} Обеспечение стабильности производственной деятельности ООО «Алабуга-Волокно»</t>
  </si>
  <si>
    <t>{054-000-915} Производственное и лабораторное оборудование 2016-2019гг.</t>
  </si>
  <si>
    <t>{054-000-916} Разработка интегрированных систем кодов нового поколения для разработки и обоснования безопасности ядерных реакторов, проектирования АЭС, создания технологий и объектов ЯТЦ</t>
  </si>
  <si>
    <t>{054-000-917} Разработка технологии и оборудования для фабрикации и рефабрикации плотного смешанного уран-плутониевого топлива реакторов на быстрых нейтронах</t>
  </si>
  <si>
    <t>{054-000-918} Разработка экспериментальных ТВЭЛов и ТВС на основе плотного смешанного уран-плутониевого топлива для реакторов на быстрых нейтронах</t>
  </si>
  <si>
    <t>{054-000-919} Разработка перспективных конструкционных материалов для реакторов на быстрых нейтронах</t>
  </si>
  <si>
    <t>{054-000-920} Разработка технологии и оборудования для переработки ОЯТ реакторов на быстрых нейтронах</t>
  </si>
  <si>
    <t>{054-000-921} Расчётно-экспериментальное обоснование радиационно-эквивалентного удаления РАО ПЯТЦ, разработка обеспечивающих технологий и оборудования</t>
  </si>
  <si>
    <t>{054-000-922} Разработка и обоснование технологических и проектно-конструкторских решений, касающихся гидрометаллургических переделов для пристанционного блока по переработке ОЯТ, фабрикации и рефабрикации плотного топлива, а также централизованного завода по переработке ОЯТ реакторов на быстрых нейтронах</t>
  </si>
  <si>
    <t>{054-000-923} Создание участка изготовления имитационной зоны и комплектующих активной зоны РУ «БРЕСТ-ОД-300»</t>
  </si>
  <si>
    <t>{054-000-924} Автоматизация производства АО ЧМЗ</t>
  </si>
  <si>
    <t>{054-000-925} Закупка сертифицированного транспортного упаковочного комплекта для перевозки фтордезоксиглюкозы</t>
  </si>
  <si>
    <t>{054-000-926} Выход на глобальный рынок логистических услуг</t>
  </si>
  <si>
    <t>{054-000-927} Удаление</t>
  </si>
  <si>
    <t>{054-000-928} Разработка АСУ ОДЭК</t>
  </si>
  <si>
    <t>{054-000-929} Создание учебно-тренировочного и информационного центра АО «СХК»</t>
  </si>
  <si>
    <t>{054-000-930} Проведение научно-исследовательских и опытно-конструкторских работ для создания реактора на быстрых нейтронах со свинцовым теплоносителем</t>
  </si>
  <si>
    <t>{054-000-931} Создание экспериментального комплекса для испытаний вибрационной модели парогенератора РУ БРЕСТ-ОД-300</t>
  </si>
  <si>
    <t>{054-000-932} Создание стендовой базы для проведения испытаний ГЦНА реакторной установки БРЕСТ-ОД-300</t>
  </si>
  <si>
    <t>{054-000-933} Создание учебно-тренировочного и информационного центра АО «СХК»</t>
  </si>
  <si>
    <t>{054-000-936} Создание участка по обработке заготовок для изготовления эндопротезов</t>
  </si>
  <si>
    <t>{054-000-937} Создание индустриального парка "Нижние котлы"</t>
  </si>
  <si>
    <t>{054-000-938} Реконструкция центрального теплового пункта №0320/001 и внутренних систем теплопотребления зданий АО "ВНИИНМ", консервация котельной АО "ВНИИНМ"</t>
  </si>
  <si>
    <t>{054-000-939} Организация серийного производства ГЦ 11-го поколения</t>
  </si>
  <si>
    <t>{054-000-940} Терминальный сервер</t>
  </si>
  <si>
    <t>{054-000-941} Тестовая запись</t>
  </si>
  <si>
    <t>{054-000-942} Отечественный многофункциональный пакет программ инженерного анализа и суперкомпьютерного моделирования для высокотехнологичных отраслей промышленности</t>
  </si>
  <si>
    <t>{054-000-943} Реконструкция, расширение и техническое перевооружение разделительного производства</t>
  </si>
  <si>
    <t>{054-000-944} Создание опытно-промышленной установки для производства порошков металлических сплавов методом газового распыления расплавов</t>
  </si>
  <si>
    <t>{054-000-945} Внедрение системы PDM управления проектными данными АО "ГСПИ"</t>
  </si>
  <si>
    <t>{054-000-946} Строительство ВЭС 660 МВт и завода ВЭУ</t>
  </si>
  <si>
    <t>{054-000-947} 123</t>
  </si>
  <si>
    <t>{054-000-948} Приобретение корпоративных мобильных устройств для АО «НПО «ЦНИИТМАШ»</t>
  </si>
  <si>
    <t>{054-000-949} Модернизация и техническое перевооружение  опытно-испытательного участка  ИНМИМ  АО «НПО «ЦНИИТМАШ»</t>
  </si>
  <si>
    <t>{054-000-950} Модернизация производственного участка по наработке Мо-99 с целью обеспечения стабильных отгрузок</t>
  </si>
  <si>
    <t>{054-000-951} Организация переработки электронного лома на ОХТЗ АО «ВНИИХТ</t>
  </si>
  <si>
    <t>{054-000-952} Штамп</t>
  </si>
  <si>
    <t>{054-000-953} Перенос оборудования АО "НИИграфит"</t>
  </si>
  <si>
    <t>{054-000-954} Комплексная правовая охрана технологий АЭС с РУ ВВЭР-1200, АЭС с РУ ВВЭР –ТОИ, АЭС с РУ БН, ПАТЭС, АЭС СМ (ВВЭР-600, ВБР, ВВЭР-640), АС ММ и ЖЦ АЭС</t>
  </si>
  <si>
    <t>{054-000-955} Rusatom-Greenway - Создание оборудования для переработки отходов I-V классов опасности</t>
  </si>
  <si>
    <t>{054-000-956} Приобретение корпоративных мобильных устройств</t>
  </si>
  <si>
    <t>{054-000-958} Разработка портативных спектрометров на основе HPGe с микрокриогенным охлаждением и CdZnTe</t>
  </si>
  <si>
    <t>{054-000-959} Приобретение установки для аргонодуговой наплавки оборудования АЭУ</t>
  </si>
  <si>
    <t>{054-000-960} Приобретение корпоративных мобильных устройств для АО "Атомэнергомаш"</t>
  </si>
  <si>
    <t>{054-000-961} Исполнение государственных услуг и контрольно-надзорных функций в электронном виде</t>
  </si>
  <si>
    <t>{054-000-962} Разработка технологии реконверсии ОГФУ для целей конверсионного производства</t>
  </si>
  <si>
    <t>{054-000-963} Технология контроля оборота товаров (древесина)</t>
  </si>
  <si>
    <t>{054-000-964} Горизонт</t>
  </si>
  <si>
    <t>{054-000-965} Реализация технических мер защиты корпоративной информации при взаимодействии с Интернет</t>
  </si>
  <si>
    <t>{054-000-966} ЛОГОС</t>
  </si>
  <si>
    <t>{054-000-967} Проект «Цифровой продукт ЛОГОС»</t>
  </si>
  <si>
    <t>{054-000-968} Замена весов электронных портативных</t>
  </si>
  <si>
    <t>{054-000-969} Павильон атомной энергии на ВДНХ</t>
  </si>
  <si>
    <t>{054-000-970} Сооружение АЭС «Ханхикиви-1» в Финляндии</t>
  </si>
  <si>
    <t>{054-000-971} Обновление основных фондов для поддержания основной деятельности АО «КОНСИСТ-ОС»</t>
  </si>
  <si>
    <t>{054-000-972} Программно-аппаратная платформа S3 для систем контроля и управления важных для безопасности АЭС</t>
  </si>
  <si>
    <t>{054-000-973} Разработка технологии производства титановых порошков для гранульной металлургии</t>
  </si>
  <si>
    <t>{054-000-974} Разработка технологии производства пластиковых порошков для 3D-печати</t>
  </si>
  <si>
    <t>{054-000-981} Создание опытно-промышленной установки производства гамма-бутиролактона (ГБЛ) мощностью 15 тонн/год</t>
  </si>
  <si>
    <t>{054-000-982} Создание многофункционального мобильного лазерного технологического комплекса с целью оказания широкого спектра коммерческих услуг</t>
  </si>
  <si>
    <t>{054-000-983} ОКР "Композит"</t>
  </si>
  <si>
    <t>{054-000-984} Изучение лучших практик системы управления качеством в цикле МТО</t>
  </si>
  <si>
    <t>{054-000-985} Создание производства гидроксида лития</t>
  </si>
  <si>
    <t>{054-000-986} Разработка эффективной технологии реконверсии обедненного гексафторида урана</t>
  </si>
  <si>
    <t>{054-000-987} Создание производства топлива для исследовательских реакторов в ПАО "МСЗ"</t>
  </si>
  <si>
    <t>{054-000-988} Техническое перевооружение лифтового хозяйства объекта "МБ"</t>
  </si>
  <si>
    <t>{054-000-989} Резерв БУИ</t>
  </si>
  <si>
    <t>{054-000-990} Проект создания компании-трейдера в г.Цуг (Швейцария) для ведения торговых операций на зарубежном рынке природного урана</t>
  </si>
  <si>
    <t>{054-000-991} ОКР "Восток"</t>
  </si>
  <si>
    <t>{054-000-992} Расширение производства бестигельного зонного монокристаллического кремния, с использованием нейтронного легирования</t>
  </si>
  <si>
    <t>{054-000-993} Обеспечение электроснабжения площадки "700"</t>
  </si>
  <si>
    <t>{054-000-994} Корректировка технического проекта реакторной установки для объекта ***</t>
  </si>
  <si>
    <t>{054-000-995} Создание участка сушки в главном корпусе площадки основного производства АО «Хиагда»</t>
  </si>
  <si>
    <t>{054-000-996} Логистический провайдер</t>
  </si>
  <si>
    <t>{054-000-997} Механизация площадки сооружения энергоблока № 2 Курской АЭС-2 для выполнения СМР</t>
  </si>
  <si>
    <t>{054-000-998} Реконструкция станции технического обслуживания</t>
  </si>
  <si>
    <t>{054-000-999} Модернизация и реконструкция системы физической защиты АО «СПб «ИЗОТОП»</t>
  </si>
  <si>
    <t>{054-001-000} Производство Со-60 с удельной активностью 300 Ки/г для ядерной медицины и промышленности</t>
  </si>
  <si>
    <t>{054-001-001} Об обязательном выкупе АО «ВНИИНМ» акций ЗАО «НП-Атом» у АО «РОСНАНО» и ЗАО «Плакарт»</t>
  </si>
  <si>
    <t>{054-001-002} Создание производственной площадки АО «НПК «Дедал» в особой экономической зоне (ОЭЗ) «Дубна»</t>
  </si>
  <si>
    <t>{054-001-003} ГосСОПКА СиТ</t>
  </si>
  <si>
    <t>{054-001-004} Создание завода по плазменно-пиролизной переработке осадка ила сточных вод</t>
  </si>
  <si>
    <t>{054-001-007} Организация производства древесно-наполненных полимерных композиционных материалов</t>
  </si>
  <si>
    <t>{054-001-008} Организация производства антифрикционных вкладышей эндопротезов</t>
  </si>
  <si>
    <t>{054-001-009} Закрепление грунтов</t>
  </si>
  <si>
    <t>{054-001-010} Приобретение акций ОТЭК для передачи имущества ТЭЦ (ВГО)</t>
  </si>
  <si>
    <t>{054-001-011} Внедрение автоматизированной системы управления техническим обслуживанием и ремонтом оборудования на платформе 1С в управляющей компании и на пилотной площадке «Новоуральская ТЭЦ»</t>
  </si>
  <si>
    <t>{054-001-012} Закупка средства защиты информации (межсетевого экрана)</t>
  </si>
  <si>
    <t>{054-001-013} Совершенствование материально-технической базы ФГУП «Атом-охрана» в части обеспечения производственными площадями, замены выслуживших сроки эксплуатации автотранспорта, автоматизированных рабочих мест и других основных средств в 2016 году.</t>
  </si>
  <si>
    <t>{054-001-014} Создание производства компактных циклотронов с локальной защитой</t>
  </si>
  <si>
    <t>{054-001-015} Концентрация производств</t>
  </si>
  <si>
    <t>{054-001-016} Удаление по SD09047599</t>
  </si>
  <si>
    <t>{054-001-017} Удаление по SD09047599</t>
  </si>
  <si>
    <t>{054-001-018} Удаление по SD09047599</t>
  </si>
  <si>
    <t>{054-001-020} Удаление по SD09047599</t>
  </si>
  <si>
    <t>{054-001-021} Переезд модельного цеха в здание механосборочного производства филиала АО «АЭМ-технологии» «Петрозаводскмаш»</t>
  </si>
  <si>
    <t>{054-001-022} Удаление SD10438411</t>
  </si>
  <si>
    <t>{054-001-023} Модернизация обнаружителя взрывчатых веществ "Шельф-ТИ-М"</t>
  </si>
  <si>
    <t>{054-001-024} Приобретение системы дожига пиролизных газов от установок АГАТ-3,2</t>
  </si>
  <si>
    <t>{054-001-025} Расширение технологической базы АО «НИИП» для выполнения работ по тестированию электронных компонентов</t>
  </si>
  <si>
    <t>{054-001-026} Неотделимые улучшения строения 61 имущественного комплекса АО «МЗП»</t>
  </si>
  <si>
    <t>{054-001-027} Сертификационный центр в области пожарной безопасности</t>
  </si>
  <si>
    <t>{054-001-028} Выкуп акций у миноритарных акционеров ПАО «ЗиО-Подольск»</t>
  </si>
  <si>
    <t>{054-001-029} Оборудование офисного пространства для вновь созданной отраслевой организации (ЦФО-2 "Интегратор")</t>
  </si>
  <si>
    <t>{054-001-030} Оборудование офисного пространства для вновь созданной отраслевой организации (ЦФО-2 "Интегратор")</t>
  </si>
  <si>
    <t>{054-001-031} Удаление SD10256703</t>
  </si>
  <si>
    <t>{054-001-033} Модернизация инженерных систем и вспомогательных производств промышленной площадки ИХЗ</t>
  </si>
  <si>
    <t>{054-001-034} Создание опытно-промышленной установки по производству углеродных сорбентов для разделения и очистки газов</t>
  </si>
  <si>
    <t>{054-001-035} Развитие энерготрейдинга на зарубежных рынках</t>
  </si>
  <si>
    <t>{054-001-036} Удаление SD11017988</t>
  </si>
  <si>
    <t>{054-001-037} Приобретение в собственность административного здания с земельным участком, расположенных по адресу:  347360, Ростовская область, г. Волгодонск, Жуковское шоссе, 8</t>
  </si>
  <si>
    <t>{054-001-038} Организация производства танталовой продукции в АО ЧМЗ</t>
  </si>
  <si>
    <t>{054-001-039} Формирования пакета акций АО «Атомэнерго» в собственности отраслевых организаций ГК «Росатом»</t>
  </si>
  <si>
    <t>{054-001-040} Создание предприятия ООО "РадонИТ"</t>
  </si>
  <si>
    <t>{054-001-041} Создание фармацевтического предприятия по производству биотехнологических лекарственных препаратов</t>
  </si>
  <si>
    <t>{054-001-042} Финансирование деятельности в области бэк-энд в 2016 г.</t>
  </si>
  <si>
    <t>{054-001-043} Создание в ПАО «НЗХК» Центра компетенций по разработке и производству литиевых химических источников тока</t>
  </si>
  <si>
    <t>{054-001-044} Организация производства твердотельных модульных систем ВЧ питания для электротехнического оборудования на площадке АО «НИИТФА»</t>
  </si>
  <si>
    <t>{054-001-045} Релокация научных, инженерных и конструкторских активов</t>
  </si>
  <si>
    <t>{054-001-046} Модернизация инфраструктуры и инженерных сетей в комплексе зданий 100, 1, 1А</t>
  </si>
  <si>
    <t>{054-001-047} Резерв на затратные проекты</t>
  </si>
  <si>
    <t>{054-001-048} Разработка обеспечивающего оборудования для модернизации блоков ГЦ</t>
  </si>
  <si>
    <t>{054-001-049} Приобретение и монтаж сборно-разборного укрытия ангарного типа (Склад) для хранения запасов ПАН и УВ</t>
  </si>
  <si>
    <t>{054-001-050} Выкуп земельного участка</t>
  </si>
  <si>
    <t>{054-001-051} Разработка концепции объединения АО «ВПО Точмаш» и ПАО «КМЗ»</t>
  </si>
  <si>
    <t>{054-001-052} Создание промышленного производства наноразмерного композиционного катодного материала для литий-ионных аккумуляторов на основе литий оксид кобальта</t>
  </si>
  <si>
    <t>{054-001-053} Создание аккредитованной испытательной лаборатории</t>
  </si>
  <si>
    <t>{054-001-054} Форсайт ГК "Росатом"</t>
  </si>
  <si>
    <t>{054-001-055} Создание производства силанольного полиэтиленового компаунда</t>
  </si>
  <si>
    <t>{054-001-057} Модернизация инфраструктуры зданий АО "СвердНИИхиммаш"</t>
  </si>
  <si>
    <t>{054-001-058} Замена измерительного оборудования, используемого при испытаниях продукции и калибровки средств измерений</t>
  </si>
  <si>
    <t>{054-001-059} Обновление ИТ - инфраструктуры АО "СвердНИИхиммаш"</t>
  </si>
  <si>
    <t>{054-001-060} Финансирование деятельности в области ВЭ ЯРОО на зарубежных рынках в 2017-2019 гг.</t>
  </si>
  <si>
    <t>{054-001-061} Релокация АО «НИФХИ им. Л.Я. Карпова» на площадку АО «ВНИИХТ»</t>
  </si>
  <si>
    <t>{054-001-062} Создание производства диоксида кремния</t>
  </si>
  <si>
    <t>{054-001-063} Приобретение акций ОТЭК для передачи имущества ТЭЦ (ВГО)</t>
  </si>
  <si>
    <t>{054-001-064} Докапитализация АО "КРКАС"</t>
  </si>
  <si>
    <t>{054-001-065} Программа по внедрению отраслевой системы комплексного управления стоимостью и сроками (TCM NC)</t>
  </si>
  <si>
    <t>{054-001-066} Резерв ЭЭ</t>
  </si>
  <si>
    <t>{054-001-067} Резерв на затратные проекты Дивизиона ЗСЖЦ</t>
  </si>
  <si>
    <t>{054-001-068} Создание совместного предприятия по производству карбида кремния и микропорошков на его основе</t>
  </si>
  <si>
    <t>{054-001-069} Развитие урановых активов в США</t>
  </si>
  <si>
    <t>{054-001-070} Резерв портфеля ЦФО-2 «Инжиниринг и сооружение»</t>
  </si>
  <si>
    <t>{054-001-071} Развитие ИТ-инфраструктуры и защита информации ВНИИНМ</t>
  </si>
  <si>
    <t>{054-001-072} Создание информационной системы управления экспериментальными и инженерными данными ВНИИНМ</t>
  </si>
  <si>
    <t>{054-001-073} Организация производства Мо-99 НИИАР в соответствии с требованиями GMP</t>
  </si>
  <si>
    <t>{054-001-074} Резерв</t>
  </si>
  <si>
    <t>{054-001-075} Имитационная зона</t>
  </si>
  <si>
    <t>{054-001-076} Приобретение машин и оборудования</t>
  </si>
  <si>
    <t>{054-001-077} Обеспечение поддерживающих функций</t>
  </si>
  <si>
    <t>{054-001-078} Разработка концепции проекта организации производства РФП НИФХИ в соответствии с требованиями GMP</t>
  </si>
  <si>
    <t>{054-001-079} Техническая карточка (учет лимита на затратные проекты)</t>
  </si>
  <si>
    <t>{054-001-080} Создание совместного предприятия по оказанию нефтесервисных услуг</t>
  </si>
  <si>
    <t>{054-001-082} Приобретение акций ОТЭК для передачи имущества ТЭЦ (ВГО)</t>
  </si>
  <si>
    <t>{054-001-083} Монтаж автоматической пожарной сигнализации и системы оповещения о пожаре в корпусах №9,17,18 в АО "НПО "ЦНИИТМАШ"</t>
  </si>
  <si>
    <t>{054-001-084} Отработка технологии термической денитрации сырья марки РТ (Плав "Б")</t>
  </si>
  <si>
    <t>{054-001-086} Разработка исходных данных для создания производства оксида молибдена на АО ЧМЗ</t>
  </si>
  <si>
    <t>{054-001-087} Локализация производства комплектующих в АО ЧМЗ</t>
  </si>
  <si>
    <t>{054-001-089} Резерв Портфеля проектов U1H</t>
  </si>
  <si>
    <t>{054-001-090} Замена устаревшего серверного оборудования (КИС, IT-инфраструктуры) АО «МЗП»</t>
  </si>
  <si>
    <t>{054-001-091} НИОКР: «Квалификация материалов и наплавки корпуса ГЦНА из стали 10ГН2МФА»</t>
  </si>
  <si>
    <t>{054-001-092} Организация производства алюминиевого проката в АО ЧМЗ</t>
  </si>
  <si>
    <t>{054-001-093} Строительство ВЭС 360 МВт</t>
  </si>
  <si>
    <t>{054-001-094} Проведение маркетинговых исследований и предпроектных работ по проекту "ДПК"</t>
  </si>
  <si>
    <t>{054-001-095} Разработка Методики применения индикаторов экологической эффективности для организаций атомной отрасли и Методики внедрения новой системы нормирования в области охраны окружающей среды</t>
  </si>
  <si>
    <t>{054-001-096} Реализация изменений законодательства РФ об АО и ООО (343-ФЗ) в системе БКУ ГК</t>
  </si>
  <si>
    <t>{054-001-097} Формирование Единой отраслевой системы классификации и кодирования</t>
  </si>
  <si>
    <t>{054-001-098} Пилотный проект по реализации интеллектуального поиска и анализа данных по документам</t>
  </si>
  <si>
    <t>{054-001-099} Монтаж системы водоподготовки и подачи воды на подпитку теплосети и горячее водоснабжение</t>
  </si>
  <si>
    <t>{054-001-100} Создание Международного Центра Исследований (МЦИ) на базе создаваемой в РФ атомной инфраструктуры</t>
  </si>
  <si>
    <t>{054-001-101} Создание отраслевой информационной системы по развитию новых направлений бизнеса "Новые бизнесы атомной отрасли"</t>
  </si>
  <si>
    <t>{054-001-102} Создание производства карбоната лития на базе руд Завитинского месторождения (Литий)</t>
  </si>
  <si>
    <t>{054-001-103} Производство горелочных устройств</t>
  </si>
  <si>
    <t>{054-001-104} Производство пластин к теплообменному оборудованию</t>
  </si>
  <si>
    <t>{054-001-105} Генерация и сбыт тепловой энергии</t>
  </si>
  <si>
    <t>{054-001-106} Реализация практических договоренностей между МАГАТЭ и Госкорпорацией "Росатом" по сотрудничеству в области радиационной безопасности</t>
  </si>
  <si>
    <t>{054-001-109} Разработка прототипа ИС ОУ</t>
  </si>
  <si>
    <t>{054-001-110} СОздание подсистемы по учету ОЯТ в составе СГУК ЯМ</t>
  </si>
  <si>
    <t>{054-001-111} Изготовление и испытания опытного образца компонента ГЦТ («колено») в АО «АЭМ-Технологии»</t>
  </si>
  <si>
    <t>{054-001-112} Проведение комплексной экспертизы, определение стоимости и моделирование вариантов расчета отложенной цены для сделки по приобретению долей в ООО «Генераторные системы»</t>
  </si>
  <si>
    <t>{054-001-113} Устройство декоративного освещения фасадов зданий заводоуправления</t>
  </si>
  <si>
    <t>{054-001-114} Создание автоматизированной информационной системы АИС "Экспертиза проектов"</t>
  </si>
  <si>
    <t>{054-001-115} Фронт-офиса «Открытые инновации» Госкорпорации «Росатом» в «Технопарке» инновационного центра «Сколково»</t>
  </si>
  <si>
    <t>{054-001-117} Каскадирование проекта Карьера и преемственность – все сотрудники</t>
  </si>
  <si>
    <t>{054-001-118} Совершенствование технологической схемы получения ГФУ марок «Н» и «РТ», «РС» из различных видов сырья</t>
  </si>
  <si>
    <t>{054-001-119} Удаление SD10070430</t>
  </si>
  <si>
    <t>{054-001-120} Совершенствование узла финальной очистки аммиачно-нитратных маточных растворов</t>
  </si>
  <si>
    <t>{054-001-124} Вывод из эксплуатации радиационных источников АО "НИКИМТ-Атомстрой"</t>
  </si>
  <si>
    <t>{054-001-125} Новый завод по производству ГЦ</t>
  </si>
  <si>
    <t>{054-001-126} Реализация требований законодательства по подготовке межстрановой отчетности (CBCR) в Российской Федерации</t>
  </si>
  <si>
    <t>{054-001-127} Создание центра высокоточной техники и лазеров, выпуска сверх малогабаритного квантового стандарта частоты и времени (Малых атомных часов)</t>
  </si>
  <si>
    <t>{054-001-128} Развитие инфраструктуры для корпоративных систем</t>
  </si>
  <si>
    <t>{054-001-129} Наращивание функциональности информационной системы управления ИТ-активами</t>
  </si>
  <si>
    <t>{054-001-130} Переход на новую платформу консолидации "1С:Управление холдингом" РСПиБ</t>
  </si>
  <si>
    <t>{054-001-131} Тиражирование автоматизированной системы расчета полной сквозной себестоимости</t>
  </si>
  <si>
    <t>{054-001-132} Тестовая запись проекта №2.</t>
  </si>
  <si>
    <t>{054-001-133} Международное сотрудничество в сфере ядерного образования</t>
  </si>
  <si>
    <t>{054-001-134} Проведение однодневного расширенного семинара руководства ГК "Росатом" в рамках проекта "Горизонт"</t>
  </si>
  <si>
    <t>{054-001-135} Разработка, запуск и сопровождение отраслевой программы развития «Новые продукты Росатома» (направления «Бизнес-мастерская» и «Экономика конструирования»)</t>
  </si>
  <si>
    <t>{054-001-136} Устранение нарушений законодательства в области пожарной безопасности в здании АО «Атомэнергоремонт» в г.о. Мытищи</t>
  </si>
  <si>
    <t>{054-001-137} Тестовая запись проекта №1_</t>
  </si>
  <si>
    <t>{054-001-138} Модернизация, компактизация   производства  по синтезу ЛВСМ для выполнения ГОЗ в ПАО «НЗХК»</t>
  </si>
  <si>
    <t>{054-001-139} Насосное оборудование для ГНХ</t>
  </si>
  <si>
    <t>{054-001-140} Создание системы видеоконференции</t>
  </si>
  <si>
    <t>{054-001-141} Центр трансфера технологий в сфере капитального строительства объектов использования атомной энергии</t>
  </si>
  <si>
    <t>{054-001-142} Обеспечение безопасности на предприятии и устранение замечаний надзорных органов</t>
  </si>
  <si>
    <t>{054-001-143} Организация современного производства тканей и лент</t>
  </si>
  <si>
    <t>{054-001-144} Организация современного производства препрегов</t>
  </si>
  <si>
    <t>{054-001-145} Организация современного производства мультиаксиальных тканей</t>
  </si>
  <si>
    <t>{054-001-146} Формирование ИТ-инфраструктуры АО "НИФХИ им.Л.Я.Карпова"</t>
  </si>
  <si>
    <t>{054-001-147} Обеспечение безопасности-модернизация физической защиты АО "НИФХИ им.Л.Я.Карпова"</t>
  </si>
  <si>
    <t>{054-001-150} Увеличение мощностей производства кальциевой проволоки</t>
  </si>
  <si>
    <t>{054-001-151} Модернизация действующего производственного комплекса по выпуску автомобильных катализаторов, включая автомобильные катализаторы для норм евро 6</t>
  </si>
  <si>
    <t>{054-001-152} Организация производства систем накопления электроэнергии для поставок на конвейер ЗАО "ТРОЛЗА"</t>
  </si>
  <si>
    <t>{054-001-153} Разработка проектно-сметной документации для реконструкции здания 902 с расширением производства обесфторивания обедненного гексафторида урана</t>
  </si>
  <si>
    <t>{054-001-154} Тестовая запись(Удаление, заведен по ошибке п-ля)</t>
  </si>
  <si>
    <t>{054-001-155} «Центр десорбции сорбционных колонн разделительного производства в ХМЦ»</t>
  </si>
  <si>
    <t>{054-001-157} Возобновление производства безводного фтористого водорода в АО «АЭХК»</t>
  </si>
  <si>
    <t>{054-001-158} Техническое перевооружение установки предочистки ХВО, 1-я очередь</t>
  </si>
  <si>
    <t>{054-001-159} Релокация имущественно-производственного комплекса АО "АТМ"</t>
  </si>
  <si>
    <t>{054-001-160} Формирование ИТ-инфраструктуры</t>
  </si>
  <si>
    <t>{054-001-161} Модернизация физической защиты АО "НИИТФА"</t>
  </si>
  <si>
    <t>{054-001-162} Пожарная безопасность: необходимые работы по пожарной безопасности АО «НИИТФА»</t>
  </si>
  <si>
    <t>{054-001-163} Производственные фонды АО «НИИТФА»</t>
  </si>
  <si>
    <t>{054-001-164} Детальное исследование рынка труда по заработным платам и льготам</t>
  </si>
  <si>
    <t>{054-001-165} Создание проектного офиса "Аддитивные технологии"</t>
  </si>
  <si>
    <t>{054-001-166} Развитие и поддержание ООО "Искра"</t>
  </si>
  <si>
    <t>{054-001-167} К-14</t>
  </si>
  <si>
    <t>{054-001-168} Создание высокотехнологического цифрового производства прецизионных изделий для медицинской отрасли на базе аддитивных технологий</t>
  </si>
  <si>
    <t>{054-001-169} Формирование единой отраслевой системы классификации и кодирования</t>
  </si>
  <si>
    <t>{054-001-170} Демонтаж стендов и утилизация щелочных металлов для освобождения площадки "Текстильщики" АО "Красная Звезда"</t>
  </si>
  <si>
    <t>{054-001-171} Мероприятия проектного направления "Прорыв"</t>
  </si>
  <si>
    <t>{054-001-172} Мероприятия по повышению безопасности и повышению эффективности экспериментальной базы атомной энергетики</t>
  </si>
  <si>
    <t>{054-001-173} Пожарная безопасность: необходимые работы по пожарной безопасности</t>
  </si>
  <si>
    <t>{054-001-174} Производственные фонды</t>
  </si>
  <si>
    <t>{054-001-175} Корректировка проекта "Техническое перевооружение объектов технологического центра и информационной сети управляемого термоядерного синтеза" АО "Красная Звезда"</t>
  </si>
  <si>
    <t>{054-001-176} Оптимизация (компактизация) имущественного комплекса АО "НИКИМТ-Атомстрой" путем перебазирования и модернизации</t>
  </si>
  <si>
    <t>{054-001-177} Концентрация производств АО «ВПО Точмаш» и ПАО «КМЗ»</t>
  </si>
  <si>
    <t>{054-001-179} Создание органа по аттестации объектов информатизации, обрабатывающих информацию, содержащую сведения конфиденциального характера</t>
  </si>
  <si>
    <t>{054-001-180} Выполнение отраслевых требований по информационной безопасности в АО «СНИИП»</t>
  </si>
  <si>
    <t>{054-001-181} Техническое перевооружение СНИИП</t>
  </si>
  <si>
    <t>{054-001-182} Совершенствование программно-технических средств радиационного контроля двойного назначения</t>
  </si>
  <si>
    <t>{054-001-183} Разработка микрокомпрессора для регистрации параметров воздушной среды</t>
  </si>
  <si>
    <t>{054-001-184} Разработка измерительных каналов контроля физических параметров ВВЭР на основе волоконной оптики</t>
  </si>
  <si>
    <t>{054-001-185} Совершенствование продуктовой линейки гражданского назначения</t>
  </si>
  <si>
    <t>{054-001-186} Имущественный комплекс СНИИП</t>
  </si>
  <si>
    <t>{054-001-187} Обновление автопарка АО "Промышленные инновации"</t>
  </si>
  <si>
    <t>{054-001-188} Развитие изотопного производства</t>
  </si>
  <si>
    <t>{054-001-189} Модернизация и увеличение производственных мощностей по выпуску гидрида лития природного состава</t>
  </si>
  <si>
    <t>{054-001-190} Хохловское месторождение</t>
  </si>
  <si>
    <t>{054-001-191} Далматовское месторождение</t>
  </si>
  <si>
    <t>{054-001-192} Добровольное месторождение</t>
  </si>
  <si>
    <t>{054-001-193} Развитие производственно-экспериментальной базы (ОКБМ: ПЭБ-2)</t>
  </si>
  <si>
    <t>{054-001-194} Обновление сварочного оборудования</t>
  </si>
  <si>
    <t>{054-001-195} Модернизация компрессорной станции предприятия</t>
  </si>
  <si>
    <t>{054-001-196} Модернизация токарно-карусельного станка №1516</t>
  </si>
  <si>
    <t>{054-001-197} Замена трансформатора на ТП-1 главного корпуса</t>
  </si>
  <si>
    <t>{054-001-198} Поставка, монтаж и установка системы видеонаблюдения в АО "СвердНИИхиммаш"</t>
  </si>
  <si>
    <t>{054-001-199} РЕЗЕРВ ИМ</t>
  </si>
  <si>
    <t>{054-001-200} РЕЗЕРВ_ИМ</t>
  </si>
  <si>
    <t>{054-001-201} Организация производства СУХТ</t>
  </si>
  <si>
    <t>{054-001-202} Концентрация фабрикационных производств ТК</t>
  </si>
  <si>
    <t>{054-001-203} Энергосбережение и повышение энергоэффективности</t>
  </si>
  <si>
    <t>{054-001-204} Модернизация АПС и СОУЭ, создание повысительной противопожарной насосной установки системы пожаротушения АО «ЦКБМ»</t>
  </si>
  <si>
    <t>{054-001-205} Приобретение оборудования и оснастки для выполнения ТОиР на АЭС</t>
  </si>
  <si>
    <t>{054-001-206} Строительство производственной базы «Уралатомэнергоремонт» на территории 4-го энергоблока Белоярской АЭС</t>
  </si>
  <si>
    <t>{054-001-207} Сопровождение системы по обнаружению заимствований в отчетных материалах НИОКР</t>
  </si>
  <si>
    <t>{054-001-208} Выстраивание эффективного производственного потока изготовления ТВС для ВВЭР-1000 и компактизация производственных мощностей предприятия ПАО "НЗХК"</t>
  </si>
  <si>
    <t>{054-001-209} Создание системы управления ИТ-активами АО «ЦКБМ»</t>
  </si>
  <si>
    <t>{054-001-210} Реконструкция систем вентиляции производственных площадок АО «ЦКБМ»</t>
  </si>
  <si>
    <t>{054-001-211} Удаление</t>
  </si>
  <si>
    <t>{054-001-212} Изготовление оборудования для АЭС</t>
  </si>
  <si>
    <t>{054-001-213} Изготовление корпусного оборудования</t>
  </si>
  <si>
    <t>{054-001-214} Удаление по SD09047599</t>
  </si>
  <si>
    <t>{054-001-215} Модернизация физической защиты АО «НИФХИ им. Л.Я. Карпова»</t>
  </si>
  <si>
    <t>{054-001-216} Формирование ИТ-инфаструктуры АО "НИФХИ им.Л.Я.Карпова"</t>
  </si>
  <si>
    <t>{054-001-217} Аттестация лабораторий в соответствии с европейскими нормами (EDF)</t>
  </si>
  <si>
    <t>{054-001-218} Мероприятия по повышению безопасности и повышению эффективности экспериментальной базы атомной энергетики</t>
  </si>
  <si>
    <t>{054-001-219} Пожарная безопасность: необходимые работы по пожарной безопасности</t>
  </si>
  <si>
    <t>{054-001-220} Производственные фонды</t>
  </si>
  <si>
    <t>{054-001-221} Концентрация производств АО "ВПО Точмаш" и ПАО "КМЗ"</t>
  </si>
  <si>
    <t>{054-001-222} Модернизация систем освещения производственной площадки филиала «ЦКБМ-2»</t>
  </si>
  <si>
    <t>{054-001-223} Поддержание и развитие производственных мощностей литиевого комплекса  цеха №5 ПАО «НЗХК»</t>
  </si>
  <si>
    <t>{054-001-224} Удаление SD09717606</t>
  </si>
  <si>
    <t>{054-001-225} Расширение функциональности распределенной системы планирования и бюджетирования</t>
  </si>
  <si>
    <t>{054-001-226} Освоение в АО "ВПО Точмаш" серийного производства изделия 9Б172</t>
  </si>
  <si>
    <t>{054-001-227} Подготовка пустующих помещений в здании 20 АО «СвердНИИхиммаш» для передачи в аренду</t>
  </si>
  <si>
    <t>{054-001-230} Обновление основных средств АО "КОНСИСТ-ОС"</t>
  </si>
  <si>
    <t>{054-001-231} Модернизация службы качества АЭМ-технологии 1я очередь</t>
  </si>
  <si>
    <t>{054-001-232} Краснокаменское Электрощитовое Производство</t>
  </si>
  <si>
    <t>{054-001-233} Обеспечение условий и возможности выполнения доходного договора по Вводу в эксплуатацию АЭС Руппур</t>
  </si>
  <si>
    <t>{054-001-234} Обеспечение потребности в оборудовании и создании ИТ – инфраструктуры для выполнения обязательств АТЭ при выполнении доходного договора по ПНР и вводу в эксплуатацию АЭС Аккую</t>
  </si>
  <si>
    <t>{054-001-235} Расчетно-аналитический (экспериментальный) комплекс ПНР</t>
  </si>
  <si>
    <t>{054-001-236} Обеспечение условий и возможности выполнения доходного договора по Вводу в эксплуатацию АЭС Бушер</t>
  </si>
  <si>
    <t>{054-001-237} Развитие и модернизация производственных мощностей предприятия по выпуску таблеток</t>
  </si>
  <si>
    <t>{054-001-238} Тестовая запись перед ПМИ_в_</t>
  </si>
  <si>
    <t>{054-001-239} Энергосбережение и повышение энергоэффективности</t>
  </si>
  <si>
    <t>{054-001-240} Организация производства порошков для аддитивных технологий из сплавов титана в АО ЧМЗ</t>
  </si>
  <si>
    <t>{054-001-241} Реконструкция здания №1 ИХЗ ФГУП "ГХК". Усиление строительных конструкций. Автоматизированная система мониторинга технического состояния строительных конструкций</t>
  </si>
  <si>
    <t>{054-001-242} Обновление основных фондов для поддержания основной деятельности АО «Атомтехэкспорт» и его представительств</t>
  </si>
  <si>
    <t>{054-001-243} Поддержание основных фондов АО «Русатом Сервис»</t>
  </si>
  <si>
    <t>{054-001-244} Создание КП ТРО на площадке АО "ОДЦ УГР"</t>
  </si>
  <si>
    <t>{054-001-245} Разработка масштабируемого экстракционного способа и установки производства изотопа лития-7</t>
  </si>
  <si>
    <t>{054-001-246} Производство МЭБ</t>
  </si>
  <si>
    <t>{054-001-247} Создание промышленного парка</t>
  </si>
  <si>
    <t>{054-001-248} Обращение с ОЯТ зарубежных реакторов российского дизайна стран Центральной и Восточной Европы на горизонте 2020-2030</t>
  </si>
  <si>
    <t>{054-001-249} CELLA: Склад и логистическая площадка в США под управлением СП с Centrus</t>
  </si>
  <si>
    <t>{054-001-250} Обновление технической базы компьютерной техникой для производственной деятельности АО «ВПО «ЗАЭС»</t>
  </si>
  <si>
    <t>{054-001-251} Сооружение АЭС в Иордании</t>
  </si>
  <si>
    <t>{054-001-252} Разработка комплекта документации для проведения ремонта помещений и обеспечения безопасной эксплуатации зданий ГК (по адресу: ул. Большая Ордынка, д. 24, Старомонетный  пер. 26, 26 стр. 2)</t>
  </si>
  <si>
    <t>{054-001-253} Приобретение лабораторного оборудования, средств измерений и контроля качества</t>
  </si>
  <si>
    <t>{054-001-254} Техническое перевооружение и модернизация научных подразделений предприятия</t>
  </si>
  <si>
    <t>{054-001-255} Обеспечение безопасности и соблюдения режима на объектах АО "ЗиО-Подольск"</t>
  </si>
  <si>
    <t>{054-001-256} Модернизация и приобретение оборудования для восполнения и поддержания производственных мощностей</t>
  </si>
  <si>
    <t>{054-001-257} Изготовление оборудования для мусоросжигательных заводов</t>
  </si>
  <si>
    <t>{054-001-258} Замена ограждающих конструкций стен и кровли ц.№3,33, и оборудование помещений сварочного участка</t>
  </si>
  <si>
    <t>{054-001-259} Модернизация и приобретение термического оборудования для восполнения и поддержания производственных мощностей</t>
  </si>
  <si>
    <t>{054-001-260} Локализация производства элементов ВЭС на площадке "Петрозаводскмаш"</t>
  </si>
  <si>
    <t>{054-001-261} Организация производства станин на базе ООО «Литейный завод Петрозаводскмаш»</t>
  </si>
  <si>
    <t>{054-001-262} Поддержание производственных мощностей филиала АО "АЭМ-технологии" "Петрозаводскмаш"</t>
  </si>
  <si>
    <t>{054-001-263} Реконструкция зданий и сооружений филиала АО "АЭМ-технологии" "Петрозаводскмаш"</t>
  </si>
  <si>
    <t>{054-001-264} Освоение производства трубопроводной арматуры низкого давления для АЭС</t>
  </si>
  <si>
    <t>{054-001-265} Создание системы обнаружения и предотвращения компьютерных атак в Корпоративном центре ГосСОПКА  Госкорпорации "Росатом" Фаза 1</t>
  </si>
  <si>
    <t>{054-001-266} Создание и квалификация  СКУ ОР СУЗ</t>
  </si>
  <si>
    <t>{054-001-267} Обеспечение условий и возможности выполнения доходного договора по Вводу в эксплуатацию АЭС Аккую</t>
  </si>
  <si>
    <t>{054-001-268} Сделка по приобретению по договорам купли-продажи долей в уставном капитале ООО "Генераторные системы"</t>
  </si>
  <si>
    <t>{054-001-269} Центр ядерной медицины на о. Русский</t>
  </si>
  <si>
    <t>{054-001-270} Система обмена технологической информацией с автоматизированной системой Системного оператора (СОТИАССО)</t>
  </si>
  <si>
    <t>{054-001-271} Квалификация циркониевого производства АО ЧМЗ зарубежными компаниями</t>
  </si>
  <si>
    <t>{054-001-272} Удаление SD10256703</t>
  </si>
  <si>
    <t>{054-001-273} Оценка экономической эффективности внедрения толерантного топлива на АЭС нового поколения с ВВЭР, PWR</t>
  </si>
  <si>
    <t>{054-001-275} Техническое перевооружение музейно-выставочного комплекса АО ЧМЗ</t>
  </si>
  <si>
    <t>{054-001-276} Создание платформы программно-технических средств СКУ РУ (Этап 1)</t>
  </si>
  <si>
    <t>{054-001-277} Создание инжинирингового центра</t>
  </si>
  <si>
    <t>{054-001-278} Освоение АО "ВПО "Точмаш" серийного производства изделия 9Б172</t>
  </si>
  <si>
    <t>{054-001-279} Резервы и переходящие обязательства</t>
  </si>
  <si>
    <t>{054-001-280} Поддержание административно-хозяйственной деятельности направления Ветроэнергетика</t>
  </si>
  <si>
    <t>{054-001-281} Приобретение современного оборудования для производства оборудования АЭС</t>
  </si>
  <si>
    <t>{054-001-282} Поддержание производственных мощностей филиала АО «АЭМ-технологии» «Атоммаш»</t>
  </si>
  <si>
    <t>{054-001-283} Реконструкция стенового ограждения здания корпуса №1 филиала АО «АЭМ-технологии» «Атоммаш» в г. Волгодонск</t>
  </si>
  <si>
    <t>{054-001-284} Реконструкция несущих металлоконструкций колонн и подкрановых систем в здании корпуса № 1 Филиала АО «АЭМ-технологии» «Атоммаш»  в г. Волгодонск</t>
  </si>
  <si>
    <t>{054-001-285} Модернизация и увеличение производственных мощностей по выпуску ЛГО-7</t>
  </si>
  <si>
    <t>{054-001-286} Система виртуализации и дедупликации АО «Атомэнергомаш»</t>
  </si>
  <si>
    <t>{054-001-287} Модернизация оборудования и информационных систем АО "Атомэнергомаш"</t>
  </si>
  <si>
    <t>{054-001-288} Создание информационной системы управления экспериментальными и инженерными данными ВНИИНМ</t>
  </si>
  <si>
    <t>{054-001-289} Повышение эффективности конверсионного производства АО "СХК"</t>
  </si>
  <si>
    <t>{054-001-290} Замена морально-устаревшего и физически изношенного контрольно-измерительного оборудования (2-й этап)</t>
  </si>
  <si>
    <t>{054-001-291} Совершенствование производства фтора АО "СХК"</t>
  </si>
  <si>
    <t>{054-001-292} Приобретение офисов в Курской области</t>
  </si>
  <si>
    <t>{054-001-293} Приведение инфраструктуры предприятия ООО "Аргон" в соответствии с требованиями и нормами федерального законодательства</t>
  </si>
  <si>
    <t>{054-001-294} Создание собственного ввода электроэнергии ООО "Аргон"</t>
  </si>
  <si>
    <t>{054-001-295} Обновление производственных мощностей ООО "Аргон" (замена белых ткацких станков, печей)</t>
  </si>
  <si>
    <t>{054-001-296} Обеспечение стабильности технологического процесса ООО "Аргон"</t>
  </si>
  <si>
    <t>{054-001-297} Приобретение многоканальных регистраторов на печи окисления и карбонизации на ООО "Аргон"</t>
  </si>
  <si>
    <t>{054-001-298} Организация оборудованного складского помещения, предназначенного для хранения ТМЦ на ООО "Аргон"</t>
  </si>
  <si>
    <t>{054-001-299} Приобретение и установка системы охлаждения аппрета на ООО "Аргон"</t>
  </si>
  <si>
    <t>{054-001-300} Внедрение современных средств автоматизации (2-й этап)</t>
  </si>
  <si>
    <t>{054-001-301} Разработка и верификация программного средства для моделирования термомеханического поведения пэлов</t>
  </si>
  <si>
    <t>{054-001-302} Экспериментальное определение (в процессе дореакторных испытаний) факторов, влияющих на релаксацию пружин пружинного блока ТВС в реакторе"</t>
  </si>
  <si>
    <t>{054-001-303} Разработка парогенератора с вварными коллекторами 1-го контура для РУ ВВЭР-120</t>
  </si>
  <si>
    <t>{054-001-304} Техническое перевооружение отопительной котельной АО ОКБ "ГИДРОПРЕСС"</t>
  </si>
  <si>
    <t>{054-001-305} Приобретение и установка столового оборудования</t>
  </si>
  <si>
    <t>{054-001-306} Оснащение РП-1 статистическим устройством</t>
  </si>
  <si>
    <t>{054-001-307} Замена 2-х грузовых лифтов</t>
  </si>
  <si>
    <t>{054-001-308} Строительство заготовительно-термического участка на территории АО ОКБ "ГИДРОПРЕСС" и техническое перевооружение производственной базы участка</t>
  </si>
  <si>
    <t>{054-001-309} Создание системы видеоконференции</t>
  </si>
  <si>
    <t>{054-001-310} Верификация российских теплогидравлических комплексов на основе стенда PKL-4</t>
  </si>
  <si>
    <t>{054-001-311} Разработка квазиодномерной (k1D) модели, расчетного кода и матрицы верификации для анализа теплогидравлических харктеристик (ТГХ) двухфазных неравновесных потоков в ТВС ВВЭР</t>
  </si>
  <si>
    <t>{054-001-312} Обновление автотранспортного парка ООО "Краун"</t>
  </si>
  <si>
    <t>{054-001-313} Патентование/регистрация результатов интеллектуальной деятельности АО "АТОМПРОЕКТ"</t>
  </si>
  <si>
    <t>{054-001-314} Локальное энергообеспечение производств ХМЗ</t>
  </si>
  <si>
    <t>{054-001-315} Локальное энергообеспечение производств РХЗ</t>
  </si>
  <si>
    <t>{054-001-316} Система контроля и управления доступом стационарными анализаторами концентрации паров этанола</t>
  </si>
  <si>
    <t>{054-001-317} ГЕНЕРАТОР НЕЙТРОНОВ, ФГУП «ВНИИА»</t>
  </si>
  <si>
    <t>{054-001-318} ЛИТОКАРОТАЖ, ФГУП «ВНИИА»</t>
  </si>
  <si>
    <t>{054-001-319} Удаление</t>
  </si>
  <si>
    <t>{054-001-320} Удаление</t>
  </si>
  <si>
    <t>{054-001-321} Малогабаритные газотурбинные установки</t>
  </si>
  <si>
    <t>{054-001-322} Аудит финансово-экономической модели для целей ПДМ</t>
  </si>
  <si>
    <t>{054-001-323} Развитие разделительного производства</t>
  </si>
  <si>
    <t>{054-001-324} Удаление SD10036750</t>
  </si>
  <si>
    <t>{054-001-325} Установка системы алкотестирования на КПП АО "СНИИП"</t>
  </si>
  <si>
    <t>{054-001-326} Патентование/регистрация результатов интеллектуальной деятельности АО «Атомэнергопроект»</t>
  </si>
  <si>
    <t>{054-001-327} Патентование/регистрация результатов интеллектуальной деятельности АО АСЭ</t>
  </si>
  <si>
    <t>{054-001-328} Разработка конструкторской, нормативной и технологической базы для проектирования, изготовления и монтажа тонкостенного унифицированного сортамента трубопроводов для АЭС</t>
  </si>
  <si>
    <t>{054-001-329} Система резервного копирования и восстановления данных Аrako</t>
  </si>
  <si>
    <t>{054-001-330} Система резервного копирования и восстановления данных GANZ</t>
  </si>
  <si>
    <t>{054-001-331} Оснащение специальными механизмами строительной площадки Объекта - 53 часть 2</t>
  </si>
  <si>
    <t>{054-001-332} Внедрение в СКУД АО «ЦКБМ» стационарных анализаторов паров этанола в выдыхаемом воздухе</t>
  </si>
  <si>
    <t>{054-001-333} Программа развития инфраструктуры ПАО "Энергоспецмонтаж"</t>
  </si>
  <si>
    <t>{054-001-334} Развитие системы "Создание трехуровневой интегрированной системы формирования, размещения и контроля выполнения в сфере государственного оборонного заказа Дирекции по ядерному оружейному комплексу (КАМИЗ-Гамма)"</t>
  </si>
  <si>
    <t>{054-001-335} Внедрение в СКУД АО “СвердНИИхиммаш” стационарных анализаторов паров этанола в выдыхаемом воздухе</t>
  </si>
  <si>
    <t>{054-001-336} Удаление</t>
  </si>
  <si>
    <t>{054-001-337} Получение патентов на изобретения РСТ за рубежом</t>
  </si>
  <si>
    <t>{054-001-338} Создание ведомственного сегмента государственной системы обнаружения, предупреждения и ликвидации последствий компьютерных атак на информационные ресурсы (ГосСОПКА)</t>
  </si>
  <si>
    <t>{054-001-339} «Энергосбережение и повышение энергоэффективности» среднеокупаемые</t>
  </si>
  <si>
    <t>{054-001-340} Возобновление производства бифторида калия</t>
  </si>
  <si>
    <t>{054-001-341} Тиражирование функций обучения, подбора и управления эффективностью персонала</t>
  </si>
  <si>
    <t>{054-001-342} Развитие национального исследовательского ядерного университета на 2018 - 2022 гг.</t>
  </si>
  <si>
    <t>{054-001-343} Расширение объема оказываемых ремонтных и сервисных услуг АО "Атомэнергоремонт"</t>
  </si>
  <si>
    <t>{054-001-344} Разработка типовой информационной модели фабрикационного производства ЯТ ВВЭР-1000</t>
  </si>
  <si>
    <t>{054-001-345} Разработка технологии и технического устройства для подводной лазерной резки</t>
  </si>
  <si>
    <t>{054-001-347} Организация добычи золота и серебра на месторождении «Северное» (проект «Северное»)</t>
  </si>
  <si>
    <t>{054-001-348} Создание единой отраслевой системы управления качеством Госкорпорации "Росатом"</t>
  </si>
  <si>
    <t>{054-001-349} Экспериментальные исследования системы эффективных режимов резания токарной обработки</t>
  </si>
  <si>
    <t>{054-001-350} Мероприятия, направленные на «раскрытие» потенциальных рынков в области систем накопления электроэнергии: создание образца накопителя для ПДМ</t>
  </si>
  <si>
    <t>{054-001-351} Разработка укрупненных сметных нормативов в целях определения стоимости строительной продукции при сооружении ОИАЭ</t>
  </si>
  <si>
    <t>{054-001-352} Разработка государственных элементных сметных норм на основании разработанных отраслевых сметных нормативов в составе ОСНБ Росатома</t>
  </si>
  <si>
    <t>{054-001-353} Внедрение изменений в рамках проекта "Горизонт"</t>
  </si>
  <si>
    <t>{054-001-354} Пилотный проект по оптимизации отчетности с переводом на единую аналитическую платформу</t>
  </si>
  <si>
    <t>{054-001-355} Реализация отраслевого центра судебно-претензионной работы "Litigation"</t>
  </si>
  <si>
    <t>{054-001-356} Виртуальная площадка для работы по проектам развития предпринимательской среды</t>
  </si>
  <si>
    <t>{054-001-357} Разработка и изготовление опытного образца устройства из лёгких баллистических панелей для сортировки пассажиропотока</t>
  </si>
  <si>
    <t>{054-001-358} Создание опытно-промышленного производства РЕМИКС-топлива</t>
  </si>
  <si>
    <t>{054-001-359} Оптимизация функционала системы управления портфелем проектов Корпорации ИС "Сириус"</t>
  </si>
  <si>
    <t>{054-001-360} Удаление</t>
  </si>
  <si>
    <t>{054-001-361} Разработка винтового детандера и изготовление образцов установок по преобразованию энергии на его основе</t>
  </si>
  <si>
    <t>{054-001-362} Развитие информационной системы "АСТРА-НБ"</t>
  </si>
  <si>
    <t>{054-001-363} Создание дополнительных сервисов самообслуживания сотрудников в информационной системе "РЕКОРД"</t>
  </si>
  <si>
    <t>{054-001-364} Развитие автоматизированной системы расчсета полной сквозной себестоимости</t>
  </si>
  <si>
    <t>{054-001-365} Обеспечение общепромышленной, радиационной, пожарной безопасности, охраны окружающей среды, ГО и ЧС и приведение инфраструктуры АО «МЗП» в соответствие  требованиям и нормам федерального законодательства</t>
  </si>
  <si>
    <t>{054-001-366} Приобретение межсетевых экранов для выполнения требований информационной безопасности ГК</t>
  </si>
  <si>
    <t>{054-001-367} Приобретение межсетевых экранов для выполнения требований информационной безопасности ГК</t>
  </si>
  <si>
    <t>{054-001-368} Организация серийного производства широкой номенклатуры сверхчистых порошков сплавов на основе кобальта, молибдена, интерметаллидов титана методом центробежного ударного/гарниссажного распыления</t>
  </si>
  <si>
    <t>{054-001-369} Группа инвестиционных мероприятий, направленных на выполнение предконтрактных работ по проекту «Гепард», создание радиохимического комплекса по производству Мо-99 на базе растворных реакторов на площадке в NECSA SOC LTD (Пелиндаба, ЮАР).</t>
  </si>
  <si>
    <t>{054-001-370} Тестовый проект_19082017</t>
  </si>
  <si>
    <t>{054-001-371} Приобретение контейнеров ТУК ТК-С5М для производства ТВС ВВЭР-1200</t>
  </si>
  <si>
    <t>{054-001-372} Приобретение оборудования испытательного комплекса для проведения испытаний материалов по стандарту ASTM E-1921</t>
  </si>
  <si>
    <t>{054-001-373} Развитие SAP ERP ТСЭ в дивизионе "Сбыт и трейдинг"</t>
  </si>
  <si>
    <t>{054-001-374} Автоматизация учета договоров аренды в связи с внедрением нового стандарта МСФО16</t>
  </si>
  <si>
    <t>{054-001-375} Разработка перспективных решений по вспомогательному оборудованию для разделительного производства</t>
  </si>
  <si>
    <t>{054-001-376} Докапитализация ООО «НИАЭП-Сервис»</t>
  </si>
  <si>
    <t>{054-001-377} Перевод ИС РЦК на новую версию</t>
  </si>
  <si>
    <t>{054-001-378} Удаление SD14748569</t>
  </si>
  <si>
    <t>{054-001-379} Развитие унифицированной отраслевой платформы «1С ERP 2.0: Цифровой Росатом».</t>
  </si>
  <si>
    <t>{054-001-380} Мобильный электронный документооборот на доверенной мобильной платформе</t>
  </si>
  <si>
    <t>{054-001-383} Формирование инфраструктуры ядерных знаний</t>
  </si>
  <si>
    <t>{054-001-384} Формирование единого центра подписки на базы научно-технической и патентной информации в организациях Госкорпорации «Росатом»</t>
  </si>
  <si>
    <t>{054-001-385} Удаление</t>
  </si>
  <si>
    <t>{054-001-386} Удаление</t>
  </si>
  <si>
    <t>{054-001-388} SD10142536 Удаление</t>
  </si>
  <si>
    <t>{054-001-389} Цифровая ИТ стратегия отрасли на период 2018-2023</t>
  </si>
  <si>
    <t>{054-001-390} Электронный документооборот для зарубежных филиалов, представительств и ДЗО организаций ГК "Росатом"</t>
  </si>
  <si>
    <t>{054-001-391} Создание фармацевтического предприятия на площадке АО "МЗП"</t>
  </si>
  <si>
    <t>{054-001-393} Грейдинг должностей Госкорпорации "Росатом" и управляющих компаний дивизионов</t>
  </si>
  <si>
    <t>{054-001-394} Разработка технологии изготовления твердоокисных топливных элементов и создание опытного образца</t>
  </si>
  <si>
    <t>{054-001-395} Получение ультрадисперсных порошков</t>
  </si>
  <si>
    <t>{054-001-396} Приобретение прав на НМА (Композиты без границ)</t>
  </si>
  <si>
    <t>{054-001-397} Оснащение производственных площадок АО ОКБ «ГИДРОПРЕСС» системами алкоконтроля с интеграцией их в систему контроля доступа</t>
  </si>
  <si>
    <t>{054-001-398} Замена автотранспортного средства для нужд АО "В/О "Изотоп"</t>
  </si>
  <si>
    <t>{054-001-399} Закупка контейнеров металлических защитных тип КМЗ-М (или аналога)</t>
  </si>
  <si>
    <t>{054-001-400} Удаление по SD08290804 (ОКР «Композит»)</t>
  </si>
  <si>
    <t>{054-001-401} Создание ООО "Русатом - Аддитивные технологии"</t>
  </si>
  <si>
    <t>{054-001-402} Внедрение автоматической системы алкоконтроля и контроля доступа в АО «НПО «ЦНИИТМАШ»</t>
  </si>
  <si>
    <t>{054-001-403} Разработка индукционного испарителя фтористоводородной кислоты</t>
  </si>
  <si>
    <t>{054-001-404} ФХ СФЗ: ГХК</t>
  </si>
  <si>
    <t>{054-001-405} ФХ СЖО: ГХК</t>
  </si>
  <si>
    <t>{054-001-406} Обоснование применения технологии раскатки обечаек для корпусного оборудования АЭС</t>
  </si>
  <si>
    <t>{054-001-407} Создание системы полного жизненного цикла «Цифровое предприятие» (СПЖЦ «Цифровое предприятие»)</t>
  </si>
  <si>
    <t>{054-001-408} Комплекс мероприятий по выполнению контрактов с зарубежными заказчиками по переработке РТ-сырья</t>
  </si>
  <si>
    <t>{054-001-409} Разработка основ технологии производства анодного материала для литий-ионных аккумуляторов</t>
  </si>
  <si>
    <t>{054-001-411} Создание опытно-промышленного производства изотопов бора методом химического изотопного обмена</t>
  </si>
  <si>
    <t>{054-001-412} Организация серийного производства изделия "вставка гибкая" с целевой себестоимостью</t>
  </si>
  <si>
    <t>{054-001-413} Инвестиционное мероприятие "Приобретение плавучего дока для ремонта и обслуживания атомных ледоколов"</t>
  </si>
  <si>
    <t>{054-001-414} Подготовка к реализации Программы "Тиражирование типовой системы управления персоналом на предприятиях ядерного оружейного комплекса Госкорпорации "Росатом"</t>
  </si>
  <si>
    <t>{054-001-415} Внедрение автоматизированной системы управления проектами</t>
  </si>
  <si>
    <t>{054-001-416} Создание импортозамещающего комплекса лучевой терапии на базе линейного ускорителя электронов 6 МэВ</t>
  </si>
  <si>
    <t>{054-001-417} Разработка и верификация программного средства для моделирования термомеханического поведения пэлов</t>
  </si>
  <si>
    <t>{054-001-418} Экспериментальное определение факторов, влияющих на релаксацию пружинного блока ТВС в реакторе</t>
  </si>
  <si>
    <t>{054-001-419} Создание и развитие Центра оценки квалификаций в атомной отрасли</t>
  </si>
  <si>
    <t>{054-001-420} Обеспечение вычислительными мощностями корпоративных информационных систем, заявленных в 2017 г.</t>
  </si>
  <si>
    <t>{054-001-421} Создание масштабируемого корпоративного облака</t>
  </si>
  <si>
    <t>{054-001-422} Поддержание производственного комплекса ООО «ГАНЗ»</t>
  </si>
  <si>
    <t>{054-001-423} Мероприятия по созданию необходимых условий для служебно-боевой деятельности ВЧ №3706,обеспечивающей охрану АО "ГНЦ НИИАР"</t>
  </si>
  <si>
    <t>{054-001-424} Организация производства шестигранных труб из стали ЧС-82</t>
  </si>
  <si>
    <t>{054-001-425} Насосное оборудование для судостроения</t>
  </si>
  <si>
    <t>{054-001-426} Создание глобальной сети МЦО</t>
  </si>
  <si>
    <t>{054-001-427} Доклинические исследования РФП, действующего на белок RAF1 опухолевых клеток, для лечения злокачественных новообразований печени и внутрипеченочных желчных протоков</t>
  </si>
  <si>
    <t>{054-001-428} Разработка технологии изготовления лигатур для титановых сплавов</t>
  </si>
  <si>
    <t>{054-001-429} Приобретение оборудования для проведения испытаний материалов по стандарту ASTM E1921</t>
  </si>
  <si>
    <t>{054-001-430} Разработка ОБИН  оптимизации конверсионного производства АО «СХК» (перенос аффинажного производства с РХЗ на СЗ)</t>
  </si>
  <si>
    <t>{054-001-431} Создание ООО "Русатом - Аддитивные технологии"</t>
  </si>
  <si>
    <t>{054-001-432} Создание ООО "Русатом - Аддитивные технологии"</t>
  </si>
  <si>
    <t>{054-001-433} Разработка концепции проекта "Компактизация производственной площадки АО ЧМЗ"</t>
  </si>
  <si>
    <t>{054-001-434} Капитальный ремонт производственного корпуса и инженерной инфраструктуры индустриального парка «Нижние Котлы»</t>
  </si>
  <si>
    <t>{054-001-435} Удаление</t>
  </si>
  <si>
    <t>{054-001-436} Доработка систем управления ресурсами предприятия (блок ERP) в рамках реорганизации Машиностроительного дивизиона</t>
  </si>
  <si>
    <t>{054-001-437} Совершенствование системы физической защиты в АО "СНИИП"</t>
  </si>
  <si>
    <t>{054-001-438} Разработка международной стратегии АО «НоваВинд»</t>
  </si>
  <si>
    <t>{054-001-439} Удаление SD14748569</t>
  </si>
  <si>
    <t>{054-001-440} Оплата таможенных пошлин и НДС при ввозе оборудования для сооружения АЭС "Руппур" на территорию НРБ</t>
  </si>
  <si>
    <t>{054-001-441} Обновление автопарка АО "СНИИП"</t>
  </si>
  <si>
    <t>{054-001-442} Перспективные направления НИОКР АО «Атомэнергопроект» на 2019-2022 гг.</t>
  </si>
  <si>
    <t>{054-001-443} Перспективные направления НИОКР АО «НИКИМТ-Атомстрой» на 2019-2022 гг.</t>
  </si>
  <si>
    <t>{054-001-444} Перспективные направления НИОКР АО ИК «АСЭ» на 2019-2022 гг.</t>
  </si>
  <si>
    <t>{054-001-445} Автоматизация инжинирингового направления деятельности</t>
  </si>
  <si>
    <t>{054-001-446} Информационные технологии в области проектирования</t>
  </si>
  <si>
    <t>{054-001-447} Производственные фонды на развитие инжиниринга</t>
  </si>
  <si>
    <t>{054-001-448} Техническое перевооружение производственных фондов по инженерным изысканиям</t>
  </si>
  <si>
    <t>{054-001-449} Выполнение теоретического обоснования, предпроектных исследований и конструктивных проработок по созданию инновационных энергоустановок на углекислом газе</t>
  </si>
  <si>
    <t>{054-001-450} Дооборудование испытательного стенда на площадке Ganz EEM для проверки работоспособности комплексов «мини-ГЭС контейнерного типа»</t>
  </si>
  <si>
    <t>{054-001-451} Капитальный ремонт кровли здания по адресу: Старомонетный пер., д.26</t>
  </si>
  <si>
    <t>{054-001-452} Обеспечение производства ТВС</t>
  </si>
  <si>
    <t>{054-001-453} Тест</t>
  </si>
  <si>
    <t>{054-001-454} Создание центра по обращению с РАО в Свердловском отделении филиала «Уральский территориальный округ» ФГУП «РосРАО»</t>
  </si>
  <si>
    <t>{054-001-455} Инвестиционные мероприятия Атомэнергопромсбыт</t>
  </si>
  <si>
    <t>{054-001-456} Локализация производства на территории РФ медицинских линейных ускорителей 6 и 20 МэВ для лучевой терапии онкологических заболеваний</t>
  </si>
  <si>
    <t>{054-001-457} Приобретение аналитического и технологического оборудования</t>
  </si>
  <si>
    <t>{054-001-458} ЗРИ. Открытая площадка 115Г для временного хранения ОГФУ</t>
  </si>
  <si>
    <t>{054-001-459} Капитальный ремонт фасада здания по адресу: Старомонетный пер., д.26</t>
  </si>
  <si>
    <t>{054-001-460} Приобретение аналитического оборудования для обеспечения контроля производства топлива для АЭС</t>
  </si>
  <si>
    <t>{054-001-461} «Проведение комплексного прединвестиционного исследования (проверки) ООО «Фабрика РТТ»</t>
  </si>
  <si>
    <t>{054-001-463} Приобретение автомобиля бизнес-класса</t>
  </si>
  <si>
    <t>{054-001-464} Поисковые работы по вариантам элементов конструкции ГЦ</t>
  </si>
  <si>
    <t>{054-001-465} Разработка специального оборудования для изготовления деталей типа тела вращения с использованием нитевидных материалов, разработка испытательных стендов для исследования характеристик получаемых деталей</t>
  </si>
  <si>
    <t>{054-001-466} Исследование влияния современных материалов и технологий их применения на конструктивные свойства получаемых изделий</t>
  </si>
  <si>
    <t>{054-001-467} ФЦП "ЯЭНП" Техническое перевооружение опытного реактора на быстрых нейтронах тепловой мощностью</t>
  </si>
  <si>
    <t>{054-001-468} Техническое перевооружение опытного реактора на быстрых нейтронах тепловой мощностью 60 МВт (Этап 2)</t>
  </si>
  <si>
    <t>{054-001-469} Удаление по SD09047599</t>
  </si>
  <si>
    <t>{054-001-470} Сделка по приобретению акций АО «СЕЗАМ»</t>
  </si>
  <si>
    <t>{054-001-472} Приобретение автотранспорта</t>
  </si>
  <si>
    <t>{054-001-473} Внедрение информационной системы поддержки эксплуатации АО «РИР» на пилотной площадке «филиала РИР в г.Краснокаменске»</t>
  </si>
  <si>
    <t>{054-001-474} Разработка и внедрение Единой информационно-аналитической системы по расчетам с потребителями за энергоресурсы (Система расчетов за энергоресурсы)</t>
  </si>
  <si>
    <t>{054-001-475} ИТ-Инфраструктура РАСУ</t>
  </si>
  <si>
    <t>{054-001-476} Приобретение лицензий для Единой отраслевой системы нормативно-справочной информации</t>
  </si>
  <si>
    <t>{054-001-477} Разработка ильменит-цирконового месторождения Туганское</t>
  </si>
  <si>
    <t>{054-001-478} Компактизация и перемещение подразделений ГК "Росатом" в зданиях БО 24 и СМ 26 в связи с недостаточностью свободных площадей</t>
  </si>
  <si>
    <t>{054-001-479} АЭС в Египте</t>
  </si>
  <si>
    <t>{054-001-480} АСММ в Иордании</t>
  </si>
  <si>
    <t>{054-001-481} ЦЯНТ в Боливии (контрактация)</t>
  </si>
  <si>
    <t>{054-001-482} ЦЯНТ в Замбии</t>
  </si>
  <si>
    <t>{054-001-483} Контрактация на ЖЦ АЭС в Турции</t>
  </si>
  <si>
    <t>{054-001-484} Сооружение блоков 7 и 8 АЭС в Китае</t>
  </si>
  <si>
    <t>{054-001-485} Сооружение АЭС на новой площадке в Китае</t>
  </si>
  <si>
    <t>{054-001-486} Стратегический пресейл</t>
  </si>
  <si>
    <t>{054-001-487} ВТГР в Индонезии</t>
  </si>
  <si>
    <t>{054-001-488} Исследовательские реакторы (филиал в Германии)</t>
  </si>
  <si>
    <t>{054-001-489} АЭС в ЮАР</t>
  </si>
  <si>
    <t>{054-001-490} ЦЯНТ в ЮАР</t>
  </si>
  <si>
    <t>{054-001-491} АЭС в Индии (новая площадка)</t>
  </si>
  <si>
    <t>{054-001-492} ЦЯНТ во Вьетнаме</t>
  </si>
  <si>
    <t>{054-001-493} АЭС в Аргентине</t>
  </si>
  <si>
    <t>{054-001-494} ЦЯНТ в Белоруссии</t>
  </si>
  <si>
    <t>{054-001-495} АЭС в Индонезии</t>
  </si>
  <si>
    <t>{054-001-496} Достройка АЭС Батаан</t>
  </si>
  <si>
    <t>{054-001-497} Развитие программы ядерной энергетики на Филиппинах</t>
  </si>
  <si>
    <t>{054-001-498} Обеспечение безопасности радиохимического и сублиматного производства АО «СХК»</t>
  </si>
  <si>
    <t>{054-001-499} Проведение комплексного прединвестиционного исследования (проверки) и оценки рыночной стоимости ООО "ПЭТ-Технолоджи"</t>
  </si>
  <si>
    <t>{054-001-500} Закупка сервера безопасности</t>
  </si>
  <si>
    <t>{054-001-501} Приобретение автомобиля</t>
  </si>
  <si>
    <t>{054-001-502} Оборудование офисного пространства для сотрудников центра управления и координации проектом сооружения ЦЯНТ в Боливии (вновь выделенный бизнес-сегмент «Сооружение ЦЯНТ»)</t>
  </si>
  <si>
    <t>{054-001-503} Нераспределенные прямые расходы</t>
  </si>
  <si>
    <t>{054-001-504} Передача функций ФГУП «СКЦ Росатом» в АО «Гринатом»</t>
  </si>
  <si>
    <t>{054-001-505} Разработка толерантного топлива</t>
  </si>
  <si>
    <t>{054-001-506} Техническое перевооружение объектов электроснабжения индустриального парка «Нижние Котлы»</t>
  </si>
  <si>
    <t>{054-001-507} Модернизация инфраструктуры ИТ ООО «ААЭМ»</t>
  </si>
  <si>
    <t>{054-001-508} Исполнение государственных услуг и контрольно-надзорных функций в электронном виде в 2018-2019гг</t>
  </si>
  <si>
    <t>{054-001-509} Удаление</t>
  </si>
  <si>
    <t>{054-001-510} Создание установки для разделения изотопов легких и средних масс</t>
  </si>
  <si>
    <t>{054-001-511} Разработка программного обеспечения для автоматизированного контрольно-пропускного пункта по пропуску автомобильного транспорта и сопровождающих лиц СТБ "Наряд"</t>
  </si>
  <si>
    <t>{054-001-512} Имущественный взнос АО ЧМЗ в уставный капитал ООО «Прибор-Сервис»</t>
  </si>
  <si>
    <t>{054-001-513} Организация производства водоочистного оборудования, предназначенного для очистки хозяйственно-бытовых сточных вод</t>
  </si>
  <si>
    <t>{054-001-518} Масс-спектрометр</t>
  </si>
  <si>
    <t>{054-001-520} Создание отраслевого центра компетенций по токарным и фрезерным работам на базе КПГК г.Ковров</t>
  </si>
  <si>
    <t>{054-001-521} Cоздание в контуре Госкорпорации «Росатом» инкубируемого бизнеса по обращению  с отходами производства и потребления.</t>
  </si>
  <si>
    <t>{054-001-522} Cоздание в контуре Госкорпорации «Росатом» инкубируемого бизнеса по обращению  с отходами производства и потребления.</t>
  </si>
  <si>
    <t>{054-001-523} Cоздание в контуре Госкорпорации «Росатом» инкубируемого бизнеса по обращению  с отходами производства и потребления.</t>
  </si>
  <si>
    <t>{054-001-524} Cоздание в контуре Госкорпорации «Росатом» инкубируемого бизнеса по обращению  с отходами производства и потребления.</t>
  </si>
  <si>
    <t>{054-001-526} Создание новых производственных мощностей  для изготовления катализаторов нового поколения для автомобильного транспорта, удовлетворяющих нормам Евро-6b/6c (Автомобильные катализаторы)</t>
  </si>
  <si>
    <t>{054-001-527} Поддержание производственных мощностей филиала АО «АЭМ-технологии» «Атоммаш»</t>
  </si>
  <si>
    <t>{054-001-528} Синергетический эффект от реализации программы ПМиТ</t>
  </si>
  <si>
    <t>{054-001-529} Партнёрское участие АО "ГНЦ НИИАР" в реализации Баксанского эксперимента по поиску стерильного нейтрино (Эксперимент BEST)</t>
  </si>
  <si>
    <t>{054-001-532} Создание серийных образцов промышленных установок для аддитивного производства</t>
  </si>
  <si>
    <t>{054-001-533} Развитие направления исследования образцов для тепловой энергетики</t>
  </si>
  <si>
    <t>{054-001-534} Внедрение дивизиональной системы управления и отчетности машиностроительного дивизиона</t>
  </si>
  <si>
    <t>{054-001-535} Развитие технологических процессов микрографии в системе страхового фонда документации ГК "Росатом"</t>
  </si>
  <si>
    <t>{054-001-537} Разработка типового проекта на базе гамма-установки и ускорителя электронов с 3D визуализацией</t>
  </si>
  <si>
    <t>{054-001-538} Производственные фонды</t>
  </si>
  <si>
    <t>{054-001-539} Формирование ИТ инфраструктуры</t>
  </si>
  <si>
    <t>{054-001-540} Разработки подсистем интеллектуальной обработки информации и роботизации пользовательской активности в рамках проекта автоматизации процесса подготовки комплекта закупочной документации (пилот)</t>
  </si>
  <si>
    <t>{054-001-541} НИОКР по разработке аппаратурно-технологической схемы производства труб и проволоки из нитинола</t>
  </si>
  <si>
    <t>{054-001-542} Удаление_Покупка оборудования для полигона АСУ ТП</t>
  </si>
  <si>
    <t>{054-001-543} Доработка программного обеспечения, используемого для внутренних целей АО «РАСУ»</t>
  </si>
  <si>
    <t>{054-001-544} Развитие движения студенческих строительных отрядов атомной отрасли</t>
  </si>
  <si>
    <t>{054-001-545} Вхождение в капитал АО «Концерн Титан-2»</t>
  </si>
  <si>
    <t>{054-001-546} Разработка технологических основ  производства Мо-99 из НОУ-мишеней в АО «НИФХИ им. Л.Я. Карпова»</t>
  </si>
  <si>
    <t>{054-001-547} Организация производства ГЦ в ООО "НПО"Центротех"</t>
  </si>
  <si>
    <t>{054-001-548} Высшая школа физики ГК "Росатом"</t>
  </si>
  <si>
    <t>{054-001-549} Расширение системы научно-технической экспертизы атомной отрасли</t>
  </si>
  <si>
    <t>{054-001-550} Конференция по науке в апреле 2018 г.</t>
  </si>
  <si>
    <t>{054-001-551} Резерв Русатом Хэлскеа</t>
  </si>
  <si>
    <t>{054-001-552} Покупка ПАО "НЗХК" у АО "Промышленные инновации" 54,2543% доли в уставном капитале ООО "Катодные Материалы"</t>
  </si>
  <si>
    <t>{054-001-553} Финансирование затрат на функцию интегратора Русатом Хэлскеа</t>
  </si>
  <si>
    <t>{054-001-554} Реализация Программы "Цифровая экономика Российской Федерации"</t>
  </si>
  <si>
    <t>{054-001-555} Внутренняя цифровизация Росатом</t>
  </si>
  <si>
    <t>{054-001-556} Проект реализации пилотного проекта АСММ на базе РУ РИТМ-200Н</t>
  </si>
  <si>
    <t>{054-001-557} Реализация программы "Цифровые продукты Росатома"</t>
  </si>
  <si>
    <t>{054-001-558} Создание мобильного напылительного устройства для нанесения металлических покрытий</t>
  </si>
  <si>
    <t>{054-001-559} Малый Коммерческий Диспетчер</t>
  </si>
  <si>
    <t>{054-001-560} Техническое перевооружение циркониевого производства по аппаратурно-технологической схеме</t>
  </si>
  <si>
    <t>{054-001-561} Литий</t>
  </si>
  <si>
    <t>{054-001-562} Инвестиционные мероприятия зарубежных ДО</t>
  </si>
  <si>
    <t>{054-001-563} Приобретение межсетевого экрана</t>
  </si>
  <si>
    <t>{054-001-564} Удален Энергороутер "energy Box (eBox)"</t>
  </si>
  <si>
    <t>{054-001-565} Большой Коммерческий Диспетчер</t>
  </si>
  <si>
    <t>{054-001-566} Освоение производства изделий 9Э285 и 9Э245</t>
  </si>
  <si>
    <t>{054-001-567} Поддержание производственной-технической базы ФГУП "РосРАО" за счет средств субсидии</t>
  </si>
  <si>
    <t>{054-001-568} Приобретение и реконструкция административного здания для центрального аппарата и создания учебно-тренировочной базы для работников Московского гарнизона</t>
  </si>
  <si>
    <t>{054-001-570} Удаление SD11452437</t>
  </si>
  <si>
    <t>{054-001-571} Удаление SD11452437</t>
  </si>
  <si>
    <t>{054-001-572} Удаление SD11452437</t>
  </si>
  <si>
    <t>{054-001-573} Удаление SD11452437</t>
  </si>
  <si>
    <t>{054-001-574} Создание и эксплуатация центра протонной терапии г. Хабаровске</t>
  </si>
  <si>
    <t>{054-001-575} Удаление SD11452437</t>
  </si>
  <si>
    <t>{054-001-576} Создание и эксплуатация радиологического корпуса с центром позитронно-эмиссионной томографии Восточно-Сибирского онкологического центра в г. Иркутск</t>
  </si>
  <si>
    <t>{054-001-577} Удаление SD11452437</t>
  </si>
  <si>
    <t>{054-001-578} Удаление SD11452437</t>
  </si>
  <si>
    <t>{054-001-579} Удаление SD11452437</t>
  </si>
  <si>
    <t>{054-001-581} Исследования и разработки в области управляемого термоядерого синтеза</t>
  </si>
  <si>
    <t>{054-001-582} Разработка компрессора для фабрикационного производства</t>
  </si>
  <si>
    <t>{054-001-583} Организация современного производства тканей и препрегов</t>
  </si>
  <si>
    <t>{054-001-584} Энергофлот на базе оптимизированных плавучих энергоблоков</t>
  </si>
  <si>
    <t>{054-001-585} Центр компетенций ПАО «МСЗ» по направлению «Инженерная графика CAD»</t>
  </si>
  <si>
    <t>{054-001-588} МЦО в Малайзии</t>
  </si>
  <si>
    <t>{054-001-589} МЦО в Бразилии</t>
  </si>
  <si>
    <t>{054-001-593} Оборудование ПАО "ЗиО-Подольск" приборами радиационного контроля</t>
  </si>
  <si>
    <t>{054-001-594} Удаление</t>
  </si>
  <si>
    <t>{054-001-595} Опытно конструкторские работы (ОКР) на разработку ускорителя электронов с энергией 10 МэВ и мощностью 15 кВт</t>
  </si>
  <si>
    <t>{054-001-596} Автоматизация процесса регистрации документов на оплату (пилот)</t>
  </si>
  <si>
    <t>{054-001-597} Обеспечение собственных нужд</t>
  </si>
  <si>
    <t>{054-001-598} Предпроектное обследование в целях создания Системы управления проектами и программами</t>
  </si>
  <si>
    <t>{054-001-599} Создание системы бизнес-планирования, бюджетирования, прогнозирования для обществ Топливной Компании</t>
  </si>
  <si>
    <t>{054-001-600} Производственные фонды АО «В/О «Изотоп»</t>
  </si>
  <si>
    <t>{054-001-601} Производственные фонды АО "РХК"</t>
  </si>
  <si>
    <t>{054-001-602} Формирование ИТ инфраструктуры АО "РХК"</t>
  </si>
  <si>
    <t>{054-001-603} Мероприятия по повышению безопасности деятельности организаций (АО «В/О «Изотоп»)</t>
  </si>
  <si>
    <t>{054-001-604} Формирование ИТ-инфраструктуры АО «В/О «Изотоп»</t>
  </si>
  <si>
    <t>{054-001-605} Формирование ИТ-инфраструктуры АО «Изотоп»</t>
  </si>
  <si>
    <t>{054-001-606} Производственные фонды АО  «Изотоп»</t>
  </si>
  <si>
    <t>{054-001-607} Мероприятия по повышению безопасности деятельности организаций</t>
  </si>
  <si>
    <t>{054-001-610} Разработка нового поколения гамма-терапевтического комплекса АГАТ</t>
  </si>
  <si>
    <t>{054-001-611} Техническая карточка по «Программе развития продуктового направления ядерной медицины и технологий»</t>
  </si>
  <si>
    <t>{054-001-612} Создание модулей синтеза для производства РФП</t>
  </si>
  <si>
    <t>{054-001-613} Разработка/локализация и производство диагностического оборудования для медицинских целей (разработка ОФЭКТ/КТ)</t>
  </si>
  <si>
    <t>{054-001-614} Разработка/локализация и производство диагностического оборудования для медицинских целей (разработка ПЭТ/КТ)</t>
  </si>
  <si>
    <t>{054-001-617} Создание на базе ПАО «КМЗ» учебного центра по изучению и практическому использованию инструментов бережливого производства</t>
  </si>
  <si>
    <t>{054-001-618} Приобретение лицензий для локальных информационных систем</t>
  </si>
  <si>
    <t>{054-001-620} Релокация и оборудование нового офиса АО "ОТЭК"</t>
  </si>
  <si>
    <t>{054-001-622} Хиагдинское месторождение</t>
  </si>
  <si>
    <t>{054-001-623} Источное месторождение</t>
  </si>
  <si>
    <t>{054-001-624} Вершинное месторождение</t>
  </si>
  <si>
    <t>{054-001-625} Количиканское месторождение</t>
  </si>
  <si>
    <t>{054-001-626} Дыбрынское месторождение</t>
  </si>
  <si>
    <t>{054-001-627} Намаруское месторождение</t>
  </si>
  <si>
    <t>{054-001-628} Тетрахское месторождение</t>
  </si>
  <si>
    <t>{054-001-629} Кореткондинское месторождение</t>
  </si>
  <si>
    <t>{054-001-630} Модернизация и оснащение парка метрологического оборудования ЦМИ АО «СНИИП»</t>
  </si>
  <si>
    <t>{054-001-631} Повышение эффективности комплекса инженерно-технических средств физической защиты Филиала АО «АЭМ-технологии» «Атоммаш»  в г. Волгодонск</t>
  </si>
  <si>
    <t>{054-001-632} «Приобретение ИТ-оборудования для бесперебойного обеспечения бизнес-процессов АО «ВНИИАЭС»</t>
  </si>
  <si>
    <t>{054-001-633} Ремонт фасада лабораторно-производственного корпуса (здание института) АО "НИИТФА"</t>
  </si>
  <si>
    <t>{054-001-634} Удаление SD11443172</t>
  </si>
  <si>
    <t>{054-001-635} Техническое перевооружение объектов электроснабжения индустриального парка "Нижние Котлы"</t>
  </si>
  <si>
    <t>{054-001-636} Техническое перевооружение производственного корпуса индустриального парка "Нижние котлы"</t>
  </si>
  <si>
    <t>{054-001-637} Ремонт фасада лабораторно-производственного корпуса (здание института АО "НИИТФА")</t>
  </si>
  <si>
    <t>{054-001-638} Оказание содействия в создании или совершенствовании национальной инфраструктуры атомной энергетики страны сооружающей или планирующей сооружение объекта/объектов использования атомной энергии по российским проектам</t>
  </si>
  <si>
    <t>{054-001-639} Разработка и продвижение продуктов дистанционного обучения на международном рынке (e-learning)</t>
  </si>
  <si>
    <t>{054-001-640} Удаление</t>
  </si>
  <si>
    <t>{054-001-641} Создание методов и инструментов проектного управления в АО "Русатом Оверсиз"</t>
  </si>
  <si>
    <t>{054-001-642} Приобретение трех транспортных средств для нужд АО "Атомэнергомаш"</t>
  </si>
  <si>
    <t>{054-001-643} Дивизиональная система бюджетирования и казначейских операций АО "Атомэнергомаш"</t>
  </si>
  <si>
    <t>{054-001-644} КВАНТЛАБ, ФГУП «ВНИИА»</t>
  </si>
  <si>
    <t>{054-001-645} Автоматизация оборудования</t>
  </si>
  <si>
    <t>{054-001-646} ГИДРОПРЕСС: РУ8-ГП</t>
  </si>
  <si>
    <t>{054-001-647} Организация производства ГЦ-11 в ООО "НПО "Центротех</t>
  </si>
  <si>
    <t>{054-001-648} Модернизация оборудования и внедрение базовых сервисов ИТ и ИБ в АО "ОТЭК"</t>
  </si>
  <si>
    <t>{054-001-649} Направление:  Производство сырьевых изотопов и изотопов фармацевтического качества и медицинских изделий</t>
  </si>
  <si>
    <t>{054-001-650} Направление: Медицинские услуги, в том числе создание и эксплуатация центров ядерной медицины</t>
  </si>
  <si>
    <t>{054-001-651} Направление: Создание и эксплуатация многофункциональных центров облучения</t>
  </si>
  <si>
    <t>{054-001-652} «Создание первоочередной инфраструктуры ОПВК»</t>
  </si>
  <si>
    <t>{054-001-653} Направление:  Прочие проекты программы развития продуктового направления ядерной медицины и технологий</t>
  </si>
  <si>
    <t>{054-001-654} Направление: Производство оборудования для ядерной медицины и радиологии</t>
  </si>
  <si>
    <t>{054-001-655} Направление: Разработка и реализация цифровых систем здравоохранения</t>
  </si>
  <si>
    <t>{054-001-657} «Создание первоочередной инфраструктуры ОПВК»</t>
  </si>
  <si>
    <t>{054-001-658} Отработка технологий вывода из эксплуатации на объектах АО «АЭХК»</t>
  </si>
  <si>
    <t>{054-001-659} Отработка технологий вывода из эксплуатации на объектах АО "АЭХК"</t>
  </si>
  <si>
    <t>{054-001-660} Качество Online</t>
  </si>
  <si>
    <t>{054-001-661} Создание системы охлаждения для стендовой базы АО «ЦКБМ»</t>
  </si>
  <si>
    <t>{054-001-663} Создание стенда чистой сборки ВКУ реактора Филиала АО "АЭМ-технологии" "Атоммаш" в г. Волгодонск</t>
  </si>
  <si>
    <t>{054-001-664} Разработка технологии и установки переработки ЖРО в АО «ВНИИНМ»</t>
  </si>
  <si>
    <t>{054-001-665} «Модернизация корпуса И-4 в осях 9-15 под размещение конференц-зала со вспомогательными помещениями»</t>
  </si>
  <si>
    <t>{054-001-666} Качество Online</t>
  </si>
  <si>
    <t>{054-001-667} Удаление</t>
  </si>
  <si>
    <t>{054-001-668} «Модернизация корпуса И-4 в осях 9-15 под размещение конференц-зала со вспомогательными помещениями»</t>
  </si>
  <si>
    <t>{054-001-669} Пожарная безопасность: необходимые работы по пожарной безопасности АО "В/О "Изотоп"</t>
  </si>
  <si>
    <t>{054-001-670} Обновление парка автотранспортных средств</t>
  </si>
  <si>
    <t>{054-001-671} Удаление</t>
  </si>
  <si>
    <t>{054-001-672} Типовые организационно-технические меры по обеспечению информационной и компьютерной безопасности АСУ ТП</t>
  </si>
  <si>
    <t>{054-001-673} Разработка обоснования инвестиций "Создание участка по выпуску электролитического порошка гафния и диоксида циркония в корпусе 750 АО ЧМЗ"</t>
  </si>
  <si>
    <t>{054-001-674} Осуществление подготовительных мероприятий к созданию ООО «Калина Телеком»</t>
  </si>
  <si>
    <t>{054-001-675} Строительство 1-го и 2-го (в серии из четырех) линейных ледоколов на СПГ топливе мощностью около 40 МВт / Ледоколы СПГ 1-2</t>
  </si>
  <si>
    <t>{054-001-676} Освоение серийного производства изделий 9Э245 и 9Э285</t>
  </si>
  <si>
    <t>{054-001-677} Корпоративный венчурный фонд Госкорпорации "Росатом"</t>
  </si>
  <si>
    <t>{054-001-678} Организация узла связи</t>
  </si>
  <si>
    <t>{054-001-679} Приобретение производственно- имущественного комплекса по выпуску перспективной продукции</t>
  </si>
  <si>
    <t>{054-001-680} Организация производства ГЦ-11 в АО «ВПО «Точмаш»</t>
  </si>
  <si>
    <t>{054-001-681} Освоение серийного производства изделия 9Э285</t>
  </si>
  <si>
    <t>{054-001-682} Создание региональной медицинской информационной системы (пилотный проект в Ярославской области)</t>
  </si>
  <si>
    <t>{054-001-683} Разработка обоснования инвестиций "Создание участка по производству крупногабаритной трубной металлопродукции в рамках проекта "Прорыв" на производственных площадях АО ЧМЗ"</t>
  </si>
  <si>
    <t>{054-001-684} Проработка проекта "CNG Композитные баллоны"</t>
  </si>
  <si>
    <t>{054-001-685} Создание опытно-промышленного участка получения тугоплавких соединений циркония и гафния</t>
  </si>
  <si>
    <t>{054-001-686} Электронная площадка «Биржа идей»</t>
  </si>
  <si>
    <t>{054-001-687} Получение технической документации на нежилые помещения АО "НПО "ЦНИИТМАШ"</t>
  </si>
  <si>
    <t>{054-001-688} Строительство 3-го и 4-го (в серии из четырех) линейных ледоколов на СПГ топливе мощностью около 40 МВт / Ледоколы СПГ 3-4</t>
  </si>
  <si>
    <t>{054-001-689} Строительство 3-го и 4-го серийных УАЛ проекта 22220 (4-го и 5-го УАЛ), судна АТО и плавдока / 3й и 4й СУАЛ + инфраструктура</t>
  </si>
  <si>
    <t>{054-001-690} Малогабаритный сварочный трактор для автоматической сварки под флюсом</t>
  </si>
  <si>
    <t>{054-001-691} Разработка РД участка синтеза С-13-мочевины</t>
  </si>
  <si>
    <t>{054-001-692} ОБИН перемещения (вывода) структурных подразделений из исследовательских корпусов «А» и «В»</t>
  </si>
  <si>
    <t>{054-001-693} "Строительство здания для организации производства металлообрабатывающего оборудования с ЧПУ", ("Станкостроение. Стройка "ПСЗ")</t>
  </si>
  <si>
    <t>{054-001-694} Модернизация и обновление специализированных транспортных активов, входящих в контур отраслевой программы реформирования специализированной транспортной инфраструктуры</t>
  </si>
  <si>
    <t>{054-001-695} Строительство площадки для контейнерных вычислителей на территории ОЦОД</t>
  </si>
  <si>
    <t>{054-001-697} Техническое перевооружение производства ГЦ в ПАО "КМЗ"</t>
  </si>
  <si>
    <t>{054-001-698} Создание мощностей Атоммаша под дорожную карту поставки оборудования для строящихся АЭС</t>
  </si>
  <si>
    <t>{054-001-699} Создание мощностей Петрозаводскмаша под дорожную карту поставки оборудования для строящихся АЭС</t>
  </si>
  <si>
    <t>{054-001-700} Создание отечественного промышленного производства высокотемпературных сверхпроводников с уровнем характеристик, соответствующих мировому</t>
  </si>
  <si>
    <t>{054-001-701} Модернизация объектов Калининского филиала «Калининатомтехэнерго» АО «Атомтехэнерго»</t>
  </si>
  <si>
    <t>{054-001-702} Поддержание в нормативном состоянии зданий, сооружений и помещений АТЭ</t>
  </si>
  <si>
    <t>{054-001-703} Техническое перевооружение основного технологического оборудования Института материаловедения АО "НПО "ЦНИИТМАШ"</t>
  </si>
  <si>
    <t>{054-001-705} Обновление парка автотранспортных средств среднего и бизнес классов</t>
  </si>
  <si>
    <t>{054-001-707} Сертификация оборудования НКУ и модернизация производственных мощностей ФГУП «УЭМЗ» с целью продвижения и сбыта на международном и российском рынках</t>
  </si>
  <si>
    <t>{054-001-708} SD10142536 Удаление</t>
  </si>
  <si>
    <t>{054-001-709} SD10142536 Удаление</t>
  </si>
  <si>
    <t>{054-001-710} SD10142536 Удаление</t>
  </si>
  <si>
    <t>{054-001-711} Создание совместного предприятия с ООО "ПитерЭнергоМаш"</t>
  </si>
  <si>
    <t>{054-001-712} SD10142536 Удаление</t>
  </si>
  <si>
    <t>{054-001-713} SD10142536 Удаление</t>
  </si>
  <si>
    <t>{054-001-714} SD10142536 Удаление</t>
  </si>
  <si>
    <t>{054-001-715} SD10142536 Удаление</t>
  </si>
  <si>
    <t>{054-001-716} Токопроводы с воздушной изоляцией</t>
  </si>
  <si>
    <t>{054-001-717} Разработка, опытное внедрение и организация серийного производства платформенного решения кластерной цифровой подстанции с гибкой функциональной структурой</t>
  </si>
  <si>
    <t>{054-001-718} Удаление</t>
  </si>
  <si>
    <t>{054-001-719} Удаление</t>
  </si>
  <si>
    <t>{054-001-720} SD10142536 Удаление</t>
  </si>
  <si>
    <t>{054-001-721} SD10142536 Удаление</t>
  </si>
  <si>
    <t>{054-001-722} Удаление</t>
  </si>
  <si>
    <t>{054-001-723} Удаление SD10439410</t>
  </si>
  <si>
    <t>{054-001-724} Внедрение электронного документооборота внутренних первичных документов</t>
  </si>
  <si>
    <t>{054-001-725} Приобретение автомобиля бизнес-класса TOYOTA CAMRY</t>
  </si>
  <si>
    <t>{054-001-726} Приобретение автомобиля Toyota Land Cruiser</t>
  </si>
  <si>
    <t>{054-001-727} Приобретение программно-аппаратного комплекса для цифровой инфраструктуры АО «КОНСИСТ-ОС»</t>
  </si>
  <si>
    <t>{054-001-728} Расширение узла связи</t>
  </si>
  <si>
    <t>{054-001-729} «Модернизация здания и систем ЛКК-2 АО «ВНИИАЭС»</t>
  </si>
  <si>
    <t>{054-001-730} Развитие приборного, методического и программно-технического обеспечения АО "ВНИИАЭС" для оценки радиационной безопасности объектов использования атомной энергии»</t>
  </si>
  <si>
    <t>{054-001-731} "Модернизация приборного парка АО «ВНИИАЭС»"</t>
  </si>
  <si>
    <t>{054-001-732} Создание системы Инженерно-технических средств физической защиты филиала АО "РИР" в г. Краснокаменске</t>
  </si>
  <si>
    <t>{054-001-733} Отработка технологий 3Д-печати изделий сложной конфигурации из тугоплавких металлов на примере вольфрама</t>
  </si>
  <si>
    <t>{054-001-734} Техническое перевооружение производства ГЦ в АО «ВПО «Точмаш»</t>
  </si>
  <si>
    <t>{054-001-737} «Приобретение комплекта оборудования для ультразвукового контроля элементов АЭС в целях продления сроков безопасной эксплуатации АЭС»</t>
  </si>
  <si>
    <t>{054-001-740} Модернизация комплекса инженерно-технических средств охраны АО «ВНИИАЭС»</t>
  </si>
  <si>
    <t>{054-001-741} Аванпроекты АО "Техснабэкспорт"</t>
  </si>
  <si>
    <t>{054-001-742} Удаление</t>
  </si>
  <si>
    <t>{054-001-743} Поддержание производственного комплекса АО «ЦКБМ» (2019-2023гг.)</t>
  </si>
  <si>
    <t>{054-001-744} Модернизация стенда для испытаний пар трения (стенд 521Л)</t>
  </si>
  <si>
    <t>{054-001-745} Создание систем дымоудаления на площадках АО «ЦКБМ»</t>
  </si>
  <si>
    <t>{054-001-746} Создание опытно-промышленной установки получения металлического скандия высокой чистоты</t>
  </si>
  <si>
    <t>{054-001-747} Удаление</t>
  </si>
  <si>
    <t>{054-001-748} Воздушное охлаждение емкостей на установке К-09 ОУ КИУ ЗРИ</t>
  </si>
  <si>
    <t>{054-001-749} Оптимизация схемы водооборота РХЗ АО «СХК»</t>
  </si>
  <si>
    <t>{054-001-750} Ликвидация объектов незавершенного строительства</t>
  </si>
  <si>
    <t>{054-001-751} Умный дом</t>
  </si>
  <si>
    <t>{054-001-752} Организация производства интеллектуальных приборов учёта электроэнергии</t>
  </si>
  <si>
    <t>{054-001-753} Внедрение АИИС КУЭ для бытовых потребителей</t>
  </si>
  <si>
    <t>{054-001-754} Приобретение конвертовальной оргтехники для нужд АО "АтомЭнергоСбыт"</t>
  </si>
  <si>
    <t>{054-001-755} Обеспечение бесперебойного электроснабжения и безопасности</t>
  </si>
  <si>
    <t>{054-001-756} Инвестиции в интеллектуальный капитал. 2 этап</t>
  </si>
  <si>
    <t>{054-001-757} Создание первоочередной инфраструктуры ОПВК (РосРАО)</t>
  </si>
  <si>
    <t>{054-001-758} Электронасосы для перекачивания сжиженных природных газов (СПГ)</t>
  </si>
  <si>
    <t>{054-001-759} Шаровая арматура на высокие параметры</t>
  </si>
  <si>
    <t>{054-001-760} Создание открытой локальной вычислительной сети в филиале "ЦКБМ-2"</t>
  </si>
  <si>
    <t>{054-001-761} Создание аппаратно-программного вычислительного инженерного комплекса</t>
  </si>
  <si>
    <t>{054-001-762} Модернизация теплообменного оборудования циркуляционной системы здания 251</t>
  </si>
  <si>
    <t>{054-001-763} Закупка вспомогательного оборудования для снижения износа дорогостоящих уникальных станков Ultrasonic</t>
  </si>
  <si>
    <t>{054-001-764} Модернизация производства для замены выбывающего из строя оборудования в результате израсходования ресурса</t>
  </si>
  <si>
    <t>{054-001-765} Восполнение и поддержание инженерных сетей, коммуникаций и объектов водоснабжения АО «ЗиО-Подольск»</t>
  </si>
  <si>
    <t>{054-001-766} Строительство столовой на территории ПАО «ЗиО-Подольск»</t>
  </si>
  <si>
    <t>{054-001-767} Компактизация АО "Радиевый институт им. В.Г. Хлопина"</t>
  </si>
  <si>
    <t>{054-001-768} Аванпроекты АО "НПК Химпроминжиниринг"</t>
  </si>
  <si>
    <t>{054-001-769} Развитие ГЦ-технологий для разделения стабильных и радиоактивных изотопов</t>
  </si>
  <si>
    <t>{054-001-770} Аванпроекты АО "ОКБМ Африкантов"</t>
  </si>
  <si>
    <t>{054-001-771} Реконструкция и модернизация имущественного комплекса АО "СНИИП" (5 этап)</t>
  </si>
  <si>
    <t>{054-001-772} Сертификация платформы технических средств «Алтай» для создания подсистем АСУ ТП</t>
  </si>
  <si>
    <t>{054-001-773} Расширение технологических возможностей и развитие производственной базы</t>
  </si>
  <si>
    <t>{054-001-774} Формирования пакета акций АО «Атомэнерго» в собственности отраслевых организаций ГК «Росатом» в 2018 году</t>
  </si>
  <si>
    <t>{054-001-775} Создание универсального теплогидравлического ПО для поддержки проектирования, эксплуатации и оптимизации конструкции РУ</t>
  </si>
  <si>
    <t>{054-001-776} Разработка блока ТЭН КД с повышенным сроком службы</t>
  </si>
  <si>
    <t>{054-001-777} Исследование характеристик сопротивления хрупкому разрушению основного металла и металла сварных швов корпуса реактора ВВЭР по российским и международным требованиям</t>
  </si>
  <si>
    <t>{054-001-778} Реализация пилотного акселератора Топливной компании</t>
  </si>
  <si>
    <t>{054-001-779} Приобретение прогрммно-аппаратного комплекса "Навигатор П6М"</t>
  </si>
  <si>
    <t>{054-001-780} Обновление автопарка предприятия</t>
  </si>
  <si>
    <t>{054-001-781} Замена устаревшего или выработавшего свой срок, приобретение нового технологического оборудования для производственной базы АО ОКБ "ГИДРОПРЕСС"</t>
  </si>
  <si>
    <t>{054-001-782} Разработка и обоснование конструкции металлической тепловой изоляции типа RMI</t>
  </si>
  <si>
    <t>{054-001-783} Разработка проточной части ГЦНА для сетей с частотой 60 Гц</t>
  </si>
  <si>
    <t>{054-001-784} Замена морально-устаревших и физически изношенных расходомерных устройств на стендовой базе ОКБ "ГИДРОПРЕСС"</t>
  </si>
  <si>
    <t>{054-001-785} «Компактизация машиностроительного и металлообрабатывающего производства» (переезд ООО «НЗХК – Инструмент)</t>
  </si>
  <si>
    <t>{054-001-786} Модернизация противопожарной защиты АО ОКБ "ГИДРОПРЕСС" (2-й этап)</t>
  </si>
  <si>
    <t>{054-001-787} Техническое перевооружение лабораторных аналитических комплексов АО «ВНИИНМ»</t>
  </si>
  <si>
    <t>{054-001-788} Подготовка Skills Summit и поддержка чемпионата Kazan 2019</t>
  </si>
  <si>
    <t>{054-001-789} Удаление SD12361444</t>
  </si>
  <si>
    <t>{054-001-790} Обоснование перспективных разработок (аванпроекты) Госкорпорации «Росатом»</t>
  </si>
  <si>
    <t>{054-001-791} Разработка тендерного проекта линейного ледокола на СПГ топливе под названием Акер Арк123 мощностью около 40000кВт</t>
  </si>
  <si>
    <t>{054-001-792} Программа «Тиражирование ТС УП ЯОК» (группа обеспечивающих проектов)</t>
  </si>
  <si>
    <t>{054-001-793} Аванпроекты АО "Русатом Хэлскеа"</t>
  </si>
  <si>
    <t>{054-001-794} Развитие инфраструктуры и вспомогательных служб предприятия АО ОКБ "ГИДРОПРЕСС" (2-ой этап)</t>
  </si>
  <si>
    <t>{054-001-795} Создание Системы управления проектами и программами.</t>
  </si>
  <si>
    <t>{054-001-796} Развитие Web-сайта  и внутреннего портала ТВЭЛ</t>
  </si>
  <si>
    <t>{054-001-797} Планирование производства по цепи поставок</t>
  </si>
  <si>
    <t>{054-001-798} Аванпроекты АО ИК "АСЭ"</t>
  </si>
  <si>
    <t>{054-001-799} «Создание первоочередной инфраструктуры ОПВК» (Гринвэй)</t>
  </si>
  <si>
    <t>{054-001-800} «Создание первоочередной инфраструктуры ОПВК» (Гринвэй)</t>
  </si>
  <si>
    <t>{054-001-801} Создание центра Аддитивных Технологий</t>
  </si>
  <si>
    <t>{054-001-802} Проведение экспериментальных исследований по ледокольной проводке танкеров СПГ по СМП</t>
  </si>
  <si>
    <t>{054-001-803} Разработка и внедрение системы корпоративных информационных сервисов «Цифровой помощник" (пилот)</t>
  </si>
  <si>
    <t>{054-001-804} Создание совместного предприятия по отработке технологий интенсификации добычи углеводородов</t>
  </si>
  <si>
    <t>{054-001-806} Разработка библиотеки НТД, регламентирующей проектирование временных дорог на площадках строительства АЭС и применение новых материалов из ПКМ в дорожном строительстве</t>
  </si>
  <si>
    <t>{054-001-807} Удаление SD11922739</t>
  </si>
  <si>
    <t>{054-001-808} Контрактация на услуги ЖЦ АЭС «Руппур» в Бангладеш</t>
  </si>
  <si>
    <t>{054-001-809} АЭС в Саудовской Аравии</t>
  </si>
  <si>
    <t>{054-001-810} Разработка и производство композитных лопастей ветрогенераторов</t>
  </si>
  <si>
    <t>{054-001-811} Поставка оборудования и оказание услуг по проекту CFR-600 в Китай</t>
  </si>
  <si>
    <t>{054-001-812} АЭС в Узбекистане</t>
  </si>
  <si>
    <t>{054-001-813} Удаление Сопровождение сооружения исследовательского центра в Боливии</t>
  </si>
  <si>
    <t>{054-001-814} ЦЯНТ в Нигерии</t>
  </si>
  <si>
    <t>{054-001-815} АЭС в Нигерии</t>
  </si>
  <si>
    <t>{054-001-816} АЭС в Судане</t>
  </si>
  <si>
    <t>{054-001-817} Собственные нужды АО "ТВЭЛ". Релокация в новый офис</t>
  </si>
  <si>
    <t>{054-001-818} Пожарная безопасность: необходимые работы по пожарной безопасности АО "Изотоп"</t>
  </si>
  <si>
    <t>{054-001-819} Физическая защита АО "Изотоп"</t>
  </si>
  <si>
    <t>{054-001-820} Физическая защита АО "В/О "Изотоп"</t>
  </si>
  <si>
    <t>{054-001-821} Создание автоматизированной информационной системы "Госстройнадзор"</t>
  </si>
  <si>
    <t>{054-001-823} Разработка и внедрение Отраслевой информационной системы мониторинга и актуализации цен строительных ресурсов за рубежом</t>
  </si>
  <si>
    <t>{054-001-824} Пилотный проект по автоматизации процесса создания и исполнения документов в ЕОСДО</t>
  </si>
  <si>
    <t>{054-001-825} Оценка возможности создания новых продуктов ОПД</t>
  </si>
  <si>
    <t>{054-001-826} Модернизация производства для топливообеспечения реактора CFR-600</t>
  </si>
  <si>
    <t>{054-001-827} Обновление и модернизация основных фондов</t>
  </si>
  <si>
    <t>{054-001-828} Развитие инфраструктуры ООО "ВдМУ"</t>
  </si>
  <si>
    <t>{054-001-829} ИТ-проект ООО "ВдМУ"</t>
  </si>
  <si>
    <t>{054-001-830} Программа развития базы строительной техники и оборудования ООО "ВдМУ"</t>
  </si>
  <si>
    <t>{054-001-831} Развитие инфраструктуры ООО «СМУ №1»</t>
  </si>
  <si>
    <t>{054-001-832} ИТ-проект ООО "СМУ №1"</t>
  </si>
  <si>
    <t>{054-001-833} Программа развития базы строительной техники и оборудования ООО "СМУ №1"</t>
  </si>
  <si>
    <t>{054-001-834} Создание материально-технической базы и реализация мероприятий для повышения компетенций ЦКВЭ АО "СХК"</t>
  </si>
  <si>
    <t>{054-001-835} Мобильное дистанционное обучение</t>
  </si>
  <si>
    <t>{054-001-836} Комплекс обращения с РАО БН-350 (Казахстан)</t>
  </si>
  <si>
    <t>{054-001-837} Создание интегратора по бизнес направлению "Продукты и услуги для нефтегазовой отрасли"</t>
  </si>
  <si>
    <t>{054-001-838} Проведение комплексного прединвестиционного исследования (проверки) ООО "Медскан"</t>
  </si>
  <si>
    <t>{054-001-839} Поддержание производственных мощностей "Литейного завода "Петрозаводскмаш".</t>
  </si>
  <si>
    <t>{054-001-840} Логистика строящихся АЭС  за рубежом</t>
  </si>
  <si>
    <t>{054-001-841} Проекты развития ООО "Русатом инфраструктурные решения"</t>
  </si>
  <si>
    <t>{054-001-842} Программа исследования свойств веществ в экстремальных состояниях (высокие температуры, давление, облучение)</t>
  </si>
  <si>
    <t>{054-001-843} Направление: Прочие проекты 2-ой фазы Программы развития продуктового направления ядерной медицины и технологий</t>
  </si>
  <si>
    <t>{054-001-845} Модернизация вспомогательных систем ПВХРО и здания 657 цеха №1 РЗ</t>
  </si>
  <si>
    <t>{054-001-846} Новый дизайн рабочего пространства ФГУП «ГХК»</t>
  </si>
  <si>
    <t>{054-001-851} Поддержание ИТ инфраструктуры филиала АО «АЭМ-технологии» «Атоммаш» в г. Волгодонск</t>
  </si>
  <si>
    <t>{054-001-852} Проведение комплексного прединвестиционного исследования (проверки) ООО "ПЭТРУСКО"</t>
  </si>
  <si>
    <t>{054-001-853} ЦЯНТ в Монголии</t>
  </si>
  <si>
    <t>{054-001-854} Разработка и производство отечественных систем ЧПУ с защитой от несанкционированного доступа / Система ЧПУ</t>
  </si>
  <si>
    <t>{054-001-855} Аванпроекты Топливной компании на 2018</t>
  </si>
  <si>
    <t>{054-001-856} Формирование системы учета выбросов парниковых газов в организациях Госкорпорации «Росатом»</t>
  </si>
  <si>
    <t>{054-001-857} Строительство первой очереди пункта хранения ТРО (сооружение 103) ФГУП «РАДОН»</t>
  </si>
  <si>
    <t>{054-001-858} Замена теплоэлектроцентрали (ТЭЦ) с избыточной невостребованной мощностью на современную блочно-модульную котельную (БМК)</t>
  </si>
  <si>
    <t>{054-001-859} Энергосервис</t>
  </si>
  <si>
    <t>{054-001-860} Развитие системы ОАЗИС</t>
  </si>
  <si>
    <t>{054-001-861} Расширение функционала специального контрольно-аналитического блока ("СКБ Партнер")</t>
  </si>
  <si>
    <t>{054-001-862} Повышение эффективности комплекса инженерно-технических средств физической защиты Филиала АО "АЭМ-технологии" "Петрозаводскмаш" в г.Петрозаводск</t>
  </si>
  <si>
    <t>{054-001-863} Патентование изобретений по процедуре РСТ за рубежом</t>
  </si>
  <si>
    <t>{054-001-864} Аванпроекты ООО "Русатом-Аддитивные Технологии"</t>
  </si>
  <si>
    <t>{054-001-865} Разработка и создание сверхпроводниковых генераторов большой мощности для ветровых энергетических установок нового поколения</t>
  </si>
  <si>
    <t>{054-001-866} Создание отечественного производства криостатов для ВТСП кабелей и криогенных автономных систем (СКО) нормативного ряда диапазона 20-80 К для сверхпроводникового оборудования</t>
  </si>
  <si>
    <t>{054-001-867} Разработка и создание высокотемпературных сверхпроводящих систем вывода энергии энергоблоков электростанций и электрических сетей</t>
  </si>
  <si>
    <t>{054-001-868} Создание ООО "Русатом Гринвэй" нового бизнеса в области переработки органических отходов V класса опасности на базе зависимого общества ООО "Сотек"</t>
  </si>
  <si>
    <t>{054-001-869} Переход на многооборотную тару</t>
  </si>
  <si>
    <t>{054-001-871} Разработка концепции ИС "Публичная информационная модель эксплуатирующей организации"</t>
  </si>
  <si>
    <t>{054-001-872} Механизация строительной площадки в Египте (АЭС "Эль-Дабаа") для выполнения СМР</t>
  </si>
  <si>
    <t>{054-001-873} Инфраструктура 2. Создание и развитие инфраструктуры Египетского филиала (АЭС "Эль-Дабаа")</t>
  </si>
  <si>
    <t>{054-001-874} Развитие Технической Академии Росатома</t>
  </si>
  <si>
    <t>{054-001-879} Разработка плана пилотного проекта создания сети подразделений и филиалов на базе отраслевого архивного оператора ЧУ "Центратомархив"</t>
  </si>
  <si>
    <t>{054-001-880} Создание производства хлорида алюминия особо чистого</t>
  </si>
  <si>
    <t>{054-001-881} Создание сети телемедицинских модулей "Модули здоровья"</t>
  </si>
  <si>
    <t>{054-001-882} Приобретение служебных автомобилей для загранпредствителей ГК "Росатом"</t>
  </si>
  <si>
    <t>{054-001-883} Строительство головного ледокола "Лидер" / Ледокол Лидер 1</t>
  </si>
  <si>
    <t>{054-001-885} «Модернизация корпуса И-4 в осях 9-15 под размещение конференц-зала со вспомогательными помещениями»</t>
  </si>
  <si>
    <t>{054-001-886} Реализация мероприятий по организации, проведению и сопровождению корпоративной программы для интегратора Госкорпорации "Росатом" -  Rusatom Healthcare - в формате серии стратегических сессий, межмодульной работы и подготовки презентационных обзоров</t>
  </si>
  <si>
    <t>{054-001-887} Создание корпоративной защищенной сети передачи данных нового поколения</t>
  </si>
  <si>
    <t>{054-001-888} Развитие защищенной корпоративной почтовой системы</t>
  </si>
  <si>
    <t>{054-001-889} Совершенствование материально-технической базы ФГУП "Атом-охрана" для обеспечения надежной защиты объектов организаций атомной отрасли в 2019 году</t>
  </si>
  <si>
    <t>{054-001-890} Комплекс мультимедиа системы с возможностью формирования информационного контента</t>
  </si>
  <si>
    <t>{054-001-891} Техническое перевооружение лабораторных аналитических комплексов АО «ВНИИНМ»</t>
  </si>
  <si>
    <t>{054-001-892} ОКР Композит</t>
  </si>
  <si>
    <t>{054-001-893} Приобретение ноутбуков для нужд АО «Атомэнергомаш» в 2018-2020 гг.</t>
  </si>
  <si>
    <t>{054-001-894} Научные аванпроекты выполняемые АО «НПО «ЦНИИТМАШ» по заказу АО «Атомэнергомаш»</t>
  </si>
  <si>
    <t>{054-001-896} Проведение маркетингового исследования рынка приводов и винтовых передач специального назначения для расширения компетенций АО "ВПО "Точмаш"</t>
  </si>
  <si>
    <t>{054-001-897} Обновление и модернизация основных средств (приобретение телекоммуникационного, серверного оборудования, материалов и комплектующих для служебной локальной информационной сети ФГУП КЦ «Атомбезопасность»)</t>
  </si>
  <si>
    <t>{054-001-898} Модернизация системы видеоконференцсвязи для нужд АО «Атомэнергомаш»</t>
  </si>
  <si>
    <t>{054-001-899} Разработка способов повышения безопасности и эффективности производства кальция</t>
  </si>
  <si>
    <t>{054-001-900} Обновление автомобильного парка филиала АО "АЭМ-технологии" "Петрозаводскмаш" с целью обеспечения производства качественными транспортными услугами.</t>
  </si>
  <si>
    <t>{054-001-901} Актуализация методологии формирования консолидированного бюджета в соответствии с принципами формирования отчетности по МСФО</t>
  </si>
  <si>
    <t>{054-001-903} Обновление и модернизация основных средств АО КЦ "Атомбезопасность"</t>
  </si>
  <si>
    <t>{054-001-904} Развитие инфраструктуры ЦОД под новые ИТ проекты и тиражи</t>
  </si>
  <si>
    <t>{054-001-905} Модернизация инфраструктуры ЦОД</t>
  </si>
  <si>
    <t>{054-001-906} Личный кабинет работника</t>
  </si>
  <si>
    <t>{054-001-907} Разработка проектной документации «Реконструкция здания Б-1 для склада временного хранения делящихся материалов (ДМ) АО «ВНИИНМ» на основании ранее разработанной проектной документации»</t>
  </si>
  <si>
    <t>{054-001-908} Создание автоматизированного комплекса контроля внешнего вида оболочек РБМК</t>
  </si>
  <si>
    <t>{054-001-909} Приобретение лицензий и техподдержки на ПО Oracle Primavera для нужд АО «Атомэнергомаш» в 2018 году</t>
  </si>
  <si>
    <t>{054-001-910} Развитие подсистемы по учету ОЯТ в составе СГУК ЯМ</t>
  </si>
  <si>
    <t>{054-001-911} Разработка концепции цифровой модели ОИАЭ на стадии ВЭ</t>
  </si>
  <si>
    <t>{054-001-912} Аванпроекты АО "Наука и инновации"</t>
  </si>
  <si>
    <t>{054-001-913} Проект создания информационной системы управления жизненным циклом изделий для обеспечения единой точки консолидации процессов конструирования и производства АО "Атомэнергомаш"</t>
  </si>
  <si>
    <t>{054-001-914} Имущественный взнос в ООО "РусАТ" для обеспечения финансирования аванпроектов</t>
  </si>
  <si>
    <t>{054-001-915} Имущественный взнос в ООО "РусАТ" для обеспечения финансирования аванпроектов</t>
  </si>
  <si>
    <t>{054-001-916} Создание производства металлического натрия</t>
  </si>
  <si>
    <t>{054-001-917} Обновление ИТ-инфраструктуры в соответствии с корпоративными стандартами бизнес-процессов</t>
  </si>
  <si>
    <t>{054-001-918} SD10142536 Удаление</t>
  </si>
  <si>
    <t>{054-001-919} Создание стендового комплекса для испытаний криогенного оборудования</t>
  </si>
  <si>
    <t>{054-001-920} Тиражирование типового решения управления ресурсами предприятия на базе SAP ERP в АО «ВНИИНМ» и АО «ВПО «Точмаш»</t>
  </si>
  <si>
    <t>{054-001-921} Создание системы подготовки управленческой отчетности и визуализации данных</t>
  </si>
  <si>
    <t>{054-001-922} Автоматизация контроля входящей документации в проектах изготовления и поставки оборудования АЭС</t>
  </si>
  <si>
    <t>{054-001-923} Система по управлению нормативно-справочной информацией машиностроительного дивизиона (MDM)</t>
  </si>
  <si>
    <t>{054-001-924} Приобретение калибратора АК-1000</t>
  </si>
  <si>
    <t>{054-001-925} Модернизация электрооборудования трансформаторной подстанции ТП3 АО «СвердНИИхиммаш»</t>
  </si>
  <si>
    <t>{054-001-926} Isondo</t>
  </si>
  <si>
    <t>{054-001-927} Постройка складского помещения АО «СвердНИИхиммаш»</t>
  </si>
  <si>
    <t>{054-001-928} Установка кондиционеров воздуха в кабинетах конструкторских групп здания 1,6 АО «СвердНИИхиммаш»</t>
  </si>
  <si>
    <t>{054-001-929} Увеличение производственных возможностей по выпуску оптических элементов на основе покрытий с экстремально высокими характеристиками, получаемыми методом ионно-лучевого распыления</t>
  </si>
  <si>
    <t>{054-001-930} Приповерхностный пункт захоронения твердых радиоактивных отходов 3 и 4 классов (Томская область, городской округ - ЗАТО Северск)"</t>
  </si>
  <si>
    <t>{054-001-931} ОБИН перемещения (вывода) структурных подразделений из исследовательских корпусов «А» и «В»</t>
  </si>
  <si>
    <t>{054-001-932} Проект создания информационной системы управления жизненным циклом изделий для обеспечения единой точки консолидации процессов конструирования и производства АО "ЗиО-Подольск"</t>
  </si>
  <si>
    <t>{054-001-933} Проект создания информационной системы управления жизненным циклом изделий для обеспечения единой точки консолидации процессов конструирования и производства ООО "ААЭМ"</t>
  </si>
  <si>
    <t>{054-001-934} Создание единой дивизиональной информационной  системы управления данными об изделиях Топливной компании (PDM ТК)</t>
  </si>
  <si>
    <t>{054-001-935} Разработка концептуального проекта создания Цифровой производственной ячейки</t>
  </si>
  <si>
    <t>{054-001-936} Тиражирование лабораторной информационной системы</t>
  </si>
  <si>
    <t>{054-001-937} Модернизация блоков (страт.)</t>
  </si>
  <si>
    <t>{054-001-938} «Центр компетенций ПАО «МСЗ» по направлению «Лабораторный химический анализ»</t>
  </si>
  <si>
    <t>{054-001-939} Создание систем видеонаблюдения на площадках АО «ЦКБМ»</t>
  </si>
  <si>
    <t>{054-001-940} Разработка технологии получения ниобия с высоким RRR для сверхпроводящих резонаторов</t>
  </si>
  <si>
    <t>{054-001-941} Инфраструктура Хиагдинского предприятия</t>
  </si>
  <si>
    <t>{054-001-942} «Создание инфраструктуры, обеспечивающей безопасное обращение с отходами I-II классов опасности»</t>
  </si>
  <si>
    <t>{054-001-943} Создание государственной информационной системы учета и контроля за обращением с отходами I и II классов опасности</t>
  </si>
  <si>
    <t>{054-001-944} Создание инфраструктуры, обеспечивающей безопасное обращение с отходами I-II классов опасности (Гринвэй)</t>
  </si>
  <si>
    <t>{054-001-945} Создание основной инфраструктуры ООО «Русатом Гринвэй» по обращению с отходами всех классов опасности</t>
  </si>
  <si>
    <t>{054-001-946} Разворачивание Центра компетенций «Мехатроника» в рамках проекта «WorldSkills»</t>
  </si>
  <si>
    <t>{054-001-947} Экспериментальное исследование возможности обогащения короткоживущего радиоизотопа молибден-99 газоцентрифужным способом</t>
  </si>
  <si>
    <t>{054-001-948} Техническое оснащение для строительного монтажа сооружения станции АЭС Аккую</t>
  </si>
  <si>
    <t>{054-001-949} Приобретение IT-оборудования и внедрение программного обеспечения для автоматизации бизнес-процессов</t>
  </si>
  <si>
    <t>{054-001-950} Техническое оснащение для выполнения строительных работ на «КуАЭС-2»</t>
  </si>
  <si>
    <t>{054-001-951} Техническое оснащение автотранспортом для выполнения СМР при сооружении на «ЛАЭС-2»</t>
  </si>
  <si>
    <t>{054-001-952} Строительство опреснительного завода "Кендерли" в г. Жанаозен по производству питьевой воды</t>
  </si>
  <si>
    <t>{054-001-953} Техническое перевооружение отдела разработки технологии циркониевых сплавов, изделий и материалов ТВС тепловых реакторов</t>
  </si>
  <si>
    <t>{054-001-954} Развитие системы оперативного управления производством в ПАО «МСЗ»</t>
  </si>
  <si>
    <t>{054-001-955} МЕДИЦИНА, ФГУП «ВНИИА»</t>
  </si>
  <si>
    <t>{054-001-956} Перемещение Центральной заводской лаборатории</t>
  </si>
  <si>
    <t>{054-001-957} Создание новой КИУ</t>
  </si>
  <si>
    <t>{054-001-958} Перемещение химико-металлургического цеха</t>
  </si>
  <si>
    <t>{054-001-959} Релокация ГЦ-8</t>
  </si>
  <si>
    <t>{054-001-960} Тиражирование функциональности управления качеством в SAP ERP ТК</t>
  </si>
  <si>
    <t>{054-001-961} Перевод SAP ERP ТК на платформу S4/HANA</t>
  </si>
  <si>
    <t>{054-001-962} Тиражирование типовой функциональности ТОРО на базе SAP ERP на предприятиях 1-й очереди</t>
  </si>
  <si>
    <t>{054-001-963} Пилотное внедрение мобильного ТОРО и функциональности мультиресурсного планирования ТОРО</t>
  </si>
  <si>
    <t>{054-001-964} Развитие филиала АО «ОТЭК» в г. Глазове. Централизация систем ресурсообеспечения г. Глазова.</t>
  </si>
  <si>
    <t>{054-001-965} Создание опытного производства по выращиванию монокристаллов арсенида галлия и изготовлению из них «epi-ready» пластин для электронных приборов широкого спектра применения</t>
  </si>
  <si>
    <t>{054-001-966} Концессия г. Лесной</t>
  </si>
  <si>
    <t>{054-001-967} Концессия г. Саров</t>
  </si>
  <si>
    <t>{054-001-968} Базовая платформа</t>
  </si>
  <si>
    <t>{054-001-969} Приобретение автомобиля TOYOTA CAMRY</t>
  </si>
  <si>
    <t>{054-001-970} Внедрение автоматизированной информационной системы по управлению нормативной и технической документацией АО «Атомэнергомаш»</t>
  </si>
  <si>
    <t>{054-001-971} Реализация механизма «облачной» электронной подписи для международных бизнесов</t>
  </si>
  <si>
    <t>{054-001-972} Создание «мобильного» места сотрудника при работе с корпоративными информационными системами</t>
  </si>
  <si>
    <t>{054-001-973} Строительство объекта окончательной изоляции радиоактивных отходов 1-го и 2-го классов (Красноярский край, Нижне-Канский массив)</t>
  </si>
  <si>
    <t>{054-001-974} Строительство Приповерхностного пункта захоронения твердых радиоактивных отходов 3 и 4 классов (Челябинская область, Озерский городской округ)</t>
  </si>
  <si>
    <t>{054-001-975} Пункт хранения радиоактивных отходов, предназначенный для размещения радиоактивных отходов 3,4 классов без намерения их последующего извлечения в Московской области в районе размещения ФГУП «РАДОН»</t>
  </si>
  <si>
    <t>{054-001-976} Реконструкция пункта приповерхностного захоронения твердых радиоактивных отходов г. Новоуральск</t>
  </si>
  <si>
    <t>{054-001-977} Создание центра аддитивных технологий в г. Новоуральск</t>
  </si>
  <si>
    <t>{054-001-978} Создание опытной установки получения аддитивных металлических порошков методом центробежного плазменного распыления</t>
  </si>
  <si>
    <t>{054-001-979} Компактизация АО "ВНИИХТ"</t>
  </si>
  <si>
    <t>{054-001-980} Реконструкция электроснабжения электросталеплавильных агрегатов ПАО "ЭМСС"</t>
  </si>
  <si>
    <t>{054-001-981} Обновление парка автотранспортных средств представительского класса.</t>
  </si>
  <si>
    <t>{054-001-982} Создание Единой теплоснабжающей организации в г. Нововоронеж</t>
  </si>
  <si>
    <t>{054-001-983} Локализация производства радиологического диагностического оборудования</t>
  </si>
  <si>
    <t>{054-001-984} Проведение комплексного предынвестиционного исследования (проверки) и оценки рыночной стоимости ООО «СКБ «Тензор»</t>
  </si>
  <si>
    <t>{054-001-985} «Приобретение интерактивного видеоролика 360 для демонстрации на российских и международных выставках с целью повышения узнаваемости и  поддержания имиджа бренда АО «РАСУ»</t>
  </si>
  <si>
    <t>{054-001-986} Разработка и регистрация графического редактора «ГРЕСПО» в Роспатенте с целью обеспечения соответствия требованиям заказчиков, унификации и автоматизации процессов проектирования и верификации АСУ ТП</t>
  </si>
  <si>
    <t>{054-001-987} Обеспечение организационно-технических мероприятий по защите корпоративной информации</t>
  </si>
  <si>
    <t>{054-001-988} Организация производства автономных вегетационных комплексов и питательных концентратов на ОХТЗ АО "ВНИИХТ"</t>
  </si>
  <si>
    <t>{054-001-989} ЭВП</t>
  </si>
  <si>
    <t>{054-001-990} Покупка долей в компании ООО "Аддитивные Технологии"</t>
  </si>
  <si>
    <t>{054-001-991} Покупка долей в компании ООО "Донской инжиниринговый центр"</t>
  </si>
  <si>
    <t>{054-001-992} Удаление SD10208563</t>
  </si>
  <si>
    <t>{054-001-993} Удаление SD10248770</t>
  </si>
  <si>
    <t>{054-001-994} Эффекты от проектов стратегической программы по направлению «Аддитивные технологии»</t>
  </si>
  <si>
    <t>{054-001-995} Независимый оператор сети банкоматов</t>
  </si>
  <si>
    <t>{054-001-996} Организация участка отжига в цехе №80</t>
  </si>
  <si>
    <t>{054-001-997} Информационно-техническая безопасность предприятия</t>
  </si>
  <si>
    <t>{054-001-998} Разработка технологического процесса по изготовлению углеродной арматуры с изготовлением опытной партии.</t>
  </si>
  <si>
    <t>{054-001-999} Развитие инфраструктуры ЦОД для корпоративных систем</t>
  </si>
  <si>
    <t>{054-002-000} Передача федерального имущества в собственность АО ЧМЗ</t>
  </si>
  <si>
    <t>{054-002-001} Создание фармацевтического бизнеса АО «РХК» совместно с АО «Р-Фарм»</t>
  </si>
  <si>
    <t>{054-002-002} Реконструкция систем физической защиты ПХРО Кирово-Чепецкого отделения филиала "Приволжский территориальный округ" ФГУП "РосРАО"</t>
  </si>
  <si>
    <t>{054-002-003} Обновление автобусного парка в соответствии с отраслевыми требованиями</t>
  </si>
  <si>
    <t>{054-002-004} Создание современного фармацевтического производства изотопной продукции медицинского назначения на площадке АО "НИФХИ им. Л.Я. Карпова"</t>
  </si>
  <si>
    <t>{054-002-005} ИТ инфраструктура в ООО "АЛАБУГА-ВОЛОКНО"</t>
  </si>
  <si>
    <t>{054-002-006} ИТ инфраструктура в ООО "АРГОН"</t>
  </si>
  <si>
    <t>{054-002-007} ИТ инфрастуктура в ООО "ЗУКМ"</t>
  </si>
  <si>
    <t>{054-002-008} Удаление SD10465996</t>
  </si>
  <si>
    <t>{054-002-009} Создание комплексного испытательного центра на базе ВЭИ и ВНИЦ РФЯЦ-ВНИИТФ</t>
  </si>
  <si>
    <t>{054-002-010} Разработка и реферирование систем длительного хранения ОЯТ/ВАО для зарубежных АЭС</t>
  </si>
  <si>
    <t>{054-002-011} Тематическая экспозиция на а/л "Ленин"</t>
  </si>
  <si>
    <t>{054-002-012} Создание аффинажного производства на площадке № 5 СЗ АО «СХК»</t>
  </si>
  <si>
    <t>{054-002-013} Внедрение сервиса IP телефонии в Госкорпорации "Росатом"</t>
  </si>
  <si>
    <t>{054-002-014} Композит</t>
  </si>
  <si>
    <t>{054-002-015} Модернизация ТЭЦ филиала АО «ОТЭК» в г. Северске (1 этап)</t>
  </si>
  <si>
    <t>{054-002-016} Обеспечение стабильности производственной деятельности ООО "ЗУКМ"</t>
  </si>
  <si>
    <t>{054-002-017} Переоснащение отдела разработки твэлов с урановым топливом вычислительной техникой</t>
  </si>
  <si>
    <t>{054-002-018} Создание комплекса по разработке и производству медицинской радиоизотопной продукции по международным стандартам</t>
  </si>
  <si>
    <t>{054-002-019} RADIUM 2018</t>
  </si>
  <si>
    <t>{054-002-020} «Разработка модуля системы учета, анализа и использования опыта эксплуатации «АКУРА» в целях обеспечения безопасной, надежной и экономически эффективной эксплуатации оборудования и систем АСУ ТП на АЭС»</t>
  </si>
  <si>
    <t>{054-002-021} SD10142536 Удаление</t>
  </si>
  <si>
    <t>{054-002-022} SD10142536 Удаление</t>
  </si>
  <si>
    <t>{054-002-023} SD10142536 Удаление</t>
  </si>
  <si>
    <t>{054-002-026} Разработка и создание сложных технических систем. Пилотный проект «Цифровой добычной комплекс» «ЦДК»</t>
  </si>
  <si>
    <t>{054-002-027} Обновление автопарка филиала АО «АЭМ-технологии» «Атоммаш» в г. Волгодонск. 1 очередь</t>
  </si>
  <si>
    <t>{054-002-028} Обновление автопарка филиала АО «АЭМ-технологии» «Атоммаш» в г. Волгодонск. 1 очередь</t>
  </si>
  <si>
    <t>{054-002-029} Школа закупок, МТО и качества</t>
  </si>
  <si>
    <t>{054-002-030} Приобретение исключительных прав на базовую платформу «Умный город» ООО «РИР»</t>
  </si>
  <si>
    <t>{054-002-036} Приобретение автоматизированной системы вибрационного мониторинга технического состояния и диагностики дефектов динамического оборудования</t>
  </si>
  <si>
    <t>{054-002-037} Разработка и внедрение автоматизированной системы управления финансами проектов</t>
  </si>
  <si>
    <t>{054-002-038} Создание перерабатывающего производства ЗШМ в ЮАР</t>
  </si>
  <si>
    <t>{054-002-039} Малогабаритные газотурбинные установки</t>
  </si>
  <si>
    <t>{054-002-040} Проведение исследования на тему «Диагностика восприятия имиджа Госкорпорации «Росатом» как «цифровой компании»</t>
  </si>
  <si>
    <t>{054-002-041} Разработка конструкций и технологий изготовления оборудования с применением методов цифрового инжиниринга</t>
  </si>
  <si>
    <t>{054-002-042} Разработка ТП и НИОКР в обоснование опытно-демонстрационного энергоблока с реактором на быстрых нейтронах со свинцовым теплоносителем.</t>
  </si>
  <si>
    <t>{054-002-043} Разработка и обоснование технологии и оборудования для фабрикации и рефабрикации плотного смешанного уранплутониевого топлива реакторов на быстрых нейтронах</t>
  </si>
  <si>
    <t>{054-002-044} Разработка и обоснование технологических и проектно-конструкторских решений, касающихся гидрометаллургических переделов для пристанционного блока по переработке отработавшего ядерного топлива реакторов на быстрых нейтронах</t>
  </si>
  <si>
    <t>{054-002-045} Расчетно-экспериментальное обоснование радиационно-эквивалентного удаления радиоактивных отходов ЗЯТЦ на основе РБН, разработка обеспечивающих технологий и оборудования</t>
  </si>
  <si>
    <t>{054-002-046} Разработка интегрированных систем кодов нового поколения для разработки и обоснования безопасности ядерных реакторов, проектирования АЭС, создания технологий и объектов ядерного топливного цикла.</t>
  </si>
  <si>
    <t>{054-002-047} Разработка и обоснование перспективных конструкционных материалов для реакторов на быстрых нейтронах</t>
  </si>
  <si>
    <t>{054-002-048} Верификация, доработка и аттестация проектных кодов для выполнения проектно-конструкторских работ и обоснования безопасности реакторных установок на быстрых нейтронах</t>
  </si>
  <si>
    <t>{054-002-049} Разработка интегрирующих проектов, информационных систем и СУТ опытно-демонстрационного и промышленного энергокомплексов с реакторами на быстрых нейтронах с замкнутым ядерно-топливным циклом, отвечающих принципам естественной безопасности и конкурентоспособности</t>
  </si>
  <si>
    <t>{054-002-050} Обоснование санитарно-гигиенических требований для ОДЭК, НТД и ФНП</t>
  </si>
  <si>
    <t>{054-002-051} Разработка технологий и оборудования для пирохимической переработки ОЯТ реакторов на быстрых нейтронах</t>
  </si>
  <si>
    <t>{054-002-052} НИОКР Создание экспериментального комплекса для испытания вибрационной модели парогенератора РУ БРЕСТ-ОД-300</t>
  </si>
  <si>
    <t>{054-002-053} НИОКР Создание стендовой базы для проведения испытаний ГЦНА РУ БРЕСТ-ОД-300 и приемо-сдаточных испытаний главного циркуляционного насосного агрегата</t>
  </si>
  <si>
    <t>{054-002-054} Разработка АСУ ОДЭК</t>
  </si>
  <si>
    <t>{054-002-055} Разработка и поэтапное обоснование твэла с нитридным топливом и конструкционных материалов ТВС для реакторов на быстрых нейтронах на среднюю глубину выгорания до 12 % т.а.</t>
  </si>
  <si>
    <t>{054-002-056} Управление программой</t>
  </si>
  <si>
    <t>{054-002-057} Развитие интегрированной системы кодов нового поколения для разработки, обоснования безопасности, оптимизации и проведения виртуальных испытаний технологий и установок ПЭК</t>
  </si>
  <si>
    <t>{054-002-058} Разработка технологий и оборудования для плазменной переработки ОЯТ реакторов на быстрых нейтронах</t>
  </si>
  <si>
    <t>{054-002-059} Проведение НИОКР на базе ОДЭК в обоснование ПЭК (ПНИЭР на ОДЭК)</t>
  </si>
  <si>
    <t>{054-002-060} Научно-исследовательские и опытно-конструкторские работы по проекту реакторной установки БН-1200М и части общестанционного оборудования и вспомогательных систем реакторного отделения</t>
  </si>
  <si>
    <t>{054-002-061} Проектное обоснование конкурентоспособности для энергоблока с РУ БН-1200М</t>
  </si>
  <si>
    <t>{054-002-062} Разработка нормативно-технической документации для ПЭК</t>
  </si>
  <si>
    <t>{054-002-063} Разработка промышленной технологии и оборудования для переработки отработавшего топлива ядерных реакторов на быстрых нейтронах</t>
  </si>
  <si>
    <t>{054-002-064} Проведение научно-исследовательских и опытно-конструкторских работ для создания коммерческой реакторной установки на быстрых нейтронах со свинцовым теплоносителем и энергоблока</t>
  </si>
  <si>
    <t>{054-002-065} Разработка роботизированных технологических линий изготовления уран-плутониевого топлива для промышленного энергокомплекса</t>
  </si>
  <si>
    <t>{054-002-066} Разработка обликового проекта "Промышленный энергокомплекс"</t>
  </si>
  <si>
    <t>{054-002-067} Сооружение опытно-демонстрационного энергоблока с реактором на быстрых нейтронах со свинцовым теплоносителем</t>
  </si>
  <si>
    <t>{054-002-068} Строительство модуля фабрикации и рефабрикации плотного смешанного уран-плутониевого топлива для реакторов на быстрых нейтронах</t>
  </si>
  <si>
    <t>{054-002-069} Сооружение модуля переработки отработавшего ядерного топлива реакторов на быстрых нейтронах</t>
  </si>
  <si>
    <t>{054-002-070} Создание стендовой базы для проведения испытаний ГЦНА РУ БРЕСТ-ОД-300 и приемо-сдаточных испытаний главного циркуляционного насосного агрегата</t>
  </si>
  <si>
    <t>{054-002-071} Создание экспериментального комплекса для испытания вибрационной модели парогенератора РУ БРЕСТ-ОД-300</t>
  </si>
  <si>
    <t>{054-002-072} Создание учебно-тренировочного центра для подготовки персонала ОДЭК</t>
  </si>
  <si>
    <t>{054-002-073} Создание участка изготовления имитационной зоны и комплектующих активной зоны реакторной установки на быстрых нейтронах со свинцовым теплоносителем (НЗХК)</t>
  </si>
  <si>
    <t>{054-002-074} Изготовление оборудования и внедрение АСУ ОДЭК</t>
  </si>
  <si>
    <t>{054-002-075} Изготовление макетов твэлов и ТВС для ввода в эксплуатацию МФР</t>
  </si>
  <si>
    <t>{054-002-076} Сопровождение создания объектов ОДЭК</t>
  </si>
  <si>
    <t>{054-002-077} Изготовление изделий имитационной зоны РУ БРЕСТ-ОД-300</t>
  </si>
  <si>
    <t>{054-002-078} Создание обучающих модулей и инфраструктуры Программы опережающей подготовки руководителей проектов по сооружению ОИАЭ в Российской Федерации и за рубежом</t>
  </si>
  <si>
    <t>{054-002-081} Сертификация оборудования АСУ ТП для поставки на международные блоки АЭС</t>
  </si>
  <si>
    <t>{054-002-082} Совершенствование системы физической защиты (охраны) АО «ВНИИНМ»</t>
  </si>
  <si>
    <t>{054-002-083} Удаление SD09665858</t>
  </si>
  <si>
    <t>{054-002-084} Мероприятия по созданию производства РЕМИКС-топлива</t>
  </si>
  <si>
    <t>{054-002-085} Разработка, сопровождение утверждения в установленном порядке проектов государственных элементных сметных норм (ГЭСН) и федеральных единичных расценок (ФЕР)</t>
  </si>
  <si>
    <t>{054-002-086} Удаление</t>
  </si>
  <si>
    <t>{054-002-087} Освоение серийного производства изделия 9Э243</t>
  </si>
  <si>
    <t>{054-002-088} Разработка пакер-пробки в растворимом исполнении и посадочной камеры к нему (2 этапа КР "Разработка и освоение производства оборудования и ПВА для технологии P_P" (шифр - Комплекс РСП)</t>
  </si>
  <si>
    <t>{054-002-090} Прототип технических решений «Умный город» с применением технологии бережливого производства (LEAN SMART CITY) на территории п. Сатис Дивеевского района Нижегородской области</t>
  </si>
  <si>
    <t>{054-002-091} Центр управления освещением г. Сосновый Бор</t>
  </si>
  <si>
    <t>{054-002-092} Разработка и внедрение Цифровой платформы для реализации стратегии региона (Томск)</t>
  </si>
  <si>
    <t>{054-002-093} Цифровой водоканал</t>
  </si>
  <si>
    <t>{054-002-094} Запуск корпоративного волонтерства в атомной отрасли</t>
  </si>
  <si>
    <t>{054-002-095} Привлечение консультантов для разработки программы "Цифровые решения для городской среды (Умный город)"</t>
  </si>
  <si>
    <t>{054-002-096} Создание участка по изготовлению и испытаниям экспериментальных образцов автономных источников питания</t>
  </si>
  <si>
    <t>{054-002-097} Строительство завода по переработке шин и других отходов резинотехнических изделий</t>
  </si>
  <si>
    <t>{054-002-098} Централизация производства РТИ для нужд РСК</t>
  </si>
  <si>
    <t>{054-002-099} Инвестиционные мероприятия за счет средств СРФ и федеральной субсидии</t>
  </si>
  <si>
    <t>{054-002-100} Модернизация системы электроснабжения электролизёров № 7,8 (ВА-4) ПАО «НЗХК»</t>
  </si>
  <si>
    <t>{054-002-103} Аттестация PTC Windchill Quality Solutions с зарегистрированной в Роспатенте базой данных типовых элементов АСУ ТП АЭС</t>
  </si>
  <si>
    <t>{054-002-104} Развитие Единой отраслевой системы управления качеством (ЕОС-Качество)</t>
  </si>
  <si>
    <t>{054-002-105} Разработка автономных малогабаритных бета-вольтаических источников питания длительного срока службы на основе изотопа никель-63 и обеспечение производственных возможностей по их выпуску</t>
  </si>
  <si>
    <t>{054-002-106} Развитие автоматизированной системы расчета полной сквозной себестоимости</t>
  </si>
  <si>
    <t>{054-002-107} ГИМ "Инвестиционные мероприятия за счет средств СРФ"</t>
  </si>
  <si>
    <t>{054-002-108} Развитие единого молодежного сообщества в атомной отрасли</t>
  </si>
  <si>
    <t>{054-002-109} Реализация дорожной карты сотрудничества Госкорпорации "Росатом" с Фондом "Талант и успех"</t>
  </si>
  <si>
    <t>{054-002-110} Обновление парка автотранспортных средств категории микроавтобусы.</t>
  </si>
  <si>
    <t>{054-002-111} Увеличение производственных мощностей парка автотранспортных средств среднего и бизнес классов.</t>
  </si>
  <si>
    <t>{054-002-112} Создание витрины данных для перехода на взаимодействие с ФНС в форме налогового мониторинга</t>
  </si>
  <si>
    <t>{054-002-113} Мониторинг закрытия финансового периода</t>
  </si>
  <si>
    <t>{054-002-114} Управление стоимостью сооружения АЭС (TCM NC)</t>
  </si>
  <si>
    <t>{054-002-115} Актуализация архитектуры ИТ проектирования (развитие инструментов проектирования и систем взаимодействия с Заказчиком)</t>
  </si>
  <si>
    <t>{054-002-117} Развитие единой отраслевой системы НСИ</t>
  </si>
  <si>
    <t>{054-002-118} Цифровизация сквозных межфункциональных и междивизиональных производственных цепочек</t>
  </si>
  <si>
    <t>{054-002-119} Развитие ИСУП КС в части систем управления СМР</t>
  </si>
  <si>
    <t>{054-002-120} Развитие системы управления проектированием на базе ФСП</t>
  </si>
  <si>
    <t>{054-002-121} Разработка цифровой платформы Multi-D</t>
  </si>
  <si>
    <t>{054-002-122} Управление сооружением АЭС</t>
  </si>
  <si>
    <t>{054-002-123} Децентрализация системы пароснабжения</t>
  </si>
  <si>
    <t>{054-002-124} Разработка технологии производства полианионной целлюлозы</t>
  </si>
  <si>
    <t>{054-002-125} Формирование ядра отраслевого центра компетенций по Цифровым двойникам и Интеллектуальным системам</t>
  </si>
  <si>
    <t>{054-002-126} Обеспечение лабораторий центра компетенций начальным комплектом специализированного оборудования</t>
  </si>
  <si>
    <t>{054-002-127} Управление программой "СЦТ и УД"</t>
  </si>
  <si>
    <t>{054-002-128} Резерв финансирования на 2019 год</t>
  </si>
  <si>
    <t>{054-002-129} Создание долгосрочной стратегии ИИ трансформации</t>
  </si>
  <si>
    <t>{054-002-130} Создание нового современного офиса АНО "Корпоративной Академии Росатома"</t>
  </si>
  <si>
    <t>{054-002-131} ГИМ "Инвестиционные мероприятия за счет ФС"</t>
  </si>
  <si>
    <t>{054-002-132} Создание участка промежуточного размещения остеклованных урансодержащих оборотов сырья марки РТ</t>
  </si>
  <si>
    <t>{054-002-133} Патентно-правовой процесс защиты РИД "ООО "НПО"Центротех"</t>
  </si>
  <si>
    <t>{054-002-134} Обновление и поддержание производственной базы филиальной сети АО "Атомспецтранс"</t>
  </si>
  <si>
    <t>{054-002-135} Разработка (НИОКР) масс-спектрометрометрического оборудования</t>
  </si>
  <si>
    <t>{054-002-136} Организация создания проектного офиса "Фабрика платежей. Москва"</t>
  </si>
  <si>
    <t>{054-002-137} Создание информационной системы расчета технико-экономических показателей и планирования режимов (ИС ТЭП) с проектированием монтажа контрольно-измерительных приборов (КИП)</t>
  </si>
  <si>
    <t>{054-002-138} Подготовка к внедрению системы контроля за привилегированными учетными записями</t>
  </si>
  <si>
    <t>{054-002-139} Переход IDM (централизованное управление доступом) на сертифицированное решение российского производства</t>
  </si>
  <si>
    <t>{054-002-140} Создание единой системы брендирования</t>
  </si>
  <si>
    <t>{054-002-141} Внедрение сквозных процессов</t>
  </si>
  <si>
    <t>{054-002-142} Выстраивание новых отраслевых функций</t>
  </si>
  <si>
    <t>{054-002-143} Удаление SD12771849</t>
  </si>
  <si>
    <t>{054-002-144} Удаление SD12771849</t>
  </si>
  <si>
    <t>{054-002-145} Программа развития базы строительной техники и оборудования АО "СЕЗАМ"</t>
  </si>
  <si>
    <t>{054-002-146} Международный оператор логистических услуг</t>
  </si>
  <si>
    <t>{054-002-147} Разработка библиотеки нормативно-технической документации (НТД) для применения в проектах ОИАЭ оборудования и трубопроводов из полимерных конструкционных материалов</t>
  </si>
  <si>
    <t>{054-002-148} Разработка стенда для проведения экспериментальных исследований поведения защитных железобетонных конструкций при ударных нагрузках на пробивание</t>
  </si>
  <si>
    <t>{054-002-149} Обновление автопарка АО «ОКБМ Африкантов»</t>
  </si>
  <si>
    <t>{054-002-150} Приобретение ОС для нужд предприятия</t>
  </si>
  <si>
    <t>{054-002-151} Модернизация объектов инфраструктуры предприятия</t>
  </si>
  <si>
    <t>{054-002-152} Устройство транспортно-логистического комплекса (КПП и подъездная дорога) для допуска персонала и транспорта на территорию, арендуемую АО «НоваВинд» в г. Волгодонск</t>
  </si>
  <si>
    <t>{054-002-153} ЦЯНТ в Руанде</t>
  </si>
  <si>
    <t>{054-002-154} Система автономного обеспечения тепловой энергией для целей отопления, вентиляции и горячего водоснабжения корпусов ПАО «КМЗ»</t>
  </si>
  <si>
    <t>{054-002-155} Цифровые компетенции</t>
  </si>
  <si>
    <t>{054-002-156} Подбор персонала</t>
  </si>
  <si>
    <t>{054-002-157} Подбор цифровых кадров</t>
  </si>
  <si>
    <t>{054-002-158} Единая цифровая адаптация</t>
  </si>
  <si>
    <t>{054-002-159} Управление эффективностью</t>
  </si>
  <si>
    <t>{054-002-160} Цифровая культура</t>
  </si>
  <si>
    <t>{054-002-161} Разработка технического задания на создание информационной системы «Стандартизация ядерной оружейной продукции»/ ИС СЯОП</t>
  </si>
  <si>
    <t>{054-002-162} Разработка электронной школы руководителя</t>
  </si>
  <si>
    <t>{054-002-163} Удаление SD12093132</t>
  </si>
  <si>
    <t>{054-002-164} Региональный центр кондиционирования и долговременного хранения радиоактивных отходов в Приморском крае</t>
  </si>
  <si>
    <t>{054-002-165} Создание участка вибро/сейсмо испытаний с применением электродинамического вибростенда</t>
  </si>
  <si>
    <t>{054-002-166} Установка системы пожаротушения в цехе № 5 АО "ВПО Точмаш"</t>
  </si>
  <si>
    <t>{054-002-167} Поддержание деятельности по Управлению программами цифровизации</t>
  </si>
  <si>
    <t>{054-002-168} Управление портфелем цифровых продуктов Госкорпорации "Росатом"</t>
  </si>
  <si>
    <t>{054-002-169} Центр цифровых компетенций</t>
  </si>
  <si>
    <t>{054-002-170} Центр цифровых разработок</t>
  </si>
  <si>
    <t>{054-002-171} Торговый дом «Русатом – цифровые решения»</t>
  </si>
  <si>
    <t>{054-002-174} Создание ЭХГ малой мощности</t>
  </si>
  <si>
    <t>{054-002-175} Разработка технологии физико-химической дезактивации РАО</t>
  </si>
  <si>
    <t>{054-002-176} Приобретение машины листогибочной трех-валковой гидравлической с программным управлением</t>
  </si>
  <si>
    <t>{054-002-177} Создание высокомодульного углеволокна</t>
  </si>
  <si>
    <t>{054-002-178} "Создание программного обеспечения для анализа рисков информационной и компьютерной безопасности АСУ ТП и эффективности применения средств защиты информации" (ПОАР)</t>
  </si>
  <si>
    <t>{054-002-179} Разработка новых агломерированных (керамических) флюсов для автоматической сварки сталей аустенитного класса и антикоррозионной наплавки для внедрения на изделия для АЭУ</t>
  </si>
  <si>
    <t>{054-002-180} Разработка технологии односторонней сварки для внедрения при сварке швов № 110 приварки днищ к корпусам ПГВ</t>
  </si>
  <si>
    <t>{054-002-181} Поиск инженерного решения и разработка обоснования инвестиций по модернизации ТЭЦ ППГХО</t>
  </si>
  <si>
    <t>{054-002-182} Покупка легкового автомобиля для АО НПФ "Атомгарант"</t>
  </si>
  <si>
    <t>{054-002-183} Создание среды коллективной разработки цифровых продуктов отечественной защищенной Системы полного жизненного цикла «Цифровое предприятие» (СКР)</t>
  </si>
  <si>
    <t>{054-002-184} Создание продукта СПЖЦ «Управление Персоналом» (Базовая функциональность. Проект ТС УП)</t>
  </si>
  <si>
    <t>{054-002-185} Разработка конструкций и промышленной технологии изготовления сверхпроводников на основе NbTi сплава для ускорительных комплексов физики высоких энергий ЦЕРН (SPS, FCC)</t>
  </si>
  <si>
    <t>{054-002-186} Создание системы централизованного хранения данных и управления рабочими местами пользователей в АО «СНИИП»</t>
  </si>
  <si>
    <t>{054-002-187} SD10142536 Удаление</t>
  </si>
  <si>
    <t>{054-002-189} Разработка методов дезактивации и демонтажа радиационно-загрязненного оборудования и коммуникаций сублиматного производства АО «АЭХК»</t>
  </si>
  <si>
    <t>{054-002-190} Создание серийного модульного оборудования селективного лазерного плавления</t>
  </si>
  <si>
    <t>{054-002-192} Цифровизация взаимодействия ТВЭЛ и Атомэнергомаш в контуре PLM</t>
  </si>
  <si>
    <t>{054-002-193} Разработка конструктивно-технологических решений для обустройства противофильтрационной завесы из полимерного композитного шпунта для защиты оснований и фундаментов сооружений</t>
  </si>
  <si>
    <t>{054-002-194} Разработка наплавного искусственного сооружения на основе полимерных композиционных материалов</t>
  </si>
  <si>
    <t>{054-002-195} Разработка углеродного волокна для термопластичных углепластиков</t>
  </si>
  <si>
    <t>{054-002-196} Разработка технологии получения среднепрочного (3,5-4,2 ГПа) углеродного волокна (УВ) со стандартным модулем упругости (220-250 ГПа) с полной себестоимостью не более 10 Евро/кг</t>
  </si>
  <si>
    <t>{054-002-197} Научно-технологическое обеспечение национальной системы радиологической защиты пациентов при радионуклидной и рентгенологической диагностике; компьютерный код "МедРадРиск"</t>
  </si>
  <si>
    <t>{054-002-198} Разработка и внедрение автоматизированной системы управления финансами проектов</t>
  </si>
  <si>
    <t>{054-002-199} Материалы и технологии газовых центрифуг</t>
  </si>
  <si>
    <t>{054-002-200} Экспериментальная демонстрация рециклируемости РЕМИКС топлива в рамках жизненного цикла</t>
  </si>
  <si>
    <t>{054-002-201} Разработка и опытно-экспериментальная демонстрация промышленной технологии фракционирования ВАО и отверждения полученных фракций</t>
  </si>
  <si>
    <t>{054-002-202} Модернизация автоматизированной системы в защищенном исполнении «Единое информационное пространство предприятий ЯОК»</t>
  </si>
  <si>
    <t>{054-002-203} Обеспечение работников ООО «ААЭМ» мобильными рабочими местами</t>
  </si>
  <si>
    <t>{054-002-204} Приобретение долей ООО "Заряд" (в т.ч. выдача займа)</t>
  </si>
  <si>
    <t>{054-002-205} ИТ-Инфраструктура ПСКМ</t>
  </si>
  <si>
    <t>{054-002-207} Разработка технологии производства гипохлорита кальция</t>
  </si>
  <si>
    <t>{054-002-208} Автономный пост технического наблюдения "Мушкетёр" для обеспечения безопасности в Арктическом регионе</t>
  </si>
  <si>
    <t>{054-002-209} Создание портового флота для оказания услуг ООО "Арктик СПГ 2" в акватории терминала "Утренний" (участок № 2 порта Сабетта)/Проект "Портофлот-2"</t>
  </si>
  <si>
    <t>{054-002-210} «Организация производства цирконовых, титановых и хромовых концентратов из песков Лукояновского месторождения» (проект «Цирконий»)</t>
  </si>
  <si>
    <t>{054-002-211} Создание «Центра исследования, тестирования и апробации импортонезависимых решений»</t>
  </si>
  <si>
    <t>{054-002-212} Инвестиционные мероприятия ЛЦ ЯТЦ</t>
  </si>
  <si>
    <t>{054-002-213} Внедрение системы складского учета и штрихкодирования (Умный склад)</t>
  </si>
  <si>
    <t>{054-002-214} Проведение НИОКТР «Модернизация исследовательского ядерного реактора ИВВ-2М для обеспечения производства ядерно-легированного кремния»</t>
  </si>
  <si>
    <t>{054-002-216} Удаление SD10248770</t>
  </si>
  <si>
    <t>{054-002-217} НИОКР по разработке линейки лазеров для аддитивного оборудования</t>
  </si>
  <si>
    <t>{054-002-218} Проведение работ по созданию системы защиты информации территориально-вычислительной сети АО ОКБ "ГИДРОПРЕСС"</t>
  </si>
  <si>
    <t>{054-002-219} Приобретение серверного оборудования для защищенной локально-вычислительной сети АО ОКБ "ГИДРОПРЕСС"</t>
  </si>
  <si>
    <t>{054-002-220} Разработка методов непосредственного контроля технологических процессов послойного лазерного сплавления металлических изделий</t>
  </si>
  <si>
    <t>{054-002-221} Разработка комплекса технологий и оборудования для аддитивного производства сложнопрофильных и крупногабаритных изделий атомной энергетики</t>
  </si>
  <si>
    <t>{054-002-222} Разработка 3D-оборудования и технологий для печати металлических изделий по технологии селективного электронно-лучевого сплавления с применением отечественных электронных пушек и систем сканирования</t>
  </si>
  <si>
    <t>{054-002-223} Разработка комплекса программного обеспечения для моделирования физических процессов, протекающих при селективном лазерном сплавлении с целью прогнозирования структуры, свойств материалов, а также получения изделий с заданными свойствами, и проведения топологической оптимизации изделий (Виртуальный принтер).</t>
  </si>
  <si>
    <t>{054-002-224} Исследования влияния пучковой энергии на формирование свойств материалов</t>
  </si>
  <si>
    <t>{054-002-225} Строительство технологической площадки для размещения модульных/контейнерных вычислителей на территории АО "СХК"</t>
  </si>
  <si>
    <t>{054-002-226} Проекты и мероприятия социальной направленности (Глава d)</t>
  </si>
  <si>
    <t>{054-002-227} Система хранения для ИКЦ</t>
  </si>
  <si>
    <t>{054-002-228} Модернизация производства ОР СУЗ</t>
  </si>
  <si>
    <t>{054-002-229} Разработка передовых технологий получения монолитных крупногабаритных графитовых материалов нового поколения конструкционного и функционального назначения с повышенной плотностью и прочностью, в том числе пироуплотненных, на основе тонкозернистого наполнителя изотропной структуры для их многоцелевого использования в атомной, оборонной, авиационной отраслях промышленности</t>
  </si>
  <si>
    <t>{054-002-230} Разработка новых перспективных радиационностойких углеродных, углерод-углеродных и углеродкерамических материалов, ударостойких трехмерноамированных композитов и металлокомпозитных элементов конструкции (в том числе с внутренней системой термоэлектронного охлаждения) для атомной техники, оборонных и гражданских отраслей, в том числе гибких жаростойких и жаропрочных композиционных материалов широкой номенклатуры и свойств, включая технологии препрегов и прессволокнитов</t>
  </si>
  <si>
    <t>{054-002-231} Разработка перспективных водо-водяных энергетических реакторов для перехода к замкнутому ядерному топливному циклу в двухкомпонентной ядерной энергетической системе</t>
  </si>
  <si>
    <t>{054-002-232} «Проведение обосновывающих экспериментальных НИОКР в целях демонстрации ключевых технологических решений для создания исследовательского жидкосолевого реактора с модулем переработки. Этап 2020 г.»</t>
  </si>
  <si>
    <t>{054-002-233} Разработка технологии конверсии метана водяным паром с целью ее интеграции в системы высокотемпературных газоохлаждаемых реакторов и создание экспериментальной стендовой установки</t>
  </si>
  <si>
    <t>{054-002-234} Разработка топлива ВТГР для АЭТС, проведение реакторных испытаний и пост-тестовых исследований</t>
  </si>
  <si>
    <t>{054-002-235} Разработка, верификация модели и прогноз распухания сплавов: феррито-мартенситных сталей применительно к ЭК181, ЧС139 и аустенитных сталей применительно к ЭК164, ЧС68</t>
  </si>
  <si>
    <t>{054-002-236} Разработка, верификация многомасштабной модели и прогноз фазовой стабильности и образования предвыделений в сплавах для проектов Прорыв/ВВЭР: корпусной стали ВВЭР и материалов ВКУ, феррито-мартенситных сталей применительно к ЭК181, ЧС139, аустенитных, применительно к ЭК164, ЧС68.</t>
  </si>
  <si>
    <t>{054-002-237} Разработка вычислительных инструментов для поиска материалов (легирование, микроструктура) с заданными свойствами на основе информатики материалов основе имеющихся экспериментальных баз данных</t>
  </si>
  <si>
    <t>{054-002-238} Разработка керамических композитных материалов  на базе SiC/SiC для деталей и узлов перспективной техники с повышенными температурными параметрами эксплуатации</t>
  </si>
  <si>
    <t>{054-002-239} Разработка интеллектуальных композиционных материалов с заданным комплексом свойств и дизайн высокотехнологичных изделий на их основе для атомной отрасли, робототехники, авиации, ракетно-космической техники</t>
  </si>
  <si>
    <t>{054-002-240} Реализация государственных и отраслевых программ в сфере экологии</t>
  </si>
  <si>
    <t>{054-002-241} Развитие культуры безопасного поведения в Росатоме</t>
  </si>
  <si>
    <t>{054-002-242} Создание  опытного производства высокообогащённого изотопа углерод-13 с применением  метода лазерного разделения (C-13)</t>
  </si>
  <si>
    <t>{054-002-243} Системное обеспечение функционирования и безопасности водородной энергетики</t>
  </si>
  <si>
    <t>{054-002-244} Покупка акций АО «Технопарк «Саров»</t>
  </si>
  <si>
    <t>{054-002-245} Прохождение периодической процедуры подтверждения качества продукции арматурного участка Волгодонского Филиала АО «АЭМ-технологии»</t>
  </si>
  <si>
    <t>{054-002-246} Разработка физических моделей и программного кода для моделирования скорости коррозии оболочек ТВЭЛ в водно-паровой среде для сталей и сплавов проектов ВВЭР-ТОИ, ВВЭР-С, ВВЭР-СКД</t>
  </si>
  <si>
    <t>{054-002-247} Выбор и обоснование материалов для создания жидкосолевого ядерного реактора с целью замыкания ЯТЦ по минор-актинидам от переработки ОЯТ тепловых реакторов. Этап 2019-2021 г.</t>
  </si>
  <si>
    <t>{054-002-248} Предпроектные проработки атомной энерготехнологической станции (АЭТС) с высокотемпературным газоохлаждаемым реактором (ВТГР) и химико-технологической частью для производства водорода</t>
  </si>
  <si>
    <t>{054-002-249} Верификация и аттестация расчетных кодов.</t>
  </si>
  <si>
    <t>{054-002-250} Разработка линейки высокоэффективных электролизеров и топливных элементов, а также систем хранения и транспортировки водорода</t>
  </si>
  <si>
    <t>{054-002-251} Аналитическая поддержка разработки, оптимизации и обоснования комплексной программы и дорожной карты Госкорпорации "Росатом" в области водородной энергетики в глобальном и национальном масштабах, в разрезах развития технологий, формирования бизнес-моделей, мер государственной политики и создания социальных благ</t>
  </si>
  <si>
    <t>{054-002-252} Разработка технологий корпусного энергетического реактора с закритическими параметрами теплоносителя (ВВЭР-СКД)</t>
  </si>
  <si>
    <t>{054-002-253} Разработка нейтринного детектора для дистанционного контроля активной зоны реактора на новых физических принципах</t>
  </si>
  <si>
    <t>{054-002-254} Исследование ключевых технологий в обеспечение создания реакторной установки ШЕЛЬФ-М, оптимизации ресурса и кампании активной зоны и разработка материалов обликового проекта</t>
  </si>
  <si>
    <t>{054-002-255} Разработка ядерного энергоблока со среднетемпературным реактором воздушного охлаждения и газотурбинным преобразователем электрической мощностью 5 МВт. Разработка Технического предложения.</t>
  </si>
  <si>
    <t>{054-002-256} Разработка технологии обращения с РАО, содержащими органические отходы (ионообменные смолы)</t>
  </si>
  <si>
    <t>{054-002-257} Разработка концепции и методов выполнения характеризации и порядка подтверждения соответствия критериям приемлемости удаляемых РАО АС АО «Концерн Росэнергоатом»</t>
  </si>
  <si>
    <t>{054-002-258} Разработка и изготовление опытной СВЧ-установки для получения цементного компаунда повышенной прочности для использования в технологиях переработки радиоактивных отходов</t>
  </si>
  <si>
    <t>{054-002-259} Создание технологий и опытной установки по извлечению и кондиционированию битумных компаундов, хранящихся на АЭС России</t>
  </si>
  <si>
    <t>{054-002-260} Разработка технологии обращения с металлическими ТРО по ВЭ ЯРОО</t>
  </si>
  <si>
    <t>{054-002-261} Разработка и опытно-экспериментальное обоснование концепции переработки и утилизации облученного графита АЭС</t>
  </si>
  <si>
    <t>{054-002-262} Разработка регламента и методик измерений радиационных характеристик отходов, образующихся при ВЭ ЯРОО</t>
  </si>
  <si>
    <t>{054-002-263} Разработка системы поддержки принятий оптимальных решений  при реализации процесса вывода из эксплуатации объектов использования атомной энергии</t>
  </si>
  <si>
    <t>{054-002-264} Разработка газофторидной технологии для переработки отработанного нитридного топлива с имитаторами продуктов деления на установке "Конверсия" производительностью 2 кг/час</t>
  </si>
  <si>
    <t>{054-002-265} Разработка и изготовление опытного образца лазера с оптической накачкой на смеси благородных газов для технологических применений</t>
  </si>
  <si>
    <t>{054-002-266} Разработка и изготовление опытного образца многофункционального лазерного модуля</t>
  </si>
  <si>
    <t>{054-002-267} Разработка технологий синтеза жидких активных сред нового типа для мощных прокачных лазеров</t>
  </si>
  <si>
    <t>{054-002-268} Поисковые исследования нового источника когерентного излучения на основе углеродных наноматериалов</t>
  </si>
  <si>
    <t>{054-002-269} Создание лазерной установки с диодной накачкой  с энергией в импульсе 2 кДж и частотой повторения 10Гц</t>
  </si>
  <si>
    <t>{054-002-270} Поисковые исследования лазерного ускорения протонов</t>
  </si>
  <si>
    <t>{054-002-271} Разработка литиевой защиты первой стенки квазистационарного реактора - токамака</t>
  </si>
  <si>
    <t>{054-002-272} НИОКР в обоснование концептуального проекта токамака с реакторными технологиями</t>
  </si>
  <si>
    <t>{054-002-273} Разработка инновационных средств диагностики высокотемпературной плазмы, потоков частиц и излучения</t>
  </si>
  <si>
    <t>{054-002-274} Обеспечение стабилизации тока и интегральных параметров плазмы в токамаке Т-11М</t>
  </si>
  <si>
    <t>{054-002-275} Спектральная прозрачность плазмы  в поле мощного рентгеновского излучения</t>
  </si>
  <si>
    <t>{054-002-276} Создание и испытание лабораторного макета мощного плазменного космического двигателя</t>
  </si>
  <si>
    <t>{054-002-277} Создание источника мощного микроволнового излучения с электронной перестройкой частоты в диапазоне 2 октав для специальных приложений</t>
  </si>
  <si>
    <t>{054-002-278} Разработка технологии направленной модификации свойств поверхностей оболочек ТВЭЛ и конструкционных материалов для атомной и других отраслей промышленности</t>
  </si>
  <si>
    <t>{054-002-279} Разработка проекта и модернизация малого сферического токамака для подготовки высококвалифицированных специалистов по направлению "физика плазмы"</t>
  </si>
  <si>
    <t>{054-002-280} Разработка программного кода расчета термодинамики аустенитных и ферритно-мартенситных сталей, учитывающего сегрегацию элементов на границах зерен и межфазных границах. Разработка прототипа программного кода для расчетов процесса язвенной коррозии в ферритно-мартенситных сталях на основе созданной физико-математической модели</t>
  </si>
  <si>
    <t>{054-002-281} Создание базы данных по свойствам материалов</t>
  </si>
  <si>
    <t>{054-002-282} Разработка метода, стандарта испытаний и верификация экспресс-анализ радиационной стойкости конструкционных материалов с использованием ионного облучения, прецизионного ультрамикроскопического анализа и верификации в реакторных экспериментах с учётом флакс-фактора</t>
  </si>
  <si>
    <t>{054-002-283} Разработка метода, стандарта испытаний и верификация имитационных исследований радиационной стойкости штатных и перспективных конструкционных материалов реакторов на быстрых нейтронах посредством высокодозного облучения ионами никеля и железа и ионами гелия на ускорителе с учётом флакс-фактора</t>
  </si>
  <si>
    <t>{054-002-284} Экспериментальные и теоретические исследования физических механизмов радиационной ползучести конструкционных материалов для быстрых атомных реакторов с помощью облучения заряженными частицами с использованием просвечивающей микроскопии и синхротронного излучения с учётом флакс-фактора</t>
  </si>
  <si>
    <t>{054-002-285} Создание цифрового двойника ускоренных внереакторных и реакторных испытаний кандидатных материалов</t>
  </si>
  <si>
    <t>{054-002-286} Разработка методик реакторных испытаний и исследований перспективных конструкционных материалов</t>
  </si>
  <si>
    <t>{054-002-287} Создание нормативно-технической документации по управлению старением ЯЭУ на основе цифровых технологий, гармонизированной с документами МАГАТЭ и стандартами национальных органов технического регулирования в области использования атомной энергии</t>
  </si>
  <si>
    <t>{054-002-288} Создание программно-технического комплекса управления старением ЯЭУ на основе цифровых технологий, включая базы данных, для следующих элементов РУ: корпус и внутри корпусные устройства РУ, трубопроводы и оборудование 1 и 2 контуров (парогенераторы, ГЦН, арматуру), турбины, генераторы АЭС с РУ ВВЭР и разработка новых решений неразрушающего контроля для перспективных реакторных установок</t>
  </si>
  <si>
    <t>{054-002-289} Исследование методов получения реалистичных дефектов (трещин) и разработка способов и технологий изготовления испытательных образцов, верификация методов и технологий в соответствии с нормативной и технической документацией Российской Федерации и Европейского сообщества для отраслевого Центра по аттестационным испытаниям систем и методик неразрушающего контроля оборудования и трубопроводов АЭС с действующими и перспективными ЯЭУ</t>
  </si>
  <si>
    <t>{054-002-290} Материаловедческое и технологическое обоснование уровня и стабильности характеристик хрупкой прочности сварных соединений корпусной стали, определяемых по международным требованиям и нормативных требований по стойкости к межкристаллитной коррозии аустенитных хромоникелевых сталей, используемых на объектах атомной энергетики</t>
  </si>
  <si>
    <t>{054-002-291} Разработка корпусных высокопрочных и теплостойких материалов и методики оценки их ресурса для ВВЭР-С и ВВЭР-СКД</t>
  </si>
  <si>
    <t>{054-002-292} Совершенствование и обоснование материалов и технологий для материаловедческого обеспечения инновационных проектов РУ с ТЖМТ с увеличенным до 60 лет сроком службы</t>
  </si>
  <si>
    <t>{054-002-293} Развитие гражданской продукции предприятий ЯОК в части создания АСММ на базе референтных решений</t>
  </si>
  <si>
    <t>{054-002-294} Разработка и исследование конструкционных материалов для ЯЭУ с различным типом теплоносителя</t>
  </si>
  <si>
    <t>{054-002-295} Разработка новых материалов и технологий производства ТВЭЛ и ТВС легководяных энергетических реакторов</t>
  </si>
  <si>
    <t>{054-002-296} Разработка поглощающих материалов и стержней регулирования нового поколения с повышенными технико-экономическими характеристиками для ядерных реакторов на быстрых и тепловых нейтронах</t>
  </si>
  <si>
    <t>{054-002-297} Разработка новых функциональных ориентированных 2D и 3D полимерных композиционных материалов, в том числе с использованием графена и его аналогов, для микроэлектроники, приборостроения, гибкой электроники, а также теплоотвода от компонентов электроники и лазерной техники, и методов их получения с использованием аддитивных технологий</t>
  </si>
  <si>
    <t>{054-002-298} Создание новых перспективных порошковых функциональных материалов для атомной, аэрокосмической областей на основе очищенного природного графита и коксов различной природы для их использования в качестве сырьевых источников в технологиях и изделиях нового поколения, в том числе для экологически чистых и ресурсосберегающих технологий</t>
  </si>
  <si>
    <t>{054-002-299} Технология создания биосовместимых углеродных материалов с регулярной пористой структурой для использования в качестве матриксов при замещении дефектов костной ткани.</t>
  </si>
  <si>
    <t>{054-002-300} Разработка технологии получения монокристаллических сцинтилляторов на основе редкоземельных металлов и детекторных модулей для позитронно-эмиссионного томографа с время пролетной технологией</t>
  </si>
  <si>
    <t>{054-002-301} Разработка и создание методов и аппаратуры для одновременной гипертермии и лучевой терапии злокачественных новообразований в онкологии</t>
  </si>
  <si>
    <t>{054-002-302} Лазерный литотриптор микросекундной длительности с диодной накачкой</t>
  </si>
  <si>
    <t>{054-002-303} Разработка методов разрушения кристаллических структур в протоках поджелудочной железы</t>
  </si>
  <si>
    <t>{054-002-304} Разработка экспериментального образца аппарата для близкофокусной терапии онкологических заболеваний на основе миниатюрных источников рентгеновского излучения</t>
  </si>
  <si>
    <t>{054-002-305} Разработка метода маркировки труб</t>
  </si>
  <si>
    <t>{054-002-306} Обновление автопарка ООО «Атоммаш-Сервис» 2 очередь</t>
  </si>
  <si>
    <t>{054-002-307} Создание совместного предприятия с компанией Hermith</t>
  </si>
  <si>
    <t>{054-002-308} Покупка акций АО «Технопарк «Саров»</t>
  </si>
  <si>
    <t>{054-002-309} Международный конкурс стартап-проектов</t>
  </si>
  <si>
    <t>{054-002-310} Удаление - повторно создан</t>
  </si>
  <si>
    <t>{054-002-311} Модернизация электромостового крана (открытая эстакада заготовительного участка)</t>
  </si>
  <si>
    <t>{054-002-312} Модернизация производства для замены выбывающего из строя станочного оборудования (2 станка 2620) в результате израсходования ресурса</t>
  </si>
  <si>
    <t>{054-002-313} Реконструкция здания 01 (подстанция 100)</t>
  </si>
  <si>
    <t>{054-002-314} Реконструкция корпуса 40</t>
  </si>
  <si>
    <t>{054-002-315} Создание системы мониторинга и анализа показателей деятельности компании /миграция на сертифицированную, отечественную платформу (пилот)</t>
  </si>
  <si>
    <t>{054-002-316} Выполнение комплекса ОКР по активной зоне АСММ с РУ РИТМ-200 на базе решений для ПЭБ, удовлетворяющей условиям нераспространения</t>
  </si>
  <si>
    <t>{054-002-317} Выполнение НИОКР в обоснование увеличения ресурсных характеристик основного оборудования АСММ с РУ РИТМ-200</t>
  </si>
  <si>
    <t>{054-002-318} Анализ водородной взрывобезопасности и адаптация результатов выполнения «Комплексной программы НИОКР и мероприятий по обеспечению водородной взрывобезопасности и управлению тяжелыми авариями на АЭС с ВВЭР» применительно к АСММ с РУ интегрального типа</t>
  </si>
  <si>
    <t>{054-002-319} Расчетно-экспериментальные обоснования комплекса систем безопасности, работы по верификации и аттестации расчетных кодов в соответствии с НД по безопасности</t>
  </si>
  <si>
    <t>{054-002-320} Разработка и обоснование технологии гетерогенного выжигания минор-актинидов в реакторе на быстрых нейтронах</t>
  </si>
  <si>
    <t>{054-002-321} Разработка технологии переработки техногенных отвалов для получения лигатур стратегического сырья (РЗЭ, W, Mo, Re и другие)</t>
  </si>
  <si>
    <t>{054-002-322} Разработка конструкционных материалов и методики оценки их ресурса для ВКУ РУ ВВЭР-СКД</t>
  </si>
  <si>
    <t>{054-002-323} Создание и аттестация новой коррозионностойкой, свариваемой стали аустенитного класса с повышенными прочностными свойствами</t>
  </si>
  <si>
    <t>{054-002-324} Создание и разработка нормативных требований к новым коррозионностойким многослойным металлическим  материалам с внутренним протектором для объектов хранения РАО</t>
  </si>
  <si>
    <t>{054-002-325} Обоснование технологических и материаловедческих решений, направленных на реализацию проекта РУ БН-1200</t>
  </si>
  <si>
    <t>{054-002-326} Производство телеком-оборудования ТВЭЛ</t>
  </si>
  <si>
    <t>{054-002-327} Разработка экспериментального образца аппарата для близкофокусной терапии онкологических заболеваний на основе миниатюрных источников рентгеновского излучения</t>
  </si>
  <si>
    <t>{054-002-328} Разработка и исследование активируемого наномодификатора биологического ответа опухолевых клеток на лучевое воздействие</t>
  </si>
  <si>
    <t>{054-002-329} Разработка экспериментального рентгеновского излучателя  для фотон-захватной терапии злокачественных новообразований</t>
  </si>
  <si>
    <t>{054-002-330} Разработка перспективных радиофармпрепаратов для диагностики и лечения онкологических заболеваний с использованием наночастиц и радионуклидов рения-188, иттрия-90, самария-153, галлия-68</t>
  </si>
  <si>
    <t>{054-002-331} Разработка нового подхода к диагностике и лечению новообразований сочетанным применением радиофармпрепаратов и фотосенсибилизаторов основанного на эффекте Вавилова-Черенкова</t>
  </si>
  <si>
    <t>{054-002-332} Разработка и исследование опытных образцов рентгеновского аппарата с пространственным разрешением 1-2 микрон для исследования биологических объектов</t>
  </si>
  <si>
    <t>{054-002-333} Разработка комплекса на базе компактного сильноточного циклотрона для генерации интенсивных нейтронных потоков</t>
  </si>
  <si>
    <t>{054-002-334} Разработка электронно-лучевого плавильного комплекса нового поколения</t>
  </si>
  <si>
    <t>{054-002-335} Разработка технологии извлечения металлов платиновой группы из отработавшего ядерного топлива</t>
  </si>
  <si>
    <t>{054-002-336} Расчетно-экспериментальная оптимизация реакторного метода переработки радия-226 для производства альфа-эмиттеров: радия-223 и  актиния-225</t>
  </si>
  <si>
    <t>{054-002-337} Разработка высоковольтных энергоемких многокомпонентных резисторов</t>
  </si>
  <si>
    <t>{054-002-338} Создание программно-аппаратного комплекса АС ИСУП ФАИП в защищенном исполнении</t>
  </si>
  <si>
    <t>{054-002-339} Мюонная томография ядерных реакторов</t>
  </si>
  <si>
    <t>{054-002-340} Разработка технологии синтеза компонентов высокоэффективных пластмассовых сцинтилляторов для создания их малотоннажного производства</t>
  </si>
  <si>
    <t>{054-002-341} Разработка и создание высокочувствительных детекторов для контроля нейтронного фона на ядерных и других объектах</t>
  </si>
  <si>
    <t>{054-002-342} Разработка и создание отраслевой автоматизированной системы мониторинга радиационной обстановки Госкорпорации "Росатом"</t>
  </si>
  <si>
    <t>{054-002-343} Разработка высокоэффективных среднетемпературных термоэлектрических материалов для создания генератора с КПД не менее 15%</t>
  </si>
  <si>
    <t>{054-002-344} Разработка программно-аппаратного комплекса (ПАК) для информационно-аналитической поддержки реагирования на превышения параметров радиационной обстановки над фоновыми значениями на промплощадках, в санитарно-защитных зонах и зонах наблюдения предприятий и организаций Госкорпорации "Росатом" (на примере ФГУП ПО Маяк)</t>
  </si>
  <si>
    <t>{054-002-345} Создание системы сквозного моделирования развития аварийных процессов и параметров радиационной обстановки в СЗЗ и ЗН АЭС в случае тяжелых запроектных аварий на АЭС с выходом радиоактивных веществ в атмосферу</t>
  </si>
  <si>
    <t>{054-002-346} Разработка радиофармпрепаратов направленного действия на основе радионуклидов лютеций-177 и свинец-212 для таргетной терапии онкологических заболеваний</t>
  </si>
  <si>
    <t>{054-002-347} Расчётно-теоретическое и экспериментальное обоснование комплекса для наработки 225-Ас фотоядерным способом</t>
  </si>
  <si>
    <t>{054-002-348} Разработка технологии плазменного осаждения металлогидридных пленок и конструкции пленочного аккумулятора водорода</t>
  </si>
  <si>
    <t>{054-002-349} Создание технологии производства широких (20-40) мм высокотемпературных сверхпроводящих лент ВТСП-2Ш</t>
  </si>
  <si>
    <t>{054-002-350} Разработка сетевых регуляторов мощности (с функцией источника бесперебойного питания) на базе сверхпроводниковых индуктивных накопителей (СПИН)</t>
  </si>
  <si>
    <t>{054-002-351} Разработка высокотемпературных сверхпроводящих систем вывода энергии энергоблоков электростанций</t>
  </si>
  <si>
    <t>{054-002-352} Создание опытно-промышленного образца сверхпроводникового ограничителя тока (СОТ) 4 кВ/3,15 кА для сетей тягового электроснабжения постоянного тока ОАО "РЖД"</t>
  </si>
  <si>
    <t>{054-002-353} Разработка технологий изготовления мишеней для производства высокотемпературных сверхпроводников с улучшенными свойствами</t>
  </si>
  <si>
    <t>{054-002-354} Разработка технологии изготовления подложек для производства высокотемпературных сверхпроводников</t>
  </si>
  <si>
    <t>{054-002-355} Разработка и создание высокопроизводительной опытно-промышленной технологии получения ВТСП слоя Y(Gd)BaCuO с высокой токонесущей способностью методом направленной кристаллизации аморфных покрытий</t>
  </si>
  <si>
    <t>{054-002-356} Экспериментальное исследование ядерных взаимодействий на ускорительном комплексе Тандетрон для отечественной библиотеки ядерно-физических данных БРОНД четвертого поколения</t>
  </si>
  <si>
    <t>{054-002-357} Разработка методики по оптимизации металлоёмкости оборудования и трубопроводов АЭС</t>
  </si>
  <si>
    <t>{054-002-358} Удаление</t>
  </si>
  <si>
    <t>{054-002-359} Поставка АРМ и аттестация объектов информатизации в АО «НПО «ЦНИИТМАШ»</t>
  </si>
  <si>
    <t>{054-002-360} Строительство объекта «Терминал сжиженного природного газа и стабильного газового конденсата «Утренний»</t>
  </si>
  <si>
    <t>{054-002-361} Создание Системы управления взаимоотношениями с клиентами для обществ Топливной Компании (CRM ТК)</t>
  </si>
  <si>
    <t>{054-002-362} Устройство локальных очистных сооружений ливневой канализации и промышленных стоков на производственной площадке Филиала "ЦКБМ-2"</t>
  </si>
  <si>
    <t>{054-002-363} Модернизация окрасочно-сушильного помещения (участка)</t>
  </si>
  <si>
    <t>{054-002-364} Создание инфраструктуры для функционирования проектного офиса "Фабрика платежей" АО "Атомэнергопром"</t>
  </si>
  <si>
    <t>{054-002-365} Тиражирование лабораторной информационной системы в АО "ПО "ЭХЗ"</t>
  </si>
  <si>
    <t>{054-002-366} Модернизация и техническое перевооружение мощностей трубопрокатного производства</t>
  </si>
  <si>
    <t>{054-002-367} Создание систем кондиционирования на объектах АО "ЦКБМ"</t>
  </si>
  <si>
    <t>{054-002-368} Модернизация системы электроснабжения 6-10 кВ здания 251 филиала "ЦКБМ 2"</t>
  </si>
  <si>
    <t>{054-002-369} Концессия объектов системы теплоснабжения в г. Новоуральске</t>
  </si>
  <si>
    <t>{054-002-370} Удаление SD10104911</t>
  </si>
  <si>
    <t>{054-002-371} Удаление SD10104911</t>
  </si>
  <si>
    <t>{054-002-372} Разработка 2-х осевой оптической сканирующей системы для аддитивного оборудования по технологии селективного лазерного плавления</t>
  </si>
  <si>
    <t>{054-002-373} Развитие локальных систем АО «Атомэнергомаш»</t>
  </si>
  <si>
    <t>{054-002-374} Цифровая система управления качеством и экономическими  показателями при производстве крупных ответственных изделий, в том числе энергетического и атомного машиностроения</t>
  </si>
  <si>
    <t>{054-002-375} Организация весового контроля транспортных средств АО «СвердНИИхиммаш»</t>
  </si>
  <si>
    <t>{054-002-376} Модернизация горизонтально-расточного станка 2Г 660</t>
  </si>
  <si>
    <t>{054-002-377} Модернизация оперативно-диспетчерской службы Ситуационно-Кризисного Центра Госкорпорации "Росатом"</t>
  </si>
  <si>
    <t>{054-002-378} Модернизация производства ГЦ в АО "ВПО Точмаш"</t>
  </si>
  <si>
    <t>{054-002-379} Модернизация поизводства ГЦ в ПАО "КМЗ"</t>
  </si>
  <si>
    <t>{054-002-381} Повышение пожарной безопасности АО "НПО "ЦНИИТМАШ"</t>
  </si>
  <si>
    <t>{054-002-382} Удаление SD10002692</t>
  </si>
  <si>
    <t>{054-002-383} Удаление SD10002692</t>
  </si>
  <si>
    <t>{054-002-384} Удаление SD10002692</t>
  </si>
  <si>
    <t>{054-002-385} Удаление SD10002692</t>
  </si>
  <si>
    <t>{054-002-386} Удаление SD10002692</t>
  </si>
  <si>
    <t>{054-002-387} Удаление SD10002692</t>
  </si>
  <si>
    <t>{054-002-388} Удаление SD10002692</t>
  </si>
  <si>
    <t>{054-002-389} Удаление SD10002692</t>
  </si>
  <si>
    <t>{054-002-390} Удаление SD10002692</t>
  </si>
  <si>
    <t>{054-002-391} Реконструкция нового объекта Балаковского филиала «Балаковоатомтехэнерго» АО «Атомтехэнерго»</t>
  </si>
  <si>
    <t>{054-002-392} Создание систем безопасности здания ПЛК СМАТЭ</t>
  </si>
  <si>
    <t>{054-002-393} Создание систем безопасности на объектах НВАТЭ</t>
  </si>
  <si>
    <t>{054-002-394} Приобретение оборудования для кабинета охраны труда</t>
  </si>
  <si>
    <t>{054-002-395} Удаление повторно заведен</t>
  </si>
  <si>
    <t>{054-002-396} Разработка групповых замерных установок на основе бессепараторной системы</t>
  </si>
  <si>
    <t>{054-002-397} Обновление основных средств производства АО «АТМ» г. Волгодонск</t>
  </si>
  <si>
    <t>{054-002-398} Обеспечение хозяйственной деятельности</t>
  </si>
  <si>
    <t>{054-002-399} ЦЯНТИ в Сербии</t>
  </si>
  <si>
    <t>{054-002-400} АСММ в Руанде</t>
  </si>
  <si>
    <t>{054-002-401} Внедрение системы управления проектами в АО "СНИИП"</t>
  </si>
  <si>
    <t>{054-002-402} Релокация Новосибирского филиала АО "ГСПИ"</t>
  </si>
  <si>
    <t>{054-002-403} Приобретение площадей офисного помещения в г. Смоленске</t>
  </si>
  <si>
    <t>{054-002-404} Приобретение дизель - генераторных установок</t>
  </si>
  <si>
    <t>{054-002-405} Единая платформа обработки обращений клиентов компании (омниканальная платформа)</t>
  </si>
  <si>
    <t>{054-002-406} Приобретение автотранспорта для нужд АО "АтомЭнергоСбыт"</t>
  </si>
  <si>
    <t>{054-002-407} Оборудование многоквартирных домов интеллектуальной системой учёта для нужд обособленного подразделения "ТверьАтомЭнергоСбыт"</t>
  </si>
  <si>
    <t>{054-002-408} Оборудование многоквартирных жилых домов интеллектуальной системой учета в рамках региональной программы "Умные города Мурманской области"</t>
  </si>
  <si>
    <t>{054-002-409} Приобретение вычислительного оборудования для создания облачной инфраструктуры 
АО «КОНСИСТ-ОС»</t>
  </si>
  <si>
    <t>{054-002-410} Оборудование многоквартирных жилых домов интеллектуальной системой учёта для нужд обособленного подразделения "КурскАтомЭнергоСбыт"</t>
  </si>
  <si>
    <t>{054-002-411} Оборудование многоквартирных жилых домов интеллектуальной системой учёта для нужд филиала "СмоленскАтомЭнергоСбыт"</t>
  </si>
  <si>
    <t>{054-002-412} Проведение научно-исследовательской работы по аттестационным испытаниям сварных соединений, выполненных автоматической сваркой под флюсом на переменном токе</t>
  </si>
  <si>
    <t>{054-002-413} Проведение научно-исследовательской работы по разработке технологии   полуавтоматической аргонодуговой сварки в смеси защитных газов (Ar+СО2) ВКУ парогенератора ПГВ-1000 (Ст.3сп)  к корпусу(сталь 10ГН2МФА)</t>
  </si>
  <si>
    <t>{054-002-414} Модернизация системы видеонаблюдения предприятия</t>
  </si>
  <si>
    <t>{054-002-415} Модернизация системы контроля и управления доступом предприятия</t>
  </si>
  <si>
    <t>{054-002-416} Создание стенда для испытания приводов СУЗ ШЭМ-3 в ОКБ "ГИДРОПРЕСС"</t>
  </si>
  <si>
    <t>{054-002-417} Техническое оснащение для выполнения строительных работ на объектах, не относящихся к сооружению АЭС</t>
  </si>
  <si>
    <t>{054-002-418} Модернизация разделительного производства УЭХК, вторая очередь здания 2001</t>
  </si>
  <si>
    <t>{054-002-419} Организация серийного производства электромеханических приводов на основе роликовинтовых механизмов</t>
  </si>
  <si>
    <t>{054-002-420} Реконструкция очистных сооружений ПАО "КМЗ"</t>
  </si>
  <si>
    <t>{054-002-421} Создание участка по выпуску электролитического порошка гафния и диоксида циркония в корпусе 750 АО ЧМЗ</t>
  </si>
  <si>
    <t>{054-002-422} Создание комплекса перегрузочного для перезарядки РУ РИТМ-200 УАЛ</t>
  </si>
  <si>
    <t>{054-002-423} Оснащение монтажного управления АЭР в г. Владимир для выполнения комплекса работ на внешних рынках</t>
  </si>
  <si>
    <t>{054-002-424} Обновление автопарка ООО "Петрозаводскмаш-сервис"</t>
  </si>
  <si>
    <t>{054-002-425} Энергосбережение производственной площадки филиала АО "АЭМ-технологии" "Петрозаводскмаш"</t>
  </si>
  <si>
    <t>{054-002-426} Сооружение пункта приповерхностного захоронения твердых радиоактивных отходов 3 и 4 классов в районе АО «ГНЦ НИИАР» (г. Димитровград, Ульяновская область)</t>
  </si>
  <si>
    <t>{054-002-427} Комплекс программно-технических средств для контроля концентрации бора в теплоносителе ВВЭР</t>
  </si>
  <si>
    <t>{054-002-428} Ремонт инженерных сетей, коммуникаций и строительных конструкций недвижимого имущества АО «СвердНИИхиммаш»</t>
  </si>
  <si>
    <t>{054-002-429} Замена электропроводки силовой, осветительной сети и сети аварийного освещения  здания 1,6 АО «СвердНИИхиммаш»</t>
  </si>
  <si>
    <t>{054-002-430} Модернизация системы теплоснабжения в зданиях КУТЦ и ИК НВАТЭ</t>
  </si>
  <si>
    <t>{054-002-431} Строительство пункта захоронения радиоактивных отходов 3 и 4 классов в  районе ФГУП «ГХК» г. Железногорск, Красноярский край</t>
  </si>
  <si>
    <t>{054-002-432} Система развития кадрового потенциала РЕКОРД (импортонезависимая)</t>
  </si>
  <si>
    <t>{054-002-433} Оснащение общеобменной приточной и вытяжной вентиляцией столярной мастерской и бытовых помещений деревотарного участка отдела 5.03</t>
  </si>
  <si>
    <t>{054-002-434} Удаление SD11401774</t>
  </si>
  <si>
    <t>{054-002-435} Приобретение пакета акций АО "ЦОУ"</t>
  </si>
  <si>
    <t>{054-002-436} Проведение due diligence потенциального технологического партнера по направлению накопителей электроэнергии</t>
  </si>
  <si>
    <t>{054-002-437} Приобретение оборудования для информирования персонала АТЭ</t>
  </si>
  <si>
    <t>{054-002-438} Локализация производства радиотерапевтического оборудования</t>
  </si>
  <si>
    <t>{054-002-439} Приобретение автомобиля бизнес-класса TOYOTA CAMRY OOO «АРАКО»</t>
  </si>
  <si>
    <t>{054-002-440} Оснащение системами кондиционирования помещений предприятия.</t>
  </si>
  <si>
    <t>{054-002-441} Единая интеграционная платформа информационных систем (АтомСбыт.Интеграция)</t>
  </si>
  <si>
    <t>{054-002-442} Формирование IT-инфраструктуры предприятия</t>
  </si>
  <si>
    <t>{054-002-443} Изготовление реакторной установки БН-600</t>
  </si>
  <si>
    <t>{054-002-444} Изготовление реакторной установки РИТМ-200 (МПЭБ), РИТМ-400</t>
  </si>
  <si>
    <t>{054-002-445} Изготовление оборудования G6</t>
  </si>
  <si>
    <t>{054-002-446} Изготовление оборудования РУ для объекта Новый источник</t>
  </si>
  <si>
    <t>{054-002-447} Модернизация производства ГЦ в ООО «НПО» Центротех»</t>
  </si>
  <si>
    <t>{054-002-448} Приобретение служебных автомобилей для загранпредствителей ГК "Росатом" в 2020 г.</t>
  </si>
  <si>
    <t>{054-002-449} Совершенствование материально-технической базы АО "Атом-охрана" для обеспечения надежной защиты объектов организаций атомной отрасли на 2020-2024 гг</t>
  </si>
  <si>
    <t>{054-002-450} Создание и внедрение системы повышения престижа профессионального труда работников строительного комплекса атомной отрасли</t>
  </si>
  <si>
    <t>{054-002-451} Подготовка экологической деятельности Госкорпорации "Росатом", дивизионов и экологически значимых организаций к цифровизации</t>
  </si>
  <si>
    <t>{054-002-452} Создание МЦО в Республике Узбекистан</t>
  </si>
  <si>
    <t>{054-002-453} Создание участка по производству крупногабаритной трубной металлопродукции в рамках проекта "Прорыв" на производственных площадях АО ЧМЗ</t>
  </si>
  <si>
    <t>{054-002-454} КОМПЛЕКС, ФГУП «ВНИИА»</t>
  </si>
  <si>
    <t>{054-002-455} Развитие и реализация инструментов Национальной системы квалификаций в атомной отрасли в сфере проектирования, инжиниринга, строительства и вывода из эксплуатации объектов использования атомной энергии</t>
  </si>
  <si>
    <t>{054-002-456} Приобретение производственных помещений АО "НТЦ "ЯФИ"</t>
  </si>
  <si>
    <t>{054-002-457} ИТ Инфраструктура Препрег-Дубна</t>
  </si>
  <si>
    <t>{054-002-458} Закупка основных средств и нематериальных активов</t>
  </si>
  <si>
    <t>{054-002-459} Развитие внешнеэкономической деятельности предприятия "Дедал" как резидента ОЭЗ ТВТ "Дубна"</t>
  </si>
  <si>
    <t>{054-002-460} Модернизация основных средств</t>
  </si>
  <si>
    <t>{054-002-462} Сеть профессиональных сообществ</t>
  </si>
  <si>
    <t>{054-002-463} Цифровой ассистент</t>
  </si>
  <si>
    <t>{054-002-464} Развитие кода КОРСАР в обеспечение решения задач по обоснованию новых проектов АЭС с ВВЭР</t>
  </si>
  <si>
    <t>{054-002-465} Разработка технологий моделирования для обоснования динамической устойчивости работы энергоблока в маневренных режимах</t>
  </si>
  <si>
    <t>{054-002-466} Миграция предприятий отрасли в единый домен ГК Росатом</t>
  </si>
  <si>
    <t>{054-002-467} Создание платформы унифицированных коммуникаций</t>
  </si>
  <si>
    <t>{054-002-468} Строительство и модернизация гидрографических судов ледового класса</t>
  </si>
  <si>
    <t>{054-002-469} Покупка АО «ТВЭЛ» у ПАО «НЗХК» 99% доли в уставном капитале ООО «Катодные Материалы»</t>
  </si>
  <si>
    <t>{054-002-470} Модернизация программы расчета на циклическую прочность "ЦИКЛИКА"/создание нового программного кода, аналогичного по своим функциям программе "ЦИКЛИКА"</t>
  </si>
  <si>
    <t>{054-002-471} Cовместная программа конкурсов фундаментальных исследований Госкорпорации «Росатом» и «Российского фонда фундаментальных исследований»</t>
  </si>
  <si>
    <t>{054-002-472} Организация добычи золота на месторождении «Совиное»</t>
  </si>
  <si>
    <t>{054-002-473} Создание информационной системы «Горячая линия»</t>
  </si>
  <si>
    <t>{054-002-474} Выполнение функции ГОС</t>
  </si>
  <si>
    <t>{054-002-475} Разработка и актуализация научно-методического комплекса по программе "Системы управления жизненным циклом сложных инженерных объектов"</t>
  </si>
  <si>
    <t>{054-002-476} Формирование IT-инфраструктуры предприятия 2019</t>
  </si>
  <si>
    <t>{054-002-477} Докапитализация ООО «АтомТеплоСбыт» за счет взноса в уставный капитал от АО «Концерн Росэнергоатом»</t>
  </si>
  <si>
    <t>{054-002-478} Производственные фонды. 2019</t>
  </si>
  <si>
    <t>{054-002-479} Обновление и модернизация основных средств АО КЦ "Атомбезопасность" 2020-2024 гг</t>
  </si>
  <si>
    <t>{054-002-480} Приобретение трубопроводов тепловых сетей для ООО "НИИАР-ГЕНЕРАЦИЯ"</t>
  </si>
  <si>
    <t>{054-002-481} Реализация международных проектов в отрасли корпоративной социальной ответственности</t>
  </si>
  <si>
    <t>{054-002-482} Создание стенда моделирования эффектов одиночных событий в ЭКБ</t>
  </si>
  <si>
    <t>{054-002-483} Строительство головного и 2-х серийных атомных ледоколов проекта 22220</t>
  </si>
  <si>
    <t>{054-002-484} Информационное сопровождение реформы обращения с особо опасными отходами производства и потребления</t>
  </si>
  <si>
    <t>{054-002-485} Единая отраслевая система взаимоотношений с поставщиками в части исполнения договоров (ЕОС Договор)</t>
  </si>
  <si>
    <t>{054-002-486} Приобретение АО ОКБ «ГИДРОПРЕСС» квартиры в г. Курчатов Курской области</t>
  </si>
  <si>
    <t>{054-002-487} Снижение себестоимости работ по обслуживанию армоканатов</t>
  </si>
  <si>
    <t>{054-002-488} Энергоснабжение г. Озерск</t>
  </si>
  <si>
    <t>{054-002-489} Резерв программы Цифровые решения для городской среды и региональных образований (Умный город)</t>
  </si>
  <si>
    <t>{054-002-491} ИТ инфраструктура Препрег-Дубна</t>
  </si>
  <si>
    <t>{054-002-492} Отраслевой электронный каталог технологий, продукции и услуг</t>
  </si>
  <si>
    <t>{054-002-493} Водородная энергетика</t>
  </si>
  <si>
    <t>{054-002-494} Научно-исследовательские работы по Европейскому проекту STRUMAT, проводимые для обоснования безопасности реакторных установок ВВЭР</t>
  </si>
  <si>
    <t>{054-002-496} Исследования и разработки по приоритетным направлениям развития научно-технологического комплекса РФ</t>
  </si>
  <si>
    <t>{054-002-497} Приобретение технологий производства литиевой продукции из гидроминерального сырья</t>
  </si>
  <si>
    <t>{054-002-498} Оптимизация технологического передела АО ЧМЗ по изготовлению горячедеформированных прутков из титановых сплавов</t>
  </si>
  <si>
    <t>{054-002-501} Разработка комплекса цифровых сервисов «Цифровая наука»</t>
  </si>
  <si>
    <t>{054-002-503} Проведение исследований и создание сорбента для сорбционной технологии извлечения лития из природных рассолов</t>
  </si>
  <si>
    <t>{054-002-504} Разработка эскизного проекта АСУ ТП и ИТТ на поставку оборудования АСУ ТП энергоблока РУ БРЕСТ-ОД-300</t>
  </si>
  <si>
    <t>{054-002-505} Разработка, обоснование и лицензирование конструкции ТУК для обращения с ОТВС на площадке ОДЭК</t>
  </si>
  <si>
    <t>{054-002-506} Офисная инфраструктура</t>
  </si>
  <si>
    <t>{054-002-507} Предоставление госуслуг на сайте Госкорпорации Росатом</t>
  </si>
  <si>
    <t>{054-002-508} Удалить</t>
  </si>
  <si>
    <t>{054-002-510} Создание учебно-производственного комплекса по подготовке, повышению квалификации и аттестации рабочих и специалистов строительных профессий на площадке строительства Курской АЭС</t>
  </si>
  <si>
    <t>{054-002-511} Создание учебно-производственного комплекса по подготовке, повышению квалификации и аттестации рабочих и специалистов строительных профессий на площадке строительства АЭС "Руппур"</t>
  </si>
  <si>
    <t>{054-002-512} Модернизация разделительного производства УЭХК, вторая очередь здания 2001(доходный)</t>
  </si>
  <si>
    <t>{054-002-513} Создание производства композитных элементов для вагоностроения</t>
  </si>
  <si>
    <t>{054-002-514} Создание опытного образца программно-технического комплекса (ПТК), обеспечивающего выполнение требований и технических решений по непрерывному взаимодействию системы безопасности АСУ ТП ОИАЭ и иных подобных КВО инфраструктуры РФ с государственной системой обнаружения, предупреждения и ликвидаций последствий компьютерных атак на информационные ресурсы РФ" (ГосСОПКА)</t>
  </si>
  <si>
    <t>{054-002-515} Удаление SD10439410</t>
  </si>
  <si>
    <t>{054-002-516} Удаление SD10439410</t>
  </si>
  <si>
    <t>{054-002-517} Удаление SD10439410</t>
  </si>
  <si>
    <t>{054-002-518} Удаление SD10439410</t>
  </si>
  <si>
    <t>{054-002-519} Удаление SD10439410</t>
  </si>
  <si>
    <t>{054-002-520} Удаление SD10439410</t>
  </si>
  <si>
    <t>{054-002-521} Удаление SD10439410</t>
  </si>
  <si>
    <t>{054-002-522} Удаление SD10439410</t>
  </si>
  <si>
    <t>{054-002-523} Удаление SD10439410</t>
  </si>
  <si>
    <t>{054-002-524} Удаление SD10439410</t>
  </si>
  <si>
    <t>{054-002-525} Удаление SD10439410</t>
  </si>
  <si>
    <t>{054-002-526} Удаление SD10439410</t>
  </si>
  <si>
    <t>{054-002-527} Удаление SD10439410</t>
  </si>
  <si>
    <t>{054-002-528} Удаление SD10439410</t>
  </si>
  <si>
    <t>{054-002-529} Удаление SD10439410</t>
  </si>
  <si>
    <t>{054-002-530} Удаление SD10439410</t>
  </si>
  <si>
    <t>{054-002-531} Удаление SD10439410</t>
  </si>
  <si>
    <t>{054-002-532} Удаление SD10439410</t>
  </si>
  <si>
    <t>{054-002-533} Удаление SD10439410</t>
  </si>
  <si>
    <t>{054-002-534} Удаление SD10439410</t>
  </si>
  <si>
    <t>{054-002-535} Создание опытного образца программно - технического комплекса по взаимодействию системы безопасности АСУ ТП с государственной системой обнаружения, предупреждения и ликвидаций последствий компьютерных атак на информационные ресурсы РФ (ГосСОПКА)</t>
  </si>
  <si>
    <t>{054-002-536} Создание универсального интегрированного ПО для лучевой терапии</t>
  </si>
  <si>
    <t>{054-002-538} Приобретение оборудования и лицензий программного обеспечения для организации системы эффективных коммуникаций</t>
  </si>
  <si>
    <t>{054-002-539} Создание опытного образца системы автоматизированного проектирования и разработки (САПР) программных и программно-аппаратных комплексов (ПК и ПАК) АСУ ТП АЭС в защищенном исполнении</t>
  </si>
  <si>
    <t>{054-002-540} Расчетное подтверждение возможности «облагораживания» изотопного состава плутония в МОКС-топливе реактора БН-800</t>
  </si>
  <si>
    <t>{054-002-541} Удаление SD10454303</t>
  </si>
  <si>
    <t>{054-002-542} Разработка концепции создания энергоисточников малой мощности для обеспечения тепло- и электроснабжения объектов СМП с применением в качестве топлива КПГ и СПГ</t>
  </si>
  <si>
    <t>{054-002-543} Эффекты от программы № 066-000-054 "Модернизация технологических блоков разделительных предприятий РСК"</t>
  </si>
  <si>
    <t>{054-002-544} Оптимизация технологии и оценка целесообразности создания производства крупногабаритной трубной металлопродукции для ПН "Прорыв" на производственных площадях АО ЧМЗ</t>
  </si>
  <si>
    <t>{054-002-545} Удалить</t>
  </si>
  <si>
    <t>{054-002-546} ИТ-инфраструктура СНИИП</t>
  </si>
  <si>
    <t>{054-002-547} Техническое оснащение для выполнения строительных работ на АЭС "Ханхикиви-1"</t>
  </si>
  <si>
    <t>{054-002-548} Модернизация ТЭЦ филиала АО «ОТЭК» в г. Северске (2 этап)</t>
  </si>
  <si>
    <t>{054-002-549} Научно-исследовательские работы по обоснованию технологий создания детандерного и насосного оборудования отечественных технологических комплексов СПГ</t>
  </si>
  <si>
    <t>{054-002-550} Разработка и регистрация ПО «Автоматическая Метрологическая Экспертиза Документации» с целью автоматизации процесса проведения метрологической экспертизы</t>
  </si>
  <si>
    <t>{054-002-551} Приобретение городского автобуса среднего класса для осуществления ежедневных маршрутных перевозок сотрудников АО «НИИП» по г. Лыткарино Московской области</t>
  </si>
  <si>
    <t>{054-002-552} Проект «Развитие Финансового блока в КХД»</t>
  </si>
  <si>
    <t>{054-002-553} Удаление SD10590731</t>
  </si>
  <si>
    <t>{054-002-554} Определение параметров технологических процессов переработки литиеносных рассолов саларов Латинской Америки и производства хлорида лития и гидроксида лития моногидрата на пилотных установках в РФ</t>
  </si>
  <si>
    <t>{054-002-555} SD10934557 Удаление</t>
  </si>
  <si>
    <t>{054-002-556} Разработка 3D-оборудования и технологий для печати металлических изделий по технологии селективного электронно-лучевого сплавления с применением отечественных электронных пушек и систем сканирования</t>
  </si>
  <si>
    <t>{054-002-557} Разработка комплекса технологий и оборудования для аддитивного производства сложнопрофильных и крупногабаритных изделий атомной энергетики</t>
  </si>
  <si>
    <t>{054-002-558} Разработка методов непосредственного контроля технологических процессов послойного лазерного сплавления металлических изделий</t>
  </si>
  <si>
    <t>{054-002-559} Приобретение АО «ОК «РСК» у АО «ЦОУ» пакета акций АО «УЭХК»</t>
  </si>
  <si>
    <t>{054-002-560} Формирование IT-инфраструктуры предприятия. 2020</t>
  </si>
  <si>
    <t>{054-002-561} Производственные фонды</t>
  </si>
  <si>
    <t>{054-002-562} Перевод пункта размещения особых радиоактивных отходов в пункт консервации особых радиоактивных отходов</t>
  </si>
  <si>
    <t>{054-002-563} Тиражирование типового решения управления ресурсами предприятия на базе SAP ERP в ООО «Экоальянс»</t>
  </si>
  <si>
    <t>{054-002-564} Комплексное исследование российского и зарубежного рынков в целях определения рыночных ниш для реализации продуктов и услуг систем безопасности, разработанных в контуре Госкорпорации "Росатом"</t>
  </si>
  <si>
    <t>{054-002-565} Энергосбережение производственной площадки филиала АО "АЭМ-технологии" "Атоммаш" (2 очередь)</t>
  </si>
  <si>
    <t>{054-002-566} Поддержание инфраструктуры Филиала АО «АЭМ-технологии» «Атоммаш» в г. Волгодонск</t>
  </si>
  <si>
    <t>{054-002-568} ИТ-Инфраструктура</t>
  </si>
  <si>
    <t>{054-002-569} Создание автоматизированной системы защиты конфиденциальной информации "DLP-система"</t>
  </si>
  <si>
    <t>{054-002-570} Приобретение АО «ВНИИНМ» пресса гидравлического 1600 тс у ООО «НПП «НАНОЭЛЕКТРО»</t>
  </si>
  <si>
    <t>{054-002-571} Обновление ИТ инфраструктуры филиала АО «АЭМ-технологии» «Атоммаш» в г. Волгодонск</t>
  </si>
  <si>
    <t>{054-002-572} Поддержание ИТ инфраструктуры</t>
  </si>
  <si>
    <t>{054-002-573} Техническое перевооружение топливного комплекса для производства тепловыделяющих сборок МБИР</t>
  </si>
  <si>
    <t>{054-002-574} Оснащение КПП АО "УЭХК" стационарными обнаружителями взрывчатых веществ</t>
  </si>
  <si>
    <t>{054-002-575} Организация системы комплексного обращения с отходами электронного и электротехнического оборудования в Госкорпорации "Росатом"</t>
  </si>
  <si>
    <t>{054-002-576} Производственное и лабораторное оборудование ПСКМ</t>
  </si>
  <si>
    <t>{054-002-577} Создание 1-ой очереди автоматизированной системы выявления инцидентов по охране труда на АО ЧМЗ</t>
  </si>
  <si>
    <t>{054-002-578} Приобретение акций ОТЭК (ВГО)</t>
  </si>
  <si>
    <t>{054-002-579} Реконструкция музея ПАО "КМЗ"</t>
  </si>
  <si>
    <t>{054-002-580} Реконструкция музея АО "ВПО "Точмаш"</t>
  </si>
  <si>
    <t>{054-002-581} Создание 1-ой очереди автоматизированной системы выявления инцидентов по охране труда</t>
  </si>
  <si>
    <t>{054-002-582} НИОКР ЕОТП (от АО "Наука и Инновации) с сценарием "Стратегический"</t>
  </si>
  <si>
    <t>{054-002-583} НИОКР ЕОТП (от АО "Наука и Инновации) с сценарием "Минимальный"</t>
  </si>
  <si>
    <t>{054-002-584} Разработка и опытная апробация технологии дистанционной лазерной резки газодиффузионного оборудования при выводе из эксплуатации разделительного производства</t>
  </si>
  <si>
    <t>{054-002-585} Доработка технологии кондиционирования отработавших радиоактивных ионообменных смол непосредственно в контейнере для захоронения с использованием опытно-промышленной установки</t>
  </si>
  <si>
    <t>{054-002-586} Дезактивирующая индукционная переплавка загрязненного металла</t>
  </si>
  <si>
    <t>{054-002-587} Разработка и опытная апробация технологий ВЭ ЯРОО</t>
  </si>
  <si>
    <t>{054-002-588} Отчуждение исключительного права на результаты интеллектуальной деятельности по НИОКР: «Разработка регламента и методик измерения радиационных характеристик отходов, образующихся при ВЭ ЯРОО»</t>
  </si>
  <si>
    <t>{054-002-589} Управление рисками ПН "Прорыв"</t>
  </si>
  <si>
    <t>{054-002-591} Информационная система «Управление вводом в эксплуатацию» (E- Commissioning management)</t>
  </si>
  <si>
    <t>{054-002-594} Отраслевая типовая инфраструктура - 01</t>
  </si>
  <si>
    <t>{054-002-595} Отраслевой типовой АРМ – 01</t>
  </si>
  <si>
    <t>{054-002-596} Обновление автопарка АО «ЗиО-Подольск</t>
  </si>
  <si>
    <t>{054-002-597} Создание центра компетенций</t>
  </si>
  <si>
    <t>{054-002-598} Обеспечение и поддержание инфраструктуры АО «ЗиО-Подольск»</t>
  </si>
  <si>
    <t>{054-002-599} Выкуп акций АО «ЗиО-Подольск»</t>
  </si>
  <si>
    <t>{054-002-600} Совершенствование системы охраны режимных помещений АО "ТВЭЛ"</t>
  </si>
  <si>
    <t>{054-002-601} Изделия из композитов</t>
  </si>
  <si>
    <t>{054-002-602} Реконструкция музея</t>
  </si>
  <si>
    <t>{054-002-603} Создание участка ВПГУ второй очереди, расширение мощностей производства ТВС ВВЭР-1000/1200</t>
  </si>
  <si>
    <t>{054-002-604} Благоустройство открытой автостоянки на территории АО "МЗП"</t>
  </si>
  <si>
    <t>{054-002-605} Капитальный ремонт 2-го этажа строения № 80 для организации офисного пространства</t>
  </si>
  <si>
    <t>{054-002-606} Строительство быстровозводимых зданий на территории АО "МЗП" для сдачи в аренду под складские помещения</t>
  </si>
  <si>
    <t>{054-002-607} ЕОСДО-01 Перевод Единой отраслевой системы электронного документооборота на импортонезависимое программное обеспечение</t>
  </si>
  <si>
    <t>{054-002-608} ERP-01 Перевод организаций Росатом с платформы SAP ERP на импортонезависимое программное обеспечение</t>
  </si>
  <si>
    <t>{054-002-609} Создание 1-ой очереди автоматизированной системы выявления инцидентов по охране труда на АО «СХК»</t>
  </si>
  <si>
    <t>{054-002-610} Литиевый актив в Аргентине</t>
  </si>
  <si>
    <t>{054-002-612} Сбалансированный ЯТЦ</t>
  </si>
  <si>
    <t>{054-002-613} Реконструкция музея</t>
  </si>
  <si>
    <t>{054-002-614} Создание интегратора по ВЭ ЯРОО</t>
  </si>
  <si>
    <t>{054-002-615} Развитие интегратора по ВЭ ЯРОО</t>
  </si>
  <si>
    <t>{054-002-616} Создание партнерств в целях развития СПЖЦ "Цифровое предприятие" и других цифровых продуктов и технологий</t>
  </si>
  <si>
    <t>{054-002-617} Внутренний образ цифрового Росатома</t>
  </si>
  <si>
    <t>{054-002-618} Внешний образ цифрового Росатома и вывод на рынок цифровых продуктов</t>
  </si>
  <si>
    <t>{054-002-619} Разработка стратегических опций выхода ГК Росатом на новые рынки цифровых продуктов СПЖЦ «Цифровое предприятие»</t>
  </si>
  <si>
    <t>{054-002-620} Создание 1-ой очереди автоматизированной системы выявления инцидентов по охране труда на АО "АЭХК"</t>
  </si>
  <si>
    <t>{054-002-621} Увеличение производственных мощностей парка автотранспортных средств среднего и бизнес классов в 2020 году.</t>
  </si>
  <si>
    <t>{054-002-622} Поддержание производственно-технической базы предприятия в части предупреждения и ликвидации чрезвычайных ситуаций и обеспечения пожарной безопасности</t>
  </si>
  <si>
    <t>{054-002-623} Создание дивизиональной системы мониторинга производственного оборудования Машиностроительного дивизиона Госкорпорации «Росатом» (СМПО АЭМ)</t>
  </si>
  <si>
    <t>{054-002-624} Создание дивизиональной системы позиционирования сотрудников, производственного автотранспорта и механизмов Машиностроительного дивизиона Госкорпорации «Росатом» (RTS АЭМ)</t>
  </si>
  <si>
    <t>{054-002-625} Создание дивизиональной системы прогнозирования вероятности отказа и остаточного ресурса оборудования (вибродиагностика)</t>
  </si>
  <si>
    <t>{054-002-626} Исследование рынка контрактных производств пластин с кристаллами изделий силовой и аналоговой электроники/ФАУНДРИ-Р</t>
  </si>
  <si>
    <t>{054-002-627} Исследование возможности создания современной отечественной энергонезависимой памяти/MRAM</t>
  </si>
  <si>
    <t>{054-002-628} Анализ возможности построения интеллектуальной сенсорной системы для "Умных городов" на базе отечественной ЭКБ"/СЕНСОР-УГ</t>
  </si>
  <si>
    <t>{054-002-629} Снижение себестоимости продукции цеха производства неядерных материалов ПАО "НЗХК"</t>
  </si>
  <si>
    <t>{054-002-631} Создание центра ТСО для международного бизнеса</t>
  </si>
  <si>
    <t>{054-002-632} Открытие и организация деятельности МНИЦПЯТ на о. Русский</t>
  </si>
  <si>
    <t>{054-002-633} Система прогнозирования радиоэкологической обстановки</t>
  </si>
  <si>
    <t>{054-002-634} Создание математической и 3D-модели реактора СМ-3</t>
  </si>
  <si>
    <t>{054-002-636} Реконструкция зданий 124 и 125 с созданием и размещением испытательных стендов для электрореактивных двигателей и для мощного источника нейтронов"</t>
  </si>
  <si>
    <t>{054-002-637} Реконструкция термоядерного комплекса ТСП</t>
  </si>
  <si>
    <t>{054-002-638} «Организация добычи россыпного золота на месторождении «Лагуна Ръыпильгын»</t>
  </si>
  <si>
    <t>{054-002-639} Локализация нефтесервисного оборудования</t>
  </si>
  <si>
    <t>{054-002-640} Инвентаризация отраслевых проектов в области ЦД и НЦТ</t>
  </si>
  <si>
    <t>{054-002-641} SD10934557 Удаление</t>
  </si>
  <si>
    <t>{054-002-642} Закупка оборудования для нужд АО "АТЦ Росатома"</t>
  </si>
  <si>
    <t>{054-002-644} Создание «Платформы доверенных сервисов Госкорпорации «Росатом»</t>
  </si>
  <si>
    <t>{054-002-645} Аванпроекты АО ТВЭЛ</t>
  </si>
  <si>
    <t>{054-002-646} Пилотный проект по сбору данных цифровых теней для отдельных типов оборудования АЭС</t>
  </si>
  <si>
    <t>{054-002-647} Пилотный проект: Цифровой двойник НВАЭС</t>
  </si>
  <si>
    <t>{054-002-648} Сделка по приобретению действующего бизнеса по обращению с отходами свинцово-кислотных аккумуляторных батарей</t>
  </si>
  <si>
    <t>{054-002-649} Научно-технологический форсайт: разработка системы семантических карт глобальных трендов развития направления «Накопители энергии на основе ХИТ (в т.ч. Li-ion)» на средне- и долгосрочный период в интересах обеспечения устойчивой конкурентоспособности АО «ТВЭЛ»</t>
  </si>
  <si>
    <t>{054-002-650} Внесение учредительного взноса АО «Технопарк-Технология» в АНО ДПО «ЦНФРО» в рамках создания детского технопарка Кванториум на площадке АО «Технопарк «Саров»</t>
  </si>
  <si>
    <t>{054-002-651} Разработка технологии и выпуск опытной партии оптического волокна ИК-диапазона из галогенидов серебра и таллия</t>
  </si>
  <si>
    <t>{054-002-652} Разработка технологии получения монокристаллов антимонида индия диаметром 100 мм и изготовление из них пластин качества «epi-ready», используемых для создания тепловизионных и фотопреобразовательных приборов</t>
  </si>
  <si>
    <t>{054-002-653} Разработка методов химической диагностики неядерных материалов атомной промышленности</t>
  </si>
  <si>
    <t>{054-002-654} Разработка технологии и создание образцов конденсаторного тантала</t>
  </si>
  <si>
    <t>{054-002-655} Разработка технологии производства циркониевых порошков</t>
  </si>
  <si>
    <t>{054-002-656} Разработка экспериментальной технологии переработки природного и попутного нефтяного газа в синтетические жидкие углеводороды (GTL)</t>
  </si>
  <si>
    <t>{054-002-657} Закупка оборуования вне Табея оснащения для Нововоронежского филиала АО "АТЦ Росатома"</t>
  </si>
  <si>
    <t>{054-002-658} Центр архитектуры и инфраструктуры МНИЦПЯТ в АО "ГНЦ РФ ТРИНИТИ"</t>
  </si>
  <si>
    <t>{054-002-659} Разработка технологии производства высокочистых тугоплавких металлов и сплавов на их основе. Шифр "Ниобий".</t>
  </si>
  <si>
    <t>{054-002-660} Разработка технологии получения монокристаллов арсенида индия диаметром 100 мм и изготовление из них пластин качества «epi-ready», используемых для опто-электронных устройств наземного и космического базирования</t>
  </si>
  <si>
    <t>{054-002-661} Разработка технологии роста монокристаллов арсенида галлия диаметром до 100 мм в магнитном поле</t>
  </si>
  <si>
    <t>{054-002-662} Удаление SD11139118</t>
  </si>
  <si>
    <t>{054-002-663} Разработка технологии производства особо чистого скандия</t>
  </si>
  <si>
    <t>{054-002-664} Удаление SD11956622</t>
  </si>
  <si>
    <t>{054-002-665} Развитие сети МЦО в странах Северной и Южной Америки</t>
  </si>
  <si>
    <t>{054-002-666} Реконструкция системы теплоснабжения "подгорной" части ФГУП "ГХК"</t>
  </si>
  <si>
    <t>{054-002-667} Енисей: ГХК</t>
  </si>
  <si>
    <t>{054-002-668} удалние SD12178177</t>
  </si>
  <si>
    <t>{054-002-669} Удаление SD11862194</t>
  </si>
  <si>
    <t>{054-002-670} Организация поверки и калибровки средств измерений активности и удельной активности радионуклидов с использованием вторичных эталонов РФ для нужд атомной отрасли</t>
  </si>
  <si>
    <t>{054-002-671} "Создание производства радиофармацевтического прекурсора на основе 177Lu" 1-ый этап проекта - НИОКР</t>
  </si>
  <si>
    <t>{054-002-672} Приобретение информационно-аналитических услуг по рынкам редких и редкоземельных металлов (РМ и РЗМ)</t>
  </si>
  <si>
    <t>{054-002-673} Малотоннажное сжижение природного газа (мтСПГ)</t>
  </si>
  <si>
    <t>{054-002-674} Разработке технологии изготовления ИК фотодиодов на основе эпитаксиальных слоев кадмий – ртуть – теллур</t>
  </si>
  <si>
    <t>{054-002-675} Развитие защищенного корпоративного облака и органический рост ЦОД для КИС</t>
  </si>
  <si>
    <t>{054-002-676} Удалено SD10964806</t>
  </si>
  <si>
    <t>{054-002-678} Приобретение основных средств производства для цеха по изготовлению крутоизогнутых отводов АО "АТМ" г. Волгодонск</t>
  </si>
  <si>
    <t>{054-002-679} Горн</t>
  </si>
  <si>
    <t>{054-002-680} Перевод ИС Монитор-Актив на импортонезависимую СУБД</t>
  </si>
  <si>
    <t>{054-002-681} Программное обеспечение для индивидуального дозиметрического планирования низкодозной, высокодозной и альфа-брахитерапии</t>
  </si>
  <si>
    <t>{054-002-682} Обновление автопарка ООО "Атоммаш-Сервис" (3 очередь)</t>
  </si>
  <si>
    <t>{054-002-683} Организация пилотного проекта с международным партнером по  доведению 3х идеи новых бизнесов до международного рынка</t>
  </si>
  <si>
    <t>{054-002-684} Приобретение микроавтобуса для Ganz EEM Ltd</t>
  </si>
  <si>
    <t>{054-002-685} Выполнение работ по технической защите информации, включающих в себя поставку оборудования и выполнение работ по аттестации объектов информации</t>
  </si>
  <si>
    <t>{054-002-686} Концепция единой платформы цифровых сервисов СМП</t>
  </si>
  <si>
    <t>{054-002-687} Ликвидация последствий деятельности объекта «Горный» Саратовской области</t>
  </si>
  <si>
    <t>{054-002-688} Разработка методики расчета эффектов от оптимизации процессов в результате использования технологии непрерывных улучшений (LEAN SMART CITY/REGION)</t>
  </si>
  <si>
    <t>{054-002-689} Разработка единой системы оценки и развития сотрудников, занятых в развитии новых направлений бизнеса</t>
  </si>
  <si>
    <t>{054-002-690} Приобретение плавучего дока для ремонта и обслуживания атомных ледоколов</t>
  </si>
  <si>
    <t>{054-002-691} Создание производства порошка металлического вольфрама и изделий на его основе мощностью  240 т/год</t>
  </si>
  <si>
    <t>{054-002-692}  Разработка технологии производства трубной (капиллярной) металлопродукции из тантала с изготовлением опытных образцов</t>
  </si>
  <si>
    <t>{054-002-694} Разработка документации и производство опытной партии электродвигателей на постоянных магнитах (ЭДПМ) и маркетинговое исследование рынка ЭДПМ</t>
  </si>
  <si>
    <t>{054-002-695} Удаление SD11060303</t>
  </si>
  <si>
    <t>{054-002-696} Создание компактных интенсивных источников нейтронов МэВ-ного диапазона энергий на основе плазменных технологий</t>
  </si>
  <si>
    <t>{054-002-697} Создание технологии комплексного воздействия мощными импульсными потоками высокотемпературной плазмы и лазерного излучения</t>
  </si>
  <si>
    <t>{054-002-698} Создание и испытание перспективных конструкций и технологий первой стенки и дивертора термоядерного реактора, включая жидкометаллические</t>
  </si>
  <si>
    <t>{054-002-699} Создание прототипов плазменных ракетных двигателей с повышенными параметрами тяги и удельного импульса</t>
  </si>
  <si>
    <t>{054-002-700} Проработка в бизнес-акселераторе АО “ТВЭЛ” проектных инициатив филиалов – АЭС, полученных Бизнес-лабораторией Концерна</t>
  </si>
  <si>
    <t>{054-002-701} Мероприятие "Исследование теплофизических свойств веществ при сжатии до рекордно высоких давлений и магнитных полей" Федерального проекта  "Новые материалы и технологии" в рамках КП АНТТ</t>
  </si>
  <si>
    <t>{054-002-702} Строительство стендового комплекса по испытаниям технологий и оборудования для средне- и крупнотоннажного производства сжиженного природного газа и иных целей в атомной промышленности на АО «НИИЭФА»</t>
  </si>
  <si>
    <t>{054-002-703} Мероприятие "Прогнозирование динамических процессов при высоких плотностях энергии в технологиях атомной энергетики для предотвращения аварийных ситуаций. Исследование неидеальных эффектов в плотных средах и водородной взрывобезопасности объектов ядерной энергетики" Федерального проекта  "Новые материалы и технологии" в рамках КП АНТТ</t>
  </si>
  <si>
    <t>{054-002-704} Создание источника мощного микроволнового излучения с электронной перестройкой частоты в диапазоне 2 октав</t>
  </si>
  <si>
    <t>{054-002-705} Создание макета модуля драйвера для ЛТС с диодной накачкой</t>
  </si>
  <si>
    <t>{054-002-706} Разработка и стендовая экспериментальная верификация эффективности технологических систем  пускового комплекса модифицированного ТСП</t>
  </si>
  <si>
    <t>{054-002-707} Проработка в бизнес-акселераторе АО “ТВЭЛ” проектных инициатив по направлению “Цифровая энергетика"</t>
  </si>
  <si>
    <t>{054-002-708} Приобретение просвечивающего электронного микроскопа</t>
  </si>
  <si>
    <t>{054-002-709} Разработка технической документации по теме «Оборудование участка по обращению с радиоактивными отходами»</t>
  </si>
  <si>
    <t>{054-002-710} «Создание технологии инновационных композиционных покрытий и композитных изделий с углеродными наполнителями для повышения ресурса конструкций различного назначения (в интересах РЖД, Газпром,  Транснефть, Росатом и др.)»</t>
  </si>
  <si>
    <t>{054-002-711} Обеспечение эффективной защиты ИС для АЭС с технологией ВВЭР при различных вариантах международной коммерциализации на постоянной основе</t>
  </si>
  <si>
    <t>{054-002-712} Создание направления пултрузионного производства в дивизионе ПМиТ</t>
  </si>
  <si>
    <t>{054-002-713} Производство пожаробезопасных безгалогенных композиционных материалов электроизоляционного назначения</t>
  </si>
  <si>
    <t>{054-002-714} "Графитовые порошки"</t>
  </si>
  <si>
    <t>{054-002-715} Футеровка трубопроводов</t>
  </si>
  <si>
    <t>{054-002-716} Аванпроекты производственного блока Дивизиона "Горнорудный"</t>
  </si>
  <si>
    <t>{054-002-718} Создание регионального центра облучательных технологий</t>
  </si>
  <si>
    <t>{054-002-719} Рекультивация земельного участка, занятого городской свалкой в Металлургическом районе города Челябинска в рамках мероприятия по рекультивации земельных участков,нарушенных размещением твердых комунальных отходов, и ликвидации объектов накопленного экологического вреда</t>
  </si>
  <si>
    <t>{054-002-720} Ликвидация накопленного вреда окружающей среде на полигоне "Красный бор"</t>
  </si>
  <si>
    <t>{054-002-721} Удаление SD11461526</t>
  </si>
  <si>
    <t>{054-002-725} Приобретение активов компаний EISENMANN SE (ФРГ) и EISENMANN Thermal Solutions GmbH CO KG (ФРГ)</t>
  </si>
  <si>
    <t>{054-002-726} Проведение маркетингового, правового и организационного анализа развития направления цифровой медицины</t>
  </si>
  <si>
    <t>{054-002-727} Аванпроекты ЧУ "Наука и инновации"</t>
  </si>
  <si>
    <t>{054-002-728} АЭС в Болгарии</t>
  </si>
  <si>
    <t>{054-002-729} Проект сооружения референтной АЭС с реакторными установками ВВЭР-ТОИ (энергоблоки Курской АЭС-2, входящие в состав комплексной программы «Развитие техники, технологий и научных исследований в области использования атомной энергии в Российской Федерации на период до 2024 года»)</t>
  </si>
  <si>
    <t>{054-002-730} Создание системы управления проектами в АО «ЦКБМ»</t>
  </si>
  <si>
    <t>{054-002-731} Совместное предприятие АО "Роснано" и ООО "Композит Инвест"</t>
  </si>
  <si>
    <t>{054-002-732} Аванпроекты АО "Концерн Росэнергоатом"</t>
  </si>
  <si>
    <t>{054-002-733} Обеспечение отдела разработки циркониевых материалов современным аналитическим оборудованием сверхвысокого разрешения</t>
  </si>
  <si>
    <t>{054-002-734} Научные аванпроекты, выполняемые по заказу АО "Атомэнергомаш" 2019-2020 гг</t>
  </si>
  <si>
    <t>{054-002-735} Аванпроекты АО "Прорыв"</t>
  </si>
  <si>
    <t>{054-002-737} Комплектные распределительные устройства (6)10 кВ</t>
  </si>
  <si>
    <t>{054-002-738} Герметичные кабельные проходки</t>
  </si>
  <si>
    <t>{054-002-739} Системы связи</t>
  </si>
  <si>
    <t>{054-002-740} НИР Платформа мониторинга, диагностики и прогностики электротехнического оборудования</t>
  </si>
  <si>
    <t>{054-002-741} Релокация АО "ПО "Север"</t>
  </si>
  <si>
    <t>{054-002-743} Перевод автоматизированной системы анализа, оценки и прогнозирования нештатных ситуаций на объектах атомной отрасли (АС АНСОАО) на импортонезависимую СУБД</t>
  </si>
  <si>
    <t>{054-002-744} Формирование уставного капитала ООО «Центротех-Инжиниринг» для обеспечения финансово-хозяйственной деятельности</t>
  </si>
  <si>
    <t>{054-002-745} Финансирование мероприятий капитального характера в рамках поддержания в безопасном состоянии и вывода из эксплуатации объектов ядерного наследия (остановленных блоков АЭС)</t>
  </si>
  <si>
    <t>{054-002-746} Покупка акций EnerTech International Inc. (Республика Корея)</t>
  </si>
  <si>
    <t>{054-002-747} Проектирование и строительство референтных энергоблоков атомных электростанций, в том числе атомных станций малой мощности</t>
  </si>
  <si>
    <t>{054-002-748} Аванпроект АП-19/201. Проведение исследований, разработка и обоснование ТЗ на разработку сложнопрофильного торцевого уплотнения на основе карбида кремния с применением аддитивных технологий</t>
  </si>
  <si>
    <t>{054-002-749} НИР Генераторный выключатель</t>
  </si>
  <si>
    <t>{054-002-750} Модернизация участка ядерного легирования кремния на здании 103 и создание участка подготовки минералов к облучению и обработки облученных минералов на здании 106. («Горностай»)</t>
  </si>
  <si>
    <t>{054-002-751} Резерв на Аванпроекты</t>
  </si>
  <si>
    <t>{054-002-752} Развитие системы АИС «Экспертиза проектов»</t>
  </si>
  <si>
    <t>{054-002-753} Удаление SD15505120</t>
  </si>
  <si>
    <t>{054-002-754} Обеспечение надлежащей эксплуатации зданий и сооружений АО «ВНИИАЭС» для поддержания основной деятельности</t>
  </si>
  <si>
    <t>{054-002-755} Модернизация ТЭЦ филиала АО «ОТЭК» в г. Краснокаменске</t>
  </si>
  <si>
    <t>{054-002-756} ОБИН создание установки переработки жидких радиоактивных отходов в АО «ВНИИНМ»</t>
  </si>
  <si>
    <t>{054-002-757} Технический компонент</t>
  </si>
  <si>
    <t>{054-002-758} Модернизация и техническое перевооружение предприятия для повышения эффективности и безопасности существующего производства ООО «НПО»Центротех»</t>
  </si>
  <si>
    <t>{054-002-759} Мероприятия по энергетике объектов и производств ФГУП "ГХК"</t>
  </si>
  <si>
    <t>{054-002-760} Разработка ОБИН для создания установки обесфторивания ОГФУ W3</t>
  </si>
  <si>
    <t>{054-002-761} Разработка ДОН и ОБИН установки W-УЭХК</t>
  </si>
  <si>
    <t>{054-002-762} Разработка ДОН и ОБИН установки W-УЭХК</t>
  </si>
  <si>
    <t>{054-002-763} Создание совместного с MVM Group предприятия в Венгрии: European Power Services Zrt.</t>
  </si>
  <si>
    <t>{054-002-764} Создание лабораторного макета устройства для подводной лазерной резки</t>
  </si>
  <si>
    <t>{054-002-765} Обеспечение компьютерной и оргтехникой ООО «Катодные материалы»</t>
  </si>
  <si>
    <t>{054-002-766} Проекты СРФ (РИ)</t>
  </si>
  <si>
    <t>{054-002-767} Строительство 3-го и 4-го серийных УАЛ проекта 22220</t>
  </si>
  <si>
    <t>{054-002-768} Модернизация инфраструктуры для обслуживания УАЛ проекта 22220</t>
  </si>
  <si>
    <t>{054-002-769} Строительство судна атомно-технологического обслуживания</t>
  </si>
  <si>
    <t>{054-002-770} Интеграционные решения ИС TCM NC</t>
  </si>
  <si>
    <t>{054-002-771} Строительство быстровозводимого склада включая инфраструктуру и оборудование</t>
  </si>
  <si>
    <t>{054-002-774} Функциональное администрирование и развитие ИС TCM NC</t>
  </si>
  <si>
    <t>{054-002-775} Стандарты по информационному моделированию и составу информационных моделей на жизненном цикле сложных технологических объектов</t>
  </si>
  <si>
    <t>{054-002-776} Пилотный проект «Внедрение сквозных технологий информационного моделирования (BIM)»</t>
  </si>
  <si>
    <t>{054-002-777} Модернизация участка тестирования порошков МОКС-топлива для изготовления опытной партии таблеток РЕМИКС-топлива для ЭТВС-РЕМИКС</t>
  </si>
  <si>
    <t>{054-002-778} Повышение производительности ИС TCM NC</t>
  </si>
  <si>
    <t>{054-002-779} Оснащение вентиляцией участков сборки ДПШ и БЭМ</t>
  </si>
  <si>
    <t>{054-002-780} Обеспечение стабильности производственной деятельности ООО "Аргон"</t>
  </si>
  <si>
    <t>{054-002-781} Проекты СРФ</t>
  </si>
  <si>
    <t>{054-002-782} Обновление основных фондов АО “ЭНИЦ”</t>
  </si>
  <si>
    <t>{054-002-783} Выкуп АО «Атомспецтранс» арендуемых автотранспортных средств и подвижного состава у предприятий отрасли</t>
  </si>
  <si>
    <t>{054-002-784} Выкуп проектной документации по объекту «Терминал сжиженного природного газа и стабильного газового конденсата «Утренний» в части, касающейся объектов государственной федеральной собственности</t>
  </si>
  <si>
    <t>{054-002-786} Создание на территории ЯНАО или в прилегающей к нему акватории объектов инфраструктуры, которые в соответствии с законодательством могут находиться исключительно в федеральной собственности</t>
  </si>
  <si>
    <t>{054-002-787} Отработка технологии и изготовление опытной партии контактных CuZrNb/CuNb проводов строительной длины для ВСМ РЖД</t>
  </si>
  <si>
    <t>{054-002-788} Финансирование Центрального и Ведомственного Информационно–аналитического центра государственного учета и контроля радиоактивных веществ и радиоактивных отходов</t>
  </si>
  <si>
    <t>{054-002-789} Сенсор определения степени взрывоопасности в газовоздушной смеси горючих газов</t>
  </si>
  <si>
    <t>{054-002-790} Создание малотоннажного производства алюминиевого проката для нужд организаций Госкорпорации «Росатом»</t>
  </si>
  <si>
    <t>{054-002-791} Установка памятного знака на территории филиала АО "АЭМ-технологии" "Петрозаводскмаш".</t>
  </si>
  <si>
    <t>{054-002-792} Проекты СРФ</t>
  </si>
  <si>
    <t>{054-002-793} Стенд проверок, испытаний и анализа защищенности от компьютерных атак подсистем АСУ ТП АЭС</t>
  </si>
  <si>
    <t>{054-002-794} Подключение объектов АО «ЗиО-Подольск» к волоконно оптической линии связи</t>
  </si>
  <si>
    <t>{054-002-795} Проекты СРФ АО "ГНЦ РФ-ФЭИ"</t>
  </si>
  <si>
    <t>{054-002-796} Операционная деятельность ООО «РусАТ»</t>
  </si>
  <si>
    <t>{054-002-797} Модернизация (техническое перевооружение) системы физической защиты объектов филиала "Железногорский"</t>
  </si>
  <si>
    <t>{054-002-798} Разработка и внедрение модуля Строительного контроля на Проекте сооружения АЭС Эль-Дабаа</t>
  </si>
  <si>
    <t>{054-002-799} удален по SD11593013</t>
  </si>
  <si>
    <t>{054-002-800} Модернизация установки "Ангара 5-1"</t>
  </si>
  <si>
    <t>{054-002-801} Умный полигон СПВ</t>
  </si>
  <si>
    <t>{054-002-802} Реализация направления "Квантовые вычисления"</t>
  </si>
  <si>
    <t>{054-002-803} Создание информационно-выставочного центра в офисном здании АО "ЦКБМ"</t>
  </si>
  <si>
    <t>{054-002-804} Перенос производственного оборудования ООО «РЭНЕРА» на новую площадку ПАО «НЗХК»</t>
  </si>
  <si>
    <t>{054-002-805} Техперевооружение инфраструктурной базы центров обработки данных (ЦОД)</t>
  </si>
  <si>
    <t>{054-002-806} Внедрение функции бизнес-анализа в проектах цифровизации</t>
  </si>
  <si>
    <t>{054-002-808} Разработка техпроцесса производства изделий из полимерных композиционных материалов на основе углеродного волокна UMATEX</t>
  </si>
  <si>
    <t>{054-002-809} Цифровая платформа по сохранению критически важных знаний и управлению базами знаний</t>
  </si>
  <si>
    <t>{054-002-810} Управление программой "Цифровое импортозамещение"</t>
  </si>
  <si>
    <t>{054-002-811} Управление программой "Единая цифровая платформа атомной отрасли"</t>
  </si>
  <si>
    <t>{054-002-812} Выполнение инженерных изысканий территории предприятия и проведение подготовительных работ для переоборудования строений под офисные помещения</t>
  </si>
  <si>
    <t>{054-002-816} Технический компонент программы Единая цифровая платформа атомной отрасли</t>
  </si>
  <si>
    <t>{054-002-817} Технический компонент программы Цифровое импортозамещение</t>
  </si>
  <si>
    <t>{054-002-818} Разработка новых коррозионностойких материалов для ядерно-энергетической установки ЖСР с топливной солью на основе Li,Na,K/F и технологий переработки облученного ядерного топлива. Этап 2020 года</t>
  </si>
  <si>
    <t>{054-002-819} Разработка и демонстрация ключевых технологических решений по реактору с циркулирующим топливом на основе расплавов солей фторидов лития и бериллия для трансмутации долгоживущих актинидов. Этап 2020 г.</t>
  </si>
  <si>
    <t>{054-002-820} Разработка технического предложения и выполнение НИОКР в обоснование реакторной установки с исследовательским ядерным реактором на основе жидкоcолевой топливной композиции (ИЖСР). Этап 2020 г.</t>
  </si>
  <si>
    <t>{054-002-821} Разработка аддитивных технологий печати металлических и композиционных изделий на оборудовании с высокотемпературным подогревом рабочего объема. Этап 2020 года</t>
  </si>
  <si>
    <t>{054-002-822} Развитие применения методики ускоренных испытаний для обоснования новых кандидатных материалов перспективных ядерных установок. Этап 2020 года</t>
  </si>
  <si>
    <t>{054-002-823} Разработка и материаловедческое обоснование создания материалов и изделий на основе сплавов с памятью формы с управляемой структурой и пьезоэлектрической керамики с применением аддитивных 4D-технологий. Этап 2020 года</t>
  </si>
  <si>
    <t>{054-002-824} Разработка системы по управлению старением конструкций, систем и элементов на всех этапах жизненного цикла энергоблоков АЭС в соответствии с рекомендациями МАГАТЭ. Этап 2020 года</t>
  </si>
  <si>
    <t>{054-002-825} Разработка отечественной программно-аппаратной платформы управления аддитивным оборудованием. Этап 2020 года</t>
  </si>
  <si>
    <t>{054-002-826} Разработка технологии получения сверхвысокопрочного углеродного волокна UMT55-12K-EP. Этап 2020 года</t>
  </si>
  <si>
    <t>{054-002-827} Разработка технологии и аддитивного оборудования прямого выращивания заготовок элементов внеядерного острова и пространственных изделий с применением проволочных материалов. Этап 2020 года</t>
  </si>
  <si>
    <t>{054-002-828} Создание и испытание перспективных конструкций и технологий первой стенки и дивертора термоядерного реактора, включая жидкометаллические</t>
  </si>
  <si>
    <t>{054-002-829} Разработка и стендовая экспериментальная верификация модифицированного ТСП - термоядерного прототипа гибридного реактора в обосновании проекта реконструкции термоядерного комплекса ТСП</t>
  </si>
  <si>
    <t>{054-002-830} Создание прототипов плазменных ракетных двигателей с повышенными параметрами тяги и удельного импульса</t>
  </si>
  <si>
    <t>{054-002-831} Разработка инновационных методов синтеза монокристаллических алмазных полупроводниковых материалов и гетероструктур изолятор-полупроводник-проводник</t>
  </si>
  <si>
    <t>{054-002-832} Разработка технологии получения новых материалов путем попеременного, совместного импульсного плазменного осаждения и бомбардировки ионными пучками. Этап 2020 года</t>
  </si>
  <si>
    <t>{054-002-833} Создание компактных интенсивных источников нейтронов МэВ-ного диапазона энергий на основе плазменных технологий</t>
  </si>
  <si>
    <t>{054-002-834} Разработка и изготовление ВТСП проводников для плазменных ракетных двигателей</t>
  </si>
  <si>
    <t>{054-002-835} Создание прототипов безэлектродных плазменных ракетных двигателей с повышенными параметрами тяги и удельного импульса</t>
  </si>
  <si>
    <t>{054-002-836} Разработка технологии модификации поверхностных слоёв конструкционных и функциональных материалов высокого уровня технологической готовности для использования в промышленности</t>
  </si>
  <si>
    <t>{054-002-837} Исследование теплофизических свойств веществ при сжатии до рекордно высоких давлений и магнитных полей. Этап 2020 года</t>
  </si>
  <si>
    <t>{054-002-838} Прогнозирование динамических процессов при высоких плотностях энергии в технологиях атомной энергетики и для предотвращения аварийных ситуаций. Исследование неидеальных эффектов в плотных средах и водородной взрывобезопасности объектов ядерной энергетики. Этап 2020 года</t>
  </si>
  <si>
    <t>{054-002-839} Разработка комплекса по синтезу сверхтяжёлых элементов, включая разработку технологий и получение изотопов для синтеза. Этап 2020 года</t>
  </si>
  <si>
    <t>{054-002-840} Испытания конструкционных и новых функциональных материалов гибридного бланкета ГРУ</t>
  </si>
  <si>
    <t>{054-002-841} Расширение возможностей отраслевого центра компетенций по подготовке рабочих и инженерных кадров с использованием методики WorldSkills на базе Филиала АО «АЭМ-технологии» «Атоммаш» в г. Волгодонск»</t>
  </si>
  <si>
    <t>{054-002-842} Совместный проект с иностранными Партнерами по модернизации ОФЭКТ на базе "ЭФАТОМ" производства АО "НИИЭФА"</t>
  </si>
  <si>
    <t>{054-002-843} Тираж автоматизированной системы интеллектуальной обработки информации и роботизации пользовательской активности</t>
  </si>
  <si>
    <t>{054-002-844} Развитие автоматизированной системы интеллектуальной обработки информации и роботизации пользовательской активности</t>
  </si>
  <si>
    <t>{054-002-845} Консолидация 100% акций ПАО "МСЗ"</t>
  </si>
  <si>
    <t>{054-002-846} Создание производства спортивных товаров из композитных материалов</t>
  </si>
  <si>
    <t>{054-002-847} Усовершенствование комплекса экспериментальных установок ХМЗ АО «СХК» для отработки технологии и изготовления ТВС-2М с уран-плутониевым топливом</t>
  </si>
  <si>
    <t>{054-002-849} АСММ российского дизайна</t>
  </si>
  <si>
    <t>{054-002-851} Цифровизация процесса привлечения и оценки внешних кандидатов</t>
  </si>
  <si>
    <t>{054-002-852} Конструктор договоров</t>
  </si>
  <si>
    <t>{054-002-853} Создание центра облучения в  АО «НИФХИ им. Л.Я. Карпова»</t>
  </si>
  <si>
    <t>{054-002-854} Модернизация закупочной деятельности в рамках программы импортозамещение (ЕОС-Закупки 2.0)</t>
  </si>
  <si>
    <t>{054-002-855} Интеграционная шина в защищенном исполнении</t>
  </si>
  <si>
    <t>{054-002-861} Отраслевая система Риск-менеджмента Госкорпорации Росатом</t>
  </si>
  <si>
    <t>{054-002-862} Обеспечение компьютерной техникой ООО "РусАТ"</t>
  </si>
  <si>
    <t>{054-002-863} Создание системы активной дегазации полигонов ТКО и очистки свалочного фильтрата</t>
  </si>
  <si>
    <t>{054-002-864} Устройство подъездной дороги для прохода персонала и проезда транспорта на территорию, арендуемую АО «НоваВинд» в г.Волгодонск</t>
  </si>
  <si>
    <t>{054-002-865} Цифровизация информационных стендов ГК Росатом</t>
  </si>
  <si>
    <t>{054-002-866} Замена устаревших фасадных вывесок и крышной конструкции на здании Московского завода полиметаллов</t>
  </si>
  <si>
    <t>{054-002-867} Поддержание производственной инфраструктуры филиала АО «АЭМ-технологии» «Атоммаш» в г. Волгодонск</t>
  </si>
  <si>
    <t>{054-002-868} Производство извести на базе Усть-Борзинского месторождения</t>
  </si>
  <si>
    <t>{054-002-869} Росатом 2.0</t>
  </si>
  <si>
    <t>{054-002-870} Обустройство противофильтрационной завесы на объектах размещения отходов</t>
  </si>
  <si>
    <t>{054-002-871} Создание производственных мощностей EnerTech International Inc. в РФ</t>
  </si>
  <si>
    <t>{054-002-872} Расширение производства EnerTech International Inc. (Республика Корея)</t>
  </si>
  <si>
    <t>{054-002-873} Автоматизированный гид по закупочной деятельности</t>
  </si>
  <si>
    <t>{054-002-874} Интеграция  ИТ инфраструктуры промышленных площадок АО «АЭМ-технологии»</t>
  </si>
  <si>
    <t>{054-002-875} Организация производства составных частей интернационального термоядерного экспериментального реактора («ИТЭР. ПСЗ»).</t>
  </si>
  <si>
    <t>{054-002-876} Содержание офиса ООО "РЭНЭРА"</t>
  </si>
  <si>
    <t>{054-002-877} Создание основного сегмента локальной вычислительной сети в Волгодонском филиале АО "АТМ"</t>
  </si>
  <si>
    <t>{054-002-878} Бюджетирование и планирование</t>
  </si>
  <si>
    <t>{054-002-879} Литиевый актив в Зимбабве (Arcadia)</t>
  </si>
  <si>
    <t>{054-002-880} Создание системы управления процессами экспортного контроля (DIRECT.Compliance)</t>
  </si>
  <si>
    <t>{054-002-881} Буденовское участки 6,7</t>
  </si>
  <si>
    <t>{054-002-882} Повышение удобства использования корпоративных ИТ- систем</t>
  </si>
  <si>
    <t>{054-002-883} Разработка оборудования и прострелочно-взрывной аппаратуры для технологии Plug-and-Perf</t>
  </si>
  <si>
    <t>{054-002-884} Аттестация, проведение специальной проверки и специальных исследований объекта информатизации и поставка технических средств защиты информации</t>
  </si>
  <si>
    <t>{054-002-885} Строительство ЦОД Шереметьево</t>
  </si>
  <si>
    <t>{054-002-886} ЦОД Очаково</t>
  </si>
  <si>
    <t>{054-002-887} Строительство ЦОД Иннополис</t>
  </si>
  <si>
    <t>{054-002-888} Строительство ЦОД Санкт-Петербург</t>
  </si>
  <si>
    <t>{054-002-889} Создание центра обучения и повышения квалификации по направлению «Вывод из эксплуатации ЯРОО»</t>
  </si>
  <si>
    <t>{054-002-890} Обращение с металлическими отходами, загрязненными радиоактивными веществами (МОЗРВ)</t>
  </si>
  <si>
    <t>{054-002-891} Реабилитация радиационно загрязненных территорий</t>
  </si>
  <si>
    <t>{054-002-892} Разработка технологии, демонтаж, фрагментация и контейнеризация корпуса РУ типа ВВЭР</t>
  </si>
  <si>
    <t>{054-002-893} Разработка технологии, демонтаж, фрагментация и контейнеризация внутрикорпусных устройств РУ типа ВВЭР</t>
  </si>
  <si>
    <t>{054-002-894} Дезактивация и демонтаж оборудования, вспомогательных систем, строительных конструкций и сооружений на площадке и выводимого из эксплуатации ОИАЭ. Дезактивация строительных конструкций и сооружений на площадке выводимых из эксплуатации ОИАЭ.</t>
  </si>
  <si>
    <t>{054-002-895} Закупка дезинфектора рук для работников  АО «НПО «ЦНИИТМАШ»</t>
  </si>
  <si>
    <t>{054-002-897} Создание производства медицинских расходных материалов на площадке   АО «НИФХИ им. Л. Я. Карпова»</t>
  </si>
  <si>
    <t>{054-002-898} «Цифровая система управления атомной отраслью»</t>
  </si>
  <si>
    <t>{054-002-899} Организация опытно-промышленной установки по производству металлургического порошка тантала в корпусе 29</t>
  </si>
  <si>
    <t>{054-002-900} Увеличение производства металлического лития до 350 тонн/год</t>
  </si>
  <si>
    <t>{054-002-901} Взнос в уставный капитал нового юридического лица в рамках реструктуризации АО ПНФ «Термоксид»</t>
  </si>
  <si>
    <t>{054-002-902} Приобретение ИТ-оборудования АО «КОНСИСТ-ОС» в целях предотвращения распространения COVID-19</t>
  </si>
  <si>
    <t>{054-002-903} Разработка программно-аппаратного комплекса управления ветроэнергетической установкой</t>
  </si>
  <si>
    <t>{054-002-904} Реализация строительства внеплощадочного газопровода пусковой котельной опытно-демонстрационного энергоблока с реактором на быстрых нейтронах со свинцовым теплоносителем (АО «СХК»)</t>
  </si>
  <si>
    <t>{054-002-905} Реализация строительства схемы выдачи мощности опытно-демонстрационного энергоблока с реактором на быстрых нейтронах со свинцовым теплоносителем (АО «СХК»)</t>
  </si>
  <si>
    <t>{054-002-906} Развитие цифровых продуктов ТК</t>
  </si>
  <si>
    <t>{054-002-907} Создание производства медицинских расходных материалов на площадке   АО «НИИТФА»</t>
  </si>
  <si>
    <t>{054-002-908} Подготовка объекта 5012 к эксплуатационной готовности</t>
  </si>
  <si>
    <t>{054-002-909} Типизация, унификация и импортозамещение ЭКБ для АСУ ТП АЭС</t>
  </si>
  <si>
    <t>{054-002-910} Коммутаторы для промышленных сетей передачи данных</t>
  </si>
  <si>
    <t>{054-002-911} Разработка информационной системы управления технической документацией в ходе реализации проектов капитальных вложений</t>
  </si>
  <si>
    <t>{054-002-912} Техническое перевооружение насосной станции здания 736 ПГЗ ЖРО филиала «Северский» ФГУП "НО РАО"</t>
  </si>
  <si>
    <t>{054-002-913} Система цифровой прослеживаемости материальных потоков с применением технологий маркировки</t>
  </si>
  <si>
    <t>{054-002-914} Система управления ИТ – СУИТ</t>
  </si>
  <si>
    <t>{054-002-915} Создание малого инновационного предприятия (МИП) с ФГБУ "НМИЦ Радиологии"</t>
  </si>
  <si>
    <t>{054-002-916} Поддержание производственно-технической базы в части обращения с РАО и ВЭ ЯРОО</t>
  </si>
  <si>
    <t>{054-002-917} Поддержание инженерной инфраструктуры и обеспечение промышленной, пожарной, радиационной безопасности</t>
  </si>
  <si>
    <t>{054-002-918} Обновление основных фондов для поддержания основной деятельности АО "КОНЦЕРН ТИТАН-2"</t>
  </si>
  <si>
    <t>{054-002-919} Инвестиционные мероприятия по развитию производственно-технической базы и разработке НИОКР</t>
  </si>
  <si>
    <t>{054-002-920} Техническое оснащение для выполнения СМР по программе "Прорыв"</t>
  </si>
  <si>
    <t>{054-002-921} Поддержание работоспособности участка промышленного производства катодного материала для литий-ионных аккумуляторов на основе литий оксид кобальта</t>
  </si>
  <si>
    <t>{054-002-922} Поддержание производственно-технической базы в части обеспечения физической защиты</t>
  </si>
  <si>
    <t>{054-002-923} Создание программного комплекса для моделирования концептуального облика и расчета стоимости системы физической защиты зарубежного объекта использования атомной энергии</t>
  </si>
  <si>
    <t>{054-002-924} Приобретение техники и оборудования для обеспечения выполнения работ на объектах строительства АО "ФЦНИВТ "СНПО "Элерон"</t>
  </si>
  <si>
    <t>{054-002-925} Радиоизотопные приборы нового поколения</t>
  </si>
  <si>
    <t>{054-002-926} Развитие производственно-технической базы ФГУП "НО РАО"</t>
  </si>
  <si>
    <t>{054-002-927} Поставка автономных терминалов для бесконтактного измерения температуры тела</t>
  </si>
  <si>
    <t>{054-002-928} Создание и эксплуатация центра радионуклидной терапии в Республике Башкортостан</t>
  </si>
  <si>
    <t>{054-002-929} Разработка концепции судна для перевозки сверхтяжёлых и негабаритных грузов</t>
  </si>
  <si>
    <t>{054-002-930} Дооснащение участка дезактивации в зд. № 102, 103 ЗРИ АО «СХК»</t>
  </si>
  <si>
    <t>{054-002-931} Приобретение оборудования для развития и продвижения Центра Цифровых Технологий</t>
  </si>
  <si>
    <t>{054-002-932} Пилотный проект по разработке системы предиктивной аналитики и прогнозирования качества продукции цеха 48 ПАО «МСЗ»</t>
  </si>
  <si>
    <t>{054-002-933} Комплексная система мониторинга и визуального контроля инфраструктуры ОЦОД АО «КОНСИСТ-ОС</t>
  </si>
  <si>
    <t>{054-002-934} Редизайн линейки прецизионных германиевых детекторов</t>
  </si>
  <si>
    <t>{054-002-935} АЭС БМ в Чехии</t>
  </si>
  <si>
    <t>{054-002-936} Закупка системы наземного лазерного сканирования для нужд Управления государственного строительного надзора Госкорпорации «Росатом»</t>
  </si>
  <si>
    <t>{054-002-937} Создание участка по приготовлению известкового молока для нужд АО ЧМЗ</t>
  </si>
  <si>
    <t>{054-002-938} ГИМ "Замена сетей тепловодоснабжения и водоотведения АО "УЭХК"</t>
  </si>
  <si>
    <t>{054-002-939} Имущественный комплекс ИФТП</t>
  </si>
  <si>
    <t>{054-002-940} Разработка технических сверхпроводников на основе диборида магния для применения в энергетике, в том числе для водородных гибридных магистралей</t>
  </si>
  <si>
    <t>{054-002-941} Разработка технологии изготовления сверхпроводящих материалов на основе железосодержащих соединений (пниктидов) для создания сильнополевых магнитных систем</t>
  </si>
  <si>
    <t>{054-002-942} Приобретение ООО «Порше современные материалы»</t>
  </si>
  <si>
    <t>{054-002-943} Разработка активной зоны для РУ РИТМ-200 АСММ</t>
  </si>
  <si>
    <t>{054-002-944} Комплексный научно-технический проект полного инновационного цикла "Робототехнические технологии вывода из эксплуатации объектов использования атомной энергии"</t>
  </si>
  <si>
    <t>{054-002-946} Организация малотоннажного производства оксинитрата циркония для катализаторов нефтехимии</t>
  </si>
  <si>
    <t>{054-002-948} Международный оператор логистических услуг</t>
  </si>
  <si>
    <t>{054-002-950} Оптимизация твёрдофазной технологии переработки РАО щелочных металлов при выводе из эксплуатации быстрых реакторов</t>
  </si>
  <si>
    <t>{054-002-951} Оптоволоконная система измерения мощности дозы гамма-излучения в труднодоступных местах</t>
  </si>
  <si>
    <t>{054-002-952} Технология дезактивации выведенного из эксплуатации оборудования АЭС с применением концентрированного озона</t>
  </si>
  <si>
    <t>{054-002-953} Модульная установка для безводной дезактивации спецодежды</t>
  </si>
  <si>
    <t>{054-002-956} «Модернизация инфраструктуры Нижегородского отделения филиала «Приволжский территориальный округ 
ФГУП «ФЭО»</t>
  </si>
  <si>
    <t>{054-002-957} «Организация серийного производства по изготовлению контейнеров с улучшенными характеристиками в 19 здании Ленинградского отделения филиала «Северо-западный территориальный округ» ФГУП «ФЭО»</t>
  </si>
  <si>
    <t>{054-002-958} Разработка и организация производства геонавигационной системы RUS 120 для бурения нефтегазовых скважин</t>
  </si>
  <si>
    <t>{054-002-959} Техперевооружение здания 3001 АО "УЭХК"</t>
  </si>
  <si>
    <t>{054-002-961} Развитие и модернизация IT систем</t>
  </si>
  <si>
    <t>{054-002-962} Создание технологических решений повышения коррозионной стойкости шкафной продукции АО "УЭМЗ" (УЭМЗ:шкафы)</t>
  </si>
  <si>
    <t>{054-002-963} Автоматизированный гид по закупочной деятельности</t>
  </si>
  <si>
    <t>{054-002-964} Запуск 2-й очереди центра аддитивных технологий</t>
  </si>
  <si>
    <t>{054-002-965} НИОКР по ВЭ ЯРОО</t>
  </si>
  <si>
    <t>{054-002-966} Разработка инженерных барьеров безопасности для различных типов хранилищ РАО</t>
  </si>
  <si>
    <t>{054-002-967} Мобильные установки по переработке РАО</t>
  </si>
  <si>
    <t>{054-002-968} Создание установки пирогидролизной переработки битумированных РАО</t>
  </si>
  <si>
    <t>{054-002-969} Поставка оборудования и проведение работ по проектированию и монтажу системы кондиционирования серверной АО «Атомэнергомаш»</t>
  </si>
  <si>
    <t>{054-002-970} Создание мобильных производственных площадок для обеспечения СМР ВОО- и EPC- проектов</t>
  </si>
  <si>
    <t>{054-002-971} Северный морской транзитный коридор</t>
  </si>
  <si>
    <t>{054-002-972} Разработка и демонстрация ключевых технологических решений для создания исследовательского жидкосолевого реактора с модулем переработки отработавшего ядерного топлива</t>
  </si>
  <si>
    <t>{054-002-973} Содержание управляющей компании ООО "Русатом Карго"</t>
  </si>
  <si>
    <t>{054-002-974} Внедрение методологии системы комплексного управления стоимостью и сроками и её интеграция с процессной моделью Госкорпорации «Росатом»</t>
  </si>
  <si>
    <t>{054-002-975} Развитие ИС TCM NC</t>
  </si>
  <si>
    <t>{054-002-976} Внедрение проектного учета затрат в Госкорпорации «Росатом»</t>
  </si>
  <si>
    <t>{054-002-977} Обучение, развитие компетенций и организационные изменения</t>
  </si>
  <si>
    <t>{054-002-978} Оперативная оценка стоимости проектных решений</t>
  </si>
  <si>
    <t>{054-002-979} Закупка дезинфектора рук для работников АО "НПО "ЦНИИТМАШ"</t>
  </si>
  <si>
    <t>{054-002-980} Интеграция  ИТ инфраструктуры промышленных площадок АО «АЭМ-технологии»</t>
  </si>
  <si>
    <t>{054-002-981} Разработка концептуального проекта и технико-экономическая оценка грузосодержащей системы танкера – газовоза сжиженного природного газа с вкладными танками типа -В- по сравнению с существующими судами типа «Ямалмакс»</t>
  </si>
  <si>
    <t>{054-002-982} Аттестация, проведение специальной проверки и специальных исследований объекта информатизации и поставка технических средств защиты информации</t>
  </si>
  <si>
    <t>{054-002-983} Проведение научно-исследовательской работы по определению влияния термического цикла сварки на основной металл из стали марок 08Х18Н10Т  и 10ГН2МФА  оборудования для АЭС при приварке технологических деталей</t>
  </si>
  <si>
    <t>{054-002-984} Расширение возможностей отраслевого центра компетенций по подготовке рабочих и инженерных кадров с использованием методики WorldSkills на базе Филиала АО «АЭМ-технологии» «Атоммаш» в г. Волгодонск</t>
  </si>
  <si>
    <t>{054-002-985} Проведение отраслевого технологического аудита по ВЭ ЯРОО</t>
  </si>
  <si>
    <t>{054-002-986} Создание установки характеризации грунтов FREMES</t>
  </si>
  <si>
    <t>{054-002-989} Комплексный научно-технический проект полного инновационного цикла "Робототехнические технологии вывода из эксплуатации объектов использования ядерной энергии</t>
  </si>
  <si>
    <t>{054-002-990} Создание интегратора по ВЭ ЯРОО</t>
  </si>
  <si>
    <t>{054-002-991} Создание установки пирогидролизной переработки битумированных РАО</t>
  </si>
  <si>
    <t>{054-002-992} Создание системы визуализации видеоинформации</t>
  </si>
  <si>
    <t>{054-002-993} Оснащение вентиляцией участков сборки ДПШ и БЭМ</t>
  </si>
  <si>
    <t>{054-002-995} Квалификация производства циркониевых компонентов топлива для энергетических реакторов иностранного дизайна в АО ЧМЗ</t>
  </si>
  <si>
    <t>{054-002-996} Создание промышленной установки для нанесения хромовых покрытий на оболочки твэлов из циркониевых сплавов</t>
  </si>
  <si>
    <t>{054-002-997} Развитие и модернизация систем безопасности</t>
  </si>
  <si>
    <t>{054-002-998} Замена установки для термообработки Института сварки и неразрушающего контроля</t>
  </si>
  <si>
    <t>{054-002-999} Создание собственного офисного пространства для размещения сотрудников ФГУП «НО РАО» и информационной деятельности, связанной с захоронением РАО</t>
  </si>
  <si>
    <t>{054-003-000} Разработка способа изготовления стандартных образцов радионуклидов на основе искусственных матриц</t>
  </si>
  <si>
    <t>{054-003-001} Модернизация систем управления мостовыми кранами №№48679, 52435 с переводом кранов на управление с пола</t>
  </si>
  <si>
    <t>{054-003-002} Предупреждение распространения коронавирусной инфекции в АО «АЭМ-технологии» и филиалах</t>
  </si>
  <si>
    <t>{054-003-003} Развитие пункта приповерхностного захоронения радиоактивных отходов 3 и 4 классов (3-я очередь) (Свердловская область, г. Новоуральск)</t>
  </si>
  <si>
    <t>{054-003-005} Развитие существующих и поиск новых направлений по лазерной дезактивации различных поверхностей на действующих объектах и при работах по выводу из эксплуатации</t>
  </si>
  <si>
    <t>{054-003-006} Выполнение работ по дооборудованию инженерно-техническими средствами охраны и средствами радиационного контроля транспортного шлюза филиала АО «НоваВинд» в г. Волгодонске</t>
  </si>
  <si>
    <t>{054-003-007} Приобретение квартир в многоквартирных домах для обеспечения жильем инженерно-технического персонала, занятого на сооружении Курской АЭС-2</t>
  </si>
  <si>
    <t>{054-003-008} Сооружение городка для обеспечения жильем строительного персонала, занятого на сооружении Курской АЭС-2</t>
  </si>
  <si>
    <t>{054-003-009} Разработка емкостной ячейки для датчика давления</t>
  </si>
  <si>
    <t>{054-003-010} Отраслевая система дистанционного мониторинга строительства</t>
  </si>
  <si>
    <t>{054-003-011} Организация производства тетрахлорида гафния в АО ЧМЗ</t>
  </si>
  <si>
    <t>{054-003-012} Модернизация производственного оборудования Ganz-EEM</t>
  </si>
  <si>
    <t>{054-003-013} Механизация строительной площадки в Узбекистане (Узбекская АЭС) для выполнения СМР</t>
  </si>
  <si>
    <t>{054-003-014} Создание дивизионального центра компетенций</t>
  </si>
  <si>
    <t>{054-003-015} Внедрение BI-системы дивизиона «Наука и инновации»</t>
  </si>
  <si>
    <t>{054-003-016} Приобретение покрасочной камеры для нанесения ЛСП</t>
  </si>
  <si>
    <t>{054-003-017} Дооснащение стенда 1770 для обеспечения проведения испытаний конденсатных электронасосных агрегатов</t>
  </si>
  <si>
    <t>{054-003-019} Развитие деятельности ресурсоснабжения на территории Сахалинской области</t>
  </si>
  <si>
    <t>{054-003-020} Создание и эксплуатация центра радионуклидной терапии в Липецкой области</t>
  </si>
  <si>
    <t>{054-003-021} Цифровизация информационных стендов АО «ТВЭЛ»</t>
  </si>
  <si>
    <t>{054-003-022} Создание радиофармацевтической транспортной конструкции на основе аутоиммунных комплексов для диагностики и терапии аутоиммунных артритов</t>
  </si>
  <si>
    <t>{054-003-023} Разработка мощного импульсного ускорителя легких ионов для синтеза изотопов</t>
  </si>
  <si>
    <t>{054-003-024} Разработка комплекса оптической биопсии</t>
  </si>
  <si>
    <t>{054-003-025} Разработка и обоснование выбора технологических решений по экстракционному выделению из  жидких ВАО от переработки ОЯТ и отверждению "короткоживущей" фракции</t>
  </si>
  <si>
    <t>{054-003-026} НИОКР по разработке и квалификации провода для МРТ по требованиям зарубежного Заказчика</t>
  </si>
  <si>
    <t>{054-003-027} Оказание услуг Лучевой терапии на базе ФГБУ «НМИЦ Радиологии</t>
  </si>
  <si>
    <t>{054-003-029} АЭС БМ и АСММ в ЮАР</t>
  </si>
  <si>
    <t>{054-003-030} Создание магнетронной распылительной системы для изделия «ТРУБА» и дуговых испарителей для многослойных покрытий</t>
  </si>
  <si>
    <t>{054-003-031} Размещение финансирования во внеотраслевые лизинговые проекты, снижение налоговых рисков</t>
  </si>
  <si>
    <t>{054-003-032} Исследование применения полимерных композиционных материалов в крупногабаритных конструкциях судов</t>
  </si>
  <si>
    <t>{054-003-033} Создание информационного центра в г. Железногорске (Красноярский край)</t>
  </si>
  <si>
    <t>{054-003-034} Создание ИТ-инфраструктуры, мультимедийных систем и организация рабочих мест для АО «Цифровые платформы и решения Умного Города»</t>
  </si>
  <si>
    <t>{054-003-036} Продуктовое направление «Сбалансированный ЯТЦ»</t>
  </si>
  <si>
    <t>{054-003-037} Разработка и внедрение системы прогнозирования качества продукции и состояния оборудования для обществ Топливной компании</t>
  </si>
  <si>
    <t>{054-003-038} Поиск бизнес возможностей и проработка проектов по добыче металлов с применением метода СПВ</t>
  </si>
  <si>
    <t>{054-003-039} Обоснование способов неразрушающего контроля отложений ядерных материалов в технологическом оборудовании</t>
  </si>
  <si>
    <t>{054-003-040} Измерение содержания ядерно-опасных делящихся нуклидов в радиоактивных отходах, размещенных в контейнеры большого объема</t>
  </si>
  <si>
    <t>{054-003-041} Расширение и модернизация Аттестационного центра  
АО «НПО «ЦНИИТМАШ»</t>
  </si>
  <si>
    <t>{054-003-042} Организация выставочного комплекса на территории Пограничной академии ФСБ России</t>
  </si>
  <si>
    <t>{054-003-043} Приобретение долей в FABER INDUSTRIE SPA</t>
  </si>
  <si>
    <t>{054-003-044} Создание мемориального комплекса «Памятник испытателям» 
ВНИИЭФ: Памятник</t>
  </si>
  <si>
    <t>{054-003-045} Оптимизация производства ООО "АЛАБУГА-ВОЛОКНО"</t>
  </si>
  <si>
    <t>{054-003-046} Внедрение библиотеки ЛНА Топливной компании</t>
  </si>
  <si>
    <t>{054-003-047} Поставка офисной мебели для нужд ООО "РусАТ"</t>
  </si>
  <si>
    <t>{054-003-048} Создание центра компетенций АТ (ДК)</t>
  </si>
  <si>
    <t>{054-003-049} Развитие единой отраслевой системы НСИ</t>
  </si>
  <si>
    <t>{054-003-050} Отраслевая платформа для разработки, тиражирования и интеграции решений VR/AR в промышленности</t>
  </si>
  <si>
    <t>{054-003-051} Цифровая платформа «Инновационная экосреда новых бизнесов»</t>
  </si>
  <si>
    <t>{054-003-053} Изготовление и поставка специальных вагонов пассажирского типа для нужд АО "Атомспецтранс"</t>
  </si>
  <si>
    <t>{054-003-054} Разработка установки плазмохимического синтеза оксида азота для аппаратов искусственного кровообращения.</t>
  </si>
  <si>
    <t>{054-003-055} Разработка прототипа системы трехмерного дозиметрического планирования лучевой терапии быстрыми нейтронами.</t>
  </si>
  <si>
    <t>{054-003-056} Исследование и разработка медицинской системы на базе технологии необратимой электропорации для терапии злокачественных новообразований.</t>
  </si>
  <si>
    <t>{054-003-057} Исследовательские работы и создание тороидального комплекса дистанционной лучевой терапии</t>
  </si>
  <si>
    <t>{054-003-058} Повышение лучевой прочности диэлектрических покрытий лазерных зеркал</t>
  </si>
  <si>
    <t>{054-003-059} Разработка технологий иммобилизации ВАО в минералоподобные матрицы методом ИПХТ</t>
  </si>
  <si>
    <t>{054-003-060} Разработка автономных источников питания и накопителей энергии на основе радиоизотопов с бета-распадом нового поколения с повышенными вольт-амперными характеристиками</t>
  </si>
  <si>
    <t>{054-003-061} Разработка модуля радиоизотопного источника питания для электронных устройств периодической активации</t>
  </si>
  <si>
    <t>{054-003-062} Отработка технологий построения и создание экспериментального образца мощного усилительного клистрона для ускорительной техники</t>
  </si>
  <si>
    <t>{054-003-063} Материаловедческие исследования в обоснование выбора кандидатных оболочечных КМ и опытных твэлов для быстрого реактора ВВЭР-СКД</t>
  </si>
  <si>
    <t>{054-003-064} Проведение материаловедческих работ по выбору и экспериментальному обоснованию работоспособности материалов в обеспечение реализации проекта по созданию твэлов, активной зоны многоцелевого экспериментального реактора ВВЭР-СКД малой мощности с промежуточным спектром нейтронов</t>
  </si>
  <si>
    <t>{054-003-065} Разработка критериев и прогнозирование характеристик сопротивления хрупкому разрушению оболочек ТВЭЛов из феррито-мартенситных сталей по результатам исследований образцов после ионного облучения</t>
  </si>
  <si>
    <t>{054-003-066} Расчетно-экспериментальное исследование влияния двухпучкового и трехпучкового облучения на распухание сталей при имитационных исследованиях радиационной стойкости конструкционных материалов ядерных реакторов на ускорителе</t>
  </si>
  <si>
    <t>{054-003-067} Разработка физических моделей, алгоритмов расчета для определения скорости радиационной ползучести элементов конструкций ядерных реакторов на быстрых нейтронах и проведение послереакторных исследований по определению величины деформации ползучести.</t>
  </si>
  <si>
    <t>{054-003-068}  Моделирование тепломассообменных процессов, протекающих в ГО блоков № 1, 2 Нововоронежской АЭС-2</t>
  </si>
  <si>
    <t>{054-003-069} Разработка технического предложения макета свинец-литиевого бланкета EUROfusion для испытаний на жидкометаллическом стенде НИИЭФА.</t>
  </si>
  <si>
    <t>{054-003-070} Прямой внутренний рециклинг D/T в DEMO с помощью сверхпроницаемых мембран</t>
  </si>
  <si>
    <t>{054-003-071} Макет приемной пластины дивертора токамака, основного на концепции текущего слоя жидкого лития</t>
  </si>
  <si>
    <t>{054-003-072} Исследование  плазменного экранирования при интенсивной  дуговой и плазменно-пучковой эрозии вольфрамовых и литиевых материалов в обеспечение  стационарной эксплуатации токамака-реактора</t>
  </si>
  <si>
    <t>{054-003-073} Исследования гидродинамики потока теплоносителя реакторной установки ШЕЛЬФ-М и подготовка к аттестации теплогидравлических кодов</t>
  </si>
  <si>
    <t>{054-003-074} Разработка цифровых двойников АСММ с РУ РИТМ-200 и АСММ с РУ "Шельф"</t>
  </si>
  <si>
    <t>{054-003-075} Разработка матрицы технологий и компетенций в области водородной энергетики Российской Федерации</t>
  </si>
  <si>
    <t>{054-003-077} Модернизация Опытного производства АО "НПО "ЦНИИТМАШ" в части технического и технологического перевооружения для производства новых продуктов</t>
  </si>
  <si>
    <t>{054-003-078} Управление портфелем "Цифровые продукты и маркетинг"</t>
  </si>
  <si>
    <t>{054-003-079} Разработка и обоснование применения новых материалов для атомной промышленности</t>
  </si>
  <si>
    <t>{054-003-080} Формирование на базе СОПК «Композиты без границ» центра компетенций по продуктовому направлению полимерные композитные материалы в рамках реализации дорожной карты "Технологии новых материалов и веществ"</t>
  </si>
  <si>
    <t>{054-003-082} Производство ПАН, УВ, ТиП и прочих изделий</t>
  </si>
  <si>
    <t>{054-003-083} Поддержание работы Ассоциации РМ и РЗМ (Ассоциация)</t>
  </si>
  <si>
    <t>{054-003-084} «Создание и эксплуатация центра ядерной медицины на о. Русский»</t>
  </si>
  <si>
    <t>{054-003-086} Обновление подвижного железнодорожного состава, локомотивов и путевых машин.</t>
  </si>
  <si>
    <t>{054-003-087} Создание и эксплуатация центра радионуклидной терапии в Иркутской области</t>
  </si>
  <si>
    <t>{054-003-088} Создание корпоративного портала АО "Наука и инновации"</t>
  </si>
  <si>
    <t>{054-003-089} Инфраструктура Умного города</t>
  </si>
  <si>
    <t>{054-003-090} Оценка возможности стратегического партнерства Госкорпорации «Росатом» и группы компаний «Медскан»</t>
  </si>
  <si>
    <t>{054-003-091} «Обеспечение жильем работников обособленного подразделения АО «Атомэнергоремонт» в г. Певек»</t>
  </si>
  <si>
    <t>{054-003-092} Покупка оборудования для аккредитации АО «РАСУ» для проведения испытаний в целях утверждения типа на АЭС</t>
  </si>
  <si>
    <t>{054-003-093} Разработка уран-силицидного топлива</t>
  </si>
  <si>
    <t>{054-003-094} Обновление парка автомобильного транспорта среднего класса, бизнес класса и категории микроавтобус.</t>
  </si>
  <si>
    <t>{054-003-095} Мотокомпоненты</t>
  </si>
  <si>
    <t>{054-003-096} Разработка технологии переработки нерециклируемых скрапов производств МОКС- и РЕМИКС-топлива.</t>
  </si>
  <si>
    <t>{054-003-097} Разработка инновационной технологии переработки ОЯТ для рециклирования делящихся нуклидов и сокращения объема ВАО, подлежащих захоронению.</t>
  </si>
  <si>
    <t>{054-003-098} Разработка технологии отверждения ВАО с использованием низкотемпературной минералоподобной матрицы</t>
  </si>
  <si>
    <t>{054-003-099} Разработка материалов и технологии намотки целевых изделий различного назначения для химической, нефтяной, атомной и судостроительной отраслей промышленностей, а также разработка технических решений для ремонта технологических дефектов и эксплуатационных повреждений деталей</t>
  </si>
  <si>
    <t>{054-003-100} Разработка технологии изготовления высокоэффективного преобразователя энергии ядерного распада в электричество на основе квазидвумерных перколяционных нанокластерных пленок  с целью создания миниатюрных радиоизотопных батарей питания систем удаленной телеметрии и мониторинга объектов Северного морского пути, МО, космонавтики и нефтегазовой инфраструктуры в условиях ограниченного доступа.</t>
  </si>
  <si>
    <t>{054-003-101} Формирование резерва и восстановление парка автомобильного транспорта.</t>
  </si>
  <si>
    <t>{054-003-102} Снижение уровня технической зависимости для импортозависимых ERP-систем</t>
  </si>
  <si>
    <t>{054-003-103} Внедрение роботизированных транспортных систем</t>
  </si>
  <si>
    <t>{054-003-104} Модернизация кранового оборудования Филиала АО «АЭМ-технологии» «Атоммаш» в г. Волгодонск 1-я очередь</t>
  </si>
  <si>
    <t>{054-003-105} Модернизация службы качества Филиала АО «АЭМ-технологии» «Атоммаш» в г. Волгодонск 2-я очередь</t>
  </si>
  <si>
    <t>{054-003-106} Оснащение оборудованием вспомогательных служб Филиала АО «АЭМ-технологии» «Атоммаш» в г. Волгодонск</t>
  </si>
  <si>
    <t>{054-003-107} Создание окрасочно-сушильного комплекса для Филиала АО «АЭМ-технологии» «Атоммаш» в г. Волгодонск</t>
  </si>
  <si>
    <t>{054-003-108} Обеспечение выполнения требований охраны труда, промсанитарии, промышленной и пожарной безопасности Филиала АО «АЭМ-технологии» «Атоммаш» в г. Волгодонск</t>
  </si>
  <si>
    <t>{054-003-109} Создание участков чистой сборки  образцов свидетелей и  трубных секций PRIS  для Филиала АО «АЭМ-технологии» «Атоммаш» в г. Волгодонск»</t>
  </si>
  <si>
    <t>{054-003-110} Модернизация термических мощностей Филиала АО «АЭМ-технологии» «Атоммаш» в г. Волгодонск</t>
  </si>
  <si>
    <t>{054-003-111} Обеспечение выполнения требований  физической  защиты периметра Филиала АО «АЭМ-технологии» «Атоммаш» в г. Волгодонск</t>
  </si>
  <si>
    <t>{054-003-113} Разработка технологии термической обработки крупногабаритных заготовок и изделий, полученных методом 3Д печати из проволочных материалов</t>
  </si>
  <si>
    <t>{054-003-115} Разработка и внедрение техноглогии односторонней автоматизированной сварки швов № 111 приварки коллектора т еплоносителя к патрубку Ду 1200 ПГ ( сталь 10ГНМФА)</t>
  </si>
  <si>
    <t>{054-003-116} Разработка и внедрение технологии сварки корпуса реактора в узкощелевую разделку</t>
  </si>
  <si>
    <t>{054-003-117} Сварка автоматической сваркой под флюсом с использованием технологии ICE™ тремя проволоками</t>
  </si>
  <si>
    <t>{054-003-118} Создание системы вентиляции производственных помещений здания 251 филиала «ЦКБМ-2»</t>
  </si>
  <si>
    <t>{054-003-119} Модернизация трансформаторных подстанций в зданиях 251А, 254, 263 филиала "ЦКБМ 2"</t>
  </si>
  <si>
    <t>{054-003-120} Переоборудование помещений автогаража под склад готовой продукции</t>
  </si>
  <si>
    <t>{054-003-121} Модернизация грузоподъемного оборудования АО «ЦКБМ»</t>
  </si>
  <si>
    <t>{054-003-122} Приобретение оборудования для модернизации и поддержания производственного комплекса АО «ЦКБМ»</t>
  </si>
  <si>
    <t>{054-003-123} Развитие сервисов передачи, хранения, шифрования данных инженерного комплекса АО «ЦКБМ»</t>
  </si>
  <si>
    <t>{054-003-124} Проведение комплекса мероприятий по подготовке площадки АО «ВПО «Точмаш» в г. Владимире под строительство автодороги «Рпенский проезд»</t>
  </si>
  <si>
    <t>{054-003-125} Создание Уральского центра по обращению с РАО</t>
  </si>
  <si>
    <t>{054-003-126} Развитие ЭДО первичных документов по процессам бухгалтерского и налогового учета</t>
  </si>
  <si>
    <t>{054-003-127} НИОКР: Разработка и создание опытной установки получения изотопа 13-С ректификацией оксида углерода</t>
  </si>
  <si>
    <t>{054-003-128} Поддержание основных фондов.</t>
  </si>
  <si>
    <t>{054-003-129} Поиск бизнес-возможностей и проработка проектов новых направлений бизнеса до 2030 года</t>
  </si>
  <si>
    <t>{054-003-130} Создание Центра цифровых металлургических и аддитивных технологий на базе АО "НПО "ЦНИИТМАШ" 1 Этап</t>
  </si>
  <si>
    <t>{054-003-131} Организация производства оборудования для комплекса РСП</t>
  </si>
  <si>
    <t>{054-003-132} Локализация производства имплантатов для травматологии и ортопедии на территории Российской Федерации</t>
  </si>
  <si>
    <t>{054-003-133} Запуск производства и доклинические исследования инновационного препарата 177Lu-PSMA на площадке 
АО «НИФХИ им. Л. Я. Карпова»</t>
  </si>
  <si>
    <t>{054-003-134} Создание комплекса по производству редкоземельных металлов и гипсовой продукции из фосфогипса 
(проект «Фосфогипс»)</t>
  </si>
  <si>
    <t>{054-003-135} Разработка интерактивной платформы для расчетной оценки термомеханической стабильности и работоспособности элементов активных зон ЯЭУ</t>
  </si>
  <si>
    <t>{054-003-136} Разработка опытно-промышленной технологии поверхностной модификации твэльных сталей импульсными электронными пучками для зашиты их от коррозии в ТЖМТ</t>
  </si>
  <si>
    <t>{054-003-137} Разработка технологических основ (опытной технологии) серийного нанесения методом плазменного напыления покрытий на основе оксидов алюминия на стальные оболочки ТВЭЛов реакторов типа «БРЕСТ»</t>
  </si>
  <si>
    <t>{054-003-138} Исследование массопереноса твердофазных примесей в циркуляционных контурах
со свинцовым теплоносителем</t>
  </si>
  <si>
    <t>{054-003-139} Базы данных и коды константного обеспечения нейтронно-физических расчетов быстрых реакторов и ЗЯТЦ на основе Росфонд-2020 и БНАБ-РФ-2020</t>
  </si>
  <si>
    <t>{054-003-140} Комплексная научно–исследовательская работа на основе «Стратегии - 2018» по углубленному анализу условий экспорта быстрых реакторов и технологий замкнутого ядерного топливного цикла</t>
  </si>
  <si>
    <t>{054-003-141} Замена измерительного оборудования, используемого при испытаниях продукции и калибровки средств измерений</t>
  </si>
  <si>
    <t>{054-003-142} Закупка КИП для нужд электротехнической лаборатории АО «СвердНИИхиммаш»</t>
  </si>
  <si>
    <t>{054-003-143} Модернизация разделительного производства УЭХК, здание 2004</t>
  </si>
  <si>
    <t>{054-003-144} Создание производства по выпуску металлической сурьмы (проект "Сурьма")</t>
  </si>
  <si>
    <t>{054-003-146} Неверифицируемые эффекты стратегической программы АСУТП и Электротехника на атомном рынке</t>
  </si>
  <si>
    <t>{054-003-147} Проработка целесообразности новых проектов по основным направлениям стратегической программы</t>
  </si>
  <si>
    <t>{054-003-148} Приобретение портативных тепловизионных комплексов для эпидемиологического контроля на территории АО «МЗП»</t>
  </si>
  <si>
    <t>{054-003-149} Замена устаревшего или выработавшего свой срок оборудования  АО "НПО "ЦНИИТМАШ"</t>
  </si>
  <si>
    <t>{054-003-150} Обновление автомобильного транспорта и специальной техники</t>
  </si>
  <si>
    <t>{054-003-151} Создание цифрового научно-учебного центра на базе АО "ГНЦ РФ ТРИНИТИ"</t>
  </si>
  <si>
    <t>{054-003-154} Разработка баз данных для выполнения работ по ВАБ и анализу готовности для исполнения требований заказчиков АЭС</t>
  </si>
  <si>
    <t>{054-003-155} Создание установок W-УЭХК</t>
  </si>
  <si>
    <t>{054-003-156} Модернизация ИТ - инфраструктуры АО "СвердНИИхиммаш"</t>
  </si>
  <si>
    <t>{054-003-157} Реконструкция МФР ОДЭК для обеспечения топливных загрузок БРЕСТ-ОД-300 и БН-1200М, а также опытных экспортных поставок СНУП топлива</t>
  </si>
  <si>
    <t>{054-003-161} Лимит Дивизиона "АСУТП и элеткротехника" на затратные проекты</t>
  </si>
  <si>
    <t>{054-003-162} Разработка программно-технических средств АСКРО в защищенном отказоустойчивом исполнении</t>
  </si>
  <si>
    <t>{054-003-163} Разработка технологий обращения с РАО, утилизации и дезактивации металлических отходов, загрязненных радиоактивными веществами (МОЗРВ)</t>
  </si>
  <si>
    <t>{054-003-164} Разработка методик измерения радиационных характеристик отходов для Центров компетенций по выводу из эксплуатации АО «ТВЭЛ»</t>
  </si>
  <si>
    <t>{054-003-165} Выбор информационно-аналитической платформы для целей импортозамещения ИАС КХД</t>
  </si>
  <si>
    <t>{054-003-166} Разработка моделей и расчетных кодов для описания поведения примесей в водных средах АЭС с ВВЭР для исполнения требований заказчиков АЭС</t>
  </si>
  <si>
    <t>{054-003-167} Разработка типовых программ плановых остановов и контроля условий эксплуатации для исполнения требований заказчиков АЭС</t>
  </si>
  <si>
    <t>{054-003-168} Расчетно-экспериментальные исследования и разработка программы численного 3D моделирования в поддержку обоснования УЛР по устранению замечаний экспертов надзорных органов России и иностранных заказчиков</t>
  </si>
  <si>
    <t>{054-003-169} Комплексная отработка технологии изготовления элементов оборудования атомной энергетики при помощи АТ (SLM-метод)</t>
  </si>
  <si>
    <t>{054-003-170} Разработка технологии производства РЗМ-актиниевого концентрата из продуктивных растворов подземного выщелачивания урана АО "Далур"</t>
  </si>
  <si>
    <t>{054-003-171} Реализация мероприятий пилотного проекта по передаче объектов «ядерного наследия» отраслевому оператору ФГУП «РАДОН»</t>
  </si>
  <si>
    <t>{054-003-172} «Обеспечение основными фондами новых ИТ сервисов АО “КОНСИСТ-ОС”»</t>
  </si>
  <si>
    <t>{054-003-173} Обновление автопарка АО «Атомэнергомаш»</t>
  </si>
  <si>
    <t>{054-003-174} Поставка офисной мебели для нужд АО «Атомэнергомаш»</t>
  </si>
  <si>
    <t>{054-003-182} Создание в АО ЧМЗ  производственного комплекса по переработке лопаритового концентрата</t>
  </si>
  <si>
    <t>{054-003-183} Реконструкция здания 902 с расширением производства обесфторивания обедненного гексафторида урана (установка W3-ЭХЗ)</t>
  </si>
  <si>
    <t>{054-003-184} Верификация кода MARC применительно к расчетам твэлов дисперсионного типа для АСММ</t>
  </si>
  <si>
    <t>{054-003-185} Прикладные проекты 2021-2025гг.</t>
  </si>
  <si>
    <t>{054-003-186} Поисковые проекты 2021-2025гг.</t>
  </si>
  <si>
    <t>{054-003-187} Приобретение накопителей энергии для последующей сдачи в аренду</t>
  </si>
  <si>
    <t>{054-003-189} Создание RandD-центра направления "Накопители энергии на основе химических источников тока"</t>
  </si>
  <si>
    <t>{054-003-190} Создание накопителей энергии нового поколения для систем резервного и аварийного электроснабжения АЭС</t>
  </si>
  <si>
    <t>{054-003-191} Разработка технологии отработки слабообводненных участков рудных залежей Количиканского месторождения на основе гидродинамической модели</t>
  </si>
  <si>
    <t>{054-003-192} Разработка средств оперативного (экспрессного) контроля содержания урана в технологических растворах подземного выщелачивания</t>
  </si>
  <si>
    <t>{054-003-193} Размещение РАО от производства редкоземельных металлов в хвостохранилище ППГХО</t>
  </si>
  <si>
    <t>{054-003-194} Обеспечение разработки СПЖЦ. PLM</t>
  </si>
  <si>
    <t>{054-003-195} Разработка технологии получения высокотехнологичных полимерных композитных изоляционных материалов и полупроводящих матриц со структурой, обеспечивающей возможность саморегуляции электросопротивления в интервале температур от -30 С до 120 С</t>
  </si>
  <si>
    <t>{054-003-196} Синергия</t>
  </si>
  <si>
    <t>{054-003-197} Удаление SD15505120</t>
  </si>
  <si>
    <t>{054-003-198} Организация инфраструктуры второй очереди производственной площадки АО "АТМ" г. Волгодонск</t>
  </si>
  <si>
    <t>{054-003-200} Выкуп доли АО «РОСНАНО» в ООО «НПП «НАНОЭЛЕКТРО»</t>
  </si>
  <si>
    <t>{054-003-201} Аудит финансово-экономической модели для целей ПДМ</t>
  </si>
  <si>
    <t>{054-003-202} Расчет индексов изменения сметной стоимости строительства, учитывающих специфику строительства объектов ЯОК Госкорпорации «Росатом»</t>
  </si>
  <si>
    <t>{054-003-203} Новый дизайн медицинского центра Госкорпорации «Росатом»</t>
  </si>
  <si>
    <t>{054-003-205} Разработка специализированного ПО верхнего уровня и ПТС сопряжения для АСИДК</t>
  </si>
  <si>
    <t>{054-003-206} Создание опытного образца программно-аппаратного комплекса системы обеспечения информационной и компьютерной безопасности АСУ ТП АЭС</t>
  </si>
  <si>
    <t>{054-003-208} Создание централизованной вычислительной инфраструктуры (комплекса) для проведения расчётных обоснований изделий Топливной компании и решения задач цифрового инжиниринга</t>
  </si>
  <si>
    <t>{054-003-209} Внедрение программы для ЭВМ - системы интеллектуальной проверки технических отчетов и технической документации</t>
  </si>
  <si>
    <t>{054-003-210} Инициирование проекта по созданию «Системы обеспечения выполнения требований» (СОВТ)</t>
  </si>
  <si>
    <t>{054-003-211} Приобретение транспортных средств для нужд АО «НПК «Дедал»</t>
  </si>
  <si>
    <t>{054-003-212} Развертывание пилотного проекта "Культура безопасности"</t>
  </si>
  <si>
    <t>{054-003-213} Разработка типовых проектов по созданию объектов информатизации для внедрения PLM системы</t>
  </si>
  <si>
    <t>{054-003-214} Создание комплекса программ управления предприятием (ERP) в защищенном исполнении СПЖЦ "Цифровое предприятие"</t>
  </si>
  <si>
    <t>{054-003-215} Создание комплекса программ управления производством (MES) в защищенном исполнении СПЖЦ "Цифровое предприятие"</t>
  </si>
  <si>
    <t>{054-003-216} Разработка технического задания синтетической схемы испытательного стенда на ток до 800 кА, частотой 50 Гц.</t>
  </si>
  <si>
    <t>{054-003-217} Удаление SD15505120</t>
  </si>
  <si>
    <t>{054-003-218} Аддитивная технология в производстве электротехнической керамики</t>
  </si>
  <si>
    <t>{054-003-219} CVD алмазные детекторы для экспериментальной физики высокой энергии</t>
  </si>
  <si>
    <t>{054-003-221} Создание технологии изготовления детекторного и интегрального модулей на основе пиксельных CZT детекторов для использования в радионуклидной диагностики в ядерной медицине и для идентификации и визуализации гамма- источников на АЭС</t>
  </si>
  <si>
    <t>{054-003-222} Переработка отходов полиэтилентерефталата в ПЭТ хлопья</t>
  </si>
  <si>
    <t>{054-003-223} Модернизация ТЭЦ СХК (3-ий этап)</t>
  </si>
  <si>
    <t>{054-003-224} Развитие производства проводниковой продукции на базе CuNb сплава в ООО «НПП «НАНОЭЛЕКТРО»</t>
  </si>
  <si>
    <t>{054-003-225} Совместное производство диагностического рентгеновского оборудования (совместно с АО «Научно-исследовательский институт электромеханики»)</t>
  </si>
  <si>
    <t>{054-003-226} Тиражирование лабораторно-информационной системы в АО "УЭХК"</t>
  </si>
  <si>
    <t>{054-003-227} Тиражирование лабораторно-информационной системы в АО "ВПО "Точмаш" (ПАО "КМЗ")</t>
  </si>
  <si>
    <t>{054-003-228} Компенсация накладных расходов связанных с реализацией проекта СПЖЦ "Цифровое редприятие"</t>
  </si>
  <si>
    <t>{054-003-229} Тиражирование типовой функциональности ТОРО на базе SAP ERP на предприятиях 2-й очереди</t>
  </si>
  <si>
    <t>{054-003-230} Внедрение мобильного ТОРО и функциональности мультиресурсного планирования ТОРО на предприятиях 1-й очереди</t>
  </si>
  <si>
    <t>{054-003-231} Разработка системы цифровизации разделительных производств</t>
  </si>
  <si>
    <t>{054-003-232} Пилотное создание цифровой производственной ячейки</t>
  </si>
  <si>
    <t>{054-003-233} Тиражирование информационной системы оперативного управления производством в АО "ВПО "Точмаш" (ПАО "КМЗ")</t>
  </si>
  <si>
    <t>{054-003-234} Тиражирование информационной системы оперативного управления производством в ООО "НПО "Центротех"</t>
  </si>
  <si>
    <t>{054-003-235} Внедрение системы онлайн-поддержки и обучения пользователей</t>
  </si>
  <si>
    <t>{054-003-236} Внедрение системы управления бизнес процессами (BPMS)</t>
  </si>
  <si>
    <t>{054-003-238} Закупка ИТ-оборудования и ЗИП</t>
  </si>
  <si>
    <t>{054-003-239} Обеспечение отдела разработки циркониевых материалов современным аналитическим оборудованием сверхвысокого разрешения</t>
  </si>
  <si>
    <t>{054-003-240} Разработка системы формирования и исследования изображений в терагерцовом (ТГц) диапазоне частот с функцией спектральной идентификации при пропускании и отражении ТГц электромагнитного излучения от различных объектов для решения задач безопасности</t>
  </si>
  <si>
    <t>{054-003-241} Создание окрасочно-сушильного комплекса для окраски крупногабаритных изделий</t>
  </si>
  <si>
    <t>{054-003-242} Приобретение доводочного и испытательного оборудования для участка ТПА</t>
  </si>
  <si>
    <t>{054-003-243} Обеспечение выполнения требований заказчика по проекту АЭС "Ханхикиви"</t>
  </si>
  <si>
    <t>{054-003-244} Поддержание инфраструктуры филиала АО "АЭМ-технологии" "Петрозаводскмаш"</t>
  </si>
  <si>
    <t>{054-003-245} Модернизация службы качества филиала АО "АЭМ-технологии" "Петрозаводскмаш"</t>
  </si>
  <si>
    <t>{054-003-246} Оснащение вспомогательных производств филиала АО "АЭМ-технологии" "Петрозаводскмаш"</t>
  </si>
  <si>
    <t>{054-003-249} Ремонт кровли здания Госкорпорации "Росатом" по адресу: г. Москва, ул. Б. Ордынка, д. 24</t>
  </si>
  <si>
    <t>{054-003-250} Тиражирование информационной системы оперативного управления производством в ПАО "НЗХК"</t>
  </si>
  <si>
    <t>{054-003-252} Разработка концепции улучшения технико-экономических характеристик и показателей безопасности АЭС с РУ на быстрых нейтронах с жидкометаллическим теплоносителем путем перехода на теплоноситель S-CO2 и цикл Брайтона в контуре преобразования энергии.</t>
  </si>
  <si>
    <t>{054-003-253} Организация офисных помещений на 2-ом этаже строения № 80 на промышленной площадке АО "МЗП"</t>
  </si>
  <si>
    <t>{054-003-254} Тиражирование PDM ТК в АО "ЦПТИ"</t>
  </si>
  <si>
    <t>{054-003-255} Тиражирование лабораторно-информационной системы в ПАО "НЗХК"</t>
  </si>
  <si>
    <t>{054-003-256} Тиражирование PDM ТК в АО "ВПО "Точмаш" (ПАО "КМЗ")</t>
  </si>
  <si>
    <t>{054-003-257} Тиражирование PDM ТК в ООО "НПО "Центротех"</t>
  </si>
  <si>
    <t>{054-003-258} Тиражирование PDM ТК в AO "УЭХК", АО "СХК", АО "АЭХК", АО "ПО "ЭХЗ"</t>
  </si>
  <si>
    <t>{054-003-259} Развитие системы PDM ТК в части инженерных расчётов и управления расчетными данными</t>
  </si>
  <si>
    <t>{054-003-260} Тиражирование лабораторно-информационной системы в АО "CХК"</t>
  </si>
  <si>
    <t>{054-003-261} Организация производства оборудования радиационного контроля для локализации решений компании Mirion Technologies на производственных мощностях Госкорпорации "Росатом"</t>
  </si>
  <si>
    <t>{054-003-262} Разработка КД и технологии производства оборудования радиационного мониторинга и индивидуального дозиметрического контроля для локализации решений компании Thermo Fisher Scientific на производственных мощностях Госкорпорации "Росатом"</t>
  </si>
  <si>
    <t>{054-003-263} Организация опытного производства изотопа молибден-99 по активационной центрифужной технологии на промышленной площадке № 3 АО «Радиевый институт им. В.Г. Хлопина» (Гатчина)</t>
  </si>
  <si>
    <t>{054-003-264} Развитие сервисов цифровой медицины</t>
  </si>
  <si>
    <t>{054-003-265} Разработка накопителя электрической энергии на основе литий-ионных аккумуляторов для электрокарта</t>
  </si>
  <si>
    <t>{054-003-266} Разработка технологии получения металлических индивидуальных РЗМ иттриевой подгруппы (Gd, Tb, Dy, Ho, Er) чистотой не менее 99,95% из оксидов</t>
  </si>
  <si>
    <t>{054-003-267} Внедрение системы мониторинга работы ИТ-пользователей</t>
  </si>
  <si>
    <t>{054-003-268} Создание центра радионуклидной терапии в г.Обнинск</t>
  </si>
  <si>
    <t>{054-003-269} Стабилизация типовой системы управления персоналом ЯОК</t>
  </si>
  <si>
    <t>{054-003-270} Поддержание производственного комплекса АО "ЦКБМ" (2023-2027 гг.)</t>
  </si>
  <si>
    <t>{054-003-271} Создание совместного предприятия с иностранным партнером. 
Оказание юридических услуг в рамках работы по проработке перспективного инвестиционного проекта с иностранным партнером</t>
  </si>
  <si>
    <t>{054-003-272} Разработка сегмента временной разборной защитной конструкции шириной до 30 м. с теплоизолирующей оболочкой</t>
  </si>
  <si>
    <t>{054-003-273} Исследование применения легких геодезических купольных конструкций сверх больших диаметров с теплоизолирующей оболочкой из фторполимерных мембран в климатических условиях Арктики и предпроектная проработка сегмента комплектной легко сборной широкопролетной конструкции для ГВСУ №14</t>
  </si>
  <si>
    <t>{054-003-274} Разработка комплекса типовых технических решений для создания (проектирования, строительства и эксплуатации) искусственных зон человеческого обитания с управляемым климатом для арктических и других районов с неблагоприятным климатом</t>
  </si>
  <si>
    <t>{054-003-275} Развитие новых направлений сотрудничества с КНР в атомной сфере</t>
  </si>
  <si>
    <t>{054-003-276} Поддержание  ИТ-инфраструктуры АО «ОДЦ УГР»</t>
  </si>
  <si>
    <t>{054-003-277} Поддержание базы физической защиты и обеспечение информационной безопасности АО «ОДЦ УГР»</t>
  </si>
  <si>
    <t>{054-003-278} Приобретение ОС для выполнения работ по ВЭ</t>
  </si>
  <si>
    <t>{054-003-279} НИР "Болид"</t>
  </si>
  <si>
    <t>{054-003-280} "Универсал-БП"</t>
  </si>
  <si>
    <t>{054-003-281} ОКР "А-ПБК-У"</t>
  </si>
  <si>
    <t>{054-003-282} ОКР «БК «Феникс»</t>
  </si>
  <si>
    <t>{054-003-283} ОКР "Ответ"</t>
  </si>
  <si>
    <t>{054-003-284} Создание центра аддитивных энергоэффективных технологий</t>
  </si>
  <si>
    <t>{054-003-285} Упрочнение режущего инструмента методом аддитивных технологий (СВС метод)"</t>
  </si>
  <si>
    <t>{054-003-288} Приобретение гарантирующего поставщика ООО "РЭК" в Курской области</t>
  </si>
  <si>
    <t>{054-003-289} Цифровая сервисная платформа</t>
  </si>
  <si>
    <t>{054-003-290} Изготовление элементов пропульсивного комплекса для судов</t>
  </si>
  <si>
    <t>{054-003-291} Оборудование многоквартирных жилых домов интеллектуальной системой учёта в Мурманской области</t>
  </si>
  <si>
    <t>{054-003-292} Ситуационный центр</t>
  </si>
  <si>
    <t>{054-003-293} Организация инженерной инфраструктуры серверного помещения</t>
  </si>
  <si>
    <t>{054-003-294} Техническое перевооружение подразделения 280</t>
  </si>
  <si>
    <t>{054-003-295} Техническое перевооружение опытного участка изготовления сверхпроводников</t>
  </si>
  <si>
    <t>{054-003-296} Приобретение высокоточных металлообрабатывающих станков с целью изготовления уникальной оснастки для реакторных испытаний твэлов и конструкционных материалов активных зон</t>
  </si>
  <si>
    <t>{054-003-297} Расчетно-экспериментальное определение истинных диаграмм деформирования оболочечных материалов дисперсионных твэлов на основе численного моделирования механических испытаний с помощью программы MARC</t>
  </si>
  <si>
    <t>{054-003-298} Единый вычислительный центр на базе АО "ГНЦ РФ ТРИНИТИ"</t>
  </si>
  <si>
    <t>{054-003-299} Поддержание базы технических мощностей АО «ОДЦ УГР»</t>
  </si>
  <si>
    <t>{054-003-300} Расширение и обновление парка эталонного метрологического оборудования АО «ВНИИАЭС»</t>
  </si>
  <si>
    <t>{054-003-301} Приобретение автомобиля служебного для филиала в г. Северске</t>
  </si>
  <si>
    <t>{054-003-302} Обеспечение физической защиты и информационной безопасности объектов ФГУП «НО РАО» и его филиалов</t>
  </si>
  <si>
    <t>{054-003-303} Инвестиционные мероприятия по науке и связям с общественностью ФГУП «НО РАО»</t>
  </si>
  <si>
    <t>{054-003-304} Разработка опытной установки получения поликарбонфторидов, фторированных графенов и нанотрубок</t>
  </si>
  <si>
    <t>{054-003-305} Реконструкция Информационно-выставочного центра АО «ТВЭЛ»</t>
  </si>
  <si>
    <t>{054-003-306} Оформление внутренних помещений АО «ТВЭЛ»</t>
  </si>
  <si>
    <t>{054-003-307} Разработка и создание производства роботизированных систем технологических и контрольных операций для опасных условий труда</t>
  </si>
  <si>
    <t>{054-003-308} Специализированное программное обеспечение для диагностики трубопроводной арматуры</t>
  </si>
  <si>
    <t>{054-003-309} Техническое перевооружение опытного участка изготовления сверхпроводников</t>
  </si>
  <si>
    <t>{054-003-310} Совершенствование серийной ГЦ без изменения габаритов агрегата ГЦ</t>
  </si>
  <si>
    <t>{054-003-311} Удаление SD13227084</t>
  </si>
  <si>
    <t>{054-003-312} Восстановление защитных сооружений гражданской обороны</t>
  </si>
  <si>
    <t>{054-003-313} Приобретение исключительных прав на товарные знаки, результаты интеллектуальной деятельности и средства индивидуализации</t>
  </si>
  <si>
    <t>{054-003-314} Приобретение газоанализатора для исследовательской лаборатории объектов окружающей среды АО «ЗиО-Подольск»</t>
  </si>
  <si>
    <t>{054-003-315} Удаление SD13227084</t>
  </si>
  <si>
    <t>{054-003-316} Обеспечение обособленного подразделения «АО ЗиО-Подольск» ПО и ИТ оборудованием</t>
  </si>
  <si>
    <t>{054-003-317} Создание и установка памятника В.Ф.Коновалову</t>
  </si>
  <si>
    <t>{054-003-318} ЦФПИ 2, ФГУП «ВНИИА»</t>
  </si>
  <si>
    <t>{054-003-320} «Портал отчетность 2.0»</t>
  </si>
  <si>
    <t>{054-003-321} «Портал документов 2.0»</t>
  </si>
  <si>
    <t>{054-003-322} Модернизация Опытного завода НИКИМТ</t>
  </si>
  <si>
    <t>{054-003-323} Совершенствование технологии детектирующих материалов для производства приборов дозиметрического контроля нового поколения</t>
  </si>
  <si>
    <t>{054-003-328} Тиражирование и развитие ИТ-инфраструктуры АО "ЦПТИ"</t>
  </si>
  <si>
    <t>{054-003-329} Модернизация единого внутреннего дивизионального портала</t>
  </si>
  <si>
    <t>{054-003-330} Разработка и внедрение системы - "ОМУТ"</t>
  </si>
  <si>
    <t>{054-003-331} Организация второй очереди цеха по производству крутоизогнутых отводов методом холодной деформации</t>
  </si>
  <si>
    <t>{054-003-332} Формирование и подготовка пула спикеров Росатома</t>
  </si>
  <si>
    <t>{054-003-333} Модернизация интегрированной системы безопасности зданий № 1 и 2 Госкорпорации «Росатом»</t>
  </si>
  <si>
    <t>{054-003-334} Управление программой Глобальные инициативы по развитию кадрового потенциала в рамках Видения 2030 Госкорпорации Росатом</t>
  </si>
  <si>
    <t>{054-003-335} «Открытие дочернего зависимого общества в Республике Беларусь с целью закрепления и развития на локальном рынке»</t>
  </si>
  <si>
    <t>{054-003-336} Оснащение испытательного центра Центральной строительной лаборатории АО АСЭ</t>
  </si>
  <si>
    <t>{054-003-337} Модернизация и дооснащение локальной вычислительной сети и компьютерной техники</t>
  </si>
  <si>
    <t>{054-003-338} НИКИЭТ: "Шельф-М"
Энергоблок атомной станции малой мощности на базе референтного энергоблока с реакторной установкой ШЕЛЬФ</t>
  </si>
  <si>
    <t>{054-003-340} Проведение дью-дилидженс и оценки ООО «ТЦКД-Атомкомплект» и «HRID-NDT Limited d.o.o.»</t>
  </si>
  <si>
    <t>{054-003-341} Реконструкция ж/д инфраструктуры АО «ЗиО-Подольск</t>
  </si>
  <si>
    <t>{054-003-342} Замена подкрановых балок, ограждающих конструкций и кровли в производственных подразделениях «АО ЗиО-Подольск»</t>
  </si>
  <si>
    <t>{054-003-343} Расширение количества лицензий информационной системы управления проектами</t>
  </si>
  <si>
    <t>{054-003-344} Создание единой централизованной системы контроля и управления доступом персонала АЭР на площадках АЭС и на собственных объектах</t>
  </si>
  <si>
    <t>{054-003-345} Приобретение оборудования и лицензий программного обеспечения для ИТ-инфраструктуры ООО «ААЭМ»</t>
  </si>
  <si>
    <t>{054-003-347} Приобретение АО «Атомэнергоремонт» 100% доли в уставном капитале ООО «ТЦКД-Атомкомплект» в рамках развития Центра по неразрушающему контролю</t>
  </si>
  <si>
    <t>{054-003-348} Создание строительной компании ООО "Строительно-монтажное управление "Маяк"</t>
  </si>
  <si>
    <t>{054-003-349} Пилотный проект «Система предиктивной аналитики производственного оборудования сублиматного завода АО «СХК»</t>
  </si>
  <si>
    <t>{054-003-350} Разработка и внедрение платформы промышленного интернета вещей (IIoT)</t>
  </si>
  <si>
    <t>{054-003-351} Разработка жаропрочного монокристаллического сплава пониженной плотности для высокотемпературных энергетических установок</t>
  </si>
  <si>
    <t>{054-003-352} Разработка и создание опытного оборудования и технологии для изготовления ответственных изделий из композиционных материалов на основе армированных термопластичных лент методом послойной выкладки (намотки) с наплавлением</t>
  </si>
  <si>
    <t>{054-003-353} Инвестиционные мероприятия Ураниум Уан Груп</t>
  </si>
  <si>
    <t>{054-003-354} Тиражирование и развитие Интегрированной системы управления проектированием (ИСУПРр) АО "ЦПТИ"</t>
  </si>
  <si>
    <t>{054-003-355} Создание Комплекса по наработке и выделению 225Ас из облученных на ускорителе мишеней с 226Ra</t>
  </si>
  <si>
    <t>{054-003-356} Проведение due diligence и оценки потенциального технологического партнера по направлению накопителей энергии (Европа)</t>
  </si>
  <si>
    <t>{054-003-357} Дооснащение и сертификация испытательного комплекса (лаборатории)</t>
  </si>
  <si>
    <t>{054-003-358} Сооружение стендов для крупноузловых испытаний насосов TCQ-600-III и TCQ-600-IV машзала АЭС КК 3,4</t>
  </si>
  <si>
    <t>{054-003-359} Модернизация и приобретение основного, испытательного и вспомогательного оборудования, IT оборудования</t>
  </si>
  <si>
    <t>{054-003-360} Изготовление и монтаж систем пожаротушения; модернизация отопления; установка системы молниезащиты</t>
  </si>
  <si>
    <t>{054-003-361} Сооружение стенда для натурных испытаний ЦН MLBE-2200 и двух стендов для "горячих" и "холодных" испытаний насосов TCQ300 Машзала АЭС КК 3,4</t>
  </si>
  <si>
    <t>{054-003-363} Защищённая видеосвязь</t>
  </si>
  <si>
    <t>{054-003-364} Создание производства по выпуску аппаратно-программного комплекса (АПК)</t>
  </si>
  <si>
    <t>{054-003-365} Выполнение работ и оказание консультационных услуг по теме: перевод информационной системы «Расчёт рейтинга деловой репутации поставщиков» на импортонезависимое программное обеспечение, ее развитие и актуализация единых отраслевых методических указаний по оценке деловой репутации</t>
  </si>
  <si>
    <t>{054-003-366} Создание производства интеллектуальных высокоточных приборов учета воды и тепловой энергии</t>
  </si>
  <si>
    <t>{054-003-367} Приобретение оборудования для создания облачных ресурсов (Услуг)</t>
  </si>
  <si>
    <t>{054-003-368} Импортонезависимая облачная платформа целевых разработок</t>
  </si>
  <si>
    <t>{054-003-369} Платформа "научного облака" AtomCloud</t>
  </si>
  <si>
    <t>{054-003-370} Создание и эксплуатация центра комплексной стерилизации на территории Пензенской области</t>
  </si>
  <si>
    <t>{054-003-372} Техническая ГИМ для бизнес плана 2021 - 2024 портфеля "Цифровой Росатом"</t>
  </si>
  <si>
    <t>{054-003-373} Приобретение ноутбуков для организации удаленной работы</t>
  </si>
  <si>
    <t>{054-003-374} Модернизация централизованных объектов систем теплоснабжения МО «Город Глазов» Удмуртской Республики</t>
  </si>
  <si>
    <t>{054-003-375} Модернизация закупочной деятельности в рамках программы импортозамещение «ЕОС-Закупки 2.0»</t>
  </si>
  <si>
    <t>{054-003-376} Цифровое решение «Бриф»</t>
  </si>
  <si>
    <t>{054-003-377} Создание участка ультрапрецизионной обработки оптических элементов ИК-диапазона из галогенидов таллия методом квазипластичного алмазного точения Шифр: "Линзы"</t>
  </si>
  <si>
    <t>{054-003-378} Проект «Отраслевой реестр наборов данных»</t>
  </si>
  <si>
    <t>{054-003-379} Развитие ЮЗЭДО в ИС РЦК</t>
  </si>
  <si>
    <t>{054-003-380} Выкуп документации и подготовительных материалов</t>
  </si>
  <si>
    <t>{054-003-381} Развитие теплового бизнеса в Воронежской области</t>
  </si>
  <si>
    <t>{054-003-382} Приобретение индукционного нагревателя с регулятором температуры для модернизации испытательной установки</t>
  </si>
  <si>
    <t>{054-003-384} Выход на рынок Японии и Южной Кореи</t>
  </si>
  <si>
    <t>{054-003-385} Биотопливо</t>
  </si>
  <si>
    <t>{054-003-386} Услуги по проведению комплексной независимой проверки (дью-дилидженс), оценки активов и юридическому сопровождению сделки в рамках создания СП с Группой компаний С7 по проекту «Морской старт»</t>
  </si>
  <si>
    <t>{054-003-387} Создание и эксплуатация центра радионуклидной терапии в Ставропольском крае</t>
  </si>
  <si>
    <t>{054-003-389} Развитие программного обеспечения АО "РАСУ"</t>
  </si>
  <si>
    <t>{054-003-390} Снабжение Опытного производства маркиратором</t>
  </si>
  <si>
    <t>{054-003-391} Создание автоматизированной системы цифрового инжиниринга ООО "Центротех-Инжиниринг"</t>
  </si>
  <si>
    <t>{054-003-392} Интеграция компаний промышленных площадок "Ижорские заводы" и "ОМЗ-Спецсталь" в контур машиностроительного дивизиона Госкорпорации "Росатом"</t>
  </si>
  <si>
    <t>{054-003-394} Разработка монитора финансового закрытия на 1С (1С:Монитор)</t>
  </si>
  <si>
    <t>{054-003-396} Производство стерилизационного Co-60 на БН</t>
  </si>
  <si>
    <t>{054-003-397} Разработка технологии изготовления фланца электрохимического генератора / электролизера с низкой газопроницаемостью стенок по отношению к водороду методом селективного лазерного сплавления из порошка сплава 12Х18Н10Т</t>
  </si>
  <si>
    <t>{054-003-398} Техническое оснащение для выполнения СМР по программе "Норильский Никель"</t>
  </si>
  <si>
    <t>{054-003-399} Приобретение защитных контейнеров для ОГФУ</t>
  </si>
  <si>
    <t>{054-003-400} Разработка технологии и организация производства слитков ядерно-легированного монокристаллического кремния диаметром до 150 мм</t>
  </si>
  <si>
    <t>{054-003-401} «Реконструкция котельной промплощадки  ФГУП «РАДОН»</t>
  </si>
  <si>
    <t>{054-003-402} «Создание участка 3D-сканирования и картирования фрагментов твердых радиоактивных отходов в процессе их переработки во 
ФГУП «ФЭО»»</t>
  </si>
  <si>
    <t>{054-003-403} Углеткань</t>
  </si>
  <si>
    <t>{054-003-404} Куприт</t>
  </si>
  <si>
    <t>{054-003-405} Монослой</t>
  </si>
  <si>
    <t>{054-003-406} Радиатор</t>
  </si>
  <si>
    <t>{054-003-407} Грани</t>
  </si>
  <si>
    <t>{054-003-408} Киноварь</t>
  </si>
  <si>
    <t>{054-003-409} «Цифровой инжиниринг ТК»</t>
  </si>
  <si>
    <t>{054-003-410} Экспериментальный исследовательский комплекс внедрения аддитивных технологий</t>
  </si>
  <si>
    <t>{054-003-411} Приобретение IT-оборудования в рамках мероприятий по предотвращению заражения COVID-19</t>
  </si>
  <si>
    <t>{054-003-412} Энергия из отходов</t>
  </si>
  <si>
    <t>{054-003-413} Организация складов готовой продукции на территории цеха №80 (корп.715) и цеха №85 (корп.745)</t>
  </si>
  <si>
    <t>{054-003-414} Создание «Академии МАЯК»</t>
  </si>
  <si>
    <t>{054-003-415} Создание системы управления ИТ-архитектурой ИТ-ландшафта атомной отрасли</t>
  </si>
  <si>
    <t>{054-003-416} Приобретение нового технологического оборудования для производственной базы АО ОКБ «ГИДРОПРЕСС»</t>
  </si>
  <si>
    <t>{054-003-417} «Приобретение 3D-принтеров ФОРА производства ФГУП «Комбинат «Электрохимприбор» для пилотного проекта ООО «РусАТ» «Лаборатория аддитивных технологий»</t>
  </si>
  <si>
    <t>{054-003-418} Проект "Управление Программой ТСМ NC (техический проект)"</t>
  </si>
  <si>
    <t>{054-003-419} Проект "Удаленный эксперт"</t>
  </si>
  <si>
    <t>{054-003-420} Приобретение сварочного оборудования, используемого при изготовлении основной продукции и оборудования АО "СвердНИИхиммаш"</t>
  </si>
  <si>
    <t>{054-003-421} Развитие производства комплектов оборудования переработки радиоактивных отходов на производственной площадке АО "СвердНИИхиммаш"</t>
  </si>
  <si>
    <t>{054-003-422} Приобретение  автомобиля  Toyota  Alphard</t>
  </si>
  <si>
    <t>{054-003-423} Модернизация комплекса по обращению РАО ЗРТ</t>
  </si>
  <si>
    <t>{054-003-425} Создание препарата таргетного действия на основе изотопа 227Th для лечения онкологических заболеваний и технологии его промышленного производства</t>
  </si>
  <si>
    <t>{054-003-426} Управление программой ""Цифровизация процессов сооружения АЭС""</t>
  </si>
  <si>
    <t>{054-003-427} Коворкинг</t>
  </si>
  <si>
    <t>{054-003-428} Создание и внедрение импортонезависимого цифрового продукта 
«Росатом HCM»</t>
  </si>
  <si>
    <t>{054-003-429} Обеспечение оборудованием для для инженерных обследований</t>
  </si>
  <si>
    <t>{054-003-430} Внедрение в Госкорпорации «Росатом» Единой Системы Классификации и Кодирования (ЕСКК)</t>
  </si>
  <si>
    <t>{054-003-431} Система оценки стоимости ОИАЭ</t>
  </si>
  <si>
    <t>{054-003-432} Исследование теплофизических свойств веществ при сжатии до рекордно высоких давлений и магнитных полей</t>
  </si>
  <si>
    <t>{054-003-433} Работы по организации пространства и переговорной зоны</t>
  </si>
  <si>
    <t>{054-003-434} Прогнозирование динамических процессов при высоких плотностях энергии в технологиях атомной энергетики и для предотвращения аварийных ситуаций и исследование неидеальных эффектов в плотных средах и водородной взрывобезопасности объектов ядерной энергетики</t>
  </si>
  <si>
    <t>{054-003-435} Разработка комплекса по синтезу сверхтяжёлых элементов (СТЭ)</t>
  </si>
  <si>
    <t>{054-003-436} Комплекс НИОКР по созданию технологий с использованием пучковой энергии</t>
  </si>
  <si>
    <t>{054-003-437} Разработка технологий и оборудования производства керамических и композиционных изделий методами аддитивных технологий</t>
  </si>
  <si>
    <t>{054-003-438} Разработка и изготовление изделий из металлических и композиционных материалов для атомной энергетики методом селективного электронно-лучевого плавления с высокотемпературным подогревом рабочего объема</t>
  </si>
  <si>
    <t>{054-003-439} Разработка технологий и оборудования для изготовления изделий из полимерных материалов методами аддитивных технологий</t>
  </si>
  <si>
    <t>{054-003-440} Разработка трёхосевого лазерного сканатора</t>
  </si>
  <si>
    <t>{054-003-441} Разработка цифровых инструментов материаловедения</t>
  </si>
  <si>
    <t>{054-003-442} Оценка стоимости организаций Госкорпорации "Росатом" для целей ПДМ</t>
  </si>
  <si>
    <t>{054-003-443} Разработка технического проекта кассеты парогенератора АСММ с РУ РИТМ 200Н с теплообменной поверхностью из хромоникелевого сплава с ресурсом на весь срок службы РУ</t>
  </si>
  <si>
    <t>{054-003-444} Приобретение IT-оборудования АО "ВПО "ЗАЭС" в рамках мероприятий по предотвращению заражения COVID-19</t>
  </si>
  <si>
    <t>{054-003-445} Создание совместного предприятия с ООО "УЦСБ"</t>
  </si>
  <si>
    <t>{054-003-446} Отраслевой план мероприятий по внедрению устойчивого развития</t>
  </si>
  <si>
    <t>{054-003-447} Платформа Rosatom Mission Impact</t>
  </si>
  <si>
    <t>{054-003-448} Международные Партнерства</t>
  </si>
  <si>
    <t>{054-003-449} Развитие женской повестки</t>
  </si>
  <si>
    <t>{054-003-450} Поддержка молодежных социальных инициатив</t>
  </si>
  <si>
    <t>{054-003-451} Управление программой «Глобальные инициативы по развитию кадрового потенциала в рамках Видения 2030 Госкорпорации Росатом»</t>
  </si>
  <si>
    <t>{054-003-452} Разработка технологии обращения с циркониевыми оболочками твэлов, образующимися при переработке ОЯТ ВВЭР</t>
  </si>
  <si>
    <t>{054-003-453} Разработка технологических основ процессов обращения с облученными циркониевыми материалами, последующего перевода их в кондиционированную форму с наименьшей стоимостью захоронения</t>
  </si>
  <si>
    <t>{054-003-454} Экспериментальное обоснование характеристик единичных элементов твердооксидных электролизеров получения водорода</t>
  </si>
  <si>
    <t>{054-003-455} Разработка аддитивной технологии создания персонализированных и серийных высокопористых остеоиндуктивных имплантатов, обладающих мультимодальным распределением пор и биоактивными покрытиями.</t>
  </si>
  <si>
    <t>{054-003-456} Разработка технологии получения NbTi сверхпроводящих коаксиальных кабелей для устройств с высокой эффективностью счёта</t>
  </si>
  <si>
    <t>{054-003-457} Разработка и экспериментальное обоснование усовершенствованного водно-химического режима теплоносителя первого контура для реакторов АСММ</t>
  </si>
  <si>
    <t>{054-003-458} Разработка технологии получения монокристаллов широкозонного полупроводника Ga2O3 для силовой электроники, полупроводниковых компонентов, интегральных схем и приборов, функционирующих в солнечно-слепом УФ диапазоне</t>
  </si>
  <si>
    <t>{054-003-459} Разработка базы данных свойств материалов, полученных по технологии селективного лазерного плавления</t>
  </si>
  <si>
    <t>{054-003-460} Разработка системы неразрушающего контроля качества изделий, выполненных с использованием аддитивных технологий.</t>
  </si>
  <si>
    <t>{054-003-461} Создание пилотной установки лазерного разделения изотопов иттербия для наработки весовых количеств высокообогащенного изотопа Yb-176.</t>
  </si>
  <si>
    <t>{054-003-462} Разработка ВТСП-магнита с полем 15-20 Тл – ключевого компонента высокополевых магнитов широкого назначения</t>
  </si>
  <si>
    <t>{054-003-463} Разработка тяжелоаварийного  расчетного кода для анализа безопасности АСММ с РУ РИТМ-200.</t>
  </si>
  <si>
    <t>{054-003-464} Лазерная офтальмологическая система для катарактальной хирургии на основе фемтосекундного лазера.</t>
  </si>
  <si>
    <t>{054-003-465} Разработка технологии тераностики онкологических заболеваний с использованием новых мультифункциональных гибридных и композитных наноформуляций, синтезируемых лазерно-абляционными методами.</t>
  </si>
  <si>
    <t>{054-003-466} Разработка комплекса единого времени в атомном исполнении для объектов использования атомной энергии на базе доверенных программно-технических средств</t>
  </si>
  <si>
    <t>{054-003-467} Комплекс НИОКР по созданию системы и инфраструктуры разработки новых материалов</t>
  </si>
  <si>
    <t>{054-003-468} Разработка и материаловедческое обоснование создания материалов и изделий на основе сплавов с памятью формы с управляемой структурой и пьезоэлектрической керамики с применением аддитивных 4D-технологий</t>
  </si>
  <si>
    <t>{054-003-469} Разработка технологии получения сверхвысокопрочного углеродного волокна UMT55-12K-EP</t>
  </si>
  <si>
    <t>{054-003-470} Комплекс НИОКР по разработке новых материалов</t>
  </si>
  <si>
    <t>{054-003-471} Разработка технологий и аддитивного оборудования прямого выращивания заготовок элементов внеядерного острова и пространственных изделий  с применением проволочных материалов</t>
  </si>
  <si>
    <t>{054-003-472} Разработка отечественной программно-аппаратной платформы управления аддитивным оборудованием</t>
  </si>
  <si>
    <t>{054-003-473} Перевод предприятий ГК "Росатом" на режим налогового мониторинга и автоматизация контрольных процедур</t>
  </si>
  <si>
    <t>{054-003-474} Подготовительные мероприятия по выходу на международный рынок ВИЭ</t>
  </si>
  <si>
    <t>{054-003-475} Удаление SD15441633</t>
  </si>
  <si>
    <t>{054-003-476} Удаление SD15441633</t>
  </si>
  <si>
    <t>{054-003-477} Удаление SD15441633</t>
  </si>
  <si>
    <t>{054-003-478} Удаление SD15441633</t>
  </si>
  <si>
    <t>{054-003-479} Удаление SD15441633</t>
  </si>
  <si>
    <t>{054-003-480} Удаление SD15441633</t>
  </si>
  <si>
    <t>{054-003-481} Разработка стали аустенитного класса с повышенными прочностными свойствами для снижения массогабаритных характеристик оборудования энергетических установок малой мощности</t>
  </si>
  <si>
    <t>{054-003-482} Разработка материала и технологий производства тепловыделяющих элементов и сборок с применением композитного уран-циркониевого топлива</t>
  </si>
  <si>
    <t>{054-003-483} Разработка перспективных композиционных, керамических, углеродных и графитовых материалов различного функционального применения</t>
  </si>
  <si>
    <t>{054-003-484} Разработка методик прогнозирования характеристик сопротивления хрупкому разрушению оболочек ТВЭЛ из феррито-мартенситных сталей</t>
  </si>
  <si>
    <t>{054-003-485} Разработка поглощающих материалов и стержней регулирования нового поколения с повышенными технико-экономическими характеристиками для ядерных реакторов на быстрых и тепловых нейтронах</t>
  </si>
  <si>
    <t>{054-003-486} Удаление SD15441633</t>
  </si>
  <si>
    <t>{054-003-487} Разработка системы по управлению старением конструкций, систем и элементов на всех этапах жизненного цикла энергоблоков АЭС в соответствии с рекомендациями МАГАТЭ</t>
  </si>
  <si>
    <t>{054-003-488} Разработка, изготовление и испытание опытного образца защитной камеры с инертной атмосферой, предназначенного для отработки технологий создания и эксплуатации герметичного оборудования большого объема с инертной атмосферой и проведения испытаний опытных пирохимических аппаратов (Участок «Камера»). Этап 2021-2022 годов</t>
  </si>
  <si>
    <t>{054-003-497} Разработка материалов для постоянных магнитов на основе новых базовых композиций</t>
  </si>
  <si>
    <t>{054-003-499} Учреждение Ассоциации крупнейших потребителей программного обеспечения</t>
  </si>
  <si>
    <t>{054-003-500} Создание ключевой информационной инфраструктуры в новых филиалах</t>
  </si>
  <si>
    <t>{054-003-501} Приобретение и оснащение ЦОД «StoreData»</t>
  </si>
  <si>
    <t>{054-003-502} Приобретение и оснащение ЦОД «Xelent»</t>
  </si>
  <si>
    <t>{054-003-503} Литиевый актив в РФ</t>
  </si>
  <si>
    <t>{054-003-504} Обеспечение функционирования АО «Атомдата-Центр»</t>
  </si>
  <si>
    <t>{054-003-505} Национальный центр физики и математики, включая филиал МГУ им.Ломоносова (1-ая очередь)</t>
  </si>
  <si>
    <t>{054-003-506} Участие Росатома в проектах федерального значения для привлечения школьников и студентов</t>
  </si>
  <si>
    <t>{054-003-507} Ввод ГПА для обеспечения электрических СН котельной ПАО «МСЗ»</t>
  </si>
  <si>
    <t>{054-003-508} НИИЭФА: ИТЭР ВКК</t>
  </si>
  <si>
    <t>{054-003-510} Организация инфраструктуры второй очереди производственной площадки АО "АТМ" г. Волгодонск</t>
  </si>
  <si>
    <t>{054-003-511} Докапитализация ООО «АтомТеплоЭлектроСеть» за счет взноса в уставный капитал от АО «Концерн Росэнергоатом»</t>
  </si>
  <si>
    <t>{054-003-512} Развитие конверсионного производства ТК («Конверсия»)</t>
  </si>
  <si>
    <t>{054-003-513} Комплекс мероприятий по исключению ЖРО конверсионного производства ТК («Эко-конверсия»)</t>
  </si>
  <si>
    <t>{054-003-514} ГИМ "Проработка и тестирование гипотез для пилотных проектов"</t>
  </si>
  <si>
    <t>{054-003-517} Эффекты программы по литию</t>
  </si>
  <si>
    <t>{054-003-518} Литиевый актив в Латинской Америке</t>
  </si>
  <si>
    <t>{054-003-519} Литиевый актив в Африке</t>
  </si>
  <si>
    <t>{054-003-520} Разработка проектно-сметной документации на комплекс переработки ТРО и ООБ</t>
  </si>
  <si>
    <t>{054-003-521} Приобретение автомобиля служебного для филиала в г. Глазове</t>
  </si>
  <si>
    <t>{054-003-523} Лимит на проработку перспективных проектов</t>
  </si>
  <si>
    <t>{054-003-524} Создание на ФГУП «ГХК» хранилища РАО второго класса</t>
  </si>
  <si>
    <t>{054-003-525} Ввод в эксплуатацию установки глубокой утилизации тепла части дымовых газов ДТ№3</t>
  </si>
  <si>
    <t>{054-003-526} Закупка ИТ-оборудования и ПО для филиала в СПб</t>
  </si>
  <si>
    <t>{054-003-528} Финансирование работ по подготовке сделок MA</t>
  </si>
  <si>
    <t>{054-003-529} Создание единой отраслевой системы Оценка соответствия</t>
  </si>
  <si>
    <t>{054-003-530} Развитие системы мониторинга и анализа показателей деятельности / миграция на сертифицированную платформу Visiology для ДМТО АО «ТВЭЛ»</t>
  </si>
  <si>
    <t>{054-003-531} Развитие промышленного производства цинк-воздушных ячеек</t>
  </si>
  <si>
    <t>{054-003-532} Разработка и исследование характеристик накопителя энергии для электротранспорта на основе пакетных литий-ионных аккумуляторов с ультрабыстрой зарядкой и повышения его ресурса путем создания системы термостатирования накопителя</t>
  </si>
  <si>
    <t>{054-003-533} Разработка технической документации в рамках мероприятий по созданию МПЭБ для энергоснабжения Баимской рудной зоны</t>
  </si>
  <si>
    <t>{054-003-534} Разработка активной зоны для РУ РИТМ-200С МПЭБ</t>
  </si>
  <si>
    <t>{054-003-535} Демонтаж зданий, расположенных на территории АО "ГНЦ РФ ТРИНИТИ"</t>
  </si>
  <si>
    <t>{054-003-536} Расширение научно-производственной базы Частного учреждения "ИТЭР-Центр"</t>
  </si>
  <si>
    <t>{054-003-537} Закупка ИТ оборудования для модернизации рабочих мест</t>
  </si>
  <si>
    <t>{054-003-538} Опытно-конструкторские разработки в обоснование технического перевооружения реактора БОР-60</t>
  </si>
  <si>
    <t>{054-003-539} Научно-исследовательские и опытно-конструкторские работы в обоснование технических и проектных решений по созданию Полифункционального радиохимического исследовательского комплекса (ПРК)</t>
  </si>
  <si>
    <t>{054-003-540} НИОКР в обоснование безопасности режимов эксплуатации ИЯУ МБИР</t>
  </si>
  <si>
    <t>{054-003-541} Организация добычи цветных металлов на месторождении Лобаш-1 в Республике Карелия (проект «Лобаш-1»)</t>
  </si>
  <si>
    <t>{054-003-542} Организация добычи золота на месторождении Мутновское (проект «Мутновское»)</t>
  </si>
  <si>
    <t>{054-003-543} Организация добычи золота на месторождениях в Свердловской области (проект «Урал»)</t>
  </si>
  <si>
    <t>{054-003-544} Создание производства трубопроводов для объектов энергетического назначения</t>
  </si>
  <si>
    <t>{054-003-546} Аванпроекты АО «В/О «Изотоп»</t>
  </si>
  <si>
    <t>{054-003-547} «Партнерство с группой компаний «Юнидата»</t>
  </si>
  <si>
    <t>{054-003-548} «Партнерство с ООО «Цифра»</t>
  </si>
  <si>
    <t>{054-003-549} Альфа</t>
  </si>
  <si>
    <t>{054-003-550} «Партнерство с ООО «Робин»</t>
  </si>
  <si>
    <t>{054-003-552} Партнёрство с Voltaware и Тайпит</t>
  </si>
  <si>
    <t>{054-003-553} Создание парка оборотных ТУК для ТВС-КВАДРАТ</t>
  </si>
  <si>
    <t>{054-003-554} Организация добычи золота на месторождении «Кючус» (проект «Кючус»)</t>
  </si>
  <si>
    <t>{054-003-555} Обеспечение необходимыми материалами, инструментами и ТМЦ для поддержания работоспособности ВЭС введенных в эксплуатацию</t>
  </si>
  <si>
    <t>{054-003-556} Технико-экономические обоснования создания производств изотопов медицинского назначения на реакторах РБМК и продукции на их основе</t>
  </si>
  <si>
    <t>{054-003-557} Технико-экономическое обоснование создания производства Mo-99 и сопутствующих материалов на реакторах РБМК и продукции на их основе</t>
  </si>
  <si>
    <t>{054-003-558} Разработка аппаратно-программного комплекса «Биодозиметр».</t>
  </si>
  <si>
    <t>{054-003-559} Разработка инновационных биоразлагаемых и биосовместимых крепежных изделий с улучшенным комплексом свойств для повышения качества медицинских услуг, оказываемых в лечебных учреждениях РФ в области травматологии, ортопедии и челюстно- лицевой хирургии.</t>
  </si>
  <si>
    <t>{054-003-560} Разработка комплекса аппаратуры контроля содержания радионуклидов трития в атмосферном воздухе в различных физико-химических формах на уровне глобального фона.</t>
  </si>
  <si>
    <t>{054-003-561} Лазерная гиперполяризация по ядерному спину изотопов благородных газов</t>
  </si>
  <si>
    <t>{054-003-562} Разработка и опытно-экспериментальная отработка эффективной технологии производства изотопа бора-10 со степенью обогащения более 96%</t>
  </si>
  <si>
    <t>{054-003-563} Экспериментальное моделирование проплавления чехлов ТВС при тяжелых авариях быстрых натриевых реакторов.</t>
  </si>
  <si>
    <t>{054-003-564} Разработка универсальной системы комплексной очистки газов от летучих продуктов деления на различных переделах переработки ОЯТ на основе керамических высокопористых блочно-ячеистых контактных элементов</t>
  </si>
  <si>
    <t>{054-003-565} Разработка технологии нанесения функциональных покрытий на внутренние поверхности длинномерных изделий</t>
  </si>
  <si>
    <t>{054-003-566} Разработка программно-аппаратного комплекса по защите АСУ ТП объектов использования атомной энергии</t>
  </si>
  <si>
    <t>{054-003-567} Проведение работ по созданию методом радиационной нанотехнологии композиционных материалов на основе низкотемпературных сверхпроводящих нанопроводов с функциональными свойствами, обеспечивающими работоспособность  элементной базы процессоров, ориентированных на классические суперкомпьютеры</t>
  </si>
  <si>
    <t>{054-003-568} Разработка промышленного метода получения изотопа азот-15 для производства изотопно-модифицированного нитридного топлива</t>
  </si>
  <si>
    <t>{054-003-569} Разработка и исследование конструкционных материалов для ЯЭУ с различным типом теплоносителя. Этап 2021-2022 гг.</t>
  </si>
  <si>
    <t>{054-003-570} Создание отраслевого центра карьеры</t>
  </si>
  <si>
    <t>{054-003-571} Разработка и создание опытной установки получения изотопа 13С ректификацией оксида углерода</t>
  </si>
  <si>
    <t>{054-003-572} Создание Единой системы интеграции корпоративных бизнес-приложений ЕСИК БП 2.0 (импортонезависимая)</t>
  </si>
  <si>
    <t>{054-003-573} Разработка и производство Российской емкостной ячейки для датчика давления</t>
  </si>
  <si>
    <t>{054-003-575} Закупка оборудования для проведения испытаний, связанных с термическим влиянием на металл в процессе изготовления и эксплуатации конструкций и элементов АЭУ</t>
  </si>
  <si>
    <t>{054-003-576} Развитие гражданской продукции ЯОК</t>
  </si>
  <si>
    <t>{054-003-577} Комплексная проверка и оценка компаний в рамках Стратегии развития ЦОД</t>
  </si>
  <si>
    <t>{054-003-578} Экспериментальное обоснование характеристик единичных твердооксидных микротрубчатых топливных элементов</t>
  </si>
  <si>
    <t>{054-003-579} Оценка конкурентоспособности алюмоводной технологии получения водорода</t>
  </si>
  <si>
    <t>{054-003-580} Разработка научно-технических основ получения водорода в процессах плазменно-каталитического пиролиза природного газа</t>
  </si>
  <si>
    <t>{054-003-581} Исследование возможности использования технологии пиролиза природного газа в расплаве металлов для крупномасштабного производства водорода.</t>
  </si>
  <si>
    <t>{054-003-582} Разработка методологии и исследование сценариев имплементации возобновляемой и атомно-водородной энергетики в локальные энергетические системы с распределенной генерацией</t>
  </si>
  <si>
    <t>{054-003-583} Поддержание стабильности производственной деятельсти АО "ПРепрег-СКМ"</t>
  </si>
  <si>
    <t>{054-003-585} Внедрение системы управления персоналом и расчета заработной платы, включая налоги и сборы по законодательству Народной Республики Бангладеш, для персонала филиалов АО АСЭ и ДСО</t>
  </si>
  <si>
    <t>{054-003-586} Организация BIM проектирования</t>
  </si>
  <si>
    <t>{054-003-587} Капитальное строительство 2-х этажного каркасного здания для размещения административных структур АО "ИРМ"</t>
  </si>
  <si>
    <t>{054-003-588} Поддержание стабильности производственной  деятельности ООО "Препрег-Дубна"</t>
  </si>
  <si>
    <t>{054-003-589} Интеграция теплоэнергетических активов</t>
  </si>
  <si>
    <t>{054-003-590} Развитие экспериментальной базы АО "ИРМ"</t>
  </si>
  <si>
    <t>{054-003-594} Одиссей</t>
  </si>
  <si>
    <t>{054-003-595} Перевод автоматизированной системы оценки, анализа и
прогнозирования нештатных ситуаций на объектах атомной отрасли
(АС АНСОАО) на импортонезависимое ПО</t>
  </si>
  <si>
    <t>{054-003-596} Выполнение работ по переводу ГИС СКЦ на импортонезависимое ПО</t>
  </si>
  <si>
    <t>{054-003-597} Производственное и лабораторное оборудование ООО "Аргон" 2021-2022</t>
  </si>
  <si>
    <t>{054-003-598} Оценка возможности создания новых продуктов ПКМ</t>
  </si>
  <si>
    <t>{054-003-599} Подготовка ПИР для техперевооружения зд. 3001</t>
  </si>
  <si>
    <t>{054-003-600} Модернизация переговорных помещений Госкорпорации «Росатом»</t>
  </si>
  <si>
    <t>{054-003-608} Создание на базе АО «Гринатом» сервиса «Секретарь коллегиального/совещательного органа Госкорпорации «Росатом»</t>
  </si>
  <si>
    <t>{054-003-609} Строительство ЦОД на площадке в г. Москве (проспект Генерала Дорохова)</t>
  </si>
  <si>
    <t>{054-003-610} Создание совместного предприятия Атомдата-Интеграция с целью предоставления услуг ГИС</t>
  </si>
  <si>
    <t>{054-003-611} Приобретение компании Stack Group с целью предоставления облачных услуг</t>
  </si>
  <si>
    <t>{054-003-612} Проект «Виртуальная выставочная среда»</t>
  </si>
  <si>
    <t>{054-003-613} Реконструкция и модернизация транспортной инфраструктуры</t>
  </si>
  <si>
    <t>{054-003-614} «Выполнение ПИР, разработка РД по объекту корпус 207Б обособленного подразделения (ОП) АО «НИИграфит» в г. Заречный Пензенской области»
Шифр: «ПИР-207Б»</t>
  </si>
  <si>
    <t>{054-003-616} Система управления ИТ-СУИТ 2.0</t>
  </si>
  <si>
    <t>{054-003-619} Поставка теплографического комплекса «Макро-1» для АО «НПО «ЦНИИТМАШ»</t>
  </si>
  <si>
    <t>{054-003-620} Оказание услуг по изготовлению  вывески на козырьке здания, расположенного над входом в корпус 1А АО «НПО «ЦНИИТМАШ»»</t>
  </si>
  <si>
    <t>{054-003-621} Мобильный личный кабинет работника</t>
  </si>
  <si>
    <t>{054-003-624} Испытания конструкционных и новых функциональных материалов гибридного бланкета ГРУ</t>
  </si>
  <si>
    <t>{054-003-627} Разработка и создание аппаратно-инфраструктурной платформы информационно-коммуникационного пространства в области термоядерных исследований в Российской Федерации</t>
  </si>
  <si>
    <t>{054-003-628} Изготовление штампованных заготовок для колец ведущих изделия «А»</t>
  </si>
  <si>
    <t>{054-003-630} Организация производства и применения Радия-223 дихлорида для лечения онкологических больных в медицинских центрах РФ</t>
  </si>
  <si>
    <t>{054-003-631} ВЭС 200 МВт – Вьетнам</t>
  </si>
  <si>
    <t>{054-003-632} ВЭС 500 МВт – зарубежные рынки</t>
  </si>
  <si>
    <t>{054-003-633} Поддержание деятельности программы «ВИЭ – зарубежные рынки»</t>
  </si>
  <si>
    <t>{054-003-634} Организация удаленной работы проектировщиков</t>
  </si>
  <si>
    <t>{054-003-635} Aвтоматизация бизнес-процессов "Управление закупочной деятельностью" и "Управление МТО"</t>
  </si>
  <si>
    <t>{054-003-636} Обоснование материалов, процессов и оборудования твердотельного бланкета гибридных систем</t>
  </si>
  <si>
    <t>{054-003-637} Исследования режимов гидротеплового и детонационного взаимодействия лазерного излучения с пористой мишенью допированной наночастицами элементов с большим Z</t>
  </si>
  <si>
    <t>{054-003-638} Ограничение эффектов перекачки энергии между интенсивными ла-зерными пучками для уменьшения энергетических потерь и обеспече-ния однородности абляции лазерных мишеней</t>
  </si>
  <si>
    <t>{054-003-639} Расчетно-теоретические и экспериментальные исследования отклонений от колмогоровской модели турбулентности атмосферы в интересах оптимизации оптических наблюдений и требований к разрешению адаптивных оптических систем</t>
  </si>
  <si>
    <t>{054-003-640} ННБ ЯОК-2021</t>
  </si>
  <si>
    <t>{054-003-641} Обеспечение реализации Стратегии развития изотопного бизнеса Госкорпорации «Росатом» до 2030 года</t>
  </si>
  <si>
    <t>{054-003-642} Разработка и создание 8-канального лазера накачки для конечных каскадов параметрических усилителей.</t>
  </si>
  <si>
    <t>{054-003-643} Расширение и модернизация Аттестационного центра АО «НПО «ЦНИИТМАШ» этап 2</t>
  </si>
  <si>
    <t>{054-003-645} Создание системы информационного моделирования зданий и сооружений (BIM) в части настройки программного обеспечения для автоматизированного проектирования для нужд АО "Атомэнергопроект"</t>
  </si>
  <si>
    <t>{054-003-646} Пользовательский контент, геймификация и персональные треки</t>
  </si>
  <si>
    <t>{054-003-647} Безопасный удаленный доступ к АРМ</t>
  </si>
  <si>
    <t>{054-003-648} Управление непрерывностью и модернизация ЦОД</t>
  </si>
  <si>
    <t>{054-003-649} Управление доступностью ИТ-Сервисов</t>
  </si>
  <si>
    <t>{054-003-650} Работы по разработке и обоснованию безопасности применения ядерного топлива для ядерных реакторов различных типов: Создание расчетного комплекса для обоснования сухого хранения ОТВС. Фаза II. Разработка инженерно-физической версии расчетного комплекса для обоснования сухого хранения ОТВС. Расширение матрицы верификации на область высоких выгораний топлива</t>
  </si>
  <si>
    <t>{054-003-651} Разработка сплава для направляющих каналов ТВС ВВЭР и PWR в обеспечение повышенной стойкости к наводороживанию</t>
  </si>
  <si>
    <t>{054-003-653} Исследование и отработка комплекса легирующих элементов Nb3Sn сверхпроводников с высокой токонесущей способностью в сильных магнитных полях</t>
  </si>
  <si>
    <t>{054-003-654} Обоснование разработки технологии изготовления материалов нового поколения для изделий медицинского назначения</t>
  </si>
  <si>
    <t>{054-003-656} Супер  С-Тау фабрика</t>
  </si>
  <si>
    <t>{054-003-657} Организация филиала МГУ им. М.В. Ломоносова</t>
  </si>
  <si>
    <t>{054-003-658} Организация строительства (сооружение «городка»)</t>
  </si>
  <si>
    <t>{054-003-659} Территориальное объединение</t>
  </si>
  <si>
    <t>{054-003-660} Поддержание и развитие ИТ инфраструктуры предприятия</t>
  </si>
  <si>
    <t>{054-003-661} Изготовление стартовой загрузки активной зоны РУ БРЕСТ ОД-300.</t>
  </si>
  <si>
    <t>{054-003-662} Дополнительная потребность (заявка на НИОКР по U1 Разработка технологий двухкомпонентной атомной энергетики с замкнутым ядерным топливным циклом)</t>
  </si>
  <si>
    <t>{054-003-665} REPEAT - создание модельно-ориентированной среды проектирования и математического моделирования</t>
  </si>
  <si>
    <t>{054-003-666} Разработка расчетных кодов для проектирования твэлов ВВЭР и PWR</t>
  </si>
  <si>
    <t>{054-003-667} Создание единого цифрового инструмента управления капитальными проектами АО "Концерн Росэнергоатом"</t>
  </si>
  <si>
    <t>{054-003-668} Техническое перевооружение ГТУ SGT-600</t>
  </si>
  <si>
    <t>{054-003-669} Модернизация инфраструктуры и приборной базы АО «ГНЦ НИИАР», необходимой для оказания комплексных услуг по исследованию ядерного топлива и конструкционных материалов реакторов различного типа. "Халзан".</t>
  </si>
  <si>
    <t>{054-003-670} Передача АО "РИР" недвижимого и движимого имущества, входящего в систему производства и передачи оборотной воды АО "ЧМЗ", а также котла парового № 10 ЦКТИ-75 (инв. номер 401081-0,1)</t>
  </si>
  <si>
    <t>{054-003-671} Приобретение транспортных средств</t>
  </si>
  <si>
    <t>{054-003-672} Услуги Гринатома для внешнего рынка (Аутсорсинг)</t>
  </si>
  <si>
    <t>{054-003-673} НИР "Проведение исследований по отработке схемных и технических решений мощных многомодовых оптоволоконных лазеров для технологического применения" ("ЭСОЛ РФЯЦ-ВНИИТФ").</t>
  </si>
  <si>
    <t>{054-003-674} Замена трансформаторов в трансформаторных подстанциях ГНЦ РФ АО «НПО «ЦНИИТМАШ»</t>
  </si>
  <si>
    <t>{054-003-675} Услуги по проведению комплексной независимой проверки (дью-дилидженс), оценки активов и юридическому сопровождению сделки в рамках создания СП в сфере пилотируемого и беспилотного авиастроения</t>
  </si>
  <si>
    <t>{054-003-676} Внедрение информационной системы бюджетирования, управленческого учета и отчетности АО «РИР»</t>
  </si>
  <si>
    <t>{054-003-677} Создание единой платформы цифровых сервисов Северного морского пути (ЕПЦС СМП)</t>
  </si>
  <si>
    <t>{054-003-678} Контрактация сервисного обслуживания ЦЯИТ в Боливии</t>
  </si>
  <si>
    <t>{054-003-679} Инвестиционный проект по созданию ледокольно-транспортного комплекса для вывоза продукции Баимского ГОК / «Флот ГДК Баимская»</t>
  </si>
  <si>
    <t>{054-003-680} Проведение комплексной экспертизы (дью-дилидженс) и определение оценочной стоимости подразделения по обращению с РАО компании AINS Group</t>
  </si>
  <si>
    <t>{054-003-681} БИНС, ФГУП «ВНИИА»</t>
  </si>
  <si>
    <t>{054-003-682} ЦПИР, ФГУП «ВНИИА»</t>
  </si>
  <si>
    <t>{054-003-683} Строительство четырех МПЭБ</t>
  </si>
  <si>
    <t>{054-003-684} Разработка оборудования комплекса РСП</t>
  </si>
  <si>
    <t>{054-003-686} Мероприятия по повышению эффективности объектов и производств предприятия</t>
  </si>
  <si>
    <t>{054-003-687} Разработка нормативных документов в области управления специальными перевозками</t>
  </si>
  <si>
    <t>{054-003-688} Развитие персонала в области специальных перевозок</t>
  </si>
  <si>
    <t>{054-003-689} Разработка и внедрение перспективных технических систем в области транспортной безопасности и физической защиты специальных перевозок</t>
  </si>
  <si>
    <t>{054-003-690} Разработка и внедрение современных технических решений в области специальных перевозок отработавшего ядерного топлива и высокоактивных радиоактивных отходов</t>
  </si>
  <si>
    <t>{054-003-691} Разработка и внедрение унифицированных модульных транспортных систем повышенной защищенности для организации перевозок специальных грузов</t>
  </si>
  <si>
    <t>{054-003-692} Разработка и внедрение современных логистических решений в области специальных перевозок ядерного топлива исследовательских реакторов</t>
  </si>
  <si>
    <t>{054-003-693} Разработка и внедрение современных решений в области организации специальных перевозок при доставке ГФУ на предприятия отраслевого ЯТЦ</t>
  </si>
  <si>
    <t>{054-003-694} Разработка современных логистических и технических решений в области организации перевозок радиоактивных и других опасных отходов на объекты их утилизации или окончательной изоляции</t>
  </si>
  <si>
    <t>{054-003-695} Цифровая платформа отраслевого транспортного комплекса с элементами Искусственного Интеллекта</t>
  </si>
  <si>
    <t>{054-003-696} Разработка и внедрение современных решений в области специальных перевозок при доставке природных концентратов на предприятия отраслевого ЯТЦ</t>
  </si>
  <si>
    <t>{054-003-697} Разработка и внедрение современных решений в области организации специальных перевозок при доставке свежих тепловыделяющих сборок ВВЭР-1000/1200 на площадки АЭС</t>
  </si>
  <si>
    <t>{054-003-699} Поддержка развития г. Усолье-Сибирское</t>
  </si>
  <si>
    <t>{054-003-701} Приобретение ИТ оборудования для нужд ООО "РЦР"</t>
  </si>
  <si>
    <t>{054-003-702} Реконструкция холла здания Госкорпорации «Росатом» на ул. Большая Ордынка, 24</t>
  </si>
  <si>
    <t>{054-003-703} Экспертно-аналитическое сопровождение мероприятий по созданию и развитию стендового комплекса по испытаниям технологий и оборудования для средне- и крупнотоннажного производства сжиженного природного газа (СПГ)</t>
  </si>
  <si>
    <t>{054-003-704} «Оценка возможности партнерства АО «РХК» с ООО «Синергия» в рамках инициативы по созданию сети ЦСО в регионах Российской Федерации»</t>
  </si>
  <si>
    <t>{054-003-705} Рециклирование делящихся материалов в обеспечение собственной потребности</t>
  </si>
  <si>
    <t>{054-003-706} Разработка комплексной автоматизированной системы хранения и анализа результатов тепловизионного контроля оборудования</t>
  </si>
  <si>
    <t>{054-003-707} Разработка концепций проектов перспективных энергоисточников малой мощности (определение перспективных путей развития малой энергетики)</t>
  </si>
  <si>
    <t>{054-003-708} ЦОД "Медведково"</t>
  </si>
  <si>
    <t>{054-003-709} Создание портового флота в порту Мурманск для нужд ООО "Арктическая перевалка"/ проект "Портофлот-Мурманск"</t>
  </si>
  <si>
    <t>{054-003-713} Проектирование БГТС для МПЭБ</t>
  </si>
  <si>
    <t>{054-003-714} Оценка целесообразности создания завода по переработке сподуменового концентрата</t>
  </si>
  <si>
    <t>{054-003-715} Разработка виртуального тренажёра системы автоматического регулирования и защиты турбин К-1100-60/1500-2М с функциями моделирования нештатных ситуаций и прогнозирования технического состояния</t>
  </si>
  <si>
    <t>{054-003-716} Разработка программы КИР2 для расчета стационарных и нестационарных
процессов в ядерных энергетических установках на основе методов Монте-
Карло</t>
  </si>
  <si>
    <t>{054-003-717} Совершенствование технологии испытаний электронной компонентной базы в части определения показателей стойкости к воздействию ионизирующих излучений с применением
импульсных источников лазерного излучения</t>
  </si>
  <si>
    <t>{054-003-718} Создание представительского комплекса по анализу защищённости АСУ ТП АЭС</t>
  </si>
  <si>
    <t>{054-003-719} Закупка ультразвукового толщиномера А1208</t>
  </si>
  <si>
    <t>{054-003-721} Умная Арктика (Этап 1. Разработка концепции)</t>
  </si>
  <si>
    <t>{054-003-722} Модульный реактор малой мощности с естественной циркуляцией</t>
  </si>
  <si>
    <t>{054-003-723} Разработка концепции Цифровой платформы «Технологии, материалы и конструкции»</t>
  </si>
  <si>
    <t>{054-003-725} Оптимизация процессов управления зданиями и территорией производственной площадки на основе платформенных решений (пилот)</t>
  </si>
  <si>
    <t>{054-003-727} Создание МЦО в Республике Татарстан</t>
  </si>
  <si>
    <t>{054-003-730} ГИМ «Подтверждение целевого актива для проведения сделки M и A»</t>
  </si>
  <si>
    <t>{054-003-731} Модернизация ЛВС и создание АСЗИ для соблюдения отраслевых требований по информационной безопасности</t>
  </si>
  <si>
    <t>{054-003-733} Имущественный взнос АО «ТВЭЛ» в АО «ВПО «Точмаш»</t>
  </si>
  <si>
    <t>{054-003-734} Закупка оборудования специальной связи</t>
  </si>
  <si>
    <t>{054-003-735} Проведение комплексной экспертизы (дью-дилидженс) и определение оценочной стоимости подразделения по обращению с РАО компании NIS (Seimpelkamp)</t>
  </si>
  <si>
    <t>{054-003-736} Исследование перспективных направлений развития Интегратора</t>
  </si>
  <si>
    <t>{054-003-737} Создание юридического лица в ЕС с целью регистрации продукции для продаж на зарубежных рынках</t>
  </si>
  <si>
    <t>{054-003-738} Модернизация здания № 50 (инв. № 100115)</t>
  </si>
  <si>
    <t>{054-003-739} Ремонты ФСБУ 6/2020</t>
  </si>
  <si>
    <t>{054-003-740} Приобретение и ввод в эксплуатацию вальцешлифовального станка</t>
  </si>
  <si>
    <t>{054-003-741} Приобретение и ввод в эксплуатацию индукционной двухтигельной печи ИТП-25</t>
  </si>
  <si>
    <t>{054-003-742} Разработка технологии получения порошков для аддитивных технологий из радиационно-стойкой аустенитной стали 10Х16Н25МТ методом газового распыления</t>
  </si>
  <si>
    <t>{054-003-743} Разработка модельного ряда и изготовление опытных образцов оборудования SLM</t>
  </si>
  <si>
    <t>{054-003-744} Разработка инновационных методов синтеза монокристаллических алмазных полупроводниковых материалов и гетероструктур изолятор-полупроводник-проводник</t>
  </si>
  <si>
    <t>{054-003-745} Ремонты ФСБУ 6/2020</t>
  </si>
  <si>
    <t>{054-003-746} Энергонезависимая память промышленного и двойного назначения</t>
  </si>
  <si>
    <t>{054-003-747} Проведение ремонтно-восстановительных работ в обеспечение реализации инвестиционного проекта «Реконструкция термоядерного комплекса ТСП»</t>
  </si>
  <si>
    <t>{054-003-748} Строительство здания производственного цеха на территории производственной базы «Балаковоатомэнергоремонт» – филиала 
АО «Атомэнергоремонт»</t>
  </si>
  <si>
    <t>{054-003-749} Модернизация участка производства источников на основе криптон-85, первый этап на площадке № 1 АО "Радиевый институт им. В.Г. Хлопина"</t>
  </si>
  <si>
    <t>{054-003-751} Программное обеспечение АО "СвердНИИхиммаш"</t>
  </si>
  <si>
    <t>{054-003-752} Модернизация СКУД и установка термометрии на АО "СвердНИИхиммаш"</t>
  </si>
  <si>
    <t>{054-003-754} Участие в конкурсе Минэнерго на присвоение статуса гарантирующего поставщика в Республике Хакасия</t>
  </si>
  <si>
    <t>{054-003-755} Жидкое биотопливо</t>
  </si>
  <si>
    <t>{054-003-756} ГИМ «Боливия»</t>
  </si>
  <si>
    <t>{054-003-757} «Опытно-промышленная установка для отработки технологических процессов сорбционного обогащения природных рассолов по литию и производства карбоната лития из гидроминерального сырья Латинской Америки (создание ОПУ)»</t>
  </si>
  <si>
    <t>{054-003-758} Создание совместного предприятия АО «РАСУ» и АО «Элемент»</t>
  </si>
  <si>
    <t>{054-003-759} Масштабирование и модернизация производства РФП с Tc-99m</t>
  </si>
  <si>
    <t>{054-003-760} Приобретение двух МФУ Canon imageRUNNER ADVANCE DX C372i MFP</t>
  </si>
  <si>
    <t>{054-003-761} Модернизация производства магнитов для ВЭУ ООО «ЭЛЕМАШ МАГНИТ»</t>
  </si>
  <si>
    <t>{054-003-762} Увеличение уставного капитала ООО «Экоальянс» путем вхождения в состав участников АО «ТВЭЛ»</t>
  </si>
  <si>
    <t>{054-003-766} Техническое перевооружение лабораторного радиохимического комплекса АО «ВНИИНМ» для отработки инновационных подходов к переработке новых видов ОЯТ и РАО, и обращению с минорными актинидами</t>
  </si>
  <si>
    <t>{054-003-767} Разработка экспертной системы оценки рисков проявления опасных гидрогеологических процессов и явлений на площадке размещения АЭС</t>
  </si>
  <si>
    <t>{054-003-768} «Создание участка получения порошков тугоплавких и редкоземельных металлов методом восстановления в токе водорода». Шифр: «Восстановление».</t>
  </si>
  <si>
    <t>{054-003-769} Увеличение производственных мощностей парка автотранспортных средств бизнес-класса в 2021 году</t>
  </si>
  <si>
    <t>{054-003-770} Приобретение двух системных блоков для АО «НПО «ЦНИИТМАШ»</t>
  </si>
  <si>
    <t>{054-003-772} Реализация направления "Новые производственные технологии"</t>
  </si>
  <si>
    <t>{054-003-773} Роуминговый оператор зарядной инфраструктуры для
электротранспорта</t>
  </si>
  <si>
    <t>{054-003-774} Развитие экосистемы логистических информационных сервисов</t>
  </si>
  <si>
    <t>{054-003-775} Проработка нового направления бизнеса – Авиационный экспресс-интегратор</t>
  </si>
  <si>
    <t>{054-003-777} Модернизация сварочного участка здания 251А филиала «ЦКБМ 2»</t>
  </si>
  <si>
    <t>{054-003-778} Создание лаборатории мехатроники и робототехники на площадке АО «ЦКБМ»</t>
  </si>
  <si>
    <t>{054-003-779} Модернизация ИТ-инфраструктуры производственной и административной площадок АО «ЦКБМ»</t>
  </si>
  <si>
    <t>{054-003-780} Капитальный ремонт зданий и сооружений</t>
  </si>
  <si>
    <t>{054-003-781} Импортозамещение ИС TCM NC</t>
  </si>
  <si>
    <t>{054-003-782} Интеграция новых теплоэнергетических активов</t>
  </si>
  <si>
    <t>{054-003-783} Интеллектуальные транспортные системы</t>
  </si>
  <si>
    <t>{054-003-786} Агрегатор управления спросом на электроэнергию</t>
  </si>
  <si>
    <t>{054-003-787} Создание АЭК для тестирования Платформы управления гибкостью</t>
  </si>
  <si>
    <t>{054-003-789} Капитальный ремонт основного и стендового оборудования</t>
  </si>
  <si>
    <t>{054-003-790} Global Impact Conference</t>
  </si>
  <si>
    <t>{054-003-791} Исследовательская инициатива: «Корпмиссия: Человек»</t>
  </si>
  <si>
    <t>{054-003-793} Управление потреблением энергоемких предприятий</t>
  </si>
  <si>
    <t>{054-003-794} Развитие аппаратурно-методического комплекса идентификации задержанных ядерных материалов и радиоактивных веществ неизвестного происхождения</t>
  </si>
  <si>
    <t>{054-003-796} Построение систем обеспечения безопасности значимых объектов критической информационной инфраструктуры АО «РИР»</t>
  </si>
  <si>
    <t>{054-003-797} Аммиак</t>
  </si>
  <si>
    <t>{054-003-799} Приобретение 50% акций АО «ТИТАН-2»</t>
  </si>
  <si>
    <t>{054-003-800} Индиа</t>
  </si>
  <si>
    <t>{054-003-801} Выкуп имущества у АО "УАТ НЗХК"</t>
  </si>
  <si>
    <t>{054-003-802} Создание системы комплексного контроля и управления энергетическим оборудованием Филиала АО "АЭМ-технологии" "Атоммаш" в г. Волгодонск</t>
  </si>
  <si>
    <t>{054-003-803} Создание производства абсорбера СО2/очистителя воздуха с регенерируемым сорбентом</t>
  </si>
  <si>
    <t>{054-003-804} Капитализируемый ремонт объектов ОС ПАО «НЗХК»</t>
  </si>
  <si>
    <t>{054-003-805} Капитальные ремонты  АО «МСЗ»</t>
  </si>
  <si>
    <t>{054-003-806} Разработка и создание ультразвукового аппаратно-программного комплекса для определения и оценки структурно-физических характеристик сталей</t>
  </si>
  <si>
    <t>{054-003-807} Выполнение  работ по монтажу системы приточно-вытяжной вентиляции  помещений  110, 111, 112 лаборатории химического анализа  АО «НПО «ЦНИИТМАШ»</t>
  </si>
  <si>
    <t>{054-003-808} Приобретение аппаратно-программных комплексов для проведения оценки эффективности защиты информации</t>
  </si>
  <si>
    <t>{054-003-809} Приобретение Сварочного центра для автоматической сварки под флюсом "Тандем"</t>
  </si>
  <si>
    <t>{054-003-810} Создание вводных курсов лекций</t>
  </si>
  <si>
    <t>{054-003-811} Обновление автопарка АО «Атомэнергомаш» (2 очередь)</t>
  </si>
  <si>
    <t>{054-003-814} Проведение капитальных ремонтов зданий и оборудования АО «УЭХК»</t>
  </si>
  <si>
    <t>{054-003-815} Энергосбережение и повышение энергоэффективности</t>
  </si>
  <si>
    <t>{054-003-816} Создание материалоэффективного производства порошков титановых сплавов для аддитивных технологий на основе отечественных наукоёмких разработок</t>
  </si>
  <si>
    <t>{054-003-817} Разработка технологии и наработка опытных образцов СВЧ-диэлектриков на частоты 10- 40ГГц</t>
  </si>
  <si>
    <t>{054-003-818} Разработка технологии получения полированных пластин на основе монокристаллов антимонида галлия, сильнолегированных теллуром</t>
  </si>
  <si>
    <t>{054-003-819} Экспериментальное обоснование работоспособности штатных и перспективных ПЭЛ ПС СУЗ ВВЭР-1000 в стационарных и аварийных условиях эксплуатации</t>
  </si>
  <si>
    <t>{054-003-820} Новые экспериментальные ядерные данные для формирования уточненной версии библиотеки БРОНД для обоснования термоядерных и гибридных реакторных установок</t>
  </si>
  <si>
    <t>{054-003-821} Доклинические исследования бифункционального инновационного радиофармацевтического препарата «Пентакарбонилиодидтехнеция-99m (ПКИТ-99mTc)» для диагностики перфузии и вентиляции легких</t>
  </si>
  <si>
    <t>{054-003-822} Обоснование технической реализуемости управляемого аккумулятора энергии с удельной энергоемкостью не менее 1 х 108 Дж/г и удельной мощностью 300 Вт/г на основе стимулированного девозбуждения изомерных ядер рения-186m</t>
  </si>
  <si>
    <t>{054-003-823} Разработка опытного образца высокочувствительного анализатора радионуклидного состава ксенона в воздухе</t>
  </si>
  <si>
    <t>{054-003-824} Новые комплексные системы активного онлайн аналитического контроля радиохимических технологий переработка ОЯТ и обращения с РАО</t>
  </si>
  <si>
    <t>{054-003-825} Физические основы получения функциональных магнитных материалов и магнитных систем на их основе с использованием аддитивных технологий</t>
  </si>
  <si>
    <t>{054-003-826} Создание аппаратно-программного комплекса на базе субтерагерцевого спектрометра для анализа выдыхаемого воздуха</t>
  </si>
  <si>
    <t>{054-003-827} Разработка технологии и изготовление образца мультитопливной энергоустановки мощностью 10 кВт на основе твердооксидных топливных элементов</t>
  </si>
  <si>
    <t>{054-003-828} Универсальная стартовая часть нового поколения для сверхмощных лазерных систем</t>
  </si>
  <si>
    <t>{054-003-829} Разработка материаловедческих, конструкторских и технологических решений для создания опытно-демонстрационной углекислотной энергоустановки</t>
  </si>
  <si>
    <t>{054-003-830} Разработка углеродного материала и изделий на его основе для применения в фильерах плавильных печей при производстве стеклянных и базальтовых волокон</t>
  </si>
  <si>
    <t>{054-003-831} Разработка и расчетно-экспериментальное обоснование ТВС на основе использования тепловых и гидравлических обратных связей</t>
  </si>
  <si>
    <t>{054-003-832} Разработка нового типа генератора германий-68/галлий-68, включая постановку на производство сорбента</t>
  </si>
  <si>
    <t>{054-003-833} Разработка таргетных радиофармпрепаратов, меченных радиоизотопами йодной группы</t>
  </si>
  <si>
    <t>{054-003-834} Разработка обмоточных проводов из ВТСП-2 для электромагнитных систем нового поколения</t>
  </si>
  <si>
    <t>{054-003-835} Разработка и создание высокопроизводительной опытно-промышленной технологии получения ВТСП слоя Y(Gd)BaCuO с высокой токонесущей способностью методом направленной кристаллизации аморфных покрытий</t>
  </si>
  <si>
    <t>{054-003-836} Разработка и исследование опытно-промышленной технологии получения гидроксида бериллия, оксида бериллия и металлического бериллия с выпуском экспериментальных партий</t>
  </si>
  <si>
    <t>{054-003-837} Исследования по разработке технологии и созданию прокачного жидкостного лазера с диодной накачкой</t>
  </si>
  <si>
    <t>{054-003-838} Разработка лазерной технологии нанесения алмазных покрытий на инструмент в плазме оптического разряда</t>
  </si>
  <si>
    <t>{054-003-839} Разработка и опытно-экспериментальная отработка эффективной технологии производства изотопа бора-10 со степенью обогащения более 96%</t>
  </si>
  <si>
    <t>{054-003-840} Разработка и изготовление опытного образца лазерного комплекса для ликвидации аварийных разливов нефтепродуктов в ледовых условиях Арктики.</t>
  </si>
  <si>
    <t>{054-003-841} Разработка и создание прототипа источника ЭУФ излучения типа LPP на длине волны 6,7 нм для нанолитографии</t>
  </si>
  <si>
    <t>{054-003-842} Разработка генератора, формирующего двуполярные прямоугольные импульсы тока с амплитудой до 3000 А для мобильного комплекса морской электроразведки</t>
  </si>
  <si>
    <t>{054-003-843} Разработка и создание оптической квантовой нейронной сети, предназначенной для анализа больших данных в вирусологии, генетике и других областях в интересах Росатома</t>
  </si>
  <si>
    <t>{054-003-844} Молекулярные димеры в технологии разделения изотопов</t>
  </si>
  <si>
    <t>{054-003-845} Разработка материалов и технологии нанесения биосовместимых покрытий на поверхность металлических имплантатов медицинского назначения</t>
  </si>
  <si>
    <t>{054-003-846} Интеграция между информационными системами Инжинирингового дивизиона Госкорпорации «Росатом» и АО «КОНЦЕРН ТИТАН-2» на пилотном проекте по сооружению АЭС «Пакш-2»</t>
  </si>
  <si>
    <t>{054-003-847} Kilo</t>
  </si>
  <si>
    <t>{054-003-848} Реконструкция термоядерного комплекса ТСП (Этап 2)</t>
  </si>
  <si>
    <t>{054-003-849} Модернизация комплекса материаловедческих исследований активных материалов</t>
  </si>
  <si>
    <t>{054-003-850} Энергосбережение и повышение энергоэффективности 2022-2025 гг.</t>
  </si>
  <si>
    <t>{054-003-851} Техническое перевооружение комплекса «горячих камер» и повышение его функциональности</t>
  </si>
  <si>
    <t>{054-003-852} Реконструкция зданий 124 и 125 с созданием и размещением испытательных стендов для электрореактивных двигателей и для мощного источника нейтронов. Этап 2</t>
  </si>
  <si>
    <t>{054-003-853} Квалификация циркониевого производства АО ЧМЗ компанией CONUAR (Аргентина)</t>
  </si>
  <si>
    <t>{054-003-854} Капитальные ремонты. Капитализируемые затраты АО "ВНИИНМ"</t>
  </si>
  <si>
    <t>{054-003-855} Поставка, монтаж и пуско-наладка автоматической системы пожарной сигнализации и системы оповещения и управления эвакуацией людей при пожаре в зданиях АО "СвердНИИхиммаш"</t>
  </si>
  <si>
    <t>{054-003-856} Модернизация участков дробеструйной обработки и покраски продукции АО "СвердНИИхиммаш"</t>
  </si>
  <si>
    <t>{054-003-857} Приобретение оборудования в области ИТ</t>
  </si>
  <si>
    <t>{054-003-858} Комплекс научно-исследовательских и опытно-конструкторских работ по созданию системы и инфраструктуры разработки новых материалов. Дополнительный объем</t>
  </si>
  <si>
    <t>{054-003-859} Комплекс научно-исследовательских и опытно-конструкторских работ по разработке новых материалов. Дополнительный объем</t>
  </si>
  <si>
    <t>{054-003-860} Комплекс научно-исследовательских и опытно-конструкторских работ по созданию технологий с использованием пучковой энергии. Дополнительный объем</t>
  </si>
  <si>
    <t>{054-003-861} Перевод системы
охлаждения технологического оборудования промплощадок VI-VII
на замкнутую систему охлаждения без использования прудов
охладителей</t>
  </si>
  <si>
    <t>{054-003-862} Создание опытной химико-технологической лаборатории сопровождения хлоридной технологии в корп.501 цеха № 07</t>
  </si>
  <si>
    <t>{054-003-863} Капитальные ремонты АО "ВПО Точмаш"</t>
  </si>
  <si>
    <t>{054-003-864} Обеспечение деятельности интегратора</t>
  </si>
  <si>
    <t>{054-003-865} Услуги по проведению комплексной независимой проверки (дью-дилидженс), оценки активов и юридическому сопровождению сделки по направлению спутниковая связь</t>
  </si>
  <si>
    <t>{054-003-866} Обновление парка автотранспортных средств в 2022-2026 гг.</t>
  </si>
  <si>
    <t>{054-003-867} Увеличение производственных мощностей парка автотранспортных средств для оказания автотранспортных услуг предприятиям инжинирингового дивизиона</t>
  </si>
  <si>
    <t>{054-003-868} Капитальный ремонт АО «ПО ЭХЗ»</t>
  </si>
  <si>
    <t>{054-003-869} Капитальные ремонты АО ЧМЗ</t>
  </si>
  <si>
    <t>{054-003-870} Капитальные ремонты ПАО "КМЗ"</t>
  </si>
  <si>
    <t>{054-003-872} Ремонты АО "ОКБМ Африкантов"</t>
  </si>
  <si>
    <t>{054-003-874} НИОКР ВВЭР-С</t>
  </si>
  <si>
    <t>{054-003-875} Развитие платформы «Digital Atom.Media»</t>
  </si>
  <si>
    <t>{054-003-876} Развитие платформы "Атомсфера"</t>
  </si>
  <si>
    <t>{054-003-877} Развитие платформы "АтомСтарт"</t>
  </si>
  <si>
    <t>{054-003-878} Совершенствование технологий производства литиевой продукции</t>
  </si>
  <si>
    <t>{054-003-879} Замена зенитных фонарей в цехах №1,2  производства АО "СвердНИИхиммаш"</t>
  </si>
  <si>
    <t>{054-003-880} Модернизация инженерных сетей освещения в цехах  №1,2  производства АО "СвердНИИхиммаш"</t>
  </si>
  <si>
    <t>{054-003-881} Развитие пункта приповерхностного захоронения радиоактивных отходов 3 и 4 классов (Томская область, г. Северск)</t>
  </si>
  <si>
    <t>{054-003-882} Развитие пункта приповерхностного захоронения радиоактивных отходов 3 и 4 классов (Челябинская область, г. Озерск)</t>
  </si>
  <si>
    <t>{054-003-883} Приобретение приборов для измерения параметров шероховатости поверхности в производственном подразделении №605 АО «ЗиО-Подольск»</t>
  </si>
  <si>
    <t>{054-003-884} Капитальные ремонты ООО «НПО «Центротех»</t>
  </si>
  <si>
    <t>{054-003-885} Обновление автомобильного транспорта и специальной техники для обеспечения специальных перевозок и технологических процессов в области атомной энергии</t>
  </si>
  <si>
    <t>{054-003-886} Увеличение уставного капитала ООО «Центротех-Инжиниринг» за счет дополнительного вклада единственного участника общества</t>
  </si>
  <si>
    <t>{054-003-887} Приобретение оборудования для реализации дивизиональной системы мониторинга производственно-технологического оборудования</t>
  </si>
  <si>
    <t>{054-003-888} Оценка возможности приобретения АО "РХК" компании ООО "Рюрик" в рамках развития направления МЦО</t>
  </si>
  <si>
    <t>{054-003-889} Продажа урановых активов в пользу компании CGNM UK Ltd.</t>
  </si>
  <si>
    <t>{054-003-890} Разработка технологических и проектных решений ОПП УПТ в АО «СХК»</t>
  </si>
  <si>
    <t>{054-003-891} Разработка ОБИН «Создание производства переработки 70 % фтористоводородной кислоты на площадке АО «СХК»</t>
  </si>
  <si>
    <t>{054-003-892} Капитальный ремонт ОС АО «СХК»</t>
  </si>
  <si>
    <t>{054-003-893} Перспективные проекты развития программы</t>
  </si>
  <si>
    <t>{054-003-895} Мероприятия по улучшению и восстановлению основных средств 
ФГУП «ГХК»</t>
  </si>
  <si>
    <t>{054-003-896} Создание опытно-промышленного производства РЕМИКС-топлива</t>
  </si>
  <si>
    <t>{054-003-898} Оснащение центрального склада АО ОКБ «ГИДРОПРЕСС» погрузо-разгрузочной техникой</t>
  </si>
  <si>
    <t>{054-003-899} Техническое оснащение для выполнения строительных работ на АЭС "Эль-Дабаа"</t>
  </si>
  <si>
    <t>{054-003-900} Оснащение производственной базы АО ОКБ «ГИДРОПРЕСС» оборудованием для изготовления изделий специального назначения для теплообменного оборудования</t>
  </si>
  <si>
    <t>{054-003-901} Техническое оснащение для  выполнения строительных работ на АЭС "Пакш-2"</t>
  </si>
  <si>
    <t>{054-003-902} Создание отраслевого оператора кранового хозяйства</t>
  </si>
  <si>
    <t>{054-003-903} Собственные нужды АО «ТВЭЛ». Приобретение основных средств</t>
  </si>
  <si>
    <t>{054-003-904} «Обеспечение ядерной и радиационной безопасности при выводе из эксплуатации ОИАЭ АО «УЭХК по ФЦП ЯРБ»</t>
  </si>
  <si>
    <t>{054-003-905} Замена лифтового оборудования в 1-ом корпусе и на центральном складе АО ОКБ "ГИДРОПРЕСС"</t>
  </si>
  <si>
    <t>{054-003-906} Выполнение капитальных ремонтов в АО «АЭХК»</t>
  </si>
  <si>
    <t>{054-003-907} Расчетно - экспериментальные исследования блокировки сечения активной зоны вследствие кристаллизации бора в режимах с длительным кипением</t>
  </si>
  <si>
    <t>{054-003-908} Выбор и обоснование материалов для создания жидкосолевого ядерного реактора с целью замыкания ЯТЦ по минор-актинидам от переработки ОЯТ тепловых реакторов. Этап 2022 - 2023 гг.</t>
  </si>
  <si>
    <t>{054-003-909} Разработка термопластичных угленаполненных материалов для производства изделий автоматизированными технологическими процессами</t>
  </si>
  <si>
    <t>{054-003-910} Разработка технологии получения Mo-99 на НОУ-мишенях</t>
  </si>
  <si>
    <t>{054-003-911} Разработка комплекса программного обеспечения для моделирования физических процессов лазерных аддитивных технологий (селективное лазерное плавление и прямая наплавка металла) с целью прогнозирования структуры, свойств материалов, а также получения изделий с заданными свойствами (Виртуальный 3D-принтер. 2.0)</t>
  </si>
  <si>
    <t>{054-003-912} Создание электрохимического генератора на основе микротрубчатых твердооксидных топливных элементов</t>
  </si>
  <si>
    <t>{054-003-913} Разработка новых материалов и инновационных технологий для создания нового поколения твердооксидных электролизеров получения водорода</t>
  </si>
  <si>
    <t>{054-003-914} Разработка технологии и изготовление образца металлогидридной установки для аккумулирования водорода</t>
  </si>
  <si>
    <t>{054-003-915} Разработка технологического комплекса  для выращивания алмазных подложек большого диаметра на основе ВЧ-разряда низкого давления</t>
  </si>
  <si>
    <t>{054-003-916} Разработка комплекса технологического оборудования для производства металлических порошков, используемых в аддитивных технологиях, методом ультразвуковой диспергации</t>
  </si>
  <si>
    <t>{054-003-917} Легирование кремния на РБМК</t>
  </si>
  <si>
    <t>{054-003-918} Производство мед. изотопов на РБМК</t>
  </si>
  <si>
    <t>{054-003-919} Создание пилотного центра стерилизации</t>
  </si>
  <si>
    <t>{054-003-920} Создание Центра высоких технологий</t>
  </si>
  <si>
    <t>{054-003-921} Лопарит</t>
  </si>
  <si>
    <t>{054-003-922} Комплексное развитие высокоскоростной технологии бетонирования и армирования (ВСТБА)</t>
  </si>
  <si>
    <t>{054-003-923} Опытно-экспериментальное обоснование и нормативно-методическое обеспечение применения при строительстве АЭС сталежелезобетонных конструкций с внешним листовым армированием</t>
  </si>
  <si>
    <t>{054-003-924} Расширение номенклатуры применения и аттестация порошковых сварных проволок для ОИАЭ, корректировка действующей нормативной базы применения новых сварочных материалов</t>
  </si>
  <si>
    <t>{054-003-925} Техническое оснащение для выполнения СМР при сооружении подземной исследовательской лаборатории ФГУП "НО РАО"</t>
  </si>
  <si>
    <t>{054-003-926} Развитие и поддержание инфраструктуры, обеспечение безопасности предприятия и выполнения требований законодательства</t>
  </si>
  <si>
    <t>{054-003-927} Замена тепловой изоляции г. Димитровград</t>
  </si>
  <si>
    <t>{054-003-928} Развитие системы управления взаимоотношениями с клиентами (CRM)</t>
  </si>
  <si>
    <t>{054-003-929} Внедрение системы прогнозирования качества продукции и состояния оборудования для обществ Топливной компании на НЗХК</t>
  </si>
  <si>
    <t>{054-003-930} Внедрение системы прогнозирования качества продукции и состояния оборудования для обществ Топливной компании на МСЗ</t>
  </si>
  <si>
    <t>{054-003-931} Внедрение системы прогнозирования качества продукции и состояния оборудования для обществ Топливной компании на СХК</t>
  </si>
  <si>
    <t>{054-003-932} Развитие системы мониторинга и анализа показателей деятельности ТК: реализация аналитических отчётов для ДО ТК</t>
  </si>
  <si>
    <t>{054-003-933} Проект "Интеллектуальный анализ нормативной документации"</t>
  </si>
  <si>
    <t>{054-003-934} Пилотный проект по разработке системы предиктивной аналитики и прогнозирования качества продукции в АО "ПРОРЫВ"</t>
  </si>
  <si>
    <t>{054-003-935} Тиражирование системы распознавания и извлечения данных в казначейских процессах</t>
  </si>
  <si>
    <t>{054-003-936} Проект "Визуальная вибродиагностика"</t>
  </si>
  <si>
    <t>{054-003-937} Цифровая модель высокопоточного исследовательского реактора СМ-3</t>
  </si>
  <si>
    <t>{054-003-938} Разработка системы «Цифровой двойник изделия»</t>
  </si>
  <si>
    <t>{054-003-939} Концессия г. Обнинск</t>
  </si>
  <si>
    <t>{054-003-940} Создание производства термостабильных порошков для автокатализаторов ООО «Экоальянс»</t>
  </si>
  <si>
    <t>{054-003-941} Выкуп системы прогнозирования качества продукции и состояния оборудования у АО «ТВЭЛ»</t>
  </si>
  <si>
    <t>{054-003-942} Разработка технологии производства стронция и его соединений в АО ЧМЗ</t>
  </si>
  <si>
    <t>{054-003-943} Создание критической сборки</t>
  </si>
  <si>
    <t>{054-003-944} Проект B-CB1-15 «Создание отраслевой системы дистанционного мониторинга строительства»</t>
  </si>
  <si>
    <t>{054-003-945} Разработка и опытная апробация технологии дистанционной лазерной резки газодиффузионного оборудования разделительного производства</t>
  </si>
  <si>
    <t>{054-003-947} Разработка научно-практических основ создания наноструктурированной мембраны с рекордно высокой и управляемой протонной проводимостью для низкотемпературных топливных элементов</t>
  </si>
  <si>
    <t>{054-003-949} Капитальные ремонты</t>
  </si>
  <si>
    <t>{054-003-950} Жидкое биотопливо</t>
  </si>
  <si>
    <t>{054-003-951} Твердое биотопливо</t>
  </si>
  <si>
    <t>{054-003-952} Направление Аммиак</t>
  </si>
  <si>
    <t>{054-003-954} Приобретение ледокола «Aurora Australis» и модернизация  в круизное судно вместимостью до 123 человек</t>
  </si>
  <si>
    <t>{054-003-955} Строительство завода по выращиванию молоди осетровых рыб на реке Иртыш Тобольский район Тюменской области</t>
  </si>
  <si>
    <t>{054-003-957} Покупка и реализация активов Буденовское 6-7</t>
  </si>
  <si>
    <t>{054-003-958} Разработка базовых технических средств для периодического и эпизодического радиационного контроля центров ядерных технологий и АЭС</t>
  </si>
  <si>
    <t>{054-003-959} Цифровые проекты АО "ДАЛУР"</t>
  </si>
  <si>
    <t>{054-003-960} Внедрение информационной системы анализа данных и аналитической отчетности для нужд АО «РИР"</t>
  </si>
  <si>
    <t>{054-003-961} Разработка и запуск в эксплуатацию интернет-сайта АО «РИР»</t>
  </si>
  <si>
    <t>{054-003-963} Типовая архитектура проекта сооружения ОИАЭ</t>
  </si>
  <si>
    <t>{054-003-965} Создание корпоративной информационной системы цифровой подготовки к выводу из эксплуатации ОИАЭ.</t>
  </si>
  <si>
    <t>{054-003-966} Оснащение испытательной лаборатории водно-химических режимов АЭС</t>
  </si>
  <si>
    <t>{054-003-967} «Разработка и изготовление ТГС-1200 модернизированного для производства колен для ГЦТ парогенератора АЭС и изделий для тепловой энергетики»</t>
  </si>
  <si>
    <t>{054-003-968} Разработка технического проекта ОПЭБ в арктическом исполнении на базе РИТМ-400М</t>
  </si>
  <si>
    <t>{054-003-970} "Обеспечение ПБ"
Выполнение мероприятий по обеспечению пожарной безопасности АО "Красная Звезда"</t>
  </si>
  <si>
    <t>{054-003-972} Разработка ТЭО на Опытно-экспериментальный климатический комплекс (ОЭКК)</t>
  </si>
  <si>
    <t>{054-003-973} Серия исследований взаимодействия купольных комплексов сверх
больших диаметров с окружающей средой на основе математических
иммитационных моделей (цифровых двойников)</t>
  </si>
  <si>
    <t>{054-003-974} Серия аналитических и маркетинговых исследований по оценке потребительских качеств продуктовой линейки проекта «Доступная Арктика» (ПДА) и прогнозированию рыночной среды</t>
  </si>
  <si>
    <t>{054-003-975} Создание Опытно-экспериментального климатического комплекса
(ОЭКК)»</t>
  </si>
  <si>
    <t>{054-003-976} Консолидация активов ИТС</t>
  </si>
  <si>
    <t>{054-003-977} Разработка технологии высокотемпературного пиролиза медицинских отходов классов опасности «Б» и «В» по СанПиН 2.1.3684-21</t>
  </si>
  <si>
    <t>{054-003-978} Создание локального вычислительного кластера</t>
  </si>
  <si>
    <t>{054-003-979} Создание и оснащение учебного класса АО "ВНИИАЭС" по методам предотвращения ошибок персонала</t>
  </si>
  <si>
    <t>{054-003-980} Автоматизация процесса контрактации (от поиска заказчика до заключения договора)</t>
  </si>
  <si>
    <t>{054-003-981} ERP Т2: Цифровизация основных процессов и корпоративных функций</t>
  </si>
  <si>
    <t>{054-003-982} Проведение ремонтных работ зданий, инженерной инфраструктуры и оборудования АО «НПО «ЦНИИТМАШ»</t>
  </si>
  <si>
    <t>{054-003-983} Предварительные работы и получение стартовых референций, необходимых для контрактации по компоненту «Переработка ОЯТ зарубежных АЭС с фракционированием ВАО» продуктового направления «Сбалансированный ЯТЦ»</t>
  </si>
  <si>
    <t>{054-003-984} Развитие перспективной повестки сотрудничества в Южной Азии</t>
  </si>
  <si>
    <t>{054-003-985} СП в Иордании</t>
  </si>
  <si>
    <t>{054-003-986} Создание и пилотное внедрение информационной системы Управление Безопасностью Производственной Деятельности Топливной компании» (ИС УБПД ТК)</t>
  </si>
  <si>
    <t>{054-003-987} Создание метрологической службы в филиале АО "РИР" в г. Новоуральске</t>
  </si>
  <si>
    <t>{054-003-988} Замена котла № 12 ТЭЦ филиала АО «РИР» в г. Новоуральске</t>
  </si>
  <si>
    <t>{054-003-989} Система аварийной сигнализации о возникновении самоподдерживающейся цепной реакции</t>
  </si>
  <si>
    <t>{054-003-990} Эталонные средства измерений, аттестация полей физических установок</t>
  </si>
  <si>
    <t>{054-003-991} Оборудование многоквартирных жилых домов интеллектуальной системой учёта в границах зоны деятельности ООО "РЭК"</t>
  </si>
  <si>
    <t>{054-003-992} Разработка Единых отраслевых методических указаний по шифровальной работе Госкорпорации "Росатом"</t>
  </si>
  <si>
    <t>{054-003-993} Импортозамещение ИС проектирования. Система управления инженерными данными</t>
  </si>
  <si>
    <t>{054-003-994} Импортозамещение ИС проектирования. Системы автоматизированного проектирования.</t>
  </si>
  <si>
    <t>{054-003-996} Создание информационной системы оперативного управления производством в АО «МСЗ» и АО «ВПО «Точмаш» (базовая функциональность)</t>
  </si>
  <si>
    <t>{054-003-998} Создание  тиражируемой платформы по цифровизации производств РСК в АО «ПО «ЭХЗ»</t>
  </si>
  <si>
    <t>{054-003-999} Поддержание функционирования энергокомплекса в г. Краснокаменске - энергокомплекс ПАО "ППГХО" в части электрических и тепловых сетей, сетей водоснабжения и канализации</t>
  </si>
  <si>
    <t>{054-004-000} Капитальные ремонты АО ОКБ "ГИДРОПРЕСС"</t>
  </si>
  <si>
    <t>{054-004-003} НИОКР по конструированию и обоснованию безопасности АПУ ИЯУ МБИР</t>
  </si>
  <si>
    <t>{054-004-006} Сервис АЭС за рубежом</t>
  </si>
  <si>
    <t>{054-004-009} Приобретение движимого имущества на ТВК</t>
  </si>
  <si>
    <t>{054-004-010} Литиевые инициативы АО "Ураниум Уан Груп"</t>
  </si>
  <si>
    <t>{054-004-012} Переработка золошлаковых материалов (2-й этап)</t>
  </si>
  <si>
    <t>{054-004-013} Материально технологическое оснащение термическим оборудованием для выполнения комплекса инновационных работ по перспективным 
РУ с ЖМТ типа БРЕСТ-ОД-300 и БР-1200 и действующим РУ типа ВВЭР</t>
  </si>
  <si>
    <t>{054-004-014} Расширение и модернизация Аттестационного центра АО «НПО «ЦНИИТМАШ». Этап 3</t>
  </si>
  <si>
    <t>{054-004-015} Модернизация и оснащение лаборатории радиационной дефектоскопии АО «НПО «ЦНИИТМАШ»</t>
  </si>
  <si>
    <t>{054-004-024} Проработка возможности и условий приобретения группы компании OGS</t>
  </si>
  <si>
    <t>{066-000-003} Развитие изотопного бизнеса АО "ПО ЭХЗ"</t>
  </si>
  <si>
    <t>{066-000-004} Далур</t>
  </si>
  <si>
    <t>{066-000-009} Программа по созданию производства композитных материалов в дивизионе ПМиТ</t>
  </si>
  <si>
    <t>{066-000-011} Хиагда</t>
  </si>
  <si>
    <t>{066-000-012} Ветроэнергетика</t>
  </si>
  <si>
    <t>{066-000-015} Создание мощностей АО «АЭМ-технологии» под программу 4 блока</t>
  </si>
  <si>
    <t>{066-000-019} Создание и внедрение информационной системы управления жизненным циклом изделий для обеспечения единой точки консолидации процессов конструирования и производства</t>
  </si>
  <si>
    <t>{066-000-021} Развитие и поддержание инфраструктуры, обеспечение безопасности предприятия и выполнения требований законодательства</t>
  </si>
  <si>
    <t>{066-000-022} Развитие и поддержание инфраструктуры, обеспечение безопасности предприятия и выполнения требований законодательства</t>
  </si>
  <si>
    <t>{066-000-023} Развитие и поддержание инфраструктуры, обеспечение безопасности предприятия и выполнения требований законодательства</t>
  </si>
  <si>
    <t>{066-000-024} Техническое перевооружение основного производства</t>
  </si>
  <si>
    <t>{066-000-025} Развитие и поддержание инфраструктуры, обеспечения безопасности предприятия и выполнение требований законодательства</t>
  </si>
  <si>
    <t>{066-000-026} Развитие и поддержание инфраструктуры, обеспечение безопасности предприятия и выполнения требований законодательства</t>
  </si>
  <si>
    <t>{066-000-027} Развитие и поддержание инфраструктуры, обеспечение безопасности предприятия и выполнения требований законодательства</t>
  </si>
  <si>
    <t>{066-000-028} Развитие и поддержание инфраструктуры, обеспечение безопасности предприятия и выполнения требований законодательства</t>
  </si>
  <si>
    <t>{066-000-029} Техническое перевооружение основного производства</t>
  </si>
  <si>
    <t>{066-000-030} Развитие и поддержание инфраструктуры, обеспечение безопасности предприятия и выполнения требований законодательства</t>
  </si>
  <si>
    <t>{066-000-031} Развитие и поддержание инфраструктуры, обеспечение безопасности предприятия и выполнения требований законодательства</t>
  </si>
  <si>
    <t>{066-000-032} Техническое перевооружение основного производства</t>
  </si>
  <si>
    <t>{066-000-033} Развитие и поддержание инфраструктуры, обеспечение безопасности предприятия и выполнения требований законодательства</t>
  </si>
  <si>
    <t>{066-000-034} Обеспечение ядерной и радиационной безопасности (мероприятия связанные с реализацией ФЦП)</t>
  </si>
  <si>
    <t>{066-000-035} Развитие и поддержание инфраструктуры, обеспечение безопасности предприятия и выполнения требований законодательства</t>
  </si>
  <si>
    <t>{066-000-037} АСУ ТП и Электротехника</t>
  </si>
  <si>
    <t>{066-000-044} Сквозные цифровые технологии и управление данными</t>
  </si>
  <si>
    <t>{066-000-046} Цифровое импортозамещение</t>
  </si>
  <si>
    <t>{066-000-051} Информационная безопасность</t>
  </si>
  <si>
    <t>{066-000-058} Развитие бизнеса "Электротехника" на атомном рынке</t>
  </si>
  <si>
    <t>{066-000-065} Системы накопления энергии</t>
  </si>
  <si>
    <t>{066-000-067} Модернизация производственных участков ФГУП "ГХК" и АО "СХК" для изготовления 6-ти ТВС-2М с РЕМИКС-топливом для ВВЭР-1000</t>
  </si>
  <si>
    <t>{066-000-069} Международный оператор логистических услуг</t>
  </si>
  <si>
    <t>{066-000-070} Программа по внедрению отраслевой системы комплексного управления стоимостью и сроками (Программа TCM NC)</t>
  </si>
  <si>
    <t>{066-000-073} Продуктовая программа по выводу из эксплуатации ЯРОО</t>
  </si>
  <si>
    <t>{066-000-075} Глобальные инициативы по развитию кадрового потенциала в рамках Видения 2030 Госкорпорации «Росатом»</t>
  </si>
  <si>
    <t>{066-000-077} Развитие цифровых продуктов ТК</t>
  </si>
  <si>
    <t>{066-000-094} Международный экспериментальный термоядерный реактор ИТЭР</t>
  </si>
  <si>
    <t>{066-000-096} Стратегическая программа «Золотодобыча»</t>
  </si>
  <si>
    <t>{066-000-097} ВИЭ – зарубежные рынки</t>
  </si>
  <si>
    <t>{066-000-099} «Цифровые продукты и маркетинг»</t>
  </si>
  <si>
    <t>{066-000-100} Инфраструктура Умного города</t>
  </si>
  <si>
    <t>{S01-001-001} Балаковская АЭС/РАО ЯОТ/ячейки ХРАО</t>
  </si>
  <si>
    <t>{S01-001-002} Балаковская АЭС/ПСЭ/блок №1</t>
  </si>
  <si>
    <t>{S01-001-003} Балаковская АЭС/ПСЭ/ОРУ</t>
  </si>
  <si>
    <t>{S01-001-004} Балаковская АЭС/ПСЭ/блок №2</t>
  </si>
  <si>
    <t>{S01-001-005} Балаковская АЭС/ПСЭ/блок №3</t>
  </si>
  <si>
    <t>{S01-001-006} Балтийская АЭС/Ввод/блок 1</t>
  </si>
  <si>
    <t>{S01-001-007} Балтийская АЭС/Ввод/блок 2</t>
  </si>
  <si>
    <t>{S01-001-008} Строительство Башкирской атомной станции</t>
  </si>
  <si>
    <t>{S01-001-009} Белоярская АЭС/ПСЭ/блок №3</t>
  </si>
  <si>
    <t>{S01-001-010} Белоярская АЭС/Ввод/блок 4 БН-800</t>
  </si>
  <si>
    <t>{S01-001-011} Белоярская АЭС/Вывод/блок 3</t>
  </si>
  <si>
    <t>{S01-001-012} Билибинская АЭС/РАО ЯОТ/БВ-4</t>
  </si>
  <si>
    <t>{S01-001-013} Билибинская АЭС/ПСЭ/БМК</t>
  </si>
  <si>
    <t>{S01-001-014} БилАЭС/Вывод/блок 1</t>
  </si>
  <si>
    <t>{S01-001-015} БилАЭС/Вывод/блок 2</t>
  </si>
  <si>
    <t>{S01-001-016} БилАЭС/Вывод/блок 3</t>
  </si>
  <si>
    <t>{S01-001-017} БилАЭС/Вывод/блок 4</t>
  </si>
  <si>
    <t>{S01-001-018} Калининская АЭС/ПСЭ/блок №1</t>
  </si>
  <si>
    <t>{S01-001-019} Калининская АЭС/ПСЭ/блок №2</t>
  </si>
  <si>
    <t>{S01-001-020} Калининская АЭС/Ввод/блок 4</t>
  </si>
  <si>
    <t>{S01-001-021} Кольская АЭС/Вывод/блок 1</t>
  </si>
  <si>
    <t>{S01-001-022} Кольская АЭС/Вывод/блок 2</t>
  </si>
  <si>
    <t>{S01-001-023} Кольская АЭС/ПСЭ/блок 1</t>
  </si>
  <si>
    <t>{S01-001-024} Кольская АЭС/ПСЭ/блок 2</t>
  </si>
  <si>
    <t>{S01-001-025} Кольская АЭС/ПСЭ/блок №3</t>
  </si>
  <si>
    <t>{S01-001-026} Кольская АЭС/ПСЭ/блок №4</t>
  </si>
  <si>
    <t>{S01-001-027} Курская АЭС/РАО ЯОТ/ХОЯТ/Пристрой</t>
  </si>
  <si>
    <t>{S01-001-028} Курская АЭС/РАО ЯОТ/Полигон хранения</t>
  </si>
  <si>
    <t>{S01-001-029} Курская АЭС/РАО ЯОТ/площадка УКХ</t>
  </si>
  <si>
    <t>{S01-001-030} Курская АЭС/РАО ЯОТ/ХТРО-III</t>
  </si>
  <si>
    <t>{S01-001-031} Курская АЭС/РАО ЯОТ/КП РАО</t>
  </si>
  <si>
    <t>{S01-001-032} Курская АЭС/ПСЭ/блок №2</t>
  </si>
  <si>
    <t>{S01-001-033} Курская АЭС/ПСЭ/блок №3</t>
  </si>
  <si>
    <t>{S01-001-034} Курская АЭС/ПСЭ/блок №4</t>
  </si>
  <si>
    <t>{S01-001-035} Курская АЭС-2/блок 1</t>
  </si>
  <si>
    <t>{S01-001-036} Курская АЭС-2/блок 2</t>
  </si>
  <si>
    <t>{S01-001-037} Курская АЭС/вывод/блок 1</t>
  </si>
  <si>
    <t>{S01-001-038} Курская АЭС/вывод/блок 2</t>
  </si>
  <si>
    <t>{S01-001-039} ЛАЭС/Вывод/блок 1</t>
  </si>
  <si>
    <t>{S01-001-040} ЛАЭС/Вывод/блок 2</t>
  </si>
  <si>
    <t>{S01-001-041} ЛАЭС/Вывод/блок 3</t>
  </si>
  <si>
    <t>{S01-001-042} ЛАЭС/Вывод/блок 4</t>
  </si>
  <si>
    <t>{S01-001-043} Ленинградская АЭС/ПСЭ/блок №4</t>
  </si>
  <si>
    <t>{S01-001-044} Ленинградская АЭС/РАО ЯОТ/ХОЯТ</t>
  </si>
  <si>
    <t>{S01-001-045} Ленинградская АЭС/РАО ЯОТ/КП РАО</t>
  </si>
  <si>
    <t>{S01-001-046} ЛАЭС-2/Ввод/блок 1</t>
  </si>
  <si>
    <t>{S01-001-047} ЛАЭС-2/Ввод/блок 2</t>
  </si>
  <si>
    <t>{S01-001-048} ЛАЭС-2/Ввод/блок 3</t>
  </si>
  <si>
    <t>{S01-001-049} ЛАЭС-2/Ввод/блок 4</t>
  </si>
  <si>
    <t>{S01-001-050} Нижегородская АЭС/Ввод/блок 1</t>
  </si>
  <si>
    <t>{S01-001-051} Нововоронежская АЭС/ПСЭ/блок №5</t>
  </si>
  <si>
    <t>{S01-001-052} НВАЭС-2/Ввод/блок 1</t>
  </si>
  <si>
    <t>{S01-001-053} НВАЭС-2/Ввод/блок 2</t>
  </si>
  <si>
    <t>{S01-001-054} НВАЭС/Вывод/блок 3</t>
  </si>
  <si>
    <t>{S01-001-055} НВАЭС/Вывод/блок 4</t>
  </si>
  <si>
    <t>{S01-001-056} Ростовская АЭС/Ввод/блок 2</t>
  </si>
  <si>
    <t>{S01-001-057} Ростовская АЭС/Ввод/блок 3</t>
  </si>
  <si>
    <t>{S01-001-058} Ростовская АЭС/Ввод/блок 4</t>
  </si>
  <si>
    <t>{S01-001-059} Смоленская АЭС/Вывод/блок 1</t>
  </si>
  <si>
    <t>{S01-001-060} Смоленская АЭС/РАО ЯОТ/ХОЯТ/Пристрой</t>
  </si>
  <si>
    <t>{S01-001-061} Смоленская АЭС/РАО ЯОТ/КП РАО</t>
  </si>
  <si>
    <t>{S01-001-062} Смоленская АЭС/РАО ЯОТ/хранилище ТРАО</t>
  </si>
  <si>
    <t>{S01-001-063} Смоленская АЭС/ПСЭ/блок №1</t>
  </si>
  <si>
    <t>{S01-001-064} Смоленская АЭС/ПСЭ/блок №2</t>
  </si>
  <si>
    <t>{S01-001-065} Смоленская АЭС/ПСЭ/блок №3</t>
  </si>
  <si>
    <t>{S01-001-066} Курская АЭС-2/Общестанционные</t>
  </si>
  <si>
    <t>{S01-001-067} ЛАЭС-2/Ввод/2 очередь Общестанционные</t>
  </si>
  <si>
    <t>{S01-001-068} Курская АЭС-2/2 очередь (блок 3)</t>
  </si>
  <si>
    <t>{S01-001-069} Курская АЭС-2/2 очередь (блок 4)</t>
  </si>
  <si>
    <t>{S01-001-070} Курская АЭС-2/2 очередь Общестанционные</t>
  </si>
  <si>
    <t>{S01-001-071} Смоленская АЭС-2/2 очередь (блок 1)</t>
  </si>
  <si>
    <t>{S01-001-072} Смоленская АЭС-2/2 очередь (блок 2)</t>
  </si>
  <si>
    <t>{S01-001-073} Смоленская АЭС-2/2 очередь Общестанционные</t>
  </si>
  <si>
    <t>{S01-002-001} Аргентина/Аргентина/ 1 очередь (блок 1)</t>
  </si>
  <si>
    <t>{S01-002-002} Аргентина/Аргентина/ 1 очередь (блок 2)</t>
  </si>
  <si>
    <t>{S01-002-003} Армения / Мецеаморская АЭС/ 2 блок</t>
  </si>
  <si>
    <t>{S01-002-004} Армения/Мецаморская АЭС/2 очередь (3 блок)</t>
  </si>
  <si>
    <t>{S01-002-005} Вьетнам/Ниньтхуан-1/1 очередь (блок 1)</t>
  </si>
  <si>
    <t>{S01-002-006} Вьетнам/Ниньтхуан-1/1 очередь (блок 2)</t>
  </si>
  <si>
    <t>{S01-002-007} Бангладеш/Руппур/1 очередь (блок 1)</t>
  </si>
  <si>
    <t>{S01-002-008} Бангладеш/Руппур/1 очередь (блок 2)</t>
  </si>
  <si>
    <t>{S01-002-009} Белоруссия/Островецкая АЭС/1 очередь (блок 1)</t>
  </si>
  <si>
    <t>{S01-002-010} Белоруссия/Островецкая АЭС/1 очередь (блок 2)</t>
  </si>
  <si>
    <t>{S01-002-011} Болгария/Белене/1 очередь (блок 1)</t>
  </si>
  <si>
    <t>{S01-002-012} Болгария/Белене/1 очередь (блок 2)</t>
  </si>
  <si>
    <t>{S01-002-013} Болгария / АЭС Козлодуй</t>
  </si>
  <si>
    <t>{S01-002-014} Боливия / Исследовательский реактор (ЦЯИТ)</t>
  </si>
  <si>
    <t>{S01-002-015} Венгрия/Пакш/3 очередь (блок 5)</t>
  </si>
  <si>
    <t>{S01-002-016} Венгрия/Пакш/3 очередь (блок 6)</t>
  </si>
  <si>
    <t>{S01-002-017} Вьетнам / Исследовательский реактор (ЦЯНТ)</t>
  </si>
  <si>
    <t>{S01-002-018} Египет/Аль-Дабаа (блок 1)</t>
  </si>
  <si>
    <t>{S01-002-019} Египет/Аль-Дабаа (блок 2)</t>
  </si>
  <si>
    <t>{S01-002-020} Египет/Аль-Дабаа (блок 3)</t>
  </si>
  <si>
    <t>{S01-002-021} Египет/Аль-Дабаа (блок 4)</t>
  </si>
  <si>
    <t>{S01-002-022} Индия/Куданкулам/1 очередь (блок 1)</t>
  </si>
  <si>
    <t>{S01-002-023} Индия/Куданкулам/1 очередь (блок 2)</t>
  </si>
  <si>
    <t>{S01-002-024} Индия/Куданкулам/2 очередь (блок 3)</t>
  </si>
  <si>
    <t>{S01-002-025} Индия/Куданкулам/2 очередь (блок 4)</t>
  </si>
  <si>
    <t>{S01-002-026} Индия/Куданкулам/3 очередь (блок 5)</t>
  </si>
  <si>
    <t>{S01-002-027} Индия/Куданкулам/3 очередь (блок 6)</t>
  </si>
  <si>
    <t>{S01-002-028} Индия/Харипур/1 очередь (блок 1)</t>
  </si>
  <si>
    <t>{S01-002-029} Индия/Харипур/1 очередь (блок 2)</t>
  </si>
  <si>
    <t>{S01-002-030} Индонезия / Исследовательский реактор</t>
  </si>
  <si>
    <t>{S01-002-031} Иордания/Иордания/1 очередь (блок 1)</t>
  </si>
  <si>
    <t>{S01-002-032} Иордания/Иордания/1 очередь (блок 2)</t>
  </si>
  <si>
    <t>{S01-002-033} Иран/Бушер/1 очередь (блок 1)</t>
  </si>
  <si>
    <t>{S01-002-034} Иран/Бушер/2 очередь (блок 2)</t>
  </si>
  <si>
    <t>{S01-002-035} Иран/Бушер/2 очередь (блок 3)</t>
  </si>
  <si>
    <t>{S01-002-036} Иран/Бушер/блок 4</t>
  </si>
  <si>
    <t>{S01-002-037} Иран/Бушер/блок 5</t>
  </si>
  <si>
    <t>{S01-002-038} Казахстан/Казахстан/ 1 очередь (блок 1)</t>
  </si>
  <si>
    <t>{S01-002-039} Казахстан/Казахстан/ 1 очередь (блок 2)</t>
  </si>
  <si>
    <t>{S01-002-040} Китай/Тяньваньская АЭС/1 очередь (блок 1)</t>
  </si>
  <si>
    <t>{S01-002-041} Китай/Тяньваньская АЭС/1 очередь (блок 2)</t>
  </si>
  <si>
    <t>{S01-002-042} Китай/Тяньваньская АЭС/2 очередь (блок 3)</t>
  </si>
  <si>
    <t>{S01-002-043} Китай/Тяньваньская АЭС/2 очередь (блок 4)</t>
  </si>
  <si>
    <t>{S01-002-044} Китай/БН-800/1 очередь (блок 1)</t>
  </si>
  <si>
    <t>{S01-002-045} Китай/БН-800/1 очередь (блок 2)</t>
  </si>
  <si>
    <t>{S01-002-046} Литва / Игналинская АЭС</t>
  </si>
  <si>
    <t>{S01-002-047} Турция/Аккую/1 очередь (блок 1)</t>
  </si>
  <si>
    <t>{S01-002-048} Турция/Аккую/1 очередь (блок 2)</t>
  </si>
  <si>
    <t>{S01-002-049} Турция/Аккую/2 очередь (блок 3)</t>
  </si>
  <si>
    <t>{S01-002-050} Турция/Аккую/2 очередь (блок 4)</t>
  </si>
  <si>
    <t>{S01-002-051} Украина/Хмельницкая АЭС/2 очередь (блок 3)</t>
  </si>
  <si>
    <t>{S01-002-052} Украина/Хмельницкая АЭС/2 очередь (блок 4)</t>
  </si>
  <si>
    <t>{S01-002-053} Финляндия /Ханхикиви-1 / блок 1</t>
  </si>
  <si>
    <t>{S01-002-054} Чехия/Темелин 3,4/ 2 очередь (блок 3)</t>
  </si>
  <si>
    <t>{S01-002-055} Чехия/Темелин 3,4/ 2 очередь (блок 4)</t>
  </si>
  <si>
    <t>{S01-002-056} Бангладеш/Руппур /1 очередь Общестанционные</t>
  </si>
  <si>
    <t>{S01-002-057} Венгрия/Пакш /3 очередь Общестанционные</t>
  </si>
  <si>
    <t>{S01-002-058} Египет/Аль-Дабаа /Общестанционные</t>
  </si>
  <si>
    <t>{S01-002-059} Иран/Бушер /2 очередь Общестанционные</t>
  </si>
  <si>
    <t>{S01-002-060} Турция/Аккую/2 очередь Общестанционные</t>
  </si>
  <si>
    <t>{S01-002-061} Финляндия /Ханхикиви-1/Общестанционные</t>
  </si>
  <si>
    <t>{S01-002-062} Китай/Тяньваньская АЭС/4 очередь (блок 7)</t>
  </si>
  <si>
    <t>{S01-002-063} Китай/Тяньваньская АЭС/4 очередь (блок 8)</t>
  </si>
  <si>
    <t>{S01-002-064} Китай/Тяньваньская АЭС/4 очередь Общестанционные</t>
  </si>
  <si>
    <t>{S01-002-065} Китай/Сюйдапу/2 очередь (блок 3)</t>
  </si>
  <si>
    <t>{S01-002-066} Китай/Сюйдапу/2 очередь (блок 4)</t>
  </si>
  <si>
    <t>{S01-002-067} Китай/Сюйдапу/2 очередь Общестанционные</t>
  </si>
  <si>
    <t>{S01-002-068} Индия/Куданкулам/2 очередь Общестанционные</t>
  </si>
  <si>
    <t>{S01-002-069} Индия/Куданкулам/3 очередь Общестанционные</t>
  </si>
  <si>
    <t>{S01-002-070} Турция/Аккую/1 очередь Общестанционные</t>
  </si>
  <si>
    <t>{S01-002-071} Узбекистан/блок 1</t>
  </si>
  <si>
    <t>{S01-002-072} Узбекистан/блок 2</t>
  </si>
  <si>
    <t>{S01-002-073} Узбекистан/Общестанционные</t>
  </si>
  <si>
    <t>{S01-002-074} Белоруссия/Островецкая АЭС/1 очередь Общестанционные</t>
  </si>
  <si>
    <t>{S01-003-001} Прочие проекты сооружения АЭС</t>
  </si>
  <si>
    <t>1100</t>
  </si>
  <si>
    <t>Норма прибыли по договору / проекту</t>
  </si>
  <si>
    <t>Остаток незавершенного производства на конец периода</t>
  </si>
  <si>
    <r>
      <t>Нетто в 
тыс. в валюте учета (</t>
    </r>
    <r>
      <rPr>
        <b/>
        <sz val="10"/>
        <color rgb="FFFFFF00"/>
        <rFont val="Arial"/>
        <family val="2"/>
        <charset val="204"/>
      </rPr>
      <t>валюта заполнения ФСД</t>
    </r>
    <r>
      <rPr>
        <b/>
        <sz val="10"/>
        <color indexed="9"/>
        <rFont val="Arial"/>
        <family val="2"/>
        <charset val="204"/>
      </rPr>
      <t>)</t>
    </r>
  </si>
  <si>
    <r>
      <t>НДС в 
тыс. в валюте учета (</t>
    </r>
    <r>
      <rPr>
        <b/>
        <sz val="10"/>
        <color rgb="FFFFFF00"/>
        <rFont val="Arial"/>
        <family val="2"/>
        <charset val="204"/>
      </rPr>
      <t>валюта заполнения ФСД</t>
    </r>
    <r>
      <rPr>
        <b/>
        <sz val="10"/>
        <color indexed="9"/>
        <rFont val="Arial"/>
        <family val="2"/>
        <charset val="204"/>
      </rPr>
      <t>)</t>
    </r>
  </si>
  <si>
    <r>
      <t>Нетто в 
тыс. в валюте учета</t>
    </r>
    <r>
      <rPr>
        <b/>
        <sz val="10"/>
        <color theme="1"/>
        <rFont val="Arial"/>
        <family val="2"/>
        <charset val="204"/>
      </rPr>
      <t xml:space="preserve"> (валюта заполнения ФСД</t>
    </r>
    <r>
      <rPr>
        <b/>
        <sz val="10"/>
        <rFont val="Arial"/>
        <family val="2"/>
        <charset val="204"/>
      </rPr>
      <t>)</t>
    </r>
  </si>
  <si>
    <r>
      <t xml:space="preserve">НДС в </t>
    </r>
    <r>
      <rPr>
        <b/>
        <sz val="10"/>
        <color theme="1"/>
        <rFont val="Arial"/>
        <family val="2"/>
        <charset val="204"/>
      </rPr>
      <t xml:space="preserve">
тыс. в валюте учета (валюта заполнения ФСД</t>
    </r>
    <r>
      <rPr>
        <b/>
        <sz val="10"/>
        <rFont val="Arial"/>
        <family val="2"/>
        <charset val="204"/>
      </rPr>
      <t>)</t>
    </r>
  </si>
  <si>
    <t>Общество с ограниченной ответственностью "Русатом Металлургические технологии"</t>
  </si>
  <si>
    <t>C2=YTD;C1=F_C1;C6=0102</t>
  </si>
  <si>
    <t>C1=F_M0205;C2=YTD;C6=0101</t>
  </si>
  <si>
    <t>C1=F_M0206;C2=YTD;C6=0101</t>
  </si>
  <si>
    <t>C1=F_M0205;C2=YTD;C6=0102;C9=1020</t>
  </si>
  <si>
    <t>C1=F_M0206;C2=YTD;C6=0102;C9=1020</t>
  </si>
  <si>
    <t>C1=F_M0226;C2=YTD;C6=0101</t>
  </si>
  <si>
    <t>C1=F_M0224;C2=YTD;C6=0102;C9=1021</t>
  </si>
  <si>
    <t>C1=F_M0226;C2=YTD;C6=0102;C9=1021</t>
  </si>
  <si>
    <t>F_M0205</t>
  </si>
  <si>
    <t>F_M0206</t>
  </si>
  <si>
    <t>F_M0226</t>
  </si>
  <si>
    <t>Проверка "сумма не заполнена":  
если К1 заполнена, то и К2 не должна быть пустой
если К2 заполнена, то и К1 не должна быть пустой</t>
  </si>
  <si>
    <t>БелАтомСервис</t>
  </si>
  <si>
    <t>ЗАО "БелАтомСервис"</t>
  </si>
  <si>
    <t>ИСТОК</t>
  </si>
  <si>
    <t>АО КИС "ИСТОК"</t>
  </si>
  <si>
    <t>добавлены организации</t>
  </si>
  <si>
    <t>{1120000} Доходы от предоставления в пользование прав на результаты интеллектуальной деятельности (Нетто)</t>
  </si>
  <si>
    <t>{1120001} Доходы от предоставления в пользование прав на результаты интеллектуальной деятельности (НДС)</t>
  </si>
  <si>
    <t>{3120000} НДС на доходы от предоставления в пользование прав на результаты интеллектуальной деятельности</t>
  </si>
  <si>
    <t>U</t>
  </si>
  <si>
    <t>V</t>
  </si>
  <si>
    <t>Проверка форматов дат</t>
  </si>
  <si>
    <t>Фин_договоры столбец G</t>
  </si>
  <si>
    <t>Фин_договоры столбец K</t>
  </si>
  <si>
    <t>Фин_договоры столбец L</t>
  </si>
  <si>
    <t>Фин_договоры столбец N</t>
  </si>
  <si>
    <t>Фин_договоры столбец AA</t>
  </si>
  <si>
    <t>Фин_договоры столбец AB</t>
  </si>
  <si>
    <t>Фин_договоры столбец AC</t>
  </si>
  <si>
    <t>Фин_договоры столбец AD</t>
  </si>
  <si>
    <t>Долгосроч_договоры столбец H</t>
  </si>
  <si>
    <t>Долгосроч_договоры столбец U</t>
  </si>
  <si>
    <t>Долгосроч_договоры столбец V</t>
  </si>
  <si>
    <t>столбец G</t>
  </si>
  <si>
    <t>столбец K</t>
  </si>
  <si>
    <t>столбец L</t>
  </si>
  <si>
    <t>столбец N</t>
  </si>
  <si>
    <t>столбец AA</t>
  </si>
  <si>
    <t>столбец AB</t>
  </si>
  <si>
    <t>столбец AC</t>
  </si>
  <si>
    <t>столбец AD</t>
  </si>
  <si>
    <t>столбец H</t>
  </si>
  <si>
    <t>столбец U</t>
  </si>
  <si>
    <t>столбец V</t>
  </si>
  <si>
    <t>58_02_движ столбец J</t>
  </si>
  <si>
    <t>столбец J</t>
  </si>
  <si>
    <t>столбец M</t>
  </si>
  <si>
    <t>столбец F</t>
  </si>
  <si>
    <t>58_04 столбец K</t>
  </si>
  <si>
    <t>ДП_полученные столбец G</t>
  </si>
  <si>
    <t>ДП_полученные столбец M</t>
  </si>
  <si>
    <t>ДП_полученные столбец N</t>
  </si>
  <si>
    <t>ДП_выданные столбец G</t>
  </si>
  <si>
    <t>ДП_выданные столбец L</t>
  </si>
  <si>
    <t>ДП_выданные столбец M</t>
  </si>
  <si>
    <t>ОКХ столбец G</t>
  </si>
  <si>
    <t>ОКХ столбец H</t>
  </si>
  <si>
    <t>60,62,63,76_контр столбец H</t>
  </si>
  <si>
    <t>60,62,63,76_контр столбец L</t>
  </si>
  <si>
    <t>60,62,63,76_контр столбец M</t>
  </si>
  <si>
    <t>Налог_пров столбец F</t>
  </si>
  <si>
    <t>75_01_Неденеж столбец H</t>
  </si>
  <si>
    <t>86 столбец G</t>
  </si>
  <si>
    <t>Зарубежная_выручка столбец M</t>
  </si>
  <si>
    <t>Справочно: Баланс (стр. 1160 и 1151)
(остаток на начало периода)</t>
  </si>
  <si>
    <t>_9023_60</t>
  </si>
  <si>
    <t>_9023_62</t>
  </si>
  <si>
    <t>_9023</t>
  </si>
  <si>
    <t xml:space="preserve">Контроль на соответствие аналитики выпадающим спискам:
Счета 60, 62, 76 и аналитики "Задолженность / Аванс 10023"
</t>
  </si>
  <si>
    <t>Контроль на соответствие аналитики выпадающим спискам:
Счета 60, 62, 76 и аналитики "Задолженность / Аванс 10023"</t>
  </si>
  <si>
    <t>C2=;C1=F_C1;C6=0102;C9=1015</t>
  </si>
  <si>
    <t>СП Квант</t>
  </si>
  <si>
    <t>ЕЖЕМЕСЯЧНО</t>
  </si>
  <si>
    <t>КВАРТАЛЬНО</t>
  </si>
  <si>
    <t>Периметр ВГО контрагентов для КФИ</t>
  </si>
  <si>
    <t>ЦФО-2</t>
  </si>
  <si>
    <t xml:space="preserve">символа №, слов: «контракт», «договор» - не может быть в номере договора
</t>
  </si>
  <si>
    <t>символа №, слов: «контракт», «договор» - не может быть в номере договора</t>
  </si>
  <si>
    <t>ИТКОЛ-сервеинг-ДУ</t>
  </si>
  <si>
    <t xml:space="preserve">Если К1 "{20700} Оценочные обязательства по налоговым искам/претензиям" и сумма в К7 отрицательная (начисление), то в К2 надо выбирать 99, а если сумма положительная, то в К2 должен быть Х
</t>
  </si>
  <si>
    <t>Если К1 "{20700} Оценочные обязательства по налоговым искам/претензиям" и сумма в К7 отрицательная (начисление), то в К2 надо выбирать 99, а если сумма положительная, то в К2 должен быть Х</t>
  </si>
  <si>
    <r>
      <t xml:space="preserve">Общая исходная сумма договора
</t>
    </r>
    <r>
      <rPr>
        <b/>
        <i/>
        <sz val="8"/>
        <color indexed="9"/>
        <rFont val="Arial"/>
        <family val="2"/>
        <charset val="204"/>
      </rPr>
      <t xml:space="preserve">(в валюте договора)
</t>
    </r>
    <r>
      <rPr>
        <b/>
        <sz val="10"/>
        <color indexed="9"/>
        <rFont val="Arial"/>
        <family val="2"/>
        <charset val="204"/>
      </rPr>
      <t>включая НДС</t>
    </r>
  </si>
  <si>
    <t>Заряд</t>
  </si>
  <si>
    <t>ООО "ЗаряД"</t>
  </si>
  <si>
    <t>Europium Pharma</t>
  </si>
  <si>
    <t>Europium Pharma S.r.l.</t>
  </si>
  <si>
    <t>Атом-ТОР-Новоуральск</t>
  </si>
  <si>
    <t xml:space="preserve">ООО "Атом-ТОР-Новоуральск" </t>
  </si>
  <si>
    <t>ГПР</t>
  </si>
  <si>
    <t>АО "Гринатом простые решения"</t>
  </si>
  <si>
    <t>РАМ-Э</t>
  </si>
  <si>
    <t>ООО "РАМ-Э"</t>
  </si>
  <si>
    <t>Русатом Пултрузия</t>
  </si>
  <si>
    <t>ООО «Русатом Пултрузия»</t>
  </si>
  <si>
    <t>Специальная энергия</t>
  </si>
  <si>
    <t>ООО "Специальная энергия"</t>
  </si>
  <si>
    <t>РВГ-ТП</t>
  </si>
  <si>
    <t>РусАТ</t>
  </si>
  <si>
    <t>SVETOCH</t>
  </si>
  <si>
    <t xml:space="preserve">SVETOCH LLP </t>
  </si>
  <si>
    <t>Общество с ограниченной ответственностью ИТКОЛ-сервеинг" Доверительный управляющий</t>
  </si>
  <si>
    <t>СП Акбастау</t>
  </si>
  <si>
    <t>не применимо</t>
  </si>
  <si>
    <t>АО "Совместное Предприятие "Акбастау"</t>
  </si>
  <si>
    <t>Чукотатомэнерго</t>
  </si>
  <si>
    <t>АО "Чукотатомэнерго"</t>
  </si>
  <si>
    <t>РЦОТ Эра</t>
  </si>
  <si>
    <t>ООО "РЦОТ "Эра"</t>
  </si>
  <si>
    <t>Русатом Металлургические технологии</t>
  </si>
  <si>
    <t>UrAsia Energy Holdings</t>
  </si>
  <si>
    <t>UrAsia Energy Holdings Ltd. s.a.r.l.</t>
  </si>
  <si>
    <t>UrAsia London Limited</t>
  </si>
  <si>
    <t>Deanco</t>
  </si>
  <si>
    <t>Deanco Limited</t>
  </si>
  <si>
    <t>Киг Астана</t>
  </si>
  <si>
    <t>ТОО "Казахстанская инвестиционная группа "Астана"</t>
  </si>
  <si>
    <t>Uranium One Netherlands</t>
  </si>
  <si>
    <t>Uranium One Netherlands B.V.</t>
  </si>
  <si>
    <t>Каратау</t>
  </si>
  <si>
    <t>Uranium One Rotterdam</t>
  </si>
  <si>
    <t>Uranium One Rotterdam B.V.</t>
  </si>
  <si>
    <t>СП ЮГХК</t>
  </si>
  <si>
    <t>ТОО "Совместное предприятие "Южная горно-химическая компания"</t>
  </si>
  <si>
    <t>Uranium One Utrecht</t>
  </si>
  <si>
    <t>Uranium One Utrecht B.V.</t>
  </si>
  <si>
    <t>СКУ-атом</t>
  </si>
  <si>
    <t>АРАКО</t>
  </si>
  <si>
    <t xml:space="preserve">Организации Госкорпорации «Росатом», 
осуществляют сверку в Портале ВГО.
</t>
  </si>
  <si>
    <t xml:space="preserve">Организации Госкорпорации «Росатом», 
 предоставляют данные для подготовки консолидированной (финансовой) отчетности.
</t>
  </si>
  <si>
    <t>{03008} Ядерное приборостроение</t>
  </si>
  <si>
    <t>2022 год</t>
  </si>
  <si>
    <r>
      <rPr>
        <b/>
        <u/>
        <sz val="10"/>
        <color indexed="56"/>
        <rFont val="Arial"/>
        <family val="2"/>
        <charset val="204"/>
      </rPr>
      <t>список 1010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</si>
  <si>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 xml:space="preserve">Пояснительная записка
к проекту распоряжения «Об актуализации периметра консолидации Госкорпорации «Росатом» на 2022 год»
</t>
  </si>
  <si>
    <t>{0080_~} Создание и приобретение инвестиционной недвижимости</t>
  </si>
  <si>
    <t>{100_~} Создание и приобретение отдельных объектов основных средств, предназначенных для сдачи в финансовую аренду</t>
  </si>
  <si>
    <t>{0101_~} Приобретение права пользования активом</t>
  </si>
  <si>
    <t>ЕПС 2022</t>
  </si>
  <si>
    <t xml:space="preserve">Добавлены :
100 Создание и приобретение отдельных объектов основных средств, предназначенных для сдачи в финансовую аренду Добавить
0101 Приобретение права пользования активом Добавить
Изменена:
0080 Создание и приобретение отдельных объектов основных средств, предназначенных для сдачи в аренду Изменить
</t>
  </si>
  <si>
    <t>{1600} Основные средства стоимостью в пределах лимита</t>
  </si>
  <si>
    <t>{1_1600} ТМЦ приобретенные: Основные средства стоимостью в пределах лимита</t>
  </si>
  <si>
    <t>{2_1600} ТМЦ собственного производства: Основные средства стоимостью в пределах лимита</t>
  </si>
  <si>
    <t xml:space="preserve">Добавлены :
 {1_1600} ТМЦ приобретенные: Основные средства стоимостью в пределах лимита
 {2_1600} ТМЦ собственного производства: Основные средства стоимостью в пределах лимита
</t>
  </si>
  <si>
    <r>
      <rPr>
        <b/>
        <u/>
        <sz val="10"/>
        <color indexed="56"/>
        <rFont val="Arial"/>
        <family val="2"/>
        <charset val="204"/>
      </rPr>
      <t>список 1212 изменен список аналитик</t>
    </r>
    <r>
      <rPr>
        <u/>
        <sz val="10"/>
        <color indexed="56"/>
        <rFont val="Arial"/>
        <family val="2"/>
        <charset val="204"/>
      </rPr>
      <t xml:space="preserve">:
Добавлены :
 {1_1600} ТМЦ приобретенные: Основные средства стоимостью в пределах лимита
 {2_1600} ТМЦ собственного производства: Основные средства стоимостью в пределах лимита
</t>
    </r>
    <r>
      <rPr>
        <sz val="10"/>
        <color indexed="56"/>
        <rFont val="Arial"/>
        <family val="2"/>
        <charset val="204"/>
      </rPr>
      <t xml:space="preserve">
</t>
    </r>
  </si>
  <si>
    <t>{12016000} Основные средства в пределах лимита (пок.)</t>
  </si>
  <si>
    <t>{14080100} Работы (услуги) по изготовлению тепловыделяющих элементов (ТВЭЛ), выполняемые сторонними организациями</t>
  </si>
  <si>
    <t>{14180600} Расходы на организацию питания (КСП)</t>
  </si>
  <si>
    <t>{16016000} Основные средства в пределах лимита (СП)</t>
  </si>
  <si>
    <t>{20010240} Расходы, произведенные в пользу работника, предусмотренные трудовым договором и (или) коллективным договором (кроме пособия за первые 3 дня нетрудоспособности): социальные расходы (ЛНА)</t>
  </si>
  <si>
    <t>{20010270} Единовременное поощрение в связи с награждением работников государственными и правительственными наградами (сумма)</t>
  </si>
  <si>
    <t>{30500110} Оценочные обязательства по выплате вознаграждений по итогам работы за год (корректировка прошлого года) (сумма страховых взносов)</t>
  </si>
  <si>
    <t>{40060000} Амортизация права пользования активом</t>
  </si>
  <si>
    <t>{52370600} Услуги по управлению закупочной деятельностью</t>
  </si>
  <si>
    <t>{52490000} Процентные расходы арендатора (некоммерческая организация)</t>
  </si>
  <si>
    <t>{52500000} Расходы Арендатора от переоценки обязательства по аренде (некоммерческая организация)</t>
  </si>
  <si>
    <t>{1030400} Доходы Арендодателя от выбытия ОС в финансовую аренду</t>
  </si>
  <si>
    <t>{1050100} Доходы от реализации капитальных вложений (нетто)</t>
  </si>
  <si>
    <t>{1050101} Доходы от реализации капитальных вложений (НДС)</t>
  </si>
  <si>
    <t>{1110200} Дох.от реализации инвестиц.недвижимости (нетто)</t>
  </si>
  <si>
    <t>{1110201} Дох.от реализации инвестиц.недвижимости(НДС)</t>
  </si>
  <si>
    <t>{1121001} Доходы от передачи прав на использование товарного знака (нетто)</t>
  </si>
  <si>
    <t>{1121002} Доходы от передачи прав на использование товарного знака (НДС)</t>
  </si>
  <si>
    <t>{1130112} Доходы арендодателя от операционной аренды (фиксированный платеж) (нетто) (объекты движимого имущества)</t>
  </si>
  <si>
    <t>{1130113} Доходы арендодателя от операционной аренды (фиксированный платеж) (нетто) (объекты недвижимого имущества)</t>
  </si>
  <si>
    <t>{1130114} Доходы арендодателя от операционной аренды (переменный платеж) (нетто) (объекты движимого имущества)</t>
  </si>
  <si>
    <t>{1130115} Доходы арендодателя от операционной аренды (переменный платеж) (нетто) (объекты недвижимого имущества)</t>
  </si>
  <si>
    <t>{1130122} Доходы арендодателя от операционной аренды (фиксированные платежи) (НДС) (объекты движимого имущества)</t>
  </si>
  <si>
    <t>{1130123} Доходы арендодателя от операционной аренды (фиксированные платежи) (НДС) (объекты недвижимого имущества)</t>
  </si>
  <si>
    <t>{1130124} Доходы арендодателя от операционной аренды (переменные платежи) (НДС) (объекты движимого имущества)</t>
  </si>
  <si>
    <t>{1130125} Доходы арендодателя от операционной аренды (переменные платежи) (НДС) (объекты недвижимого имущества)</t>
  </si>
  <si>
    <t>{1130212} Доходы арендодателя в виде переменных платежей (объекты движимого имущества) (нетто)</t>
  </si>
  <si>
    <t>{1130213} Доходы арендодателя в виде переменных платежей (объекты недвижимого имущества) (нетто)</t>
  </si>
  <si>
    <t>{1130214} Доходы арендодателя от досрочного выкупа предмета аренды (объекты движимого имущества) (нетто)</t>
  </si>
  <si>
    <t>{1130215} Доходы арендодателя от досрочного выкупа предмета аренды (объекты недвижимого имущества) (нетто)</t>
  </si>
  <si>
    <t>{1130216} Процентный доход по финансовой аренде (объекты движимого имущества)</t>
  </si>
  <si>
    <t>{1130217} Процентный доход по финансовой аренде (объекты недвижимого имущества)</t>
  </si>
  <si>
    <t>{1130218} Доходы от переоценки чистой стоимости инвестиции в аренду (объекты движимого имущества)</t>
  </si>
  <si>
    <t>{1130219} Доходы от переоценки чистой стоимости инвестиции в аренду (объекты недвижимого имущества)</t>
  </si>
  <si>
    <t>{1130220} Прочие доходы арендодателя от финансовой аренды (объекты движимого имущества)</t>
  </si>
  <si>
    <t>{1130221} Прочие доходы арендодателя от финансовой аренды (объекты недвижимого имущества)</t>
  </si>
  <si>
    <t>{1130222} Доходы арендодателя в виде переменных платежей (объекты движимого имущества) (НДС)</t>
  </si>
  <si>
    <t>{1130223} Доходы арендодателя в виде переменных платежей (объекты НЕдвижимого имущества) (НДС)</t>
  </si>
  <si>
    <t>{1130224} Доходы арендодателя от досрочного выкупа предмета аренды (объекты движимого имущества) (НДС)</t>
  </si>
  <si>
    <t>{1130225} Доходы арендодателя от досрочного выкупа предмета аренды (объекты недвижимого имущества) (НДС)</t>
  </si>
  <si>
    <t>{1221000} Доходы в виде сумм восстановленных резервов под снижение стоимости капитальных вложений</t>
  </si>
  <si>
    <t>{1221200} Доходы в виде сумм восстановленных резервов под обесценение основных средств</t>
  </si>
  <si>
    <t>{1221300} Доходы в виде сумм восстановленных резервов под обесценение права пользования активом</t>
  </si>
  <si>
    <t>{1280000} Доходы в виде стоимости ТМЦ, полученных при ликвидации ОС, КВ</t>
  </si>
  <si>
    <t>{1960000} Доходы от компенсации амортизации в уменьшение уставного фонда</t>
  </si>
  <si>
    <t>{1970000} Доходы Арендатора от переоценки обязательства по аренде</t>
  </si>
  <si>
    <t>{2030400} Расходы Арендодателя от выбытия ОС в финансовую аренду</t>
  </si>
  <si>
    <t>{2050100} Остаточная стоимость капитальных вложений</t>
  </si>
  <si>
    <t>{2050200} Прочие расходы от реализации капитальных вложений</t>
  </si>
  <si>
    <t>{2080170} Стоимость векселя в части_x000D_
ранее признанного дисконтного дохода</t>
  </si>
  <si>
    <t>{2110300} Остаточная стоимость инвестиц.недвижимости</t>
  </si>
  <si>
    <t>{2110400} Прочие расходы по реализации инвестиционной недвижимости</t>
  </si>
  <si>
    <t>{2130112} Амортизация ОС, переданных в операционную аренду (объекты движимого имущества)</t>
  </si>
  <si>
    <t>{2130113} Амортизация ОС, переданных в операционную аренду (объекты недвижимого имущества)</t>
  </si>
  <si>
    <t>{2130122} Прочие расходы арендодателя, связанные с операционной арендой (объекты движимого имущества)</t>
  </si>
  <si>
    <t>{2130123} Прочие расходы арендодателя, связанные с операционной арендой (объекты недвижимого имущества)</t>
  </si>
  <si>
    <t>{2130210} Амортизация инвестиционной недвижимости</t>
  </si>
  <si>
    <t>{2130220} Прочие расходы арендодателя, связанные с финансовой арендой (объекты движимого имущества)</t>
  </si>
  <si>
    <t>{2130230} Прочие расходы арендодателя, связанные с финансовой арендой (объекты недвижимого имущества)</t>
  </si>
  <si>
    <t>{2130240} Расходы арендодателя от досрочного выкупа предмета аренды (объекты движимого имущества)</t>
  </si>
  <si>
    <t>{2130250} Расходы арендодателя от досрочного выкупа предмета аренды (объекты недвижимого имущества)</t>
  </si>
  <si>
    <t>{2130260} Расходы от переоценки чистой стоимости инвестиции в аренду (объекты движимого имущества)</t>
  </si>
  <si>
    <t>{2130270} Расходы от переоценки чистой стоимости инвестиции в аренду (объекты недвижимого имущества)</t>
  </si>
  <si>
    <t>{2180600} Процентные расходы по аренде</t>
  </si>
  <si>
    <t>{2180800} Процентные расходы при приобретении запасов/осуществлении КВ на условиях отсрочки (рассрочки) платежа</t>
  </si>
  <si>
    <t>{2181000} Расходы уменьшающие доходы в виде процентов, от размещения инвестиционных кредитных средств</t>
  </si>
  <si>
    <t>{2221000} Расходы на резерв под снижение стоимости капитальных вложений</t>
  </si>
  <si>
    <t>{2221300} Расходы на резервы под обесценение права пользования активом</t>
  </si>
  <si>
    <t>{2280300} Балансовая стоимость списываемых капитальных вложений</t>
  </si>
  <si>
    <t>{2280400} Расходы на ликвидацию списываемых капитальных вложений</t>
  </si>
  <si>
    <t>{2281200} Амортизация ОС, находящихся на консервации</t>
  </si>
  <si>
    <t>{2413000} Выплаты социального характера работникам по КСП</t>
  </si>
  <si>
    <t>{2419100} Расходы социального характера, дополнительная помощь с учетом принятых ЛНА</t>
  </si>
  <si>
    <t>{2970000} Расходы Арендатора от переоценки обязательства по аренде</t>
  </si>
  <si>
    <t>{3110300} НДС на доходы от реализации инвестиционной недвижимости</t>
  </si>
  <si>
    <t>{3121000} НДС на доходы от передачи прав на использование товарного знака</t>
  </si>
  <si>
    <t>{3130120} НДС на доходы арендодателя от операционной аренды (фиксированные платежи) (объекты движимого имущества)</t>
  </si>
  <si>
    <t>{3130130} НДС на доходы арендодателя от операционной аренды (фиксированные платежи) (объекты недвижимого имущества)</t>
  </si>
  <si>
    <t>{3130140} НДС на доходы арендодателя от операционной аренды (переменные платежи)  (объекты движимого имущества)</t>
  </si>
  <si>
    <t>{3130150} НДС на доходы арендодателя от операционной аренды (переменные платежи)  (объекты недвижимого имущества)</t>
  </si>
  <si>
    <t>{3130200} НДС на доходы арендодателя от финансовой аренды</t>
  </si>
  <si>
    <t>{3130220} НДС на доходы арендодателя в виде переменных платежей (объекты движимого имущества)</t>
  </si>
  <si>
    <t>{3130230} НДС на доходы арендодателя в виде переменных платежей (объекты недвижимого имущества)</t>
  </si>
  <si>
    <t>{3130240} НДС на доходы арендодателя от досрочного выкупа предмета аренды (объекты движимого имущества)</t>
  </si>
  <si>
    <t>{3130250} НДС на доходы арендодателя от досрочного выкупа предмета аренды (объекты недвижимого имущества)</t>
  </si>
  <si>
    <t>{1342210} Выручка от финансовой аренды в виде переменных платежей (нетто) (объекты недвижимого имущества)</t>
  </si>
  <si>
    <t>{1342151} Выручка от финансовой аренды (прочее) (НДС) (объекты движимого имущества)</t>
  </si>
  <si>
    <t>{1342220} Выручка от досрочного выкупа предмета аренды (нетто) (объекты недвижимого имущества)</t>
  </si>
  <si>
    <t>{1342121} Выручка от финансовой аренды в виде досрочного выкупа предмета аренды (НДС) (объекты движимого имущества)</t>
  </si>
  <si>
    <t>{1342150} Выручка от финансовой аренды (прочее) (нетто) (объекты движимого имущества)</t>
  </si>
  <si>
    <t>{1342140} Выручка от финансовой аренды в виде переоценки чистой стоимости инвестиции в аренду (объекты движимого имущества)</t>
  </si>
  <si>
    <t>{1342111} Выручка от финансовой аренды в виде переменных платежей (НДС)(объекты движимого имущества) (нетто)</t>
  </si>
  <si>
    <t>{1342231} Выручка от финансовой аренды (прочее) (НДС) (объекты недвижимого имущества)</t>
  </si>
  <si>
    <t>{1342250} Выручка от финансовой аренды (прочее) (нетто) (объекты недвижимого имущества)</t>
  </si>
  <si>
    <t>{1342240} Выручка от финансовой аренды в виде переоценки чистой стоимости инвестиции в аренду (объекты недвижимого имущества)</t>
  </si>
  <si>
    <t>{1342221} Выручка от досрочного выкупа предмета аренды (НДС) (объекты недвижимого имущества)</t>
  </si>
  <si>
    <t>{1342211} Выручка от финансовой аренды в виде переменных платежей (НДС)(объекты недвижимого имущества) (нетто)</t>
  </si>
  <si>
    <t>{1341300} Выручка от операционной аренды (переменные платежи) (нетто) (объекты движимого имущества)</t>
  </si>
  <si>
    <t>{1341301} Выручка от операционной аренды (переменные платежи) (НДС)  (объекты движимого имущества)</t>
  </si>
  <si>
    <t>{1341401} Выручка от операционной аренды  (переменные платежи) (НДС) (объекты недвижимого имущества)</t>
  </si>
  <si>
    <t>{1342120} Выручка от досрочного выкупа предмета аренды (нетто) (объекты движимого имущества)</t>
  </si>
  <si>
    <t>{1342110} Выручка от финансовой аренды в виде переменных платежей (нетто) (объекты движимого имущества)</t>
  </si>
  <si>
    <t>{1341400} Выручка от операционной аренды  (переменные платежи) (нетто) (объекты недвижимого имущества)</t>
  </si>
  <si>
    <r>
      <rPr>
        <b/>
        <u/>
        <sz val="10"/>
        <color indexed="56"/>
        <rFont val="Arial"/>
        <family val="2"/>
        <charset val="204"/>
      </rPr>
      <t>список 2310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</si>
  <si>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{251015} Расчеты с поставщиками по инвестиционной недвижимости</t>
  </si>
  <si>
    <t>{251017} Корректировка расчетов с поставщиками капитальных вложений</t>
  </si>
  <si>
    <t>{251018} Расчеты с поставщиками ТМЦ, используемыми для создания ВНА</t>
  </si>
  <si>
    <t>{252038} Задолженность по арендным платежам (арендатор)</t>
  </si>
  <si>
    <t>{252037} Арендные обязательства</t>
  </si>
  <si>
    <t>{252036} Задолженность по лизинговым платежам</t>
  </si>
  <si>
    <t>{252078} НДС по авансам выданным (предварительный) по арендным платежам Арендные обязательства</t>
  </si>
  <si>
    <t>{252079} НДС по авансам выданным (перерасчетный) по арендным платежам Арендные обязательства</t>
  </si>
  <si>
    <t>{252080} Чистая стоимость инвестиции в аренду</t>
  </si>
  <si>
    <t>{252081} НДС по авансам полученным про арендным платежам (финансовая аренда)</t>
  </si>
  <si>
    <r>
      <rPr>
        <b/>
        <u/>
        <sz val="10"/>
        <color indexed="56"/>
        <rFont val="Arial"/>
        <family val="2"/>
        <charset val="204"/>
      </rPr>
      <t>список 2520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</si>
  <si>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{25} Отложенный налоговый актив по праву пользования арендой</t>
  </si>
  <si>
    <t>{26} Отложенный налоговый актив по арендным обязательствам</t>
  </si>
  <si>
    <t>{27} Отложенный налоговый актив по чистой стоимости инвестиции в аренду</t>
  </si>
  <si>
    <t>{25} Отложенное налоговое обязательство по праву пользования арендой</t>
  </si>
  <si>
    <t>{26} Отложенное налоговое обязательство по арендным обязательствам</t>
  </si>
  <si>
    <t>{27} Отложенное налоговое обязательство по чистой стоимости инвестиции в аренду</t>
  </si>
  <si>
    <t>Проверка восстановления и использования по аналитикам {07} Оборудование к установке и {08} Вложения во внеоборотные активы с аналитикой {1221000} Доходы в виде сумм восстановленных резервов под снижение стоимости капитальных вложений счета 91.01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</si>
  <si>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"{1130112} Доходы арендодателя от операционной аренды (фиксированный платеж) (нетто) (объекты движимого имущества)" (91_01_ВГО) &lt;="{2130112} Амортизация ОС, переданных в операционную аренду (объекты движимого имущества)"(91_02)</t>
  </si>
  <si>
    <t>Проверка соответствия («меньше или равно») сумм по колонке «себестоимость» на листе 91_01_ВГО суммам по колонке «Дт оборот» на  листе 91_02Себестоимость по статье "{1130113} Доходы арендодателя от операционной аренды (фиксированный платеж) (нетто) (объекты недвижимого имущества)" (91_01_ВГО) &lt;="{2130113} Амортизация ОС, переданных в операционную аренду (объекты недвижимого имущества)"(91_02)</t>
  </si>
  <si>
    <t>Проверка начисления по аналитикам {07} Оборудование к установке и {08} Вложения во внеоборотные активы с аналитикой {2221000} Расходы на резерв под снижение стоимости капитальных вложений счета 91.02</t>
  </si>
  <si>
    <t>={3110300} НДС на доходы от реализации инвестиционной недвижимости</t>
  </si>
  <si>
    <t>={3130120} НДС на доходы арендодателя от операционной аренды (фиксированные платежи) (объекты движимого имущества)</t>
  </si>
  <si>
    <t>={3130130} НДС на доходы арендодателя от операционной аренды (фиксированные платежи) (объекты недвижимого имущества)</t>
  </si>
  <si>
    <t>={3130200} НДС на доходы арендодателя от финансовой аренды</t>
  </si>
  <si>
    <t>{1341100} Выручка от операционной аренды (фиксированные платежи) (нетто) (объекты движимого имущества)</t>
  </si>
  <si>
    <t>{1341101} Выручка от операционной аренды (фиксированные платежи) (НДС) (объекты движимого имущества)</t>
  </si>
  <si>
    <t>{1341200} Выручка от операционной аренды (фиксированные платежи) (нетто) (объекты недвижимого имущества</t>
  </si>
  <si>
    <t>{1341201} Выручка от операционной аренды (фиксированные платежи) (НДС) (объекты недвижимого имущества)</t>
  </si>
  <si>
    <t>{1342100} Выручка арендодателя от финансовой аренды (объекты движимого имущества)</t>
  </si>
  <si>
    <t>1 квартал 2022</t>
  </si>
  <si>
    <t>1 полугодие 2022</t>
  </si>
  <si>
    <t>9 месяцев 2022</t>
  </si>
  <si>
    <t>Инвестиционная недвижимость</t>
  </si>
  <si>
    <t>Права пользования активами</t>
  </si>
  <si>
    <t xml:space="preserve">       в т.ч права пользования активами</t>
  </si>
  <si>
    <t>чистая стоимость инвестиции в аренду</t>
  </si>
  <si>
    <t>обязательство по аренде</t>
  </si>
  <si>
    <t>МР 2022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</si>
  <si>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{25} Отложенный налоговый актив по праву пользования арендой
{26} Отложенный налоговый актив по арендным обязательствам
{27} Отложенный налоговый актив по чистой стоимости инвестиции в аренду</t>
    </r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</si>
  <si>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{25} Отложенное налоговое обязательство по праву пользования арендой
{26} Отложенное налоговое обязательство по арендным обязательствам
{27} Отложенное налоговое обязательство по чистой стоимости инвестиции в аренду</t>
    </r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</si>
  <si>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код 1154 Права пользования активами
код 1161 в т.ч права пользования активами
</t>
    </r>
    <r>
      <rPr>
        <b/>
        <sz val="10"/>
        <color indexed="56"/>
        <rFont val="Arial"/>
        <family val="2"/>
        <charset val="204"/>
      </rPr>
      <t>Изменены:</t>
    </r>
    <r>
      <rPr>
        <sz val="10"/>
        <color indexed="56"/>
        <rFont val="Arial"/>
        <family val="2"/>
        <charset val="204"/>
      </rPr>
      <t xml:space="preserve">
код 1160 Инвестиционная недвижимость</t>
    </r>
  </si>
  <si>
    <t>Ответственный сотрудник ОКО за лист ФСД 2022г.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</si>
  <si>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код 1235 чистая стоимость инвестиции в аренду
</t>
    </r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</si>
  <si>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код 1527 обязательство по аренде
</t>
    </r>
  </si>
  <si>
    <t>Баланс (ДТи КТ, в части аренды)</t>
  </si>
  <si>
    <t>Новик Екатерина Михайловна &lt;EMNovik@rosatom.ru&gt;  (499) 949-27-01</t>
  </si>
  <si>
    <t>Uranium One Coöperatief U.A.</t>
  </si>
  <si>
    <r>
      <rPr>
        <b/>
        <sz val="10"/>
        <color indexed="56"/>
        <rFont val="Arial"/>
        <family val="2"/>
        <charset val="204"/>
      </rPr>
      <t>Обновлен список компаний участвующих в сверке ВГО за 2022год</t>
    </r>
    <r>
      <rPr>
        <sz val="10"/>
        <color indexed="56"/>
        <rFont val="Arial"/>
        <family val="2"/>
        <charset val="204"/>
      </rPr>
      <t xml:space="preserve">
СП Акбастау
Специальная энергия
Центротех-Инжиниринг
РВГ-ТП
РМТ
Тэфра
РИР-Сахалин
РУСАТ
SVETOCH
Чукотатомэнерго </t>
    </r>
  </si>
  <si>
    <r>
      <rPr>
        <b/>
        <sz val="10"/>
        <color indexed="56"/>
        <rFont val="Arial"/>
        <family val="2"/>
        <charset val="204"/>
      </rPr>
      <t>Обновлен список компаний участвующих в сверке ВГО за 2022год</t>
    </r>
    <r>
      <rPr>
        <sz val="10"/>
        <color indexed="56"/>
        <rFont val="Arial"/>
        <family val="2"/>
        <charset val="204"/>
      </rPr>
      <t xml:space="preserve">
Uranium One Holding N.V. переименован в  Uranium One Coöperatief U.A.</t>
    </r>
  </si>
  <si>
    <t>ограничить заполнение</t>
  </si>
  <si>
    <r>
      <rPr>
        <b/>
        <sz val="10"/>
        <color indexed="56"/>
        <rFont val="Arial"/>
        <family val="2"/>
        <charset val="204"/>
      </rPr>
      <t>Ограничить заполнение:</t>
    </r>
    <r>
      <rPr>
        <sz val="10"/>
        <color indexed="56"/>
        <rFont val="Arial"/>
        <family val="2"/>
        <charset val="204"/>
      </rPr>
      <t xml:space="preserve">
Присоединение добавочного капитала по выбывшим активам Фонда недвижимого и особо ценного движимого имущества (НКО)</t>
    </r>
  </si>
  <si>
    <t>Счет 01. Аренда</t>
  </si>
  <si>
    <t>Счет 02. Аренда</t>
  </si>
  <si>
    <t>01_Аренда</t>
  </si>
  <si>
    <t>02_Аренда</t>
  </si>
  <si>
    <t>{113122} Резерв на обеспечение безопасности 2022</t>
  </si>
  <si>
    <t>{113222} Резерв на вывод из эксплуатации и НИОКР 2022</t>
  </si>
  <si>
    <t>{113322} Резерв на физическую защиту 2022</t>
  </si>
  <si>
    <t>{113422} Резерв на развитие 2022</t>
  </si>
  <si>
    <t>{125122} Резерв на вывод из эксплуатации и НИОКР ГК 2022</t>
  </si>
  <si>
    <t>{125222} Резерв на физическую защиту ГК 2022</t>
  </si>
  <si>
    <t>{125321} Резерв на развитие ГК 2022</t>
  </si>
  <si>
    <t>{125322} Резерв на развитие ГК 2022</t>
  </si>
  <si>
    <t>{125422} Резерв на безопасность 2022</t>
  </si>
  <si>
    <t>{126022} Резерв на безопасность (АТЦ) 2022</t>
  </si>
  <si>
    <t>{129722} Средства от эмиссии акций (взносов в УК) (имуществом) 2022</t>
  </si>
  <si>
    <t>{125322} Резерв на развитие ГК 2021</t>
  </si>
  <si>
    <t>Изменены формулы</t>
  </si>
  <si>
    <t>={1130216} Процентный доход по финансовой аренде (объекты движимого имущества)</t>
  </si>
  <si>
    <t>={1130217} Процентный доход по финансовой аренде (объекты недвижимого имущества)</t>
  </si>
  <si>
    <t>В соответствии с изменениями МР, добавлены 2 новые аналитики (1130216; 1130217) в формулу Процентов к получению (ячейка К28)</t>
  </si>
  <si>
    <t>В соответствии с изменениями МР, добавлены 2 новые аналитики (1130216; 1130217) в формулу Процентов к получению (ячейка Н30)</t>
  </si>
  <si>
    <t>2030100, 2030200</t>
  </si>
  <si>
    <t>2050100, 2050200</t>
  </si>
  <si>
    <t>2110300, 2110400</t>
  </si>
  <si>
    <t>В соответствии с изменениями МР, добавлены формулы по сворачиванию аналитик прочих доходов и прочих расходов (столбцы BG:BO)</t>
  </si>
  <si>
    <t>Право собственности на активы</t>
  </si>
  <si>
    <t>{11} Объекты в собственности организации</t>
  </si>
  <si>
    <t>{21} Объекты в федеральной собственности</t>
  </si>
  <si>
    <t>{22} Объекты в иной собственности</t>
  </si>
  <si>
    <t>{31} Объекты, полученные по договорам лизинга</t>
  </si>
  <si>
    <t>{32} Объекты, полученные по иным договорам</t>
  </si>
  <si>
    <t>{33} Объекты, полученные по договорам аренды, находящиеся в государственной или муниципальной собственности</t>
  </si>
  <si>
    <t>{34} Объекты, полученные по договорам аренды, кроме находящихся в государственной или муниципальной собственности</t>
  </si>
  <si>
    <t>10015_01</t>
  </si>
  <si>
    <t>10015_02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</si>
  <si>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К1 -справочник "Группы ОС"
К2 - справочник 2040 "Право собственности на активы"
</t>
    </r>
  </si>
  <si>
    <t>Основные средства (права пользования активами)</t>
  </si>
  <si>
    <t>Добавлены и удалены строки</t>
  </si>
  <si>
    <t>Добавлены строки 11 и 16, и удалены строки с субсчетами 01 счета</t>
  </si>
  <si>
    <t>Вид амортизации</t>
  </si>
  <si>
    <t>{1} Амортизация основных средств (к счету 01)</t>
  </si>
  <si>
    <t>{2} Амортизация инвестиционной недвижимости (к счету 03)</t>
  </si>
  <si>
    <t>{3} Амортизация права пользования активом (к счету 01)</t>
  </si>
  <si>
    <t>{4} Обесценение основных средств (к счету 01)</t>
  </si>
  <si>
    <t>{5} Обесценение инвестиционной недвижимости (к счету 03)</t>
  </si>
  <si>
    <t>{6} Обесценение права пользования активом (к счету 01) </t>
  </si>
  <si>
    <t>{7} Амортизация права пользования активом (к счету 03)</t>
  </si>
  <si>
    <t>{8} Обесценение права пользования активом (к счету 03) 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</si>
  <si>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К1 -справочник "Группы ОС"
К2 - справочник 2101 "Вид амортизации"
</t>
    </r>
  </si>
  <si>
    <t>Изменена проверка</t>
  </si>
  <si>
    <t>Андреев С.Е.</t>
  </si>
  <si>
    <r>
      <rPr>
        <b/>
        <sz val="10"/>
        <color indexed="56"/>
        <rFont val="Arial"/>
        <family val="2"/>
        <charset val="204"/>
      </rPr>
      <t>В колонке "L" изменена проверка - по аналитике "{20030110} Оценочные обязательства по выплате вознаграждений по итогам работы за год (корректировка прошлого года) (сумма выплат)" сумма затртат на знак не проверяется</t>
    </r>
    <r>
      <rPr>
        <sz val="10"/>
        <color indexed="56"/>
        <rFont val="Arial"/>
        <family val="2"/>
        <charset val="204"/>
      </rPr>
      <t xml:space="preserve">
</t>
    </r>
  </si>
  <si>
    <t>Параметры_загрузки</t>
  </si>
  <si>
    <r>
      <rPr>
        <b/>
        <sz val="10"/>
        <color indexed="56"/>
        <rFont val="Arial"/>
        <family val="2"/>
        <charset val="204"/>
      </rPr>
      <t>Уалить строку  лист 02_02</t>
    </r>
    <r>
      <rPr>
        <sz val="10"/>
        <color indexed="56"/>
        <rFont val="Arial"/>
        <family val="2"/>
        <charset val="204"/>
      </rPr>
      <t xml:space="preserve">
</t>
    </r>
  </si>
  <si>
    <t>Листы 01,03,04,07,08 / 02,05</t>
  </si>
  <si>
    <r>
      <rPr>
        <b/>
        <u/>
        <sz val="10"/>
        <color indexed="56"/>
        <rFont val="Arial"/>
        <family val="2"/>
        <charset val="204"/>
      </rPr>
      <t>Удалить проверку лист 02_02:
Изменить проверки</t>
    </r>
    <r>
      <rPr>
        <b/>
        <sz val="10"/>
        <color indexed="56"/>
        <rFont val="Arial"/>
        <family val="2"/>
        <charset val="204"/>
      </rPr>
      <t xml:space="preserve">
</t>
    </r>
    <r>
      <rPr>
        <sz val="10"/>
        <color indexed="56"/>
        <rFont val="Arial"/>
        <family val="2"/>
        <charset val="204"/>
      </rPr>
      <t>По всем счетам ВНА проверка знаков Поступление/Выбытие/Остаток на конец периода
Сумма реклассификации д.б. = 0</t>
    </r>
  </si>
  <si>
    <t>Листы 01,03,04,08 / 02,05</t>
  </si>
  <si>
    <t>Счет 02. Амортизация основных средств</t>
  </si>
  <si>
    <t>Изменить название</t>
  </si>
  <si>
    <r>
      <rPr>
        <b/>
        <sz val="10"/>
        <color indexed="56"/>
        <rFont val="Arial"/>
        <family val="2"/>
        <charset val="204"/>
      </rPr>
      <t>изменить  лист 02_01 на лист 02</t>
    </r>
    <r>
      <rPr>
        <sz val="10"/>
        <color indexed="56"/>
        <rFont val="Arial"/>
        <family val="2"/>
        <charset val="204"/>
      </rPr>
      <t xml:space="preserve">
</t>
    </r>
  </si>
  <si>
    <t>Счет 02.01. Амортизация основных средств</t>
  </si>
  <si>
    <t>02, 20</t>
  </si>
  <si>
    <r>
      <rPr>
        <b/>
        <u/>
        <sz val="10"/>
        <color indexed="56"/>
        <rFont val="Arial"/>
        <family val="2"/>
        <charset val="204"/>
      </rPr>
      <t xml:space="preserve">Изменить проверки
</t>
    </r>
    <r>
      <rPr>
        <sz val="10"/>
        <color indexed="56"/>
        <rFont val="Arial"/>
        <family val="2"/>
        <charset val="204"/>
      </rPr>
      <t>Обороты между счетами, заполненные в разных формах должны быть равныДт 20,23,25,26,29 Кт 02 проверка 1</t>
    </r>
    <r>
      <rPr>
        <b/>
        <sz val="10"/>
        <color indexed="56"/>
        <rFont val="Arial"/>
        <family val="2"/>
        <charset val="204"/>
      </rPr>
      <t xml:space="preserve">
</t>
    </r>
  </si>
  <si>
    <t>Изменить проверку T7</t>
  </si>
  <si>
    <t xml:space="preserve">Если в «Первичные виды затрат указаны» Расходы, произведенные в пользу работника, то кор счет м.б. только «70»,«08» или «20_23_25_29»
</t>
  </si>
  <si>
    <t>Если в «Первичные виды затрат указаны» Расходы, произведенные в пользу работника, то кор счет м.б. только «70», «08» или «20_23_25_29»</t>
  </si>
  <si>
    <t>Если в «Первичные виды затрат указаны» Расходы, произведенные в пользу работника, то кор счет м.б. только «70», «08» или «20_23_25_29».
, что 08 счет тоже можно указывать</t>
  </si>
  <si>
    <t>Гуров А.</t>
  </si>
  <si>
    <t>{109000}  Расходы на исполнение вмененных ГК «Росатом» обязательств по финансированию образовательных организаций</t>
  </si>
  <si>
    <t>Добавлена строка:
{109000}  Расходы на исполнение вмененных ГК «Росатом» обязательств по финансированию образовательных организаций</t>
  </si>
  <si>
    <t>Денисова О.</t>
  </si>
  <si>
    <t>Кукоба М.</t>
  </si>
  <si>
    <t>Доходные вложения в материальные ценности (права пользования активами)</t>
  </si>
  <si>
    <t>В проверку "Проверка оборотов между счетами, Прочие оценочные обязательства" (ячейка AE26 на листе 96) добавил затраты по аналитике "{11030000} Ядерное топливо" с листа " Затраты_Вход_1" (ячейка AC43 на листе 96)</t>
  </si>
  <si>
    <t>Добавил аналитику в выпадающий список</t>
  </si>
  <si>
    <t xml:space="preserve">Добавил в выпадающий список 2620 аналитику "{21200} Оценочные обязательства по обращению с отработавшим ядерным топливом". </t>
  </si>
  <si>
    <t>02.03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</si>
  <si>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К1 -справочник "Группы ОС"
К2 - справочник 2040 
</t>
    </r>
  </si>
  <si>
    <t>Амортизация (права пользования активами 01 счет)</t>
  </si>
  <si>
    <t>02.04</t>
  </si>
  <si>
    <t>Амортизация (права пользования активами 03 счет)</t>
  </si>
  <si>
    <t>Храмченко С.</t>
  </si>
  <si>
    <t>Изменена формула</t>
  </si>
  <si>
    <t>={3120000} НДС на доходы от предоставления в пользование прав на результаты интеллектуальной деятельности</t>
  </si>
  <si>
    <t>={3130140} НДС на доходы арендодателя от операционной аренды (переменные платежи)  (объекты движимого имущества)</t>
  </si>
  <si>
    <t>={3130150} НДС на доходы арендодателя от операционной аренды (переменные платежи)  (объекты недвижимого имущества)</t>
  </si>
  <si>
    <t>={3130220} НДС на доходы арендодателя в виде переменных платежей (объекты движимого имущества)</t>
  </si>
  <si>
    <t>={3130230} НДС на доходы арендодателя в виде переменных платежей (объекты недвижимого имущества)</t>
  </si>
  <si>
    <t>={3130240} НДС на доходы арендодателя от досрочного выкупа предмета аренды (объекты движимого имущества)</t>
  </si>
  <si>
    <t>={3130250} НДС на доходы арендодателя от досрочного выкупа предмета аренды (объекты недвижимого имущества)</t>
  </si>
  <si>
    <t>={3121000} НДС на доходы от передачи прав на использование товарного знака</t>
  </si>
  <si>
    <t>В формулу I38 добавлены новые 300-е аналитики: 3120000; 3130140; 3130150; 3130220; 3130230; 3130240; 3130250</t>
  </si>
  <si>
    <t>В формулу F40 добавлены новые 300-е аналитики: 3120000; 3130140; 3130150; 3130220; 3130230; 3130240; 3130250</t>
  </si>
  <si>
    <t>Малахай В.</t>
  </si>
  <si>
    <t>*{252080}*</t>
  </si>
  <si>
    <t>*{252081}*</t>
  </si>
  <si>
    <t>*{252037}*</t>
  </si>
  <si>
    <t>*{252036}*</t>
  </si>
  <si>
    <t>Обесценение - авансы по арендным платежам</t>
  </si>
  <si>
    <t>Долгосрочное Обесценение чистой стоимости инвестиции в аренду</t>
  </si>
  <si>
    <t>Краткосрочное Обесценение  чистой стоимости инвестиции в аренду</t>
  </si>
  <si>
    <t>Ос</t>
  </si>
  <si>
    <t>Ам</t>
  </si>
  <si>
    <t>Об</t>
  </si>
  <si>
    <t>*Объекты в*</t>
  </si>
  <si>
    <t>*Объекты, полученные*</t>
  </si>
  <si>
    <t>Остаточноая стоимость &gt;0</t>
  </si>
  <si>
    <t>Скорректированы строки 1151 и 1152; 1450;1190;1235;1526;1527 в части аренды</t>
  </si>
  <si>
    <t>Добавлена проверка</t>
  </si>
  <si>
    <t>Добавлена проверка в столбец AF</t>
  </si>
  <si>
    <t>Добавлена проверка в столбец AC</t>
  </si>
  <si>
    <t xml:space="preserve"> «Проверка 96 счета и 96_расш» в столбце Е</t>
  </si>
  <si>
    <t>{6} Счета ОБС</t>
  </si>
  <si>
    <r>
      <rPr>
        <b/>
        <u/>
        <sz val="10"/>
        <color indexed="56"/>
        <rFont val="Arial"/>
        <family val="2"/>
        <charset val="204"/>
      </rPr>
      <t>список 2450 изменен список аналитик</t>
    </r>
    <r>
      <rPr>
        <u/>
        <sz val="10"/>
        <color indexed="56"/>
        <rFont val="Arial"/>
        <family val="2"/>
        <charset val="204"/>
      </rPr>
      <t xml:space="preserve">:
{6} Счета ОБС
</t>
    </r>
    <r>
      <rPr>
        <sz val="10"/>
        <color indexed="56"/>
        <rFont val="Arial"/>
        <family val="2"/>
        <charset val="204"/>
      </rPr>
      <t xml:space="preserve">
</t>
    </r>
  </si>
  <si>
    <t>Заполнен комментарий по расхождению сальдо на конец</t>
  </si>
  <si>
    <t>Добавлено:
 Заполнен комментарий по расхождению сальдо на конец</t>
  </si>
  <si>
    <t>Терешин А.</t>
  </si>
  <si>
    <t>{2970001} Расходы, связанные с подготовкой обоснования для принятия решения (доинвестиционный этап)</t>
  </si>
  <si>
    <t>Лист Прочие_расш Y32 - добавлено исключение на отрицательную сумму для аналитики 2750000 (в соответствии с МР по запасам для Дт91.02 Кт14 сторно)</t>
  </si>
  <si>
    <t>исправлена проверка</t>
  </si>
  <si>
    <t>Из проверки "Проверка сумм на листах 98.01 и 86 с 91.01 и 91.01 ВГО (МТП)" убрал аналитику 1310210 (с прочие_расш) т.к. это проверка МТА, а аналитика по резервам.
В проверке "Проверка сумм на листах 98.01, 98.02 и 86 с 91.01 и 91.01 ВГО" затроилась аналитика 1310210 (с прочие_расш), исправил и добавил в эту проверку аналитику 1300100 (с прочие_расш)</t>
  </si>
  <si>
    <t>По «{20500} Оценочные обязательства по обременительным договорам» и «{20600} Оценочные обязательства по судебным искам» необходимо указать конкретного контрагента</t>
  </si>
  <si>
    <r>
      <rPr>
        <b/>
        <sz val="10"/>
        <color rgb="FFFF0000"/>
        <rFont val="Arial"/>
        <family val="2"/>
        <charset val="204"/>
      </rPr>
      <t>В одной строке можно заполнять только 1 вид движения</t>
    </r>
    <r>
      <rPr>
        <b/>
        <sz val="10"/>
        <color indexed="8"/>
        <rFont val="Arial"/>
        <family val="2"/>
        <charset val="204"/>
      </rPr>
      <t xml:space="preserve">
Счет 96. По «{20500} Оценочные обязательства по обременительным договорам» и «{20600} Оценочные обязательства по судебным искам» необходима расшифровка по всем видам движения (в т.ч. с-до) в разрезе контрагентов. 
По остальным оценочным обязательствам без изменений - Использование отраслевых резервов, {20300}, {21200} и {20800} + расшифровка по контрагентам "начисления" гарантийным обязательствам + по «{20700} Оценочные обязательства по налоговым искам/претензиям» расшифровать начисление и восстановление, которые прошли через 99 счет</t>
    </r>
  </si>
  <si>
    <t xml:space="preserve">добавил проверку в ячейку ('96_движ'!Am7) "По «{20500} Оценочные обязательства по обременительным договорам» и «{20600} Оценочные обязательства по судебным искам» необходимо указать конкретного контрагента", а не просто указывать "Внешние контрагенты"
</t>
  </si>
  <si>
    <t>сделал формулу вместо ручного заполнения</t>
  </si>
  <si>
    <t xml:space="preserve">добавил все виды движения с листа 96.  Теперь по  «{20500} Оценочные обязательства по обременительным договорам» и «{20600} Оценочные обязательства по судебным искам» необходима расшифровка по всем видам движения (в т.ч. с-до) в разрезе контрагентов. </t>
  </si>
  <si>
    <t xml:space="preserve">добавил проверку в ячейку ('96_движ'!AL7) "В одной строке можно заполнять только 1 вид движения"
</t>
  </si>
  <si>
    <t>Проверка заполнения  лист 14</t>
  </si>
  <si>
    <t>остаток в разрезе аналитик больше 0 на 41.01</t>
  </si>
  <si>
    <t>столбец AB остаток в разрезе аналитик больше 0 на 41.01</t>
  </si>
  <si>
    <t>Проверка остатков Лист 41.01</t>
  </si>
  <si>
    <t>Лист 41.01</t>
  </si>
  <si>
    <t>Проверка форматов даты</t>
  </si>
  <si>
    <r>
      <rPr>
        <b/>
        <sz val="10"/>
        <color rgb="FFFF0000"/>
        <rFont val="Arial"/>
        <family val="2"/>
        <charset val="204"/>
      </rPr>
      <t>Изменение не применимо для КХД, т.к. контроль был и ранее</t>
    </r>
    <r>
      <rPr>
        <sz val="10"/>
        <color indexed="56"/>
        <rFont val="Arial"/>
        <family val="2"/>
        <charset val="204"/>
      </rPr>
      <t xml:space="preserve">
контроли столбец M вынесены  в общий свод с 14 счета</t>
    </r>
  </si>
  <si>
    <r>
      <rPr>
        <b/>
        <sz val="10"/>
        <color rgb="FFFF0000"/>
        <rFont val="Arial"/>
        <family val="2"/>
        <charset val="204"/>
      </rPr>
      <t>Изменение не применимо для КХД, т.к. структура листа не меняется</t>
    </r>
    <r>
      <rPr>
        <sz val="10"/>
        <color indexed="56"/>
        <rFont val="Arial"/>
        <family val="2"/>
        <charset val="204"/>
      </rPr>
      <t xml:space="preserve">
в ячейки: D41, F41, D42, F42, H39, H41, H42,  H44,  H48,  H51,  H52,  H54,  H55,  H57, H58, H60, H61, J41, J42, K41, K42, K45, M41, N41, O41, R41, S41, M42, N42, O42, R42, S42 добавил формулы чтобы суммы собирались с листа 96_движ</t>
    </r>
  </si>
  <si>
    <r>
      <rPr>
        <b/>
        <sz val="10"/>
        <color rgb="FFFF0000"/>
        <rFont val="Arial"/>
        <family val="2"/>
        <charset val="204"/>
      </rPr>
      <t>Изменение не применимо для КХД, т.к. в потоках и там должны выгружаться только даты</t>
    </r>
    <r>
      <rPr>
        <sz val="10"/>
        <color indexed="56"/>
        <rFont val="Arial"/>
        <family val="2"/>
        <charset val="204"/>
      </rPr>
      <t xml:space="preserve">
Проверка форматов даты столбе L
Если в I= {255222} Авансы полученные, то проверка работает, а иначе истина</t>
    </r>
  </si>
  <si>
    <t xml:space="preserve">
Добавлена проверка актуальная только для пенсионных фондов</t>
  </si>
  <si>
    <r>
      <rPr>
        <b/>
        <u/>
        <sz val="10"/>
        <color indexed="56"/>
        <rFont val="Arial"/>
        <family val="2"/>
        <charset val="204"/>
      </rPr>
      <t>список 1015 изменен список аналитик</t>
    </r>
    <r>
      <rPr>
        <u/>
        <sz val="10"/>
        <color indexed="56"/>
        <rFont val="Arial"/>
        <family val="2"/>
        <charset val="204"/>
      </rPr>
      <t xml:space="preserve">:
</t>
    </r>
    <r>
      <rPr>
        <sz val="10"/>
        <color indexed="56"/>
        <rFont val="Arial"/>
        <family val="2"/>
        <charset val="204"/>
      </rPr>
      <t>в пакете ФСД на 2022год в справочники ЕПС 1015 исключить аналитики, исключаем с 01.01.22:
1110 Прибыль, остающаяся в распоряжении организации
1120  Амортизация
ставить их на 1300 «Прочие источники финансирования коммерческих организаций». 
На листе 10_расш/Затраты_вход_2  есть аналитика {000001} Нецелевые источники финансирования</t>
    </r>
    <r>
      <rPr>
        <u/>
        <sz val="10"/>
        <color indexed="56"/>
        <rFont val="Arial"/>
        <family val="2"/>
        <charset val="204"/>
      </rPr>
      <t xml:space="preserve">
</t>
    </r>
    <r>
      <rPr>
        <sz val="10"/>
        <color indexed="56"/>
        <rFont val="Arial"/>
        <family val="2"/>
        <charset val="204"/>
      </rPr>
      <t xml:space="preserve">
</t>
    </r>
  </si>
  <si>
    <t>Общество с ограниченной ответственностью "Атомдата-Шереметьево"</t>
  </si>
  <si>
    <t>Атомдата-Шереметьево</t>
  </si>
  <si>
    <t>Поменялась функциональная валюта Titan2 IC с турецкой лиры на доллары США</t>
  </si>
  <si>
    <t>R29=1090</t>
  </si>
  <si>
    <t>C1=F_M0802;C2=YTD;C4=0102</t>
  </si>
  <si>
    <t>C1=F_M0803;C2=YTD;C4=0102</t>
  </si>
  <si>
    <t>C1=F_M0813;C2=YTD;C4=0102</t>
  </si>
  <si>
    <t>C1=F_M0811;C2=YTD;C4=0102</t>
  </si>
  <si>
    <t>C1=F_M0814;C2=YTD;C4=0102</t>
  </si>
  <si>
    <t>C1=F_O2;C2=YTD;C3=10;C4=0102</t>
  </si>
  <si>
    <t>C1=F_O2;C2=YTD;C3=20;C4=0102</t>
  </si>
  <si>
    <t>C1=F_C2;C2=YTD;C3=10;C4=0102</t>
  </si>
  <si>
    <t>C1=F_C2;C2=YTD;C3=20;C4=0102</t>
  </si>
  <si>
    <r>
      <rPr>
        <b/>
        <sz val="10"/>
        <color indexed="56"/>
        <rFont val="Arial"/>
        <family val="2"/>
        <charset val="204"/>
      </rPr>
      <t>Добавлены :</t>
    </r>
    <r>
      <rPr>
        <sz val="10"/>
        <color indexed="56"/>
        <rFont val="Arial"/>
        <family val="2"/>
        <charset val="204"/>
      </rPr>
      <t xml:space="preserve">
К2 - справочник 2040 "Право собственности на активы"
</t>
    </r>
    <r>
      <rPr>
        <b/>
        <sz val="10"/>
        <color indexed="56"/>
        <rFont val="Arial"/>
        <family val="2"/>
        <charset val="204"/>
      </rPr>
      <t>Удалены :</t>
    </r>
    <r>
      <rPr>
        <sz val="10"/>
        <color indexed="56"/>
        <rFont val="Arial"/>
        <family val="2"/>
        <charset val="204"/>
      </rPr>
      <t xml:space="preserve">
К2 - справочник 2040 "Право собственности на активы"
</t>
    </r>
  </si>
  <si>
    <t>Уточнения в алгоритм ОФР МР 2022</t>
  </si>
  <si>
    <t>В соответствии с изменениями МР (уточнения), изменены формулы по сворачиванию аналитик прочих доходов и прочих расходов -столбец BN изменен, столбец BO добавлен.</t>
  </si>
  <si>
    <t>Расшифровка конечного покупателя на 45 счете</t>
  </si>
  <si>
    <t>Добавлена проверка в столбец V</t>
  </si>
  <si>
    <t>{40010001} Амортизация законсервированных ОС</t>
  </si>
  <si>
    <t>добавил аналитики в проверки</t>
  </si>
  <si>
    <t xml:space="preserve">-Добавил в проверку "Проверка сумм на листах 98.02 с 91.01 (Безвозмездные поступления)" (ячейка F64) аналитику 1320500 с листа "Прочие расш" 
-Добавил в проверку "Проверка сумм на листах 98.01 и 86 с 91.01 и 91.01 ВГО (МТП)" (ячейка F61) аналитику 1310110 с листа "Прочие расш" 
-Добавил в проверку "Проверка сумм на листах 98.01, 98.02 и 86 с 91.01 и 91.01 ВГО" (ячейка F50) аналитики 1320500 и 1310110 с листа "Прочие расш" </t>
  </si>
  <si>
    <t>Изменена проверка в столбце S</t>
  </si>
  <si>
    <t>если сумма % на листе 76_01% по конкретному договору и контрагенту указана, то ставка на фин.договорам больше 0</t>
  </si>
  <si>
    <t>Добавлена проверка в столбце AT  - если сумма % на листе 76_01% по конкретному договору и контрагенту указана, то ставка на фин.договорам больше 0</t>
  </si>
  <si>
    <t>Бурцева О.</t>
  </si>
  <si>
    <t>Изменена проверка расшифровки долгосрочной Кт задолженности по срокам погашения</t>
  </si>
  <si>
    <t>Изменена проверка расшифровки краткосрочной Кт задолженности по срокам погашения</t>
  </si>
  <si>
    <t>ОБЩЕСТВО С ОГРАНИЧЕННОЙ ОТВЕТСТВЕННОСТЬЮ «СОВМЕСТНОЕ ПРЕДПРИЯТИЕ «КВАНТОВЫЕ ТЕХНОЛОГИИ»  (ООО «СП «Квант»)</t>
  </si>
  <si>
    <t xml:space="preserve">Проверка конечное сальдо отрицательное на конец периода </t>
  </si>
  <si>
    <t xml:space="preserve">Проверка - конечное сальдо отрицательное на конец периода </t>
  </si>
  <si>
    <t>V2</t>
  </si>
  <si>
    <t>Квадра</t>
  </si>
  <si>
    <t>ПАО "Квадра"</t>
  </si>
  <si>
    <t>РЭП</t>
  </si>
  <si>
    <t>АО "Русатом Энерджи Проджектс"</t>
  </si>
  <si>
    <t>ЭйТи</t>
  </si>
  <si>
    <t>АО "Группа ЭйТи"</t>
  </si>
  <si>
    <t>БИЗНЕС ПАРК ИЖОРА</t>
  </si>
  <si>
    <t>ООО "БИЗНЕС ПАРК ИЖОРА"</t>
  </si>
  <si>
    <t>ВетроОГК-3</t>
  </si>
  <si>
    <t>АО «Ветроэнергетическая отдельная генерирующая компания-3»</t>
  </si>
  <si>
    <t>ИжораРемСервис</t>
  </si>
  <si>
    <t>ООО "ИжораРемСервис"</t>
  </si>
  <si>
    <t>ИЖЭК</t>
  </si>
  <si>
    <t>ООО "Ижорская энергетическая компания"</t>
  </si>
  <si>
    <t>ИнвестТорг</t>
  </si>
  <si>
    <t>ООО "ИнвестТорг"</t>
  </si>
  <si>
    <t>ИСМ</t>
  </si>
  <si>
    <t>ООО "Ижорские сварочные материалы"</t>
  </si>
  <si>
    <t>ТермоПресс</t>
  </si>
  <si>
    <t>добавлено 3 столбца "Контрагенты"</t>
  </si>
  <si>
    <t>Проверка заполнения столбца Контрагент</t>
  </si>
  <si>
    <t>Проверка заполнения столбца Контрагент лист 01</t>
  </si>
  <si>
    <t>Проверка заполнения столбца Контрагент лист 02</t>
  </si>
  <si>
    <t>Цариты Н.</t>
  </si>
  <si>
    <t xml:space="preserve">Проверка заполнения столбца Контрагент </t>
  </si>
  <si>
    <t xml:space="preserve">Проверка заполнения столбца Контрагент  </t>
  </si>
  <si>
    <t>Лист 02</t>
  </si>
  <si>
    <t>Проверка заполнения столбца Контрагент лист 03</t>
  </si>
  <si>
    <t>Исправлено задвоение формул по сворачиванию аналитик (1280000/2280100, 2280200, 2280300, 2280400), уже было ранее в столбце АТ. Новый столбец BN удален.</t>
  </si>
  <si>
    <t>Белгородская теплосетевая компания</t>
  </si>
  <si>
    <t>АО "Белгородская теплосетевая компания"</t>
  </si>
  <si>
    <t>Квадра-Энергосбыт</t>
  </si>
  <si>
    <t>ООО "Квадра-Энергосбыт"</t>
  </si>
  <si>
    <t>Философия.ИТ</t>
  </si>
  <si>
    <t>ООО «Философия.ИТ»</t>
  </si>
  <si>
    <t>ЭйТи Консалтинг</t>
  </si>
  <si>
    <t>ООО «Эдвансед Трансформейшн Консалтинг»</t>
  </si>
  <si>
    <r>
      <t xml:space="preserve">Обновлен список компаний участвующих в сверке ВГО за 1кв. 2022год
Добавлены:
</t>
    </r>
    <r>
      <rPr>
        <sz val="8"/>
        <color indexed="56"/>
        <rFont val="Arial"/>
        <family val="2"/>
        <charset val="204"/>
      </rPr>
      <t>Квадра
РЭП
ЭйТи
Белгородская теплосетевая компания
Квадра-Энергосбыт
Философия.ИТ
ЭйТи Консалтинг</t>
    </r>
    <r>
      <rPr>
        <b/>
        <sz val="8"/>
        <color indexed="56"/>
        <rFont val="Arial"/>
        <family val="2"/>
        <charset val="204"/>
      </rPr>
      <t xml:space="preserve">
Исключены из ежемесячной сверки и ЦФО-2, предоставление пакета ФСД ежеквартально
</t>
    </r>
    <r>
      <rPr>
        <sz val="8"/>
        <color indexed="56"/>
        <rFont val="Arial"/>
        <family val="2"/>
        <charset val="204"/>
      </rPr>
      <t>РИР-Саров
Русатом Вотэр Азия</t>
    </r>
    <r>
      <rPr>
        <b/>
        <sz val="8"/>
        <color indexed="56"/>
        <rFont val="Arial"/>
        <family val="2"/>
        <charset val="204"/>
      </rPr>
      <t xml:space="preserve">
</t>
    </r>
  </si>
  <si>
    <r>
      <rPr>
        <sz val="10"/>
        <color rgb="FFFF0000"/>
        <rFont val="Arial"/>
        <family val="2"/>
        <charset val="204"/>
      </rPr>
      <t>Внимание!</t>
    </r>
    <r>
      <rPr>
        <sz val="10"/>
        <color indexed="8"/>
        <rFont val="Arial"/>
        <family val="2"/>
        <charset val="204"/>
      </rPr>
      <t xml:space="preserve"> Сальдо заполнять только по: «{20500} Оценочные обязательства по обременительным договорам» и «{20600} Оценочные обязательства по судебным искам»</t>
    </r>
  </si>
  <si>
    <t>_comp0102</t>
  </si>
  <si>
    <t>Сумма столбцов Реклассификация на 01 и 03 листах должна быть равна  0.</t>
  </si>
  <si>
    <t>Новик Е.</t>
  </si>
  <si>
    <t>Проверка Дт и Кт (Реклассификация (из группы в группу)) Лист 01,03</t>
  </si>
  <si>
    <t>Лист 01, 03</t>
  </si>
  <si>
    <t>V3</t>
  </si>
  <si>
    <t>Отложенный налоговый актив по праву пользования арендой</t>
  </si>
  <si>
    <t>Отложенный налоговый актив по арендным обязательствам</t>
  </si>
  <si>
    <t>Отложенный налоговый актив по чистой стоимости инвестиции в аренду</t>
  </si>
  <si>
    <t>Отложенное налоговое обязательство по праву пользования арендой</t>
  </si>
  <si>
    <t>Отложенное налоговое обязательство по арендным обязательствам</t>
  </si>
  <si>
    <t>Отложенное налоговое обязательство по чистой стоимости инвестиции в аренду</t>
  </si>
  <si>
    <t>Исправлено задвоение формул по сворачиванию аналитик (1290000/2281000, 2281100), уже было ранее в столбце АU. Новый столбец BN удален.</t>
  </si>
  <si>
    <t>Изменены формулы в проверках</t>
  </si>
  <si>
    <t xml:space="preserve">Исправил формулы в проверках в столбцах AI "При расшифровке использования по "{20600} Оценочные обязательства по судебным искам" (положительные суммы) в графе "К2 Корреспондирующий счет" необходимо указывать 76, при начислении (отрицательные суммы) надо Х" и AL "В одной строке можно заполнять только 1 вид движения"
</t>
  </si>
  <si>
    <t>={2180600} Процентные расходы по аренде</t>
  </si>
  <si>
    <t>={2180800} Процентные расходы при приобретении запасов/осуществлении КВ на условиях отсрочки (рассрочки) платежа</t>
  </si>
  <si>
    <t>В формулу F41 добавлены новые 218-е аналитики: 2180600; 2180800</t>
  </si>
  <si>
    <t>В формулу I39 добавлены новые 218-е аналитики: 2180600; 2180800</t>
  </si>
  <si>
    <t>УК ДЕЛО</t>
  </si>
  <si>
    <t>АО "Логистика-Терминал"</t>
  </si>
  <si>
    <t>АО «КСК»</t>
  </si>
  <si>
    <t>АО «Новоростерминал»</t>
  </si>
  <si>
    <t>АО «Транспортная Корпорация»</t>
  </si>
  <si>
    <t>ОАО «МосАгроНаучПрибор» (ОАО «МАНП»)</t>
  </si>
  <si>
    <t xml:space="preserve">ООО "СпецТрансКонтейнер" </t>
  </si>
  <si>
    <t>ООО «Глобальный Контейнерный Сервис» (ООО «ГКС»)</t>
  </si>
  <si>
    <t>ООО «ДелоПортс»</t>
  </si>
  <si>
    <t>ООО «Дело‑Центр»</t>
  </si>
  <si>
    <t>ООО «НовоОриентЭдженси»</t>
  </si>
  <si>
    <t>ООО «Новороссийская Морская Контейнерная Компания»</t>
  </si>
  <si>
    <t>ООО «НУТЭП»</t>
  </si>
  <si>
    <t>ООО «Объединенная таможенно‑логистическая компания» (ООО «ОТЛК»)</t>
  </si>
  <si>
    <t>ООО «Рускон Брокер»</t>
  </si>
  <si>
    <t>ООО "СТРАХОВОЙ БРОКЕР "ДЕЛЬТА ГРУПП"</t>
  </si>
  <si>
    <t>ООО «Рускон Т»</t>
  </si>
  <si>
    <t>ООО «Рускон»</t>
  </si>
  <si>
    <t>ООО «Русский контейнер» (Новороссийск)</t>
  </si>
  <si>
    <t>ООО «Рустрейл Северо-Запад»</t>
  </si>
  <si>
    <t>ООО «Рустрейл»</t>
  </si>
  <si>
    <t>ООО «Смарт Лоджистик Групп‑Оперейтинг» (ООО «СЛГО»)</t>
  </si>
  <si>
    <t>ООО «Таможенно‑логистический контейнерный терминал» (ООО «ТЛКТ»)</t>
  </si>
  <si>
    <t>ООО «ТПК-Альянс»</t>
  </si>
  <si>
    <t>ООО «Трансконтейнер»</t>
  </si>
  <si>
    <t>ООО «ТрансТерминал‑Холдинг»</t>
  </si>
  <si>
    <t>ООО «УК Донская 15»</t>
  </si>
  <si>
    <t>ООО «Футбольная республика» (ООО «ФР»)</t>
  </si>
  <si>
    <t>ООО «ЦОЛЛРУ»</t>
  </si>
  <si>
    <t>ООО СК «Дело»</t>
  </si>
  <si>
    <t>ПАО "ТрансКонтейнер"</t>
  </si>
  <si>
    <t>Обновлен справочник СС</t>
  </si>
  <si>
    <r>
      <rPr>
        <b/>
        <sz val="10"/>
        <color indexed="56"/>
        <rFont val="Arial"/>
        <family val="2"/>
        <charset val="204"/>
      </rPr>
      <t>добавлены аналитики</t>
    </r>
    <r>
      <rPr>
        <sz val="10"/>
        <color indexed="56"/>
        <rFont val="Arial"/>
        <family val="2"/>
        <charset val="204"/>
      </rPr>
      <t xml:space="preserve">
Добавлены :
{25} Отложенный налоговый актив по праву пользования арендой
{26} Отложенный налоговый актив по арендным обязательствам
{27} Отложенный налоговый актив по чистой стоимости инвестиции в аренду
Добавлены :
{25} Отложенное налоговое обязательство по праву пользования арендой
{26} Отложенное налоговое обязательство по арендным обязательствам
{27} Отложенное налоговое обязательство по чистой стоимости инвестиции в аренду</t>
    </r>
  </si>
  <si>
    <t>R29=2225</t>
  </si>
  <si>
    <t>R29=2226</t>
  </si>
  <si>
    <t>R29=2227</t>
  </si>
  <si>
    <t>R29=2125</t>
  </si>
  <si>
    <t>R29=2126</t>
  </si>
  <si>
    <t>R29=2127</t>
  </si>
  <si>
    <t>V4</t>
  </si>
  <si>
    <t>Исправлена формула в ячейках O5 и P5</t>
  </si>
  <si>
    <t>Исправлена формула в ячейках E9,F9,E10,F10</t>
  </si>
  <si>
    <t>{1930001} Доходы от возмещения убытков, связанных с обесценением или утратой объектов капитальных вложений, предоставленного организации другими лицами</t>
  </si>
  <si>
    <t>{1930002} Доходы от возмещения убытков, связанных с обесценением или утратой объектов основных средств, предоставленного организации другими лицами</t>
  </si>
  <si>
    <t>{2221200} Расходы на резервы под обесценение основных средств</t>
  </si>
  <si>
    <r>
      <t xml:space="preserve">2240_Р добавлена аналитика : 
</t>
    </r>
    <r>
      <rPr>
        <sz val="8"/>
        <color indexed="56"/>
        <rFont val="Arial"/>
        <family val="2"/>
        <charset val="204"/>
      </rPr>
      <t>{2180600} Процентные расходы по аренде</t>
    </r>
    <r>
      <rPr>
        <b/>
        <u/>
        <sz val="8"/>
        <color indexed="56"/>
        <rFont val="Arial"/>
        <family val="2"/>
        <charset val="204"/>
      </rPr>
      <t xml:space="preserve">
</t>
    </r>
  </si>
  <si>
    <r>
      <t xml:space="preserve">2240 добавлена аналитика : 
</t>
    </r>
    <r>
      <rPr>
        <sz val="8"/>
        <color indexed="56"/>
        <rFont val="Arial"/>
        <family val="2"/>
        <charset val="204"/>
      </rPr>
      <t>{1930001} Доходы от возмещения убытков, связанных с обесценением или утратой объектов капитальных вложений, предоставленного организации другими лицами
{1930002} Доходы от возмещения убытков, связанных с обесценением или утратой объектов основных средств, предоставленного организации другими лицами</t>
    </r>
    <r>
      <rPr>
        <b/>
        <u/>
        <sz val="8"/>
        <color indexed="56"/>
        <rFont val="Arial"/>
        <family val="2"/>
        <charset val="204"/>
      </rPr>
      <t xml:space="preserve">
</t>
    </r>
    <r>
      <rPr>
        <sz val="8"/>
        <color indexed="56"/>
        <rFont val="Arial"/>
        <family val="2"/>
        <charset val="204"/>
      </rPr>
      <t>{2221200} Расходы на резервы под обесценение основных средств</t>
    </r>
    <r>
      <rPr>
        <b/>
        <u/>
        <sz val="8"/>
        <color indexed="56"/>
        <rFont val="Arial"/>
        <family val="2"/>
        <charset val="204"/>
      </rPr>
      <t xml:space="preserve">
</t>
    </r>
  </si>
  <si>
    <t>Добавит на 02 лист проверку начисления амортизации через 84 счет</t>
  </si>
  <si>
    <t>Добавлены формулы по сворачиванию аналитик прочих доходов и прочих расходов (1221200/2221200; 1221300/2221300), столбцы BO и BP.</t>
  </si>
  <si>
    <r>
      <t xml:space="preserve">Исключена из ежемесячной сверки и ЦФО-2, предоставление пакета ФСД ежеквартально
</t>
    </r>
    <r>
      <rPr>
        <sz val="8"/>
        <color indexed="56"/>
        <rFont val="Arial"/>
        <family val="2"/>
        <charset val="204"/>
      </rPr>
      <t>РИР-Саров
Русатом Вотэр Азия</t>
    </r>
    <r>
      <rPr>
        <b/>
        <u/>
        <sz val="8"/>
        <color indexed="56"/>
        <rFont val="Arial"/>
        <family val="2"/>
        <charset val="204"/>
      </rPr>
      <t xml:space="preserve">
</t>
    </r>
  </si>
  <si>
    <t>V5</t>
  </si>
  <si>
    <t>Изменена формула в ячейках Z7, AA7, AB7, AF7, AH7 добавлена аналитика {40060000} Амортизация права пользования активом</t>
  </si>
  <si>
    <t>Исправлена проверка</t>
  </si>
  <si>
    <t>"Проверка 96 счета и 96_расш" изменил формулу в ячейках E239 и F239. Сверяем между листом 96 и 96_движ использование по резервам: {20300}, {20500}, {20600}, {20800}, {20900}, {21200}, {30000} и сверяем начисление между этими же листами по резервам: {20500}, {20600},{20900}</t>
  </si>
  <si>
    <t>Исправлены 2 проверки</t>
  </si>
  <si>
    <t>"Проверка расшифровки "начисления" на листе 96_движ по аналитике {20600} Оценочные обязательства по судебным искам (на 96_движ движение в разрезе контрагентов необходимо отражать развернуто)" и "Проверка расшифровки "начисления" на листе 96_движ по аналитике {20900} Оценочные обязательства по гарантийным обязательствам (на 96_движ движение в разрезе контрагентов необходимо отражать развернуто)".
В этих проверках сверяется начисление между листом 96 и 96_движ, но из-за новых столбцов на 96_движ проверка съехала. Указал нужный столбец в ячейках F252 и F254. В КХД должно быть все нормально</t>
  </si>
  <si>
    <t>Исправлена формула</t>
  </si>
  <si>
    <t>Исправлена формула в ячейках E12 и E13</t>
  </si>
  <si>
    <t>Добавлена аналитика прочих расходов "{2281200} Амортизация ОС, находящихся на консервации" в проверку по начислению амортизации</t>
  </si>
  <si>
    <t xml:space="preserve">Прочие расходы арендодателя, связанные с операционной арендой </t>
  </si>
  <si>
    <t>Исправлена формула проверки листа 01 в ячейке E233</t>
  </si>
  <si>
    <t>Исправлена проверка в ячейке Х11 и ниже</t>
  </si>
  <si>
    <t>Вместо N&lt;=0 сделал N&lt;0</t>
  </si>
  <si>
    <t>Исправил проверки в строка 115, 116, 117, 118, 119, 120, 122, 253 и 255,</t>
  </si>
  <si>
    <t>Исправил проверки в строка 115, 116,117,118,119,120,122,124,125,126,127,128,129, 253 и 255</t>
  </si>
  <si>
    <t>В формулу ячейки X7 добавлена ячейки L8 и P8, т.к. для корректной проверки необходимо учитывать вид движения "Поступление прочее" и "Величина амортизации по прочему выбытию"</t>
  </si>
  <si>
    <t>Снята блокировка столбца К2, что заполнение столбца только по согласованию с ОЦО</t>
  </si>
  <si>
    <t>Снята блокировка заполнения</t>
  </si>
  <si>
    <t>Снято ограничение на ввод данных по видам движения "Поступление прочее" и "Выбытие:прочее"</t>
  </si>
  <si>
    <t>Снято ограничение на ввод данных по виду движения "Поступление прочее"</t>
  </si>
  <si>
    <t>Исправлена формула в проверке</t>
  </si>
  <si>
    <t>Исправлена формула в проверке (Ячейка K16). Из-за смены структуры 96_движ сдвинулся столбец. Указал в формуле L вместо I</t>
  </si>
  <si>
    <t>В проверку добавлена новая аналитика</t>
  </si>
  <si>
    <t xml:space="preserve">В проверку "Проверка корректного выбора аналитики "Виды затрат"" (ячейка AF11) добавлена новая аналитика {40060000} Амортизация права пользования активом
</t>
  </si>
  <si>
    <t>Исправлена проверка по столбцу AC,т.к. съехал линк на ячейку ниже, из-за чего проверка шла неправильно.</t>
  </si>
  <si>
    <t>Ячейки открыл для заполнения</t>
  </si>
  <si>
    <t>По разъяснениям методологов возможно Дт с-до по оценочным обязательствам {10100} Оценочные обязательства по выплате вознаграждений по итогам работы за год.Поэтому открыл для заполнения ячейки: Е13, Е14, Е16, Е17, Q13, Q14, Q16, Q17 и добавил Дт остаток по этому в строку баланса Оценочные обязательства 1540 (краткосрочные)</t>
  </si>
  <si>
    <t>Дополнена формула для строки баланса Оценочные обязательства 1540 (краткосрочные)</t>
  </si>
  <si>
    <t>По разъяснениям методологов возможно Дт с-до по оценочным обязательствам {10100} Оценочные обязательства по выплате вознаграждений по итогам работы за год .Поэтому по этому в строку баланса Оценочные обязательства 1540 (краткосрочные) (ячейки E72 и F72 на листе баланс) добавил Дт остаток по {10100} на листе96 (из ячеек: Q10 и E10)</t>
  </si>
  <si>
    <t>Добавлены в проверку "Проверка оборотов между счетами Переоценка/обесценение" новые аналитики 91сч. по резерву на обесценение ОС: 1221200; 2221200</t>
  </si>
  <si>
    <t>Емельянова Н.</t>
  </si>
  <si>
    <r>
      <rPr>
        <b/>
        <u/>
        <sz val="10"/>
        <color indexed="56"/>
        <rFont val="Arial"/>
        <family val="2"/>
        <charset val="204"/>
      </rPr>
      <t>Проверка использования ГИДа 10018 - "НДС с авансов" добавлены новые аналитики по НДС</t>
    </r>
    <r>
      <rPr>
        <sz val="10"/>
        <color indexed="56"/>
        <rFont val="Arial"/>
        <family val="2"/>
        <charset val="204"/>
      </rPr>
      <t xml:space="preserve">
{252078} НДС по авансам выданным (предварительный) по арендным платежам Арендные обязательства
{252079} НДС по авансам выданным (перерасчетный) по арендным платежам Арендные обязательства
{252080} Чистая стоимость инвестиции в аренду
{252081} НДС по авансам полученным про арендным платежам (финансовая аренда)
</t>
    </r>
  </si>
  <si>
    <r>
      <rPr>
        <b/>
        <u/>
        <sz val="10"/>
        <color indexed="56"/>
        <rFont val="Arial"/>
        <family val="2"/>
        <charset val="204"/>
      </rPr>
      <t>Колонка AS Суммы НДС необходимо отражать по аналитике задолженность</t>
    </r>
    <r>
      <rPr>
        <sz val="10"/>
        <color indexed="56"/>
        <rFont val="Arial"/>
        <family val="2"/>
        <charset val="204"/>
      </rPr>
      <t xml:space="preserve">
исключение на аналитики:
{252079} НДС по авансам выданным (перерасчетный) по арендным платежам Арендные обязательства
{252078} НДС по авансам выданным (предварительный) по арендным платежам Арендные обязательства 
могут быть выбраны вместе с аналитикой {255222} Авансы полученные
</t>
    </r>
  </si>
  <si>
    <t>V6</t>
  </si>
  <si>
    <t>Исправлена формула в ячейке F13 (Начальный остаток статьи "Незавершенные капитальные вложения в объекты ОС"). Формула дважды вычитала значения, хотя во втором случае должен стоять знак "+".</t>
  </si>
  <si>
    <t>{9901800000000000} Сырая нефть, продукты нефтепереработки и нефтехимии</t>
  </si>
  <si>
    <t>{RUB} Российские рубли (тыс. )</t>
  </si>
  <si>
    <t>{KZT} Казахский тенге  (тыс. )</t>
  </si>
  <si>
    <t>{JPY} Японская иена  (тыс. )</t>
  </si>
  <si>
    <t>Арктик Атом-Сервис</t>
  </si>
  <si>
    <t>ООО «Арктик Атом-Сервис»</t>
  </si>
  <si>
    <t>Инлексис</t>
  </si>
  <si>
    <t>ООО "Инлексис"</t>
  </si>
  <si>
    <t>ИЦ Философия.ИТ</t>
  </si>
  <si>
    <t>ООО "ИЦ Философия.ИТ"</t>
  </si>
  <si>
    <t>НТЦ ТУК</t>
  </si>
  <si>
    <t>ООО "Научно-технический центр экспертиз безопасности ТУК"</t>
  </si>
  <si>
    <t>ОЦ Энергетик</t>
  </si>
  <si>
    <t>ООО "ОЦ "Энергетик"</t>
  </si>
  <si>
    <t>Орбита успеха</t>
  </si>
  <si>
    <t>ООО "Орбита успеха"</t>
  </si>
  <si>
    <t>Р.Т Решения</t>
  </si>
  <si>
    <t>ООО "Р.Т Решения"</t>
  </si>
  <si>
    <t>Тектус.ИТ</t>
  </si>
  <si>
    <t>ООО "Тектус.ИТ"</t>
  </si>
  <si>
    <t>Цифровые экосистемы</t>
  </si>
  <si>
    <t>ООО "Цифровые экосистемы"</t>
  </si>
  <si>
    <t>ЭйТиСиКаз</t>
  </si>
  <si>
    <t>ЖШС "Эй Ти Си Каз"</t>
  </si>
  <si>
    <t>ЭЙТИСИУКР</t>
  </si>
  <si>
    <t>Скорректирована проверка</t>
  </si>
  <si>
    <t>По остаточной стоимости ОС на начало и конец года убраны из проверки суммы, проходящие на листе 10_расш по аналитике 1600</t>
  </si>
  <si>
    <t>ОООАтомЭнерго</t>
  </si>
  <si>
    <t>ООО "АтомЭнерго"</t>
  </si>
  <si>
    <t>V7</t>
  </si>
  <si>
    <r>
      <t xml:space="preserve">2240_Р добавлена аналитика : 
</t>
    </r>
    <r>
      <rPr>
        <sz val="8"/>
        <color indexed="56"/>
        <rFont val="Arial"/>
        <family val="2"/>
        <charset val="204"/>
      </rPr>
      <t>{2970000} Расходы Арендатора от переоценки обязательства по аренде</t>
    </r>
    <r>
      <rPr>
        <b/>
        <u/>
        <sz val="8"/>
        <color indexed="56"/>
        <rFont val="Arial"/>
        <family val="2"/>
        <charset val="204"/>
      </rPr>
      <t xml:space="preserve">
</t>
    </r>
  </si>
  <si>
    <t xml:space="preserve">сумма выручки за исключением "{RU} Россия" по договору на листе 46 (К13)  должна совпадать с суммой на листе Зарубежная выручка (К1)
</t>
  </si>
  <si>
    <t>Лист 46 
N Договора</t>
  </si>
  <si>
    <t>Лист Зарубежная выручка
 N Договора</t>
  </si>
  <si>
    <t>сумма выручки за исключением "{RU} Россия" по договору на листе 46 (К13)  должна совпадать с суммой на листе Зарубежная выручка (К1)</t>
  </si>
  <si>
    <t>Справочно</t>
  </si>
  <si>
    <t>С листа 46 (в разрезе договора и справочника продукции 2145) - "Нетто в 
тыс. в валюте учета (валюта заполнения ФСД)"</t>
  </si>
  <si>
    <t>С листа 46 (в разрезе договора и справочника продукции 2145) - "Остаток на конец периода (Дт)"+"Остаток на конец периода (Кт)"</t>
  </si>
  <si>
    <t>Обороты между счетами учета активов в форме права пользования, заполненные в разных формах должны соответствовать по видам движения между листами 01 и 08</t>
  </si>
  <si>
    <t>01, 08</t>
  </si>
  <si>
    <t>Обороты между счетами учета активов в форме права пользования, заполненные в разных формах (листы 01 и 08) должны соответствовать друг другу по видам движения: Выбытие (ввод в эксплуатацию) с 08 счета по аналитике {0101_~} Приобретение права пользования активом должно соответствовать обороту по 01 счету по виду движение "Поступление со счета 08" с соответствующими аналитиками 31,32,33,34.</t>
  </si>
  <si>
    <t xml:space="preserve"> В одной строке необходимо заполнять только 1 вид движения, кроме: {20500} Оценочные обязательства по обременительным договорам» и «{20600} Оценочные обязательства по судебным искам» (поним можно заполнять все движения в одной строке).
</t>
  </si>
  <si>
    <t>В одной строке необходимо заполнять только 1 вид движения, кроме: {20500} Оценочные обязательства по обременительным договорам» и «{20600} Оценочные обязательства по судебным искам» (по ним можно заполнять все движения в одной строке).</t>
  </si>
  <si>
    <t>В проверку добавлено исключение</t>
  </si>
  <si>
    <t xml:space="preserve">В проверку "В одной строке можно заполнять только 1 вид движения" (96_движ AL7) добавлено исключение, чтобы по резервам {20500} Оценочные обязательства по обременительным договорам» и «{20600} Оценочные обязательства по судебным искам» можно было заполнять все виды движения в одной строке
</t>
  </si>
  <si>
    <t>Сумма остаточной стоимости ДВЦ уменьшена на права пользования активами</t>
  </si>
  <si>
    <t>Добавлена проверка в столбец Z</t>
  </si>
  <si>
    <t xml:space="preserve">Скорректрированы строки </t>
  </si>
  <si>
    <t>Скорректрированы строки 1151 и 1211</t>
  </si>
  <si>
    <t>По начислению амортизации добавлена аналитика "{40010001} Амортизация законсервированных ОС"</t>
  </si>
  <si>
    <t>Добавлена проверка в столбцы AM-AR</t>
  </si>
  <si>
    <t>Дт 90.2 - Кт 96</t>
  </si>
  <si>
    <t>Изменена проверка в ячейке J4 - добавлена корреспонденция Дт90.02-Кт96</t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</si>
  <si>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{252036} Задолженность по лизинговым платежам</t>
    </r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</si>
  <si>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{252080} Чистая стоимость инвестиции в аренду</t>
    </r>
  </si>
  <si>
    <r>
      <rPr>
        <b/>
        <sz val="10"/>
        <color indexed="37"/>
        <rFont val="Arial"/>
        <family val="2"/>
        <charset val="204"/>
      </rP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{252081} НДС по авансам полученным про арендным платежам (финансовая аренда)</t>
    </r>
  </si>
  <si>
    <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{252038} Задолженность по арендным платежам (арендатор)</t>
    </r>
  </si>
  <si>
    <r>
      <t xml:space="preserve">Компании, входящие в РСБУ периметр консолидации по аналитике
</t>
    </r>
    <r>
      <rPr>
        <sz val="10"/>
        <color indexed="37"/>
        <rFont val="Arial"/>
        <family val="2"/>
        <charset val="204"/>
      </rPr>
      <t>{252037} Арендные обязательства</t>
    </r>
  </si>
  <si>
    <r>
      <rPr>
        <b/>
        <sz val="10"/>
        <color indexed="37"/>
        <rFont val="Arial"/>
        <family val="2"/>
        <charset val="204"/>
      </rPr>
      <t>Компании, входящие в РСБУ периметр консолидации по аналитике</t>
    </r>
    <r>
      <rPr>
        <sz val="10"/>
        <color indexed="37"/>
        <rFont val="Arial"/>
        <family val="2"/>
        <charset val="204"/>
      </rPr>
      <t xml:space="preserve">
{252079} НДС по авансам выданным (перерасчетный) по арендным платежам Арендные обязательства</t>
    </r>
  </si>
  <si>
    <t>Проверка аналитик колонки К1 и К3</t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</si>
  <si>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 xml:space="preserve">36 может быть только ДЗ </t>
    </r>
    <r>
      <rPr>
        <b/>
        <sz val="11"/>
        <color rgb="FF1F497D"/>
        <rFont val="Calibri"/>
        <family val="2"/>
        <charset val="204"/>
      </rPr>
      <t>или</t>
    </r>
    <r>
      <rPr>
        <sz val="11"/>
        <color rgb="FF1F497D"/>
        <rFont val="Calibri"/>
        <family val="2"/>
        <charset val="204"/>
      </rPr>
      <t xml:space="preserve"> авансом полученным</t>
    </r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</si>
  <si>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>37  - только КЗ</t>
    </r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</si>
  <si>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>80 – только ДЗ</t>
    </r>
  </si>
  <si>
    <r>
      <rPr>
        <b/>
        <u/>
        <sz val="10"/>
        <color indexed="56"/>
        <rFont val="Arial"/>
        <family val="2"/>
        <charset val="204"/>
      </rPr>
      <t>Добавлены аналитики:</t>
    </r>
    <r>
      <rPr>
        <sz val="10"/>
        <color indexed="56"/>
        <rFont val="Arial"/>
        <family val="2"/>
        <charset val="204"/>
      </rPr>
      <t xml:space="preserve">
"Компании, входящие в РСБУ периметр консолидации по аналитике
{252036} Задолженность по лизинговым платежам"
"Компании, входящие в РСБУ периметр консолидации по аналитике
{252080} Чистая стоимость инвестиции в аренду"
"Компании, входящие в РСБУ периметр консолидации по аналитике
{252036} Задолженность по лизинговым платежам"
"Компании, входящие в РСБУ периметр консолидации по аналитике
{252081} НДС по авансам полученным про арендным платежам (финансовая аренда)"
"Компании, входящие в РСБУ периметр консолидации по аналитике
{252037} Арендные обязательства"
"Компании, входящие в РСБУ периметр консолидации по аналитике
{252038} Задолженность по арендным платежам (арендатор)"
"Компании, входящие в РСБУ периметр консолидации по аналитике
{252078} НДС по авансам выданным (предварительный) по арендным платежам Арендные обязательства"
"Компании, входящие в РСБУ периметр консолидации по аналитике
{252079} НДС по авансам выданным (перерасчетный) по арендным платежам Арендные обязательства"
"Компании, входящие в РСБУ периметр консолидации по аналитике
{252038} Задолженность по арендным платежам (арендатор)"</t>
    </r>
  </si>
  <si>
    <t>Лист 76 Проверка аналитик колонки К1 и К3</t>
  </si>
  <si>
    <t>R1=GR1550</t>
  </si>
  <si>
    <t>Скорректирована проверка в столбцах AM-AR</t>
  </si>
  <si>
    <t>{52112000} Сопровождение и поддержка ИТ оборудования</t>
  </si>
  <si>
    <t>{52113000} Оборудование как услуга (IAAS)</t>
  </si>
  <si>
    <t>{52115000} Программное обеспечение как услуга (SAAS)</t>
  </si>
  <si>
    <t>{52116000} Услуги по информационной безопасности</t>
  </si>
  <si>
    <t>{52117000} Услуги по развитию информационных систем</t>
  </si>
  <si>
    <r>
      <t xml:space="preserve">2210 добавлена аналитика : 
</t>
    </r>
    <r>
      <rPr>
        <sz val="8"/>
        <color indexed="56"/>
        <rFont val="Arial"/>
        <family val="2"/>
        <charset val="204"/>
      </rPr>
      <t>{52112000} Сопровождение и поддержка ИТ оборудования
{52113000} Оборудование как услуга (IAAS)
{552114000} Платформа как услуга (PAAS)
{52115000} Программное обеспечение как услуга (SAAS)
{52116000} Услуги по информационной безопасности
{52117000} Услуги по развитию информационных систем</t>
    </r>
  </si>
  <si>
    <r>
      <t xml:space="preserve">2240_Д добавлена аналитика : 
</t>
    </r>
    <r>
      <rPr>
        <sz val="8"/>
        <color indexed="56"/>
        <rFont val="Arial"/>
        <family val="2"/>
        <charset val="204"/>
      </rPr>
      <t>{1970000} Доходы Арендатора от переоценки обязательства по аренде</t>
    </r>
    <r>
      <rPr>
        <b/>
        <u/>
        <sz val="8"/>
        <color indexed="56"/>
        <rFont val="Arial"/>
        <family val="2"/>
        <charset val="204"/>
      </rPr>
      <t xml:space="preserve">
</t>
    </r>
  </si>
  <si>
    <t>листе 90_контр в ячейке F5 проверка на количество строк в таблице, которое ограничено 2700 строками</t>
  </si>
  <si>
    <t>На листе "Долгосроч_договоры" (ячейка CQ8, проверка "Сумма всего затрат по договору не д.б. меньше, чем признано накопленным итогом в ОПУ") добавил сумму НЗП из столбца К17 (если в К17 есть сумма) и дополнил название проверки, теперь называется"Сумма всего затрат по договору не д.б. меньше, чем признано накопленным итогом в ОПУ+НЗП"</t>
  </si>
  <si>
    <t>Доработана формула в проверке (надо доработать проверку и в КХД)</t>
  </si>
  <si>
    <t>Сумма всего затрат по договору не д.б. меньше, чем признано накопленным итогом в ОПУ + НЗП</t>
  </si>
  <si>
    <r>
      <rPr>
        <b/>
        <u/>
        <sz val="10"/>
        <color rgb="FFFFFF00"/>
        <rFont val="Arial"/>
        <family val="2"/>
        <charset val="204"/>
      </rPr>
      <t>ПРОВЕРКА:</t>
    </r>
    <r>
      <rPr>
        <b/>
        <sz val="10"/>
        <color rgb="FFFFFF00"/>
        <rFont val="Arial"/>
        <family val="2"/>
        <charset val="204"/>
      </rPr>
      <t xml:space="preserve">
сумма выручки за исключением "{RU} Россия" по договору на листе 46 (К13)  должна совпадать с суммой на листе Зарубежная выручка (К1)</t>
    </r>
  </si>
  <si>
    <t>{52114000} Платформа как услуга (PAAS)</t>
  </si>
  <si>
    <t>В расшифровке использования по "{20900} Оценочные обязательства по гарантийным обязательствам" на 96_движ д.б. указан кор. счет. Из выпадающего списка. Для начисления по 2900 Корреспондирующий счет и Первичные виды затрат должны быть Х.</t>
  </si>
  <si>
    <t>Убрал из формулы проверки лишнее условие и дополнил описание проверки</t>
  </si>
  <si>
    <t>Убрал из формулы проверки (ячейка X11 на листе 96_движ) проверку резерва 2600 т.к. эта же проверка для 2600 есть в ячейке AI. 
Дополнил описание проверки на листе "ПРоверки", было -"В расшифровке использования по "{20900} Оценочные обязательства по гарантийным обязательствам" на 96_движ д.б. указан кор. Счет", теперь называется "В расшифровке использования по "{20900} Оценочные обязательства по гарантийным обязательствам" на 96_движ д.б. указан кор. счет. Из выпадающего списка. Для начисления по 2900 Корреспондирующий счет и Первичные виды затрат должны быть Х."</t>
  </si>
  <si>
    <t>Реклассификация не может быть по праву собственности</t>
  </si>
  <si>
    <t>Добавлена проверка в столбец AN -вид движения "реклассификация" не может проходить по видам собственности</t>
  </si>
  <si>
    <t>Добавлена проверка в столбец AX - вид движения "реклассификация" не может проходить по видам амортизации</t>
  </si>
  <si>
    <t>Добавлена проверка в столбец AK -вид движения "реклассификация" не может проходить по видам собственности</t>
  </si>
  <si>
    <t>V8</t>
  </si>
  <si>
    <t>V9</t>
  </si>
  <si>
    <t>Разметка  ФСД</t>
  </si>
  <si>
    <t>Поддержка КХД</t>
  </si>
  <si>
    <t>C1=F_M0299;C2=YTD;C4=0102</t>
  </si>
  <si>
    <t>R5=T46</t>
  </si>
  <si>
    <t>R5=T96</t>
  </si>
  <si>
    <t>Атомдата-Интеграция</t>
  </si>
  <si>
    <t>АО "Атомдата-Интеграция"</t>
  </si>
  <si>
    <t>АТП ГХК</t>
  </si>
  <si>
    <t>ООО "АТП ГХК"</t>
  </si>
  <si>
    <t>Мобильные профессионалы</t>
  </si>
  <si>
    <t>ООО "Мобильные профессионалы"</t>
  </si>
  <si>
    <t>Русатом РДС</t>
  </si>
  <si>
    <t>АО "Русатом РДС"</t>
  </si>
  <si>
    <t>РусСтан</t>
  </si>
  <si>
    <t>АО "РусСтан"</t>
  </si>
  <si>
    <t>ООО "СИ ИКС ЛАБ"</t>
  </si>
  <si>
    <t>ТЕХКОНСУР</t>
  </si>
  <si>
    <t>ООО "Техконсур"</t>
  </si>
  <si>
    <t>Цифровые системы управления</t>
  </si>
  <si>
    <t>ООО "Цифровые системы управления"</t>
  </si>
  <si>
    <t>Строки по аналитикам заблокированы для заполнения (сверку в Портале ВГО по данным аналитикам не проводим)</t>
  </si>
  <si>
    <t>V10</t>
  </si>
  <si>
    <t>ВБРР</t>
  </si>
  <si>
    <t>Росэксимбанк</t>
  </si>
  <si>
    <t>АО "Фонд развития Дальнего Востока и Арктики"</t>
  </si>
  <si>
    <t>ФК Открытие</t>
  </si>
  <si>
    <t>АО "Неорганические сорбенты"</t>
  </si>
  <si>
    <t>Скорректирован справочник ОСС</t>
  </si>
  <si>
    <t>Исправлена формула в К5 и К17</t>
  </si>
  <si>
    <r>
      <rPr>
        <b/>
        <u/>
        <sz val="10"/>
        <color indexed="56"/>
        <rFont val="Arial"/>
        <family val="2"/>
        <charset val="204"/>
      </rPr>
      <t>Заблокированы аналитики:
"Компании, входящие в РСБУ периметр консолидации по аналитике</t>
    </r>
    <r>
      <rPr>
        <sz val="10"/>
        <color indexed="56"/>
        <rFont val="Arial"/>
        <family val="2"/>
        <charset val="204"/>
      </rPr>
      <t xml:space="preserve">
{252081} НДС по авансам полученным про арендным платежам (финансовая аренда)"
"Компании, входящие в РСБУ периметр консолидации по аналитике
{252078} НДС по авансам выданным (предварительный) по арендным платежам Арендные обязательства"
"Компании, входящие в РСБУ периметр консолидации по аналитике
{252079} НДС по авансам выданным (перерасчетный) по арендным платежам Арендные обязательства"
</t>
    </r>
  </si>
  <si>
    <r>
      <t xml:space="preserve">_2240_расходы_ВГО добавлена аналитика : 
</t>
    </r>
    <r>
      <rPr>
        <sz val="8"/>
        <color indexed="56"/>
        <rFont val="Arial"/>
        <family val="2"/>
        <charset val="204"/>
      </rPr>
      <t>{2970001} Расходы, связанные с подготовкой обоснования для принятия решения (доинвестиционный этап)</t>
    </r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</si>
  <si>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>78 –  ДЗ</t>
    </r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</si>
  <si>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>79 – только КЗ</t>
    </r>
  </si>
  <si>
    <t>Скорректирована проверка в столбце AN</t>
  </si>
  <si>
    <t>Скорректирована проверка в столбце AK</t>
  </si>
  <si>
    <t>Формула</t>
  </si>
  <si>
    <t xml:space="preserve">Удалена проверка в столбец AX </t>
  </si>
  <si>
    <t>Удалена проверка</t>
  </si>
  <si>
    <t>Протянута формула в столбцах AM-AR по строкам 16,17,18</t>
  </si>
  <si>
    <r>
      <rPr>
        <b/>
        <u/>
        <sz val="10"/>
        <color indexed="56"/>
        <rFont val="Arial"/>
        <family val="2"/>
        <charset val="204"/>
      </rPr>
      <t>Проверка аналитик колонки К1 и К3</t>
    </r>
    <r>
      <rPr>
        <sz val="10"/>
        <color indexed="56"/>
        <rFont val="Arial"/>
        <family val="2"/>
        <charset val="204"/>
      </rPr>
      <t xml:space="preserve">
по аналитике {252079}  может быть 12 Авансы выданные или 11 Кредиторская задолженность
по аналитике {252078} может быть 21 Дебиторская задолженность 
</t>
    </r>
  </si>
  <si>
    <r>
      <t xml:space="preserve">Проверка соответствия знаков: Дт с плюсом, Кт с минусом
</t>
    </r>
    <r>
      <rPr>
        <sz val="8"/>
        <color indexed="56"/>
        <rFont val="Arial"/>
        <family val="2"/>
        <charset val="204"/>
      </rPr>
      <t>Делаем исключения по аналитике {252079} по знакам, если аналитика  {252079} = 12 Авансы выданные – то может быть с минусом в Дебете</t>
    </r>
  </si>
  <si>
    <t>исправлена проверка в столбце Y</t>
  </si>
  <si>
    <t>исправлена проверка в столбце AT</t>
  </si>
  <si>
    <t>исправлена проверка в столбце AL</t>
  </si>
  <si>
    <t>исправлена проверка в столбце AS</t>
  </si>
  <si>
    <r>
      <rPr>
        <b/>
        <u/>
        <sz val="10"/>
        <color indexed="56"/>
        <rFont val="Arial"/>
        <family val="2"/>
        <charset val="204"/>
      </rPr>
      <t>Суммы НДС необходимо отражать по аналитике задолженность</t>
    </r>
    <r>
      <rPr>
        <sz val="10"/>
        <color indexed="56"/>
        <rFont val="Arial"/>
        <family val="2"/>
        <charset val="204"/>
      </rPr>
      <t xml:space="preserve">
по аналитике {252079}  может быть 12 Авансы выданные или 11 Кредиторская задолженность
по аналитике {252078} может быть 21 Дебиторская задолженность </t>
    </r>
  </si>
  <si>
    <t>исправлена проверка в столбце AM</t>
  </si>
  <si>
    <t>Скорректрированы строки 1153 и 1527 и 1190 и 1233</t>
  </si>
  <si>
    <t>Скорректрирована строка 1361 резервные фонды. По МР Дт остаток по отраслевым резервам должен попадать в строку 1260 прочие оборотные активы, поэтому убрал из строки 1361 ссылку на дт остаток по отраслевым резервам (в формуле была ссылка на +'96'!Q49)</t>
  </si>
  <si>
    <t>поменял формулу в ДТ остатках на начало и конец по отраслевым резервам</t>
  </si>
  <si>
    <t>в диапазонахячеек E49:E62, G49:G62, Q49:Q62, S49:S62 Открыл для ввода ячейки и поменял формулу в суммах чтобы можно было отражать развернутое сальдо по (дт и кт). ранее в ФСД по отраслевым резервам остаток мог быть почему-тотолько свернутом (или по дт или по кт)</t>
  </si>
  <si>
    <t>Исправлена проверка в части аналитики 2750000 (лист Прочие_расш Y32)</t>
  </si>
  <si>
    <t>Скорректирован знак в проверке между оборотами 91 счета в ячейке F73.</t>
  </si>
  <si>
    <t>ПО АККУЮ НУКЛЕАР нужно исправить ИНН на новый 9909341290</t>
  </si>
  <si>
    <t>исправить ИНН</t>
  </si>
  <si>
    <t>Аналитика {2609910} Выплаты освобожденным работникам профсоюзов (зарплата, соц.выплаты) исключена из Прочие_расш (столбец K1).</t>
  </si>
  <si>
    <t>Скорректирован справочник 2240_доп</t>
  </si>
  <si>
    <t>Скорректирована проверка со строкой 1151 Баланса на начало и конец отчетного периода</t>
  </si>
  <si>
    <t xml:space="preserve">Скорректрирована строка  1527 
(В строке 1527 корректировка НДС 252079 должна проводиться с обратным знаком) 
</t>
  </si>
  <si>
    <t>Скорректрирована строка  1153
Для строки 1153 в формуле на листе Баланс не учтена аналитика 251018 по компаниям не входящим в РСБУ периметр</t>
  </si>
  <si>
    <t>Скорректрированы строки 1190 и 1232</t>
  </si>
  <si>
    <t>исправить валюту</t>
  </si>
  <si>
    <t>Headspring Investments (PTY.) Ltd.  и VPR поменять валюту на {USD} Доллар СШ</t>
  </si>
  <si>
    <t>V11</t>
  </si>
  <si>
    <t>Изменение для тех кто заполняет Эксель</t>
  </si>
  <si>
    <t>добавлена ПРОВЕРКА СБАЛАНСИРОВАННОСТИ ОСВ (сумма всех счетов = 0)</t>
  </si>
  <si>
    <t>ПРОВЕРКА СБАЛАНСИРОВАННОСТИ ОСВ (сумма всех счетов = 0)</t>
  </si>
  <si>
    <t>Обесценение активов для продажи невозможно</t>
  </si>
  <si>
    <t xml:space="preserve"> Исправлена формула в столбцах Проверка наличия ВГО ИНН и Проверка наличия ВГО GID
Компания TITAN2 IC ИНН 821101 и GID 579950 ранее была добавлена в исключениях.
</t>
  </si>
  <si>
    <t>Исправлен признак по аналитике {2281200} Амортизация ОС, находящихся на консервации на {23} Прочие расходы не в составе EBITDA</t>
  </si>
  <si>
    <t>Лист 02,05</t>
  </si>
  <si>
    <t>Проверка обесценения активов для продажи</t>
  </si>
  <si>
    <t>На листах 02 и 05 добавлены проверки на возможность отражения обесценения по активам для продажи (обесценение для активов для продажи невозможно)</t>
  </si>
  <si>
    <t>Обновлена проверка</t>
  </si>
  <si>
    <t>Затраты_Вход 1,91_02, 96, 96_движ</t>
  </si>
  <si>
    <t>Поправлена проверка в колонке АТ по аналитике {252081} НДС по авансам полученным про арендным платежам (финансовая аренда), что она должна быть = {21} Дебиторская задолженность</t>
  </si>
  <si>
    <t xml:space="preserve"> "1600" не должна расшифровываться в столбцах G-K, N-T</t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</si>
  <si>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>81 – только ДЗ</t>
    </r>
  </si>
  <si>
    <t>6018 добавлена аналитика : 
{45393000} муниципальный округ Печатники</t>
  </si>
  <si>
    <t>{45393000} муниципальный округ Печатники</t>
  </si>
  <si>
    <t>итого</t>
  </si>
  <si>
    <t>Начало периода:</t>
  </si>
  <si>
    <t>Конец периода:</t>
  </si>
  <si>
    <t>Компании, входящие в РСБУ периметр консолидации по аналитике</t>
  </si>
  <si>
    <t>Скорректированы формулы</t>
  </si>
  <si>
    <t>Скорректированы формулы в строках 1527, 1153, 1450 в части 38 аналитики 76 счета.</t>
  </si>
  <si>
    <t>Сворачивание</t>
  </si>
  <si>
    <r>
      <t>·</t>
    </r>
    <r>
      <rPr>
        <sz val="7"/>
        <color rgb="FF1F497D"/>
        <rFont val="Times New Roman"/>
        <family val="1"/>
        <charset val="204"/>
      </rPr>
      <t xml:space="preserve">       </t>
    </r>
    <r>
      <rPr>
        <sz val="11"/>
        <color rgb="FF1F497D"/>
        <rFont val="Calibri"/>
        <family val="2"/>
        <charset val="204"/>
      </rPr>
      <t xml:space="preserve">38 – только авансом выданным </t>
    </r>
    <r>
      <rPr>
        <b/>
        <sz val="11"/>
        <color rgb="FF1F497D"/>
        <rFont val="Calibri"/>
        <family val="2"/>
        <charset val="204"/>
      </rPr>
      <t>или</t>
    </r>
    <r>
      <rPr>
        <sz val="11"/>
        <color rgb="FF1F497D"/>
        <rFont val="Calibri"/>
        <family val="2"/>
        <charset val="204"/>
      </rPr>
      <t xml:space="preserve"> КЗ (авансы могут быть по ДТ и КТ в целях сворачивания)</t>
    </r>
  </si>
  <si>
    <t>Переименована строка 41</t>
  </si>
  <si>
    <t>Проверки не распространяются на комбинацию 38 аналитика-авансы выданные. При данной комбинации может быть положительное сальдо по ДТ (стандартно), а также положительное сальдо по КТ для корректного сбора баланса.</t>
  </si>
  <si>
    <t>46 счет без НДС не может быть больше накоп.выручки в ОПУ</t>
  </si>
  <si>
    <t xml:space="preserve">Долгосроч_договоры </t>
  </si>
  <si>
    <t xml:space="preserve">46 счет без НДС не может быть больше накоп.выручки в ОПУ
Значение К32/120*100 &lt;= К21 иначе ЛОЖЬ. </t>
  </si>
  <si>
    <t>{08000} Инвестиционная программа федерального оператора</t>
  </si>
  <si>
    <t>{9902500300000000} Обращение с отходами I и II классов опасности</t>
  </si>
  <si>
    <t>{14360100} Услуги по сбору отходов I класса</t>
  </si>
  <si>
    <t>{14360200} Услуги по транспортированию отходов I класса</t>
  </si>
  <si>
    <t>{14360300} Услуги по обработке отходов I класса</t>
  </si>
  <si>
    <t>{14360400} Услуги по утилизации отходов I класса</t>
  </si>
  <si>
    <t>{14360500} Услуги по обезвреживанию отходов I класса</t>
  </si>
  <si>
    <t>{14360600} Услуги по размещению отходов I класса</t>
  </si>
  <si>
    <t>{14360700} Комплекс услуг по обращению с отходами I класса</t>
  </si>
  <si>
    <t>{14360800} Услуги по сбору отходов II класса</t>
  </si>
  <si>
    <t>{14360900} Услуги по транспортированию отходов II класса</t>
  </si>
  <si>
    <t>{14361000} Услуги по обработке отходов II класса</t>
  </si>
  <si>
    <t>{14361100} Услуги по утилизации отходов II класса</t>
  </si>
  <si>
    <t>{14361200} Услуги по обезвреживанию отходов II класса</t>
  </si>
  <si>
    <t>{14361300} Услуги по размещению отходов II класса</t>
  </si>
  <si>
    <t>{14361400} Комплекс услуг по обращению с отходами II класса</t>
  </si>
  <si>
    <r>
      <t xml:space="preserve">1010 добавлена аналитика : 
</t>
    </r>
    <r>
      <rPr>
        <sz val="8"/>
        <color indexed="56"/>
        <rFont val="Arial"/>
        <family val="2"/>
        <charset val="204"/>
      </rPr>
      <t>{08000} Инвестиционная программа федерального оператора</t>
    </r>
    <r>
      <rPr>
        <b/>
        <u/>
        <sz val="8"/>
        <color indexed="56"/>
        <rFont val="Arial"/>
        <family val="2"/>
        <charset val="204"/>
      </rPr>
      <t xml:space="preserve">
</t>
    </r>
  </si>
  <si>
    <r>
      <t xml:space="preserve">2145 добавлена аналитика : 
</t>
    </r>
    <r>
      <rPr>
        <sz val="8"/>
        <color indexed="56"/>
        <rFont val="Arial"/>
        <family val="2"/>
        <charset val="204"/>
      </rPr>
      <t>{9902500300000000} Обращение с отходами I и II классов опасности</t>
    </r>
    <r>
      <rPr>
        <b/>
        <u/>
        <sz val="8"/>
        <color indexed="56"/>
        <rFont val="Arial"/>
        <family val="2"/>
        <charset val="204"/>
      </rPr>
      <t xml:space="preserve">
</t>
    </r>
  </si>
  <si>
    <t>Исправлена проверка в столбцах AL,AM - непременима для комбинации 38 аналитика и авансы выданные.</t>
  </si>
  <si>
    <t>ООО "Газпром межрегионгаз Белгород"</t>
  </si>
  <si>
    <t>ООО "Газпром межрегионгаз Курск"</t>
  </si>
  <si>
    <t>ООО "Газпром межрегионгаз Липецк"</t>
  </si>
  <si>
    <t>ООО "Газпром межрегионгаз Орел"</t>
  </si>
  <si>
    <t>ООО "Газпром межрегионгаз Рязань"</t>
  </si>
  <si>
    <t>ООО "Газпром межрегионгаз Смоленск"</t>
  </si>
  <si>
    <t>ООО "Газпром межрегионгаз Тамбов"</t>
  </si>
  <si>
    <t>ООО "Газпром межрегионгаз Тула"</t>
  </si>
  <si>
    <t>Государственное унитарное предриятие Белгородской области "Белгородский областной водоканал"</t>
  </si>
  <si>
    <t>МПП ВКХ"Орелводоканал"</t>
  </si>
  <si>
    <t>Муниципальное унитарное предприятие "Водоканал города Курска"</t>
  </si>
  <si>
    <t>Муниципальное Унитарное Предприятие "Водопроводно - канализационное хозяйство"</t>
  </si>
  <si>
    <t>МУП "Автоколонна - 1308"</t>
  </si>
  <si>
    <t>МУП "Гортеплосеть"</t>
  </si>
  <si>
    <t>МУП "Губкин Сервис"</t>
  </si>
  <si>
    <t>МУП "Данковский водоканал"</t>
  </si>
  <si>
    <t>МУП "Лебедянский водоканал"</t>
  </si>
  <si>
    <t>Федеральное казенное предприятие "Алексинский химический комбинат"</t>
  </si>
  <si>
    <t>Администрация города Рязани</t>
  </si>
  <si>
    <t>Калугатеплосеть, МУП</t>
  </si>
  <si>
    <t>МТУ Росимущества в Тамбовской и Липецкой областях</t>
  </si>
  <si>
    <t>Муниципальное Казенное Предприятие "ЖКХ Рязанское" Муниципального образования-Рязанский Муниципальны</t>
  </si>
  <si>
    <t>Муниципальное унитарное предприятие  "Тамбовтеплосервис"</t>
  </si>
  <si>
    <t>МУП "Теплоснаб"</t>
  </si>
  <si>
    <t>ОГУП "Елецводоканал"</t>
  </si>
  <si>
    <t>ОГУП "ЛОКК"</t>
  </si>
  <si>
    <t>ОГУЭПП "Смоленскоблкоммунэнерго"</t>
  </si>
  <si>
    <t>МУП "Ливенские тепловые сети"</t>
  </si>
  <si>
    <t>МУП "Смоленсктеплосеть"</t>
  </si>
  <si>
    <t>МУП "Тамбовинвестсервис"</t>
  </si>
  <si>
    <t>СМУП "ВЦ ЖКХ"</t>
  </si>
  <si>
    <t>СМУП "Горводоканал"</t>
  </si>
  <si>
    <t>ТУ Росимущества в Воронежской области</t>
  </si>
  <si>
    <t>УИЗО АГО г. Воронеж</t>
  </si>
  <si>
    <t>Управление имущественных и земельных отношений Администрации города Смоленска</t>
  </si>
  <si>
    <t>Управление протокола и обеспечения деятельности администрации городского округа город Елец</t>
  </si>
  <si>
    <t>УФК по Белгородской области (ФБУ "Белгородский ЦСМ" л/сч.№ 20266Х13450)</t>
  </si>
  <si>
    <t>УФК по Белгородской области (ФБУЗ "Центр гигиены и эпидемиологии в Белгородской области л/сч. 20266U</t>
  </si>
  <si>
    <t>УФК по Орловской области (для Управления муниципального имущества и землепользования Администрации г</t>
  </si>
  <si>
    <t>УФК по Тамбовской области (ФБУ "Тамбовский ЦСМ" л/с 20646X17080)</t>
  </si>
  <si>
    <t>УФК по Тульской области (Администрация муниципального образования город Новомосковск), л/с  852. 01.</t>
  </si>
  <si>
    <t>ФАУ "Главгосэкспертиза России"</t>
  </si>
  <si>
    <t>ФГБУ "ЦЖКУ" Минобороны России</t>
  </si>
  <si>
    <t>Комитет по управлению имуществом Курской области</t>
  </si>
  <si>
    <t>Комитет природных ресурсов Курской области</t>
  </si>
  <si>
    <t>Муниципальное унитарное предприятие "Липецктеплосеть"</t>
  </si>
  <si>
    <t>Департамент надзорной и контрольной деятельности Орловской области</t>
  </si>
  <si>
    <t>Департамент природных ресурсов и экологии  Воронежской области</t>
  </si>
  <si>
    <t>Управление по охране окружающей среды и природопользованию Тамбовской обл.</t>
  </si>
  <si>
    <t>Управление экологии и природных ресурсов Липецкой области</t>
  </si>
  <si>
    <t>Переименована строка 41 для заполнения положительного остатка по КТ по 38 аналитике по авансам выданным для корректного сбора баланса</t>
  </si>
  <si>
    <t>Скорректированы проверки в столбцах Y, Z</t>
  </si>
  <si>
    <t>Проверка заполненности колонки К2</t>
  </si>
  <si>
    <t>Проверка заполненности колонки К6</t>
  </si>
  <si>
    <t>Добавлены проверки</t>
  </si>
  <si>
    <t>Добавлена проверка заполненности колонки К2 "Типы проектов" (столбец М)</t>
  </si>
  <si>
    <t>Добавлена проверка заполненности колонки К6 "Типы проектов" (столбец М)</t>
  </si>
  <si>
    <t>Добавлены проверки заполненности колонки "Типы проектов" для листа 91_02 и 91_02_ВГО (строка 459; 460)</t>
  </si>
  <si>
    <t>Изменены формулы в строказ заемные средства краткосрочные и долгосрочные</t>
  </si>
  <si>
    <t>Теперь не все проценты начисленные автоматически относятся на краткосрочные кредиты и займы.
Для отнесения процентов по КиЗ к краткосрочным необходимо по тем же договорам, которые отражены на листе 67  занести их на листе 66 отдельно
для отнесения процентов к долгосрочным необходимо заполнить их в колонках проценты на листе 67
В случае если тело долга долгосрочное а проценты краткосрочные то необходимо завести аналогичный договор с листа 67 на листе 66 и указать в нем только сумму процентов</t>
  </si>
  <si>
    <t>Мишуров А.В.</t>
  </si>
  <si>
    <t>Баланс (Кредиты и Займы)</t>
  </si>
  <si>
    <r>
      <t>Филиал АО "Концерн Росэнергоатом" "</t>
    </r>
    <r>
      <rPr>
        <sz val="11"/>
        <color indexed="8"/>
        <rFont val="Calibri"/>
        <family val="2"/>
        <charset val="204"/>
      </rPr>
      <t xml:space="preserve"> </t>
    </r>
    <r>
      <rPr>
        <sz val="10"/>
        <color rgb="FF003366"/>
        <rFont val="Arial"/>
        <family val="2"/>
        <charset val="204"/>
      </rPr>
      <t>ОДИЦ РБМК"</t>
    </r>
  </si>
  <si>
    <r>
      <rPr>
        <b/>
        <sz val="10"/>
        <color indexed="56"/>
        <rFont val="Arial"/>
        <family val="2"/>
        <charset val="204"/>
      </rPr>
      <t xml:space="preserve">1014 добавлена аналитика : </t>
    </r>
    <r>
      <rPr>
        <sz val="10"/>
        <color indexed="56"/>
        <rFont val="Arial"/>
        <family val="2"/>
        <charset val="204"/>
      </rPr>
      <t xml:space="preserve">
</t>
    </r>
    <r>
      <rPr>
        <sz val="8"/>
        <color indexed="56"/>
        <rFont val="Arial"/>
        <family val="2"/>
        <charset val="204"/>
      </rPr>
      <t>Филиал АО "Концерн Росэнергоатом" " ОДИЦ РБМК"</t>
    </r>
    <r>
      <rPr>
        <b/>
        <u/>
        <sz val="8"/>
        <color indexed="56"/>
        <rFont val="Arial"/>
        <family val="2"/>
        <charset val="204"/>
      </rPr>
      <t xml:space="preserve">
</t>
    </r>
  </si>
  <si>
    <t>счет 03</t>
  </si>
  <si>
    <t>90.2</t>
  </si>
  <si>
    <r>
      <t>(</t>
    </r>
    <r>
      <rPr>
        <sz val="10"/>
        <color rgb="FFFF0000"/>
        <rFont val="Arial"/>
        <family val="2"/>
        <charset val="204"/>
      </rPr>
      <t>только для эксель ФСД)</t>
    </r>
    <r>
      <rPr>
        <sz val="10"/>
        <color indexed="56"/>
        <rFont val="Arial"/>
        <family val="2"/>
        <charset val="204"/>
      </rPr>
      <t xml:space="preserve"> Проверка списания производственных затрат на прочие расходы</t>
    </r>
    <r>
      <rPr>
        <u/>
        <sz val="8"/>
        <color indexed="56"/>
        <rFont val="Arial"/>
        <family val="2"/>
        <charset val="204"/>
      </rPr>
      <t xml:space="preserve">
</t>
    </r>
  </si>
  <si>
    <r>
      <rPr>
        <sz val="10"/>
        <color rgb="FFFF0000"/>
        <rFont val="Arial"/>
        <family val="2"/>
        <charset val="204"/>
      </rPr>
      <t>(только для эксель ФСД</t>
    </r>
    <r>
      <rPr>
        <sz val="10"/>
        <color indexed="56"/>
        <rFont val="Arial"/>
        <family val="2"/>
        <charset val="204"/>
      </rPr>
      <t>) В колонке O и Р не вся формула подтягивается с листа «ОСВ_авт»</t>
    </r>
    <r>
      <rPr>
        <u/>
        <sz val="8"/>
        <color indexed="56"/>
        <rFont val="Arial"/>
        <family val="2"/>
        <charset val="204"/>
      </rPr>
      <t xml:space="preserve">
</t>
    </r>
  </si>
  <si>
    <t>Андреев С.Е./ВНИИЭФ</t>
  </si>
  <si>
    <t>Расходы, связанные с подготовкой обоснования для принятия решения (доинвестиционный этап)</t>
  </si>
  <si>
    <t>V12</t>
  </si>
  <si>
    <t>добавить аналитику "2970001 Расходы, связанные с подготовкой обоснования для принятия решения (доинвестиционный этап)" в верхнюю таблицу, а также в выпадающие списки нижней таблицы на листе ФСД «Прочие_расш».</t>
  </si>
  <si>
    <r>
      <rPr>
        <sz val="10"/>
        <color rgb="FFFF0000"/>
        <rFont val="Arial"/>
        <family val="2"/>
        <charset val="204"/>
      </rPr>
      <t xml:space="preserve"> (надо доработать и в КХД) </t>
    </r>
    <r>
      <rPr>
        <sz val="11"/>
        <color theme="3"/>
        <rFont val="Arial"/>
        <family val="2"/>
        <charset val="204"/>
      </rPr>
      <t>Исправил изменения №166 (см. выше в списке изменений). Ранее В проверку "Проверка оборотов между счетами, Прочие оценочные обязательства" (на листе 96 это проверка в ячейке AE42) добавили сумму начисления резерва по обременительным договорам с листа 96_движ (лист 96 это проверка в ячейке AE35), но на листе "Затраты выход" (ячейка K22) сделали специальную ячейку для такого начисления резерва и удобнее брать сумму для проверки именно оттуда.</t>
    </r>
  </si>
  <si>
    <t>ATCUKR Limited Liability Company</t>
  </si>
  <si>
    <t>ФГБУ «ГлавСевморпуть»</t>
  </si>
  <si>
    <t>ГлавСевморпуть</t>
  </si>
  <si>
    <t>Lithium One Bolivia LTDA.</t>
  </si>
  <si>
    <t>Lithium One</t>
  </si>
  <si>
    <t>АО "ЯКУТСКАЯ АСММ"</t>
  </si>
  <si>
    <t>ЯКУТСКАЯ АСММ</t>
  </si>
  <si>
    <t>ООО "Энергодрайв"</t>
  </si>
  <si>
    <t>Энергодрайв</t>
  </si>
  <si>
    <t>АО "АМТЕЛ-СВЯЗЬ"</t>
  </si>
  <si>
    <t>АМТЕЛ-СВЯЗЬ</t>
  </si>
  <si>
    <t>ООО "ТелИнТел"</t>
  </si>
  <si>
    <t>ТелИнТел</t>
  </si>
  <si>
    <t>ЗАО "ДОЗОР-ТЕЛЕПОРТ"</t>
  </si>
  <si>
    <t>Дозор-Телепорт</t>
  </si>
  <si>
    <t>ООО "УК "Дело"</t>
  </si>
  <si>
    <t>УК Дело</t>
  </si>
  <si>
    <t>ТрансКонтейнер</t>
  </si>
  <si>
    <t>ООО "Транстерминал Холдинг"</t>
  </si>
  <si>
    <t>Транстерминал Холдинг</t>
  </si>
  <si>
    <t>ООО "ДелоПортс"</t>
  </si>
  <si>
    <t>ДелоПортс</t>
  </si>
  <si>
    <t>ООО "Дело-Центр"</t>
  </si>
  <si>
    <t>ДелоЦентр</t>
  </si>
  <si>
    <t>ООО "Глобальный Контейнерный Сервис"</t>
  </si>
  <si>
    <t>ГКС</t>
  </si>
  <si>
    <t>АО "Зерновой терминал "КСК"</t>
  </si>
  <si>
    <t>КСК</t>
  </si>
  <si>
    <t>ООО "Рускон"</t>
  </si>
  <si>
    <t>Рускон</t>
  </si>
  <si>
    <t>ООО "Контейнерный терминал "НУТЭП"</t>
  </si>
  <si>
    <t>НУТЭП</t>
  </si>
  <si>
    <t>DCP HOLDINGS LTD</t>
  </si>
  <si>
    <t>12325886F</t>
  </si>
  <si>
    <t>DCP Holdings</t>
  </si>
  <si>
    <r>
      <t xml:space="preserve">Обновлен список компаний участвующих в сверке ВГО за 9мес. 2022год
Добавлены:
</t>
    </r>
    <r>
      <rPr>
        <sz val="8"/>
        <color indexed="56"/>
        <rFont val="Arial"/>
        <family val="2"/>
        <charset val="204"/>
      </rPr>
      <t>АМТЕЛ-СВЯЗЬ
Брэйн Стафф
Дозор-Телепорт
Инлексис
ИЦ Философия.ИТ
Мобильные профессионалы
Орбита успеха
Р.Т Решения
СИ ИКС ЛАБ
ТЕХКОНСУР
Тектус.ИТ
ТелИнТел
Цифровые экосистемы
Цифровые системы управления
ЭйТиСиКаз</t>
    </r>
    <r>
      <rPr>
        <b/>
        <sz val="8"/>
        <color indexed="56"/>
        <rFont val="Arial"/>
        <family val="2"/>
        <charset val="204"/>
      </rPr>
      <t xml:space="preserve">
</t>
    </r>
  </si>
  <si>
    <r>
      <t xml:space="preserve">Обновлен список компаний В ГК-МСФО и АЭПК-МСФО за 9мес. 2022год
Добавлены:
</t>
    </r>
    <r>
      <rPr>
        <sz val="8"/>
        <color indexed="56"/>
        <rFont val="Arial"/>
        <family val="2"/>
        <charset val="204"/>
      </rPr>
      <t>Русатом Металлургические технологии
TSM
Атомдата-Интеграция
Русатом Пултрузия
Энергодрайв
УК Дело
ТрансКонтейнер
ГКС
Рускон
ТрансКорп
ДелоПортс
НУТЭП
КСК
DCP Holdings
Транстерминал Холдинг
ДелоЦентр</t>
    </r>
    <r>
      <rPr>
        <b/>
        <sz val="8"/>
        <color indexed="56"/>
        <rFont val="Arial"/>
        <family val="2"/>
        <charset val="204"/>
      </rPr>
      <t xml:space="preserve">
</t>
    </r>
  </si>
  <si>
    <t>Изменения по периметру 
Терешин А.</t>
  </si>
  <si>
    <r>
      <rPr>
        <sz val="11"/>
        <color rgb="FFFF0000"/>
        <rFont val="Arial"/>
        <family val="2"/>
        <charset val="204"/>
      </rPr>
      <t xml:space="preserve"> (надо доработать и в КХД) </t>
    </r>
    <r>
      <rPr>
        <sz val="11"/>
        <color indexed="56"/>
        <rFont val="Arial"/>
        <family val="2"/>
        <charset val="204"/>
      </rPr>
      <t>В проверку "Проверка оборотов между счетами, Прочие оценочные обязательства" (на листе 96 это ячейка AE42) добавил сумму начисления резерва по обременительным договорам, которые начисляют сразу через 90.02 мимо затратных счетов.
и на листе 96_движ добавил в выпадающий список корреспондирующий счет 90 для таких ситуаций, когда организация начисляет резерв по обременительным договорам сразу на себестоимость 90.02 мимо затратных счетов.</t>
    </r>
  </si>
  <si>
    <t>Проверка аналитик колонки "Вид  расчетов" и К3</t>
  </si>
  <si>
    <r>
      <t xml:space="preserve">Добавлены столбцы:
</t>
    </r>
    <r>
      <rPr>
        <sz val="8"/>
        <color indexed="56"/>
        <rFont val="Arial"/>
        <family val="2"/>
        <charset val="204"/>
      </rPr>
      <t>Наименование банка;ИНН Банка;GID (Глобальный идентификатор контрагента из системы ЕОС НСИ)</t>
    </r>
    <r>
      <rPr>
        <b/>
        <sz val="8"/>
        <color indexed="56"/>
        <rFont val="Arial"/>
        <family val="2"/>
        <charset val="204"/>
      </rPr>
      <t xml:space="preserve">
</t>
    </r>
  </si>
  <si>
    <t>Кожевникова С.</t>
  </si>
  <si>
    <t>Проверка заполненности ИНН и/или ГИД листы 51,52,55,57</t>
  </si>
  <si>
    <t>СиИксЛаб</t>
  </si>
  <si>
    <t>ООО "ТермоПресс"</t>
  </si>
  <si>
    <r>
      <t xml:space="preserve">Обновлен список компаний участвующих в сверке ВГО за 9мес. 2022год
Добавлены:
</t>
    </r>
    <r>
      <rPr>
        <sz val="8"/>
        <color indexed="56"/>
        <rFont val="Arial"/>
        <family val="2"/>
        <charset val="204"/>
      </rPr>
      <t>Русатом Металлургические технологии
TSM
Атомдата-Интеграция
Русатом Пултрузия
Энергодрайв
УК Дело
ТрансКонтейнер
ГКС
Рускон
ТрансКорп
ДелоПортс
НУТЭП
КСК
DCP Holdings
Транстерминал Холдинг
ДелоЦентр</t>
    </r>
    <r>
      <rPr>
        <b/>
        <sz val="8"/>
        <color indexed="56"/>
        <rFont val="Arial"/>
        <family val="2"/>
        <charset val="204"/>
      </rPr>
      <t xml:space="preserve">
</t>
    </r>
  </si>
  <si>
    <t>Если в К34 выбрана аналитика «Существует высокая вероятность погашения задолженности», то К35 не может быть пустой</t>
  </si>
  <si>
    <t>Если в К34 выбрана аналитика «Контрагент входит в периметр консолидации», то контрагент должен быть включен в периметр консолидации</t>
  </si>
  <si>
    <t xml:space="preserve">Исправлена проверка сбалансированности ОСВавт (сумма всех счетов=0). В формуле не учитывается счет 01 основные средства (активы для продажи, ячейка F10), </t>
  </si>
  <si>
    <t>Андреев С.</t>
  </si>
  <si>
    <r>
      <t xml:space="preserve">46 счет без НДС не может быть больше накоп.выручки в ОПУ
</t>
    </r>
    <r>
      <rPr>
        <b/>
        <sz val="10"/>
        <color rgb="FFFFFF00"/>
        <rFont val="Arial"/>
        <family val="2"/>
        <charset val="204"/>
      </rPr>
      <t xml:space="preserve">Значение К32/120*100 &lt;= К22 иначе ЛОЖЬ. </t>
    </r>
  </si>
  <si>
    <t>ОАО «Сахалинское морское пароходство»</t>
  </si>
  <si>
    <t>ПКТ</t>
  </si>
  <si>
    <t>АО «Первый контейнерный терминал»</t>
  </si>
  <si>
    <t>ПЛП</t>
  </si>
  <si>
    <t>АО «Петролеспорт»</t>
  </si>
  <si>
    <t>ВСК</t>
  </si>
  <si>
    <t>ООО «Восточная Стивидорная Компания»</t>
  </si>
  <si>
    <t>ГП_Файненс</t>
  </si>
  <si>
    <t>10352071J</t>
  </si>
  <si>
    <t>«Глобал Портс (Файненс) ПЛС»</t>
  </si>
  <si>
    <t>ГП_Инвестментс</t>
  </si>
  <si>
    <t>12224289W</t>
  </si>
  <si>
    <t>«Глобал Портс Инвестментс ПиЭлСи»</t>
  </si>
  <si>
    <t>УЛКТ</t>
  </si>
  <si>
    <t xml:space="preserve">АО «Усть-Лужский Контейнерный Терминал» </t>
  </si>
  <si>
    <t>Изменения по периметру 
Кукоба М.</t>
  </si>
  <si>
    <r>
      <t xml:space="preserve">Обновлен список компаний участвующих в сверке ВГО за 9мес. 2022год (в качестве контрагента)
Добавлены:
</t>
    </r>
    <r>
      <rPr>
        <sz val="8"/>
        <color indexed="56"/>
        <rFont val="Arial"/>
        <family val="2"/>
        <charset val="204"/>
      </rPr>
      <t>Enertech
СМП
ПКТ
ПЛП
ВСК
ГП_Файненс
ГП_Инвестментс
УЛКТ</t>
    </r>
  </si>
  <si>
    <r>
      <t xml:space="preserve">Обновлен список компаний участвующих в сверке ВГО за 9мес. 2022год (в качестве контрагента)
Удалены:
</t>
    </r>
    <r>
      <rPr>
        <sz val="8"/>
        <color theme="1"/>
        <rFont val="Arial"/>
        <family val="2"/>
        <charset val="204"/>
      </rPr>
      <t>TSM
Атомдата-Интеграция
Русатом Металлургические технологии
Русатом Пултрузия
ТрансКорп
Энергодрайв</t>
    </r>
  </si>
  <si>
    <t>САХМП</t>
  </si>
  <si>
    <t xml:space="preserve">Изменения по периметру 
</t>
  </si>
  <si>
    <t>Поменяли название СМП инн 6509000854 на САХМП</t>
  </si>
  <si>
    <t>63 Краткосрочное Обесценение  чистой стоимости инвестиции в аренду</t>
  </si>
  <si>
    <t>Исправлена формула строки 1153, 1527</t>
  </si>
  <si>
    <t>в части 63 счета 38 аналитики (1153), сворачивания в 1527</t>
  </si>
  <si>
    <t>Исправлены формулы</t>
  </si>
  <si>
    <t>Формулы, которые тянулись по названиям по аналитикам аренды, заменены на коды. Строка 7, аналитики 21302220; 2130122; 2130123.</t>
  </si>
  <si>
    <t>V13</t>
  </si>
  <si>
    <r>
      <rPr>
        <b/>
        <sz val="8"/>
        <color theme="3"/>
        <rFont val="Arial"/>
        <family val="2"/>
        <charset val="204"/>
      </rPr>
      <t>Обновлен список компаний участвующих в сверке ВГО за IV кв. 2022год 
Добавлены:</t>
    </r>
    <r>
      <rPr>
        <b/>
        <sz val="8"/>
        <color rgb="FFFF0000"/>
        <rFont val="Arial"/>
        <family val="2"/>
        <charset val="204"/>
      </rPr>
      <t xml:space="preserve">
</t>
    </r>
    <r>
      <rPr>
        <sz val="8"/>
        <color theme="1"/>
        <rFont val="Arial"/>
        <family val="2"/>
        <charset val="204"/>
      </rPr>
      <t>TSM
Атомдата-Интеграция
Русатом Металлургические технологии
Русатом Пултрузия
Энергодрайв</t>
    </r>
  </si>
  <si>
    <t xml:space="preserve">Изменения по периметру Приложение 1
</t>
  </si>
  <si>
    <t>Козлов Н.</t>
  </si>
  <si>
    <t>58.01.1  – удалить колонки К26 и К27,</t>
  </si>
  <si>
    <t>58.01.2  – удалить колонки К26 и К27,</t>
  </si>
  <si>
    <t>59.01 - удалить колонки К15 и К16</t>
  </si>
  <si>
    <t>59.02 - удалить колонки К21 и К23</t>
  </si>
  <si>
    <t>59.03 - удалить колонки К17 и К18</t>
  </si>
  <si>
    <t>Карабанова О.</t>
  </si>
  <si>
    <t xml:space="preserve"> Убрать графу ЕНВД в ФСД на 99 счете</t>
  </si>
  <si>
    <r>
      <t xml:space="preserve">2240 удалена аналитика : 
</t>
    </r>
    <r>
      <rPr>
        <sz val="8"/>
        <color indexed="56"/>
        <rFont val="Arial"/>
        <family val="2"/>
        <charset val="204"/>
      </rPr>
      <t>{1130000} Доходы арендодателя от операционной /финансовой аренды</t>
    </r>
    <r>
      <rPr>
        <b/>
        <u/>
        <sz val="8"/>
        <color indexed="56"/>
        <rFont val="Arial"/>
        <family val="2"/>
        <charset val="204"/>
      </rPr>
      <t xml:space="preserve">
</t>
    </r>
  </si>
  <si>
    <t>Исправлена проверка " Проверка знаков поступление /выбытие/остаток на конец периода"</t>
  </si>
  <si>
    <t>ДЖЭТ ЛАБ</t>
  </si>
  <si>
    <t>ООО "ДЖЭТ ЛАБ"</t>
  </si>
  <si>
    <t>ЭО ЗАЭС</t>
  </si>
  <si>
    <t>АО «Эксплуатирующая организация Запорожской АЭС»</t>
  </si>
  <si>
    <t>НПО КИС</t>
  </si>
  <si>
    <t>АО "НПО "КИС"</t>
  </si>
  <si>
    <r>
      <t xml:space="preserve">Обновлен список компаний участвующих в сверке ВГО за IV кв. 2022год 
Удалены:
</t>
    </r>
    <r>
      <rPr>
        <sz val="8"/>
        <color theme="1"/>
        <rFont val="Arial"/>
        <family val="2"/>
        <charset val="204"/>
      </rPr>
      <t xml:space="preserve">TSM
</t>
    </r>
  </si>
  <si>
    <t>проверка заполнения колонки
"Финансовые договоры"</t>
  </si>
  <si>
    <t>Проверка заполнения колонки
"Финансовые договоры"</t>
  </si>
  <si>
    <t>Леванков В.</t>
  </si>
  <si>
    <t>Добавлены проверки заполненности колонки К4, К5</t>
  </si>
  <si>
    <t>Добавлены проверки заполненности колонки К2</t>
  </si>
  <si>
    <t>Проверка заполненности колонки К4</t>
  </si>
  <si>
    <t>Проверка заполненности колонки К5</t>
  </si>
  <si>
    <t>Проверка заполненности колонки 
К2</t>
  </si>
  <si>
    <t>Проверка заполненности колонки К4, лист 90</t>
  </si>
  <si>
    <t xml:space="preserve">Проверка заполненности колонки К5, лист 90 </t>
  </si>
  <si>
    <t>Проверка заполненности колонки К4, лист 90_ОРВГ</t>
  </si>
  <si>
    <t>Проверка заполненности колонки К5, лист 90_ОРВГ</t>
  </si>
  <si>
    <t>Проверка заполненности колонки К2, лист 90_контр</t>
  </si>
  <si>
    <t>Добавлены провекри заполненности колонок по счетам 90, 90_ОРВГ, 90_контр (строки 325-329)</t>
  </si>
  <si>
    <t>Исправлен порядок заполнения строк "Прочие оборотные активы 1260" и "резервные фонды, образованные в соответствии с законодательством 1361"
в части отраслевых резервов</t>
  </si>
  <si>
    <r>
      <t xml:space="preserve">По МР дебетовое сальдо по виду резерва отражается по строке 1260, а кредитовое сальдо по виду резерва отражается по строке 1361. Таким образом, отраслевые резервы отражаются в бухгалтерском балансе свернуто по виду резерва. Ранее в ФСД сальдо показывалось развернуто т.е. дт попадало в 1260, а кт в 1361. Исправил формулы в ячейках:E39, F39, E51, F51 </t>
    </r>
    <r>
      <rPr>
        <sz val="10"/>
        <color rgb="FFFF0000"/>
        <rFont val="Arial"/>
        <family val="2"/>
        <charset val="204"/>
      </rPr>
      <t>(надо доработать и в КХД)</t>
    </r>
  </si>
  <si>
    <t xml:space="preserve"> Необходимо в ФСД по зарубежной выручке добавить проверку по ГИД</t>
  </si>
  <si>
    <t>Скорректирована формула</t>
  </si>
  <si>
    <t>в строках 2520 и 2530 скорректированы формулы</t>
  </si>
  <si>
    <t>Общество с ограниченной ответственностью «Инфраструктурные решения-город Лесной»</t>
  </si>
  <si>
    <t>ДАТСИС</t>
  </si>
  <si>
    <t>ОБЩЕСТВО С ОГРАНИЧЕННОЙ ОТВЕТСТВЕННОСТЬЮ "ДАТСИС"</t>
  </si>
  <si>
    <t xml:space="preserve">переименование ООО «Брэйн стафф» на ООО «Датсис» </t>
  </si>
  <si>
    <t>Создание ОНА на налоговый убыток периода</t>
  </si>
  <si>
    <t>Проверка создания ОНА на налоговый убыток периода</t>
  </si>
  <si>
    <t>Проверка создания ОНА на налоговый убыток периода (под контроль 471 в КХД)</t>
  </si>
  <si>
    <r>
      <t xml:space="preserve">2720 Виды налогов удалена аналитика : 
</t>
    </r>
    <r>
      <rPr>
        <sz val="8"/>
        <color indexed="56"/>
        <rFont val="Arial"/>
        <family val="2"/>
        <charset val="204"/>
      </rPr>
      <t>{11} ЕНВД</t>
    </r>
    <r>
      <rPr>
        <b/>
        <u/>
        <sz val="8"/>
        <color indexed="56"/>
        <rFont val="Arial"/>
        <family val="2"/>
        <charset val="204"/>
      </rPr>
      <t xml:space="preserve">
</t>
    </r>
  </si>
  <si>
    <t>{28} Отложенный налоговый актив по переоценке финансовых вложений по рыночной стоимости</t>
  </si>
  <si>
    <t>{28} Отложенное налоговое обязательство по переоценке финансовых вложений по рыночной стоимости</t>
  </si>
  <si>
    <r>
      <t xml:space="preserve">добавлена аналитика : 
</t>
    </r>
    <r>
      <rPr>
        <sz val="8"/>
        <color indexed="56"/>
        <rFont val="Arial"/>
        <family val="2"/>
        <charset val="204"/>
      </rPr>
      <t>{28} Отложенное налоговое обязательство по переоценке финансовых вложений по рыночной стоимости</t>
    </r>
  </si>
  <si>
    <r>
      <t xml:space="preserve">добавлена аналитика : 
</t>
    </r>
    <r>
      <rPr>
        <sz val="8"/>
        <color indexed="56"/>
        <rFont val="Arial"/>
        <family val="2"/>
        <charset val="204"/>
      </rPr>
      <t>{28} Отложенный налоговый актив по переоценке финансовых вложений по рыночной стоимости</t>
    </r>
  </si>
  <si>
    <t>вид расчетов и валюта не могут быть пустыми</t>
  </si>
  <si>
    <t>вид расчетов и валюта не могут быть пустыми на листах 60_01,60_02,62_01,62_02</t>
  </si>
  <si>
    <t>РЭИН ИНЖИНИРИНГ</t>
  </si>
  <si>
    <t>Акционерное общество "РЭИН ИНЖИНИРИНГ"</t>
  </si>
  <si>
    <t>Enertech</t>
  </si>
  <si>
    <t xml:space="preserve">303-81-29303 </t>
  </si>
  <si>
    <t xml:space="preserve">Enertech International, Inc. </t>
  </si>
  <si>
    <t xml:space="preserve">Топливный  </t>
  </si>
  <si>
    <t>год 2022</t>
  </si>
  <si>
    <t>ЧУ Центр коммуникаций</t>
  </si>
  <si>
    <t>Частное учреждение по реализации коммуникационных программ атомной отрасли "Центр коммуникаций"</t>
  </si>
  <si>
    <t>GLADSTONE PTE. LTD.</t>
  </si>
  <si>
    <t>201131275K</t>
  </si>
  <si>
    <t>Global Ports Advisory</t>
  </si>
  <si>
    <t>EE101321853</t>
  </si>
  <si>
    <t>«Глобал Портс Эдвайзори Еести Ою (Global Ports Advisory Eesti Ou)»</t>
  </si>
  <si>
    <t>HVCom s.r.o.</t>
  </si>
  <si>
    <t>HVCom s.r.o.
ООО "HVCom"</t>
  </si>
  <si>
    <t>IES-EnergoStroyEngineering S.A.R.L.</t>
  </si>
  <si>
    <t>2014/073014/07</t>
  </si>
  <si>
    <t xml:space="preserve">Rosatom Africa (Pty) Ltd </t>
  </si>
  <si>
    <t>Rosatom Asia PTE. LTD</t>
  </si>
  <si>
    <t>201411806N</t>
  </si>
  <si>
    <t>Rosatom Central Europe Kft</t>
  </si>
  <si>
    <t>Rosatom East Asia (Beijing) Consulting Co. Ltd.</t>
  </si>
  <si>
    <t>Rosatom Middle East and North Africa FZ-LLC</t>
  </si>
  <si>
    <t>Rosatom South Asia Marketing (India) Private Limited</t>
  </si>
  <si>
    <t>AAHCR5543B</t>
  </si>
  <si>
    <t>Ruscon_Shanghai</t>
  </si>
  <si>
    <t>91310115MA1HAMGF3N</t>
  </si>
  <si>
    <t>Ruscon (Shanghai) International Logistics LTD</t>
  </si>
  <si>
    <t>Smartcontainer</t>
  </si>
  <si>
    <t>Smartcontainer B.V. PLLC</t>
  </si>
  <si>
    <t>TransContainer_Asia</t>
  </si>
  <si>
    <t>101-86-57703</t>
  </si>
  <si>
    <t>TransContainer Asia Pacific Ltd.</t>
  </si>
  <si>
    <t>TransContainer_Europe</t>
  </si>
  <si>
    <t>(12) 525/1298</t>
  </si>
  <si>
    <t>TransContainer Europe GmbH</t>
  </si>
  <si>
    <t>TransContainer_Shanghai</t>
  </si>
  <si>
    <t>91310115MA1K3Q4U5R</t>
  </si>
  <si>
    <t>TransContainer Freight Forwarding (Shanghai) Co., Ltd</t>
  </si>
  <si>
    <t>Автомобильная дорога №1</t>
  </si>
  <si>
    <t xml:space="preserve">ООО «Автомобильная дорога №1» </t>
  </si>
  <si>
    <t>Акцентр</t>
  </si>
  <si>
    <t>Общество с ограниченной ответственностью "Межрегиональный центр стерилизационных технологий "Акцентр""</t>
  </si>
  <si>
    <t>АКЦЕНТР ГРУПП</t>
  </si>
  <si>
    <t>Общество с ограниченной ответственностью "АКЦЕНТР ГРУПП"</t>
  </si>
  <si>
    <t>Общество с ограниченной ответственностью "АКЦЕНТР СЕВЕРО-ЗАПАД"</t>
  </si>
  <si>
    <t>Альянс</t>
  </si>
  <si>
    <t>Атмосфера</t>
  </si>
  <si>
    <t>НКО «Фонд поддержки общественных инициатив «Атмосфера»</t>
  </si>
  <si>
    <t>Атомэнерго</t>
  </si>
  <si>
    <t>АО "Атомэнерго"</t>
  </si>
  <si>
    <t>ДелоТех</t>
  </si>
  <si>
    <t>ООО «ДелоТех»</t>
  </si>
  <si>
    <t>Донская</t>
  </si>
  <si>
    <t>Логистика_Терминал</t>
  </si>
  <si>
    <t>ООО «Логистический парк «Янино»</t>
  </si>
  <si>
    <t>МАНП</t>
  </si>
  <si>
    <t>ООО «Моби Дик»</t>
  </si>
  <si>
    <t>МЛТ_Ирландия</t>
  </si>
  <si>
    <t>6405406N</t>
  </si>
  <si>
    <t xml:space="preserve">«Малти-Линк Терминалс» Лимитед» </t>
  </si>
  <si>
    <t>МЛТ_Кипр</t>
  </si>
  <si>
    <t>12233463N</t>
  </si>
  <si>
    <t>«М.Л.Т  Контейнер Логистик ЛТД»</t>
  </si>
  <si>
    <t>МЛТ_Финляндия</t>
  </si>
  <si>
    <t>0818356-9</t>
  </si>
  <si>
    <t>«Малти-Линк Терминалс ЛТД ОЮ»</t>
  </si>
  <si>
    <t>НМКК</t>
  </si>
  <si>
    <t>Новоростерминал</t>
  </si>
  <si>
    <t>НОЭ</t>
  </si>
  <si>
    <t>НПП РусХимСинтез</t>
  </si>
  <si>
    <t>ООО "НПП "РусХимСинтез"</t>
  </si>
  <si>
    <t>ОТЛК</t>
  </si>
  <si>
    <t>ООО "Объединенная таможенно-логистическая компания"</t>
  </si>
  <si>
    <t>Реал-Шторм</t>
  </si>
  <si>
    <t>ООО «НПФ «Реал-Шторм»</t>
  </si>
  <si>
    <t>РК</t>
  </si>
  <si>
    <t>РОЛИС</t>
  </si>
  <si>
    <t>ООО «Российские логистические информационные системы» (РОЛИС)</t>
  </si>
  <si>
    <t>РОСАТОМ ВЕ</t>
  </si>
  <si>
    <t xml:space="preserve">39255244 
</t>
  </si>
  <si>
    <t>ООО «РОСАТОМ ВОСТОЧНАЯ ЕВРОПА»</t>
  </si>
  <si>
    <t>РОСАТОМ ЛАТИНСКАЯ АМЕРИКА</t>
  </si>
  <si>
    <t>РОСАТОМ ЛАТИНСКАЯ АМЕРИКА, ООО</t>
  </si>
  <si>
    <t>РСЗ</t>
  </si>
  <si>
    <t>ООО "РусТрейл Северо-Запад"</t>
  </si>
  <si>
    <t>Русатом-ЭлектроТехМаш</t>
  </si>
  <si>
    <t>АО «Русатом-ЭлектроТехМаш»</t>
  </si>
  <si>
    <t>РУСИБ</t>
  </si>
  <si>
    <t>ООО "РУСИБ"</t>
  </si>
  <si>
    <t>Рускон_Азия</t>
  </si>
  <si>
    <t>190640003092</t>
  </si>
  <si>
    <t>ТОО «Рускон-Азия»</t>
  </si>
  <si>
    <t>Рускон_Брокер</t>
  </si>
  <si>
    <t>Рускон_Страхование</t>
  </si>
  <si>
    <t>Общество с ограниченной ответственностью "Страховой агент "Рускон-Страхование"</t>
  </si>
  <si>
    <t>Рускон_Т</t>
  </si>
  <si>
    <t>Рустрейл</t>
  </si>
  <si>
    <t>РЭНЕРА-Энертек</t>
  </si>
  <si>
    <t>ООО "РЭНЕРА-Энертек"</t>
  </si>
  <si>
    <t>Рюрик</t>
  </si>
  <si>
    <t>ООО "Рюрик"</t>
  </si>
  <si>
    <t>СиДи</t>
  </si>
  <si>
    <t>0369388-5</t>
  </si>
  <si>
    <t xml:space="preserve">«СиДи Холдинг Ою» </t>
  </si>
  <si>
    <t>СКД</t>
  </si>
  <si>
    <t>СпецТрансКонтейнер</t>
  </si>
  <si>
    <t>СПИКА</t>
  </si>
  <si>
    <t>ООО "СПИКА"</t>
  </si>
  <si>
    <t>ТК</t>
  </si>
  <si>
    <t>ТЛКТ</t>
  </si>
  <si>
    <t>Товарищество с ограниченной ответственностью "Росатом Центральная Азия"</t>
  </si>
  <si>
    <t>ТрансКонтейнер_Запад</t>
  </si>
  <si>
    <t>ООО «ТрансКонтейнер-Запад»</t>
  </si>
  <si>
    <t>ТрансКонтейнер_Монголия</t>
  </si>
  <si>
    <t>КОО "ТрансКонтейнер Монголия"</t>
  </si>
  <si>
    <t>УК Глобал Портс</t>
  </si>
  <si>
    <t>ООО «УК «Глобал Портс»</t>
  </si>
  <si>
    <t>Фарватер</t>
  </si>
  <si>
    <t>ООО «Фарватер»</t>
  </si>
  <si>
    <t>ЦОЛЛРУ</t>
  </si>
  <si>
    <t>Шахово</t>
  </si>
  <si>
    <t>ООО «Шахово-18»</t>
  </si>
  <si>
    <t>ООО «Эксплуатирующая организация Запорожской ТЭС»</t>
  </si>
  <si>
    <t>02.12.2022 в ЕГРЮЛ внесена запись об изменении наименования ООО «РИР-Саров» на ООО «Эксплуатирующая организация Запорожской ТЭС»</t>
  </si>
  <si>
    <t>{301080401000000} Имплантаты для остеосинтеза, комплектующие и хирургический инструмент, дентальные имплантаты титановые</t>
  </si>
  <si>
    <t>{301080402000000} Импланты зубные керамические</t>
  </si>
  <si>
    <t>{1001701000000000} Медицинские протезные материалы</t>
  </si>
  <si>
    <t>{1001702000000000} Медицинские расходные материалы</t>
  </si>
  <si>
    <t>{1001703000000000} Медицинские установки</t>
  </si>
  <si>
    <t>{1002701000000000} Медицинские установки (работы/услуги</t>
  </si>
  <si>
    <t>АО "БазиС"</t>
  </si>
  <si>
    <t>АО "ТАСКОМ"</t>
  </si>
  <si>
    <t>АО «Зим Раша»</t>
  </si>
  <si>
    <t>ООО "ФВК Север"</t>
  </si>
  <si>
    <t>ООО «КОСКО ШИППИНГ ЛАЙНС (НОВОРОССИЙСК)»</t>
  </si>
  <si>
    <t>ООО «Хендэ Мерчант Марин (СНГ)»</t>
  </si>
  <si>
    <t>ООО «Саско Интернешинел – Сахпроекты»</t>
  </si>
  <si>
    <t>Обновлен список связанных сторон</t>
  </si>
  <si>
    <r>
      <rPr>
        <b/>
        <u/>
        <sz val="10"/>
        <color indexed="56"/>
        <rFont val="Arial"/>
        <family val="2"/>
        <charset val="204"/>
      </rPr>
      <t>список 2145 изменен список аналитик</t>
    </r>
    <r>
      <rPr>
        <u/>
        <sz val="10"/>
        <color indexed="56"/>
        <rFont val="Arial"/>
        <family val="2"/>
        <charset val="204"/>
      </rPr>
      <t>:</t>
    </r>
    <r>
      <rPr>
        <sz val="10"/>
        <color indexed="56"/>
        <rFont val="Arial"/>
        <family val="2"/>
        <charset val="204"/>
      </rPr>
      <t xml:space="preserve">
</t>
    </r>
  </si>
  <si>
    <t>Перечень статей справочника ЕПС 2240 "Статьи прочих доходов и расходов", по которым необходимо внести изменения.</t>
  </si>
  <si>
    <t>Код</t>
  </si>
  <si>
    <t>Требуемые изменения
Группы прочих доходов и расходов (2241)</t>
  </si>
  <si>
    <t>1030300      Доходы в сумме превышения согласованной учредителями стоимости имущества, переданного в уставный капитал и его балансовой стоимостью (с учетом восстановленного НДС)</t>
  </si>
  <si>
    <t>Изменить группу 11 "Прочие доходы в составе EBITDA" на группу 16 "Прочие доходы не в составе EBITDA"</t>
  </si>
  <si>
    <t>1030400      Доходы Арендодателя от выбытия ОС в финансовую аренду</t>
  </si>
  <si>
    <t>1130216         Процентный доход по финансовой аренде  (объекты движимого имущества)</t>
  </si>
  <si>
    <t>Изменить группу 16 "Прочие доходы в составе EBITDA" на группу 17 "Проценты к получению"</t>
  </si>
  <si>
    <t>1130217         Процентный доход по  финансовой аренде  (объекты недвижимого имущества)</t>
  </si>
  <si>
    <t>1221000      Доходы в виде сумм восстановленных резервов под снижение стоимости капитальных вложений</t>
  </si>
  <si>
    <t>1221100      Доходы в виде сумм восстановленных резервов под снижение стоимости долгосрочных активов к продаже</t>
  </si>
  <si>
    <t>1221200      Доходы в виде сумм восстановленных резервов под обесценение основных средств</t>
  </si>
  <si>
    <t>1221300      Доходы в виде сумм восстановленных резервов под обесценение права пользования активом</t>
  </si>
  <si>
    <t>1230100      Доходы в виде сумм восстановленных оценочных обязательств по рекультивации нарушенных земель</t>
  </si>
  <si>
    <t>1230200      Доходы в виде сумм восстановленных оценочных обязательств на проведение экологических мероприятий</t>
  </si>
  <si>
    <t>1230500      Доходы в виде сумм восстановленных оценочных обязательств по налоговым искам/претензиям</t>
  </si>
  <si>
    <t>1230800      Доходы в виде сумм восстановленных оценочных обязательств по финансовым гарантиям /поручительствам</t>
  </si>
  <si>
    <t>1230900      Доходы в виде сумм восстановленных оценочных обязательств по выводу из эксплуатации объектов основных средств</t>
  </si>
  <si>
    <t>1231200      Доходы в виде сумм восстановленных оценочных обязательств по обращению с радиоактивными и прочими отходами</t>
  </si>
  <si>
    <t>1232000      Доходы в виде сумм восстановленных оценочных обязательств по обращению с ОЯТ</t>
  </si>
  <si>
    <t>1320100      Доходы от организации, если уставный капитал получающей стороны не менее чем на 50% состоит из вклада передающей организации (ОС и НМА)</t>
  </si>
  <si>
    <t>1320200      Доходы от организации, если уставный капитал получающей стороны не менее чем на 50% состоит из вклада передающей организации (кроме ОС и НМА)</t>
  </si>
  <si>
    <t>1320300      Доходы от организации, если уставный капитал передающей стороны не менее чем на 50% состоит из вклада получающей организации (ОС и НМА)</t>
  </si>
  <si>
    <t>1320400      Доходы от организации, если уставный капитал передающей стороны не менее чем на 50% состоит из вклада получающей организации (кроме ОС и НМА)</t>
  </si>
  <si>
    <t>1320500      Прочее безвозмездно полученное имущество</t>
  </si>
  <si>
    <t>1850000   Прочие доходы от ПФИ, не связанные с реализацией базисного актива</t>
  </si>
  <si>
    <t>1860000   Доходы от переоценки ПФИ по справедливой стоимости</t>
  </si>
  <si>
    <t>2030300      Расходы в виде разницы между согласованной учредителями стоимостью имущества, переданного в уставный капитал и балансовой стоимостью (с учетом восстановленного НДС</t>
  </si>
  <si>
    <t>Изменить группу 21 "Прочие расходы в составе EBITDA" на группу 23 "Прочие расходы не в составе EBITDA"</t>
  </si>
  <si>
    <t>2030400      Расходы Арендодателя от выбытия ОС в финансовую аренду</t>
  </si>
  <si>
    <t>2130230         Прочие расходы арендодателя, связанные с финансовой арендой (объекты недвижимого имущества)</t>
  </si>
  <si>
    <t>Изменить группу 16 "Прочие доходы не в составе EBITDA" на группу 23 "Прочие расходы не в составе EBITDA"</t>
  </si>
  <si>
    <t>2130240         Расходы арендодателя от досрочного выкупа предмета аренды (объекты движимого имущества)</t>
  </si>
  <si>
    <t>2130250         Расходы арендодателя от досрочного выкупа предмета аренды (объекты недвижимого имущества)</t>
  </si>
  <si>
    <t>2130260         Расходы от переоценки чистой стоимости инвестиции в аренду (объекты движимого имущества)</t>
  </si>
  <si>
    <t>2130270         Расходы от переоценки чистой стоимости инвестиции в аренду (объекты недвижимого имущества)</t>
  </si>
  <si>
    <t>2221000      Расходы на резерв под снижение стоимости капитальных вложений</t>
  </si>
  <si>
    <t>2221100      Резерв под снижение стоимости долгосрочных активов к продаже</t>
  </si>
  <si>
    <t>2221200      Расходы на резервы под обесценение основных средств</t>
  </si>
  <si>
    <t>2221300      Расходы на резервы под обесценение права пользования активом</t>
  </si>
  <si>
    <t>2230100      Отчисления в оценочные обязательства по рекультивации нарушенных земель</t>
  </si>
  <si>
    <t>2230200      Отчисления в оценочные обязательства на проведение экологических мероприятий</t>
  </si>
  <si>
    <t>2230500      Отчисления в оценочные обязательства по налоговым искам/претензиям</t>
  </si>
  <si>
    <t>2230900      Отчисления в оценочные обязательства по выводу из эксплуатации объектов основных средств</t>
  </si>
  <si>
    <t>2231200      Отчисления в оценочные обязательства по обращению с радиоактивными и прочими отходами</t>
  </si>
  <si>
    <t>2232000      Отчисления в оценочные обязательства по обращению с ОЯТ</t>
  </si>
  <si>
    <t>2850000   Прочие расходы по ПФИ, не связанные с реализацией базисного актива</t>
  </si>
  <si>
    <t>2860000   Расходы от переоценки ПФИ по справедливой стоимости</t>
  </si>
  <si>
    <t>2950000   Расходы в виде обесценения поисковых активов</t>
  </si>
  <si>
    <t>2970000     Расходы Арендатора от переоценки обязательства по аренде</t>
  </si>
  <si>
    <t>Удалена привязка к 2241</t>
  </si>
  <si>
    <t>Горпарковки</t>
  </si>
  <si>
    <t>ООО "Городские парковки"</t>
  </si>
  <si>
    <t>Гортех</t>
  </si>
  <si>
    <t>ООО "Городские технологии"</t>
  </si>
  <si>
    <t>ИнфоТЛ</t>
  </si>
  <si>
    <t>ООО "Инфотранслогистик"</t>
  </si>
  <si>
    <t>Ситилабс</t>
  </si>
  <si>
    <t>ООО "Ситилабс"</t>
  </si>
  <si>
    <t>СмартСити</t>
  </si>
  <si>
    <t>ООО "Смарт-Сити"</t>
  </si>
  <si>
    <t>Crocus-A</t>
  </si>
  <si>
    <t> 752554</t>
  </si>
  <si>
    <t>ТОО «Crocus-A»</t>
  </si>
  <si>
    <t>TC Japan</t>
  </si>
  <si>
    <t>0100-01-228660</t>
  </si>
  <si>
    <t>TC Japan Co., Ltd.</t>
  </si>
  <si>
    <t>Кызылту</t>
  </si>
  <si>
    <t>752558 </t>
  </si>
  <si>
    <t>ТОО «Кызылту»</t>
  </si>
  <si>
    <t>МолиКен</t>
  </si>
  <si>
    <t> 752559</t>
  </si>
  <si>
    <t>ТОО «МолиКен»</t>
  </si>
  <si>
    <t>СГХК</t>
  </si>
  <si>
    <t>121897 </t>
  </si>
  <si>
    <t xml:space="preserve">ТОО «СГХК» </t>
  </si>
  <si>
    <t>СМЗ</t>
  </si>
  <si>
    <t>752563 </t>
  </si>
  <si>
    <t>ТОО «СМЗ»</t>
  </si>
  <si>
    <t>СП Будёновское</t>
  </si>
  <si>
    <t>752551 </t>
  </si>
  <si>
    <t xml:space="preserve">ТОО «СП «Будёновское» </t>
  </si>
  <si>
    <t>СТЖ</t>
  </si>
  <si>
    <t>752564 </t>
  </si>
  <si>
    <t>ТОО «СТЖ»</t>
  </si>
  <si>
    <t>Шантобе-Ремстройсервис</t>
  </si>
  <si>
    <t>752562 </t>
  </si>
  <si>
    <t xml:space="preserve">ТОО «Шантобе-Ремстройсервис» </t>
  </si>
  <si>
    <t>Ижорская НТК</t>
  </si>
  <si>
    <t>Общество с ограниченной ответственностью "Ижорская научно-техническая компания")</t>
  </si>
  <si>
    <t>Red Wind B. V.</t>
  </si>
  <si>
    <t>"Управляющая компания индустриального парка "Нижние котлы"", Доверительный управляющий</t>
  </si>
  <si>
    <t>Машиностроительный</t>
  </si>
  <si>
    <t>Новые бизнесы (2)</t>
  </si>
  <si>
    <t>Сбыт и трейдинг</t>
  </si>
  <si>
    <t>АХД и сервисная инфраструктура (2)</t>
  </si>
  <si>
    <t>Rusatom Healthcare</t>
  </si>
  <si>
    <t>Электроэнергетический</t>
  </si>
  <si>
    <t xml:space="preserve">ЮМАТЕКС
</t>
  </si>
  <si>
    <t xml:space="preserve">Горнорудный </t>
  </si>
  <si>
    <t>Инжиниринговый</t>
  </si>
  <si>
    <t>Безопасность</t>
  </si>
  <si>
    <t>Аварийная готовность и специальные перевозки</t>
  </si>
  <si>
    <t>Северный морской путь</t>
  </si>
  <si>
    <t>Ветроэнергетика</t>
  </si>
  <si>
    <t xml:space="preserve">Ядерный оружейный комплекс </t>
  </si>
  <si>
    <t>Оверсиз</t>
  </si>
  <si>
    <t>Экологические решения</t>
  </si>
  <si>
    <t>Цифровизация</t>
  </si>
  <si>
    <t>АСУТП и электротехника</t>
  </si>
  <si>
    <t>Непрофильные активы</t>
  </si>
  <si>
    <t>Интегратор</t>
  </si>
  <si>
    <r>
      <t xml:space="preserve">Обновлен список компаний участвующих в сверке ВГО за 2022год
Удалены:
</t>
    </r>
    <r>
      <rPr>
        <sz val="8"/>
        <color rgb="FFFF0000"/>
        <rFont val="Arial"/>
        <family val="2"/>
        <charset val="204"/>
      </rPr>
      <t>EMSS Holdings
UMP Trading
Энергомашспецсталь</t>
    </r>
    <r>
      <rPr>
        <sz val="8"/>
        <color indexed="56"/>
        <rFont val="Arial"/>
        <family val="2"/>
        <charset val="204"/>
      </rPr>
      <t xml:space="preserve">
</t>
    </r>
    <r>
      <rPr>
        <b/>
        <sz val="8"/>
        <color indexed="56"/>
        <rFont val="Arial"/>
        <family val="2"/>
        <charset val="204"/>
      </rPr>
      <t xml:space="preserve">
</t>
    </r>
  </si>
  <si>
    <t>Энергомашспецсталь</t>
  </si>
  <si>
    <t>ПАО "Энергомашспецсталь"</t>
  </si>
  <si>
    <t>UMP Trading</t>
  </si>
  <si>
    <t>903.1.000.8205</t>
  </si>
  <si>
    <t>UMP Trading (Швейцария)</t>
  </si>
  <si>
    <t>EMSS Holdings</t>
  </si>
  <si>
    <t>HE 245521</t>
  </si>
  <si>
    <t>EMSS Holdings Limited (ЭМСС ХОЛДИНГЗ ЛИМИТЕД)</t>
  </si>
  <si>
    <t>ЭО ЗТЭC</t>
  </si>
  <si>
    <t>Трастверс</t>
  </si>
  <si>
    <t>Общество с ограниченной ответственностью «Трастверс»</t>
  </si>
  <si>
    <t>Код безопасности</t>
  </si>
  <si>
    <t>Общество с ограниченной ответственностью "Код Безопасности"</t>
  </si>
  <si>
    <r>
      <t xml:space="preserve">Обновлен список компаний участвующих в сверке ВГО за 2022год
Добавлены:
</t>
    </r>
    <r>
      <rPr>
        <sz val="8"/>
        <color indexed="56"/>
        <rFont val="Arial"/>
        <family val="2"/>
        <charset val="204"/>
      </rPr>
      <t xml:space="preserve">Enertech
Горпарковки
Гортех
ИнфоТЛ
НПП РусХимСинтез
Парок
Реал-Шторм
Ситилабс
СмартСити
Стекловолокно
Код безопасности
Трастверс
</t>
    </r>
  </si>
  <si>
    <t>АтомМедТехнолоджи</t>
  </si>
  <si>
    <t>Общество с ограниченной ответственностью "АТОММЕДТЕХНОЛОДЖИ"</t>
  </si>
  <si>
    <t>Акционерное общество "РУСАТОМ СТЕКЛОВОЛОКНО"</t>
  </si>
  <si>
    <t>08627910725</t>
  </si>
  <si>
    <t>RAWE SARL</t>
  </si>
  <si>
    <t>Росатом Западная Европа САРЛ</t>
  </si>
  <si>
    <t>ДЕЛО СПОРТ</t>
  </si>
  <si>
    <t>Общество с ограниченной ответственностью "ДЕЛО СПОРТ"</t>
  </si>
  <si>
    <t>ЮМАТЕКС Бел</t>
  </si>
  <si>
    <t>Общество с ограниченной ответственностью "ЮМАТЕКС Бел"</t>
  </si>
  <si>
    <t>"Добавлена за 2022 год (новая)
утчнить название: ООО ""АтомМедТехнолоджи- Дальний Восток"" на ООО ""АтомМедТехнолоджи"""
"Исключено из периметра
 АО ""Русатом растворные реакторы"": ликвидировано"
"Добавлена за 2022 год (новая)
Переименовать АО ""ОС СТЕКЛОВОЛОКНО"" в АО ""Русатом СТЕКЛОВОЛОКНО"" и ООО ""Оуэнс Корнинг Бел"" в ООО ""ЮМАТЕКС Бел"".
"
уточнить ИНН Europium Pharma S.r.l. добавив 0 перед значением 8627910725
"Добавлена за 2022 год (новая)
Переименовать Rosatom France SARL в RAWE SARL"
"Добавлена за 2022 год (новая) 
ООО ""Футбольная республика""  переименован с 9.11.2022 в ООО ""ДЕЛО СПОРТ""
"
"Добавлена за 2022 год (новая)
ООО ""Оуэнс Корнинг Бел"" в ООО ""ЮМАТЕКС Бел"""</t>
  </si>
  <si>
    <t>Пакет был изменен патчем V14</t>
  </si>
  <si>
    <t>V14</t>
  </si>
  <si>
    <t>2280100      Остаточная стоимость списываемых основных средств</t>
  </si>
  <si>
    <t>2280300      Балансовая стоимость списываемых капитальных вложений</t>
  </si>
  <si>
    <t>2280500      Балансовая стоимость списываемого объекта нематериальных активов</t>
  </si>
  <si>
    <t>2320100      Безвозмездная финансовая помощь между материнской и дочерней организацией, в т.ч. на пополнение чистых активов</t>
  </si>
  <si>
    <t>2320200      Безвозмездная передача (включая передачу в безвозмездное пользование) непрофильных активов в адрес государственных, муниципальных органов и НКО по согласованию с Госкорпорацией «Росатом»</t>
  </si>
  <si>
    <t>2320310         Остаточная стоимость безвозмездно выбываемого имущества</t>
  </si>
  <si>
    <t>2320330         НДС начисленный при безвозмездной передаче активов</t>
  </si>
  <si>
    <t>2320500      Стоимость имущества, безвозмездно переданного некоммерческим организациям, перечисленным в пп. 19.6 п. 1 ст. 265 НК РФ</t>
  </si>
  <si>
    <t>2320600      Стоимость имущества, безвозмездно переданного получателям и на цели, предусмотренные пп. 19.5 п. 1 ст. 265 НК РФ</t>
  </si>
  <si>
    <t xml:space="preserve">Добавлена за 2022 год (новая)
Переименовать ООО "ПАРОК»  в ООО «Русатом Изоплит». </t>
  </si>
  <si>
    <t>ООО "Русатом Изоплит"</t>
  </si>
  <si>
    <r>
      <t xml:space="preserve">Обновлен список компаний участвующих в сверке ВГО за 2022год
Добавлены:
</t>
    </r>
    <r>
      <rPr>
        <sz val="8"/>
        <color indexed="56"/>
        <rFont val="Arial"/>
        <family val="2"/>
        <charset val="204"/>
      </rPr>
      <t xml:space="preserve">РЭИН ИНЖИНИРИНГ
</t>
    </r>
  </si>
  <si>
    <t>TSM</t>
  </si>
  <si>
    <t>TSM Enerji Insaat Sanayi Limited Sirketi</t>
  </si>
  <si>
    <t>Стекловолокно</t>
  </si>
  <si>
    <t xml:space="preserve">Gladstone </t>
  </si>
  <si>
    <t>IES-EnergoStroy</t>
  </si>
  <si>
    <t>Rosatom Africa</t>
  </si>
  <si>
    <t xml:space="preserve">Rosatom Asia </t>
  </si>
  <si>
    <t>Rosatom Central Europe</t>
  </si>
  <si>
    <t xml:space="preserve">Rosatom East Asia </t>
  </si>
  <si>
    <t xml:space="preserve">Rosatom Middle East and North Africa </t>
  </si>
  <si>
    <t>Rosatom South Asia Marketing (India)</t>
  </si>
  <si>
    <t>Акцентр СЗ</t>
  </si>
  <si>
    <t>ЛП Янино</t>
  </si>
  <si>
    <t>Моби Дик</t>
  </si>
  <si>
    <t>ТОО Росатом Центральная Азия</t>
  </si>
  <si>
    <t>НИЦ ПРОМТЕСТ</t>
  </si>
  <si>
    <t>Изоплит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</si>
</sst>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6">
    <numFmt numFmtId="42" formatCode="_-* #,##0\ &quot;₽&quot;_-;\-* #,##0\ &quot;₽&quot;_-;_-* &quot;-&quot;\ &quot;₽&quot;_-;_-@_-"/>
    <numFmt numFmtId="44" formatCode="_-* #,##0.00\ &quot;₽&quot;_-;\-* #,##0.00\ &quot;₽&quot;_-;_-* &quot;-&quot;??\ &quot;₽&quot;_-;_-@_-"/>
    <numFmt numFmtId="164" formatCode="_-* #,##0\ _₽_-;\-* #,##0\ _₽_-;_-* &quot;-&quot;\ _₽_-;_-@_-"/>
    <numFmt numFmtId="165" formatCode="_-* #,##0.00\ _₽_-;\-* #,##0.00\ _₽_-;_-* &quot;-&quot;??\ _₽_-;_-@_-"/>
    <numFmt numFmtId="166" formatCode="_-* #,##0_р_._-;\-* #,##0_р_._-;_-* &quot;-&quot;_р_._-;_-@_-"/>
    <numFmt numFmtId="167" formatCode="_-* #,##0.00&quot;р.&quot;_-;\-* #,##0.00&quot;р.&quot;_-;_-* &quot;-&quot;??&quot;р.&quot;_-;_-@_-"/>
    <numFmt numFmtId="168" formatCode="_-* #,##0.00_р_._-;\-* #,##0.00_р_._-;_-* &quot;-&quot;??_р_._-;_-@_-"/>
    <numFmt numFmtId="169" formatCode="#,##0\ ;\-#,##0\ ;&quot; -&quot;#\ ;@"/>
    <numFmt numFmtId="170" formatCode="\ #,##0\ ;\-#,##0\ ;&quot; -&quot;#\ ;@"/>
    <numFmt numFmtId="171" formatCode="\ #,##0.00&quot;    &quot;;\-#,##0.00&quot;    &quot;;&quot; -&quot;#&quot;    &quot;;@\ "/>
    <numFmt numFmtId="172" formatCode="#,##0\ ;\(#,##0\);\-#\ ;@"/>
    <numFmt numFmtId="173" formatCode="\ #,##0\ ;\-#,##0\ ;&quot; -&quot;#\ ;@\ "/>
    <numFmt numFmtId="174" formatCode="&quot;ИСТИНА&quot;;&quot;ИСТИНА&quot;;&quot;ЛОЖЬ&quot;"/>
    <numFmt numFmtId="175" formatCode="#,##0\ ;\-#,##0\ ;&quot; -&quot;#\ ;@\ "/>
    <numFmt numFmtId="176" formatCode="\ 0\ ;\-0\ ;&quot; -&quot;#\ ;@\ "/>
    <numFmt numFmtId="177" formatCode="_-* #,##0_р_._-;\-* #,##0_р_._-;_-* &quot;-&quot;??_р_._-;_-@_-"/>
    <numFmt numFmtId="178" formatCode="\ #,##0.00[$р.-419]\ ;\-#,##0.00[$р.-419]\ ;&quot; -&quot;00[$р.-419]\ ;@\ "/>
    <numFmt numFmtId="179" formatCode="#,##0;\(#,##0\);\-"/>
    <numFmt numFmtId="180" formatCode="0\ ;\-0\ ;&quot; -&quot;#\ ;@\ "/>
    <numFmt numFmtId="181" formatCode="0\ ;&quot; (&quot;0\);&quot; - &quot;;@\ "/>
    <numFmt numFmtId="182" formatCode="0\ ;\(0\);&quot; -&quot;#\ ;@\ "/>
    <numFmt numFmtId="183" formatCode="\ #,##0\ ;\(#,##0\);&quot; -&quot;#\ ;@\ "/>
    <numFmt numFmtId="184" formatCode="#,##0\ ;\(#,##0\);&quot; -&quot;#\ ;@\ "/>
    <numFmt numFmtId="185" formatCode="0.0000%"/>
    <numFmt numFmtId="186" formatCode="0\ ;\(0\);&quot; -&quot;#\ ;@"/>
    <numFmt numFmtId="187" formatCode="#,##0_ ;\-#,##0\ "/>
    <numFmt numFmtId="188" formatCode="#,##0;\-#,##0;\-"/>
    <numFmt numFmtId="189" formatCode="0_ ;\-0\ "/>
    <numFmt numFmtId="190" formatCode="#,##0;\(#,##0\);&quot;-&quot;"/>
    <numFmt numFmtId="191" formatCode="\ #,##0.00[$р.]\ ;\-#,##0.00[$р.]\ ;&quot; -&quot;00[$р.]\ ;@\ "/>
    <numFmt numFmtId="192" formatCode="#,##0.0000"/>
    <numFmt numFmtId="193" formatCode="0.0%"/>
    <numFmt numFmtId="194" formatCode="000000"/>
    <numFmt numFmtId="195" formatCode="0000"/>
    <numFmt numFmtId="196" formatCode="##,#0_;\(#,##0\);&quot;-&quot;??_);@"/>
    <numFmt numFmtId="197" formatCode="*(#,##0\);*#\,##0_);&quot;-&quot;??_);@"/>
    <numFmt numFmtId="198" formatCode="_*\(#,##0\);_*#,##0_);&quot;-&quot;??_);@"/>
    <numFmt numFmtId="199" formatCode="yyyy"/>
    <numFmt numFmtId="200" formatCode="* \(#,##0\);* #,##0_);&quot;-&quot;??_);@"/>
    <numFmt numFmtId="201" formatCode="#,##0_);\(#,##0\);&quot;-&quot;??_);@"/>
    <numFmt numFmtId="202" formatCode="* #,##0_);* \(#,##0\);&quot;-&quot;??_);@"/>
    <numFmt numFmtId="203" formatCode="_(&quot;$&quot;* #,##0.00_);_(&quot;$&quot;* \(#,##0.00\);_(&quot;$&quot;* &quot;-&quot;??_);_(@_)"/>
    <numFmt numFmtId="204" formatCode="mmmm\ d\,\ yyyy"/>
    <numFmt numFmtId="205" formatCode="d\/mm\/yyyy"/>
    <numFmt numFmtId="206" formatCode="dd\.mm\.yyyy&quot;г.&quot;"/>
    <numFmt numFmtId="207" formatCode="###\ ##\ ##"/>
    <numFmt numFmtId="208" formatCode="_-* #,##0\ _P_t_s_-;\-* #,##0\ _P_t_s_-;_-* &quot;-&quot;\ _P_t_s_-;_-@_-"/>
    <numFmt numFmtId="209" formatCode="_-* #,##0.00\ _P_t_s_-;\-* #,##0.00\ _P_t_s_-;_-* &quot;-&quot;??\ _P_t_s_-;_-@_-"/>
    <numFmt numFmtId="210" formatCode="_-* #,##0\ &quot;Pts&quot;_-;\-* #,##0\ &quot;Pts&quot;_-;_-* &quot;-&quot;\ &quot;Pts&quot;_-;_-@_-"/>
    <numFmt numFmtId="211" formatCode="_-* #,##0.00\ &quot;Pts&quot;_-;\-* #,##0.00\ &quot;Pts&quot;_-;_-* &quot;-&quot;??\ &quot;Pts&quot;_-;_-@_-"/>
    <numFmt numFmtId="212" formatCode="_(&quot;$&quot;* #,##0_);_(&quot;$&quot;* \(#,##0\);_(&quot;$&quot;* &quot;-&quot;_);_(@_)"/>
    <numFmt numFmtId="213" formatCode="\ \ \ \ \ \ \ \ \ \ @"/>
    <numFmt numFmtId="214" formatCode="0.00000%"/>
    <numFmt numFmtId="215" formatCode="0.0000000%"/>
    <numFmt numFmtId="216" formatCode="_-* #,##0_?_._-;\-* #,##0_?_._-;_-* &quot;-&quot;_?_._-;_-@_-"/>
    <numFmt numFmtId="217" formatCode="_-* #,##0.00_?_._-;\-* #,##0.00_?_._-;_-* &quot;-&quot;??_?_._-;_-@_-"/>
    <numFmt numFmtId="218" formatCode="0.0_)%;\(0.0\)%"/>
    <numFmt numFmtId="219" formatCode="0.00_)%;\(0.00\)%"/>
    <numFmt numFmtId="220" formatCode="0%_);\(0%\)"/>
    <numFmt numFmtId="221" formatCode="* \(#,##0.0\);* #,##0.0_);&quot;-&quot;??_);@"/>
    <numFmt numFmtId="222" formatCode="* \(#,##0.00\);* #,##0.00_);&quot;-&quot;??_);@"/>
    <numFmt numFmtId="223" formatCode="_(* \(#,##0.0\);_(* #,##0.0_);_(* &quot;-&quot;_);_(@_)"/>
    <numFmt numFmtId="224" formatCode="_(* \(#,##0.00\);_(* #,##0.00_);_(* &quot;-&quot;_);_(@_)"/>
    <numFmt numFmtId="225" formatCode="_(* \(#,##0.000\);_(* #,##0.000_);_(* &quot;-&quot;_);_(@_)"/>
    <numFmt numFmtId="226" formatCode="#,##0.000000;[Red]#,##0.000000"/>
    <numFmt numFmtId="227" formatCode="&quot;See Note &quot;\ #"/>
    <numFmt numFmtId="228" formatCode="_ * #,##0_ ;_ * \(#,##0_ ;_ * &quot;-&quot;_ ;_ @_ "/>
    <numFmt numFmtId="229" formatCode="&quot;$&quot;#,##0.000000;[Red]&quot;$&quot;#,##0.000000"/>
    <numFmt numFmtId="230" formatCode="#,##0.0000000_$"/>
    <numFmt numFmtId="231" formatCode="&quot;$&quot;\ #,##0.00"/>
    <numFmt numFmtId="232" formatCode="_ * #,##0_ ;_ * \(#,##0_)\ ;_ * &quot;-&quot;_ ;_ @_ "/>
    <numFmt numFmtId="233" formatCode="&quot;$&quot;\ #,##0"/>
    <numFmt numFmtId="234" formatCode="&quot;$&quot;"/>
    <numFmt numFmtId="235" formatCode="_._.* #,##0_)_%;_._.* \(#,##0\)_%;_._.* \ _)_%"/>
    <numFmt numFmtId="236" formatCode="yyyy\ &quot;год&quot;"/>
    <numFmt numFmtId="237" formatCode="General_)"/>
    <numFmt numFmtId="238" formatCode="0.0"/>
    <numFmt numFmtId="239" formatCode="_-* #,##0.00\ [$€-1]_-;\-* #,##0.00\ [$€-1]_-;_-* &quot;-&quot;??\ [$€-1]_-"/>
    <numFmt numFmtId="240" formatCode="@\ "/>
    <numFmt numFmtId="241" formatCode="\ #,##0.00\ ;&quot; (&quot;#,##0.00\);&quot; -&quot;#\ ;@\ "/>
    <numFmt numFmtId="242" formatCode="\(#,##0\);#,##0\ ;\-#\ ;@"/>
    <numFmt numFmtId="243" formatCode="&quot; $&quot;#,##0.00\ ;&quot; $(&quot;#,##0.00\);&quot; $-&quot;#\ ;@\ "/>
    <numFmt numFmtId="244" formatCode="#,##0.00&quot;  &quot;;[Red]\-#,##0.00&quot;  &quot;"/>
    <numFmt numFmtId="245" formatCode="0.0&quot; %&quot;;\(0.0&quot;)%&quot;;0.0&quot; %&quot;;@&quot;  &quot;"/>
    <numFmt numFmtId="246" formatCode="#,##0.0&quot;  &quot;;\(#,##0.0&quot;) &quot;;0.0&quot;  &quot;;@&quot;  &quot;"/>
    <numFmt numFmtId="247" formatCode="#,##0.00\ [$€-401]\ ;\-#,##0.00\ [$€-401]\ ;&quot; -&quot;#\ [$€-401]\ "/>
  </numFmts>
  <fonts count="304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Arial"/>
      <family val="2"/>
    </font>
    <font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1"/>
      <color indexed="10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sz val="10"/>
      <color indexed="10"/>
      <name val="Arial"/>
      <family val="2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indexed="9"/>
      <name val="Arial"/>
      <family val="2"/>
      <charset val="204"/>
    </font>
    <font>
      <b/>
      <sz val="10"/>
      <color indexed="9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37"/>
      <name val="Arial"/>
      <family val="2"/>
      <charset val="204"/>
    </font>
    <font>
      <b/>
      <sz val="10"/>
      <color indexed="37"/>
      <name val="Arial"/>
      <family val="2"/>
      <charset val="204"/>
    </font>
    <font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11"/>
      <name val="Calibri"/>
      <family val="2"/>
      <charset val="204"/>
    </font>
    <font>
      <sz val="10"/>
      <color indexed="9"/>
      <name val="Arial"/>
      <family val="2"/>
      <charset val="204"/>
    </font>
    <font>
      <b/>
      <sz val="11"/>
      <color indexed="10"/>
      <name val="Calibri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58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color indexed="40"/>
      <name val="Arial"/>
      <family val="2"/>
      <charset val="204"/>
    </font>
    <font>
      <sz val="9"/>
      <color indexed="8"/>
      <name val="Calibri"/>
      <family val="2"/>
      <charset val="204"/>
    </font>
    <font>
      <sz val="10"/>
      <color indexed="12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8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</font>
    <font>
      <b/>
      <i/>
      <sz val="10"/>
      <color indexed="8"/>
      <name val="Arial"/>
      <family val="2"/>
      <charset val="204"/>
    </font>
    <font>
      <sz val="11"/>
      <color indexed="8"/>
      <name val="Times New Roman"/>
      <family val="1"/>
      <charset val="204"/>
    </font>
    <font>
      <sz val="10"/>
      <color indexed="63"/>
      <name val="Tahoma"/>
      <family val="2"/>
      <charset val="204"/>
    </font>
    <font>
      <b/>
      <sz val="10"/>
      <color indexed="57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62"/>
      <name val="Arial"/>
      <family val="2"/>
      <charset val="204"/>
    </font>
    <font>
      <b/>
      <sz val="10"/>
      <color indexed="58"/>
      <name val="Arial"/>
      <family val="2"/>
      <charset val="204"/>
    </font>
    <font>
      <b/>
      <sz val="10"/>
      <color indexed="56"/>
      <name val="Arial"/>
      <family val="2"/>
      <charset val="204"/>
    </font>
    <font>
      <b/>
      <sz val="10"/>
      <color indexed="16"/>
      <name val="Arial"/>
      <family val="2"/>
      <charset val="204"/>
    </font>
    <font>
      <sz val="10"/>
      <color indexed="16"/>
      <name val="Arial"/>
      <family val="2"/>
      <charset val="204"/>
    </font>
    <font>
      <sz val="10"/>
      <color indexed="56"/>
      <name val="Arial"/>
      <family val="2"/>
      <charset val="204"/>
    </font>
    <font>
      <sz val="11"/>
      <color indexed="9"/>
      <name val="Calibri"/>
      <family val="2"/>
      <charset val="204"/>
    </font>
    <font>
      <b/>
      <i/>
      <sz val="12"/>
      <color indexed="62"/>
      <name val="Times New Roman"/>
      <family val="1"/>
      <charset val="204"/>
    </font>
    <font>
      <b/>
      <sz val="10"/>
      <color indexed="59"/>
      <name val="Arial"/>
      <family val="2"/>
      <charset val="204"/>
    </font>
    <font>
      <u/>
      <sz val="10"/>
      <color indexed="12"/>
      <name val="Arial Cyr"/>
      <family val="2"/>
      <charset val="204"/>
    </font>
    <font>
      <u/>
      <sz val="12"/>
      <name val="Arial"/>
      <family val="2"/>
      <charset val="204"/>
    </font>
    <font>
      <sz val="12"/>
      <name val="Arial"/>
      <family val="2"/>
      <charset val="204"/>
    </font>
    <font>
      <sz val="8"/>
      <color indexed="8"/>
      <name val="Calibri"/>
      <family val="2"/>
      <charset val="204"/>
    </font>
    <font>
      <sz val="8"/>
      <color indexed="8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</font>
    <font>
      <b/>
      <sz val="11"/>
      <name val="Calibri"/>
      <family val="2"/>
      <charset val="204"/>
    </font>
    <font>
      <b/>
      <sz val="10"/>
      <color indexed="9"/>
      <name val="Arial"/>
      <family val="2"/>
      <charset val="204"/>
    </font>
    <font>
      <sz val="8"/>
      <color indexed="10"/>
      <name val="Arial"/>
      <family val="2"/>
    </font>
    <font>
      <sz val="8"/>
      <color indexed="56"/>
      <name val="Arial"/>
      <family val="2"/>
      <charset val="204"/>
    </font>
    <font>
      <sz val="8"/>
      <color indexed="8"/>
      <name val="Arial"/>
      <family val="2"/>
    </font>
    <font>
      <sz val="8"/>
      <color indexed="58"/>
      <name val="Arial"/>
      <family val="2"/>
      <charset val="204"/>
    </font>
    <font>
      <b/>
      <sz val="8"/>
      <color indexed="37"/>
      <name val="Arial"/>
      <family val="2"/>
      <charset val="204"/>
    </font>
    <font>
      <sz val="8"/>
      <color indexed="37"/>
      <name val="Arial"/>
      <family val="2"/>
      <charset val="204"/>
    </font>
    <font>
      <b/>
      <sz val="8"/>
      <name val="Arial"/>
      <family val="2"/>
      <charset val="204"/>
    </font>
    <font>
      <sz val="8"/>
      <color indexed="16"/>
      <name val="Arial"/>
      <family val="2"/>
    </font>
    <font>
      <sz val="8"/>
      <color indexed="16"/>
      <name val="Arial"/>
      <family val="2"/>
      <charset val="204"/>
    </font>
    <font>
      <sz val="8"/>
      <color indexed="10"/>
      <name val="Arial"/>
      <family val="2"/>
      <charset val="204"/>
    </font>
    <font>
      <sz val="8"/>
      <color indexed="37"/>
      <name val="Arial"/>
      <family val="2"/>
    </font>
    <font>
      <sz val="8"/>
      <color indexed="5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  <charset val="204"/>
    </font>
    <font>
      <sz val="11"/>
      <color indexed="9"/>
      <name val="Calibri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37"/>
      <name val="Arial"/>
      <family val="2"/>
    </font>
    <font>
      <sz val="9"/>
      <color indexed="37"/>
      <name val="Arial"/>
      <family val="2"/>
    </font>
    <font>
      <sz val="9"/>
      <color indexed="37"/>
      <name val="Arial"/>
      <family val="2"/>
      <charset val="204"/>
    </font>
    <font>
      <sz val="9"/>
      <color indexed="5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9"/>
      <color indexed="16"/>
      <name val="Arial"/>
      <family val="2"/>
      <charset val="204"/>
    </font>
    <font>
      <b/>
      <sz val="12"/>
      <color indexed="8"/>
      <name val="Arial"/>
      <family val="2"/>
      <charset val="204"/>
    </font>
    <font>
      <sz val="11"/>
      <color indexed="9"/>
      <name val="Calibri"/>
      <family val="2"/>
      <charset val="204"/>
    </font>
    <font>
      <sz val="10"/>
      <color indexed="9"/>
      <name val="Arial"/>
      <family val="2"/>
      <charset val="204"/>
    </font>
    <font>
      <u/>
      <sz val="10"/>
      <color indexed="9"/>
      <name val="Arial Cyr"/>
      <family val="2"/>
      <charset val="204"/>
    </font>
    <font>
      <sz val="11"/>
      <color indexed="10"/>
      <name val="Calibri"/>
      <family val="2"/>
      <charset val="204"/>
    </font>
    <font>
      <sz val="8"/>
      <color indexed="10"/>
      <name val="Calibri"/>
      <family val="2"/>
      <charset val="204"/>
    </font>
    <font>
      <sz val="11"/>
      <color indexed="13"/>
      <name val="Calibri"/>
      <family val="2"/>
      <charset val="204"/>
    </font>
    <font>
      <sz val="10"/>
      <color indexed="22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10"/>
      <name val="Calibri"/>
      <family val="2"/>
      <charset val="204"/>
    </font>
    <font>
      <sz val="10"/>
      <color indexed="9"/>
      <name val="Arial"/>
      <family val="2"/>
    </font>
    <font>
      <sz val="10"/>
      <color indexed="9"/>
      <name val="Arial"/>
      <family val="2"/>
      <charset val="204"/>
    </font>
    <font>
      <sz val="8"/>
      <name val="Arial"/>
      <family val="2"/>
    </font>
    <font>
      <b/>
      <sz val="9"/>
      <name val="Arial"/>
      <family val="2"/>
      <charset val="204"/>
    </font>
    <font>
      <sz val="7"/>
      <name val="Arial"/>
      <family val="2"/>
      <charset val="204"/>
    </font>
    <font>
      <b/>
      <sz val="8"/>
      <name val="Calibri"/>
      <family val="2"/>
      <charset val="204"/>
    </font>
    <font>
      <sz val="11"/>
      <color indexed="10"/>
      <name val="Calibri"/>
      <family val="2"/>
      <charset val="204"/>
    </font>
    <font>
      <sz val="10"/>
      <color indexed="9"/>
      <name val="Arial"/>
      <family val="2"/>
    </font>
    <font>
      <sz val="11"/>
      <color indexed="9"/>
      <name val="Calibri"/>
      <family val="2"/>
      <charset val="204"/>
    </font>
    <font>
      <sz val="10"/>
      <color indexed="9"/>
      <name val="Arial"/>
      <family val="2"/>
      <charset val="204"/>
    </font>
    <font>
      <sz val="10"/>
      <color indexed="9"/>
      <name val="Arial"/>
      <family val="2"/>
      <charset val="204"/>
    </font>
    <font>
      <b/>
      <sz val="9"/>
      <color indexed="9"/>
      <name val="Arial"/>
      <family val="2"/>
      <charset val="204"/>
    </font>
    <font>
      <b/>
      <sz val="8"/>
      <color indexed="9"/>
      <name val="Arial"/>
      <family val="2"/>
      <charset val="204"/>
    </font>
    <font>
      <sz val="11"/>
      <color indexed="10"/>
      <name val="Calibri"/>
      <family val="2"/>
      <charset val="204"/>
    </font>
    <font>
      <sz val="10"/>
      <color indexed="10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1"/>
      <color indexed="10"/>
      <name val="Calibri"/>
      <family val="2"/>
      <charset val="204"/>
    </font>
    <font>
      <sz val="11"/>
      <color indexed="9"/>
      <name val="Calibri"/>
      <family val="2"/>
      <charset val="204"/>
    </font>
    <font>
      <sz val="8"/>
      <color indexed="9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sz val="8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8"/>
      <color rgb="FFFF0000"/>
      <name val="Arial"/>
      <family val="2"/>
    </font>
    <font>
      <sz val="8"/>
      <color rgb="FFFF0000"/>
      <name val="Calibri"/>
      <family val="2"/>
      <charset val="204"/>
    </font>
    <font>
      <b/>
      <sz val="10"/>
      <color rgb="FFFF0000"/>
      <name val="Arial"/>
      <family val="2"/>
      <charset val="204"/>
    </font>
    <font>
      <sz val="11"/>
      <color theme="0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indexed="8"/>
      <name val="Calibri"/>
      <family val="2"/>
      <charset val="204"/>
      <scheme val="minor"/>
    </font>
    <font>
      <sz val="11"/>
      <color indexed="37"/>
      <name val="Calibri"/>
      <family val="2"/>
      <charset val="204"/>
      <scheme val="minor"/>
    </font>
    <font>
      <sz val="10"/>
      <color theme="0"/>
      <name val="Arial"/>
      <family val="2"/>
      <charset val="204"/>
    </font>
    <font>
      <sz val="8"/>
      <color theme="0"/>
      <name val="Calibri"/>
      <family val="2"/>
      <charset val="204"/>
    </font>
    <font>
      <b/>
      <sz val="10"/>
      <color theme="0"/>
      <name val="Arial"/>
      <family val="2"/>
      <charset val="204"/>
    </font>
    <font>
      <b/>
      <sz val="8"/>
      <color rgb="FFFF000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rgb="FF00B050"/>
      <name val="Calibri"/>
      <family val="2"/>
      <charset val="204"/>
    </font>
    <font>
      <b/>
      <u/>
      <sz val="10"/>
      <color indexed="9"/>
      <name val="Arial"/>
      <family val="2"/>
      <charset val="204"/>
    </font>
    <font>
      <sz val="10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b/>
      <sz val="16"/>
      <color indexed="8"/>
      <name val="Arial"/>
      <family val="2"/>
      <charset val="204"/>
    </font>
    <font>
      <sz val="8"/>
      <color theme="0" tint="-0.249977111117893"/>
      <name val="Calibri"/>
      <family val="2"/>
      <charset val="204"/>
    </font>
    <font>
      <b/>
      <sz val="10"/>
      <color rgb="FF000099"/>
      <name val="Arial"/>
      <family val="2"/>
      <charset val="204"/>
    </font>
    <font>
      <sz val="8"/>
      <name val="Calibri"/>
      <family val="2"/>
      <charset val="204"/>
    </font>
    <font>
      <sz val="12"/>
      <color indexed="9"/>
      <name val="Arial"/>
      <family val="2"/>
      <charset val="204"/>
    </font>
    <font>
      <sz val="12"/>
      <color rgb="FFFF0000"/>
      <name val="Arial"/>
      <family val="2"/>
      <charset val="204"/>
    </font>
    <font>
      <sz val="8"/>
      <color indexed="9"/>
      <name val="Arial"/>
      <family val="2"/>
      <charset val="204"/>
    </font>
    <font>
      <sz val="8"/>
      <color theme="0"/>
      <name val="Arial"/>
      <family val="2"/>
      <charset val="204"/>
    </font>
    <font>
      <sz val="11"/>
      <color theme="0" tint="-0.499984740745262"/>
      <name val="Calibri"/>
      <family val="2"/>
      <charset val="204"/>
    </font>
    <font>
      <sz val="10"/>
      <color theme="0" tint="-0.499984740745262"/>
      <name val="Arial"/>
      <family val="2"/>
      <charset val="204"/>
    </font>
    <font>
      <b/>
      <sz val="11"/>
      <color theme="0" tint="-0.499984740745262"/>
      <name val="Calibri"/>
      <family val="2"/>
      <charset val="204"/>
    </font>
    <font>
      <sz val="11"/>
      <color theme="0"/>
      <name val="Times New Roman"/>
      <family val="1"/>
      <charset val="204"/>
    </font>
    <font>
      <b/>
      <sz val="16"/>
      <color rgb="FFFF0000"/>
      <name val="Calibri"/>
      <family val="2"/>
      <charset val="204"/>
    </font>
    <font>
      <u/>
      <sz val="11"/>
      <color theme="11"/>
      <name val="Calibri"/>
      <family val="2"/>
      <charset val="204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u/>
      <sz val="10"/>
      <color rgb="FFFF000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8"/>
      <name val="Helv"/>
      <charset val="204"/>
    </font>
    <font>
      <u/>
      <sz val="7"/>
      <color indexed="36"/>
      <name val="Arial"/>
      <family val="2"/>
      <charset val="204"/>
    </font>
    <font>
      <sz val="8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rgb="FF1F497D"/>
      <name val="Calibri"/>
      <family val="2"/>
      <charset val="204"/>
    </font>
    <font>
      <sz val="11"/>
      <color rgb="FF1F497D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</font>
    <font>
      <sz val="10"/>
      <color theme="0" tint="-0.34998626667073579"/>
      <name val="Arial"/>
      <family val="2"/>
      <charset val="204"/>
    </font>
    <font>
      <i/>
      <sz val="9"/>
      <color rgb="FFFF0000"/>
      <name val="Calibri"/>
      <family val="2"/>
      <charset val="204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8"/>
      <color theme="0"/>
      <name val="Arial"/>
      <family val="2"/>
    </font>
    <font>
      <sz val="10"/>
      <color theme="0" tint="-0.34998626667073579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0"/>
      <color indexed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rgb="FF0000FF"/>
      <name val="Arial"/>
      <family val="2"/>
      <charset val="204"/>
    </font>
    <font>
      <sz val="11"/>
      <color theme="1"/>
      <name val="Calibri"/>
      <family val="2"/>
      <scheme val="minor"/>
    </font>
    <font>
      <b/>
      <i/>
      <sz val="8"/>
      <color rgb="FFFF0000"/>
      <name val="Arial"/>
      <family val="2"/>
      <charset val="204"/>
    </font>
    <font>
      <sz val="10"/>
      <color theme="1"/>
      <name val="Times New Roman"/>
      <family val="1"/>
      <charset val="204"/>
    </font>
    <font>
      <sz val="11"/>
      <color rgb="FF3F3F76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0"/>
      <name val="Arial"/>
      <family val="2"/>
    </font>
    <font>
      <sz val="8"/>
      <name val="Univers 45 Light"/>
    </font>
    <font>
      <u/>
      <sz val="10"/>
      <color indexed="12"/>
      <name val="Arial"/>
      <family val="2"/>
      <charset val="204"/>
    </font>
    <font>
      <sz val="11"/>
      <color indexed="8"/>
      <name val="Arial"/>
      <family val="2"/>
    </font>
    <font>
      <sz val="11"/>
      <color indexed="8"/>
      <name val="Arial Cyr"/>
      <family val="2"/>
      <charset val="204"/>
    </font>
    <font>
      <sz val="10"/>
      <name val="Helv"/>
      <charset val="204"/>
    </font>
    <font>
      <sz val="10"/>
      <name val="Helv"/>
    </font>
    <font>
      <sz val="10"/>
      <name val="Arial Cyr"/>
      <family val="2"/>
      <charset val="204"/>
    </font>
    <font>
      <sz val="10"/>
      <name val="MS Sans Serif"/>
      <family val="2"/>
      <charset val="204"/>
    </font>
    <font>
      <sz val="9"/>
      <color indexed="11"/>
      <name val="Arial"/>
      <family val="2"/>
      <charset val="204"/>
    </font>
    <font>
      <u/>
      <sz val="10"/>
      <color indexed="12"/>
      <name val="Arial Cyr"/>
      <charset val="204"/>
    </font>
    <font>
      <sz val="11"/>
      <color indexed="20"/>
      <name val="Calibri"/>
      <family val="2"/>
      <charset val="204"/>
    </font>
    <font>
      <sz val="11"/>
      <name val="Times New Roman"/>
      <family val="1"/>
      <charset val="204"/>
    </font>
    <font>
      <sz val="10"/>
      <color indexed="8"/>
      <name val="MS Sans Serif"/>
      <family val="2"/>
      <charset val="204"/>
    </font>
    <font>
      <b/>
      <sz val="11"/>
      <color indexed="52"/>
      <name val="Calibri"/>
      <family val="2"/>
      <charset val="204"/>
    </font>
    <font>
      <sz val="10"/>
      <color indexed="24"/>
      <name val="Arial"/>
      <family val="2"/>
      <charset val="204"/>
    </font>
    <font>
      <b/>
      <sz val="13"/>
      <name val="Arial"/>
      <family val="2"/>
      <charset val="204"/>
    </font>
    <font>
      <sz val="10"/>
      <name val="Times New Roman"/>
      <family val="1"/>
    </font>
    <font>
      <sz val="9"/>
      <name val="Arial"/>
      <family val="2"/>
      <charset val="204"/>
    </font>
    <font>
      <sz val="10"/>
      <name val="StoneSerif"/>
      <charset val="204"/>
    </font>
    <font>
      <b/>
      <sz val="9"/>
      <name val="Arial Cyr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2"/>
      <name val="Arial"/>
      <family val="2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u/>
      <sz val="11"/>
      <color indexed="12"/>
      <name val="Calibri"/>
      <family val="2"/>
      <charset val="204"/>
    </font>
    <font>
      <b/>
      <u/>
      <sz val="8"/>
      <color indexed="12"/>
      <name val="Arial"/>
      <family val="2"/>
      <charset val="204"/>
    </font>
    <font>
      <u/>
      <sz val="7.6"/>
      <color indexed="12"/>
      <name val="Arial"/>
      <family val="2"/>
    </font>
    <font>
      <sz val="11"/>
      <color indexed="62"/>
      <name val="Calibri"/>
      <family val="2"/>
      <charset val="204"/>
    </font>
    <font>
      <u/>
      <sz val="10"/>
      <color indexed="36"/>
      <name val="Arial Cyr"/>
      <charset val="204"/>
    </font>
    <font>
      <b/>
      <u/>
      <sz val="16"/>
      <name val="Arial"/>
      <family val="2"/>
      <charset val="204"/>
    </font>
    <font>
      <sz val="8"/>
      <color indexed="9"/>
      <name val="MS Sans Serif"/>
      <family val="2"/>
      <charset val="204"/>
    </font>
    <font>
      <sz val="11"/>
      <color indexed="52"/>
      <name val="Calibri"/>
      <family val="2"/>
      <charset val="204"/>
    </font>
    <font>
      <sz val="11"/>
      <color indexed="60"/>
      <name val="Calibri"/>
      <family val="2"/>
      <charset val="204"/>
    </font>
    <font>
      <b/>
      <sz val="10"/>
      <name val="Arial Cyr"/>
      <family val="2"/>
      <charset val="204"/>
    </font>
    <font>
      <sz val="10"/>
      <name val="Arial Cyr"/>
      <charset val="204"/>
    </font>
    <font>
      <sz val="11"/>
      <color indexed="8"/>
      <name val="Arial"/>
      <family val="2"/>
      <charset val="204"/>
    </font>
    <font>
      <sz val="12"/>
      <name val="TimesET"/>
      <charset val="204"/>
    </font>
    <font>
      <b/>
      <sz val="11"/>
      <color indexed="63"/>
      <name val="Calibri"/>
      <family val="2"/>
      <charset val="204"/>
    </font>
    <font>
      <b/>
      <sz val="20"/>
      <name val="Times New Roman"/>
      <family val="1"/>
      <charset val="204"/>
    </font>
    <font>
      <b/>
      <sz val="14"/>
      <name val="Arial"/>
      <family val="2"/>
    </font>
    <font>
      <sz val="10"/>
      <color indexed="8"/>
      <name val="Times New Roman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6"/>
      <color indexed="23"/>
      <name val="Arial"/>
      <family val="2"/>
      <charset val="204"/>
    </font>
    <font>
      <b/>
      <sz val="10"/>
      <color indexed="10"/>
      <name val="Arial"/>
      <family val="2"/>
    </font>
    <font>
      <b/>
      <sz val="18"/>
      <color indexed="56"/>
      <name val="Cambria"/>
      <family val="2"/>
      <charset val="204"/>
    </font>
    <font>
      <b/>
      <sz val="14"/>
      <name val="Times New Roman"/>
      <family val="1"/>
      <charset val="204"/>
    </font>
    <font>
      <sz val="10"/>
      <name val="Arial Narrow"/>
      <family val="2"/>
      <charset val="204"/>
    </font>
    <font>
      <u/>
      <sz val="8.5"/>
      <color indexed="12"/>
      <name val="Arial"/>
      <family val="2"/>
      <charset val="204"/>
    </font>
    <font>
      <sz val="12"/>
      <name val="Arial Narrow"/>
      <family val="2"/>
      <charset val="204"/>
    </font>
    <font>
      <b/>
      <sz val="10"/>
      <color indexed="12"/>
      <name val="Arial Cyr"/>
      <family val="2"/>
      <charset val="204"/>
    </font>
    <font>
      <b/>
      <sz val="9"/>
      <name val="Arial"/>
      <family val="2"/>
    </font>
    <font>
      <sz val="8"/>
      <name val="NTTimes/Cyrillic"/>
    </font>
    <font>
      <b/>
      <sz val="11"/>
      <name val="Arial"/>
      <family val="2"/>
    </font>
    <font>
      <sz val="10"/>
      <name val="Arial CYR"/>
    </font>
    <font>
      <sz val="11"/>
      <name val="Times New Roman Cyr"/>
      <family val="1"/>
      <charset val="204"/>
    </font>
    <font>
      <sz val="12"/>
      <name val="TimesET"/>
    </font>
    <font>
      <sz val="12"/>
      <name val="Modern"/>
      <family val="3"/>
      <charset val="255"/>
    </font>
    <font>
      <sz val="9"/>
      <name val="Arial Cyr"/>
      <charset val="204"/>
    </font>
    <font>
      <sz val="10"/>
      <name val="Courier New"/>
      <family val="1"/>
      <charset val="204"/>
    </font>
    <font>
      <sz val="1"/>
      <color indexed="8"/>
      <name val="Courier New"/>
      <family val="3"/>
      <charset val="204"/>
    </font>
    <font>
      <sz val="10"/>
      <color indexed="8"/>
      <name val="’†?S?V?b?N‘М"/>
      <charset val="204"/>
    </font>
    <font>
      <b/>
      <sz val="10"/>
      <color theme="0"/>
      <name val="Cambria"/>
      <family val="1"/>
      <charset val="204"/>
    </font>
    <font>
      <sz val="10"/>
      <name val="Arial"/>
      <family val="2"/>
      <charset val="204"/>
    </font>
    <font>
      <b/>
      <u/>
      <sz val="10"/>
      <color indexed="56"/>
      <name val="Arial"/>
      <family val="2"/>
      <charset val="204"/>
    </font>
    <font>
      <b/>
      <u/>
      <sz val="10"/>
      <color indexed="8"/>
      <name val="Arial"/>
      <family val="2"/>
      <charset val="204"/>
    </font>
    <font>
      <b/>
      <sz val="10"/>
      <color rgb="FFFFC000"/>
      <name val="Arial"/>
      <family val="2"/>
      <charset val="204"/>
    </font>
    <font>
      <u/>
      <sz val="11"/>
      <color indexed="8"/>
      <name val="Calibri"/>
      <family val="2"/>
      <charset val="204"/>
    </font>
    <font>
      <u/>
      <sz val="10"/>
      <color indexed="56"/>
      <name val="Arial"/>
      <family val="2"/>
      <charset val="204"/>
    </font>
    <font>
      <b/>
      <sz val="10"/>
      <color rgb="FFFFFF00"/>
      <name val="Arial"/>
      <family val="2"/>
      <charset val="204"/>
    </font>
    <font>
      <sz val="10"/>
      <color theme="1"/>
      <name val="Arial"/>
      <family val="2"/>
    </font>
    <font>
      <b/>
      <i/>
      <sz val="8"/>
      <color indexed="9"/>
      <name val="Arial"/>
      <family val="2"/>
      <charset val="204"/>
    </font>
    <font>
      <b/>
      <i/>
      <sz val="10"/>
      <color indexed="9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FFFF00"/>
      <name val="Arial"/>
      <family val="2"/>
    </font>
    <font>
      <b/>
      <sz val="11"/>
      <color theme="0"/>
      <name val="Calibri"/>
      <family val="2"/>
      <charset val="204"/>
    </font>
    <font>
      <sz val="10"/>
      <color rgb="FF0070C0"/>
      <name val="Calibri"/>
      <family val="2"/>
      <charset val="204"/>
      <scheme val="minor"/>
    </font>
    <font>
      <sz val="11"/>
      <color rgb="FFFF0000"/>
      <name val="Times New Roman"/>
      <family val="1"/>
      <charset val="204"/>
    </font>
    <font>
      <sz val="10"/>
      <color rgb="FFFF0000"/>
      <name val="Calibri"/>
      <family val="2"/>
      <charset val="204"/>
    </font>
    <font>
      <b/>
      <sz val="8"/>
      <color indexed="56"/>
      <name val="Arial"/>
      <family val="2"/>
      <charset val="204"/>
    </font>
    <font>
      <b/>
      <u/>
      <sz val="8"/>
      <color indexed="56"/>
      <name val="Arial"/>
      <family val="2"/>
      <charset val="204"/>
    </font>
    <font>
      <sz val="8"/>
      <color theme="0" tint="-0.499984740745262"/>
      <name val="Arial"/>
      <family val="2"/>
      <charset val="204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  <charset val="204"/>
    </font>
    <font>
      <b/>
      <sz val="11"/>
      <color rgb="FF1F497D"/>
      <name val="Calibri"/>
      <family val="2"/>
      <charset val="204"/>
    </font>
    <font>
      <b/>
      <u/>
      <sz val="10"/>
      <color rgb="FFFFFF00"/>
      <name val="Arial"/>
      <family val="2"/>
      <charset val="204"/>
    </font>
    <font>
      <sz val="11"/>
      <color indexed="56"/>
      <name val="Arial"/>
      <family val="2"/>
      <charset val="204"/>
    </font>
    <font>
      <sz val="11"/>
      <color rgb="FFFF0000"/>
      <name val="Arial"/>
      <family val="2"/>
      <charset val="204"/>
    </font>
    <font>
      <sz val="10"/>
      <color rgb="FF003366"/>
      <name val="Arial"/>
      <family val="2"/>
      <charset val="204"/>
    </font>
    <font>
      <u/>
      <sz val="8"/>
      <color indexed="56"/>
      <name val="Arial"/>
      <family val="2"/>
      <charset val="204"/>
    </font>
    <font>
      <sz val="11"/>
      <color theme="3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8"/>
      <color theme="1"/>
      <name val="Arial"/>
      <family val="2"/>
      <charset val="204"/>
    </font>
    <font>
      <b/>
      <sz val="8"/>
      <color theme="3"/>
      <name val="Arial"/>
      <family val="2"/>
      <charset val="204"/>
    </font>
    <font>
      <sz val="12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15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26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indexed="18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58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6"/>
        <bgColor indexed="32"/>
      </patternFill>
    </fill>
    <fill>
      <patternFill patternType="solid">
        <fgColor indexed="26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32"/>
      </patternFill>
    </fill>
    <fill>
      <patternFill patternType="solid">
        <fgColor theme="0" tint="-0.249977111117893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8"/>
        <bgColor rgb="FF000080"/>
      </patternFill>
    </fill>
    <fill>
      <patternFill patternType="solid">
        <fgColor rgb="FF000080"/>
        <bgColor rgb="FF000080"/>
      </patternFill>
    </fill>
    <fill>
      <patternFill patternType="lightGray">
        <fgColor theme="0" tint="-0.34998626667073579"/>
        <bgColor indexed="65"/>
      </patternFill>
    </fill>
    <fill>
      <patternFill patternType="lightGray">
        <fgColor theme="8" tint="-0.2499465926084170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9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9"/>
      </patternFill>
    </fill>
    <fill>
      <patternFill patternType="solid">
        <fgColor rgb="FFFFCC99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lightGray">
        <fgColor indexed="22"/>
      </patternFill>
    </fill>
    <fill>
      <patternFill patternType="solid">
        <fgColor indexed="25"/>
        <bgColor indexed="60"/>
      </patternFill>
    </fill>
    <fill>
      <patternFill patternType="solid">
        <fgColor indexed="41"/>
        <bgColor indexed="34"/>
      </patternFill>
    </fill>
    <fill>
      <patternFill patternType="solid">
        <fgColor indexed="31"/>
      </patternFill>
    </fill>
    <fill>
      <patternFill patternType="solid">
        <fgColor indexed="14"/>
        <bgColor indexed="61"/>
      </patternFill>
    </fill>
    <fill>
      <patternFill patternType="solid">
        <fgColor indexed="31"/>
        <bgColor indexed="33"/>
      </patternFill>
    </fill>
    <fill>
      <patternFill patternType="solid">
        <fgColor indexed="45"/>
      </patternFill>
    </fill>
    <fill>
      <patternFill patternType="solid">
        <fgColor indexed="21"/>
        <bgColor indexed="38"/>
      </patternFill>
    </fill>
    <fill>
      <patternFill patternType="solid">
        <fgColor indexed="45"/>
        <bgColor indexed="29"/>
      </patternFill>
    </fill>
    <fill>
      <patternFill patternType="solid">
        <fgColor indexed="42"/>
      </patternFill>
    </fill>
    <fill>
      <patternFill patternType="solid">
        <fgColor indexed="48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46"/>
      </patternFill>
    </fill>
    <fill>
      <patternFill patternType="solid">
        <fgColor indexed="58"/>
        <bgColor indexed="63"/>
      </patternFill>
    </fill>
    <fill>
      <patternFill patternType="solid">
        <fgColor indexed="46"/>
        <bgColor indexed="24"/>
      </patternFill>
    </fill>
    <fill>
      <patternFill patternType="solid">
        <fgColor indexed="27"/>
      </patternFill>
    </fill>
    <fill>
      <patternFill patternType="solid">
        <fgColor indexed="15"/>
        <bgColor indexed="35"/>
      </patternFill>
    </fill>
    <fill>
      <patternFill patternType="solid">
        <fgColor indexed="27"/>
        <bgColor indexed="42"/>
      </patternFill>
    </fill>
    <fill>
      <patternFill patternType="solid">
        <fgColor indexed="47"/>
      </patternFill>
    </fill>
    <fill>
      <patternFill patternType="solid">
        <fgColor indexed="60"/>
        <bgColor indexed="25"/>
      </patternFill>
    </fill>
    <fill>
      <patternFill patternType="solid">
        <fgColor indexed="47"/>
        <bgColor indexed="33"/>
      </patternFill>
    </fill>
    <fill>
      <patternFill patternType="solid">
        <fgColor indexed="44"/>
      </patternFill>
    </fill>
    <fill>
      <patternFill patternType="solid">
        <fgColor indexed="44"/>
        <bgColor indexed="31"/>
      </patternFill>
    </fill>
    <fill>
      <patternFill patternType="solid">
        <fgColor indexed="29"/>
      </patternFill>
    </fill>
    <fill>
      <patternFill patternType="solid">
        <fgColor indexed="29"/>
        <bgColor indexed="45"/>
      </patternFill>
    </fill>
    <fill>
      <patternFill patternType="solid">
        <fgColor indexed="11"/>
      </patternFill>
    </fill>
    <fill>
      <patternFill patternType="solid">
        <fgColor indexed="11"/>
        <bgColor indexed="40"/>
      </patternFill>
    </fill>
    <fill>
      <patternFill patternType="solid">
        <fgColor indexed="51"/>
      </patternFill>
    </fill>
    <fill>
      <patternFill patternType="solid">
        <fgColor indexed="51"/>
        <bgColor indexed="13"/>
      </patternFill>
    </fill>
    <fill>
      <patternFill patternType="solid">
        <fgColor indexed="30"/>
      </patternFill>
    </fill>
    <fill>
      <patternFill patternType="solid">
        <fgColor indexed="38"/>
        <bgColor indexed="30"/>
      </patternFill>
    </fill>
    <fill>
      <patternFill patternType="solid">
        <fgColor indexed="36"/>
      </patternFill>
    </fill>
    <fill>
      <patternFill patternType="solid">
        <fgColor indexed="24"/>
        <bgColor indexed="46"/>
      </patternFill>
    </fill>
    <fill>
      <patternFill patternType="solid">
        <fgColor indexed="20"/>
        <bgColor indexed="16"/>
      </patternFill>
    </fill>
    <fill>
      <patternFill patternType="solid">
        <fgColor indexed="49"/>
      </patternFill>
    </fill>
    <fill>
      <patternFill patternType="solid">
        <fgColor indexed="49"/>
        <bgColor indexed="35"/>
      </patternFill>
    </fill>
    <fill>
      <patternFill patternType="solid">
        <fgColor indexed="52"/>
      </patternFill>
    </fill>
    <fill>
      <patternFill patternType="solid">
        <fgColor indexed="16"/>
        <bgColor indexed="60"/>
      </patternFill>
    </fill>
    <fill>
      <patternFill patternType="solid">
        <fgColor indexed="52"/>
        <bgColor indexed="51"/>
      </patternFill>
    </fill>
    <fill>
      <patternFill patternType="solid">
        <fgColor indexed="30"/>
        <bgColor indexed="38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10"/>
        <bgColor indexed="64"/>
      </patternFill>
    </fill>
    <fill>
      <patternFill patternType="solid">
        <fgColor indexed="55"/>
      </patternFill>
    </fill>
    <fill>
      <patternFill patternType="solid">
        <fgColor indexed="10"/>
        <bgColor indexed="61"/>
      </patternFill>
    </fill>
    <fill>
      <patternFill patternType="solid">
        <fgColor indexed="13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3"/>
        <bgColor indexed="8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theme="0"/>
        <bgColor indexed="32"/>
      </patternFill>
    </fill>
    <fill>
      <patternFill patternType="solid">
        <fgColor theme="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2060"/>
        <bgColor rgb="FF000080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9C9FF"/>
        <bgColor indexed="32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6"/>
        <bgColor indexed="64"/>
      </patternFill>
    </fill>
  </fills>
  <borders count="572">
    <border>
      <left/>
      <right/>
      <top/>
      <bottom/>
      <diagonal/>
    </border>
    <border>
      <left/>
      <right/>
      <top/>
      <bottom style="thin">
        <color indexed="10"/>
      </bottom>
      <diagonal/>
    </border>
    <border>
      <left/>
      <right style="thin">
        <color indexed="10"/>
      </right>
      <top/>
      <bottom/>
      <diagonal/>
    </border>
    <border>
      <left/>
      <right style="thin">
        <color indexed="9"/>
      </right>
      <top style="medium">
        <color indexed="18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18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 style="thin">
        <color indexed="9"/>
      </left>
      <right style="thin">
        <color indexed="9"/>
      </right>
      <top style="medium">
        <color indexed="18"/>
      </top>
      <bottom style="thin">
        <color indexed="9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thin">
        <color indexed="9"/>
      </bottom>
      <diagonal/>
    </border>
    <border>
      <left style="thin">
        <color indexed="37"/>
      </left>
      <right style="medium">
        <color indexed="18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1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37"/>
      </left>
      <right style="medium">
        <color indexed="18"/>
      </right>
      <top style="thin">
        <color indexed="9"/>
      </top>
      <bottom style="thin">
        <color indexed="37"/>
      </bottom>
      <diagonal/>
    </border>
    <border>
      <left style="medium">
        <color indexed="18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 style="medium">
        <color indexed="18"/>
      </left>
      <right style="medium">
        <color indexed="18"/>
      </right>
      <top style="thin">
        <color indexed="37"/>
      </top>
      <bottom style="thin">
        <color indexed="37"/>
      </bottom>
      <diagonal/>
    </border>
    <border>
      <left style="medium">
        <color indexed="18"/>
      </left>
      <right style="thin">
        <color indexed="37"/>
      </right>
      <top style="thin">
        <color indexed="37"/>
      </top>
      <bottom style="medium">
        <color indexed="18"/>
      </bottom>
      <diagonal/>
    </border>
    <border>
      <left style="thin">
        <color indexed="37"/>
      </left>
      <right style="medium">
        <color indexed="18"/>
      </right>
      <top style="thin">
        <color indexed="37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37"/>
      </top>
      <bottom style="medium">
        <color indexed="18"/>
      </bottom>
      <diagonal/>
    </border>
    <border>
      <left style="thin">
        <color indexed="8"/>
      </left>
      <right style="medium">
        <color indexed="1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8"/>
      </right>
      <top style="thin">
        <color indexed="8"/>
      </top>
      <bottom style="medium">
        <color indexed="18"/>
      </bottom>
      <diagonal/>
    </border>
    <border>
      <left style="medium">
        <color indexed="18"/>
      </left>
      <right style="thin">
        <color indexed="8"/>
      </right>
      <top style="thin">
        <color indexed="8"/>
      </top>
      <bottom style="medium">
        <color indexed="1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8"/>
      </bottom>
      <diagonal/>
    </border>
    <border>
      <left style="medium">
        <color indexed="18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medium">
        <color indexed="18"/>
      </bottom>
      <diagonal/>
    </border>
    <border>
      <left style="thin">
        <color indexed="9"/>
      </left>
      <right style="medium">
        <color indexed="18"/>
      </right>
      <top style="medium">
        <color indexed="18"/>
      </top>
      <bottom/>
      <diagonal/>
    </border>
    <border>
      <left style="medium">
        <color indexed="18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medium">
        <color indexed="18"/>
      </right>
      <top style="thin">
        <color indexed="9"/>
      </top>
      <bottom/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16"/>
      </left>
      <right style="medium">
        <color indexed="18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 style="medium">
        <color indexed="18"/>
      </right>
      <top style="thin">
        <color indexed="16"/>
      </top>
      <bottom style="medium">
        <color indexed="18"/>
      </bottom>
      <diagonal/>
    </border>
    <border>
      <left style="medium">
        <color indexed="18"/>
      </left>
      <right style="thin">
        <color indexed="16"/>
      </right>
      <top style="thin">
        <color indexed="16"/>
      </top>
      <bottom style="medium">
        <color indexed="18"/>
      </bottom>
      <diagonal/>
    </border>
    <border>
      <left style="medium">
        <color indexed="18"/>
      </left>
      <right style="thin">
        <color indexed="9"/>
      </right>
      <top style="medium">
        <color indexed="18"/>
      </top>
      <bottom style="thin">
        <color indexed="9"/>
      </bottom>
      <diagonal/>
    </border>
    <border>
      <left style="thin">
        <color indexed="9"/>
      </left>
      <right style="medium">
        <color indexed="18"/>
      </right>
      <top style="medium">
        <color indexed="18"/>
      </top>
      <bottom style="thin">
        <color indexed="9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18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thin">
        <color indexed="18"/>
      </bottom>
      <diagonal/>
    </border>
    <border>
      <left style="medium">
        <color indexed="18"/>
      </left>
      <right style="thin">
        <color indexed="16"/>
      </right>
      <top style="thin">
        <color indexed="16"/>
      </top>
      <bottom style="thin">
        <color indexed="37"/>
      </bottom>
      <diagonal/>
    </border>
    <border>
      <left style="thin">
        <color indexed="37"/>
      </left>
      <right style="medium">
        <color indexed="18"/>
      </right>
      <top style="thin">
        <color indexed="16"/>
      </top>
      <bottom style="thin">
        <color indexed="37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medium">
        <color indexed="18"/>
      </bottom>
      <diagonal/>
    </border>
    <border>
      <left style="medium">
        <color indexed="18"/>
      </left>
      <right style="thin">
        <color indexed="9"/>
      </right>
      <top style="medium">
        <color indexed="18"/>
      </top>
      <bottom/>
      <diagonal/>
    </border>
    <border>
      <left style="thin">
        <color indexed="9"/>
      </left>
      <right style="medium">
        <color indexed="18"/>
      </right>
      <top style="thin">
        <color indexed="9"/>
      </top>
      <bottom style="thin">
        <color indexed="8"/>
      </bottom>
      <diagonal/>
    </border>
    <border>
      <left style="medium">
        <color indexed="18"/>
      </left>
      <right style="thin">
        <color indexed="9"/>
      </right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/>
      <bottom style="thin">
        <color indexed="8"/>
      </bottom>
      <diagonal/>
    </border>
    <border>
      <left style="thin">
        <color indexed="9"/>
      </left>
      <right style="medium">
        <color indexed="18"/>
      </right>
      <top style="medium">
        <color indexed="18"/>
      </top>
      <bottom style="thin">
        <color indexed="8"/>
      </bottom>
      <diagonal/>
    </border>
    <border>
      <left style="medium">
        <color indexed="18"/>
      </left>
      <right style="thin">
        <color indexed="37"/>
      </right>
      <top style="thin">
        <color indexed="9"/>
      </top>
      <bottom style="thin">
        <color indexed="37"/>
      </bottom>
      <diagonal/>
    </border>
    <border>
      <left style="thin">
        <color indexed="37"/>
      </left>
      <right style="thin">
        <color indexed="37"/>
      </right>
      <top style="thin">
        <color indexed="9"/>
      </top>
      <bottom style="thin">
        <color indexed="37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37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37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1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16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thin">
        <color indexed="37"/>
      </bottom>
      <diagonal/>
    </border>
    <border>
      <left/>
      <right style="medium">
        <color indexed="59"/>
      </right>
      <top/>
      <bottom/>
      <diagonal/>
    </border>
    <border>
      <left/>
      <right/>
      <top/>
      <bottom style="medium">
        <color indexed="59"/>
      </bottom>
      <diagonal/>
    </border>
    <border>
      <left/>
      <right style="hair">
        <color indexed="62"/>
      </right>
      <top/>
      <bottom/>
      <diagonal/>
    </border>
    <border>
      <left style="thin">
        <color indexed="9"/>
      </left>
      <right/>
      <top style="medium">
        <color indexed="18"/>
      </top>
      <bottom/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hair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hair">
        <color indexed="32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hair">
        <color indexed="32"/>
      </bottom>
      <diagonal/>
    </border>
    <border>
      <left/>
      <right style="medium">
        <color indexed="20"/>
      </right>
      <top/>
      <bottom/>
      <diagonal/>
    </border>
    <border>
      <left/>
      <right/>
      <top/>
      <bottom style="medium">
        <color indexed="18"/>
      </bottom>
      <diagonal/>
    </border>
    <border>
      <left style="thin">
        <color indexed="37"/>
      </left>
      <right/>
      <top style="thin">
        <color indexed="37"/>
      </top>
      <bottom style="thin">
        <color indexed="37"/>
      </bottom>
      <diagonal/>
    </border>
    <border>
      <left style="thin">
        <color indexed="16"/>
      </left>
      <right/>
      <top style="thin">
        <color indexed="16"/>
      </top>
      <bottom style="medium">
        <color indexed="18"/>
      </bottom>
      <diagonal/>
    </border>
    <border>
      <left style="thin">
        <color indexed="37"/>
      </left>
      <right style="thin">
        <color indexed="64"/>
      </right>
      <top style="thin">
        <color indexed="37"/>
      </top>
      <bottom style="thin">
        <color indexed="37"/>
      </bottom>
      <diagonal/>
    </border>
    <border>
      <left style="medium">
        <color indexed="18"/>
      </left>
      <right/>
      <top/>
      <bottom/>
      <diagonal/>
    </border>
    <border>
      <left style="thin">
        <color indexed="37"/>
      </left>
      <right style="medium">
        <color indexed="18"/>
      </right>
      <top style="thin">
        <color indexed="16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hair">
        <color indexed="9"/>
      </bottom>
      <diagonal/>
    </border>
    <border>
      <left style="medium">
        <color indexed="18"/>
      </left>
      <right style="medium">
        <color indexed="18"/>
      </right>
      <top style="thin">
        <color indexed="8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16"/>
      </left>
      <right style="medium">
        <color indexed="18"/>
      </right>
      <top style="thin">
        <color indexed="16"/>
      </top>
      <bottom style="medium">
        <color indexed="56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56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medium">
        <color indexed="56"/>
      </bottom>
      <diagonal/>
    </border>
    <border>
      <left style="thin">
        <color indexed="9"/>
      </left>
      <right/>
      <top style="medium">
        <color indexed="18"/>
      </top>
      <bottom style="thin">
        <color indexed="9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18"/>
      </left>
      <right/>
      <top style="thin">
        <color indexed="16"/>
      </top>
      <bottom style="thin">
        <color indexed="37"/>
      </bottom>
      <diagonal/>
    </border>
    <border>
      <left style="thin">
        <color indexed="9"/>
      </left>
      <right style="medium">
        <color indexed="18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18"/>
      </left>
      <right style="thin">
        <color indexed="9"/>
      </right>
      <top/>
      <bottom/>
      <diagonal/>
    </border>
    <border>
      <left style="medium">
        <color indexed="18"/>
      </left>
      <right style="medium">
        <color indexed="18"/>
      </right>
      <top/>
      <bottom style="medium">
        <color indexed="18"/>
      </bottom>
      <diagonal/>
    </border>
    <border>
      <left style="thin">
        <color indexed="16"/>
      </left>
      <right/>
      <top style="thin">
        <color indexed="16"/>
      </top>
      <bottom style="thin">
        <color indexed="16"/>
      </bottom>
      <diagonal/>
    </border>
    <border>
      <left style="thin">
        <color indexed="37"/>
      </left>
      <right/>
      <top style="thin">
        <color indexed="37"/>
      </top>
      <bottom style="medium">
        <color indexed="1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medium">
        <color indexed="18"/>
      </left>
      <right style="thin">
        <color indexed="9"/>
      </right>
      <top style="hair">
        <color indexed="9"/>
      </top>
      <bottom/>
      <diagonal/>
    </border>
    <border>
      <left style="medium">
        <color indexed="18"/>
      </left>
      <right style="thin">
        <color indexed="9"/>
      </right>
      <top style="hair">
        <color indexed="8"/>
      </top>
      <bottom/>
      <diagonal/>
    </border>
    <border>
      <left style="thin">
        <color indexed="9"/>
      </left>
      <right style="thin">
        <color indexed="9"/>
      </right>
      <top style="hair">
        <color indexed="8"/>
      </top>
      <bottom/>
      <diagonal/>
    </border>
    <border>
      <left style="thin">
        <color indexed="9"/>
      </left>
      <right style="medium">
        <color indexed="18"/>
      </right>
      <top style="hair">
        <color indexed="8"/>
      </top>
      <bottom/>
      <diagonal/>
    </border>
    <border>
      <left style="medium">
        <color indexed="18"/>
      </left>
      <right style="thin">
        <color indexed="8"/>
      </right>
      <top style="medium">
        <color indexed="18"/>
      </top>
      <bottom style="medium">
        <color indexed="18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medium">
        <color indexed="9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medium">
        <color indexed="9"/>
      </bottom>
      <diagonal/>
    </border>
    <border>
      <left style="thin">
        <color indexed="37"/>
      </left>
      <right style="hair">
        <color indexed="8"/>
      </right>
      <top style="hair">
        <color indexed="8"/>
      </top>
      <bottom style="medium">
        <color indexed="18"/>
      </bottom>
      <diagonal/>
    </border>
    <border>
      <left/>
      <right/>
      <top/>
      <bottom style="medium">
        <color indexed="56"/>
      </bottom>
      <diagonal/>
    </border>
    <border>
      <left style="thin">
        <color indexed="58"/>
      </left>
      <right style="medium">
        <color indexed="18"/>
      </right>
      <top style="thin">
        <color indexed="58"/>
      </top>
      <bottom style="thin">
        <color indexed="58"/>
      </bottom>
      <diagonal/>
    </border>
    <border>
      <left/>
      <right/>
      <top/>
      <bottom style="medium">
        <color indexed="20"/>
      </bottom>
      <diagonal/>
    </border>
    <border>
      <left style="medium">
        <color indexed="1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medium">
        <color indexed="18"/>
      </left>
      <right style="medium">
        <color indexed="18"/>
      </right>
      <top/>
      <bottom style="hair">
        <color indexed="8"/>
      </bottom>
      <diagonal/>
    </border>
    <border>
      <left style="medium">
        <color indexed="18"/>
      </left>
      <right style="medium">
        <color indexed="18"/>
      </right>
      <top style="hair">
        <color indexed="8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hair">
        <color indexed="8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8"/>
      </bottom>
      <diagonal/>
    </border>
    <border>
      <left/>
      <right style="thin">
        <color indexed="37"/>
      </right>
      <top style="thin">
        <color indexed="37"/>
      </top>
      <bottom style="medium">
        <color indexed="18"/>
      </bottom>
      <diagonal/>
    </border>
    <border>
      <left style="medium">
        <color indexed="18"/>
      </left>
      <right style="thin">
        <color indexed="16"/>
      </right>
      <top style="thin">
        <color indexed="18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thin">
        <color indexed="18"/>
      </top>
      <bottom style="thin">
        <color indexed="16"/>
      </bottom>
      <diagonal/>
    </border>
    <border>
      <left style="thin">
        <color indexed="16"/>
      </left>
      <right style="medium">
        <color indexed="18"/>
      </right>
      <top style="thin">
        <color indexed="18"/>
      </top>
      <bottom style="thin">
        <color indexed="16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medium">
        <color indexed="18"/>
      </right>
      <top/>
      <bottom style="thin">
        <color indexed="9"/>
      </bottom>
      <diagonal/>
    </border>
    <border>
      <left style="thin">
        <color indexed="37"/>
      </left>
      <right style="medium">
        <color indexed="18"/>
      </right>
      <top/>
      <bottom style="thin">
        <color indexed="37"/>
      </bottom>
      <diagonal/>
    </border>
    <border>
      <left style="medium">
        <color indexed="18"/>
      </left>
      <right style="medium">
        <color indexed="18"/>
      </right>
      <top/>
      <bottom style="thin">
        <color indexed="37"/>
      </bottom>
      <diagonal/>
    </border>
    <border>
      <left style="medium">
        <color indexed="18"/>
      </left>
      <right style="medium">
        <color indexed="18"/>
      </right>
      <top style="thin">
        <color indexed="8"/>
      </top>
      <bottom style="thin">
        <color indexed="3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hair">
        <color indexed="32"/>
      </bottom>
      <diagonal/>
    </border>
    <border>
      <left/>
      <right/>
      <top style="medium">
        <color indexed="18"/>
      </top>
      <bottom style="thin">
        <color indexed="9"/>
      </bottom>
      <diagonal/>
    </border>
    <border>
      <left/>
      <right/>
      <top style="medium">
        <color indexed="18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 style="medium">
        <color indexed="18"/>
      </left>
      <right/>
      <top/>
      <bottom style="medium">
        <color indexed="1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18"/>
      </left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 style="thin">
        <color indexed="16"/>
      </right>
      <top/>
      <bottom style="thin">
        <color indexed="16"/>
      </bottom>
      <diagonal/>
    </border>
    <border>
      <left style="thin">
        <color indexed="18"/>
      </left>
      <right style="medium">
        <color indexed="18"/>
      </right>
      <top style="thin">
        <color indexed="9"/>
      </top>
      <bottom style="thin">
        <color indexed="37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medium">
        <color indexed="18"/>
      </left>
      <right style="thin">
        <color indexed="58"/>
      </right>
      <top style="thin">
        <color indexed="58"/>
      </top>
      <bottom style="medium">
        <color indexed="18"/>
      </bottom>
      <diagonal/>
    </border>
    <border>
      <left style="medium">
        <color indexed="18"/>
      </left>
      <right style="thin">
        <color indexed="58"/>
      </right>
      <top style="thin">
        <color indexed="58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18"/>
      </bottom>
      <diagonal/>
    </border>
    <border>
      <left style="medium">
        <color indexed="18"/>
      </left>
      <right style="thin">
        <color indexed="60"/>
      </right>
      <top style="thin">
        <color indexed="16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16"/>
      </top>
      <bottom style="thin">
        <color indexed="60"/>
      </bottom>
      <diagonal/>
    </border>
    <border>
      <left style="medium">
        <color indexed="18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60"/>
      </bottom>
      <diagonal/>
    </border>
    <border>
      <left style="thin">
        <color indexed="16"/>
      </left>
      <right style="thin">
        <color indexed="16"/>
      </right>
      <top style="thin">
        <color indexed="60"/>
      </top>
      <bottom style="medium">
        <color indexed="18"/>
      </bottom>
      <diagonal/>
    </border>
    <border>
      <left style="thin">
        <color indexed="16"/>
      </left>
      <right style="medium">
        <color indexed="18"/>
      </right>
      <top style="thin">
        <color indexed="60"/>
      </top>
      <bottom style="medium">
        <color indexed="18"/>
      </bottom>
      <diagonal/>
    </border>
    <border>
      <left style="thin">
        <color indexed="60"/>
      </left>
      <right style="medium">
        <color indexed="18"/>
      </right>
      <top style="thin">
        <color indexed="60"/>
      </top>
      <bottom style="thin">
        <color indexed="60"/>
      </bottom>
      <diagonal/>
    </border>
    <border>
      <left style="medium">
        <color indexed="18"/>
      </left>
      <right style="thin">
        <color indexed="9"/>
      </right>
      <top style="thin">
        <color indexed="9"/>
      </top>
      <bottom style="thin">
        <color indexed="6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0"/>
      </bottom>
      <diagonal/>
    </border>
    <border>
      <left style="thin">
        <color indexed="9"/>
      </left>
      <right style="medium">
        <color indexed="18"/>
      </right>
      <top style="thin">
        <color indexed="9"/>
      </top>
      <bottom style="thin">
        <color indexed="60"/>
      </bottom>
      <diagonal/>
    </border>
    <border>
      <left style="thin">
        <color indexed="60"/>
      </left>
      <right style="medium">
        <color indexed="56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56"/>
      </bottom>
      <diagonal/>
    </border>
    <border>
      <left style="thin">
        <color indexed="60"/>
      </left>
      <right style="medium">
        <color indexed="56"/>
      </right>
      <top style="thin">
        <color indexed="60"/>
      </top>
      <bottom style="medium">
        <color indexed="56"/>
      </bottom>
      <diagonal/>
    </border>
    <border>
      <left style="thin">
        <color indexed="9"/>
      </left>
      <right style="medium">
        <color indexed="56"/>
      </right>
      <top style="thin">
        <color indexed="9"/>
      </top>
      <bottom style="thin">
        <color indexed="9"/>
      </bottom>
      <diagonal/>
    </border>
    <border>
      <left style="medium">
        <color indexed="56"/>
      </left>
      <right style="thin">
        <color indexed="9"/>
      </right>
      <top style="thin">
        <color indexed="9"/>
      </top>
      <bottom style="thin">
        <color indexed="60"/>
      </bottom>
      <diagonal/>
    </border>
    <border>
      <left style="thin">
        <color indexed="9"/>
      </left>
      <right style="medium">
        <color indexed="56"/>
      </right>
      <top style="thin">
        <color indexed="9"/>
      </top>
      <bottom style="thin">
        <color indexed="60"/>
      </bottom>
      <diagonal/>
    </border>
    <border>
      <left style="medium">
        <color indexed="18"/>
      </left>
      <right style="thin">
        <color indexed="60"/>
      </right>
      <top style="thin">
        <color indexed="60"/>
      </top>
      <bottom style="medium">
        <color indexed="18"/>
      </bottom>
      <diagonal/>
    </border>
    <border>
      <left style="thin">
        <color indexed="60"/>
      </left>
      <right style="medium">
        <color indexed="18"/>
      </right>
      <top style="thin">
        <color indexed="60"/>
      </top>
      <bottom style="medium">
        <color indexed="18"/>
      </bottom>
      <diagonal/>
    </border>
    <border>
      <left style="medium">
        <color indexed="18"/>
      </left>
      <right style="medium">
        <color indexed="9"/>
      </right>
      <top style="medium">
        <color indexed="9"/>
      </top>
      <bottom style="thin">
        <color indexed="60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thin">
        <color indexed="60"/>
      </bottom>
      <diagonal/>
    </border>
    <border>
      <left style="medium">
        <color indexed="9"/>
      </left>
      <right style="medium">
        <color indexed="18"/>
      </right>
      <top style="medium">
        <color indexed="9"/>
      </top>
      <bottom style="thin">
        <color indexed="60"/>
      </bottom>
      <diagonal/>
    </border>
    <border>
      <left style="medium">
        <color indexed="18"/>
      </left>
      <right style="thin">
        <color indexed="16"/>
      </right>
      <top style="thin">
        <color indexed="16"/>
      </top>
      <bottom style="thin">
        <color indexed="60"/>
      </bottom>
      <diagonal/>
    </border>
    <border>
      <left style="thin">
        <color indexed="37"/>
      </left>
      <right style="thin">
        <color indexed="37"/>
      </right>
      <top style="thin">
        <color indexed="60"/>
      </top>
      <bottom style="medium">
        <color indexed="18"/>
      </bottom>
      <diagonal/>
    </border>
    <border>
      <left/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18"/>
      </left>
      <right style="thin">
        <color indexed="60"/>
      </right>
      <top style="thin">
        <color indexed="8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8"/>
      </top>
      <bottom style="thin">
        <color indexed="60"/>
      </bottom>
      <diagonal/>
    </border>
    <border>
      <left style="thin">
        <color indexed="16"/>
      </left>
      <right style="medium">
        <color indexed="18"/>
      </right>
      <top style="thin">
        <color indexed="16"/>
      </top>
      <bottom style="thin">
        <color indexed="60"/>
      </bottom>
      <diagonal/>
    </border>
    <border>
      <left style="medium">
        <color indexed="18"/>
      </left>
      <right style="thin">
        <color indexed="16"/>
      </right>
      <top style="thin">
        <color indexed="60"/>
      </top>
      <bottom style="thin">
        <color indexed="60"/>
      </bottom>
      <diagonal/>
    </border>
    <border>
      <left style="thin">
        <color indexed="16"/>
      </left>
      <right style="thin">
        <color indexed="16"/>
      </right>
      <top style="thin">
        <color indexed="60"/>
      </top>
      <bottom style="thin">
        <color indexed="60"/>
      </bottom>
      <diagonal/>
    </border>
    <border>
      <left style="thin">
        <color indexed="16"/>
      </left>
      <right style="medium">
        <color indexed="18"/>
      </right>
      <top style="thin">
        <color indexed="60"/>
      </top>
      <bottom style="thin">
        <color indexed="60"/>
      </bottom>
      <diagonal/>
    </border>
    <border>
      <left style="medium">
        <color indexed="18"/>
      </left>
      <right style="thin">
        <color indexed="37"/>
      </right>
      <top style="thin">
        <color indexed="60"/>
      </top>
      <bottom style="medium">
        <color indexed="18"/>
      </bottom>
      <diagonal/>
    </border>
    <border>
      <left style="thin">
        <color indexed="37"/>
      </left>
      <right style="medium">
        <color indexed="18"/>
      </right>
      <top style="thin">
        <color indexed="60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9"/>
      </top>
      <bottom style="medium">
        <color indexed="18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18"/>
      </right>
      <top style="thin">
        <color indexed="60"/>
      </top>
      <bottom style="thin">
        <color indexed="60"/>
      </bottom>
      <diagonal/>
    </border>
    <border>
      <left/>
      <right style="medium">
        <color indexed="18"/>
      </right>
      <top style="thin">
        <color indexed="60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5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56"/>
      </left>
      <right style="thin">
        <color indexed="64"/>
      </right>
      <top style="thin">
        <color indexed="64"/>
      </top>
      <bottom style="medium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60"/>
      </bottom>
      <diagonal/>
    </border>
    <border>
      <left style="thin">
        <color indexed="16"/>
      </left>
      <right style="medium">
        <color indexed="18"/>
      </right>
      <top/>
      <bottom style="thin">
        <color indexed="16"/>
      </bottom>
      <diagonal/>
    </border>
    <border>
      <left style="thin">
        <color indexed="60"/>
      </left>
      <right style="medium">
        <color indexed="18"/>
      </right>
      <top style="thin">
        <color indexed="16"/>
      </top>
      <bottom style="thin">
        <color indexed="60"/>
      </bottom>
      <diagonal/>
    </border>
    <border>
      <left style="medium">
        <color indexed="18"/>
      </left>
      <right style="thin">
        <color indexed="60"/>
      </right>
      <top style="thin">
        <color indexed="16"/>
      </top>
      <bottom style="thin">
        <color indexed="37"/>
      </bottom>
      <diagonal/>
    </border>
    <border>
      <left style="thin">
        <color indexed="60"/>
      </left>
      <right style="thin">
        <color indexed="16"/>
      </right>
      <top style="thin">
        <color indexed="16"/>
      </top>
      <bottom style="thin">
        <color indexed="37"/>
      </bottom>
      <diagonal/>
    </border>
    <border>
      <left style="medium">
        <color indexed="18"/>
      </left>
      <right style="thin">
        <color indexed="60"/>
      </right>
      <top style="thin">
        <color indexed="16"/>
      </top>
      <bottom style="medium">
        <color indexed="1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9"/>
      </bottom>
      <diagonal/>
    </border>
    <border>
      <left style="medium">
        <color indexed="18"/>
      </left>
      <right style="thin">
        <color indexed="18"/>
      </right>
      <top style="thin">
        <color indexed="9"/>
      </top>
      <bottom style="thin">
        <color indexed="37"/>
      </bottom>
      <diagonal/>
    </border>
    <border>
      <left style="medium">
        <color indexed="18"/>
      </left>
      <right style="thin">
        <color indexed="37"/>
      </right>
      <top style="thin">
        <color indexed="9"/>
      </top>
      <bottom style="medium">
        <color indexed="18"/>
      </bottom>
      <diagonal/>
    </border>
    <border>
      <left style="thin">
        <color indexed="37"/>
      </left>
      <right style="medium">
        <color indexed="18"/>
      </right>
      <top style="thin">
        <color indexed="9"/>
      </top>
      <bottom style="medium">
        <color indexed="18"/>
      </bottom>
      <diagonal/>
    </border>
    <border>
      <left style="hair">
        <color indexed="8"/>
      </left>
      <right style="thin">
        <color indexed="8"/>
      </right>
      <top style="medium">
        <color indexed="18"/>
      </top>
      <bottom style="medium">
        <color indexed="18"/>
      </bottom>
      <diagonal/>
    </border>
    <border>
      <left style="thin">
        <color indexed="8"/>
      </left>
      <right style="thin">
        <color indexed="8"/>
      </right>
      <top style="medium">
        <color indexed="18"/>
      </top>
      <bottom style="medium">
        <color indexed="18"/>
      </bottom>
      <diagonal/>
    </border>
    <border>
      <left style="thin">
        <color indexed="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 style="hair">
        <color indexed="18"/>
      </right>
      <top style="thin">
        <color indexed="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thin">
        <color indexed="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thin">
        <color indexed="8"/>
      </top>
      <bottom style="hair">
        <color indexed="18"/>
      </bottom>
      <diagonal/>
    </border>
    <border>
      <left style="medium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 style="hair">
        <color indexed="18"/>
      </right>
      <top style="hair">
        <color indexed="18"/>
      </top>
      <bottom style="thin">
        <color indexed="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thin">
        <color indexed="8"/>
      </bottom>
      <diagonal/>
    </border>
    <border>
      <left style="medium">
        <color indexed="18"/>
      </left>
      <right style="hair">
        <color indexed="18"/>
      </right>
      <top style="hair">
        <color indexed="18"/>
      </top>
      <bottom style="medium">
        <color indexed="1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60"/>
      </top>
      <bottom style="thin">
        <color indexed="60"/>
      </bottom>
      <diagonal/>
    </border>
    <border>
      <left style="medium">
        <color indexed="18"/>
      </left>
      <right style="medium">
        <color indexed="18"/>
      </right>
      <top style="thin">
        <color indexed="60"/>
      </top>
      <bottom style="thin">
        <color indexed="64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/>
      <diagonal/>
    </border>
    <border>
      <left style="thin">
        <color indexed="37"/>
      </left>
      <right style="thin">
        <color indexed="64"/>
      </right>
      <top style="thin">
        <color indexed="37"/>
      </top>
      <bottom/>
      <diagonal/>
    </border>
    <border>
      <left style="thin">
        <color indexed="37"/>
      </left>
      <right style="thin">
        <color indexed="64"/>
      </right>
      <top style="thin">
        <color indexed="37"/>
      </top>
      <bottom style="medium">
        <color indexed="18"/>
      </bottom>
      <diagonal/>
    </border>
    <border>
      <left style="medium">
        <color indexed="18"/>
      </left>
      <right style="thin">
        <color indexed="9"/>
      </right>
      <top/>
      <bottom style="thin">
        <color indexed="9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thin">
        <color indexed="37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thin">
        <color indexed="37"/>
      </top>
      <bottom style="hair">
        <color indexed="18"/>
      </bottom>
      <diagonal/>
    </border>
    <border>
      <left style="thin">
        <color indexed="37"/>
      </left>
      <right style="medium">
        <color indexed="18"/>
      </right>
      <top style="thin">
        <color indexed="37"/>
      </top>
      <bottom/>
      <diagonal/>
    </border>
    <border>
      <left style="medium">
        <color indexed="18"/>
      </left>
      <right style="thin">
        <color indexed="37"/>
      </right>
      <top style="thin">
        <color indexed="37"/>
      </top>
      <bottom/>
      <diagonal/>
    </border>
    <border>
      <left/>
      <right style="thin">
        <color indexed="37"/>
      </right>
      <top style="thin">
        <color indexed="37"/>
      </top>
      <bottom/>
      <diagonal/>
    </border>
    <border>
      <left style="medium">
        <color indexed="18"/>
      </left>
      <right style="thin">
        <color indexed="60"/>
      </right>
      <top style="thin">
        <color indexed="16"/>
      </top>
      <bottom/>
      <diagonal/>
    </border>
    <border>
      <left style="medium">
        <color indexed="18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18"/>
      </right>
      <top style="thin">
        <color indexed="6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thin">
        <color indexed="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56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56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56"/>
      </left>
      <right style="thin">
        <color indexed="16"/>
      </right>
      <top style="thin">
        <color indexed="16"/>
      </top>
      <bottom style="thin">
        <color indexed="37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16"/>
      </left>
      <right style="medium">
        <color indexed="18"/>
      </right>
      <top style="thin">
        <color indexed="60"/>
      </top>
      <bottom style="thin">
        <color indexed="56"/>
      </bottom>
      <diagonal/>
    </border>
    <border>
      <left style="thin">
        <color indexed="37"/>
      </left>
      <right style="medium">
        <color indexed="18"/>
      </right>
      <top style="thin">
        <color indexed="56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9"/>
      </top>
      <bottom style="thin">
        <color indexed="37"/>
      </bottom>
      <diagonal/>
    </border>
    <border>
      <left style="medium">
        <color indexed="18"/>
      </left>
      <right/>
      <top style="thin">
        <color indexed="8"/>
      </top>
      <bottom style="thin">
        <color indexed="8"/>
      </bottom>
      <diagonal/>
    </border>
    <border>
      <left style="medium">
        <color indexed="18"/>
      </left>
      <right/>
      <top style="thin">
        <color indexed="8"/>
      </top>
      <bottom style="medium">
        <color indexed="18"/>
      </bottom>
      <diagonal/>
    </border>
    <border>
      <left style="thin">
        <color indexed="60"/>
      </left>
      <right style="thin">
        <color indexed="60"/>
      </right>
      <top style="thin">
        <color indexed="58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4"/>
      </top>
      <bottom style="thin">
        <color indexed="60"/>
      </bottom>
      <diagonal/>
    </border>
    <border>
      <left style="medium">
        <color indexed="56"/>
      </left>
      <right style="thin">
        <color indexed="60"/>
      </right>
      <top style="thin">
        <color indexed="60"/>
      </top>
      <bottom style="medium">
        <color indexed="56"/>
      </bottom>
      <diagonal/>
    </border>
    <border>
      <left style="medium">
        <color indexed="18"/>
      </left>
      <right style="thin">
        <color indexed="60"/>
      </right>
      <top style="thin">
        <color indexed="58"/>
      </top>
      <bottom style="thin">
        <color indexed="60"/>
      </bottom>
      <diagonal/>
    </border>
    <border>
      <left style="thick">
        <color indexed="62"/>
      </left>
      <right style="thick">
        <color indexed="62"/>
      </right>
      <top/>
      <bottom style="thick">
        <color indexed="62"/>
      </bottom>
      <diagonal/>
    </border>
    <border>
      <left style="thin">
        <color indexed="60"/>
      </left>
      <right style="thin">
        <color indexed="16"/>
      </right>
      <top style="thin">
        <color indexed="16"/>
      </top>
      <bottom/>
      <diagonal/>
    </border>
    <border>
      <left style="thin">
        <color indexed="60"/>
      </left>
      <right style="medium">
        <color indexed="18"/>
      </right>
      <top style="thin">
        <color indexed="8"/>
      </top>
      <bottom style="thin">
        <color indexed="60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9"/>
      </right>
      <top style="medium">
        <color indexed="18"/>
      </top>
      <bottom/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37"/>
      </left>
      <right/>
      <top/>
      <bottom style="thin">
        <color indexed="37"/>
      </bottom>
      <diagonal/>
    </border>
    <border>
      <left style="medium">
        <color indexed="18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18"/>
      </right>
      <top style="medium">
        <color indexed="9"/>
      </top>
      <bottom style="medium">
        <color indexed="9"/>
      </bottom>
      <diagonal/>
    </border>
    <border>
      <left style="medium">
        <color indexed="18"/>
      </left>
      <right style="medium">
        <color indexed="9"/>
      </right>
      <top style="medium">
        <color indexed="9"/>
      </top>
      <bottom style="thin">
        <color indexed="8"/>
      </bottom>
      <diagonal/>
    </border>
    <border>
      <left style="medium">
        <color indexed="9"/>
      </left>
      <right style="medium">
        <color indexed="18"/>
      </right>
      <top style="medium">
        <color indexed="9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16"/>
      </bottom>
      <diagonal/>
    </border>
    <border>
      <left/>
      <right/>
      <top style="thin">
        <color indexed="9"/>
      </top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18"/>
      </left>
      <right style="thin">
        <color indexed="18"/>
      </right>
      <top style="medium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medium">
        <color indexed="18"/>
      </top>
      <bottom style="thin">
        <color indexed="18"/>
      </bottom>
      <diagonal/>
    </border>
    <border>
      <left style="thin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/>
      <bottom style="thin">
        <color indexed="60"/>
      </bottom>
      <diagonal/>
    </border>
    <border>
      <left style="medium">
        <color indexed="56"/>
      </left>
      <right/>
      <top style="thin">
        <color indexed="58"/>
      </top>
      <bottom style="thin">
        <color indexed="58"/>
      </bottom>
      <diagonal/>
    </border>
    <border>
      <left style="thin">
        <color indexed="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medium">
        <color indexed="56"/>
      </left>
      <right style="thin">
        <color indexed="16"/>
      </right>
      <top style="thin">
        <color indexed="16"/>
      </top>
      <bottom style="medium">
        <color indexed="56"/>
      </bottom>
      <diagonal/>
    </border>
    <border>
      <left style="thin">
        <color indexed="60"/>
      </left>
      <right style="medium">
        <color indexed="18"/>
      </right>
      <top style="thin">
        <color indexed="60"/>
      </top>
      <bottom style="medium">
        <color indexed="56"/>
      </bottom>
      <diagonal/>
    </border>
    <border>
      <left style="thin">
        <color indexed="37"/>
      </left>
      <right style="thin">
        <color indexed="37"/>
      </right>
      <top/>
      <bottom style="medium">
        <color indexed="18"/>
      </bottom>
      <diagonal/>
    </border>
    <border>
      <left style="thin">
        <color indexed="37"/>
      </left>
      <right style="thin">
        <color indexed="37"/>
      </right>
      <top/>
      <bottom style="thin">
        <color indexed="3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thin">
        <color indexed="8"/>
      </right>
      <top style="thin">
        <color indexed="8"/>
      </top>
      <bottom/>
      <diagonal/>
    </border>
    <border>
      <left style="medium">
        <color indexed="1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 style="thin">
        <color indexed="18"/>
      </right>
      <top style="thin">
        <color indexed="18"/>
      </top>
      <bottom style="medium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medium">
        <color indexed="18"/>
      </bottom>
      <diagonal/>
    </border>
    <border>
      <left style="thin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thin">
        <color indexed="16"/>
      </left>
      <right style="medium">
        <color indexed="18"/>
      </right>
      <top style="thin">
        <color indexed="64"/>
      </top>
      <bottom style="thin">
        <color indexed="1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18"/>
      </right>
      <top style="thin">
        <color indexed="8"/>
      </top>
      <bottom style="medium">
        <color indexed="56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0"/>
      </bottom>
      <diagonal/>
    </border>
    <border>
      <left style="thin">
        <color indexed="60"/>
      </left>
      <right style="thin">
        <color indexed="16"/>
      </right>
      <top style="thin">
        <color indexed="16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18"/>
      </right>
      <top/>
      <bottom style="thin">
        <color indexed="60"/>
      </bottom>
      <diagonal/>
    </border>
    <border>
      <left/>
      <right style="medium">
        <color indexed="18"/>
      </right>
      <top/>
      <bottom style="medium">
        <color indexed="18"/>
      </bottom>
      <diagonal/>
    </border>
    <border>
      <left style="thin">
        <color indexed="9"/>
      </left>
      <right style="medium">
        <color indexed="18"/>
      </right>
      <top/>
      <bottom style="thin">
        <color indexed="3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18"/>
      </left>
      <right style="hair">
        <color indexed="18"/>
      </right>
      <top style="medium">
        <color indexed="1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medium">
        <color indexed="18"/>
      </top>
      <bottom style="hair">
        <color indexed="18"/>
      </bottom>
      <diagonal/>
    </border>
    <border>
      <left style="hair">
        <color indexed="18"/>
      </left>
      <right/>
      <top style="medium">
        <color indexed="18"/>
      </top>
      <bottom style="hair">
        <color indexed="18"/>
      </bottom>
      <diagonal/>
    </border>
    <border>
      <left style="hair">
        <color indexed="18"/>
      </left>
      <right/>
      <top style="hair">
        <color indexed="18"/>
      </top>
      <bottom style="hair">
        <color indexed="18"/>
      </bottom>
      <diagonal/>
    </border>
    <border>
      <left style="hair">
        <color indexed="18"/>
      </left>
      <right/>
      <top style="hair">
        <color indexed="18"/>
      </top>
      <bottom style="medium">
        <color indexed="18"/>
      </bottom>
      <diagonal/>
    </border>
    <border>
      <left/>
      <right style="medium">
        <color indexed="18"/>
      </right>
      <top style="hair">
        <color indexed="18"/>
      </top>
      <bottom style="hair">
        <color indexed="18"/>
      </bottom>
      <diagonal/>
    </border>
    <border>
      <left/>
      <right style="hair">
        <color indexed="18"/>
      </right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thin">
        <color indexed="9"/>
      </top>
      <bottom style="thin">
        <color indexed="9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9"/>
      </top>
      <bottom style="thin">
        <color indexed="60"/>
      </bottom>
      <diagonal/>
    </border>
    <border>
      <left/>
      <right style="medium">
        <color indexed="18"/>
      </right>
      <top/>
      <bottom/>
      <diagonal/>
    </border>
    <border>
      <left style="medium">
        <color indexed="18"/>
      </left>
      <right style="hair">
        <color indexed="9"/>
      </right>
      <top style="hair">
        <color indexed="9"/>
      </top>
      <bottom style="thin">
        <color indexed="8"/>
      </bottom>
      <diagonal/>
    </border>
    <border>
      <left style="medium">
        <color indexed="18"/>
      </left>
      <right style="hair">
        <color indexed="9"/>
      </right>
      <top style="hair">
        <color indexed="9"/>
      </top>
      <bottom/>
      <diagonal/>
    </border>
    <border>
      <left style="medium">
        <color indexed="18"/>
      </left>
      <right style="hair">
        <color indexed="9"/>
      </right>
      <top style="medium">
        <color indexed="18"/>
      </top>
      <bottom style="thin">
        <color indexed="8"/>
      </bottom>
      <diagonal/>
    </border>
    <border>
      <left/>
      <right style="medium">
        <color indexed="18"/>
      </right>
      <top style="medium">
        <color indexed="18"/>
      </top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9"/>
      </bottom>
      <diagonal/>
    </border>
    <border>
      <left style="medium">
        <color indexed="18"/>
      </left>
      <right/>
      <top style="medium">
        <color indexed="18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medium">
        <color indexed="9"/>
      </bottom>
      <diagonal/>
    </border>
    <border>
      <left style="thin">
        <color indexed="9"/>
      </left>
      <right/>
      <top/>
      <bottom/>
      <diagonal/>
    </border>
    <border>
      <left style="medium">
        <color indexed="18"/>
      </left>
      <right style="medium">
        <color indexed="18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/>
      <bottom style="thin">
        <color indexed="16"/>
      </bottom>
      <diagonal/>
    </border>
    <border>
      <left style="medium">
        <color indexed="18"/>
      </left>
      <right style="medium">
        <color indexed="18"/>
      </right>
      <top/>
      <bottom style="thin">
        <color indexed="9"/>
      </bottom>
      <diagonal/>
    </border>
    <border>
      <left style="medium">
        <color indexed="56"/>
      </left>
      <right style="thin">
        <color indexed="9"/>
      </right>
      <top style="medium">
        <color indexed="56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56"/>
      </top>
      <bottom style="thin">
        <color indexed="9"/>
      </bottom>
      <diagonal/>
    </border>
    <border>
      <left style="thin">
        <color indexed="9"/>
      </left>
      <right style="medium">
        <color indexed="56"/>
      </right>
      <top style="medium">
        <color indexed="56"/>
      </top>
      <bottom style="thin">
        <color indexed="9"/>
      </bottom>
      <diagonal/>
    </border>
    <border>
      <left style="medium">
        <color indexed="18"/>
      </left>
      <right/>
      <top style="medium">
        <color indexed="18"/>
      </top>
      <bottom style="thin">
        <color indexed="8"/>
      </bottom>
      <diagonal/>
    </border>
    <border>
      <left/>
      <right/>
      <top style="medium">
        <color indexed="18"/>
      </top>
      <bottom style="thin">
        <color indexed="8"/>
      </bottom>
      <diagonal/>
    </border>
    <border>
      <left/>
      <right style="medium">
        <color indexed="18"/>
      </right>
      <top style="medium">
        <color indexed="18"/>
      </top>
      <bottom style="thin">
        <color indexed="8"/>
      </bottom>
      <diagonal/>
    </border>
    <border>
      <left style="medium">
        <color indexed="9"/>
      </left>
      <right style="medium">
        <color indexed="18"/>
      </right>
      <top style="medium">
        <color indexed="18"/>
      </top>
      <bottom style="medium">
        <color indexed="9"/>
      </bottom>
      <diagonal/>
    </border>
    <border>
      <left style="medium">
        <color indexed="18"/>
      </left>
      <right style="medium">
        <color indexed="9"/>
      </right>
      <top style="medium">
        <color indexed="18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18"/>
      </top>
      <bottom style="medium">
        <color indexed="9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 style="medium">
        <color indexed="18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medium">
        <color indexed="18"/>
      </left>
      <right style="thin">
        <color indexed="9"/>
      </right>
      <top/>
      <bottom style="thin">
        <color indexed="16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18"/>
      </bottom>
      <diagonal/>
    </border>
    <border>
      <left style="thin">
        <color indexed="9"/>
      </left>
      <right style="thin">
        <color indexed="64"/>
      </right>
      <top style="medium">
        <color indexed="18"/>
      </top>
      <bottom/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18"/>
      </left>
      <right style="thin">
        <color theme="9" tint="-0.499984740745262"/>
      </right>
      <top style="thin">
        <color indexed="60"/>
      </top>
      <bottom style="thin">
        <color indexed="6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indexed="60"/>
      </top>
      <bottom style="thin">
        <color indexed="60"/>
      </bottom>
      <diagonal/>
    </border>
    <border>
      <left style="thin">
        <color theme="9" tint="-0.499984740745262"/>
      </left>
      <right style="medium">
        <color indexed="18"/>
      </right>
      <top style="thin">
        <color indexed="60"/>
      </top>
      <bottom style="thin">
        <color indexed="6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indexed="60"/>
      </top>
      <bottom style="medium">
        <color indexed="18"/>
      </bottom>
      <diagonal/>
    </border>
    <border>
      <left style="thin">
        <color theme="9" tint="-0.499984740745262"/>
      </left>
      <right style="medium">
        <color indexed="18"/>
      </right>
      <top style="thin">
        <color indexed="60"/>
      </top>
      <bottom style="medium">
        <color indexed="18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theme="3" tint="-0.24994659260841701"/>
      </bottom>
      <diagonal/>
    </border>
    <border>
      <left style="thin">
        <color indexed="60"/>
      </left>
      <right style="thin">
        <color theme="3" tint="-0.24994659260841701"/>
      </right>
      <top style="thin">
        <color indexed="60"/>
      </top>
      <bottom style="thin">
        <color indexed="60"/>
      </bottom>
      <diagonal/>
    </border>
    <border>
      <left style="thin">
        <color indexed="9"/>
      </left>
      <right style="thin">
        <color indexed="9"/>
      </right>
      <top style="medium">
        <color theme="3" tint="-0.24994659260841701"/>
      </top>
      <bottom style="thin">
        <color indexed="9"/>
      </bottom>
      <diagonal/>
    </border>
    <border>
      <left style="thin">
        <color indexed="9"/>
      </left>
      <right/>
      <top style="medium">
        <color theme="3" tint="-0.24994659260841701"/>
      </top>
      <bottom/>
      <diagonal/>
    </border>
    <border>
      <left/>
      <right style="thin">
        <color indexed="9"/>
      </right>
      <top style="medium">
        <color theme="3" tint="-0.24994659260841701"/>
      </top>
      <bottom/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9"/>
      </bottom>
      <diagonal/>
    </border>
    <border>
      <left/>
      <right style="medium">
        <color theme="3" tint="-0.24994659260841701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theme="3" tint="-0.24994659260841701"/>
      </top>
      <bottom/>
      <diagonal/>
    </border>
    <border>
      <left style="thin">
        <color indexed="9"/>
      </left>
      <right/>
      <top style="medium">
        <color theme="3" tint="-0.24994659260841701"/>
      </top>
      <bottom style="thin">
        <color indexed="9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medium">
        <color theme="3" tint="-0.2499465926084170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/>
      <diagonal/>
    </border>
    <border>
      <left/>
      <right style="thin">
        <color indexed="8"/>
      </right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thin">
        <color indexed="9"/>
      </bottom>
      <diagonal/>
    </border>
    <border>
      <left/>
      <right style="hair">
        <color indexed="18"/>
      </right>
      <top style="medium">
        <color indexed="18"/>
      </top>
      <bottom style="hair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 style="medium">
        <color indexed="18"/>
      </top>
      <bottom style="hair">
        <color indexed="18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medium">
        <color rgb="FF002060"/>
      </bottom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 style="medium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medium">
        <color indexed="18"/>
      </right>
      <top style="thin">
        <color indexed="8"/>
      </top>
      <bottom style="thin">
        <color indexed="8"/>
      </bottom>
      <diagonal/>
    </border>
    <border>
      <left style="medium">
        <color indexed="18"/>
      </left>
      <right/>
      <top style="hair">
        <color indexed="18"/>
      </top>
      <bottom/>
      <diagonal/>
    </border>
    <border>
      <left style="thin">
        <color indexed="18"/>
      </left>
      <right style="medium">
        <color indexed="18"/>
      </right>
      <top style="thin">
        <color indexed="8"/>
      </top>
      <bottom style="medium">
        <color indexed="18"/>
      </bottom>
      <diagonal/>
    </border>
    <border>
      <left style="thin">
        <color indexed="58"/>
      </left>
      <right/>
      <top style="thin">
        <color indexed="58"/>
      </top>
      <bottom/>
      <diagonal/>
    </border>
    <border>
      <left/>
      <right style="medium">
        <color indexed="18"/>
      </right>
      <top style="thin">
        <color indexed="58"/>
      </top>
      <bottom style="thin">
        <color indexed="58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rgb="FF002060"/>
      </bottom>
      <diagonal/>
    </border>
    <border>
      <left style="thin">
        <color indexed="60"/>
      </left>
      <right style="thin">
        <color indexed="16"/>
      </right>
      <top style="thin">
        <color indexed="16"/>
      </top>
      <bottom style="medium">
        <color rgb="FF002060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medium">
        <color rgb="FF002060"/>
      </bottom>
      <diagonal/>
    </border>
    <border>
      <left style="thin">
        <color indexed="37"/>
      </left>
      <right style="thin">
        <color indexed="16"/>
      </right>
      <top style="thin">
        <color indexed="37"/>
      </top>
      <bottom style="medium">
        <color rgb="FF002060"/>
      </bottom>
      <diagonal/>
    </border>
    <border>
      <left style="thin">
        <color indexed="37"/>
      </left>
      <right style="thin">
        <color indexed="60"/>
      </right>
      <top style="thin">
        <color indexed="60"/>
      </top>
      <bottom style="medium">
        <color theme="3" tint="-0.24994659260841701"/>
      </bottom>
      <diagonal/>
    </border>
    <border>
      <left style="thin">
        <color indexed="37"/>
      </left>
      <right/>
      <top style="thin">
        <color indexed="9"/>
      </top>
      <bottom style="thin">
        <color indexed="37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56"/>
      </left>
      <right/>
      <top style="thin">
        <color indexed="58"/>
      </top>
      <bottom style="medium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58"/>
      </top>
      <bottom style="medium">
        <color indexed="56"/>
      </bottom>
      <diagonal/>
    </border>
    <border>
      <left/>
      <right style="thin">
        <color indexed="58"/>
      </right>
      <top style="thin">
        <color indexed="58"/>
      </top>
      <bottom style="medium">
        <color indexed="56"/>
      </bottom>
      <diagonal/>
    </border>
    <border>
      <left style="medium">
        <color indexed="18"/>
      </left>
      <right style="thin">
        <color indexed="16"/>
      </right>
      <top style="thin">
        <color indexed="37"/>
      </top>
      <bottom style="medium">
        <color indexed="18"/>
      </bottom>
      <diagonal/>
    </border>
    <border>
      <left/>
      <right style="thin">
        <color indexed="60"/>
      </right>
      <top style="thin">
        <color indexed="60"/>
      </top>
      <bottom style="medium">
        <color indexed="18"/>
      </bottom>
      <diagonal/>
    </border>
    <border>
      <left style="thin">
        <color indexed="60"/>
      </left>
      <right style="thin">
        <color rgb="FF002060"/>
      </right>
      <top style="thin">
        <color indexed="60"/>
      </top>
      <bottom style="medium">
        <color indexed="18"/>
      </bottom>
      <diagonal/>
    </border>
    <border>
      <left style="thin">
        <color indexed="60"/>
      </left>
      <right style="thin">
        <color rgb="FF002060"/>
      </right>
      <top style="thin">
        <color indexed="60"/>
      </top>
      <bottom style="thin">
        <color indexed="60"/>
      </bottom>
      <diagonal/>
    </border>
    <border>
      <left style="medium">
        <color theme="3" tint="-0.24994659260841701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 style="thin">
        <color indexed="58"/>
      </right>
      <top style="thin">
        <color indexed="58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/>
      <diagonal/>
    </border>
    <border>
      <left style="medium">
        <color indexed="18"/>
      </left>
      <right style="thin">
        <color indexed="37"/>
      </right>
      <top/>
      <bottom style="thin">
        <color indexed="37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medium">
        <color theme="3"/>
      </bottom>
      <diagonal/>
    </border>
    <border>
      <left style="thin">
        <color indexed="37"/>
      </left>
      <right/>
      <top style="thin">
        <color indexed="60"/>
      </top>
      <bottom style="medium">
        <color theme="3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theme="3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37"/>
      </left>
      <right style="thin">
        <color indexed="37"/>
      </right>
      <top/>
      <bottom/>
      <diagonal/>
    </border>
    <border>
      <left style="thin">
        <color indexed="37"/>
      </left>
      <right style="thin">
        <color indexed="60"/>
      </right>
      <top style="thin">
        <color indexed="60"/>
      </top>
      <bottom style="medium">
        <color rgb="FF00206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18"/>
      </left>
      <right/>
      <top style="hair">
        <color indexed="9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auto="1"/>
      </bottom>
      <diagonal/>
    </border>
    <border>
      <left style="medium">
        <color indexed="18"/>
      </left>
      <right style="thin">
        <color indexed="9"/>
      </right>
      <top style="medium">
        <color indexed="18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18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18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medium">
        <color indexed="18"/>
      </left>
      <right/>
      <top style="thin">
        <color indexed="16"/>
      </top>
      <bottom style="thin">
        <color indexed="16"/>
      </bottom>
      <diagonal/>
    </border>
    <border>
      <left style="thin">
        <color indexed="16"/>
      </left>
      <right style="medium">
        <color theme="3" tint="-0.24994659260841701"/>
      </right>
      <top style="thin">
        <color indexed="16"/>
      </top>
      <bottom style="thin">
        <color indexed="16"/>
      </bottom>
      <diagonal/>
    </border>
    <border>
      <left style="medium">
        <color indexed="18"/>
      </left>
      <right style="thin">
        <color indexed="18"/>
      </right>
      <top style="thin">
        <color indexed="18"/>
      </top>
      <bottom/>
      <diagonal/>
    </border>
    <border>
      <left style="thin">
        <color indexed="16"/>
      </left>
      <right style="medium">
        <color theme="3" tint="-0.24994659260841701"/>
      </right>
      <top style="thin">
        <color indexed="18"/>
      </top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18"/>
      </right>
      <top style="thin">
        <color indexed="18"/>
      </top>
      <bottom/>
      <diagonal/>
    </border>
    <border>
      <left style="thin">
        <color indexed="9"/>
      </left>
      <right style="thin">
        <color indexed="9"/>
      </right>
      <top style="medium">
        <color indexed="18"/>
      </top>
      <bottom/>
      <diagonal/>
    </border>
    <border>
      <left/>
      <right style="thin">
        <color indexed="10"/>
      </right>
      <top/>
      <bottom/>
      <diagonal/>
    </border>
    <border>
      <left style="medium">
        <color indexed="18"/>
      </left>
      <right/>
      <top style="hair">
        <color indexed="18"/>
      </top>
      <bottom/>
      <diagonal/>
    </border>
    <border>
      <left style="hair">
        <color indexed="18"/>
      </left>
      <right/>
      <top style="hair">
        <color indexed="18"/>
      </top>
      <bottom/>
      <diagonal/>
    </border>
    <border>
      <left style="medium">
        <color indexed="18"/>
      </left>
      <right/>
      <top style="hair">
        <color indexed="18"/>
      </top>
      <bottom style="medium">
        <color indexed="18"/>
      </bottom>
      <diagonal/>
    </border>
    <border>
      <left style="thin">
        <color indexed="37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 style="medium">
        <color indexed="18"/>
      </top>
      <bottom/>
      <diagonal/>
    </border>
    <border>
      <left style="thin">
        <color indexed="9"/>
      </left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0"/>
      </top>
      <bottom style="medium">
        <color rgb="FF002060"/>
      </bottom>
      <diagonal/>
    </border>
    <border>
      <left style="medium">
        <color indexed="56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56"/>
      </right>
      <top style="thin">
        <color indexed="60"/>
      </top>
      <bottom/>
      <diagonal/>
    </border>
    <border>
      <left style="thin">
        <color indexed="64"/>
      </left>
      <right style="thin">
        <color indexed="9"/>
      </right>
      <top style="medium">
        <color indexed="18"/>
      </top>
      <bottom/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0"/>
      </right>
      <top style="thin">
        <color indexed="16"/>
      </top>
      <bottom/>
      <diagonal/>
    </border>
    <border>
      <left/>
      <right style="thin">
        <color indexed="60"/>
      </right>
      <top style="thin">
        <color indexed="16"/>
      </top>
      <bottom style="medium">
        <color indexed="18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rgb="FF000080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medium">
        <color rgb="FF000080"/>
      </bottom>
      <diagonal/>
    </border>
    <border>
      <left style="thin">
        <color indexed="60"/>
      </left>
      <right style="medium">
        <color indexed="18"/>
      </right>
      <top style="thin">
        <color indexed="60"/>
      </top>
      <bottom style="medium">
        <color rgb="FF000080"/>
      </bottom>
      <diagonal/>
    </border>
    <border>
      <left style="thin">
        <color indexed="60"/>
      </left>
      <right style="medium">
        <color rgb="FF000080"/>
      </right>
      <top style="thin">
        <color indexed="60"/>
      </top>
      <bottom style="thin">
        <color indexed="60"/>
      </bottom>
      <diagonal/>
    </border>
    <border>
      <left style="thin">
        <color indexed="16"/>
      </left>
      <right style="thin">
        <color indexed="16"/>
      </right>
      <top style="thin">
        <color indexed="37"/>
      </top>
      <bottom style="medium">
        <color indexed="18"/>
      </bottom>
      <diagonal/>
    </border>
    <border>
      <left style="thin">
        <color indexed="16"/>
      </left>
      <right style="medium">
        <color indexed="18"/>
      </right>
      <top style="thin">
        <color indexed="37"/>
      </top>
      <bottom style="medium">
        <color indexed="18"/>
      </bottom>
      <diagonal/>
    </border>
    <border>
      <left style="thin">
        <color indexed="37"/>
      </left>
      <right style="thin">
        <color indexed="37"/>
      </right>
      <top style="thin">
        <color indexed="16"/>
      </top>
      <bottom style="medium">
        <color rgb="FF00008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0"/>
      </left>
      <right/>
      <top style="thin">
        <color indexed="8"/>
      </top>
      <bottom style="thin">
        <color indexed="60"/>
      </bottom>
      <diagonal/>
    </border>
    <border>
      <left/>
      <right style="medium">
        <color indexed="18"/>
      </right>
      <top style="thin">
        <color indexed="9"/>
      </top>
      <bottom style="thin">
        <color indexed="8"/>
      </bottom>
      <diagonal/>
    </border>
    <border>
      <left style="thin">
        <color indexed="58"/>
      </left>
      <right style="thin">
        <color indexed="64"/>
      </right>
      <top style="thin">
        <color indexed="58"/>
      </top>
      <bottom style="thin">
        <color indexed="58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60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60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3" tint="-0.24994659260841701"/>
      </left>
      <right style="thin">
        <color indexed="9"/>
      </right>
      <top style="medium">
        <color theme="3" tint="-0.24994659260841701"/>
      </top>
      <bottom style="thin">
        <color indexed="9"/>
      </bottom>
      <diagonal/>
    </border>
    <border>
      <left/>
      <right style="thin">
        <color indexed="9"/>
      </right>
      <top style="medium">
        <color theme="3" tint="-0.24994659260841701"/>
      </top>
      <bottom style="thin">
        <color indexed="9"/>
      </bottom>
      <diagonal/>
    </border>
    <border>
      <left style="thin">
        <color indexed="9"/>
      </left>
      <right style="medium">
        <color theme="3" tint="-0.24994659260841701"/>
      </right>
      <top style="medium">
        <color theme="3" tint="-0.24994659260841701"/>
      </top>
      <bottom style="thin">
        <color indexed="9"/>
      </bottom>
      <diagonal/>
    </border>
    <border>
      <left style="medium">
        <color theme="3" tint="-0.2499465926084170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theme="3" tint="-0.24994659260841701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58"/>
      </left>
      <right style="medium">
        <color theme="3" tint="-0.24994659260841701"/>
      </right>
      <top style="thin">
        <color indexed="58"/>
      </top>
      <bottom style="thin">
        <color indexed="58"/>
      </bottom>
      <diagonal/>
    </border>
    <border>
      <left style="medium">
        <color theme="3" tint="-0.24994659260841701"/>
      </left>
      <right style="thin">
        <color indexed="58"/>
      </right>
      <top style="thin">
        <color indexed="58"/>
      </top>
      <bottom style="medium">
        <color theme="3" tint="-0.24994659260841701"/>
      </bottom>
      <diagonal/>
    </border>
    <border>
      <left/>
      <right style="thin">
        <color indexed="58"/>
      </right>
      <top style="thin">
        <color indexed="58"/>
      </top>
      <bottom style="medium">
        <color theme="3" tint="-0.24994659260841701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medium">
        <color theme="3" tint="-0.24994659260841701"/>
      </bottom>
      <diagonal/>
    </border>
    <border>
      <left style="thin">
        <color indexed="58"/>
      </left>
      <right style="medium">
        <color theme="3" tint="-0.24994659260841701"/>
      </right>
      <top style="thin">
        <color indexed="58"/>
      </top>
      <bottom style="medium">
        <color theme="3" tint="-0.2499465926084170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18"/>
      </bottom>
      <diagonal/>
    </border>
    <border>
      <left style="thin">
        <color indexed="18"/>
      </left>
      <right style="medium">
        <color indexed="18"/>
      </right>
      <top style="thin">
        <color indexed="1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double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 style="hair">
        <color indexed="64"/>
      </top>
      <bottom style="hair">
        <color indexed="9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18"/>
      </right>
      <top style="thin">
        <color indexed="18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18"/>
      </top>
      <bottom style="hair">
        <color indexed="18"/>
      </bottom>
      <diagonal/>
    </border>
    <border>
      <left style="hair">
        <color indexed="18"/>
      </left>
      <right/>
      <top style="hair">
        <color indexed="1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/>
      <diagonal/>
    </border>
    <border>
      <left/>
      <right/>
      <top style="hair">
        <color indexed="18"/>
      </top>
      <bottom style="medium">
        <color indexed="18"/>
      </bottom>
      <diagonal/>
    </border>
    <border>
      <left style="hair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 style="thin">
        <color indexed="37"/>
      </top>
      <bottom style="thin">
        <color indexed="37"/>
      </bottom>
      <diagonal/>
    </border>
    <border>
      <left style="thin">
        <color indexed="64"/>
      </left>
      <right style="thin">
        <color indexed="64"/>
      </right>
      <top style="thin">
        <color indexed="37"/>
      </top>
      <bottom style="thin">
        <color indexed="37"/>
      </bottom>
      <diagonal/>
    </border>
    <border>
      <left style="thin">
        <color indexed="37"/>
      </left>
      <right/>
      <top style="thin">
        <color indexed="37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37"/>
      </left>
      <right style="medium">
        <color indexed="18"/>
      </right>
      <top style="thin">
        <color indexed="37"/>
      </top>
      <bottom style="medium">
        <color theme="1"/>
      </bottom>
      <diagonal/>
    </border>
    <border>
      <left style="thin">
        <color theme="5" tint="-0.24994659260841701"/>
      </left>
      <right style="medium">
        <color indexed="18"/>
      </right>
      <top style="thin">
        <color indexed="60"/>
      </top>
      <bottom style="thin">
        <color indexed="60"/>
      </bottom>
      <diagonal/>
    </border>
    <border>
      <left style="thin">
        <color theme="5" tint="-0.24994659260841701"/>
      </left>
      <right style="medium">
        <color indexed="18"/>
      </right>
      <top style="thin">
        <color indexed="60"/>
      </top>
      <bottom style="medium">
        <color theme="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58"/>
      </bottom>
      <diagonal/>
    </border>
    <border>
      <left/>
      <right style="thin">
        <color indexed="60"/>
      </right>
      <top style="thin">
        <color indexed="60"/>
      </top>
      <bottom style="medium">
        <color indexed="18"/>
      </bottom>
      <diagonal/>
    </border>
    <border>
      <left style="medium">
        <color indexed="18"/>
      </left>
      <right style="thin">
        <color indexed="16"/>
      </right>
      <top style="thin">
        <color indexed="16"/>
      </top>
      <bottom/>
      <diagonal/>
    </border>
    <border>
      <left style="thin">
        <color indexed="60"/>
      </left>
      <right style="medium">
        <color indexed="18"/>
      </right>
      <top style="thin">
        <color indexed="60"/>
      </top>
      <bottom style="medium">
        <color theme="3"/>
      </bottom>
      <diagonal/>
    </border>
    <border>
      <left style="thin">
        <color indexed="60"/>
      </left>
      <right style="thin">
        <color theme="5" tint="-0.24994659260841701"/>
      </right>
      <top style="thin">
        <color indexed="60"/>
      </top>
      <bottom style="medium">
        <color theme="3"/>
      </bottom>
      <diagonal/>
    </border>
    <border>
      <left style="thin">
        <color indexed="9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18"/>
      </left>
      <right style="thin">
        <color indexed="18"/>
      </right>
      <top style="medium">
        <color indexed="18"/>
      </top>
      <bottom/>
      <diagonal/>
    </border>
    <border>
      <left/>
      <right style="thin">
        <color indexed="18"/>
      </right>
      <top style="medium">
        <color indexed="18"/>
      </top>
      <bottom/>
      <diagonal/>
    </border>
    <border>
      <left style="thin">
        <color indexed="18"/>
      </left>
      <right style="thin">
        <color indexed="18"/>
      </right>
      <top style="medium">
        <color indexed="18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theme="1"/>
      </bottom>
      <diagonal/>
    </border>
    <border>
      <left style="thin">
        <color indexed="9"/>
      </left>
      <right/>
      <top style="medium">
        <color indexed="18"/>
      </top>
      <bottom style="medium">
        <color indexed="18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37"/>
      </left>
      <right style="thin">
        <color indexed="16"/>
      </right>
      <top style="thin">
        <color indexed="37"/>
      </top>
      <bottom style="medium">
        <color indexed="18"/>
      </bottom>
      <diagonal/>
    </border>
    <border>
      <left/>
      <right style="thin">
        <color indexed="16"/>
      </right>
      <top style="thin">
        <color indexed="16"/>
      </top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60"/>
      </left>
      <right/>
      <top/>
      <bottom/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medium">
        <color indexed="18"/>
      </left>
      <right style="medium">
        <color indexed="18"/>
      </right>
      <top style="thin">
        <color indexed="58"/>
      </top>
      <bottom style="thin">
        <color indexed="58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medium">
        <color indexed="18"/>
      </bottom>
      <diagonal/>
    </border>
  </borders>
  <cellStyleXfs count="50472">
    <xf numFmtId="0" fontId="0" fillId="0" borderId="0"/>
    <xf numFmtId="0" fontId="61" fillId="0" borderId="0" applyBorder="0" applyProtection="0"/>
    <xf numFmtId="9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54" fillId="0" borderId="0">
      <alignment horizontal="left" vertical="center" wrapText="1"/>
    </xf>
    <xf numFmtId="0" fontId="57" fillId="0" borderId="0">
      <alignment horizontal="left" vertical="center" wrapText="1" indent="1"/>
    </xf>
    <xf numFmtId="0" fontId="57" fillId="0" borderId="0">
      <alignment horizontal="left" vertical="center" wrapText="1" indent="3"/>
    </xf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14" fillId="51" borderId="0" applyNumberFormat="0" applyBorder="0" applyAlignment="0" applyProtection="0"/>
    <xf numFmtId="0" fontId="14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14" fillId="55" borderId="0" applyNumberFormat="0" applyBorder="0" applyAlignment="0" applyProtection="0"/>
    <xf numFmtId="0" fontId="14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14" fillId="59" borderId="0" applyNumberFormat="0" applyBorder="0" applyAlignment="0" applyProtection="0"/>
    <xf numFmtId="0" fontId="14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14" fillId="63" borderId="0" applyNumberFormat="0" applyBorder="0" applyAlignment="0" applyProtection="0"/>
    <xf numFmtId="0" fontId="14" fillId="64" borderId="0" applyNumberFormat="0" applyBorder="0" applyAlignment="0" applyProtection="0"/>
    <xf numFmtId="0" fontId="175" fillId="65" borderId="0" applyNumberFormat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13" fillId="51" borderId="0" applyNumberFormat="0" applyBorder="0" applyAlignment="0" applyProtection="0"/>
    <xf numFmtId="0" fontId="13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13" fillId="55" borderId="0" applyNumberFormat="0" applyBorder="0" applyAlignment="0" applyProtection="0"/>
    <xf numFmtId="0" fontId="13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13" fillId="59" borderId="0" applyNumberFormat="0" applyBorder="0" applyAlignment="0" applyProtection="0"/>
    <xf numFmtId="0" fontId="13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13" fillId="63" borderId="0" applyNumberFormat="0" applyBorder="0" applyAlignment="0" applyProtection="0"/>
    <xf numFmtId="0" fontId="13" fillId="64" borderId="0" applyNumberFormat="0" applyBorder="0" applyAlignment="0" applyProtection="0"/>
    <xf numFmtId="0" fontId="175" fillId="65" borderId="0" applyNumberFormat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4" fillId="0" borderId="415" applyNumberFormat="0" applyFill="0" applyAlignment="0" applyProtection="0"/>
    <xf numFmtId="0" fontId="163" fillId="0" borderId="414" applyNumberFormat="0" applyFill="0" applyAlignment="0" applyProtection="0"/>
    <xf numFmtId="0" fontId="15" fillId="41" borderId="421" applyNumberFormat="0" applyFont="0" applyAlignment="0" applyProtection="0"/>
    <xf numFmtId="0" fontId="161" fillId="0" borderId="0" applyNumberFormat="0" applyFill="0" applyBorder="0" applyAlignment="0" applyProtection="0"/>
    <xf numFmtId="0" fontId="169" fillId="39" borderId="418" applyNumberFormat="0" applyAlignment="0" applyProtection="0"/>
    <xf numFmtId="0" fontId="13" fillId="52" borderId="0" applyNumberFormat="0" applyBorder="0" applyAlignment="0" applyProtection="0"/>
    <xf numFmtId="0" fontId="175" fillId="46" borderId="0" applyNumberFormat="0" applyBorder="0" applyAlignment="0" applyProtection="0"/>
    <xf numFmtId="0" fontId="173" fillId="0" borderId="0" applyNumberFormat="0" applyFill="0" applyBorder="0" applyAlignment="0" applyProtection="0"/>
    <xf numFmtId="0" fontId="168" fillId="38" borderId="0" applyNumberFormat="0" applyBorder="0" applyAlignment="0" applyProtection="0"/>
    <xf numFmtId="0" fontId="13" fillId="51" borderId="0" applyNumberFormat="0" applyBorder="0" applyAlignment="0" applyProtection="0"/>
    <xf numFmtId="0" fontId="175" fillId="45" borderId="0" applyNumberFormat="0" applyBorder="0" applyAlignment="0" applyProtection="0"/>
    <xf numFmtId="0" fontId="167" fillId="37" borderId="0" applyNumberFormat="0" applyBorder="0" applyAlignment="0" applyProtection="0"/>
    <xf numFmtId="0" fontId="175" fillId="50" borderId="0" applyNumberFormat="0" applyBorder="0" applyAlignment="0" applyProtection="0"/>
    <xf numFmtId="0" fontId="13" fillId="44" borderId="0" applyNumberFormat="0" applyBorder="0" applyAlignment="0" applyProtection="0"/>
    <xf numFmtId="0" fontId="12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75" fillId="49" borderId="0" applyNumberFormat="0" applyBorder="0" applyAlignment="0" applyProtection="0"/>
    <xf numFmtId="0" fontId="13" fillId="43" borderId="0" applyNumberFormat="0" applyBorder="0" applyAlignment="0" applyProtection="0"/>
    <xf numFmtId="0" fontId="172" fillId="40" borderId="420" applyNumberFormat="0" applyAlignment="0" applyProtection="0"/>
    <xf numFmtId="0" fontId="165" fillId="0" borderId="0" applyNumberFormat="0" applyFill="0" applyBorder="0" applyAlignment="0" applyProtection="0"/>
    <xf numFmtId="0" fontId="13" fillId="48" borderId="0" applyNumberFormat="0" applyBorder="0" applyAlignment="0" applyProtection="0"/>
    <xf numFmtId="0" fontId="175" fillId="42" borderId="0" applyNumberFormat="0" applyBorder="0" applyAlignment="0" applyProtection="0"/>
    <xf numFmtId="0" fontId="171" fillId="0" borderId="419" applyNumberFormat="0" applyFill="0" applyAlignment="0" applyProtection="0"/>
    <xf numFmtId="0" fontId="165" fillId="0" borderId="416" applyNumberFormat="0" applyFill="0" applyAlignment="0" applyProtection="0"/>
    <xf numFmtId="0" fontId="13" fillId="47" borderId="0" applyNumberFormat="0" applyBorder="0" applyAlignment="0" applyProtection="0"/>
    <xf numFmtId="0" fontId="174" fillId="0" borderId="422" applyNumberFormat="0" applyFill="0" applyAlignment="0" applyProtection="0"/>
    <xf numFmtId="0" fontId="170" fillId="39" borderId="417" applyNumberFormat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13" fillId="55" borderId="0" applyNumberFormat="0" applyBorder="0" applyAlignment="0" applyProtection="0"/>
    <xf numFmtId="0" fontId="13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13" fillId="59" borderId="0" applyNumberFormat="0" applyBorder="0" applyAlignment="0" applyProtection="0"/>
    <xf numFmtId="0" fontId="13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13" fillId="63" borderId="0" applyNumberFormat="0" applyBorder="0" applyAlignment="0" applyProtection="0"/>
    <xf numFmtId="0" fontId="13" fillId="64" borderId="0" applyNumberFormat="0" applyBorder="0" applyAlignment="0" applyProtection="0"/>
    <xf numFmtId="0" fontId="175" fillId="65" borderId="0" applyNumberFormat="0" applyBorder="0" applyAlignment="0" applyProtection="0"/>
    <xf numFmtId="0" fontId="161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13" fillId="51" borderId="0" applyNumberFormat="0" applyBorder="0" applyAlignment="0" applyProtection="0"/>
    <xf numFmtId="0" fontId="13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13" fillId="55" borderId="0" applyNumberFormat="0" applyBorder="0" applyAlignment="0" applyProtection="0"/>
    <xf numFmtId="0" fontId="13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13" fillId="59" borderId="0" applyNumberFormat="0" applyBorder="0" applyAlignment="0" applyProtection="0"/>
    <xf numFmtId="0" fontId="13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13" fillId="63" borderId="0" applyNumberFormat="0" applyBorder="0" applyAlignment="0" applyProtection="0"/>
    <xf numFmtId="0" fontId="13" fillId="64" borderId="0" applyNumberFormat="0" applyBorder="0" applyAlignment="0" applyProtection="0"/>
    <xf numFmtId="0" fontId="175" fillId="65" borderId="0" applyNumberFormat="0" applyBorder="0" applyAlignment="0" applyProtection="0"/>
    <xf numFmtId="171" fontId="15" fillId="0" borderId="0" applyFill="0" applyBorder="0" applyAlignment="0" applyProtection="0"/>
    <xf numFmtId="191" fontId="15" fillId="0" borderId="0" applyFill="0" applyBorder="0" applyAlignment="0" applyProtection="0"/>
    <xf numFmtId="0" fontId="21" fillId="0" borderId="0"/>
    <xf numFmtId="0" fontId="178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77" fillId="0" borderId="0" applyNumberFormat="0" applyFill="0" applyBorder="0" applyAlignment="0" applyProtection="0"/>
    <xf numFmtId="0" fontId="15" fillId="0" borderId="0"/>
    <xf numFmtId="0" fontId="15" fillId="0" borderId="0"/>
    <xf numFmtId="0" fontId="179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77" fillId="0" borderId="0" applyNumberFormat="0" applyFill="0" applyBorder="0" applyAlignment="0" applyProtection="0"/>
    <xf numFmtId="0" fontId="177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2" fillId="0" borderId="0"/>
    <xf numFmtId="0" fontId="21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1" fillId="0" borderId="0"/>
    <xf numFmtId="168" fontId="15" fillId="0" borderId="0" applyFont="0" applyFill="0" applyBorder="0" applyAlignment="0" applyProtection="0"/>
    <xf numFmtId="0" fontId="15" fillId="0" borderId="0"/>
    <xf numFmtId="0" fontId="21" fillId="0" borderId="0"/>
    <xf numFmtId="0" fontId="188" fillId="0" borderId="0"/>
    <xf numFmtId="0" fontId="21" fillId="0" borderId="0"/>
    <xf numFmtId="0" fontId="10" fillId="0" borderId="0"/>
    <xf numFmtId="0" fontId="1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0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0" fillId="0" borderId="0"/>
    <xf numFmtId="0" fontId="9" fillId="0" borderId="0"/>
    <xf numFmtId="0" fontId="21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8" fillId="51" borderId="0" applyNumberFormat="0" applyBorder="0" applyAlignment="0" applyProtection="0"/>
    <xf numFmtId="0" fontId="8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8" fillId="55" borderId="0" applyNumberFormat="0" applyBorder="0" applyAlignment="0" applyProtection="0"/>
    <xf numFmtId="0" fontId="8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8" fillId="59" borderId="0" applyNumberFormat="0" applyBorder="0" applyAlignment="0" applyProtection="0"/>
    <xf numFmtId="0" fontId="8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8" fillId="63" borderId="0" applyNumberFormat="0" applyBorder="0" applyAlignment="0" applyProtection="0"/>
    <xf numFmtId="0" fontId="8" fillId="64" borderId="0" applyNumberFormat="0" applyBorder="0" applyAlignment="0" applyProtection="0"/>
    <xf numFmtId="0" fontId="175" fillId="65" borderId="0" applyNumberFormat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8" fillId="51" borderId="0" applyNumberFormat="0" applyBorder="0" applyAlignment="0" applyProtection="0"/>
    <xf numFmtId="0" fontId="8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8" fillId="55" borderId="0" applyNumberFormat="0" applyBorder="0" applyAlignment="0" applyProtection="0"/>
    <xf numFmtId="0" fontId="8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8" fillId="59" borderId="0" applyNumberFormat="0" applyBorder="0" applyAlignment="0" applyProtection="0"/>
    <xf numFmtId="0" fontId="8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8" fillId="63" borderId="0" applyNumberFormat="0" applyBorder="0" applyAlignment="0" applyProtection="0"/>
    <xf numFmtId="0" fontId="8" fillId="64" borderId="0" applyNumberFormat="0" applyBorder="0" applyAlignment="0" applyProtection="0"/>
    <xf numFmtId="0" fontId="175" fillId="65" borderId="0" applyNumberFormat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4" fillId="0" borderId="415" applyNumberFormat="0" applyFill="0" applyAlignment="0" applyProtection="0"/>
    <xf numFmtId="0" fontId="163" fillId="0" borderId="414" applyNumberFormat="0" applyFill="0" applyAlignment="0" applyProtection="0"/>
    <xf numFmtId="0" fontId="15" fillId="41" borderId="421" applyNumberFormat="0" applyFont="0" applyAlignment="0" applyProtection="0"/>
    <xf numFmtId="0" fontId="161" fillId="0" borderId="0" applyNumberFormat="0" applyFill="0" applyBorder="0" applyAlignment="0" applyProtection="0"/>
    <xf numFmtId="0" fontId="169" fillId="39" borderId="418" applyNumberFormat="0" applyAlignment="0" applyProtection="0"/>
    <xf numFmtId="0" fontId="8" fillId="52" borderId="0" applyNumberFormat="0" applyBorder="0" applyAlignment="0" applyProtection="0"/>
    <xf numFmtId="0" fontId="175" fillId="46" borderId="0" applyNumberFormat="0" applyBorder="0" applyAlignment="0" applyProtection="0"/>
    <xf numFmtId="0" fontId="173" fillId="0" borderId="0" applyNumberFormat="0" applyFill="0" applyBorder="0" applyAlignment="0" applyProtection="0"/>
    <xf numFmtId="0" fontId="168" fillId="38" borderId="0" applyNumberFormat="0" applyBorder="0" applyAlignment="0" applyProtection="0"/>
    <xf numFmtId="0" fontId="8" fillId="51" borderId="0" applyNumberFormat="0" applyBorder="0" applyAlignment="0" applyProtection="0"/>
    <xf numFmtId="0" fontId="175" fillId="45" borderId="0" applyNumberFormat="0" applyBorder="0" applyAlignment="0" applyProtection="0"/>
    <xf numFmtId="0" fontId="167" fillId="37" borderId="0" applyNumberFormat="0" applyBorder="0" applyAlignment="0" applyProtection="0"/>
    <xf numFmtId="0" fontId="175" fillId="50" borderId="0" applyNumberFormat="0" applyBorder="0" applyAlignment="0" applyProtection="0"/>
    <xf numFmtId="0" fontId="8" fillId="44" borderId="0" applyNumberFormat="0" applyBorder="0" applyAlignment="0" applyProtection="0"/>
    <xf numFmtId="0" fontId="12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75" fillId="49" borderId="0" applyNumberFormat="0" applyBorder="0" applyAlignment="0" applyProtection="0"/>
    <xf numFmtId="0" fontId="8" fillId="43" borderId="0" applyNumberFormat="0" applyBorder="0" applyAlignment="0" applyProtection="0"/>
    <xf numFmtId="0" fontId="172" fillId="40" borderId="420" applyNumberFormat="0" applyAlignment="0" applyProtection="0"/>
    <xf numFmtId="0" fontId="165" fillId="0" borderId="0" applyNumberFormat="0" applyFill="0" applyBorder="0" applyAlignment="0" applyProtection="0"/>
    <xf numFmtId="0" fontId="8" fillId="48" borderId="0" applyNumberFormat="0" applyBorder="0" applyAlignment="0" applyProtection="0"/>
    <xf numFmtId="0" fontId="175" fillId="42" borderId="0" applyNumberFormat="0" applyBorder="0" applyAlignment="0" applyProtection="0"/>
    <xf numFmtId="0" fontId="171" fillId="0" borderId="419" applyNumberFormat="0" applyFill="0" applyAlignment="0" applyProtection="0"/>
    <xf numFmtId="0" fontId="165" fillId="0" borderId="416" applyNumberFormat="0" applyFill="0" applyAlignment="0" applyProtection="0"/>
    <xf numFmtId="0" fontId="8" fillId="47" borderId="0" applyNumberFormat="0" applyBorder="0" applyAlignment="0" applyProtection="0"/>
    <xf numFmtId="0" fontId="174" fillId="0" borderId="422" applyNumberFormat="0" applyFill="0" applyAlignment="0" applyProtection="0"/>
    <xf numFmtId="0" fontId="170" fillId="39" borderId="417" applyNumberFormat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8" fillId="55" borderId="0" applyNumberFormat="0" applyBorder="0" applyAlignment="0" applyProtection="0"/>
    <xf numFmtId="0" fontId="8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8" fillId="59" borderId="0" applyNumberFormat="0" applyBorder="0" applyAlignment="0" applyProtection="0"/>
    <xf numFmtId="0" fontId="8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8" fillId="63" borderId="0" applyNumberFormat="0" applyBorder="0" applyAlignment="0" applyProtection="0"/>
    <xf numFmtId="0" fontId="8" fillId="64" borderId="0" applyNumberFormat="0" applyBorder="0" applyAlignment="0" applyProtection="0"/>
    <xf numFmtId="0" fontId="175" fillId="65" borderId="0" applyNumberFormat="0" applyBorder="0" applyAlignment="0" applyProtection="0"/>
    <xf numFmtId="0" fontId="161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8" fillId="51" borderId="0" applyNumberFormat="0" applyBorder="0" applyAlignment="0" applyProtection="0"/>
    <xf numFmtId="0" fontId="8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8" fillId="55" borderId="0" applyNumberFormat="0" applyBorder="0" applyAlignment="0" applyProtection="0"/>
    <xf numFmtId="0" fontId="8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8" fillId="59" borderId="0" applyNumberFormat="0" applyBorder="0" applyAlignment="0" applyProtection="0"/>
    <xf numFmtId="0" fontId="8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8" fillId="63" borderId="0" applyNumberFormat="0" applyBorder="0" applyAlignment="0" applyProtection="0"/>
    <xf numFmtId="0" fontId="8" fillId="64" borderId="0" applyNumberFormat="0" applyBorder="0" applyAlignment="0" applyProtection="0"/>
    <xf numFmtId="0" fontId="175" fillId="65" borderId="0" applyNumberFormat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77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0" fontId="8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8" fillId="0" borderId="0"/>
    <xf numFmtId="0" fontId="8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8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8" fillId="0" borderId="0"/>
    <xf numFmtId="0" fontId="8" fillId="0" borderId="0"/>
    <xf numFmtId="0" fontId="177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7" fillId="51" borderId="0" applyNumberFormat="0" applyBorder="0" applyAlignment="0" applyProtection="0"/>
    <xf numFmtId="0" fontId="7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7" fillId="55" borderId="0" applyNumberFormat="0" applyBorder="0" applyAlignment="0" applyProtection="0"/>
    <xf numFmtId="0" fontId="7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7" fillId="59" borderId="0" applyNumberFormat="0" applyBorder="0" applyAlignment="0" applyProtection="0"/>
    <xf numFmtId="0" fontId="7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7" fillId="63" borderId="0" applyNumberFormat="0" applyBorder="0" applyAlignment="0" applyProtection="0"/>
    <xf numFmtId="0" fontId="7" fillId="64" borderId="0" applyNumberFormat="0" applyBorder="0" applyAlignment="0" applyProtection="0"/>
    <xf numFmtId="0" fontId="175" fillId="65" borderId="0" applyNumberFormat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7" fillId="51" borderId="0" applyNumberFormat="0" applyBorder="0" applyAlignment="0" applyProtection="0"/>
    <xf numFmtId="0" fontId="7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7" fillId="55" borderId="0" applyNumberFormat="0" applyBorder="0" applyAlignment="0" applyProtection="0"/>
    <xf numFmtId="0" fontId="7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7" fillId="59" borderId="0" applyNumberFormat="0" applyBorder="0" applyAlignment="0" applyProtection="0"/>
    <xf numFmtId="0" fontId="7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7" fillId="63" borderId="0" applyNumberFormat="0" applyBorder="0" applyAlignment="0" applyProtection="0"/>
    <xf numFmtId="0" fontId="7" fillId="64" borderId="0" applyNumberFormat="0" applyBorder="0" applyAlignment="0" applyProtection="0"/>
    <xf numFmtId="0" fontId="175" fillId="65" borderId="0" applyNumberFormat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4" fillId="0" borderId="415" applyNumberFormat="0" applyFill="0" applyAlignment="0" applyProtection="0"/>
    <xf numFmtId="0" fontId="163" fillId="0" borderId="414" applyNumberFormat="0" applyFill="0" applyAlignment="0" applyProtection="0"/>
    <xf numFmtId="0" fontId="15" fillId="41" borderId="421" applyNumberFormat="0" applyFont="0" applyAlignment="0" applyProtection="0"/>
    <xf numFmtId="0" fontId="161" fillId="0" borderId="0" applyNumberFormat="0" applyFill="0" applyBorder="0" applyAlignment="0" applyProtection="0"/>
    <xf numFmtId="0" fontId="169" fillId="39" borderId="418" applyNumberFormat="0" applyAlignment="0" applyProtection="0"/>
    <xf numFmtId="0" fontId="7" fillId="52" borderId="0" applyNumberFormat="0" applyBorder="0" applyAlignment="0" applyProtection="0"/>
    <xf numFmtId="0" fontId="175" fillId="46" borderId="0" applyNumberFormat="0" applyBorder="0" applyAlignment="0" applyProtection="0"/>
    <xf numFmtId="0" fontId="173" fillId="0" borderId="0" applyNumberFormat="0" applyFill="0" applyBorder="0" applyAlignment="0" applyProtection="0"/>
    <xf numFmtId="0" fontId="168" fillId="38" borderId="0" applyNumberFormat="0" applyBorder="0" applyAlignment="0" applyProtection="0"/>
    <xf numFmtId="0" fontId="7" fillId="51" borderId="0" applyNumberFormat="0" applyBorder="0" applyAlignment="0" applyProtection="0"/>
    <xf numFmtId="0" fontId="175" fillId="45" borderId="0" applyNumberFormat="0" applyBorder="0" applyAlignment="0" applyProtection="0"/>
    <xf numFmtId="0" fontId="167" fillId="37" borderId="0" applyNumberFormat="0" applyBorder="0" applyAlignment="0" applyProtection="0"/>
    <xf numFmtId="0" fontId="175" fillId="50" borderId="0" applyNumberFormat="0" applyBorder="0" applyAlignment="0" applyProtection="0"/>
    <xf numFmtId="0" fontId="7" fillId="44" borderId="0" applyNumberFormat="0" applyBorder="0" applyAlignment="0" applyProtection="0"/>
    <xf numFmtId="0" fontId="12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75" fillId="49" borderId="0" applyNumberFormat="0" applyBorder="0" applyAlignment="0" applyProtection="0"/>
    <xf numFmtId="0" fontId="7" fillId="43" borderId="0" applyNumberFormat="0" applyBorder="0" applyAlignment="0" applyProtection="0"/>
    <xf numFmtId="0" fontId="172" fillId="40" borderId="420" applyNumberFormat="0" applyAlignment="0" applyProtection="0"/>
    <xf numFmtId="0" fontId="165" fillId="0" borderId="0" applyNumberFormat="0" applyFill="0" applyBorder="0" applyAlignment="0" applyProtection="0"/>
    <xf numFmtId="0" fontId="7" fillId="48" borderId="0" applyNumberFormat="0" applyBorder="0" applyAlignment="0" applyProtection="0"/>
    <xf numFmtId="0" fontId="175" fillId="42" borderId="0" applyNumberFormat="0" applyBorder="0" applyAlignment="0" applyProtection="0"/>
    <xf numFmtId="0" fontId="171" fillId="0" borderId="419" applyNumberFormat="0" applyFill="0" applyAlignment="0" applyProtection="0"/>
    <xf numFmtId="0" fontId="165" fillId="0" borderId="416" applyNumberFormat="0" applyFill="0" applyAlignment="0" applyProtection="0"/>
    <xf numFmtId="0" fontId="7" fillId="47" borderId="0" applyNumberFormat="0" applyBorder="0" applyAlignment="0" applyProtection="0"/>
    <xf numFmtId="0" fontId="174" fillId="0" borderId="422" applyNumberFormat="0" applyFill="0" applyAlignment="0" applyProtection="0"/>
    <xf numFmtId="0" fontId="170" fillId="39" borderId="417" applyNumberFormat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7" fillId="55" borderId="0" applyNumberFormat="0" applyBorder="0" applyAlignment="0" applyProtection="0"/>
    <xf numFmtId="0" fontId="7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7" fillId="59" borderId="0" applyNumberFormat="0" applyBorder="0" applyAlignment="0" applyProtection="0"/>
    <xf numFmtId="0" fontId="7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7" fillId="63" borderId="0" applyNumberFormat="0" applyBorder="0" applyAlignment="0" applyProtection="0"/>
    <xf numFmtId="0" fontId="7" fillId="64" borderId="0" applyNumberFormat="0" applyBorder="0" applyAlignment="0" applyProtection="0"/>
    <xf numFmtId="0" fontId="175" fillId="65" borderId="0" applyNumberFormat="0" applyBorder="0" applyAlignment="0" applyProtection="0"/>
    <xf numFmtId="0" fontId="161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7" fillId="47" borderId="0" applyNumberFormat="0" applyBorder="0" applyAlignment="0" applyProtection="0"/>
    <xf numFmtId="0" fontId="7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7" fillId="51" borderId="0" applyNumberFormat="0" applyBorder="0" applyAlignment="0" applyProtection="0"/>
    <xf numFmtId="0" fontId="7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7" fillId="55" borderId="0" applyNumberFormat="0" applyBorder="0" applyAlignment="0" applyProtection="0"/>
    <xf numFmtId="0" fontId="7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7" fillId="59" borderId="0" applyNumberFormat="0" applyBorder="0" applyAlignment="0" applyProtection="0"/>
    <xf numFmtId="0" fontId="7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7" fillId="63" borderId="0" applyNumberFormat="0" applyBorder="0" applyAlignment="0" applyProtection="0"/>
    <xf numFmtId="0" fontId="7" fillId="64" borderId="0" applyNumberFormat="0" applyBorder="0" applyAlignment="0" applyProtection="0"/>
    <xf numFmtId="0" fontId="175" fillId="65" borderId="0" applyNumberFormat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77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1" fillId="0" borderId="0" applyNumberFormat="0" applyFill="0" applyBorder="0" applyAlignment="0" applyProtection="0"/>
    <xf numFmtId="0" fontId="7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7" fillId="0" borderId="0"/>
    <xf numFmtId="0" fontId="7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7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7" fillId="0" borderId="0"/>
    <xf numFmtId="0" fontId="7" fillId="0" borderId="0"/>
    <xf numFmtId="0" fontId="177" fillId="0" borderId="0" applyNumberFormat="0" applyFill="0" applyBorder="0" applyAlignment="0" applyProtection="0"/>
    <xf numFmtId="0" fontId="6" fillId="0" borderId="0"/>
    <xf numFmtId="0" fontId="1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15" fillId="0" borderId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44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164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5" fillId="0" borderId="0"/>
    <xf numFmtId="0" fontId="5" fillId="0" borderId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98" fillId="0" borderId="0"/>
    <xf numFmtId="0" fontId="15" fillId="0" borderId="0"/>
    <xf numFmtId="0" fontId="15" fillId="0" borderId="0"/>
    <xf numFmtId="0" fontId="201" fillId="69" borderId="417" applyNumberFormat="0" applyAlignment="0" applyProtection="0"/>
    <xf numFmtId="0" fontId="4" fillId="0" borderId="0"/>
    <xf numFmtId="0" fontId="202" fillId="0" borderId="0" applyNumberFormat="0" applyFill="0" applyBorder="0" applyAlignment="0" applyProtection="0"/>
    <xf numFmtId="0" fontId="163" fillId="0" borderId="414" applyNumberFormat="0" applyFill="0" applyAlignment="0" applyProtection="0"/>
    <xf numFmtId="0" fontId="164" fillId="0" borderId="415" applyNumberFormat="0" applyFill="0" applyAlignment="0" applyProtection="0"/>
    <xf numFmtId="0" fontId="165" fillId="0" borderId="416" applyNumberFormat="0" applyFill="0" applyAlignment="0" applyProtection="0"/>
    <xf numFmtId="0" fontId="165" fillId="0" borderId="0" applyNumberFormat="0" applyFill="0" applyBorder="0" applyAlignment="0" applyProtection="0"/>
    <xf numFmtId="0" fontId="166" fillId="36" borderId="0" applyNumberFormat="0" applyBorder="0" applyAlignment="0" applyProtection="0"/>
    <xf numFmtId="0" fontId="167" fillId="37" borderId="0" applyNumberFormat="0" applyBorder="0" applyAlignment="0" applyProtection="0"/>
    <xf numFmtId="0" fontId="168" fillId="38" borderId="0" applyNumberFormat="0" applyBorder="0" applyAlignment="0" applyProtection="0"/>
    <xf numFmtId="0" fontId="169" fillId="39" borderId="418" applyNumberFormat="0" applyAlignment="0" applyProtection="0"/>
    <xf numFmtId="0" fontId="170" fillId="39" borderId="417" applyNumberFormat="0" applyAlignment="0" applyProtection="0"/>
    <xf numFmtId="0" fontId="171" fillId="0" borderId="419" applyNumberFormat="0" applyFill="0" applyAlignment="0" applyProtection="0"/>
    <xf numFmtId="0" fontId="172" fillId="40" borderId="420" applyNumberFormat="0" applyAlignment="0" applyProtection="0"/>
    <xf numFmtId="0" fontId="125" fillId="0" borderId="0" applyNumberFormat="0" applyFill="0" applyBorder="0" applyAlignment="0" applyProtection="0"/>
    <xf numFmtId="0" fontId="4" fillId="41" borderId="421" applyNumberFormat="0" applyFont="0" applyAlignment="0" applyProtection="0"/>
    <xf numFmtId="0" fontId="173" fillId="0" borderId="0" applyNumberFormat="0" applyFill="0" applyBorder="0" applyAlignment="0" applyProtection="0"/>
    <xf numFmtId="0" fontId="174" fillId="0" borderId="422" applyNumberFormat="0" applyFill="0" applyAlignment="0" applyProtection="0"/>
    <xf numFmtId="0" fontId="175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4" borderId="0" applyNumberFormat="0" applyBorder="0" applyAlignment="0" applyProtection="0"/>
    <xf numFmtId="0" fontId="175" fillId="45" borderId="0" applyNumberFormat="0" applyBorder="0" applyAlignment="0" applyProtection="0"/>
    <xf numFmtId="0" fontId="175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48" borderId="0" applyNumberFormat="0" applyBorder="0" applyAlignment="0" applyProtection="0"/>
    <xf numFmtId="0" fontId="175" fillId="49" borderId="0" applyNumberFormat="0" applyBorder="0" applyAlignment="0" applyProtection="0"/>
    <xf numFmtId="0" fontId="175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52" borderId="0" applyNumberFormat="0" applyBorder="0" applyAlignment="0" applyProtection="0"/>
    <xf numFmtId="0" fontId="175" fillId="53" borderId="0" applyNumberFormat="0" applyBorder="0" applyAlignment="0" applyProtection="0"/>
    <xf numFmtId="0" fontId="175" fillId="54" borderId="0" applyNumberFormat="0" applyBorder="0" applyAlignment="0" applyProtection="0"/>
    <xf numFmtId="0" fontId="4" fillId="55" borderId="0" applyNumberFormat="0" applyBorder="0" applyAlignment="0" applyProtection="0"/>
    <xf numFmtId="0" fontId="4" fillId="56" borderId="0" applyNumberFormat="0" applyBorder="0" applyAlignment="0" applyProtection="0"/>
    <xf numFmtId="0" fontId="175" fillId="57" borderId="0" applyNumberFormat="0" applyBorder="0" applyAlignment="0" applyProtection="0"/>
    <xf numFmtId="0" fontId="175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175" fillId="61" borderId="0" applyNumberFormat="0" applyBorder="0" applyAlignment="0" applyProtection="0"/>
    <xf numFmtId="0" fontId="175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4" borderId="0" applyNumberFormat="0" applyBorder="0" applyAlignment="0" applyProtection="0"/>
    <xf numFmtId="0" fontId="175" fillId="65" borderId="0" applyNumberFormat="0" applyBorder="0" applyAlignment="0" applyProtection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03" fillId="0" borderId="0"/>
    <xf numFmtId="0" fontId="204" fillId="0" borderId="0"/>
    <xf numFmtId="0" fontId="21" fillId="0" borderId="0"/>
    <xf numFmtId="165" fontId="21" fillId="0" borderId="0" applyFont="0" applyFill="0" applyBorder="0" applyAlignment="0" applyProtection="0"/>
    <xf numFmtId="0" fontId="15" fillId="0" borderId="0"/>
    <xf numFmtId="0" fontId="15" fillId="0" borderId="0"/>
    <xf numFmtId="0" fontId="3" fillId="0" borderId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3" fillId="41" borderId="421" applyNumberFormat="0" applyFont="0" applyAlignment="0" applyProtection="0"/>
    <xf numFmtId="0" fontId="3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7" borderId="0" applyNumberFormat="0" applyBorder="0" applyAlignment="0" applyProtection="0"/>
    <xf numFmtId="0" fontId="3" fillId="48" borderId="0" applyNumberFormat="0" applyBorder="0" applyAlignment="0" applyProtection="0"/>
    <xf numFmtId="0" fontId="3" fillId="51" borderId="0" applyNumberFormat="0" applyBorder="0" applyAlignment="0" applyProtection="0"/>
    <xf numFmtId="0" fontId="3" fillId="52" borderId="0" applyNumberFormat="0" applyBorder="0" applyAlignment="0" applyProtection="0"/>
    <xf numFmtId="0" fontId="3" fillId="55" borderId="0" applyNumberFormat="0" applyBorder="0" applyAlignment="0" applyProtection="0"/>
    <xf numFmtId="0" fontId="3" fillId="56" borderId="0" applyNumberFormat="0" applyBorder="0" applyAlignment="0" applyProtection="0"/>
    <xf numFmtId="0" fontId="3" fillId="59" borderId="0" applyNumberFormat="0" applyBorder="0" applyAlignment="0" applyProtection="0"/>
    <xf numFmtId="0" fontId="3" fillId="60" borderId="0" applyNumberFormat="0" applyBorder="0" applyAlignment="0" applyProtection="0"/>
    <xf numFmtId="44" fontId="15" fillId="0" borderId="0" applyFont="0" applyFill="0" applyBorder="0" applyAlignment="0" applyProtection="0"/>
    <xf numFmtId="0" fontId="3" fillId="63" borderId="0" applyNumberFormat="0" applyBorder="0" applyAlignment="0" applyProtection="0"/>
    <xf numFmtId="0" fontId="3" fillId="64" borderId="0" applyNumberFormat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44" fontId="15" fillId="0" borderId="0" applyFont="0" applyFill="0" applyBorder="0" applyAlignment="0" applyProtection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177" fillId="0" borderId="0" applyNumberFormat="0" applyFill="0" applyBorder="0" applyAlignment="0" applyProtection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44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164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0" fontId="3" fillId="0" borderId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41" borderId="421" applyNumberFormat="0" applyFont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" fillId="0" borderId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0" fontId="61" fillId="0" borderId="0" applyBorder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1" fillId="0" borderId="0" applyBorder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1" fillId="0" borderId="0"/>
    <xf numFmtId="0" fontId="23" fillId="0" borderId="0" applyBorder="0" applyProtection="0"/>
    <xf numFmtId="0" fontId="15" fillId="0" borderId="0" applyBorder="0" applyProtection="0"/>
    <xf numFmtId="0" fontId="216" fillId="0" borderId="0" applyBorder="0" applyProtection="0"/>
    <xf numFmtId="244" fontId="15" fillId="0" borderId="0" applyBorder="0" applyProtection="0"/>
    <xf numFmtId="0" fontId="267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41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15" fillId="0" borderId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3" fillId="0" borderId="0" applyBorder="0" applyProtection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247" fontId="21" fillId="0" borderId="0"/>
    <xf numFmtId="0" fontId="207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247" fontId="21" fillId="0" borderId="0"/>
    <xf numFmtId="0" fontId="207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247" fontId="21" fillId="0" borderId="0"/>
    <xf numFmtId="0" fontId="207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247" fontId="21" fillId="0" borderId="0"/>
    <xf numFmtId="0" fontId="207" fillId="0" borderId="0"/>
    <xf numFmtId="0" fontId="21" fillId="0" borderId="0"/>
    <xf numFmtId="247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247" fontId="21" fillId="0" borderId="0"/>
    <xf numFmtId="247" fontId="21" fillId="0" borderId="0"/>
    <xf numFmtId="0" fontId="207" fillId="0" borderId="0"/>
    <xf numFmtId="0" fontId="23" fillId="0" borderId="0" applyBorder="0" applyProtection="0"/>
    <xf numFmtId="245" fontId="15" fillId="0" borderId="0" applyBorder="0" applyProtection="0"/>
    <xf numFmtId="245" fontId="15" fillId="0" borderId="0" applyBorder="0" applyProtection="0"/>
    <xf numFmtId="246" fontId="15" fillId="0" borderId="0" applyBorder="0" applyProtection="0"/>
    <xf numFmtId="246" fontId="15" fillId="0" borderId="0" applyBorder="0" applyProtection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07" fillId="0" borderId="0"/>
    <xf numFmtId="0" fontId="23" fillId="0" borderId="0" applyBorder="0" applyProtection="0"/>
    <xf numFmtId="0" fontId="21" fillId="0" borderId="0"/>
    <xf numFmtId="0" fontId="208" fillId="0" borderId="0"/>
    <xf numFmtId="0" fontId="208" fillId="0" borderId="0"/>
    <xf numFmtId="247" fontId="208" fillId="0" borderId="0"/>
    <xf numFmtId="0" fontId="21" fillId="0" borderId="0"/>
    <xf numFmtId="247" fontId="21" fillId="0" borderId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07" fillId="0" borderId="0"/>
    <xf numFmtId="0" fontId="23" fillId="0" borderId="0" applyBorder="0" applyProtection="0"/>
    <xf numFmtId="0" fontId="21" fillId="0" borderId="0"/>
    <xf numFmtId="0" fontId="208" fillId="0" borderId="0"/>
    <xf numFmtId="0" fontId="208" fillId="0" borderId="0"/>
    <xf numFmtId="247" fontId="208" fillId="0" borderId="0"/>
    <xf numFmtId="0" fontId="21" fillId="0" borderId="0"/>
    <xf numFmtId="247" fontId="21" fillId="0" borderId="0"/>
    <xf numFmtId="0" fontId="21" fillId="0" borderId="0"/>
    <xf numFmtId="0" fontId="21" fillId="0" borderId="0"/>
    <xf numFmtId="0" fontId="21" fillId="0" borderId="0"/>
    <xf numFmtId="247" fontId="21" fillId="0" borderId="0"/>
    <xf numFmtId="247" fontId="207" fillId="0" borderId="0"/>
    <xf numFmtId="247" fontId="207" fillId="0" borderId="0"/>
    <xf numFmtId="0" fontId="23" fillId="0" borderId="0" applyBorder="0" applyProtection="0"/>
    <xf numFmtId="0" fontId="21" fillId="0" borderId="0"/>
    <xf numFmtId="0" fontId="21" fillId="0" borderId="0"/>
    <xf numFmtId="0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07" fillId="0" borderId="0"/>
    <xf numFmtId="247" fontId="207" fillId="0" borderId="0"/>
    <xf numFmtId="0" fontId="23" fillId="0" borderId="0" applyBorder="0" applyProtection="0"/>
    <xf numFmtId="0" fontId="21" fillId="0" borderId="0"/>
    <xf numFmtId="0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247" fontId="207" fillId="0" borderId="0"/>
    <xf numFmtId="247" fontId="207" fillId="0" borderId="0"/>
    <xf numFmtId="0" fontId="23" fillId="0" borderId="0" applyBorder="0" applyProtection="0"/>
    <xf numFmtId="0" fontId="21" fillId="0" borderId="0"/>
    <xf numFmtId="247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08" fillId="0" borderId="0"/>
    <xf numFmtId="0" fontId="21" fillId="0" borderId="0"/>
    <xf numFmtId="247" fontId="21" fillId="0" borderId="0"/>
    <xf numFmtId="0" fontId="209" fillId="0" borderId="0"/>
    <xf numFmtId="0" fontId="209" fillId="0" borderId="0"/>
    <xf numFmtId="0" fontId="203" fillId="0" borderId="0"/>
    <xf numFmtId="247" fontId="209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09" fillId="0" borderId="0"/>
    <xf numFmtId="0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1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1" fillId="0" borderId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07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15" fillId="0" borderId="0"/>
    <xf numFmtId="247" fontId="15" fillId="0" borderId="0"/>
    <xf numFmtId="0" fontId="15" fillId="0" borderId="0"/>
    <xf numFmtId="0" fontId="15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15" fillId="0" borderId="0"/>
    <xf numFmtId="247" fontId="15" fillId="0" borderId="0"/>
    <xf numFmtId="0" fontId="15" fillId="0" borderId="0"/>
    <xf numFmtId="0" fontId="15" fillId="0" borderId="0"/>
    <xf numFmtId="247" fontId="15" fillId="0" borderId="0"/>
    <xf numFmtId="247" fontId="15" fillId="0" borderId="0"/>
    <xf numFmtId="0" fontId="15" fillId="0" borderId="0"/>
    <xf numFmtId="0" fontId="15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0" fontId="21" fillId="0" borderId="0"/>
    <xf numFmtId="0" fontId="207" fillId="0" borderId="0"/>
    <xf numFmtId="247" fontId="15" fillId="0" borderId="0"/>
    <xf numFmtId="247" fontId="207" fillId="0" borderId="0"/>
    <xf numFmtId="247" fontId="207" fillId="0" borderId="0"/>
    <xf numFmtId="0" fontId="15" fillId="0" borderId="0"/>
    <xf numFmtId="247" fontId="15" fillId="0" borderId="0"/>
    <xf numFmtId="0" fontId="15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08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0" fontId="21" fillId="0" borderId="0"/>
    <xf numFmtId="247" fontId="21" fillId="0" borderId="0"/>
    <xf numFmtId="0" fontId="207" fillId="0" borderId="0"/>
    <xf numFmtId="247" fontId="15" fillId="0" borderId="0"/>
    <xf numFmtId="247" fontId="207" fillId="0" borderId="0"/>
    <xf numFmtId="247" fontId="207" fillId="0" borderId="0"/>
    <xf numFmtId="0" fontId="15" fillId="0" borderId="0"/>
    <xf numFmtId="247" fontId="15" fillId="0" borderId="0"/>
    <xf numFmtId="0" fontId="15" fillId="0" borderId="0"/>
    <xf numFmtId="0" fontId="207" fillId="0" borderId="0"/>
    <xf numFmtId="247" fontId="15" fillId="0" borderId="0"/>
    <xf numFmtId="247" fontId="207" fillId="0" borderId="0"/>
    <xf numFmtId="247" fontId="207" fillId="0" borderId="0"/>
    <xf numFmtId="0" fontId="15" fillId="0" borderId="0"/>
    <xf numFmtId="247" fontId="15" fillId="0" borderId="0"/>
    <xf numFmtId="0" fontId="15" fillId="0" borderId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07" fillId="0" borderId="0"/>
    <xf numFmtId="0" fontId="21" fillId="0" borderId="0"/>
    <xf numFmtId="247" fontId="208" fillId="0" borderId="0"/>
    <xf numFmtId="0" fontId="21" fillId="0" borderId="0"/>
    <xf numFmtId="247" fontId="21" fillId="0" borderId="0"/>
    <xf numFmtId="0" fontId="208" fillId="0" borderId="0"/>
    <xf numFmtId="0" fontId="208" fillId="0" borderId="0"/>
    <xf numFmtId="0" fontId="21" fillId="0" borderId="0"/>
    <xf numFmtId="247" fontId="208" fillId="0" borderId="0"/>
    <xf numFmtId="247" fontId="21" fillId="0" borderId="0"/>
    <xf numFmtId="247" fontId="207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247" fontId="21" fillId="0" borderId="0"/>
    <xf numFmtId="0" fontId="21" fillId="0" borderId="0"/>
    <xf numFmtId="0" fontId="21" fillId="0" borderId="0"/>
    <xf numFmtId="247" fontId="207" fillId="0" borderId="0"/>
    <xf numFmtId="247" fontId="21" fillId="0" borderId="0"/>
    <xf numFmtId="0" fontId="21" fillId="0" borderId="0"/>
    <xf numFmtId="0" fontId="21" fillId="0" borderId="0"/>
    <xf numFmtId="247" fontId="15" fillId="0" borderId="0"/>
    <xf numFmtId="0" fontId="15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15" fillId="0" borderId="0"/>
    <xf numFmtId="0" fontId="15" fillId="0" borderId="0"/>
    <xf numFmtId="247" fontId="15" fillId="0" borderId="0"/>
    <xf numFmtId="0" fontId="15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0" fontId="21" fillId="0" borderId="0"/>
    <xf numFmtId="0" fontId="207" fillId="0" borderId="0"/>
    <xf numFmtId="0" fontId="15" fillId="0" borderId="0"/>
    <xf numFmtId="247" fontId="15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0" fontId="21" fillId="0" borderId="0"/>
    <xf numFmtId="247" fontId="21" fillId="0" borderId="0"/>
    <xf numFmtId="0" fontId="207" fillId="0" borderId="0"/>
    <xf numFmtId="0" fontId="15" fillId="0" borderId="0"/>
    <xf numFmtId="247" fontId="15" fillId="0" borderId="0"/>
    <xf numFmtId="0" fontId="207" fillId="0" borderId="0"/>
    <xf numFmtId="0" fontId="15" fillId="0" borderId="0"/>
    <xf numFmtId="247" fontId="15" fillId="0" borderId="0"/>
    <xf numFmtId="0" fontId="208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08" fillId="0" borderId="0"/>
    <xf numFmtId="0" fontId="21" fillId="0" borderId="0"/>
    <xf numFmtId="247" fontId="208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0" fontId="21" fillId="0" borderId="0"/>
    <xf numFmtId="0" fontId="15" fillId="0" borderId="0"/>
    <xf numFmtId="247" fontId="15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247" fontId="21" fillId="0" borderId="0"/>
    <xf numFmtId="0" fontId="21" fillId="0" borderId="0"/>
    <xf numFmtId="0" fontId="207" fillId="0" borderId="0"/>
    <xf numFmtId="0" fontId="15" fillId="0" borderId="0"/>
    <xf numFmtId="247" fontId="15" fillId="0" borderId="0"/>
    <xf numFmtId="247" fontId="15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247" fontId="21" fillId="0" borderId="0"/>
    <xf numFmtId="0" fontId="207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9" fillId="0" borderId="0"/>
    <xf numFmtId="0" fontId="209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8" fillId="0" borderId="0"/>
    <xf numFmtId="0" fontId="208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65" fillId="0" borderId="0">
      <alignment vertical="center"/>
    </xf>
    <xf numFmtId="0" fontId="207" fillId="0" borderId="0"/>
    <xf numFmtId="0" fontId="207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8" fillId="0" borderId="0"/>
    <xf numFmtId="0" fontId="208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0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9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8" fillId="0" borderId="0"/>
    <xf numFmtId="0" fontId="208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08" fillId="0" borderId="0"/>
    <xf numFmtId="0" fontId="208" fillId="0" borderId="0"/>
    <xf numFmtId="0" fontId="21" fillId="0" borderId="0"/>
    <xf numFmtId="0" fontId="210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10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9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9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8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9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20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9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1" fillId="0" borderId="0"/>
    <xf numFmtId="0" fontId="15" fillId="0" borderId="0"/>
    <xf numFmtId="0" fontId="15" fillId="0" borderId="0"/>
    <xf numFmtId="0" fontId="20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20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66" fillId="0" borderId="0" applyBorder="0">
      <protection locked="0"/>
    </xf>
    <xf numFmtId="0" fontId="266" fillId="0" borderId="0" applyBorder="0">
      <protection locked="0"/>
    </xf>
    <xf numFmtId="0" fontId="266" fillId="0" borderId="506">
      <protection locked="0"/>
    </xf>
    <xf numFmtId="0" fontId="266" fillId="0" borderId="0" applyBorder="0">
      <protection locked="0"/>
    </xf>
    <xf numFmtId="0" fontId="266" fillId="0" borderId="0" applyBorder="0">
      <protection locked="0"/>
    </xf>
    <xf numFmtId="0" fontId="266" fillId="0" borderId="0" applyBorder="0">
      <protection locked="0"/>
    </xf>
    <xf numFmtId="0" fontId="146" fillId="0" borderId="0">
      <alignment horizontal="center"/>
    </xf>
    <xf numFmtId="0" fontId="146" fillId="0" borderId="0">
      <alignment horizontal="center"/>
    </xf>
    <xf numFmtId="240" fontId="146" fillId="0" borderId="0">
      <alignment horizontal="center"/>
    </xf>
    <xf numFmtId="240" fontId="146" fillId="0" borderId="0">
      <alignment horizontal="center"/>
    </xf>
    <xf numFmtId="240" fontId="146" fillId="0" borderId="0">
      <alignment horizontal="center"/>
    </xf>
    <xf numFmtId="240" fontId="146" fillId="0" borderId="0">
      <alignment horizontal="center"/>
    </xf>
    <xf numFmtId="240" fontId="146" fillId="0" borderId="0">
      <alignment horizontal="center"/>
    </xf>
    <xf numFmtId="24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146" fillId="0" borderId="0">
      <alignment horizontal="center"/>
    </xf>
    <xf numFmtId="0" fontId="207" fillId="0" borderId="0"/>
    <xf numFmtId="0" fontId="211" fillId="74" borderId="0"/>
    <xf numFmtId="0" fontId="211" fillId="75" borderId="0"/>
    <xf numFmtId="0" fontId="211" fillId="75" borderId="0"/>
    <xf numFmtId="0" fontId="211" fillId="75" borderId="0"/>
    <xf numFmtId="0" fontId="211" fillId="75" borderId="0"/>
    <xf numFmtId="0" fontId="211" fillId="75" borderId="0"/>
    <xf numFmtId="0" fontId="211" fillId="75" borderId="0"/>
    <xf numFmtId="0" fontId="211" fillId="74" borderId="0"/>
    <xf numFmtId="0" fontId="211" fillId="76" borderId="0"/>
    <xf numFmtId="0" fontId="15" fillId="77" borderId="0" applyNumberFormat="0" applyBorder="0" applyAlignment="0" applyProtection="0"/>
    <xf numFmtId="0" fontId="23" fillId="78" borderId="0" applyNumberFormat="0" applyBorder="0" applyAlignment="0" applyProtection="0"/>
    <xf numFmtId="0" fontId="207" fillId="0" borderId="0"/>
    <xf numFmtId="0" fontId="207" fillId="0" borderId="0"/>
    <xf numFmtId="0" fontId="15" fillId="79" borderId="0" applyNumberFormat="0" applyBorder="0" applyAlignment="0" applyProtection="0"/>
    <xf numFmtId="0" fontId="23" fillId="78" borderId="0" applyNumberFormat="0" applyBorder="0" applyAlignment="0" applyProtection="0"/>
    <xf numFmtId="0" fontId="23" fillId="78" borderId="0" applyNumberFormat="0" applyBorder="0" applyAlignment="0" applyProtection="0"/>
    <xf numFmtId="0" fontId="23" fillId="78" borderId="0" applyNumberFormat="0" applyBorder="0" applyAlignment="0" applyProtection="0"/>
    <xf numFmtId="0" fontId="15" fillId="80" borderId="0" applyNumberFormat="0" applyBorder="0" applyAlignment="0" applyProtection="0"/>
    <xf numFmtId="0" fontId="23" fillId="81" borderId="0" applyNumberFormat="0" applyBorder="0" applyAlignment="0" applyProtection="0"/>
    <xf numFmtId="0" fontId="207" fillId="0" borderId="0"/>
    <xf numFmtId="0" fontId="207" fillId="0" borderId="0"/>
    <xf numFmtId="0" fontId="15" fillId="82" borderId="0" applyNumberFormat="0" applyBorder="0" applyAlignment="0" applyProtection="0"/>
    <xf numFmtId="0" fontId="23" fillId="81" borderId="0" applyNumberFormat="0" applyBorder="0" applyAlignment="0" applyProtection="0"/>
    <xf numFmtId="0" fontId="23" fillId="81" borderId="0" applyNumberFormat="0" applyBorder="0" applyAlignment="0" applyProtection="0"/>
    <xf numFmtId="0" fontId="23" fillId="81" borderId="0" applyNumberFormat="0" applyBorder="0" applyAlignment="0" applyProtection="0"/>
    <xf numFmtId="0" fontId="15" fillId="83" borderId="0" applyNumberFormat="0" applyBorder="0" applyAlignment="0" applyProtection="0"/>
    <xf numFmtId="0" fontId="23" fillId="84" borderId="0" applyNumberFormat="0" applyBorder="0" applyAlignment="0" applyProtection="0"/>
    <xf numFmtId="0" fontId="207" fillId="0" borderId="0"/>
    <xf numFmtId="0" fontId="207" fillId="0" borderId="0"/>
    <xf numFmtId="0" fontId="15" fillId="85" borderId="0" applyNumberFormat="0" applyBorder="0" applyAlignment="0" applyProtection="0"/>
    <xf numFmtId="0" fontId="23" fillId="84" borderId="0" applyNumberFormat="0" applyBorder="0" applyAlignment="0" applyProtection="0"/>
    <xf numFmtId="0" fontId="23" fillId="84" borderId="0" applyNumberFormat="0" applyBorder="0" applyAlignment="0" applyProtection="0"/>
    <xf numFmtId="0" fontId="23" fillId="84" borderId="0" applyNumberFormat="0" applyBorder="0" applyAlignment="0" applyProtection="0"/>
    <xf numFmtId="0" fontId="15" fillId="86" borderId="0" applyNumberFormat="0" applyBorder="0" applyAlignment="0" applyProtection="0"/>
    <xf numFmtId="0" fontId="23" fillId="87" borderId="0" applyNumberFormat="0" applyBorder="0" applyAlignment="0" applyProtection="0"/>
    <xf numFmtId="0" fontId="207" fillId="0" borderId="0"/>
    <xf numFmtId="0" fontId="207" fillId="0" borderId="0"/>
    <xf numFmtId="0" fontId="15" fillId="88" borderId="0" applyNumberFormat="0" applyBorder="0" applyAlignment="0" applyProtection="0"/>
    <xf numFmtId="0" fontId="23" fillId="87" borderId="0" applyNumberFormat="0" applyBorder="0" applyAlignment="0" applyProtection="0"/>
    <xf numFmtId="0" fontId="23" fillId="87" borderId="0" applyNumberFormat="0" applyBorder="0" applyAlignment="0" applyProtection="0"/>
    <xf numFmtId="0" fontId="23" fillId="87" borderId="0" applyNumberFormat="0" applyBorder="0" applyAlignment="0" applyProtection="0"/>
    <xf numFmtId="0" fontId="15" fillId="89" borderId="0" applyNumberFormat="0" applyBorder="0" applyAlignment="0" applyProtection="0"/>
    <xf numFmtId="0" fontId="23" fillId="90" borderId="0" applyNumberFormat="0" applyBorder="0" applyAlignment="0" applyProtection="0"/>
    <xf numFmtId="0" fontId="207" fillId="0" borderId="0"/>
    <xf numFmtId="0" fontId="207" fillId="0" borderId="0"/>
    <xf numFmtId="0" fontId="15" fillId="91" borderId="0" applyNumberFormat="0" applyBorder="0" applyAlignment="0" applyProtection="0"/>
    <xf numFmtId="0" fontId="23" fillId="90" borderId="0" applyNumberFormat="0" applyBorder="0" applyAlignment="0" applyProtection="0"/>
    <xf numFmtId="0" fontId="23" fillId="90" borderId="0" applyNumberFormat="0" applyBorder="0" applyAlignment="0" applyProtection="0"/>
    <xf numFmtId="0" fontId="23" fillId="90" borderId="0" applyNumberFormat="0" applyBorder="0" applyAlignment="0" applyProtection="0"/>
    <xf numFmtId="0" fontId="15" fillId="92" borderId="0" applyNumberFormat="0" applyBorder="0" applyAlignment="0" applyProtection="0"/>
    <xf numFmtId="0" fontId="23" fillId="93" borderId="0" applyNumberFormat="0" applyBorder="0" applyAlignment="0" applyProtection="0"/>
    <xf numFmtId="0" fontId="207" fillId="0" borderId="0"/>
    <xf numFmtId="0" fontId="207" fillId="0" borderId="0"/>
    <xf numFmtId="0" fontId="15" fillId="94" borderId="0" applyNumberFormat="0" applyBorder="0" applyAlignment="0" applyProtection="0"/>
    <xf numFmtId="0" fontId="23" fillId="93" borderId="0" applyNumberFormat="0" applyBorder="0" applyAlignment="0" applyProtection="0"/>
    <xf numFmtId="0" fontId="23" fillId="93" borderId="0" applyNumberFormat="0" applyBorder="0" applyAlignment="0" applyProtection="0"/>
    <xf numFmtId="0" fontId="23" fillId="93" borderId="0" applyNumberFormat="0" applyBorder="0" applyAlignment="0" applyProtection="0"/>
    <xf numFmtId="0" fontId="15" fillId="77" borderId="0" applyNumberFormat="0" applyBorder="0" applyAlignment="0" applyProtection="0"/>
    <xf numFmtId="0" fontId="15" fillId="78" borderId="0" applyNumberFormat="0" applyBorder="0" applyAlignment="0" applyProtection="0"/>
    <xf numFmtId="0" fontId="15" fillId="78" borderId="0" applyNumberFormat="0" applyBorder="0" applyAlignment="0" applyProtection="0"/>
    <xf numFmtId="0" fontId="15" fillId="78" borderId="0" applyNumberFormat="0" applyBorder="0" applyAlignment="0" applyProtection="0"/>
    <xf numFmtId="0" fontId="15" fillId="78" borderId="0" applyNumberFormat="0" applyBorder="0" applyAlignment="0" applyProtection="0"/>
    <xf numFmtId="0" fontId="15" fillId="78" borderId="0" applyNumberFormat="0" applyBorder="0" applyAlignment="0" applyProtection="0"/>
    <xf numFmtId="0" fontId="15" fillId="78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9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1" borderId="0" applyNumberFormat="0" applyBorder="0" applyAlignment="0" applyProtection="0"/>
    <xf numFmtId="0" fontId="15" fillId="81" borderId="0" applyNumberFormat="0" applyBorder="0" applyAlignment="0" applyProtection="0"/>
    <xf numFmtId="0" fontId="15" fillId="81" borderId="0" applyNumberFormat="0" applyBorder="0" applyAlignment="0" applyProtection="0"/>
    <xf numFmtId="0" fontId="15" fillId="81" borderId="0" applyNumberFormat="0" applyBorder="0" applyAlignment="0" applyProtection="0"/>
    <xf numFmtId="0" fontId="15" fillId="81" borderId="0" applyNumberFormat="0" applyBorder="0" applyAlignment="0" applyProtection="0"/>
    <xf numFmtId="0" fontId="15" fillId="81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2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4" borderId="0" applyNumberFormat="0" applyBorder="0" applyAlignment="0" applyProtection="0"/>
    <xf numFmtId="0" fontId="15" fillId="84" borderId="0" applyNumberFormat="0" applyBorder="0" applyAlignment="0" applyProtection="0"/>
    <xf numFmtId="0" fontId="15" fillId="84" borderId="0" applyNumberFormat="0" applyBorder="0" applyAlignment="0" applyProtection="0"/>
    <xf numFmtId="0" fontId="15" fillId="84" borderId="0" applyNumberFormat="0" applyBorder="0" applyAlignment="0" applyProtection="0"/>
    <xf numFmtId="0" fontId="15" fillId="84" borderId="0" applyNumberFormat="0" applyBorder="0" applyAlignment="0" applyProtection="0"/>
    <xf numFmtId="0" fontId="15" fillId="84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5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8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0" borderId="0" applyNumberFormat="0" applyBorder="0" applyAlignment="0" applyProtection="0"/>
    <xf numFmtId="0" fontId="15" fillId="90" borderId="0" applyNumberFormat="0" applyBorder="0" applyAlignment="0" applyProtection="0"/>
    <xf numFmtId="0" fontId="15" fillId="90" borderId="0" applyNumberFormat="0" applyBorder="0" applyAlignment="0" applyProtection="0"/>
    <xf numFmtId="0" fontId="15" fillId="90" borderId="0" applyNumberFormat="0" applyBorder="0" applyAlignment="0" applyProtection="0"/>
    <xf numFmtId="0" fontId="15" fillId="90" borderId="0" applyNumberFormat="0" applyBorder="0" applyAlignment="0" applyProtection="0"/>
    <xf numFmtId="0" fontId="15" fillId="90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91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3" borderId="0" applyNumberFormat="0" applyBorder="0" applyAlignment="0" applyProtection="0"/>
    <xf numFmtId="0" fontId="15" fillId="93" borderId="0" applyNumberFormat="0" applyBorder="0" applyAlignment="0" applyProtection="0"/>
    <xf numFmtId="0" fontId="15" fillId="93" borderId="0" applyNumberFormat="0" applyBorder="0" applyAlignment="0" applyProtection="0"/>
    <xf numFmtId="0" fontId="15" fillId="93" borderId="0" applyNumberFormat="0" applyBorder="0" applyAlignment="0" applyProtection="0"/>
    <xf numFmtId="0" fontId="15" fillId="93" borderId="0" applyNumberFormat="0" applyBorder="0" applyAlignment="0" applyProtection="0"/>
    <xf numFmtId="0" fontId="15" fillId="93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4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23" fillId="2" borderId="0" applyNumberFormat="0" applyBorder="0" applyAlignment="0" applyProtection="0"/>
    <xf numFmtId="0" fontId="207" fillId="0" borderId="0"/>
    <xf numFmtId="0" fontId="207" fillId="0" borderId="0"/>
    <xf numFmtId="0" fontId="15" fillId="96" borderId="0" applyNumberFormat="0" applyBorder="0" applyAlignment="0" applyProtection="0"/>
    <xf numFmtId="0" fontId="23" fillId="2" borderId="0" applyNumberFormat="0" applyBorder="0" applyAlignment="0" applyProtection="0"/>
    <xf numFmtId="0" fontId="23" fillId="2" borderId="0" applyNumberFormat="0" applyBorder="0" applyAlignment="0" applyProtection="0"/>
    <xf numFmtId="0" fontId="23" fillId="2" borderId="0" applyNumberFormat="0" applyBorder="0" applyAlignment="0" applyProtection="0"/>
    <xf numFmtId="0" fontId="15" fillId="97" borderId="0" applyNumberFormat="0" applyBorder="0" applyAlignment="0" applyProtection="0"/>
    <xf numFmtId="0" fontId="23" fillId="98" borderId="0" applyNumberFormat="0" applyBorder="0" applyAlignment="0" applyProtection="0"/>
    <xf numFmtId="0" fontId="207" fillId="0" borderId="0"/>
    <xf numFmtId="0" fontId="207" fillId="0" borderId="0"/>
    <xf numFmtId="0" fontId="15" fillId="98" borderId="0" applyNumberFormat="0" applyBorder="0" applyAlignment="0" applyProtection="0"/>
    <xf numFmtId="0" fontId="23" fillId="98" borderId="0" applyNumberFormat="0" applyBorder="0" applyAlignment="0" applyProtection="0"/>
    <xf numFmtId="0" fontId="23" fillId="98" borderId="0" applyNumberFormat="0" applyBorder="0" applyAlignment="0" applyProtection="0"/>
    <xf numFmtId="0" fontId="23" fillId="98" borderId="0" applyNumberFormat="0" applyBorder="0" applyAlignment="0" applyProtection="0"/>
    <xf numFmtId="0" fontId="15" fillId="99" borderId="0" applyNumberFormat="0" applyBorder="0" applyAlignment="0" applyProtection="0"/>
    <xf numFmtId="0" fontId="23" fillId="100" borderId="0" applyNumberFormat="0" applyBorder="0" applyAlignment="0" applyProtection="0"/>
    <xf numFmtId="0" fontId="207" fillId="0" borderId="0"/>
    <xf numFmtId="0" fontId="207" fillId="0" borderId="0"/>
    <xf numFmtId="0" fontId="15" fillId="100" borderId="0" applyNumberFormat="0" applyBorder="0" applyAlignment="0" applyProtection="0"/>
    <xf numFmtId="0" fontId="23" fillId="100" borderId="0" applyNumberFormat="0" applyBorder="0" applyAlignment="0" applyProtection="0"/>
    <xf numFmtId="0" fontId="23" fillId="100" borderId="0" applyNumberFormat="0" applyBorder="0" applyAlignment="0" applyProtection="0"/>
    <xf numFmtId="0" fontId="23" fillId="100" borderId="0" applyNumberFormat="0" applyBorder="0" applyAlignment="0" applyProtection="0"/>
    <xf numFmtId="0" fontId="15" fillId="86" borderId="0" applyNumberFormat="0" applyBorder="0" applyAlignment="0" applyProtection="0"/>
    <xf numFmtId="0" fontId="23" fillId="87" borderId="0" applyNumberFormat="0" applyBorder="0" applyAlignment="0" applyProtection="0"/>
    <xf numFmtId="0" fontId="207" fillId="0" borderId="0"/>
    <xf numFmtId="0" fontId="207" fillId="0" borderId="0"/>
    <xf numFmtId="0" fontId="15" fillId="88" borderId="0" applyNumberFormat="0" applyBorder="0" applyAlignment="0" applyProtection="0"/>
    <xf numFmtId="0" fontId="23" fillId="87" borderId="0" applyNumberFormat="0" applyBorder="0" applyAlignment="0" applyProtection="0"/>
    <xf numFmtId="0" fontId="23" fillId="87" borderId="0" applyNumberFormat="0" applyBorder="0" applyAlignment="0" applyProtection="0"/>
    <xf numFmtId="0" fontId="23" fillId="87" borderId="0" applyNumberFormat="0" applyBorder="0" applyAlignment="0" applyProtection="0"/>
    <xf numFmtId="0" fontId="15" fillId="95" borderId="0" applyNumberFormat="0" applyBorder="0" applyAlignment="0" applyProtection="0"/>
    <xf numFmtId="0" fontId="23" fillId="2" borderId="0" applyNumberFormat="0" applyBorder="0" applyAlignment="0" applyProtection="0"/>
    <xf numFmtId="0" fontId="207" fillId="0" borderId="0"/>
    <xf numFmtId="0" fontId="207" fillId="0" borderId="0"/>
    <xf numFmtId="0" fontId="15" fillId="96" borderId="0" applyNumberFormat="0" applyBorder="0" applyAlignment="0" applyProtection="0"/>
    <xf numFmtId="0" fontId="23" fillId="2" borderId="0" applyNumberFormat="0" applyBorder="0" applyAlignment="0" applyProtection="0"/>
    <xf numFmtId="0" fontId="23" fillId="2" borderId="0" applyNumberFormat="0" applyBorder="0" applyAlignment="0" applyProtection="0"/>
    <xf numFmtId="0" fontId="23" fillId="2" borderId="0" applyNumberFormat="0" applyBorder="0" applyAlignment="0" applyProtection="0"/>
    <xf numFmtId="0" fontId="15" fillId="101" borderId="0" applyNumberFormat="0" applyBorder="0" applyAlignment="0" applyProtection="0"/>
    <xf numFmtId="0" fontId="23" fillId="91" borderId="0" applyNumberFormat="0" applyBorder="0" applyAlignment="0" applyProtection="0"/>
    <xf numFmtId="0" fontId="207" fillId="0" borderId="0"/>
    <xf numFmtId="0" fontId="207" fillId="0" borderId="0"/>
    <xf numFmtId="0" fontId="15" fillId="102" borderId="0" applyNumberFormat="0" applyBorder="0" applyAlignment="0" applyProtection="0"/>
    <xf numFmtId="0" fontId="23" fillId="91" borderId="0" applyNumberFormat="0" applyBorder="0" applyAlignment="0" applyProtection="0"/>
    <xf numFmtId="0" fontId="23" fillId="91" borderId="0" applyNumberFormat="0" applyBorder="0" applyAlignment="0" applyProtection="0"/>
    <xf numFmtId="0" fontId="23" fillId="91" borderId="0" applyNumberFormat="0" applyBorder="0" applyAlignment="0" applyProtection="0"/>
    <xf numFmtId="0" fontId="15" fillId="95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6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8" borderId="0" applyNumberFormat="0" applyBorder="0" applyAlignment="0" applyProtection="0"/>
    <xf numFmtId="0" fontId="15" fillId="98" borderId="0" applyNumberFormat="0" applyBorder="0" applyAlignment="0" applyProtection="0"/>
    <xf numFmtId="0" fontId="15" fillId="98" borderId="0" applyNumberFormat="0" applyBorder="0" applyAlignment="0" applyProtection="0"/>
    <xf numFmtId="0" fontId="15" fillId="98" borderId="0" applyNumberFormat="0" applyBorder="0" applyAlignment="0" applyProtection="0"/>
    <xf numFmtId="0" fontId="15" fillId="98" borderId="0" applyNumberFormat="0" applyBorder="0" applyAlignment="0" applyProtection="0"/>
    <xf numFmtId="0" fontId="15" fillId="98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8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100" borderId="0" applyNumberFormat="0" applyBorder="0" applyAlignment="0" applyProtection="0"/>
    <xf numFmtId="0" fontId="15" fillId="100" borderId="0" applyNumberFormat="0" applyBorder="0" applyAlignment="0" applyProtection="0"/>
    <xf numFmtId="0" fontId="15" fillId="100" borderId="0" applyNumberFormat="0" applyBorder="0" applyAlignment="0" applyProtection="0"/>
    <xf numFmtId="0" fontId="15" fillId="100" borderId="0" applyNumberFormat="0" applyBorder="0" applyAlignment="0" applyProtection="0"/>
    <xf numFmtId="0" fontId="15" fillId="100" borderId="0" applyNumberFormat="0" applyBorder="0" applyAlignment="0" applyProtection="0"/>
    <xf numFmtId="0" fontId="15" fillId="100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100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7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8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6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15" fillId="91" borderId="0" applyNumberFormat="0" applyBorder="0" applyAlignment="0" applyProtection="0"/>
    <xf numFmtId="0" fontId="15" fillId="91" borderId="0" applyNumberFormat="0" applyBorder="0" applyAlignment="0" applyProtection="0"/>
    <xf numFmtId="0" fontId="15" fillId="91" borderId="0" applyNumberFormat="0" applyBorder="0" applyAlignment="0" applyProtection="0"/>
    <xf numFmtId="0" fontId="15" fillId="91" borderId="0" applyNumberFormat="0" applyBorder="0" applyAlignment="0" applyProtection="0"/>
    <xf numFmtId="0" fontId="15" fillId="91" borderId="0" applyNumberFormat="0" applyBorder="0" applyAlignment="0" applyProtection="0"/>
    <xf numFmtId="0" fontId="15" fillId="9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2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31" fillId="81" borderId="0" applyNumberFormat="0" applyBorder="0" applyAlignment="0" applyProtection="0"/>
    <xf numFmtId="0" fontId="207" fillId="0" borderId="0"/>
    <xf numFmtId="0" fontId="207" fillId="0" borderId="0"/>
    <xf numFmtId="0" fontId="58" fillId="104" borderId="0" applyNumberFormat="0" applyBorder="0" applyAlignment="0" applyProtection="0"/>
    <xf numFmtId="0" fontId="31" fillId="81" borderId="0" applyNumberFormat="0" applyBorder="0" applyAlignment="0" applyProtection="0"/>
    <xf numFmtId="0" fontId="31" fillId="81" borderId="0" applyNumberFormat="0" applyBorder="0" applyAlignment="0" applyProtection="0"/>
    <xf numFmtId="0" fontId="31" fillId="81" borderId="0" applyNumberFormat="0" applyBorder="0" applyAlignment="0" applyProtection="0"/>
    <xf numFmtId="0" fontId="58" fillId="97" borderId="0" applyNumberFormat="0" applyBorder="0" applyAlignment="0" applyProtection="0"/>
    <xf numFmtId="0" fontId="31" fillId="98" borderId="0" applyNumberFormat="0" applyBorder="0" applyAlignment="0" applyProtection="0"/>
    <xf numFmtId="0" fontId="207" fillId="0" borderId="0"/>
    <xf numFmtId="0" fontId="207" fillId="0" borderId="0"/>
    <xf numFmtId="0" fontId="58" fillId="98" borderId="0" applyNumberFormat="0" applyBorder="0" applyAlignment="0" applyProtection="0"/>
    <xf numFmtId="0" fontId="31" fillId="98" borderId="0" applyNumberFormat="0" applyBorder="0" applyAlignment="0" applyProtection="0"/>
    <xf numFmtId="0" fontId="31" fillId="98" borderId="0" applyNumberFormat="0" applyBorder="0" applyAlignment="0" applyProtection="0"/>
    <xf numFmtId="0" fontId="31" fillId="98" borderId="0" applyNumberFormat="0" applyBorder="0" applyAlignment="0" applyProtection="0"/>
    <xf numFmtId="0" fontId="58" fillId="99" borderId="0" applyNumberFormat="0" applyBorder="0" applyAlignment="0" applyProtection="0"/>
    <xf numFmtId="0" fontId="31" fillId="100" borderId="0" applyNumberFormat="0" applyBorder="0" applyAlignment="0" applyProtection="0"/>
    <xf numFmtId="0" fontId="207" fillId="0" borderId="0"/>
    <xf numFmtId="0" fontId="207" fillId="0" borderId="0"/>
    <xf numFmtId="0" fontId="58" fillId="100" borderId="0" applyNumberFormat="0" applyBorder="0" applyAlignment="0" applyProtection="0"/>
    <xf numFmtId="0" fontId="31" fillId="100" borderId="0" applyNumberFormat="0" applyBorder="0" applyAlignment="0" applyProtection="0"/>
    <xf numFmtId="0" fontId="31" fillId="100" borderId="0" applyNumberFormat="0" applyBorder="0" applyAlignment="0" applyProtection="0"/>
    <xf numFmtId="0" fontId="31" fillId="100" borderId="0" applyNumberFormat="0" applyBorder="0" applyAlignment="0" applyProtection="0"/>
    <xf numFmtId="0" fontId="58" fillId="105" borderId="0" applyNumberFormat="0" applyBorder="0" applyAlignment="0" applyProtection="0"/>
    <xf numFmtId="0" fontId="31" fillId="106" borderId="0" applyNumberFormat="0" applyBorder="0" applyAlignment="0" applyProtection="0"/>
    <xf numFmtId="0" fontId="207" fillId="0" borderId="0"/>
    <xf numFmtId="0" fontId="207" fillId="0" borderId="0"/>
    <xf numFmtId="0" fontId="58" fillId="107" borderId="0" applyNumberFormat="0" applyBorder="0" applyAlignment="0" applyProtection="0"/>
    <xf numFmtId="0" fontId="31" fillId="106" borderId="0" applyNumberFormat="0" applyBorder="0" applyAlignment="0" applyProtection="0"/>
    <xf numFmtId="0" fontId="31" fillId="106" borderId="0" applyNumberFormat="0" applyBorder="0" applyAlignment="0" applyProtection="0"/>
    <xf numFmtId="0" fontId="31" fillId="106" borderId="0" applyNumberFormat="0" applyBorder="0" applyAlignment="0" applyProtection="0"/>
    <xf numFmtId="0" fontId="58" fillId="108" borderId="0" applyNumberFormat="0" applyBorder="0" applyAlignment="0" applyProtection="0"/>
    <xf numFmtId="0" fontId="31" fillId="75" borderId="0" applyNumberFormat="0" applyBorder="0" applyAlignment="0" applyProtection="0"/>
    <xf numFmtId="0" fontId="207" fillId="0" borderId="0"/>
    <xf numFmtId="0" fontId="207" fillId="0" borderId="0"/>
    <xf numFmtId="0" fontId="58" fillId="109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58" fillId="110" borderId="0" applyNumberFormat="0" applyBorder="0" applyAlignment="0" applyProtection="0"/>
    <xf numFmtId="0" fontId="31" fillId="111" borderId="0" applyNumberFormat="0" applyBorder="0" applyAlignment="0" applyProtection="0"/>
    <xf numFmtId="0" fontId="207" fillId="0" borderId="0"/>
    <xf numFmtId="0" fontId="207" fillId="0" borderId="0"/>
    <xf numFmtId="0" fontId="58" fillId="112" borderId="0" applyNumberFormat="0" applyBorder="0" applyAlignment="0" applyProtection="0"/>
    <xf numFmtId="0" fontId="31" fillId="111" borderId="0" applyNumberFormat="0" applyBorder="0" applyAlignment="0" applyProtection="0"/>
    <xf numFmtId="0" fontId="31" fillId="111" borderId="0" applyNumberFormat="0" applyBorder="0" applyAlignment="0" applyProtection="0"/>
    <xf numFmtId="0" fontId="31" fillId="111" borderId="0" applyNumberFormat="0" applyBorder="0" applyAlignment="0" applyProtection="0"/>
    <xf numFmtId="0" fontId="58" fillId="103" borderId="0" applyNumberFormat="0" applyBorder="0" applyAlignment="0" applyProtection="0"/>
    <xf numFmtId="0" fontId="58" fillId="81" borderId="0" applyNumberFormat="0" applyBorder="0" applyAlignment="0" applyProtection="0"/>
    <xf numFmtId="0" fontId="58" fillId="81" borderId="0" applyNumberFormat="0" applyBorder="0" applyAlignment="0" applyProtection="0"/>
    <xf numFmtId="0" fontId="58" fillId="81" borderId="0" applyNumberFormat="0" applyBorder="0" applyAlignment="0" applyProtection="0"/>
    <xf numFmtId="0" fontId="58" fillId="81" borderId="0" applyNumberFormat="0" applyBorder="0" applyAlignment="0" applyProtection="0"/>
    <xf numFmtId="0" fontId="58" fillId="81" borderId="0" applyNumberFormat="0" applyBorder="0" applyAlignment="0" applyProtection="0"/>
    <xf numFmtId="0" fontId="58" fillId="81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4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103" borderId="0" applyNumberFormat="0" applyBorder="0" applyAlignment="0" applyProtection="0"/>
    <xf numFmtId="0" fontId="58" fillId="103" borderId="0" applyNumberFormat="0" applyBorder="0" applyAlignment="0" applyProtection="0"/>
    <xf numFmtId="0" fontId="58" fillId="113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8" borderId="0" applyNumberFormat="0" applyBorder="0" applyAlignment="0" applyProtection="0"/>
    <xf numFmtId="0" fontId="58" fillId="98" borderId="0" applyNumberFormat="0" applyBorder="0" applyAlignment="0" applyProtection="0"/>
    <xf numFmtId="0" fontId="58" fillId="98" borderId="0" applyNumberFormat="0" applyBorder="0" applyAlignment="0" applyProtection="0"/>
    <xf numFmtId="0" fontId="58" fillId="98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7" borderId="0" applyNumberFormat="0" applyBorder="0" applyAlignment="0" applyProtection="0"/>
    <xf numFmtId="0" fontId="58" fillId="97" borderId="0" applyNumberFormat="0" applyBorder="0" applyAlignment="0" applyProtection="0"/>
    <xf numFmtId="0" fontId="58" fillId="98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100" borderId="0" applyNumberFormat="0" applyBorder="0" applyAlignment="0" applyProtection="0"/>
    <xf numFmtId="0" fontId="58" fillId="100" borderId="0" applyNumberFormat="0" applyBorder="0" applyAlignment="0" applyProtection="0"/>
    <xf numFmtId="0" fontId="58" fillId="100" borderId="0" applyNumberFormat="0" applyBorder="0" applyAlignment="0" applyProtection="0"/>
    <xf numFmtId="0" fontId="58" fillId="100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99" borderId="0" applyNumberFormat="0" applyBorder="0" applyAlignment="0" applyProtection="0"/>
    <xf numFmtId="0" fontId="58" fillId="99" borderId="0" applyNumberFormat="0" applyBorder="0" applyAlignment="0" applyProtection="0"/>
    <xf numFmtId="0" fontId="58" fillId="100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7" borderId="0" applyNumberFormat="0" applyBorder="0" applyAlignment="0" applyProtection="0"/>
    <xf numFmtId="0" fontId="58" fillId="107" borderId="0" applyNumberFormat="0" applyBorder="0" applyAlignment="0" applyProtection="0"/>
    <xf numFmtId="0" fontId="58" fillId="107" borderId="0" applyNumberFormat="0" applyBorder="0" applyAlignment="0" applyProtection="0"/>
    <xf numFmtId="0" fontId="58" fillId="107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7" borderId="0" applyNumberFormat="0" applyBorder="0" applyAlignment="0" applyProtection="0"/>
    <xf numFmtId="0" fontId="58" fillId="108" borderId="0" applyNumberFormat="0" applyBorder="0" applyAlignment="0" applyProtection="0"/>
    <xf numFmtId="0" fontId="58" fillId="75" borderId="0" applyNumberFormat="0" applyBorder="0" applyAlignment="0" applyProtection="0"/>
    <xf numFmtId="0" fontId="58" fillId="75" borderId="0" applyNumberFormat="0" applyBorder="0" applyAlignment="0" applyProtection="0"/>
    <xf numFmtId="0" fontId="58" fillId="75" borderId="0" applyNumberFormat="0" applyBorder="0" applyAlignment="0" applyProtection="0"/>
    <xf numFmtId="0" fontId="58" fillId="75" borderId="0" applyNumberFormat="0" applyBorder="0" applyAlignment="0" applyProtection="0"/>
    <xf numFmtId="0" fontId="58" fillId="75" borderId="0" applyNumberFormat="0" applyBorder="0" applyAlignment="0" applyProtection="0"/>
    <xf numFmtId="0" fontId="58" fillId="75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9" borderId="0" applyNumberFormat="0" applyBorder="0" applyAlignment="0" applyProtection="0"/>
    <xf numFmtId="0" fontId="58" fillId="110" borderId="0" applyNumberFormat="0" applyBorder="0" applyAlignment="0" applyProtection="0"/>
    <xf numFmtId="0" fontId="58" fillId="111" borderId="0" applyNumberFormat="0" applyBorder="0" applyAlignment="0" applyProtection="0"/>
    <xf numFmtId="0" fontId="58" fillId="111" borderId="0" applyNumberFormat="0" applyBorder="0" applyAlignment="0" applyProtection="0"/>
    <xf numFmtId="0" fontId="58" fillId="111" borderId="0" applyNumberFormat="0" applyBorder="0" applyAlignment="0" applyProtection="0"/>
    <xf numFmtId="0" fontId="58" fillId="111" borderId="0" applyNumberFormat="0" applyBorder="0" applyAlignment="0" applyProtection="0"/>
    <xf numFmtId="0" fontId="58" fillId="111" borderId="0" applyNumberFormat="0" applyBorder="0" applyAlignment="0" applyProtection="0"/>
    <xf numFmtId="0" fontId="58" fillId="111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0" fontId="58" fillId="110" borderId="0" applyNumberFormat="0" applyBorder="0" applyAlignment="0" applyProtection="0"/>
    <xf numFmtId="0" fontId="58" fillId="110" borderId="0" applyNumberFormat="0" applyBorder="0" applyAlignment="0" applyProtection="0"/>
    <xf numFmtId="0" fontId="58" fillId="112" borderId="0" applyNumberFormat="0" applyBorder="0" applyAlignment="0" applyProtection="0"/>
    <xf numFmtId="194" fontId="212" fillId="0" borderId="0" applyFont="0" applyFill="0" applyBorder="0">
      <alignment horizontal="center"/>
    </xf>
    <xf numFmtId="194" fontId="15" fillId="0" borderId="0" applyFill="0" applyBorder="0">
      <alignment horizontal="center"/>
    </xf>
    <xf numFmtId="194" fontId="15" fillId="0" borderId="0" applyFill="0" applyBorder="0">
      <alignment horizontal="center"/>
    </xf>
    <xf numFmtId="194" fontId="15" fillId="0" borderId="0" applyFill="0" applyBorder="0">
      <alignment horizontal="center"/>
    </xf>
    <xf numFmtId="0" fontId="207" fillId="0" borderId="0" applyFill="0" applyBorder="0">
      <alignment horizontal="center"/>
    </xf>
    <xf numFmtId="194" fontId="15" fillId="0" borderId="0" applyFill="0" applyBorder="0">
      <alignment horizontal="center"/>
    </xf>
    <xf numFmtId="0" fontId="207" fillId="0" borderId="0" applyFill="0" applyBorder="0">
      <alignment horizontal="center"/>
    </xf>
    <xf numFmtId="194" fontId="15" fillId="0" borderId="0" applyFill="0" applyBorder="0">
      <alignment horizontal="center"/>
    </xf>
    <xf numFmtId="194" fontId="212" fillId="0" borderId="0" applyFont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0" fontId="207" fillId="0" borderId="0" applyFill="0" applyBorder="0">
      <alignment horizontal="center"/>
    </xf>
    <xf numFmtId="194" fontId="15" fillId="0" borderId="0" applyFill="0" applyBorder="0">
      <alignment horizontal="center"/>
    </xf>
    <xf numFmtId="0" fontId="207" fillId="0" borderId="0"/>
    <xf numFmtId="0" fontId="178" fillId="0" borderId="0">
      <alignment horizontal="right"/>
    </xf>
    <xf numFmtId="0" fontId="66" fillId="0" borderId="0">
      <alignment horizontal="right"/>
    </xf>
    <xf numFmtId="0" fontId="66" fillId="0" borderId="0">
      <alignment horizontal="right"/>
    </xf>
    <xf numFmtId="0" fontId="66" fillId="0" borderId="0">
      <alignment horizontal="right"/>
    </xf>
    <xf numFmtId="0" fontId="66" fillId="0" borderId="0">
      <alignment horizontal="right"/>
    </xf>
    <xf numFmtId="0" fontId="66" fillId="0" borderId="0">
      <alignment horizontal="right"/>
    </xf>
    <xf numFmtId="0" fontId="66" fillId="0" borderId="0">
      <alignment horizontal="right"/>
    </xf>
    <xf numFmtId="0" fontId="178" fillId="0" borderId="0">
      <alignment horizontal="right"/>
    </xf>
    <xf numFmtId="0" fontId="207" fillId="0" borderId="0"/>
    <xf numFmtId="0" fontId="58" fillId="114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58" fillId="115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58" fillId="116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58" fillId="105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58" fillId="108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58" fillId="117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3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3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/>
    <xf numFmtId="0" fontId="214" fillId="8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5" fillId="0" borderId="0"/>
    <xf numFmtId="0" fontId="216" fillId="0" borderId="0" applyFill="0" applyBorder="0" applyAlignment="0"/>
    <xf numFmtId="0" fontId="217" fillId="118" borderId="507" applyNumberFormat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7" fillId="118" borderId="507" applyNumberFormat="0" applyAlignment="0" applyProtection="0"/>
    <xf numFmtId="0" fontId="32" fillId="0" borderId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2" fillId="0" borderId="0" applyFill="0" applyBorder="0" applyProtection="0">
      <alignment horizontal="center"/>
      <protection locked="0"/>
    </xf>
    <xf numFmtId="0" fontId="15" fillId="0" borderId="0"/>
    <xf numFmtId="37" fontId="25" fillId="119" borderId="113">
      <alignment horizontal="center" vertical="center"/>
    </xf>
    <xf numFmtId="37" fontId="25" fillId="119" borderId="113">
      <alignment horizontal="center" vertical="center"/>
    </xf>
    <xf numFmtId="0" fontId="18" fillId="120" borderId="508" applyNumberFormat="0" applyAlignment="0" applyProtection="0"/>
    <xf numFmtId="0" fontId="15" fillId="0" borderId="0"/>
    <xf numFmtId="0" fontId="15" fillId="0" borderId="0"/>
    <xf numFmtId="0" fontId="15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8" fillId="120" borderId="508" applyNumberFormat="0" applyAlignment="0" applyProtection="0"/>
    <xf numFmtId="37" fontId="25" fillId="121" borderId="505">
      <alignment horizontal="center" vertical="center"/>
    </xf>
    <xf numFmtId="195" fontId="21" fillId="0" borderId="509" applyFont="0" applyFill="0" applyBorder="0" applyProtection="0">
      <alignment horizontal="center"/>
      <protection locked="0"/>
    </xf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5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5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5" fontId="21" fillId="0" borderId="509" applyFont="0" applyFill="0" applyBorder="0" applyProtection="0">
      <alignment horizontal="center"/>
      <protection locked="0"/>
    </xf>
    <xf numFmtId="195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5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509" applyFont="0" applyFill="0" applyBorder="0" applyProtection="0">
      <alignment horizontal="center"/>
      <protection locked="0"/>
    </xf>
    <xf numFmtId="0" fontId="15" fillId="0" borderId="0"/>
    <xf numFmtId="0" fontId="15" fillId="0" borderId="0"/>
    <xf numFmtId="196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6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7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7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8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8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71" fontId="15" fillId="0" borderId="0" applyFill="0" applyBorder="0" applyAlignment="0" applyProtection="0"/>
    <xf numFmtId="171" fontId="15" fillId="0" borderId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9" fontId="6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199" fontId="6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41" fontId="15" fillId="0" borderId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" fontId="218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" fontId="218" fillId="0" borderId="0" applyFont="0" applyFill="0" applyBorder="0" applyAlignment="0" applyProtection="0"/>
    <xf numFmtId="0" fontId="15" fillId="0" borderId="0"/>
    <xf numFmtId="0" fontId="219" fillId="0" borderId="0" applyFill="0" applyBorder="0" applyAlignment="0" applyProtection="0"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9" fillId="0" borderId="0" applyFill="0" applyBorder="0" applyAlignment="0" applyProtection="0">
      <protection locked="0"/>
    </xf>
    <xf numFmtId="200" fontId="220" fillId="0" borderId="0" applyFill="0" applyBorder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20" fillId="0" borderId="0" applyFill="0" applyBorder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20" fillId="0" borderId="192" applyFill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20" fillId="0" borderId="192" applyFill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42" fontId="146" fillId="0" borderId="510" applyFill="0" applyProtection="0"/>
    <xf numFmtId="200" fontId="220" fillId="0" borderId="511" applyFill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20" fillId="0" borderId="511" applyFill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42" fontId="146" fillId="0" borderId="512" applyFill="0" applyProtection="0"/>
    <xf numFmtId="0" fontId="15" fillId="0" borderId="0"/>
    <xf numFmtId="201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1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2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2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200" fontId="2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1" fontId="15" fillId="0" borderId="0" applyFill="0" applyBorder="0" applyAlignment="0" applyProtection="0"/>
    <xf numFmtId="203" fontId="21" fillId="0" borderId="0" applyFont="0" applyFill="0" applyBorder="0" applyAlignment="0" applyProtection="0"/>
    <xf numFmtId="203" fontId="21" fillId="0" borderId="0" applyFont="0" applyFill="0" applyBorder="0" applyAlignment="0" applyProtection="0"/>
    <xf numFmtId="243" fontId="15" fillId="0" borderId="0" applyFill="0" applyBorder="0" applyAlignment="0" applyProtection="0"/>
    <xf numFmtId="203" fontId="21" fillId="0" borderId="0" applyFont="0" applyFill="0" applyBorder="0" applyAlignment="0" applyProtection="0"/>
    <xf numFmtId="203" fontId="21" fillId="0" borderId="0" applyFont="0" applyFill="0" applyBorder="0" applyAlignment="0" applyProtection="0"/>
    <xf numFmtId="243" fontId="15" fillId="0" borderId="0" applyFill="0" applyBorder="0" applyAlignment="0" applyProtection="0"/>
    <xf numFmtId="243" fontId="15" fillId="0" borderId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7" fontId="23" fillId="0" borderId="513" applyFont="0" applyFill="0" applyBorder="0"/>
    <xf numFmtId="37" fontId="23" fillId="0" borderId="513" applyFont="0" applyFill="0" applyBorder="0"/>
    <xf numFmtId="37" fontId="23" fillId="0" borderId="513" applyFont="0" applyFill="0" applyBorder="0"/>
    <xf numFmtId="0" fontId="15" fillId="0" borderId="0"/>
    <xf numFmtId="37" fontId="23" fillId="0" borderId="513" applyFont="0" applyFill="0" applyBorder="0"/>
    <xf numFmtId="37" fontId="23" fillId="0" borderId="513" applyFont="0" applyFill="0" applyBorder="0"/>
    <xf numFmtId="0" fontId="15" fillId="0" borderId="0"/>
    <xf numFmtId="37" fontId="23" fillId="0" borderId="513" applyFont="0" applyFill="0" applyBorder="0"/>
    <xf numFmtId="37" fontId="23" fillId="0" borderId="513" applyFont="0" applyFill="0" applyBorder="0"/>
    <xf numFmtId="0" fontId="15" fillId="0" borderId="0"/>
    <xf numFmtId="37" fontId="23" fillId="0" borderId="513" applyFont="0" applyFill="0" applyBorder="0"/>
    <xf numFmtId="37" fontId="23" fillId="0" borderId="513" applyFont="0" applyFill="0" applyBorder="0"/>
    <xf numFmtId="0" fontId="15" fillId="0" borderId="0"/>
    <xf numFmtId="0" fontId="15" fillId="0" borderId="0"/>
    <xf numFmtId="0" fontId="15" fillId="0" borderId="0"/>
    <xf numFmtId="37" fontId="23" fillId="0" borderId="513" applyFont="0" applyFill="0" applyBorder="0"/>
    <xf numFmtId="0" fontId="15" fillId="0" borderId="0"/>
    <xf numFmtId="37" fontId="42" fillId="0" borderId="513" applyFont="0" applyFill="0" applyBorder="0"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7" fontId="42" fillId="0" borderId="513" applyFont="0" applyFill="0" applyBorder="0">
      <protection locked="0"/>
    </xf>
    <xf numFmtId="37" fontId="221" fillId="13" borderId="113" applyFill="0" applyBorder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7" fontId="221" fillId="13" borderId="113" applyFill="0" applyBorder="0" applyProtection="0"/>
    <xf numFmtId="37" fontId="221" fillId="0" borderId="0" applyFill="0" applyBorder="0" applyProtection="0"/>
    <xf numFmtId="0" fontId="15" fillId="0" borderId="0"/>
    <xf numFmtId="0" fontId="218" fillId="0" borderId="0" applyFont="0" applyFill="0" applyBorder="0" applyAlignment="0" applyProtection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8" fillId="0" borderId="0" applyFont="0" applyFill="0" applyBorder="0" applyAlignment="0" applyProtection="0"/>
    <xf numFmtId="0" fontId="21" fillId="0" borderId="0"/>
    <xf numFmtId="204" fontId="222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4" fontId="222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5" fontId="223" fillId="0" borderId="225" applyFill="0">
      <alignment horizontal="centerContinuous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5" fontId="223" fillId="0" borderId="225" applyFill="0">
      <alignment horizontal="centerContinuous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6" fontId="223" fillId="0" borderId="225" applyFill="0">
      <alignment horizontal="centerContinuous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6" fontId="223" fillId="0" borderId="225" applyFill="0">
      <alignment horizontal="centerContinuous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0" applyFill="0" applyBorder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0" applyFill="0" applyBorder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192" applyFill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192" applyFill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511" applyFill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2" fontId="220" fillId="0" borderId="511" applyFill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8" fontId="21" fillId="0" borderId="0" applyFont="0" applyFill="0" applyBorder="0" applyAlignment="0" applyProtection="0"/>
    <xf numFmtId="239" fontId="21" fillId="0" borderId="0" applyFont="0" applyFill="0" applyBorder="0" applyAlignment="0" applyProtection="0"/>
    <xf numFmtId="0" fontId="21" fillId="0" borderId="0"/>
    <xf numFmtId="239" fontId="21" fillId="0" borderId="0" applyFont="0" applyFill="0" applyBorder="0" applyAlignment="0" applyProtection="0"/>
    <xf numFmtId="0" fontId="21" fillId="0" borderId="0"/>
    <xf numFmtId="0" fontId="224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/>
    <xf numFmtId="2" fontId="218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" fontId="218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 applyNumberFormat="0" applyFont="0">
      <alignment wrapText="1"/>
    </xf>
    <xf numFmtId="0" fontId="21" fillId="0" borderId="0" applyNumberFormat="0" applyFont="0">
      <alignment wrapText="1"/>
    </xf>
    <xf numFmtId="0" fontId="21" fillId="0" borderId="0" applyNumberFormat="0" applyFont="0">
      <alignment wrapText="1"/>
    </xf>
    <xf numFmtId="0" fontId="21" fillId="0" borderId="0"/>
    <xf numFmtId="0" fontId="21" fillId="0" borderId="0" applyNumberFormat="0" applyFont="0">
      <alignment wrapText="1"/>
    </xf>
    <xf numFmtId="0" fontId="21" fillId="0" borderId="0" applyNumberFormat="0" applyFont="0">
      <alignment wrapText="1"/>
    </xf>
    <xf numFmtId="0" fontId="21" fillId="0" borderId="0"/>
    <xf numFmtId="0" fontId="21" fillId="0" borderId="0" applyNumberFormat="0" applyFont="0">
      <alignment wrapText="1"/>
    </xf>
    <xf numFmtId="0" fontId="83" fillId="7" borderId="0">
      <alignment horizontal="centerContinuous" vertical="center"/>
    </xf>
    <xf numFmtId="0" fontId="225" fillId="8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3" borderId="0"/>
    <xf numFmtId="0" fontId="21" fillId="13" borderId="0"/>
    <xf numFmtId="0" fontId="21" fillId="13" borderId="0"/>
    <xf numFmtId="0" fontId="21" fillId="0" borderId="0"/>
    <xf numFmtId="0" fontId="21" fillId="13" borderId="0"/>
    <xf numFmtId="0" fontId="21" fillId="13" borderId="0"/>
    <xf numFmtId="0" fontId="21" fillId="0" borderId="0"/>
    <xf numFmtId="0" fontId="21" fillId="13" borderId="0"/>
    <xf numFmtId="0" fontId="21" fillId="0" borderId="0"/>
    <xf numFmtId="0" fontId="226" fillId="0" borderId="399" applyNumberFormat="0" applyAlignment="0" applyProtection="0">
      <alignment horizontal="left"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6" fillId="0" borderId="399" applyNumberFormat="0" applyAlignment="0" applyProtection="0">
      <alignment horizontal="left" vertical="center"/>
    </xf>
    <xf numFmtId="0" fontId="226" fillId="0" borderId="514">
      <alignment horizontal="left"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6" fillId="0" borderId="514">
      <alignment horizontal="left" vertical="center"/>
    </xf>
    <xf numFmtId="14" fontId="67" fillId="70" borderId="285">
      <alignment horizontal="center" vertical="center" wrapText="1"/>
    </xf>
    <xf numFmtId="0" fontId="227" fillId="0" borderId="515" applyNumberFormat="0" applyFill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7" fillId="0" borderId="515" applyNumberFormat="0" applyFill="0" applyAlignment="0" applyProtection="0"/>
    <xf numFmtId="0" fontId="21" fillId="0" borderId="0"/>
    <xf numFmtId="0" fontId="228" fillId="0" borderId="516" applyNumberFormat="0" applyFill="0" applyAlignment="0" applyProtection="0"/>
    <xf numFmtId="0" fontId="21" fillId="0" borderId="0"/>
    <xf numFmtId="0" fontId="21" fillId="0" borderId="0"/>
    <xf numFmtId="0" fontId="21" fillId="0" borderId="0"/>
    <xf numFmtId="0" fontId="228" fillId="0" borderId="516" applyNumberFormat="0" applyFill="0" applyAlignment="0" applyProtection="0"/>
    <xf numFmtId="0" fontId="21" fillId="0" borderId="0"/>
    <xf numFmtId="0" fontId="21" fillId="0" borderId="0"/>
    <xf numFmtId="0" fontId="21" fillId="0" borderId="0"/>
    <xf numFmtId="14" fontId="67" fillId="70" borderId="285">
      <alignment horizontal="center" vertical="center" wrapText="1"/>
    </xf>
    <xf numFmtId="0" fontId="229" fillId="0" borderId="517" applyNumberFormat="0" applyFill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2" fillId="0" borderId="0" applyFill="0" applyAlignment="0" applyProtection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2" fillId="0" borderId="0" applyFill="0" applyAlignment="0" applyProtection="0">
      <protection locked="0"/>
    </xf>
    <xf numFmtId="0" fontId="32" fillId="0" borderId="172" applyFill="0" applyAlignment="0" applyProtection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7" fillId="0" borderId="0"/>
    <xf numFmtId="0" fontId="207" fillId="0" borderId="0"/>
    <xf numFmtId="0" fontId="21" fillId="0" borderId="0"/>
    <xf numFmtId="0" fontId="32" fillId="0" borderId="172" applyFill="0" applyAlignment="0" applyProtection="0">
      <protection locked="0"/>
    </xf>
    <xf numFmtId="0" fontId="67" fillId="122" borderId="113">
      <alignment horizontal="center" vertical="center" wrapText="1"/>
      <protection locked="0"/>
    </xf>
    <xf numFmtId="0" fontId="67" fillId="122" borderId="113">
      <alignment horizontal="center" vertical="center" wrapText="1"/>
      <protection locked="0"/>
    </xf>
    <xf numFmtId="0" fontId="21" fillId="0" borderId="0"/>
    <xf numFmtId="0" fontId="21" fillId="0" borderId="0"/>
    <xf numFmtId="0" fontId="20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3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1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31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2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2" fillId="0" borderId="0" applyNumberFormat="0" applyFill="0" applyBorder="0" applyAlignment="0" applyProtection="0">
      <alignment vertical="top"/>
      <protection locked="0"/>
    </xf>
    <xf numFmtId="0" fontId="54" fillId="0" borderId="0">
      <alignment horizontal="left" vertical="center" wrapText="1"/>
    </xf>
    <xf numFmtId="0" fontId="21" fillId="0" borderId="0"/>
    <xf numFmtId="0" fontId="57" fillId="0" borderId="0">
      <alignment horizontal="left" vertical="center" wrapText="1" indent="1"/>
    </xf>
    <xf numFmtId="0" fontId="21" fillId="0" borderId="0"/>
    <xf numFmtId="0" fontId="57" fillId="0" borderId="0">
      <alignment horizontal="left" vertical="center" wrapText="1" indent="3"/>
    </xf>
    <xf numFmtId="0" fontId="21" fillId="0" borderId="0"/>
    <xf numFmtId="0" fontId="21" fillId="0" borderId="0"/>
    <xf numFmtId="0" fontId="233" fillId="92" borderId="507" applyNumberForma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3" fillId="92" borderId="507" applyNumberFormat="0" applyAlignment="0" applyProtection="0"/>
    <xf numFmtId="0" fontId="23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4" fillId="0" borderId="0" applyNumberFormat="0" applyFill="0" applyBorder="0" applyAlignment="0" applyProtection="0">
      <alignment vertical="top"/>
      <protection locked="0"/>
    </xf>
    <xf numFmtId="0" fontId="235" fillId="0" borderId="0">
      <alignment vertical="center"/>
    </xf>
    <xf numFmtId="0" fontId="235" fillId="0" borderId="0">
      <alignment vertical="center"/>
    </xf>
    <xf numFmtId="0" fontId="21" fillId="0" borderId="0"/>
    <xf numFmtId="207" fontId="236" fillId="16" borderId="518" applyAlignment="0">
      <alignment horizontal="left" indent="1"/>
    </xf>
    <xf numFmtId="207" fontId="236" fillId="16" borderId="518" applyAlignment="0">
      <alignment horizontal="left" indent="1"/>
    </xf>
    <xf numFmtId="0" fontId="21" fillId="0" borderId="0"/>
    <xf numFmtId="0" fontId="237" fillId="0" borderId="519" applyNumberFormat="0" applyFill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7" fillId="0" borderId="519" applyNumberFormat="0" applyFill="0" applyAlignment="0" applyProtection="0"/>
    <xf numFmtId="208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1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03" fontId="21" fillId="0" borderId="0" applyFont="0" applyFill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9" fillId="13" borderId="113" applyFont="0" applyBorder="0" applyAlignment="0">
      <alignment horizontal="center" vertical="center"/>
    </xf>
    <xf numFmtId="0" fontId="211" fillId="0" borderId="12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13" fontId="240" fillId="0" borderId="0"/>
    <xf numFmtId="0" fontId="24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40" fillId="0" borderId="0"/>
    <xf numFmtId="0" fontId="21" fillId="0" borderId="0"/>
    <xf numFmtId="0" fontId="21" fillId="0" borderId="0" applyBorder="0"/>
    <xf numFmtId="0" fontId="21" fillId="0" borderId="0"/>
    <xf numFmtId="0" fontId="15" fillId="0" borderId="0" applyBorder="0" applyProtection="0"/>
    <xf numFmtId="0" fontId="21" fillId="0" borderId="0" applyBorder="0"/>
    <xf numFmtId="0" fontId="206" fillId="0" borderId="0"/>
    <xf numFmtId="0" fontId="206" fillId="0" borderId="0"/>
    <xf numFmtId="0" fontId="206" fillId="0" borderId="0"/>
    <xf numFmtId="0" fontId="21" fillId="0" borderId="0"/>
    <xf numFmtId="0" fontId="21" fillId="0" borderId="0" applyBorder="0"/>
    <xf numFmtId="0" fontId="21" fillId="0" borderId="0" applyBorder="0"/>
    <xf numFmtId="0" fontId="65" fillId="0" borderId="0"/>
    <xf numFmtId="0" fontId="21" fillId="0" borderId="0" applyBorder="0"/>
    <xf numFmtId="0" fontId="21" fillId="0" borderId="0" applyBorder="0"/>
    <xf numFmtId="0" fontId="206" fillId="0" borderId="0"/>
    <xf numFmtId="0" fontId="21" fillId="0" borderId="0"/>
    <xf numFmtId="0" fontId="21" fillId="0" borderId="0"/>
    <xf numFmtId="0" fontId="21" fillId="0" borderId="0"/>
    <xf numFmtId="0" fontId="203" fillId="0" borderId="0"/>
    <xf numFmtId="0" fontId="208" fillId="0" borderId="0"/>
    <xf numFmtId="0" fontId="21" fillId="124" borderId="520" applyNumberFormat="0" applyFont="0" applyAlignment="0" applyProtection="0"/>
    <xf numFmtId="214" fontId="242" fillId="0" borderId="0" applyFont="0" applyFill="0" applyBorder="0" applyAlignment="0" applyProtection="0"/>
    <xf numFmtId="215" fontId="242" fillId="0" borderId="0" applyFont="0" applyFill="0" applyBorder="0" applyAlignment="0" applyProtection="0"/>
    <xf numFmtId="216" fontId="240" fillId="0" borderId="0" applyFont="0" applyFill="0" applyBorder="0" applyAlignment="0" applyProtection="0"/>
    <xf numFmtId="217" fontId="240" fillId="0" borderId="0" applyFont="0" applyFill="0" applyBorder="0" applyAlignment="0" applyProtection="0"/>
    <xf numFmtId="0" fontId="243" fillId="118" borderId="521" applyNumberFormat="0" applyAlignment="0" applyProtection="0"/>
    <xf numFmtId="0" fontId="244" fillId="0" borderId="0"/>
    <xf numFmtId="0" fontId="245" fillId="13" borderId="0">
      <alignment vertical="center"/>
    </xf>
    <xf numFmtId="39" fontId="67" fillId="13" borderId="0">
      <alignment vertical="center"/>
    </xf>
    <xf numFmtId="218" fontId="21" fillId="0" borderId="0" applyFont="0" applyFill="0" applyBorder="0" applyAlignment="0" applyProtection="0"/>
    <xf numFmtId="219" fontId="21" fillId="0" borderId="0" applyFont="0" applyFill="0" applyBorder="0" applyAlignment="0" applyProtection="0"/>
    <xf numFmtId="220" fontId="21" fillId="0" borderId="0" applyFont="0" applyFill="0" applyBorder="0" applyAlignment="0" applyProtection="0"/>
    <xf numFmtId="221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3" fontId="21" fillId="0" borderId="0" applyFont="0" applyFill="0" applyBorder="0" applyAlignment="0" applyProtection="0"/>
    <xf numFmtId="224" fontId="21" fillId="0" borderId="0" applyFont="0" applyFill="0" applyBorder="0" applyAlignment="0" applyProtection="0"/>
    <xf numFmtId="225" fontId="21" fillId="0" borderId="0" applyFont="0" applyFill="0" applyBorder="0" applyAlignment="0" applyProtection="0"/>
    <xf numFmtId="226" fontId="21" fillId="0" borderId="0" applyFont="0" applyFill="0" applyBorder="0" applyAlignment="0" applyProtection="0"/>
    <xf numFmtId="9" fontId="65" fillId="0" borderId="0" applyFont="0" applyFill="0" applyBorder="0" applyAlignment="0" applyProtection="0"/>
    <xf numFmtId="9" fontId="246" fillId="0" borderId="0" applyFont="0" applyFill="0" applyBorder="0" applyAlignment="0" applyProtection="0"/>
    <xf numFmtId="9" fontId="240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93" fontId="21" fillId="0" borderId="0" applyFont="0" applyFill="0" applyBorder="0" applyAlignment="0" applyProtection="0"/>
    <xf numFmtId="0" fontId="82" fillId="125" borderId="113">
      <alignment horizontal="centerContinuous" vertical="center" wrapText="1"/>
      <protection locked="0"/>
    </xf>
    <xf numFmtId="4" fontId="16" fillId="14" borderId="521" applyNumberFormat="0" applyProtection="0">
      <alignment vertical="center"/>
    </xf>
    <xf numFmtId="4" fontId="247" fillId="14" borderId="521" applyNumberFormat="0" applyProtection="0">
      <alignment vertical="center"/>
    </xf>
    <xf numFmtId="4" fontId="16" fillId="14" borderId="521" applyNumberFormat="0" applyProtection="0">
      <alignment horizontal="left" vertical="center" indent="1"/>
    </xf>
    <xf numFmtId="4" fontId="16" fillId="14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4" fontId="16" fillId="72" borderId="521" applyNumberFormat="0" applyProtection="0">
      <alignment horizontal="right" vertical="center"/>
    </xf>
    <xf numFmtId="4" fontId="16" fillId="126" borderId="521" applyNumberFormat="0" applyProtection="0">
      <alignment horizontal="right" vertical="center"/>
    </xf>
    <xf numFmtId="4" fontId="16" fillId="119" borderId="521" applyNumberFormat="0" applyProtection="0">
      <alignment horizontal="right" vertical="center"/>
    </xf>
    <xf numFmtId="4" fontId="16" fillId="73" borderId="521" applyNumberFormat="0" applyProtection="0">
      <alignment horizontal="right" vertical="center"/>
    </xf>
    <xf numFmtId="4" fontId="16" fillId="127" borderId="521" applyNumberFormat="0" applyProtection="0">
      <alignment horizontal="right" vertical="center"/>
    </xf>
    <xf numFmtId="4" fontId="16" fillId="128" borderId="521" applyNumberFormat="0" applyProtection="0">
      <alignment horizontal="right" vertical="center"/>
    </xf>
    <xf numFmtId="4" fontId="16" fillId="129" borderId="521" applyNumberFormat="0" applyProtection="0">
      <alignment horizontal="right" vertical="center"/>
    </xf>
    <xf numFmtId="4" fontId="16" fillId="130" borderId="521" applyNumberFormat="0" applyProtection="0">
      <alignment horizontal="right" vertical="center"/>
    </xf>
    <xf numFmtId="4" fontId="16" fillId="20" borderId="521" applyNumberFormat="0" applyProtection="0">
      <alignment horizontal="right" vertical="center"/>
    </xf>
    <xf numFmtId="4" fontId="248" fillId="131" borderId="521" applyNumberFormat="0" applyProtection="0">
      <alignment horizontal="left" vertical="center" indent="1"/>
    </xf>
    <xf numFmtId="4" fontId="16" fillId="132" borderId="522" applyNumberFormat="0" applyProtection="0">
      <alignment horizontal="left" vertical="center" indent="1"/>
    </xf>
    <xf numFmtId="4" fontId="96" fillId="133" borderId="0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32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4" fontId="23" fillId="16" borderId="521" applyNumberFormat="0" applyProtection="0">
      <alignment horizontal="left" vertical="center" indent="1"/>
    </xf>
    <xf numFmtId="0" fontId="21" fillId="16" borderId="521" applyNumberFormat="0" applyProtection="0">
      <alignment horizontal="left" vertical="center" indent="1"/>
    </xf>
    <xf numFmtId="0" fontId="21" fillId="16" borderId="521" applyNumberFormat="0" applyProtection="0">
      <alignment horizontal="left" vertical="center" indent="1"/>
    </xf>
    <xf numFmtId="0" fontId="21" fillId="16" borderId="521" applyNumberFormat="0" applyProtection="0">
      <alignment horizontal="left" vertical="center" indent="1"/>
    </xf>
    <xf numFmtId="0" fontId="21" fillId="134" borderId="521" applyNumberFormat="0" applyProtection="0">
      <alignment horizontal="left" vertical="center" indent="1"/>
    </xf>
    <xf numFmtId="0" fontId="21" fillId="134" borderId="521" applyNumberFormat="0" applyProtection="0">
      <alignment horizontal="left" vertical="center" indent="1"/>
    </xf>
    <xf numFmtId="0" fontId="21" fillId="134" borderId="521" applyNumberFormat="0" applyProtection="0">
      <alignment horizontal="left" vertical="center" indent="1"/>
    </xf>
    <xf numFmtId="0" fontId="21" fillId="13" borderId="521" applyNumberFormat="0" applyProtection="0">
      <alignment horizontal="left" vertical="center" indent="1"/>
    </xf>
    <xf numFmtId="0" fontId="21" fillId="13" borderId="521" applyNumberFormat="0" applyProtection="0">
      <alignment horizontal="left" vertical="center" indent="1"/>
    </xf>
    <xf numFmtId="0" fontId="21" fillId="13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4" fontId="16" fillId="4" borderId="521" applyNumberFormat="0" applyProtection="0">
      <alignment vertical="center"/>
    </xf>
    <xf numFmtId="4" fontId="247" fillId="4" borderId="521" applyNumberFormat="0" applyProtection="0">
      <alignment vertical="center"/>
    </xf>
    <xf numFmtId="4" fontId="16" fillId="4" borderId="521" applyNumberFormat="0" applyProtection="0">
      <alignment horizontal="left" vertical="center" indent="1"/>
    </xf>
    <xf numFmtId="4" fontId="16" fillId="4" borderId="521" applyNumberFormat="0" applyProtection="0">
      <alignment horizontal="left" vertical="center" indent="1"/>
    </xf>
    <xf numFmtId="4" fontId="16" fillId="132" borderId="521" applyNumberFormat="0" applyProtection="0">
      <alignment horizontal="right" vertical="center"/>
    </xf>
    <xf numFmtId="4" fontId="247" fillId="132" borderId="521" applyNumberFormat="0" applyProtection="0">
      <alignment horizontal="right" vertical="center"/>
    </xf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49" fillId="0" borderId="0"/>
    <xf numFmtId="4" fontId="22" fillId="132" borderId="521" applyNumberFormat="0" applyProtection="0">
      <alignment horizontal="right" vertical="center"/>
    </xf>
    <xf numFmtId="0" fontId="178" fillId="0" borderId="0" applyNumberFormat="0" applyFill="0" applyBorder="0" applyAlignment="0" applyProtection="0">
      <alignment horizontal="center"/>
    </xf>
    <xf numFmtId="0" fontId="21" fillId="0" borderId="0"/>
    <xf numFmtId="0" fontId="210" fillId="0" borderId="0"/>
    <xf numFmtId="0" fontId="215" fillId="0" borderId="313"/>
    <xf numFmtId="0" fontId="250" fillId="0" borderId="0" applyFill="0" applyBorder="0" applyProtection="0">
      <alignment horizontal="left" vertical="top"/>
    </xf>
    <xf numFmtId="0" fontId="251" fillId="0" borderId="0" applyNumberFormat="0" applyFill="0" applyBorder="0" applyAlignment="0" applyProtection="0"/>
    <xf numFmtId="0" fontId="20" fillId="0" borderId="523" applyNumberFormat="0" applyFill="0" applyAlignment="0" applyProtection="0"/>
    <xf numFmtId="227" fontId="178" fillId="0" borderId="0">
      <alignment horizontal="left"/>
    </xf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252" fillId="0" borderId="0"/>
    <xf numFmtId="0" fontId="19" fillId="0" borderId="0" applyNumberFormat="0" applyFill="0" applyBorder="0" applyAlignment="0" applyProtection="0"/>
    <xf numFmtId="0" fontId="203" fillId="135" borderId="120">
      <alignment vertical="center"/>
      <protection locked="0"/>
    </xf>
    <xf numFmtId="22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230" fontId="21" fillId="0" borderId="0" applyFont="0" applyFill="0" applyBorder="0" applyAlignment="0" applyProtection="0"/>
    <xf numFmtId="231" fontId="21" fillId="0" borderId="0" applyFont="0" applyFill="0" applyBorder="0" applyAlignment="0" applyProtection="0"/>
    <xf numFmtId="232" fontId="21" fillId="0" borderId="0" applyFont="0" applyFill="0" applyBorder="0" applyAlignment="0" applyProtection="0"/>
    <xf numFmtId="233" fontId="21" fillId="0" borderId="0" applyFont="0" applyFill="0" applyBorder="0" applyAlignment="0" applyProtection="0"/>
    <xf numFmtId="234" fontId="21" fillId="0" borderId="0" applyFont="0" applyFill="0" applyBorder="0" applyAlignment="0" applyProtection="0"/>
    <xf numFmtId="235" fontId="21" fillId="0" borderId="0" applyFont="0" applyFill="0" applyBorder="0" applyAlignment="0" applyProtection="0"/>
    <xf numFmtId="199" fontId="239" fillId="0" borderId="225" applyFont="0" applyFill="0" applyBorder="0" applyAlignment="0">
      <alignment horizontal="centerContinuous"/>
    </xf>
    <xf numFmtId="236" fontId="223" fillId="0" borderId="225" applyFill="0">
      <alignment horizontal="centerContinuous"/>
    </xf>
    <xf numFmtId="0" fontId="203" fillId="136" borderId="113">
      <alignment horizontal="right" wrapText="1"/>
      <protection locked="0"/>
    </xf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0" fontId="58" fillId="117" borderId="0" applyNumberFormat="0" applyBorder="0" applyAlignment="0" applyProtection="0"/>
    <xf numFmtId="237" fontId="210" fillId="0" borderId="524">
      <protection locked="0"/>
    </xf>
    <xf numFmtId="0" fontId="253" fillId="0" borderId="525">
      <alignment horizontal="center"/>
    </xf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17" fillId="118" borderId="507" applyNumberFormat="0" applyAlignment="0" applyProtection="0"/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05" fillId="0" borderId="0" applyNumberFormat="0" applyFill="0" applyBorder="0" applyAlignment="0" applyProtection="0">
      <alignment vertical="top"/>
      <protection locked="0"/>
    </xf>
    <xf numFmtId="0" fontId="213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top"/>
      <protection locked="0"/>
    </xf>
    <xf numFmtId="0" fontId="254" fillId="0" borderId="0" applyNumberFormat="0" applyFill="0" applyBorder="0" applyAlignment="0" applyProtection="0">
      <alignment vertical="top"/>
      <protection locked="0"/>
    </xf>
    <xf numFmtId="14" fontId="255" fillId="0" borderId="526" applyBorder="0">
      <alignment horizontal="center" vertical="center"/>
    </xf>
    <xf numFmtId="14" fontId="210" fillId="0" borderId="0">
      <alignment vertical="center"/>
    </xf>
    <xf numFmtId="167" fontId="240" fillId="0" borderId="0" applyFont="0" applyFill="0" applyBorder="0" applyAlignment="0" applyProtection="0"/>
    <xf numFmtId="207" fontId="67" fillId="13" borderId="0" applyNumberFormat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237" fontId="256" fillId="70" borderId="524"/>
    <xf numFmtId="0" fontId="257" fillId="0" borderId="0">
      <alignment horizontal="left"/>
    </xf>
    <xf numFmtId="0" fontId="259" fillId="13" borderId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0" fillId="0" borderId="523" applyNumberFormat="0" applyFill="0" applyAlignment="0" applyProtection="0"/>
    <xf numFmtId="0" fontId="258" fillId="0" borderId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6" fillId="0" borderId="0"/>
    <xf numFmtId="0" fontId="46" fillId="0" borderId="0"/>
    <xf numFmtId="0" fontId="2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1" fillId="0" borderId="0"/>
    <xf numFmtId="0" fontId="241" fillId="0" borderId="0"/>
    <xf numFmtId="0" fontId="241" fillId="0" borderId="0"/>
    <xf numFmtId="0" fontId="15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40" fillId="0" borderId="0"/>
    <xf numFmtId="0" fontId="206" fillId="0" borderId="0"/>
    <xf numFmtId="0" fontId="65" fillId="0" borderId="0"/>
    <xf numFmtId="0" fontId="21" fillId="0" borderId="0"/>
    <xf numFmtId="0" fontId="15" fillId="0" borderId="0"/>
    <xf numFmtId="0" fontId="21" fillId="0" borderId="0"/>
    <xf numFmtId="0" fontId="260" fillId="0" borderId="0"/>
    <xf numFmtId="0" fontId="21" fillId="0" borderId="0"/>
    <xf numFmtId="0" fontId="2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41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0" fontId="214" fillId="80" borderId="0" applyNumberFormat="0" applyBorder="0" applyAlignment="0" applyProtection="0"/>
    <xf numFmtId="238" fontId="261" fillId="14" borderId="337" applyNumberFormat="0" applyBorder="0" applyAlignment="0">
      <alignment vertical="center"/>
      <protection locked="0"/>
    </xf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21" fillId="0" borderId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0" fontId="15" fillId="124" borderId="520" applyNumberFormat="0" applyFont="0" applyAlignment="0" applyProtection="0"/>
    <xf numFmtId="9" fontId="262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60" fillId="0" borderId="0" applyFont="0" applyFill="0" applyBorder="0" applyAlignment="0" applyProtection="0"/>
    <xf numFmtId="9" fontId="240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37" fillId="0" borderId="519" applyNumberFormat="0" applyFill="0" applyAlignment="0" applyProtection="0"/>
    <xf numFmtId="0" fontId="210" fillId="0" borderId="0"/>
    <xf numFmtId="0" fontId="26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53" fillId="0" borderId="0"/>
    <xf numFmtId="0" fontId="262" fillId="0" borderId="0" applyFont="0" applyFill="0" applyBorder="0" applyAlignment="0" applyProtection="0"/>
    <xf numFmtId="3" fontId="264" fillId="0" borderId="439" applyFont="0" applyBorder="0">
      <alignment horizontal="right"/>
      <protection locked="0"/>
    </xf>
    <xf numFmtId="0" fontId="262" fillId="0" borderId="0" applyFont="0" applyFill="0" applyBorder="0" applyAlignment="0" applyProtection="0"/>
    <xf numFmtId="0" fontId="21" fillId="0" borderId="0" applyFont="0" applyFill="0" applyBorder="0" applyAlignment="0" applyProtection="0"/>
    <xf numFmtId="168" fontId="240" fillId="0" borderId="0" applyFont="0" applyFill="0" applyBorder="0" applyAlignment="0" applyProtection="0"/>
    <xf numFmtId="168" fontId="240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25" fillId="83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0" fontId="21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9" fontId="21" fillId="0" borderId="0" applyFont="0" applyFill="0" applyBorder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25" fillId="83" borderId="0" applyNumberFormat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195" fontId="21" fillId="0" borderId="509" applyFont="0" applyFill="0" applyBorder="0" applyProtection="0">
      <alignment horizontal="center"/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Border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Border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Border="0"/>
    <xf numFmtId="0" fontId="21" fillId="0" borderId="0" applyBorder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Border="0"/>
    <xf numFmtId="0" fontId="21" fillId="0" borderId="0" applyBorder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24" borderId="520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18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1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1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2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4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6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6" borderId="521" applyNumberFormat="0" applyProtection="0">
      <alignment horizontal="left" vertical="center" indent="1"/>
    </xf>
    <xf numFmtId="0" fontId="21" fillId="16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6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34" borderId="521" applyNumberFormat="0" applyProtection="0">
      <alignment horizontal="left" vertical="center" indent="1"/>
    </xf>
    <xf numFmtId="0" fontId="21" fillId="134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34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3" borderId="521" applyNumberFormat="0" applyProtection="0">
      <alignment horizontal="left" vertical="center" indent="1"/>
    </xf>
    <xf numFmtId="0" fontId="21" fillId="13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13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71" borderId="521" applyNumberFormat="0" applyProtection="0">
      <alignment horizontal="left" vertical="center" inden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28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30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31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32" fontId="21" fillId="0" borderId="0" applyFont="0" applyFill="0" applyBorder="0" applyAlignment="0" applyProtection="0"/>
    <xf numFmtId="23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34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3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 applyFont="0" applyFill="0" applyBorder="0" applyAlignment="0" applyProtection="0"/>
    <xf numFmtId="0" fontId="225" fillId="83" borderId="0" applyNumberFormat="0" applyBorder="0" applyAlignment="0" applyProtection="0"/>
    <xf numFmtId="0" fontId="15" fillId="0" borderId="0"/>
    <xf numFmtId="0" fontId="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98" fillId="0" borderId="0"/>
    <xf numFmtId="0" fontId="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4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2" fillId="0" borderId="0"/>
    <xf numFmtId="0" fontId="21" fillId="0" borderId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25" fillId="8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4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1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240" fillId="0" borderId="0"/>
    <xf numFmtId="0" fontId="21" fillId="0" borderId="0" applyBorder="0"/>
    <xf numFmtId="0" fontId="21" fillId="0" borderId="0"/>
    <xf numFmtId="0" fontId="206" fillId="0" borderId="0"/>
    <xf numFmtId="9" fontId="65" fillId="0" borderId="0" applyFont="0" applyFill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/>
    <xf numFmtId="0" fontId="46" fillId="0" borderId="0"/>
    <xf numFmtId="0" fontId="2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40" fillId="0" borderId="0"/>
    <xf numFmtId="0" fontId="23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1" fillId="0" borderId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9" fontId="260" fillId="0" borderId="0" applyFont="0" applyFill="0" applyBorder="0" applyAlignment="0" applyProtection="0"/>
    <xf numFmtId="9" fontId="240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 applyFont="0" applyFill="0" applyBorder="0" applyAlignment="0" applyProtection="0"/>
    <xf numFmtId="0" fontId="225" fillId="83" borderId="0" applyNumberFormat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1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15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41" fillId="0" borderId="0"/>
    <xf numFmtId="9" fontId="206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1" fillId="0" borderId="0"/>
    <xf numFmtId="0" fontId="2" fillId="0" borderId="0"/>
    <xf numFmtId="9" fontId="21" fillId="0" borderId="0" applyFont="0" applyFill="0" applyBorder="0" applyAlignment="0" applyProtection="0"/>
    <xf numFmtId="0" fontId="15" fillId="0" borderId="0"/>
    <xf numFmtId="0" fontId="15" fillId="0" borderId="0"/>
    <xf numFmtId="0" fontId="240" fillId="0" borderId="0"/>
    <xf numFmtId="0" fontId="20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15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40" fillId="0" borderId="0"/>
    <xf numFmtId="0" fontId="21" fillId="0" borderId="0" applyBorder="0"/>
    <xf numFmtId="0" fontId="21" fillId="0" borderId="0"/>
    <xf numFmtId="0" fontId="206" fillId="0" borderId="0"/>
    <xf numFmtId="9" fontId="65" fillId="0" borderId="0" applyFont="0" applyFill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6" fillId="0" borderId="0"/>
    <xf numFmtId="0" fontId="46" fillId="0" borderId="0"/>
    <xf numFmtId="0" fontId="2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40" fillId="0" borderId="0"/>
    <xf numFmtId="0" fontId="23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9" fontId="260" fillId="0" borderId="0" applyFont="0" applyFill="0" applyBorder="0" applyAlignment="0" applyProtection="0"/>
    <xf numFmtId="9" fontId="240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 applyFont="0" applyFill="0" applyBorder="0" applyAlignment="0" applyProtection="0"/>
    <xf numFmtId="0" fontId="225" fillId="8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9" fontId="21" fillId="0" borderId="0" applyFont="0" applyFill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15" fillId="0" borderId="0"/>
    <xf numFmtId="0" fontId="21" fillId="0" borderId="0"/>
    <xf numFmtId="0" fontId="24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41" fillId="0" borderId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5" fontId="21" fillId="0" borderId="509" applyFont="0" applyFill="0" applyBorder="0" applyProtection="0">
      <alignment horizontal="center"/>
      <protection locked="0"/>
    </xf>
    <xf numFmtId="228" fontId="21" fillId="0" borderId="0" applyFont="0" applyFill="0" applyBorder="0" applyAlignment="0" applyProtection="0"/>
    <xf numFmtId="232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21" fillId="0" borderId="0" applyFont="0" applyFill="0" applyBorder="0" applyAlignment="0" applyProtection="0"/>
    <xf numFmtId="0" fontId="2" fillId="0" borderId="0"/>
    <xf numFmtId="0" fontId="21" fillId="0" borderId="0"/>
    <xf numFmtId="195" fontId="21" fillId="0" borderId="509" applyFont="0" applyFill="0" applyBorder="0" applyProtection="0">
      <alignment horizontal="center"/>
      <protection locked="0"/>
    </xf>
    <xf numFmtId="232" fontId="21" fillId="0" borderId="0" applyFont="0" applyFill="0" applyBorder="0" applyAlignment="0" applyProtection="0"/>
    <xf numFmtId="228" fontId="21" fillId="0" borderId="0" applyFont="0" applyFill="0" applyBorder="0" applyAlignment="0" applyProtection="0"/>
    <xf numFmtId="228" fontId="21" fillId="0" borderId="0" applyFont="0" applyFill="0" applyBorder="0" applyAlignment="0" applyProtection="0"/>
    <xf numFmtId="232" fontId="21" fillId="0" borderId="0" applyFont="0" applyFill="0" applyBorder="0" applyAlignment="0" applyProtection="0"/>
    <xf numFmtId="0" fontId="2" fillId="0" borderId="0"/>
    <xf numFmtId="195" fontId="21" fillId="0" borderId="509" applyFont="0" applyFill="0" applyBorder="0" applyProtection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15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15" fillId="0" borderId="0" applyFont="0" applyFill="0" applyBorder="0" applyAlignment="0" applyProtection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0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15" fillId="0" borderId="0"/>
    <xf numFmtId="0" fontId="21" fillId="0" borderId="0"/>
    <xf numFmtId="0" fontId="241" fillId="0" borderId="0"/>
    <xf numFmtId="0" fontId="21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1" fillId="0" borderId="0" applyFont="0" applyFill="0" applyBorder="0" applyAlignment="0" applyProtection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15" fillId="0" borderId="0"/>
    <xf numFmtId="0" fontId="2" fillId="0" borderId="0"/>
    <xf numFmtId="0" fontId="188" fillId="0" borderId="0"/>
    <xf numFmtId="0" fontId="2" fillId="0" borderId="0"/>
    <xf numFmtId="0" fontId="21" fillId="0" borderId="0"/>
    <xf numFmtId="0" fontId="2" fillId="0" borderId="0"/>
    <xf numFmtId="0" fontId="15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40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15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77" borderId="0" applyNumberFormat="0" applyBorder="0" applyAlignment="0" applyProtection="0"/>
    <xf numFmtId="0" fontId="15" fillId="80" borderId="0" applyNumberFormat="0" applyBorder="0" applyAlignment="0" applyProtection="0"/>
    <xf numFmtId="0" fontId="15" fillId="83" borderId="0" applyNumberFormat="0" applyBorder="0" applyAlignment="0" applyProtection="0"/>
    <xf numFmtId="0" fontId="15" fillId="86" borderId="0" applyNumberFormat="0" applyBorder="0" applyAlignment="0" applyProtection="0"/>
    <xf numFmtId="0" fontId="15" fillId="89" borderId="0" applyNumberFormat="0" applyBorder="0" applyAlignment="0" applyProtection="0"/>
    <xf numFmtId="0" fontId="15" fillId="92" borderId="0" applyNumberFormat="0" applyBorder="0" applyAlignment="0" applyProtection="0"/>
    <xf numFmtId="0" fontId="15" fillId="95" borderId="0" applyNumberFormat="0" applyBorder="0" applyAlignment="0" applyProtection="0"/>
    <xf numFmtId="0" fontId="15" fillId="97" borderId="0" applyNumberFormat="0" applyBorder="0" applyAlignment="0" applyProtection="0"/>
    <xf numFmtId="0" fontId="15" fillId="99" borderId="0" applyNumberFormat="0" applyBorder="0" applyAlignment="0" applyProtection="0"/>
    <xf numFmtId="0" fontId="15" fillId="86" borderId="0" applyNumberFormat="0" applyBorder="0" applyAlignment="0" applyProtection="0"/>
    <xf numFmtId="0" fontId="15" fillId="95" borderId="0" applyNumberFormat="0" applyBorder="0" applyAlignment="0" applyProtection="0"/>
    <xf numFmtId="0" fontId="15" fillId="101" borderId="0" applyNumberFormat="0" applyBorder="0" applyAlignment="0" applyProtection="0"/>
    <xf numFmtId="0" fontId="58" fillId="103" borderId="0" applyNumberFormat="0" applyBorder="0" applyAlignment="0" applyProtection="0"/>
    <xf numFmtId="0" fontId="58" fillId="97" borderId="0" applyNumberFormat="0" applyBorder="0" applyAlignment="0" applyProtection="0"/>
    <xf numFmtId="0" fontId="58" fillId="99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 applyBorder="0"/>
    <xf numFmtId="0" fontId="21" fillId="0" borderId="0"/>
    <xf numFmtId="0" fontId="206" fillId="0" borderId="0"/>
    <xf numFmtId="9" fontId="65" fillId="0" borderId="0" applyFont="0" applyFill="0" applyBorder="0" applyAlignment="0" applyProtection="0"/>
    <xf numFmtId="0" fontId="58" fillId="114" borderId="0" applyNumberFormat="0" applyBorder="0" applyAlignment="0" applyProtection="0"/>
    <xf numFmtId="0" fontId="58" fillId="115" borderId="0" applyNumberFormat="0" applyBorder="0" applyAlignment="0" applyProtection="0"/>
    <xf numFmtId="0" fontId="58" fillId="116" borderId="0" applyNumberFormat="0" applyBorder="0" applyAlignment="0" applyProtection="0"/>
    <xf numFmtId="0" fontId="58" fillId="105" borderId="0" applyNumberFormat="0" applyBorder="0" applyAlignment="0" applyProtection="0"/>
    <xf numFmtId="0" fontId="58" fillId="108" borderId="0" applyNumberFormat="0" applyBorder="0" applyAlignment="0" applyProtection="0"/>
    <xf numFmtId="0" fontId="58" fillId="117" borderId="0" applyNumberFormat="0" applyBorder="0" applyAlignment="0" applyProtection="0"/>
    <xf numFmtId="0" fontId="233" fillId="92" borderId="507" applyNumberFormat="0" applyAlignment="0" applyProtection="0"/>
    <xf numFmtId="0" fontId="243" fillId="118" borderId="521" applyNumberFormat="0" applyAlignment="0" applyProtection="0"/>
    <xf numFmtId="0" fontId="217" fillId="118" borderId="507" applyNumberFormat="0" applyAlignment="0" applyProtection="0"/>
    <xf numFmtId="0" fontId="227" fillId="0" borderId="515" applyNumberFormat="0" applyFill="0" applyAlignment="0" applyProtection="0"/>
    <xf numFmtId="0" fontId="228" fillId="0" borderId="516" applyNumberFormat="0" applyFill="0" applyAlignment="0" applyProtection="0"/>
    <xf numFmtId="0" fontId="229" fillId="0" borderId="517" applyNumberFormat="0" applyFill="0" applyAlignment="0" applyProtection="0"/>
    <xf numFmtId="0" fontId="229" fillId="0" borderId="0" applyNumberFormat="0" applyFill="0" applyBorder="0" applyAlignment="0" applyProtection="0"/>
    <xf numFmtId="0" fontId="20" fillId="0" borderId="523" applyNumberFormat="0" applyFill="0" applyAlignment="0" applyProtection="0"/>
    <xf numFmtId="0" fontId="18" fillId="120" borderId="508" applyNumberFormat="0" applyAlignment="0" applyProtection="0"/>
    <xf numFmtId="0" fontId="251" fillId="0" borderId="0" applyNumberFormat="0" applyFill="0" applyBorder="0" applyAlignment="0" applyProtection="0"/>
    <xf numFmtId="0" fontId="238" fillId="12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6" fillId="0" borderId="0"/>
    <xf numFmtId="0" fontId="46" fillId="0" borderId="0"/>
    <xf numFmtId="0" fontId="2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40" fillId="0" borderId="0"/>
    <xf numFmtId="0" fontId="23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41" fillId="0" borderId="0"/>
    <xf numFmtId="0" fontId="21" fillId="0" borderId="0"/>
    <xf numFmtId="0" fontId="21" fillId="0" borderId="0"/>
    <xf numFmtId="0" fontId="214" fillId="80" borderId="0" applyNumberFormat="0" applyBorder="0" applyAlignment="0" applyProtection="0"/>
    <xf numFmtId="0" fontId="224" fillId="0" borderId="0" applyNumberFormat="0" applyFill="0" applyBorder="0" applyAlignment="0" applyProtection="0"/>
    <xf numFmtId="0" fontId="15" fillId="124" borderId="520" applyNumberFormat="0" applyFont="0" applyAlignment="0" applyProtection="0"/>
    <xf numFmtId="9" fontId="260" fillId="0" borderId="0" applyFont="0" applyFill="0" applyBorder="0" applyAlignment="0" applyProtection="0"/>
    <xf numFmtId="9" fontId="240" fillId="0" borderId="0" applyFont="0" applyFill="0" applyBorder="0" applyAlignment="0" applyProtection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37" fillId="0" borderId="51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 applyFont="0" applyFill="0" applyBorder="0" applyAlignment="0" applyProtection="0"/>
    <xf numFmtId="0" fontId="225" fillId="8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9" fontId="21" fillId="0" borderId="0" applyFont="0" applyFill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1" fillId="0" borderId="0"/>
    <xf numFmtId="0" fontId="188" fillId="0" borderId="0"/>
    <xf numFmtId="0" fontId="21" fillId="0" borderId="0"/>
    <xf numFmtId="0" fontId="15" fillId="0" borderId="0"/>
    <xf numFmtId="0" fontId="15" fillId="0" borderId="0"/>
    <xf numFmtId="0" fontId="206" fillId="0" borderId="0"/>
    <xf numFmtId="0" fontId="21" fillId="0" borderId="0"/>
    <xf numFmtId="0" fontId="241" fillId="0" borderId="0"/>
    <xf numFmtId="9" fontId="20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41" fillId="0" borderId="0"/>
    <xf numFmtId="9" fontId="206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9" fontId="21" fillId="0" borderId="0" applyFont="0" applyFill="0" applyBorder="0" applyAlignment="0" applyProtection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1" fillId="0" borderId="0"/>
    <xf numFmtId="0" fontId="241" fillId="0" borderId="0"/>
    <xf numFmtId="9" fontId="206" fillId="0" borderId="0" applyFont="0" applyFill="0" applyBorder="0" applyAlignment="0" applyProtection="0"/>
    <xf numFmtId="9" fontId="206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" fillId="0" borderId="0"/>
    <xf numFmtId="9" fontId="21" fillId="0" borderId="0" applyFont="0" applyFill="0" applyBorder="0" applyAlignment="0" applyProtection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15" fillId="0" borderId="0"/>
    <xf numFmtId="0" fontId="21" fillId="0" borderId="0"/>
    <xf numFmtId="0" fontId="24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1" fillId="0" borderId="0"/>
    <xf numFmtId="0" fontId="15" fillId="0" borderId="0"/>
    <xf numFmtId="0" fontId="21" fillId="0" borderId="0"/>
    <xf numFmtId="0" fontId="21" fillId="0" borderId="0"/>
    <xf numFmtId="0" fontId="15" fillId="0" borderId="0"/>
    <xf numFmtId="0" fontId="15" fillId="0" borderId="0"/>
    <xf numFmtId="0" fontId="21" fillId="0" borderId="0"/>
    <xf numFmtId="0" fontId="21" fillId="0" borderId="0"/>
    <xf numFmtId="0" fontId="206" fillId="0" borderId="0"/>
    <xf numFmtId="0" fontId="21" fillId="0" borderId="0"/>
    <xf numFmtId="0" fontId="241" fillId="0" borderId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1" fillId="0" borderId="0"/>
    <xf numFmtId="0" fontId="15" fillId="0" borderId="0"/>
    <xf numFmtId="0" fontId="240" fillId="0" borderId="0"/>
    <xf numFmtId="0" fontId="266" fillId="0" borderId="506">
      <protection locked="0"/>
    </xf>
    <xf numFmtId="0" fontId="21" fillId="0" borderId="0"/>
    <xf numFmtId="0" fontId="2" fillId="0" borderId="0"/>
    <xf numFmtId="0" fontId="2" fillId="0" borderId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" fillId="0" borderId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162" fillId="0" borderId="0" applyNumberFormat="0" applyFill="0" applyBorder="0" applyAlignment="0" applyProtection="0"/>
    <xf numFmtId="0" fontId="15" fillId="41" borderId="421" applyNumberFormat="0" applyFont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41" borderId="421" applyNumberFormat="0" applyFont="0" applyAlignment="0" applyProtection="0"/>
    <xf numFmtId="0" fontId="162" fillId="0" borderId="0" applyNumberFormat="0" applyFill="0" applyBorder="0" applyAlignment="0" applyProtection="0"/>
    <xf numFmtId="42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69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014">
    <xf numFmtId="0" fontId="0" fillId="0" borderId="0" xfId="0"/>
    <xf numFmtId="0" fontId="177" fillId="0" borderId="303" xfId="196" applyBorder="1" applyAlignment="1" applyProtection="1">
      <alignment horizontal="left"/>
    </xf>
    <xf numFmtId="0" fontId="177" fillId="0" borderId="0" xfId="196" applyProtection="1"/>
    <xf numFmtId="0" fontId="19" fillId="0" borderId="1" xfId="0" applyFont="1" applyBorder="1" applyProtection="1"/>
    <xf numFmtId="192" fontId="0" fillId="0" borderId="0" xfId="0" applyNumberFormat="1" applyProtection="1"/>
    <xf numFmtId="0" fontId="0" fillId="0" borderId="1" xfId="0" applyFont="1" applyBorder="1" applyProtection="1"/>
    <xf numFmtId="0" fontId="19" fillId="0" borderId="1" xfId="0" applyFont="1" applyBorder="1" applyProtection="1"/>
    <xf numFmtId="0" fontId="22" fillId="0" borderId="2" xfId="0" applyFont="1" applyBorder="1" applyProtection="1"/>
    <xf numFmtId="0" fontId="23" fillId="0" borderId="0" xfId="0" applyFont="1" applyProtection="1"/>
    <xf numFmtId="0" fontId="22" fillId="0" borderId="2" xfId="0" applyNumberFormat="1" applyFont="1" applyFill="1" applyBorder="1" applyAlignment="1" applyProtection="1"/>
    <xf numFmtId="0" fontId="23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3" fillId="0" borderId="0" xfId="0" applyNumberFormat="1" applyFont="1" applyFill="1" applyAlignment="1" applyProtection="1"/>
    <xf numFmtId="14" fontId="25" fillId="2" borderId="3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169" fontId="23" fillId="0" borderId="6" xfId="0" applyNumberFormat="1" applyFont="1" applyFill="1" applyBorder="1" applyAlignment="1" applyProtection="1">
      <alignment horizontal="right"/>
    </xf>
    <xf numFmtId="0" fontId="23" fillId="0" borderId="0" xfId="0" quotePrefix="1" applyFont="1" applyFill="1" applyProtection="1"/>
    <xf numFmtId="169" fontId="23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3" fillId="0" borderId="0" xfId="0" applyNumberFormat="1" applyFont="1" applyFill="1" applyBorder="1" applyAlignment="1" applyProtection="1"/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2" fillId="0" borderId="1" xfId="0" applyFont="1" applyBorder="1" applyProtection="1"/>
    <xf numFmtId="0" fontId="22" fillId="0" borderId="0" xfId="0" applyFont="1" applyBorder="1" applyProtection="1"/>
    <xf numFmtId="0" fontId="23" fillId="0" borderId="0" xfId="0" applyNumberFormat="1" applyFont="1" applyProtection="1"/>
    <xf numFmtId="49" fontId="25" fillId="2" borderId="8" xfId="0" applyNumberFormat="1" applyFont="1" applyFill="1" applyBorder="1" applyAlignment="1" applyProtection="1">
      <alignment horizontal="center" vertical="center" wrapText="1"/>
    </xf>
    <xf numFmtId="49" fontId="23" fillId="3" borderId="9" xfId="0" applyNumberFormat="1" applyFont="1" applyFill="1" applyBorder="1" applyAlignment="1" applyProtection="1">
      <alignment horizontal="right" wrapText="1" shrinkToFit="1"/>
      <protection locked="0"/>
    </xf>
    <xf numFmtId="0" fontId="25" fillId="2" borderId="8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7" fillId="0" borderId="10" xfId="0" applyFont="1" applyBorder="1" applyProtection="1"/>
    <xf numFmtId="0" fontId="22" fillId="0" borderId="2" xfId="0" applyNumberFormat="1" applyFont="1" applyFill="1" applyBorder="1" applyAlignment="1" applyProtection="1">
      <alignment horizontal="center"/>
    </xf>
    <xf numFmtId="0" fontId="25" fillId="2" borderId="11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Protection="1"/>
    <xf numFmtId="49" fontId="23" fillId="0" borderId="0" xfId="0" applyNumberFormat="1" applyFont="1" applyFill="1" applyBorder="1" applyAlignment="1" applyProtection="1">
      <alignment horizontal="center" vertical="center"/>
    </xf>
    <xf numFmtId="49" fontId="23" fillId="0" borderId="0" xfId="0" applyNumberFormat="1" applyFont="1" applyFill="1" applyAlignment="1" applyProtection="1">
      <alignment horizontal="center" vertical="center"/>
    </xf>
    <xf numFmtId="0" fontId="29" fillId="0" borderId="6" xfId="0" applyNumberFormat="1" applyFont="1" applyFill="1" applyBorder="1" applyAlignment="1" applyProtection="1">
      <alignment horizontal="center" vertical="center" wrapText="1"/>
    </xf>
    <xf numFmtId="0" fontId="29" fillId="0" borderId="9" xfId="0" applyNumberFormat="1" applyFont="1" applyFill="1" applyBorder="1" applyAlignment="1" applyProtection="1">
      <alignment horizontal="center" vertical="center" wrapText="1"/>
    </xf>
    <xf numFmtId="49" fontId="19" fillId="0" borderId="1" xfId="0" applyNumberFormat="1" applyFont="1" applyBorder="1" applyProtection="1"/>
    <xf numFmtId="0" fontId="24" fillId="0" borderId="0" xfId="0" applyNumberFormat="1" applyFont="1" applyFill="1" applyAlignment="1" applyProtection="1"/>
    <xf numFmtId="49" fontId="25" fillId="2" borderId="12" xfId="0" applyNumberFormat="1" applyFont="1" applyFill="1" applyBorder="1" applyAlignment="1" applyProtection="1">
      <alignment horizontal="center" vertical="center" wrapText="1"/>
    </xf>
    <xf numFmtId="173" fontId="23" fillId="0" borderId="13" xfId="0" applyNumberFormat="1" applyFont="1" applyBorder="1" applyAlignment="1" applyProtection="1">
      <alignment horizontal="right"/>
    </xf>
    <xf numFmtId="0" fontId="0" fillId="0" borderId="14" xfId="0" applyNumberFormat="1" applyFont="1" applyFill="1" applyBorder="1" applyAlignment="1" applyProtection="1">
      <alignment horizontal="left" vertical="center" wrapText="1"/>
    </xf>
    <xf numFmtId="0" fontId="0" fillId="0" borderId="9" xfId="0" applyNumberFormat="1" applyFont="1" applyFill="1" applyBorder="1" applyAlignment="1" applyProtection="1">
      <alignment horizontal="left" vertical="center" wrapText="1"/>
    </xf>
    <xf numFmtId="173" fontId="23" fillId="0" borderId="14" xfId="0" applyNumberFormat="1" applyFont="1" applyBorder="1" applyAlignment="1" applyProtection="1">
      <alignment horizontal="right"/>
    </xf>
    <xf numFmtId="173" fontId="23" fillId="0" borderId="6" xfId="0" applyNumberFormat="1" applyFont="1" applyBorder="1" applyAlignment="1" applyProtection="1">
      <alignment horizontal="right"/>
    </xf>
    <xf numFmtId="173" fontId="23" fillId="0" borderId="9" xfId="0" applyNumberFormat="1" applyFont="1" applyBorder="1" applyAlignment="1" applyProtection="1">
      <alignment horizontal="right"/>
    </xf>
    <xf numFmtId="49" fontId="23" fillId="3" borderId="15" xfId="0" applyNumberFormat="1" applyFont="1" applyFill="1" applyBorder="1" applyAlignment="1" applyProtection="1">
      <alignment horizontal="right" wrapText="1" shrinkToFit="1"/>
      <protection locked="0"/>
    </xf>
    <xf numFmtId="0" fontId="0" fillId="0" borderId="14" xfId="0" applyNumberFormat="1" applyFont="1" applyFill="1" applyBorder="1" applyAlignment="1" applyProtection="1">
      <alignment horizontal="left" vertical="center" wrapText="1" indent="2"/>
    </xf>
    <xf numFmtId="0" fontId="23" fillId="0" borderId="6" xfId="0" applyFont="1" applyBorder="1" applyProtection="1"/>
    <xf numFmtId="173" fontId="23" fillId="0" borderId="9" xfId="0" applyNumberFormat="1" applyFont="1" applyFill="1" applyBorder="1" applyAlignment="1" applyProtection="1">
      <alignment horizontal="right"/>
    </xf>
    <xf numFmtId="0" fontId="0" fillId="0" borderId="16" xfId="0" applyNumberFormat="1" applyFont="1" applyFill="1" applyBorder="1" applyAlignment="1" applyProtection="1">
      <alignment horizontal="left" vertical="center" wrapText="1"/>
    </xf>
    <xf numFmtId="0" fontId="0" fillId="0" borderId="17" xfId="0" applyNumberFormat="1" applyFont="1" applyFill="1" applyBorder="1" applyAlignment="1" applyProtection="1">
      <alignment horizontal="left" vertical="center" wrapText="1"/>
    </xf>
    <xf numFmtId="49" fontId="23" fillId="3" borderId="18" xfId="0" applyNumberFormat="1" applyFont="1" applyFill="1" applyBorder="1" applyAlignment="1" applyProtection="1">
      <alignment horizontal="right" wrapText="1" shrinkToFit="1"/>
      <protection locked="0"/>
    </xf>
    <xf numFmtId="0" fontId="0" fillId="0" borderId="19" xfId="0" applyFont="1" applyBorder="1" applyAlignment="1" applyProtection="1">
      <alignment horizontal="left" vertical="center" wrapText="1"/>
    </xf>
    <xf numFmtId="173" fontId="23" fillId="0" borderId="20" xfId="0" applyNumberFormat="1" applyFont="1" applyBorder="1" applyAlignment="1" applyProtection="1">
      <alignment horizontal="right"/>
    </xf>
    <xf numFmtId="175" fontId="23" fillId="3" borderId="21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20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19" xfId="0" applyNumberFormat="1" applyFont="1" applyFill="1" applyBorder="1" applyAlignment="1" applyProtection="1">
      <alignment horizontal="right" wrapText="1" shrinkToFit="1"/>
      <protection locked="0"/>
    </xf>
    <xf numFmtId="0" fontId="0" fillId="0" borderId="22" xfId="0" applyFont="1" applyBorder="1" applyAlignment="1" applyProtection="1">
      <alignment horizontal="left" vertical="center" wrapText="1"/>
    </xf>
    <xf numFmtId="175" fontId="23" fillId="3" borderId="23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24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22" xfId="0" applyNumberFormat="1" applyFont="1" applyFill="1" applyBorder="1" applyAlignment="1" applyProtection="1">
      <alignment horizontal="right" wrapText="1" shrinkToFit="1"/>
      <protection locked="0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4" fillId="0" borderId="25" xfId="0" applyNumberFormat="1" applyFont="1" applyFill="1" applyBorder="1" applyAlignment="1" applyProtection="1">
      <alignment horizontal="left"/>
    </xf>
    <xf numFmtId="169" fontId="23" fillId="0" borderId="26" xfId="0" applyNumberFormat="1" applyFont="1" applyFill="1" applyBorder="1" applyAlignment="1" applyProtection="1">
      <alignment horizontal="right"/>
    </xf>
    <xf numFmtId="169" fontId="23" fillId="3" borderId="26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27" xfId="0" applyNumberFormat="1" applyFont="1" applyFill="1" applyBorder="1" applyAlignment="1" applyProtection="1">
      <alignment horizontal="right" wrapText="1" shrinkToFit="1"/>
      <protection locked="0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0" fontId="25" fillId="2" borderId="29" xfId="0" applyNumberFormat="1" applyFont="1" applyFill="1" applyBorder="1" applyAlignment="1" applyProtection="1">
      <alignment horizontal="center" vertical="center" wrapText="1"/>
    </xf>
    <xf numFmtId="49" fontId="25" fillId="2" borderId="30" xfId="0" applyNumberFormat="1" applyFont="1" applyFill="1" applyBorder="1" applyAlignment="1" applyProtection="1">
      <alignment horizontal="center" vertical="center" wrapText="1"/>
    </xf>
    <xf numFmtId="0" fontId="27" fillId="0" borderId="0" xfId="0" applyFont="1"/>
    <xf numFmtId="0" fontId="25" fillId="2" borderId="31" xfId="0" applyNumberFormat="1" applyFont="1" applyFill="1" applyBorder="1" applyAlignment="1" applyProtection="1">
      <alignment horizontal="center" vertical="center" wrapText="1"/>
    </xf>
    <xf numFmtId="49" fontId="23" fillId="0" borderId="32" xfId="0" applyNumberFormat="1" applyFont="1" applyFill="1" applyBorder="1" applyAlignment="1" applyProtection="1">
      <alignment horizontal="center"/>
    </xf>
    <xf numFmtId="49" fontId="23" fillId="3" borderId="32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27" xfId="0" applyNumberFormat="1" applyFont="1" applyFill="1" applyBorder="1" applyAlignment="1" applyProtection="1">
      <alignment vertical="center"/>
      <protection locked="0"/>
    </xf>
    <xf numFmtId="49" fontId="23" fillId="3" borderId="33" xfId="0" applyNumberFormat="1" applyFont="1" applyFill="1" applyBorder="1" applyAlignment="1" applyProtection="1">
      <alignment vertical="center"/>
      <protection locked="0"/>
    </xf>
    <xf numFmtId="49" fontId="24" fillId="0" borderId="25" xfId="0" applyNumberFormat="1" applyFont="1" applyFill="1" applyBorder="1" applyAlignment="1" applyProtection="1">
      <alignment horizontal="left"/>
    </xf>
    <xf numFmtId="49" fontId="23" fillId="0" borderId="25" xfId="0" applyNumberFormat="1" applyFont="1" applyFill="1" applyBorder="1" applyAlignment="1" applyProtection="1">
      <alignment horizontal="left" wrapText="1" indent="1"/>
    </xf>
    <xf numFmtId="49" fontId="24" fillId="0" borderId="25" xfId="0" applyNumberFormat="1" applyFont="1" applyFill="1" applyBorder="1" applyAlignment="1" applyProtection="1">
      <alignment horizontal="left" wrapText="1"/>
    </xf>
    <xf numFmtId="49" fontId="23" fillId="0" borderId="34" xfId="0" applyNumberFormat="1" applyFont="1" applyFill="1" applyBorder="1" applyAlignment="1" applyProtection="1">
      <alignment horizontal="left" wrapText="1" indent="1"/>
    </xf>
    <xf numFmtId="169" fontId="23" fillId="0" borderId="27" xfId="0" applyNumberFormat="1" applyFont="1" applyFill="1" applyBorder="1" applyAlignment="1" applyProtection="1">
      <alignment horizontal="right"/>
    </xf>
    <xf numFmtId="49" fontId="25" fillId="2" borderId="35" xfId="0" applyNumberFormat="1" applyFont="1" applyFill="1" applyBorder="1" applyAlignment="1" applyProtection="1">
      <alignment horizontal="center" vertical="center" wrapText="1"/>
    </xf>
    <xf numFmtId="0" fontId="25" fillId="2" borderId="36" xfId="0" applyNumberFormat="1" applyFont="1" applyFill="1" applyBorder="1" applyAlignment="1" applyProtection="1">
      <alignment horizontal="center" vertical="center" wrapText="1"/>
    </xf>
    <xf numFmtId="49" fontId="23" fillId="3" borderId="33" xfId="0" applyNumberFormat="1" applyFont="1" applyFill="1" applyBorder="1" applyAlignment="1" applyProtection="1">
      <alignment horizontal="right" wrapText="1" shrinkToFit="1"/>
      <protection locked="0"/>
    </xf>
    <xf numFmtId="0" fontId="23" fillId="0" borderId="0" xfId="0" applyNumberFormat="1" applyFont="1" applyFill="1" applyBorder="1" applyAlignment="1" applyProtection="1">
      <alignment horizontal="center"/>
    </xf>
    <xf numFmtId="0" fontId="25" fillId="2" borderId="35" xfId="0" applyNumberFormat="1" applyFont="1" applyFill="1" applyBorder="1" applyAlignment="1" applyProtection="1">
      <alignment horizontal="center" vertical="center" wrapText="1"/>
    </xf>
    <xf numFmtId="0" fontId="25" fillId="2" borderId="37" xfId="0" applyNumberFormat="1" applyFont="1" applyFill="1" applyBorder="1" applyAlignment="1" applyProtection="1">
      <alignment horizontal="center" vertical="center" wrapText="1"/>
    </xf>
    <xf numFmtId="0" fontId="25" fillId="2" borderId="38" xfId="0" applyNumberFormat="1" applyFont="1" applyFill="1" applyBorder="1" applyAlignment="1" applyProtection="1">
      <alignment horizontal="center" vertical="center" wrapText="1"/>
    </xf>
    <xf numFmtId="49" fontId="24" fillId="0" borderId="39" xfId="0" applyNumberFormat="1" applyFont="1" applyFill="1" applyBorder="1" applyAlignment="1" applyProtection="1">
      <alignment vertical="center" wrapText="1"/>
    </xf>
    <xf numFmtId="49" fontId="23" fillId="0" borderId="40" xfId="0" applyNumberFormat="1" applyFont="1" applyFill="1" applyBorder="1" applyAlignment="1" applyProtection="1">
      <alignment horizontal="center"/>
    </xf>
    <xf numFmtId="49" fontId="23" fillId="3" borderId="40" xfId="0" applyNumberFormat="1" applyFont="1" applyFill="1" applyBorder="1" applyAlignment="1" applyProtection="1">
      <alignment horizontal="right" wrapText="1" shrinkToFit="1"/>
      <protection locked="0"/>
    </xf>
    <xf numFmtId="0" fontId="29" fillId="0" borderId="26" xfId="0" applyNumberFormat="1" applyFont="1" applyFill="1" applyBorder="1" applyAlignment="1" applyProtection="1">
      <alignment horizontal="center" vertical="center" wrapText="1"/>
    </xf>
    <xf numFmtId="0" fontId="29" fillId="3" borderId="26" xfId="0" applyNumberFormat="1" applyFont="1" applyFill="1" applyBorder="1" applyAlignment="1" applyProtection="1">
      <alignment horizontal="right" wrapText="1" shrinkToFit="1"/>
      <protection locked="0"/>
    </xf>
    <xf numFmtId="0" fontId="29" fillId="3" borderId="27" xfId="0" applyNumberFormat="1" applyFont="1" applyFill="1" applyBorder="1" applyAlignment="1" applyProtection="1">
      <alignment horizontal="right" wrapText="1" shrinkToFit="1"/>
      <protection locked="0"/>
    </xf>
    <xf numFmtId="0" fontId="33" fillId="0" borderId="0" xfId="0" applyFont="1"/>
    <xf numFmtId="0" fontId="27" fillId="0" borderId="2" xfId="0" applyFont="1" applyBorder="1" applyProtection="1"/>
    <xf numFmtId="0" fontId="27" fillId="0" borderId="2" xfId="0" applyNumberFormat="1" applyFont="1" applyFill="1" applyBorder="1" applyAlignment="1" applyProtection="1"/>
    <xf numFmtId="0" fontId="27" fillId="0" borderId="1" xfId="0" applyFont="1" applyBorder="1" applyProtection="1"/>
    <xf numFmtId="49" fontId="27" fillId="0" borderId="1" xfId="0" applyNumberFormat="1" applyFont="1" applyBorder="1" applyProtection="1"/>
    <xf numFmtId="49" fontId="25" fillId="2" borderId="31" xfId="0" applyNumberFormat="1" applyFont="1" applyFill="1" applyBorder="1" applyAlignment="1" applyProtection="1">
      <alignment horizontal="center" vertical="center" wrapText="1"/>
    </xf>
    <xf numFmtId="0" fontId="27" fillId="0" borderId="1" xfId="0" applyNumberFormat="1" applyFont="1" applyBorder="1" applyProtection="1"/>
    <xf numFmtId="0" fontId="0" fillId="0" borderId="0" xfId="0" applyAlignment="1">
      <alignment wrapText="1"/>
    </xf>
    <xf numFmtId="169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17" xfId="0" applyNumberFormat="1" applyFont="1" applyFill="1" applyBorder="1" applyAlignment="1" applyProtection="1">
      <alignment horizontal="right" wrapText="1" shrinkToFit="1"/>
      <protection locked="0"/>
    </xf>
    <xf numFmtId="0" fontId="19" fillId="0" borderId="0" xfId="0" applyFont="1" applyBorder="1" applyProtection="1"/>
    <xf numFmtId="0" fontId="24" fillId="0" borderId="0" xfId="0" applyNumberFormat="1" applyFont="1" applyProtection="1"/>
    <xf numFmtId="49" fontId="30" fillId="0" borderId="14" xfId="0" applyNumberFormat="1" applyFont="1" applyFill="1" applyBorder="1" applyAlignment="1" applyProtection="1">
      <alignment horizontal="left" wrapText="1" shrinkToFit="1"/>
    </xf>
    <xf numFmtId="176" fontId="29" fillId="0" borderId="6" xfId="0" applyNumberFormat="1" applyFont="1" applyBorder="1" applyAlignment="1" applyProtection="1">
      <alignment horizontal="center"/>
    </xf>
    <xf numFmtId="169" fontId="29" fillId="0" borderId="6" xfId="0" applyNumberFormat="1" applyFont="1" applyBorder="1" applyAlignment="1" applyProtection="1">
      <alignment horizontal="right"/>
    </xf>
    <xf numFmtId="176" fontId="30" fillId="0" borderId="14" xfId="0" applyNumberFormat="1" applyFont="1" applyBorder="1" applyAlignment="1" applyProtection="1">
      <alignment horizontal="left"/>
    </xf>
    <xf numFmtId="169" fontId="29" fillId="3" borderId="6" xfId="0" applyNumberFormat="1" applyFont="1" applyFill="1" applyBorder="1" applyAlignment="1" applyProtection="1">
      <alignment horizontal="right" wrapText="1" shrinkToFit="1"/>
      <protection locked="0"/>
    </xf>
    <xf numFmtId="0" fontId="25" fillId="2" borderId="42" xfId="0" applyNumberFormat="1" applyFont="1" applyFill="1" applyBorder="1" applyAlignment="1" applyProtection="1">
      <alignment horizontal="center" vertical="center" wrapText="1"/>
    </xf>
    <xf numFmtId="0" fontId="25" fillId="2" borderId="8" xfId="0" applyNumberFormat="1" applyFont="1" applyFill="1" applyBorder="1" applyAlignment="1" applyProtection="1">
      <alignment vertical="center" wrapText="1"/>
    </xf>
    <xf numFmtId="0" fontId="22" fillId="0" borderId="0" xfId="0" applyNumberFormat="1" applyFont="1" applyFill="1" applyBorder="1" applyAlignment="1" applyProtection="1"/>
    <xf numFmtId="0" fontId="23" fillId="0" borderId="0" xfId="0" applyFont="1" applyFill="1" applyProtection="1"/>
    <xf numFmtId="0" fontId="32" fillId="0" borderId="0" xfId="0" applyFont="1" applyProtection="1"/>
    <xf numFmtId="0" fontId="0" fillId="0" borderId="0" xfId="0" applyFont="1" applyFill="1" applyProtection="1"/>
    <xf numFmtId="49" fontId="25" fillId="2" borderId="43" xfId="0" applyNumberFormat="1" applyFont="1" applyFill="1" applyBorder="1" applyAlignment="1" applyProtection="1">
      <alignment horizontal="center" vertical="center" wrapText="1"/>
    </xf>
    <xf numFmtId="49" fontId="25" fillId="2" borderId="44" xfId="0" applyNumberFormat="1" applyFont="1" applyFill="1" applyBorder="1" applyAlignment="1" applyProtection="1">
      <alignment horizontal="center" vertical="center" wrapText="1"/>
    </xf>
    <xf numFmtId="49" fontId="25" fillId="2" borderId="45" xfId="0" applyNumberFormat="1" applyFont="1" applyFill="1" applyBorder="1" applyAlignment="1" applyProtection="1">
      <alignment horizontal="center" vertical="center" wrapText="1"/>
    </xf>
    <xf numFmtId="49" fontId="25" fillId="2" borderId="46" xfId="0" applyNumberFormat="1" applyFont="1" applyFill="1" applyBorder="1" applyAlignment="1" applyProtection="1">
      <alignment horizontal="center" vertical="center" wrapText="1"/>
    </xf>
    <xf numFmtId="0" fontId="23" fillId="0" borderId="47" xfId="0" applyFont="1" applyBorder="1" applyAlignment="1" applyProtection="1">
      <alignment horizontal="center"/>
    </xf>
    <xf numFmtId="0" fontId="23" fillId="0" borderId="48" xfId="0" applyFont="1" applyBorder="1" applyAlignment="1" applyProtection="1">
      <alignment horizontal="center"/>
    </xf>
    <xf numFmtId="0" fontId="24" fillId="0" borderId="14" xfId="0" applyFont="1" applyBorder="1" applyAlignment="1" applyProtection="1">
      <alignment horizontal="left" wrapText="1"/>
    </xf>
    <xf numFmtId="0" fontId="23" fillId="0" borderId="6" xfId="0" applyFont="1" applyBorder="1" applyAlignment="1" applyProtection="1">
      <alignment horizontal="center"/>
    </xf>
    <xf numFmtId="0" fontId="23" fillId="0" borderId="9" xfId="0" applyFont="1" applyBorder="1" applyAlignment="1" applyProtection="1">
      <alignment horizontal="center"/>
    </xf>
    <xf numFmtId="0" fontId="23" fillId="0" borderId="14" xfId="0" applyFont="1" applyBorder="1" applyAlignment="1" applyProtection="1">
      <alignment horizontal="center"/>
    </xf>
    <xf numFmtId="174" fontId="23" fillId="0" borderId="6" xfId="0" applyNumberFormat="1" applyFont="1" applyBorder="1" applyAlignment="1" applyProtection="1">
      <alignment horizontal="center"/>
    </xf>
    <xf numFmtId="0" fontId="32" fillId="0" borderId="14" xfId="0" applyFont="1" applyBorder="1" applyAlignment="1" applyProtection="1">
      <alignment horizontal="left" wrapText="1"/>
    </xf>
    <xf numFmtId="0" fontId="0" fillId="0" borderId="6" xfId="0" applyFont="1" applyBorder="1" applyAlignment="1" applyProtection="1">
      <alignment horizontal="center"/>
    </xf>
    <xf numFmtId="0" fontId="23" fillId="0" borderId="6" xfId="0" applyNumberFormat="1" applyFont="1" applyBorder="1" applyAlignment="1" applyProtection="1">
      <alignment horizontal="center"/>
    </xf>
    <xf numFmtId="173" fontId="23" fillId="0" borderId="6" xfId="0" applyNumberFormat="1" applyFont="1" applyBorder="1" applyProtection="1"/>
    <xf numFmtId="0" fontId="23" fillId="0" borderId="9" xfId="0" applyFont="1" applyBorder="1" applyProtection="1"/>
    <xf numFmtId="0" fontId="0" fillId="0" borderId="14" xfId="0" applyFont="1" applyBorder="1" applyAlignment="1" applyProtection="1">
      <alignment horizontal="left" vertical="top" wrapText="1"/>
    </xf>
    <xf numFmtId="0" fontId="0" fillId="0" borderId="6" xfId="0" applyFont="1" applyBorder="1" applyAlignment="1" applyProtection="1">
      <alignment horizontal="center" vertical="top"/>
    </xf>
    <xf numFmtId="0" fontId="23" fillId="0" borderId="14" xfId="0" applyFont="1" applyBorder="1" applyProtection="1"/>
    <xf numFmtId="0" fontId="0" fillId="0" borderId="14" xfId="0" applyFont="1" applyBorder="1" applyAlignment="1" applyProtection="1">
      <alignment horizontal="left" wrapText="1"/>
    </xf>
    <xf numFmtId="169" fontId="23" fillId="3" borderId="14" xfId="0" applyNumberFormat="1" applyFont="1" applyFill="1" applyBorder="1" applyAlignment="1" applyProtection="1">
      <alignment horizontal="right" wrapText="1" shrinkToFit="1"/>
      <protection locked="0"/>
    </xf>
    <xf numFmtId="0" fontId="0" fillId="0" borderId="6" xfId="0" applyFont="1" applyBorder="1" applyAlignment="1" applyProtection="1">
      <alignment horizontal="center" wrapText="1"/>
    </xf>
    <xf numFmtId="0" fontId="32" fillId="0" borderId="6" xfId="0" applyFont="1" applyBorder="1" applyAlignment="1" applyProtection="1">
      <alignment horizontal="center" wrapText="1"/>
    </xf>
    <xf numFmtId="0" fontId="32" fillId="0" borderId="6" xfId="0" applyFont="1" applyBorder="1" applyAlignment="1" applyProtection="1">
      <alignment horizontal="center"/>
    </xf>
    <xf numFmtId="0" fontId="0" fillId="0" borderId="16" xfId="0" applyFont="1" applyBorder="1" applyAlignment="1" applyProtection="1">
      <alignment horizontal="left" vertical="top" wrapText="1"/>
    </xf>
    <xf numFmtId="0" fontId="0" fillId="0" borderId="41" xfId="0" applyFont="1" applyBorder="1" applyAlignment="1" applyProtection="1">
      <alignment horizontal="center" vertical="top" wrapText="1"/>
    </xf>
    <xf numFmtId="169" fontId="23" fillId="3" borderId="16" xfId="0" applyNumberFormat="1" applyFont="1" applyFill="1" applyBorder="1" applyAlignment="1" applyProtection="1">
      <alignment horizontal="right" wrapText="1" shrinkToFit="1"/>
      <protection locked="0"/>
    </xf>
    <xf numFmtId="0" fontId="23" fillId="0" borderId="41" xfId="0" applyNumberFormat="1" applyFont="1" applyBorder="1" applyAlignment="1" applyProtection="1">
      <alignment horizontal="center"/>
    </xf>
    <xf numFmtId="173" fontId="23" fillId="0" borderId="41" xfId="0" applyNumberFormat="1" applyFont="1" applyBorder="1" applyProtection="1"/>
    <xf numFmtId="169" fontId="29" fillId="3" borderId="6" xfId="0" applyNumberFormat="1" applyFont="1" applyFill="1" applyBorder="1" applyAlignment="1" applyProtection="1">
      <alignment horizontal="right" vertical="top" wrapText="1" shrinkToFit="1"/>
      <protection locked="0"/>
    </xf>
    <xf numFmtId="176" fontId="30" fillId="0" borderId="25" xfId="0" applyNumberFormat="1" applyFont="1" applyBorder="1" applyAlignment="1" applyProtection="1">
      <alignment horizontal="left"/>
    </xf>
    <xf numFmtId="169" fontId="29" fillId="0" borderId="26" xfId="0" applyNumberFormat="1" applyFont="1" applyBorder="1" applyAlignment="1" applyProtection="1">
      <alignment horizontal="right"/>
    </xf>
    <xf numFmtId="169" fontId="29" fillId="3" borderId="26" xfId="0" applyNumberFormat="1" applyFont="1" applyFill="1" applyBorder="1" applyAlignment="1" applyProtection="1">
      <alignment horizontal="right" wrapText="1" shrinkToFit="1"/>
      <protection locked="0"/>
    </xf>
    <xf numFmtId="169" fontId="29" fillId="3" borderId="27" xfId="0" applyNumberFormat="1" applyFont="1" applyFill="1" applyBorder="1" applyAlignment="1" applyProtection="1">
      <alignment horizontal="right" wrapText="1" shrinkToFit="1"/>
      <protection locked="0"/>
    </xf>
    <xf numFmtId="49" fontId="25" fillId="2" borderId="49" xfId="0" applyNumberFormat="1" applyFont="1" applyFill="1" applyBorder="1" applyAlignment="1" applyProtection="1">
      <alignment horizontal="center" vertical="center" wrapText="1"/>
    </xf>
    <xf numFmtId="169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7" xfId="0" applyNumberFormat="1" applyFont="1" applyFill="1" applyBorder="1" applyAlignment="1" applyProtection="1">
      <alignment horizontal="left" wrapText="1" shrinkToFit="1"/>
      <protection locked="0"/>
    </xf>
    <xf numFmtId="49" fontId="30" fillId="0" borderId="25" xfId="0" applyNumberFormat="1" applyFont="1" applyFill="1" applyBorder="1" applyAlignment="1" applyProtection="1">
      <alignment horizontal="left" wrapText="1" shrinkToFit="1"/>
    </xf>
    <xf numFmtId="49" fontId="25" fillId="2" borderId="50" xfId="0" applyNumberFormat="1" applyFont="1" applyFill="1" applyBorder="1" applyAlignment="1" applyProtection="1">
      <alignment horizontal="center" vertical="center" wrapText="1"/>
    </xf>
    <xf numFmtId="49" fontId="29" fillId="4" borderId="25" xfId="0" applyNumberFormat="1" applyFont="1" applyFill="1" applyBorder="1" applyAlignment="1" applyProtection="1">
      <alignment horizontal="left" wrapText="1" shrinkToFit="1"/>
      <protection locked="0"/>
    </xf>
    <xf numFmtId="49" fontId="29" fillId="4" borderId="34" xfId="0" applyNumberFormat="1" applyFont="1" applyFill="1" applyBorder="1" applyAlignment="1" applyProtection="1">
      <alignment horizontal="left" wrapText="1" shrinkToFit="1"/>
      <protection locked="0"/>
    </xf>
    <xf numFmtId="49" fontId="25" fillId="2" borderId="51" xfId="0" applyNumberFormat="1" applyFont="1" applyFill="1" applyBorder="1" applyAlignment="1" applyProtection="1">
      <alignment horizontal="center" vertical="center" wrapText="1"/>
    </xf>
    <xf numFmtId="49" fontId="25" fillId="2" borderId="52" xfId="0" applyNumberFormat="1" applyFont="1" applyFill="1" applyBorder="1" applyAlignment="1" applyProtection="1">
      <alignment horizontal="center" vertical="center" wrapText="1"/>
    </xf>
    <xf numFmtId="49" fontId="29" fillId="4" borderId="16" xfId="0" applyNumberFormat="1" applyFont="1" applyFill="1" applyBorder="1" applyAlignment="1" applyProtection="1">
      <alignment horizontal="left" wrapText="1" shrinkToFit="1"/>
      <protection locked="0"/>
    </xf>
    <xf numFmtId="49" fontId="29" fillId="4" borderId="41" xfId="0" applyNumberFormat="1" applyFont="1" applyFill="1" applyBorder="1" applyAlignment="1" applyProtection="1">
      <alignment horizontal="left" wrapText="1" shrinkToFit="1"/>
      <protection locked="0"/>
    </xf>
    <xf numFmtId="0" fontId="25" fillId="2" borderId="53" xfId="0" applyNumberFormat="1" applyFont="1" applyFill="1" applyBorder="1" applyAlignment="1" applyProtection="1">
      <alignment horizontal="center" vertical="center" wrapText="1"/>
    </xf>
    <xf numFmtId="0" fontId="29" fillId="3" borderId="41" xfId="0" applyNumberFormat="1" applyFont="1" applyFill="1" applyBorder="1" applyAlignment="1" applyProtection="1">
      <alignment horizontal="left" vertical="center" wrapText="1"/>
      <protection locked="0"/>
    </xf>
    <xf numFmtId="177" fontId="23" fillId="0" borderId="0" xfId="0" applyNumberFormat="1" applyFont="1" applyFill="1" applyProtection="1"/>
    <xf numFmtId="173" fontId="23" fillId="0" borderId="17" xfId="0" applyNumberFormat="1" applyFont="1" applyFill="1" applyBorder="1" applyAlignment="1" applyProtection="1">
      <alignment horizontal="right"/>
    </xf>
    <xf numFmtId="0" fontId="0" fillId="0" borderId="0" xfId="0" applyAlignment="1">
      <alignment horizontal="left"/>
    </xf>
    <xf numFmtId="0" fontId="27" fillId="0" borderId="0" xfId="0" applyNumberFormat="1" applyFont="1" applyFill="1" applyBorder="1" applyAlignment="1" applyProtection="1"/>
    <xf numFmtId="49" fontId="23" fillId="0" borderId="0" xfId="0" applyNumberFormat="1" applyFont="1" applyProtection="1"/>
    <xf numFmtId="49" fontId="24" fillId="0" borderId="0" xfId="0" applyNumberFormat="1" applyFont="1" applyProtection="1"/>
    <xf numFmtId="49" fontId="23" fillId="0" borderId="0" xfId="0" applyNumberFormat="1" applyFont="1" applyFill="1" applyProtection="1"/>
    <xf numFmtId="49" fontId="23" fillId="5" borderId="0" xfId="0" applyNumberFormat="1" applyFont="1" applyFill="1" applyProtection="1"/>
    <xf numFmtId="49" fontId="23" fillId="0" borderId="0" xfId="0" applyNumberFormat="1" applyFont="1" applyFill="1" applyAlignment="1" applyProtection="1">
      <alignment horizontal="center"/>
    </xf>
    <xf numFmtId="0" fontId="23" fillId="0" borderId="0" xfId="0" applyNumberFormat="1" applyFont="1" applyFill="1" applyProtection="1"/>
    <xf numFmtId="0" fontId="25" fillId="6" borderId="5" xfId="0" applyNumberFormat="1" applyFont="1" applyFill="1" applyBorder="1" applyAlignment="1" applyProtection="1">
      <alignment horizontal="center" vertical="center" wrapText="1"/>
    </xf>
    <xf numFmtId="49" fontId="29" fillId="5" borderId="6" xfId="0" applyNumberFormat="1" applyFont="1" applyFill="1" applyBorder="1" applyAlignment="1" applyProtection="1">
      <alignment horizontal="center" vertical="center" wrapText="1"/>
    </xf>
    <xf numFmtId="49" fontId="29" fillId="0" borderId="6" xfId="0" applyNumberFormat="1" applyFont="1" applyFill="1" applyBorder="1" applyAlignment="1" applyProtection="1">
      <alignment horizontal="center" vertical="center"/>
    </xf>
    <xf numFmtId="175" fontId="23" fillId="0" borderId="6" xfId="0" applyNumberFormat="1" applyFont="1" applyBorder="1" applyAlignment="1" applyProtection="1">
      <alignment horizontal="right"/>
    </xf>
    <xf numFmtId="175" fontId="23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6" xfId="0" applyNumberFormat="1" applyFont="1" applyFill="1" applyBorder="1" applyAlignment="1" applyProtection="1">
      <alignment horizontal="center" vertical="center"/>
      <protection locked="0"/>
    </xf>
    <xf numFmtId="49" fontId="29" fillId="3" borderId="6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9" xfId="0" applyNumberFormat="1" applyFont="1" applyFill="1" applyBorder="1" applyAlignment="1" applyProtection="1">
      <alignment horizontal="center" vertical="center"/>
      <protection locked="0"/>
    </xf>
    <xf numFmtId="49" fontId="29" fillId="3" borderId="14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horizontal="left"/>
    </xf>
    <xf numFmtId="175" fontId="29" fillId="0" borderId="6" xfId="0" applyNumberFormat="1" applyFont="1" applyBorder="1" applyAlignment="1" applyProtection="1">
      <alignment horizontal="right"/>
    </xf>
    <xf numFmtId="171" fontId="29" fillId="0" borderId="6" xfId="0" applyNumberFormat="1" applyFont="1" applyFill="1" applyBorder="1" applyAlignment="1" applyProtection="1">
      <alignment horizontal="center" vertical="center"/>
    </xf>
    <xf numFmtId="49" fontId="29" fillId="0" borderId="9" xfId="0" applyNumberFormat="1" applyFont="1" applyFill="1" applyBorder="1" applyAlignment="1" applyProtection="1">
      <alignment horizontal="center" vertical="center"/>
    </xf>
    <xf numFmtId="0" fontId="23" fillId="0" borderId="54" xfId="0" applyNumberFormat="1" applyFont="1" applyBorder="1" applyAlignment="1" applyProtection="1">
      <alignment horizontal="center"/>
    </xf>
    <xf numFmtId="0" fontId="24" fillId="0" borderId="0" xfId="0" applyNumberFormat="1" applyFont="1" applyFill="1" applyAlignment="1" applyProtection="1">
      <alignment horizontal="left" wrapText="1"/>
    </xf>
    <xf numFmtId="173" fontId="29" fillId="0" borderId="6" xfId="0" applyNumberFormat="1" applyFont="1" applyBorder="1" applyAlignment="1" applyProtection="1">
      <alignment horizontal="right"/>
    </xf>
    <xf numFmtId="0" fontId="37" fillId="0" borderId="0" xfId="0" applyNumberFormat="1" applyFont="1" applyAlignment="1" applyProtection="1">
      <alignment wrapText="1"/>
    </xf>
    <xf numFmtId="0" fontId="23" fillId="0" borderId="55" xfId="0" applyNumberFormat="1" applyFont="1" applyBorder="1" applyProtection="1"/>
    <xf numFmtId="0" fontId="23" fillId="0" borderId="0" xfId="0" applyNumberFormat="1" applyFont="1" applyBorder="1" applyProtection="1"/>
    <xf numFmtId="0" fontId="23" fillId="0" borderId="54" xfId="0" applyNumberFormat="1" applyFont="1" applyBorder="1" applyProtection="1"/>
    <xf numFmtId="0" fontId="23" fillId="0" borderId="0" xfId="0" applyNumberFormat="1" applyFont="1" applyAlignment="1" applyProtection="1">
      <alignment horizontal="right"/>
    </xf>
    <xf numFmtId="49" fontId="29" fillId="0" borderId="6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horizontal="center"/>
    </xf>
    <xf numFmtId="49" fontId="29" fillId="0" borderId="6" xfId="0" applyNumberFormat="1" applyFont="1" applyBorder="1" applyAlignment="1" applyProtection="1">
      <alignment horizontal="center"/>
    </xf>
    <xf numFmtId="0" fontId="29" fillId="0" borderId="48" xfId="0" applyNumberFormat="1" applyFont="1" applyBorder="1" applyAlignment="1" applyProtection="1">
      <alignment horizontal="center"/>
    </xf>
    <xf numFmtId="0" fontId="29" fillId="0" borderId="13" xfId="0" applyNumberFormat="1" applyFont="1" applyBorder="1" applyAlignment="1" applyProtection="1">
      <alignment horizontal="center"/>
    </xf>
    <xf numFmtId="0" fontId="29" fillId="0" borderId="6" xfId="0" applyNumberFormat="1" applyFont="1" applyBorder="1" applyAlignment="1" applyProtection="1">
      <alignment horizontal="center"/>
    </xf>
    <xf numFmtId="0" fontId="23" fillId="0" borderId="56" xfId="0" applyNumberFormat="1" applyFont="1" applyBorder="1" applyAlignment="1" applyProtection="1">
      <alignment horizontal="center"/>
    </xf>
    <xf numFmtId="0" fontId="29" fillId="0" borderId="14" xfId="0" applyNumberFormat="1" applyFont="1" applyBorder="1" applyAlignment="1" applyProtection="1">
      <alignment horizontal="left" wrapText="1"/>
    </xf>
    <xf numFmtId="49" fontId="29" fillId="3" borderId="9" xfId="0" applyNumberFormat="1" applyFont="1" applyFill="1" applyBorder="1" applyAlignment="1" applyProtection="1">
      <alignment horizontal="right" wrapText="1" shrinkToFit="1"/>
      <protection locked="0"/>
    </xf>
    <xf numFmtId="0" fontId="25" fillId="2" borderId="49" xfId="0" applyNumberFormat="1" applyFont="1" applyFill="1" applyBorder="1" applyAlignment="1" applyProtection="1">
      <alignment horizontal="center" vertical="center" wrapText="1"/>
    </xf>
    <xf numFmtId="49" fontId="25" fillId="2" borderId="53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Border="1" applyAlignment="1" applyProtection="1">
      <alignment horizontal="right"/>
    </xf>
    <xf numFmtId="0" fontId="23" fillId="0" borderId="0" xfId="0" applyNumberFormat="1" applyFont="1" applyBorder="1" applyAlignment="1" applyProtection="1">
      <alignment horizontal="center"/>
    </xf>
    <xf numFmtId="0" fontId="28" fillId="0" borderId="0" xfId="0" applyNumberFormat="1" applyFont="1" applyFill="1" applyBorder="1" applyAlignment="1" applyProtection="1">
      <alignment wrapText="1"/>
    </xf>
    <xf numFmtId="0" fontId="24" fillId="0" borderId="0" xfId="0" applyNumberFormat="1" applyFont="1" applyFill="1" applyBorder="1" applyAlignment="1" applyProtection="1">
      <alignment horizontal="center"/>
    </xf>
    <xf numFmtId="0" fontId="23" fillId="0" borderId="55" xfId="0" applyNumberFormat="1" applyFont="1" applyFill="1" applyBorder="1" applyAlignment="1" applyProtection="1">
      <alignment horizontal="center"/>
    </xf>
    <xf numFmtId="0" fontId="23" fillId="0" borderId="6" xfId="0" applyNumberFormat="1" applyFont="1" applyFill="1" applyBorder="1" applyAlignment="1" applyProtection="1">
      <alignment horizontal="center"/>
    </xf>
    <xf numFmtId="175" fontId="23" fillId="0" borderId="6" xfId="0" applyNumberFormat="1" applyFont="1" applyFill="1" applyBorder="1" applyAlignment="1" applyProtection="1">
      <alignment horizontal="right"/>
    </xf>
    <xf numFmtId="0" fontId="23" fillId="0" borderId="9" xfId="0" applyNumberFormat="1" applyFont="1" applyFill="1" applyBorder="1" applyAlignment="1" applyProtection="1">
      <alignment horizontal="center"/>
    </xf>
    <xf numFmtId="14" fontId="23" fillId="3" borderId="6" xfId="0" applyNumberFormat="1" applyFont="1" applyFill="1" applyBorder="1" applyAlignment="1" applyProtection="1">
      <alignment vertical="center" wrapText="1"/>
      <protection locked="0"/>
    </xf>
    <xf numFmtId="49" fontId="23" fillId="3" borderId="9" xfId="0" applyNumberFormat="1" applyFont="1" applyFill="1" applyBorder="1" applyAlignment="1" applyProtection="1">
      <alignment vertical="center" wrapText="1"/>
      <protection locked="0"/>
    </xf>
    <xf numFmtId="0" fontId="25" fillId="2" borderId="57" xfId="0" applyNumberFormat="1" applyFont="1" applyFill="1" applyBorder="1" applyAlignment="1" applyProtection="1">
      <alignment horizontal="center" vertical="center" wrapText="1"/>
    </xf>
    <xf numFmtId="49" fontId="25" fillId="6" borderId="5" xfId="0" applyNumberFormat="1" applyFont="1" applyFill="1" applyBorder="1" applyAlignment="1" applyProtection="1">
      <alignment horizontal="center" vertical="center" wrapText="1"/>
    </xf>
    <xf numFmtId="49" fontId="25" fillId="6" borderId="8" xfId="0" applyNumberFormat="1" applyFont="1" applyFill="1" applyBorder="1" applyAlignment="1" applyProtection="1">
      <alignment horizontal="center" vertical="center" wrapText="1"/>
    </xf>
    <xf numFmtId="49" fontId="24" fillId="0" borderId="14" xfId="0" applyNumberFormat="1" applyFont="1" applyFill="1" applyBorder="1" applyAlignment="1" applyProtection="1">
      <alignment vertical="center" wrapText="1"/>
    </xf>
    <xf numFmtId="169" fontId="38" fillId="3" borderId="58" xfId="0" applyNumberFormat="1" applyFont="1" applyFill="1" applyBorder="1" applyAlignment="1" applyProtection="1">
      <alignment horizontal="right" wrapText="1" shrinkToFit="1"/>
      <protection locked="0"/>
    </xf>
    <xf numFmtId="49" fontId="23" fillId="0" borderId="14" xfId="0" applyNumberFormat="1" applyFont="1" applyFill="1" applyBorder="1" applyAlignment="1" applyProtection="1">
      <alignment vertical="center" wrapText="1"/>
    </xf>
    <xf numFmtId="178" fontId="25" fillId="2" borderId="7" xfId="0" applyNumberFormat="1" applyFont="1" applyFill="1" applyBorder="1" applyAlignment="1" applyProtection="1">
      <alignment horizontal="center" vertical="center" wrapText="1"/>
    </xf>
    <xf numFmtId="178" fontId="25" fillId="2" borderId="36" xfId="0" applyNumberFormat="1" applyFont="1" applyFill="1" applyBorder="1" applyAlignment="1" applyProtection="1">
      <alignment horizontal="center" vertical="center" wrapText="1"/>
    </xf>
    <xf numFmtId="0" fontId="30" fillId="0" borderId="14" xfId="0" applyNumberFormat="1" applyFont="1" applyFill="1" applyBorder="1" applyAlignment="1" applyProtection="1">
      <alignment horizontal="left" vertical="center" wrapText="1"/>
    </xf>
    <xf numFmtId="169" fontId="29" fillId="0" borderId="6" xfId="0" applyNumberFormat="1" applyFont="1" applyFill="1" applyBorder="1" applyAlignment="1" applyProtection="1">
      <alignment horizontal="right"/>
    </xf>
    <xf numFmtId="0" fontId="29" fillId="0" borderId="9" xfId="0" applyNumberFormat="1" applyFont="1" applyFill="1" applyBorder="1" applyAlignment="1" applyProtection="1">
      <alignment horizontal="center"/>
    </xf>
    <xf numFmtId="49" fontId="30" fillId="0" borderId="14" xfId="0" applyNumberFormat="1" applyFont="1" applyFill="1" applyBorder="1" applyAlignment="1" applyProtection="1">
      <alignment vertical="center" wrapText="1"/>
    </xf>
    <xf numFmtId="49" fontId="29" fillId="3" borderId="9" xfId="0" applyNumberFormat="1" applyFont="1" applyFill="1" applyBorder="1" applyAlignment="1" applyProtection="1">
      <alignment vertical="center"/>
      <protection locked="0"/>
    </xf>
    <xf numFmtId="169" fontId="29" fillId="3" borderId="6" xfId="0" applyNumberFormat="1" applyFont="1" applyFill="1" applyBorder="1" applyAlignment="1" applyProtection="1">
      <alignment horizontal="right"/>
      <protection locked="0"/>
    </xf>
    <xf numFmtId="169" fontId="29" fillId="3" borderId="6" xfId="0" applyNumberFormat="1" applyFont="1" applyFill="1" applyBorder="1" applyProtection="1">
      <protection locked="0"/>
    </xf>
    <xf numFmtId="0" fontId="39" fillId="0" borderId="0" xfId="0" applyNumberFormat="1" applyFont="1" applyFill="1" applyBorder="1" applyAlignment="1" applyProtection="1"/>
    <xf numFmtId="49" fontId="30" fillId="0" borderId="14" xfId="0" applyNumberFormat="1" applyFont="1" applyFill="1" applyBorder="1" applyAlignment="1" applyProtection="1">
      <alignment horizontal="left" vertical="center" wrapText="1"/>
    </xf>
    <xf numFmtId="49" fontId="29" fillId="0" borderId="9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horizontal="center" vertical="center"/>
    </xf>
    <xf numFmtId="49" fontId="24" fillId="0" borderId="0" xfId="0" applyNumberFormat="1" applyFont="1" applyFill="1" applyBorder="1" applyAlignment="1" applyProtection="1"/>
    <xf numFmtId="169" fontId="23" fillId="0" borderId="6" xfId="0" applyNumberFormat="1" applyFont="1" applyBorder="1" applyAlignment="1" applyProtection="1">
      <alignment horizontal="right"/>
    </xf>
    <xf numFmtId="0" fontId="19" fillId="0" borderId="1" xfId="0" applyNumberFormat="1" applyFont="1" applyBorder="1" applyProtection="1"/>
    <xf numFmtId="49" fontId="24" fillId="0" borderId="14" xfId="0" applyNumberFormat="1" applyFont="1" applyFill="1" applyBorder="1" applyAlignment="1" applyProtection="1">
      <alignment horizontal="left" vertical="center"/>
    </xf>
    <xf numFmtId="49" fontId="23" fillId="0" borderId="9" xfId="0" applyNumberFormat="1" applyFont="1" applyFill="1" applyBorder="1" applyAlignment="1" applyProtection="1">
      <alignment horizontal="center" vertical="center" wrapText="1"/>
    </xf>
    <xf numFmtId="49" fontId="24" fillId="0" borderId="14" xfId="0" applyNumberFormat="1" applyFont="1" applyFill="1" applyBorder="1" applyAlignment="1" applyProtection="1">
      <alignment horizontal="left" vertical="center" wrapText="1"/>
    </xf>
    <xf numFmtId="49" fontId="23" fillId="0" borderId="6" xfId="0" applyNumberFormat="1" applyFont="1" applyFill="1" applyBorder="1" applyAlignment="1" applyProtection="1">
      <alignment horizontal="center" vertical="center" wrapText="1"/>
    </xf>
    <xf numFmtId="49" fontId="23" fillId="0" borderId="9" xfId="0" applyNumberFormat="1" applyFont="1" applyFill="1" applyBorder="1" applyAlignment="1" applyProtection="1">
      <alignment horizontal="center"/>
    </xf>
    <xf numFmtId="49" fontId="23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9" xfId="0" applyNumberFormat="1" applyFont="1" applyFill="1" applyBorder="1" applyAlignment="1" applyProtection="1">
      <alignment horizontal="left" wrapText="1" shrinkToFit="1"/>
      <protection locked="0"/>
    </xf>
    <xf numFmtId="0" fontId="40" fillId="0" borderId="0" xfId="0" applyNumberFormat="1" applyFont="1" applyFill="1" applyBorder="1" applyAlignment="1" applyProtection="1">
      <alignment wrapText="1"/>
    </xf>
    <xf numFmtId="49" fontId="29" fillId="3" borderId="9" xfId="0" applyNumberFormat="1" applyFont="1" applyFill="1" applyBorder="1" applyAlignment="1" applyProtection="1">
      <alignment horizontal="left" vertical="top" wrapText="1" indent="2"/>
      <protection locked="0"/>
    </xf>
    <xf numFmtId="49" fontId="25" fillId="2" borderId="5" xfId="0" applyNumberFormat="1" applyFont="1" applyFill="1" applyBorder="1" applyAlignment="1" applyProtection="1">
      <alignment horizontal="center"/>
    </xf>
    <xf numFmtId="49" fontId="25" fillId="2" borderId="8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49" fontId="25" fillId="2" borderId="59" xfId="0" applyNumberFormat="1" applyFont="1" applyFill="1" applyBorder="1" applyAlignment="1" applyProtection="1">
      <alignment horizontal="center" vertical="center" wrapText="1"/>
    </xf>
    <xf numFmtId="0" fontId="24" fillId="0" borderId="0" xfId="0" applyNumberFormat="1" applyFont="1" applyBorder="1" applyProtection="1"/>
    <xf numFmtId="0" fontId="41" fillId="0" borderId="0" xfId="0" applyNumberFormat="1" applyFont="1" applyProtection="1"/>
    <xf numFmtId="49" fontId="24" fillId="0" borderId="14" xfId="0" applyNumberFormat="1" applyFont="1" applyFill="1" applyBorder="1" applyAlignment="1" applyProtection="1">
      <alignment horizontal="left" wrapText="1" shrinkToFit="1"/>
    </xf>
    <xf numFmtId="49" fontId="23" fillId="3" borderId="14" xfId="0" applyNumberFormat="1" applyFont="1" applyFill="1" applyBorder="1" applyAlignment="1" applyProtection="1">
      <alignment horizontal="left" wrapText="1" shrinkToFit="1"/>
      <protection locked="0"/>
    </xf>
    <xf numFmtId="169" fontId="23" fillId="0" borderId="41" xfId="0" applyNumberFormat="1" applyFont="1" applyBorder="1" applyAlignment="1" applyProtection="1">
      <alignment horizontal="right"/>
    </xf>
    <xf numFmtId="49" fontId="23" fillId="3" borderId="17" xfId="0" applyNumberFormat="1" applyFont="1" applyFill="1" applyBorder="1" applyAlignment="1" applyProtection="1">
      <alignment horizontal="left" wrapText="1" shrinkToFit="1"/>
      <protection locked="0"/>
    </xf>
    <xf numFmtId="0" fontId="23" fillId="0" borderId="6" xfId="0" applyNumberFormat="1" applyFont="1" applyFill="1" applyBorder="1" applyAlignment="1" applyProtection="1">
      <alignment horizontal="center" vertical="center" wrapText="1"/>
    </xf>
    <xf numFmtId="49" fontId="25" fillId="2" borderId="60" xfId="0" applyNumberFormat="1" applyFont="1" applyFill="1" applyBorder="1" applyAlignment="1" applyProtection="1">
      <alignment horizontal="center"/>
    </xf>
    <xf numFmtId="0" fontId="25" fillId="2" borderId="60" xfId="0" applyNumberFormat="1" applyFont="1" applyFill="1" applyBorder="1" applyAlignment="1" applyProtection="1">
      <alignment horizontal="center"/>
    </xf>
    <xf numFmtId="49" fontId="25" fillId="2" borderId="61" xfId="0" applyNumberFormat="1" applyFont="1" applyFill="1" applyBorder="1" applyAlignment="1" applyProtection="1">
      <alignment horizontal="center"/>
    </xf>
    <xf numFmtId="0" fontId="23" fillId="0" borderId="0" xfId="0" applyNumberFormat="1" applyFont="1" applyFill="1" applyBorder="1" applyProtection="1"/>
    <xf numFmtId="0" fontId="23" fillId="0" borderId="62" xfId="0" applyNumberFormat="1" applyFont="1" applyBorder="1" applyProtection="1"/>
    <xf numFmtId="0" fontId="31" fillId="0" borderId="62" xfId="0" applyNumberFormat="1" applyFont="1" applyBorder="1" applyProtection="1"/>
    <xf numFmtId="0" fontId="25" fillId="2" borderId="5" xfId="0" applyNumberFormat="1" applyFont="1" applyFill="1" applyBorder="1" applyAlignment="1" applyProtection="1">
      <alignment horizontal="center"/>
    </xf>
    <xf numFmtId="176" fontId="24" fillId="0" borderId="14" xfId="0" applyNumberFormat="1" applyFont="1" applyBorder="1" applyAlignment="1" applyProtection="1">
      <alignment horizontal="left"/>
    </xf>
    <xf numFmtId="175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0" fontId="19" fillId="0" borderId="1" xfId="0" applyFont="1" applyBorder="1" applyAlignment="1" applyProtection="1">
      <alignment wrapText="1"/>
    </xf>
    <xf numFmtId="0" fontId="23" fillId="0" borderId="0" xfId="0" applyNumberFormat="1" applyFont="1" applyFill="1" applyAlignment="1" applyProtection="1">
      <alignment wrapText="1"/>
    </xf>
    <xf numFmtId="0" fontId="24" fillId="0" borderId="55" xfId="0" applyNumberFormat="1" applyFont="1" applyFill="1" applyBorder="1" applyAlignment="1" applyProtection="1">
      <alignment horizontal="center"/>
    </xf>
    <xf numFmtId="49" fontId="25" fillId="2" borderId="31" xfId="0" applyNumberFormat="1" applyFont="1" applyFill="1" applyBorder="1" applyAlignment="1" applyProtection="1">
      <alignment horizontal="center"/>
    </xf>
    <xf numFmtId="0" fontId="0" fillId="0" borderId="0" xfId="0" applyFont="1" applyAlignment="1" applyProtection="1">
      <alignment wrapText="1"/>
    </xf>
    <xf numFmtId="0" fontId="23" fillId="0" borderId="63" xfId="0" applyNumberFormat="1" applyFont="1" applyFill="1" applyBorder="1" applyAlignment="1" applyProtection="1"/>
    <xf numFmtId="0" fontId="42" fillId="0" borderId="54" xfId="0" applyNumberFormat="1" applyFont="1" applyBorder="1" applyAlignment="1" applyProtection="1">
      <alignment horizontal="center"/>
    </xf>
    <xf numFmtId="175" fontId="23" fillId="0" borderId="41" xfId="0" applyNumberFormat="1" applyFont="1" applyBorder="1" applyAlignment="1" applyProtection="1">
      <alignment horizontal="right"/>
    </xf>
    <xf numFmtId="0" fontId="22" fillId="0" borderId="0" xfId="0" applyFont="1" applyBorder="1" applyAlignment="1" applyProtection="1">
      <alignment horizontal="left"/>
    </xf>
    <xf numFmtId="175" fontId="23" fillId="3" borderId="27" xfId="0" applyNumberFormat="1" applyFont="1" applyFill="1" applyBorder="1" applyAlignment="1" applyProtection="1">
      <alignment horizontal="right" wrapText="1" shrinkToFit="1"/>
      <protection locked="0"/>
    </xf>
    <xf numFmtId="49" fontId="24" fillId="0" borderId="39" xfId="0" applyNumberFormat="1" applyFont="1" applyFill="1" applyBorder="1" applyAlignment="1" applyProtection="1">
      <alignment horizontal="left" wrapText="1" shrinkToFit="1"/>
    </xf>
    <xf numFmtId="176" fontId="23" fillId="0" borderId="40" xfId="0" applyNumberFormat="1" applyFont="1" applyBorder="1" applyAlignment="1" applyProtection="1">
      <alignment horizontal="center"/>
    </xf>
    <xf numFmtId="175" fontId="23" fillId="3" borderId="64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65" xfId="0" applyNumberFormat="1" applyFont="1" applyFill="1" applyBorder="1" applyAlignment="1" applyProtection="1">
      <alignment horizontal="right" wrapText="1" shrinkToFit="1"/>
      <protection locked="0"/>
    </xf>
    <xf numFmtId="0" fontId="40" fillId="0" borderId="0" xfId="0" applyNumberFormat="1" applyFont="1" applyFill="1" applyBorder="1" applyAlignment="1" applyProtection="1">
      <alignment horizontal="center" wrapText="1"/>
    </xf>
    <xf numFmtId="16" fontId="23" fillId="0" borderId="0" xfId="0" applyNumberFormat="1" applyFont="1" applyFill="1" applyBorder="1" applyAlignment="1" applyProtection="1"/>
    <xf numFmtId="0" fontId="30" fillId="0" borderId="14" xfId="0" applyNumberFormat="1" applyFont="1" applyFill="1" applyBorder="1" applyAlignment="1" applyProtection="1">
      <alignment horizontal="left"/>
    </xf>
    <xf numFmtId="0" fontId="29" fillId="0" borderId="6" xfId="0" applyNumberFormat="1" applyFont="1" applyFill="1" applyBorder="1" applyAlignment="1" applyProtection="1">
      <alignment horizontal="center" vertical="top" wrapText="1"/>
    </xf>
    <xf numFmtId="49" fontId="29" fillId="3" borderId="9" xfId="0" applyNumberFormat="1" applyFont="1" applyFill="1" applyBorder="1" applyAlignment="1" applyProtection="1">
      <alignment horizontal="left" vertical="top" wrapText="1"/>
      <protection locked="0"/>
    </xf>
    <xf numFmtId="0" fontId="24" fillId="0" borderId="0" xfId="0" applyNumberFormat="1" applyFont="1" applyFill="1" applyAlignment="1" applyProtection="1">
      <alignment wrapText="1"/>
    </xf>
    <xf numFmtId="0" fontId="23" fillId="0" borderId="0" xfId="0" applyNumberFormat="1" applyFont="1" applyBorder="1" applyAlignment="1" applyProtection="1"/>
    <xf numFmtId="49" fontId="30" fillId="0" borderId="14" xfId="0" applyNumberFormat="1" applyFont="1" applyBorder="1" applyAlignment="1" applyProtection="1">
      <alignment horizontal="left" wrapText="1"/>
    </xf>
    <xf numFmtId="49" fontId="29" fillId="0" borderId="9" xfId="0" applyNumberFormat="1" applyFont="1" applyBorder="1" applyAlignment="1" applyProtection="1">
      <alignment horizontal="center"/>
    </xf>
    <xf numFmtId="0" fontId="30" fillId="0" borderId="14" xfId="0" applyNumberFormat="1" applyFont="1" applyBorder="1" applyAlignment="1" applyProtection="1">
      <alignment horizontal="left"/>
    </xf>
    <xf numFmtId="0" fontId="29" fillId="0" borderId="6" xfId="0" applyNumberFormat="1" applyFont="1" applyFill="1" applyBorder="1" applyAlignment="1" applyProtection="1">
      <alignment horizontal="left" vertical="top" wrapText="1"/>
    </xf>
    <xf numFmtId="49" fontId="30" fillId="0" borderId="14" xfId="0" applyNumberFormat="1" applyFont="1" applyBorder="1" applyAlignment="1" applyProtection="1">
      <alignment horizontal="left"/>
    </xf>
    <xf numFmtId="49" fontId="23" fillId="0" borderId="14" xfId="0" applyNumberFormat="1" applyFont="1" applyBorder="1" applyAlignment="1" applyProtection="1">
      <alignment horizontal="left" wrapText="1"/>
    </xf>
    <xf numFmtId="49" fontId="23" fillId="0" borderId="21" xfId="0" applyNumberFormat="1" applyFont="1" applyFill="1" applyBorder="1" applyAlignment="1" applyProtection="1">
      <alignment horizontal="left" vertical="top" wrapText="1"/>
    </xf>
    <xf numFmtId="49" fontId="29" fillId="0" borderId="48" xfId="0" applyNumberFormat="1" applyFont="1" applyBorder="1" applyAlignment="1" applyProtection="1">
      <alignment horizontal="center"/>
    </xf>
    <xf numFmtId="49" fontId="29" fillId="0" borderId="13" xfId="0" applyNumberFormat="1" applyFont="1" applyBorder="1" applyAlignment="1" applyProtection="1">
      <alignment horizontal="center"/>
    </xf>
    <xf numFmtId="49" fontId="23" fillId="0" borderId="67" xfId="0" applyNumberFormat="1" applyFont="1" applyFill="1" applyBorder="1" applyAlignment="1" applyProtection="1">
      <alignment horizontal="left" vertical="top" wrapText="1"/>
    </xf>
    <xf numFmtId="175" fontId="29" fillId="0" borderId="6" xfId="0" applyNumberFormat="1" applyFont="1" applyFill="1" applyBorder="1" applyAlignment="1" applyProtection="1">
      <alignment horizontal="right" vertical="top" wrapText="1"/>
    </xf>
    <xf numFmtId="49" fontId="23" fillId="3" borderId="16" xfId="0" applyNumberFormat="1" applyFont="1" applyFill="1" applyBorder="1" applyAlignment="1" applyProtection="1">
      <alignment vertical="center" wrapText="1"/>
      <protection locked="0"/>
    </xf>
    <xf numFmtId="49" fontId="23" fillId="0" borderId="9" xfId="0" applyNumberFormat="1" applyFont="1" applyBorder="1" applyAlignment="1" applyProtection="1">
      <alignment horizontal="center"/>
    </xf>
    <xf numFmtId="0" fontId="23" fillId="0" borderId="14" xfId="0" applyNumberFormat="1" applyFont="1" applyFill="1" applyBorder="1" applyAlignment="1" applyProtection="1">
      <alignment horizontal="center"/>
    </xf>
    <xf numFmtId="14" fontId="25" fillId="2" borderId="8" xfId="0" applyNumberFormat="1" applyFont="1" applyFill="1" applyBorder="1" applyAlignment="1" applyProtection="1">
      <alignment horizontal="center" vertical="center" wrapText="1"/>
    </xf>
    <xf numFmtId="49" fontId="23" fillId="0" borderId="14" xfId="0" applyNumberFormat="1" applyFont="1" applyFill="1" applyBorder="1" applyAlignment="1" applyProtection="1">
      <alignment horizontal="left" wrapText="1" shrinkToFit="1"/>
    </xf>
    <xf numFmtId="49" fontId="23" fillId="0" borderId="16" xfId="0" applyNumberFormat="1" applyFont="1" applyFill="1" applyBorder="1" applyAlignment="1" applyProtection="1">
      <alignment horizontal="left" wrapText="1" shrinkToFit="1"/>
    </xf>
    <xf numFmtId="169" fontId="23" fillId="3" borderId="9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17" xfId="0" applyNumberFormat="1" applyFont="1" applyFill="1" applyBorder="1" applyAlignment="1" applyProtection="1">
      <alignment horizontal="right" wrapText="1" shrinkToFit="1"/>
      <protection locked="0"/>
    </xf>
    <xf numFmtId="0" fontId="17" fillId="0" borderId="0" xfId="0" applyFont="1" applyProtection="1"/>
    <xf numFmtId="0" fontId="25" fillId="2" borderId="30" xfId="0" applyNumberFormat="1" applyFont="1" applyFill="1" applyBorder="1" applyAlignment="1" applyProtection="1">
      <alignment horizontal="center" vertical="center" wrapText="1"/>
    </xf>
    <xf numFmtId="49" fontId="23" fillId="0" borderId="40" xfId="0" applyNumberFormat="1" applyFont="1" applyBorder="1" applyAlignment="1" applyProtection="1">
      <alignment horizontal="center"/>
    </xf>
    <xf numFmtId="49" fontId="23" fillId="0" borderId="20" xfId="0" applyNumberFormat="1" applyFont="1" applyFill="1" applyBorder="1" applyAlignment="1" applyProtection="1">
      <alignment horizontal="center" wrapText="1" shrinkToFit="1"/>
    </xf>
    <xf numFmtId="169" fontId="23" fillId="0" borderId="6" xfId="0" applyNumberFormat="1" applyFont="1" applyFill="1" applyBorder="1" applyAlignment="1" applyProtection="1">
      <alignment horizontal="right" wrapText="1" shrinkToFit="1"/>
      <protection locked="0"/>
    </xf>
    <xf numFmtId="49" fontId="23" fillId="0" borderId="41" xfId="0" applyNumberFormat="1" applyFont="1" applyBorder="1" applyAlignment="1" applyProtection="1">
      <alignment horizontal="center"/>
    </xf>
    <xf numFmtId="49" fontId="23" fillId="3" borderId="68" xfId="0" applyNumberFormat="1" applyFont="1" applyFill="1" applyBorder="1" applyAlignment="1" applyProtection="1">
      <alignment horizontal="right" wrapText="1" shrinkToFit="1"/>
      <protection locked="0"/>
    </xf>
    <xf numFmtId="0" fontId="32" fillId="0" borderId="0" xfId="0" applyNumberFormat="1" applyFont="1" applyFill="1" applyBorder="1" applyAlignment="1" applyProtection="1"/>
    <xf numFmtId="0" fontId="43" fillId="0" borderId="0" xfId="0" applyNumberFormat="1" applyFont="1" applyProtection="1"/>
    <xf numFmtId="49" fontId="37" fillId="0" borderId="0" xfId="0" applyNumberFormat="1" applyFont="1" applyFill="1" applyBorder="1" applyAlignment="1" applyProtection="1">
      <alignment wrapText="1"/>
    </xf>
    <xf numFmtId="49" fontId="24" fillId="0" borderId="14" xfId="0" applyNumberFormat="1" applyFont="1" applyFill="1" applyBorder="1" applyAlignment="1" applyProtection="1">
      <alignment horizontal="left"/>
    </xf>
    <xf numFmtId="169" fontId="23" fillId="3" borderId="41" xfId="0" applyNumberFormat="1" applyFont="1" applyFill="1" applyBorder="1" applyAlignment="1" applyProtection="1">
      <alignment horizontal="right"/>
      <protection locked="0"/>
    </xf>
    <xf numFmtId="0" fontId="28" fillId="0" borderId="0" xfId="0" applyNumberFormat="1" applyFont="1" applyFill="1" applyBorder="1" applyAlignment="1" applyProtection="1">
      <alignment horizontal="center" wrapText="1"/>
    </xf>
    <xf numFmtId="0" fontId="0" fillId="0" borderId="0" xfId="0" applyFont="1" applyFill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175" fontId="23" fillId="3" borderId="16" xfId="0" applyNumberFormat="1" applyFont="1" applyFill="1" applyBorder="1" applyAlignment="1" applyProtection="1">
      <alignment horizontal="right" wrapText="1" shrinkToFit="1"/>
      <protection locked="0"/>
    </xf>
    <xf numFmtId="49" fontId="23" fillId="0" borderId="63" xfId="0" applyNumberFormat="1" applyFont="1" applyFill="1" applyBorder="1" applyAlignment="1" applyProtection="1">
      <alignment horizontal="center"/>
    </xf>
    <xf numFmtId="49" fontId="25" fillId="2" borderId="69" xfId="0" applyNumberFormat="1" applyFont="1" applyFill="1" applyBorder="1" applyAlignment="1" applyProtection="1">
      <alignment horizontal="center" vertical="center" wrapText="1"/>
    </xf>
    <xf numFmtId="173" fontId="23" fillId="0" borderId="70" xfId="0" applyNumberFormat="1" applyFont="1" applyBorder="1" applyAlignment="1" applyProtection="1">
      <alignment horizontal="center"/>
    </xf>
    <xf numFmtId="0" fontId="23" fillId="0" borderId="71" xfId="0" applyNumberFormat="1" applyFont="1" applyBorder="1" applyAlignment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44" fillId="0" borderId="0" xfId="0" applyFont="1"/>
    <xf numFmtId="173" fontId="23" fillId="0" borderId="21" xfId="0" applyNumberFormat="1" applyFont="1" applyBorder="1" applyAlignment="1" applyProtection="1">
      <alignment horizontal="right"/>
    </xf>
    <xf numFmtId="173" fontId="23" fillId="0" borderId="19" xfId="0" applyNumberFormat="1" applyFont="1" applyBorder="1" applyAlignment="1" applyProtection="1">
      <alignment horizontal="right"/>
    </xf>
    <xf numFmtId="173" fontId="23" fillId="0" borderId="23" xfId="0" applyNumberFormat="1" applyFont="1" applyBorder="1" applyAlignment="1" applyProtection="1">
      <alignment horizontal="right"/>
    </xf>
    <xf numFmtId="173" fontId="23" fillId="0" borderId="22" xfId="0" applyNumberFormat="1" applyFont="1" applyBorder="1" applyAlignment="1" applyProtection="1">
      <alignment horizontal="right"/>
    </xf>
    <xf numFmtId="0" fontId="25" fillId="2" borderId="72" xfId="0" applyFont="1" applyFill="1" applyBorder="1" applyAlignment="1" applyProtection="1">
      <alignment horizontal="center" vertical="center" wrapText="1"/>
    </xf>
    <xf numFmtId="0" fontId="25" fillId="2" borderId="43" xfId="0" applyFont="1" applyFill="1" applyBorder="1" applyAlignment="1" applyProtection="1">
      <alignment horizontal="center" vertical="center" wrapText="1"/>
    </xf>
    <xf numFmtId="49" fontId="0" fillId="0" borderId="21" xfId="0" applyNumberFormat="1" applyFont="1" applyBorder="1" applyAlignment="1" applyProtection="1">
      <alignment horizontal="left" vertical="center" wrapText="1" indent="1"/>
    </xf>
    <xf numFmtId="49" fontId="0" fillId="0" borderId="23" xfId="0" applyNumberFormat="1" applyFont="1" applyBorder="1" applyAlignment="1" applyProtection="1">
      <alignment horizontal="left" vertical="center" wrapText="1" indent="1"/>
    </xf>
    <xf numFmtId="49" fontId="23" fillId="3" borderId="14" xfId="0" applyNumberFormat="1" applyFont="1" applyFill="1" applyBorder="1" applyAlignment="1" applyProtection="1">
      <alignment horizontal="left" vertical="center" wrapText="1" shrinkToFit="1"/>
      <protection locked="0"/>
    </xf>
    <xf numFmtId="49" fontId="23" fillId="3" borderId="6" xfId="0" applyNumberFormat="1" applyFont="1" applyFill="1" applyBorder="1" applyAlignment="1" applyProtection="1">
      <alignment horizontal="left" vertical="center" wrapText="1" shrinkToFit="1"/>
      <protection locked="0"/>
    </xf>
    <xf numFmtId="0" fontId="30" fillId="0" borderId="14" xfId="0" applyNumberFormat="1" applyFont="1" applyFill="1" applyBorder="1" applyAlignment="1" applyProtection="1">
      <alignment vertical="center" wrapText="1"/>
    </xf>
    <xf numFmtId="0" fontId="24" fillId="0" borderId="0" xfId="0" applyNumberFormat="1" applyFont="1" applyFill="1" applyBorder="1" applyAlignment="1" applyProtection="1">
      <alignment horizontal="left"/>
    </xf>
    <xf numFmtId="0" fontId="29" fillId="0" borderId="14" xfId="0" applyNumberFormat="1" applyFont="1" applyFill="1" applyBorder="1" applyAlignment="1" applyProtection="1">
      <alignment horizontal="left" vertical="center" wrapText="1"/>
    </xf>
    <xf numFmtId="175" fontId="29" fillId="0" borderId="6" xfId="0" applyNumberFormat="1" applyFont="1" applyBorder="1" applyAlignment="1" applyProtection="1">
      <alignment horizontal="center"/>
    </xf>
    <xf numFmtId="175" fontId="29" fillId="0" borderId="6" xfId="0" applyNumberFormat="1" applyFont="1" applyFill="1" applyBorder="1" applyAlignment="1" applyProtection="1">
      <alignment horizontal="right"/>
    </xf>
    <xf numFmtId="49" fontId="23" fillId="3" borderId="73" xfId="0" applyNumberFormat="1" applyFont="1" applyFill="1" applyBorder="1" applyAlignment="1" applyProtection="1">
      <alignment horizontal="right" wrapText="1" shrinkToFit="1"/>
      <protection locked="0"/>
    </xf>
    <xf numFmtId="173" fontId="23" fillId="0" borderId="74" xfId="0" applyNumberFormat="1" applyFont="1" applyBorder="1" applyAlignment="1" applyProtection="1">
      <alignment horizontal="right"/>
    </xf>
    <xf numFmtId="0" fontId="46" fillId="0" borderId="0" xfId="0" applyFont="1" applyProtection="1"/>
    <xf numFmtId="0" fontId="25" fillId="2" borderId="76" xfId="0" applyNumberFormat="1" applyFont="1" applyFill="1" applyBorder="1" applyAlignment="1" applyProtection="1">
      <alignment horizontal="center" vertical="center" wrapText="1"/>
    </xf>
    <xf numFmtId="49" fontId="29" fillId="3" borderId="41" xfId="0" applyNumberFormat="1" applyFont="1" applyFill="1" applyBorder="1" applyAlignment="1" applyProtection="1">
      <alignment vertical="center" wrapText="1"/>
      <protection locked="0"/>
    </xf>
    <xf numFmtId="173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0" fontId="22" fillId="0" borderId="2" xfId="0" applyNumberFormat="1" applyFont="1" applyFill="1" applyBorder="1" applyAlignment="1" applyProtection="1">
      <alignment horizontal="left"/>
    </xf>
    <xf numFmtId="0" fontId="22" fillId="0" borderId="0" xfId="0" applyNumberFormat="1" applyFont="1" applyFill="1" applyBorder="1" applyAlignment="1" applyProtection="1">
      <alignment horizontal="center"/>
    </xf>
    <xf numFmtId="49" fontId="23" fillId="3" borderId="9" xfId="0" applyNumberFormat="1" applyFont="1" applyFill="1" applyBorder="1" applyAlignment="1" applyProtection="1">
      <alignment horizontal="left"/>
      <protection locked="0"/>
    </xf>
    <xf numFmtId="49" fontId="23" fillId="3" borderId="17" xfId="0" applyNumberFormat="1" applyFont="1" applyFill="1" applyBorder="1" applyAlignment="1" applyProtection="1">
      <alignment horizontal="left"/>
      <protection locked="0"/>
    </xf>
    <xf numFmtId="49" fontId="23" fillId="3" borderId="14" xfId="0" applyNumberFormat="1" applyFont="1" applyFill="1" applyBorder="1" applyAlignment="1" applyProtection="1">
      <alignment horizontal="left" vertical="center"/>
      <protection locked="0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49" fontId="23" fillId="3" borderId="17" xfId="0" applyNumberFormat="1" applyFont="1" applyFill="1" applyBorder="1" applyAlignment="1" applyProtection="1">
      <alignment vertical="center" wrapText="1"/>
      <protection locked="0"/>
    </xf>
    <xf numFmtId="49" fontId="23" fillId="0" borderId="14" xfId="0" applyNumberFormat="1" applyFont="1" applyFill="1" applyBorder="1" applyAlignment="1" applyProtection="1">
      <alignment horizontal="left" vertical="center" wrapText="1"/>
    </xf>
    <xf numFmtId="0" fontId="24" fillId="0" borderId="0" xfId="0" applyNumberFormat="1" applyFont="1" applyFill="1" applyBorder="1" applyAlignment="1" applyProtection="1">
      <alignment vertical="center"/>
    </xf>
    <xf numFmtId="0" fontId="22" fillId="0" borderId="78" xfId="0" applyFont="1" applyBorder="1" applyProtection="1"/>
    <xf numFmtId="175" fontId="23" fillId="0" borderId="6" xfId="0" applyNumberFormat="1" applyFont="1" applyFill="1" applyBorder="1" applyAlignment="1" applyProtection="1">
      <alignment horizontal="right" vertical="center" wrapText="1"/>
    </xf>
    <xf numFmtId="180" fontId="23" fillId="0" borderId="40" xfId="0" applyNumberFormat="1" applyFont="1" applyFill="1" applyBorder="1" applyAlignment="1" applyProtection="1">
      <alignment horizontal="center" vertical="center" wrapText="1"/>
    </xf>
    <xf numFmtId="49" fontId="23" fillId="0" borderId="79" xfId="0" applyNumberFormat="1" applyFont="1" applyFill="1" applyBorder="1" applyAlignment="1" applyProtection="1">
      <alignment horizontal="left"/>
    </xf>
    <xf numFmtId="175" fontId="23" fillId="3" borderId="17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9" xfId="0" applyNumberFormat="1" applyFont="1" applyFill="1" applyBorder="1" applyAlignment="1" applyProtection="1">
      <alignment horizontal="right" wrapText="1" shrinkToFit="1"/>
      <protection locked="0"/>
    </xf>
    <xf numFmtId="0" fontId="23" fillId="0" borderId="14" xfId="0" applyNumberFormat="1" applyFont="1" applyFill="1" applyBorder="1" applyAlignment="1" applyProtection="1">
      <alignment horizontal="left"/>
    </xf>
    <xf numFmtId="49" fontId="25" fillId="2" borderId="80" xfId="0" applyNumberFormat="1" applyFont="1" applyFill="1" applyBorder="1" applyAlignment="1" applyProtection="1">
      <alignment horizontal="center" vertical="center" wrapText="1"/>
    </xf>
    <xf numFmtId="49" fontId="25" fillId="2" borderId="81" xfId="0" applyNumberFormat="1" applyFont="1" applyFill="1" applyBorder="1" applyAlignment="1" applyProtection="1">
      <alignment horizontal="center" vertical="center" wrapText="1"/>
    </xf>
    <xf numFmtId="0" fontId="25" fillId="2" borderId="81" xfId="0" applyNumberFormat="1" applyFont="1" applyFill="1" applyBorder="1" applyAlignment="1" applyProtection="1">
      <alignment horizontal="center" vertical="center" wrapText="1"/>
    </xf>
    <xf numFmtId="49" fontId="25" fillId="2" borderId="82" xfId="0" applyNumberFormat="1" applyFont="1" applyFill="1" applyBorder="1" applyAlignment="1" applyProtection="1">
      <alignment horizontal="center" vertical="center" wrapText="1"/>
    </xf>
    <xf numFmtId="0" fontId="24" fillId="0" borderId="0" xfId="0" applyFont="1" applyProtection="1"/>
    <xf numFmtId="175" fontId="23" fillId="0" borderId="41" xfId="0" applyNumberFormat="1" applyFont="1" applyFill="1" applyBorder="1" applyAlignment="1" applyProtection="1">
      <alignment horizontal="right"/>
    </xf>
    <xf numFmtId="49" fontId="23" fillId="0" borderId="16" xfId="0" applyNumberFormat="1" applyFont="1" applyFill="1" applyBorder="1" applyAlignment="1" applyProtection="1">
      <alignment horizontal="left"/>
    </xf>
    <xf numFmtId="49" fontId="23" fillId="0" borderId="14" xfId="0" applyNumberFormat="1" applyFont="1" applyFill="1" applyBorder="1" applyAlignment="1" applyProtection="1">
      <alignment horizontal="left"/>
    </xf>
    <xf numFmtId="49" fontId="23" fillId="0" borderId="16" xfId="0" applyNumberFormat="1" applyFont="1" applyFill="1" applyBorder="1" applyAlignment="1" applyProtection="1">
      <alignment horizontal="left" vertical="center" wrapText="1"/>
    </xf>
    <xf numFmtId="0" fontId="23" fillId="0" borderId="0" xfId="0" applyNumberFormat="1" applyFont="1" applyFill="1" applyAlignment="1" applyProtection="1">
      <alignment vertical="center" wrapText="1"/>
    </xf>
    <xf numFmtId="182" fontId="23" fillId="0" borderId="0" xfId="0" applyNumberFormat="1" applyFont="1" applyFill="1" applyAlignment="1" applyProtection="1">
      <alignment vertical="center" wrapText="1"/>
    </xf>
    <xf numFmtId="0" fontId="23" fillId="5" borderId="17" xfId="0" applyNumberFormat="1" applyFont="1" applyFill="1" applyBorder="1" applyAlignment="1" applyProtection="1">
      <alignment horizontal="center" vertical="center" wrapText="1"/>
    </xf>
    <xf numFmtId="0" fontId="23" fillId="5" borderId="41" xfId="0" applyNumberFormat="1" applyFont="1" applyFill="1" applyBorder="1" applyAlignment="1" applyProtection="1">
      <alignment horizontal="center" vertical="center" wrapText="1"/>
    </xf>
    <xf numFmtId="175" fontId="24" fillId="3" borderId="41" xfId="0" applyNumberFormat="1" applyFont="1" applyFill="1" applyBorder="1" applyAlignment="1" applyProtection="1">
      <alignment vertical="center" wrapText="1"/>
      <protection locked="0"/>
    </xf>
    <xf numFmtId="0" fontId="23" fillId="5" borderId="16" xfId="0" applyNumberFormat="1" applyFont="1" applyFill="1" applyBorder="1" applyAlignment="1" applyProtection="1">
      <alignment vertical="center" wrapText="1"/>
    </xf>
    <xf numFmtId="0" fontId="23" fillId="5" borderId="9" xfId="0" applyNumberFormat="1" applyFont="1" applyFill="1" applyBorder="1" applyAlignment="1" applyProtection="1">
      <alignment horizontal="center" vertical="center" wrapText="1"/>
    </xf>
    <xf numFmtId="0" fontId="23" fillId="5" borderId="6" xfId="0" applyNumberFormat="1" applyFont="1" applyFill="1" applyBorder="1" applyAlignment="1" applyProtection="1">
      <alignment horizontal="center" vertical="center" wrapText="1"/>
    </xf>
    <xf numFmtId="175" fontId="24" fillId="3" borderId="6" xfId="0" applyNumberFormat="1" applyFont="1" applyFill="1" applyBorder="1" applyAlignment="1" applyProtection="1">
      <alignment vertical="center" wrapText="1"/>
      <protection locked="0"/>
    </xf>
    <xf numFmtId="0" fontId="23" fillId="5" borderId="14" xfId="0" applyNumberFormat="1" applyFont="1" applyFill="1" applyBorder="1" applyAlignment="1" applyProtection="1">
      <alignment vertical="center" wrapText="1"/>
    </xf>
    <xf numFmtId="0" fontId="24" fillId="5" borderId="14" xfId="0" applyNumberFormat="1" applyFont="1" applyFill="1" applyBorder="1" applyAlignment="1" applyProtection="1">
      <alignment vertical="center" wrapText="1"/>
    </xf>
    <xf numFmtId="0" fontId="23" fillId="0" borderId="83" xfId="0" applyNumberFormat="1" applyFont="1" applyBorder="1" applyAlignment="1" applyProtection="1">
      <alignment horizontal="center"/>
    </xf>
    <xf numFmtId="175" fontId="23" fillId="0" borderId="9" xfId="0" applyNumberFormat="1" applyFont="1" applyBorder="1" applyAlignment="1" applyProtection="1">
      <alignment horizontal="right"/>
    </xf>
    <xf numFmtId="0" fontId="23" fillId="0" borderId="0" xfId="0" applyNumberFormat="1" applyFont="1" applyFill="1" applyAlignment="1" applyProtection="1">
      <alignment vertical="center"/>
    </xf>
    <xf numFmtId="0" fontId="47" fillId="5" borderId="14" xfId="0" applyNumberFormat="1" applyFont="1" applyFill="1" applyBorder="1" applyAlignment="1" applyProtection="1">
      <alignment vertical="center" wrapText="1"/>
    </xf>
    <xf numFmtId="0" fontId="23" fillId="0" borderId="14" xfId="0" applyNumberFormat="1" applyFont="1" applyFill="1" applyBorder="1" applyAlignment="1" applyProtection="1">
      <alignment vertical="center" wrapText="1"/>
    </xf>
    <xf numFmtId="175" fontId="23" fillId="3" borderId="14" xfId="0" applyNumberFormat="1" applyFont="1" applyFill="1" applyBorder="1" applyAlignment="1" applyProtection="1">
      <alignment horizontal="right" wrapText="1" shrinkToFit="1"/>
      <protection locked="0"/>
    </xf>
    <xf numFmtId="0" fontId="23" fillId="5" borderId="15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Fill="1" applyBorder="1" applyAlignment="1" applyProtection="1">
      <alignment wrapText="1"/>
    </xf>
    <xf numFmtId="0" fontId="23" fillId="0" borderId="0" xfId="0" applyFont="1" applyAlignment="1" applyProtection="1">
      <alignment vertical="center"/>
    </xf>
    <xf numFmtId="0" fontId="48" fillId="0" borderId="0" xfId="0" applyFont="1" applyAlignment="1" applyProtection="1">
      <alignment vertical="center"/>
    </xf>
    <xf numFmtId="0" fontId="25" fillId="2" borderId="86" xfId="0" applyFont="1" applyFill="1" applyBorder="1" applyAlignment="1" applyProtection="1">
      <alignment horizontal="center" vertical="center" wrapText="1"/>
    </xf>
    <xf numFmtId="0" fontId="23" fillId="7" borderId="0" xfId="0" applyNumberFormat="1" applyFont="1" applyFill="1" applyProtection="1"/>
    <xf numFmtId="0" fontId="25" fillId="2" borderId="50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Font="1" applyProtection="1"/>
    <xf numFmtId="49" fontId="25" fillId="0" borderId="0" xfId="0" applyNumberFormat="1" applyFont="1" applyFill="1" applyBorder="1" applyAlignment="1" applyProtection="1">
      <alignment horizontal="center" vertical="center" wrapText="1"/>
    </xf>
    <xf numFmtId="49" fontId="25" fillId="2" borderId="87" xfId="0" applyNumberFormat="1" applyFont="1" applyFill="1" applyBorder="1" applyAlignment="1" applyProtection="1">
      <alignment horizontal="center" vertical="center" wrapText="1"/>
    </xf>
    <xf numFmtId="0" fontId="23" fillId="0" borderId="20" xfId="0" applyFont="1" applyBorder="1" applyAlignment="1" applyProtection="1">
      <alignment horizontal="center"/>
    </xf>
    <xf numFmtId="183" fontId="23" fillId="0" borderId="21" xfId="0" applyNumberFormat="1" applyFont="1" applyFill="1" applyBorder="1" applyAlignment="1" applyProtection="1">
      <alignment horizontal="center" wrapText="1" shrinkToFit="1"/>
    </xf>
    <xf numFmtId="49" fontId="29" fillId="0" borderId="9" xfId="0" applyNumberFormat="1" applyFont="1" applyFill="1" applyBorder="1" applyAlignment="1" applyProtection="1">
      <alignment horizontal="center"/>
    </xf>
    <xf numFmtId="49" fontId="25" fillId="2" borderId="88" xfId="0" applyNumberFormat="1" applyFont="1" applyFill="1" applyBorder="1" applyAlignment="1" applyProtection="1">
      <alignment horizontal="center" vertical="center" wrapText="1"/>
    </xf>
    <xf numFmtId="49" fontId="25" fillId="2" borderId="89" xfId="0" applyNumberFormat="1" applyFont="1" applyFill="1" applyBorder="1" applyAlignment="1" applyProtection="1">
      <alignment horizontal="center" vertical="center" wrapText="1"/>
    </xf>
    <xf numFmtId="49" fontId="25" fillId="2" borderId="90" xfId="0" applyNumberFormat="1" applyFont="1" applyFill="1" applyBorder="1" applyAlignment="1" applyProtection="1">
      <alignment horizontal="center" vertical="center" wrapText="1"/>
    </xf>
    <xf numFmtId="49" fontId="25" fillId="2" borderId="91" xfId="0" applyNumberFormat="1" applyFont="1" applyFill="1" applyBorder="1" applyAlignment="1" applyProtection="1">
      <alignment horizontal="center" vertical="center" wrapText="1"/>
    </xf>
    <xf numFmtId="49" fontId="32" fillId="0" borderId="0" xfId="0" applyNumberFormat="1" applyFont="1" applyProtection="1"/>
    <xf numFmtId="49" fontId="25" fillId="2" borderId="92" xfId="0" applyNumberFormat="1" applyFont="1" applyFill="1" applyBorder="1" applyAlignment="1" applyProtection="1">
      <alignment horizontal="center" vertical="center" wrapText="1"/>
    </xf>
    <xf numFmtId="49" fontId="25" fillId="2" borderId="93" xfId="0" applyNumberFormat="1" applyFont="1" applyFill="1" applyBorder="1" applyAlignment="1" applyProtection="1">
      <alignment horizontal="center" vertical="center" wrapText="1"/>
    </xf>
    <xf numFmtId="173" fontId="23" fillId="0" borderId="20" xfId="0" applyNumberFormat="1" applyFont="1" applyBorder="1" applyProtection="1"/>
    <xf numFmtId="173" fontId="23" fillId="0" borderId="94" xfId="0" applyNumberFormat="1" applyFont="1" applyBorder="1" applyProtection="1"/>
    <xf numFmtId="0" fontId="23" fillId="0" borderId="9" xfId="0" applyFont="1" applyBorder="1" applyAlignment="1" applyProtection="1">
      <alignment horizontal="left"/>
    </xf>
    <xf numFmtId="49" fontId="29" fillId="4" borderId="41" xfId="0" applyNumberFormat="1" applyFont="1" applyFill="1" applyBorder="1" applyAlignment="1" applyProtection="1">
      <alignment vertical="center" wrapText="1"/>
      <protection locked="0"/>
    </xf>
    <xf numFmtId="0" fontId="29" fillId="4" borderId="25" xfId="0" applyNumberFormat="1" applyFont="1" applyFill="1" applyBorder="1" applyAlignment="1" applyProtection="1">
      <alignment vertical="center" wrapText="1"/>
      <protection locked="0"/>
    </xf>
    <xf numFmtId="0" fontId="29" fillId="4" borderId="25" xfId="0" applyNumberFormat="1" applyFont="1" applyFill="1" applyBorder="1" applyAlignment="1" applyProtection="1">
      <alignment horizontal="left" vertical="center" wrapText="1"/>
      <protection locked="0"/>
    </xf>
    <xf numFmtId="0" fontId="29" fillId="4" borderId="34" xfId="0" applyNumberFormat="1" applyFont="1" applyFill="1" applyBorder="1" applyAlignment="1" applyProtection="1">
      <alignment horizontal="left" vertical="center" wrapText="1"/>
      <protection locked="0"/>
    </xf>
    <xf numFmtId="49" fontId="23" fillId="4" borderId="34" xfId="0" applyNumberFormat="1" applyFont="1" applyFill="1" applyBorder="1" applyAlignment="1" applyProtection="1">
      <alignment horizontal="left"/>
      <protection locked="0"/>
    </xf>
    <xf numFmtId="49" fontId="50" fillId="0" borderId="0" xfId="0" applyNumberFormat="1" applyFont="1" applyFill="1" applyBorder="1" applyAlignment="1" applyProtection="1"/>
    <xf numFmtId="49" fontId="25" fillId="9" borderId="31" xfId="0" applyNumberFormat="1" applyFont="1" applyFill="1" applyBorder="1" applyAlignment="1" applyProtection="1">
      <alignment horizontal="center" vertical="center" wrapText="1"/>
    </xf>
    <xf numFmtId="49" fontId="25" fillId="9" borderId="5" xfId="0" applyNumberFormat="1" applyFont="1" applyFill="1" applyBorder="1" applyAlignment="1" applyProtection="1">
      <alignment horizontal="center" vertical="center" wrapText="1"/>
    </xf>
    <xf numFmtId="0" fontId="25" fillId="9" borderId="5" xfId="0" applyNumberFormat="1" applyFont="1" applyFill="1" applyBorder="1" applyAlignment="1" applyProtection="1">
      <alignment horizontal="center" vertical="center" wrapText="1"/>
    </xf>
    <xf numFmtId="0" fontId="24" fillId="0" borderId="0" xfId="0" applyNumberFormat="1" applyFont="1" applyFill="1" applyAlignment="1" applyProtection="1">
      <alignment vertical="center"/>
    </xf>
    <xf numFmtId="0" fontId="25" fillId="9" borderId="36" xfId="0" applyNumberFormat="1" applyFont="1" applyFill="1" applyBorder="1" applyAlignment="1" applyProtection="1">
      <alignment horizontal="center" vertical="center" wrapText="1"/>
    </xf>
    <xf numFmtId="0" fontId="25" fillId="9" borderId="35" xfId="0" applyNumberFormat="1" applyFont="1" applyFill="1" applyBorder="1" applyAlignment="1" applyProtection="1">
      <alignment horizontal="center" vertical="center" wrapText="1"/>
    </xf>
    <xf numFmtId="0" fontId="51" fillId="0" borderId="0" xfId="0" applyNumberFormat="1" applyFont="1" applyFill="1" applyProtection="1"/>
    <xf numFmtId="0" fontId="23" fillId="0" borderId="95" xfId="0" applyNumberFormat="1" applyFont="1" applyBorder="1" applyProtection="1"/>
    <xf numFmtId="0" fontId="22" fillId="7" borderId="2" xfId="0" applyNumberFormat="1" applyFont="1" applyFill="1" applyBorder="1" applyAlignment="1" applyProtection="1"/>
    <xf numFmtId="0" fontId="23" fillId="0" borderId="0" xfId="0" applyNumberFormat="1" applyFont="1" applyAlignment="1" applyProtection="1">
      <alignment vertical="center" wrapText="1"/>
    </xf>
    <xf numFmtId="0" fontId="38" fillId="0" borderId="96" xfId="0" applyNumberFormat="1" applyFont="1" applyFill="1" applyBorder="1" applyAlignment="1" applyProtection="1">
      <alignment horizontal="center"/>
    </xf>
    <xf numFmtId="0" fontId="38" fillId="0" borderId="58" xfId="0" applyNumberFormat="1" applyFont="1" applyFill="1" applyBorder="1" applyAlignment="1" applyProtection="1">
      <alignment horizontal="center"/>
    </xf>
    <xf numFmtId="0" fontId="25" fillId="6" borderId="8" xfId="0" applyNumberFormat="1" applyFont="1" applyFill="1" applyBorder="1" applyAlignment="1" applyProtection="1">
      <alignment horizontal="center" vertical="center" wrapText="1"/>
    </xf>
    <xf numFmtId="0" fontId="25" fillId="6" borderId="36" xfId="0" applyNumberFormat="1" applyFont="1" applyFill="1" applyBorder="1" applyAlignment="1" applyProtection="1">
      <alignment horizontal="center" vertical="center"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0" fontId="25" fillId="6" borderId="35" xfId="0" applyNumberFormat="1" applyFont="1" applyFill="1" applyBorder="1" applyAlignment="1" applyProtection="1">
      <alignment horizontal="center" vertical="center" wrapText="1"/>
    </xf>
    <xf numFmtId="49" fontId="25" fillId="6" borderId="31" xfId="0" applyNumberFormat="1" applyFont="1" applyFill="1" applyBorder="1" applyAlignment="1" applyProtection="1">
      <alignment horizontal="center" vertical="center" wrapText="1"/>
    </xf>
    <xf numFmtId="0" fontId="38" fillId="0" borderId="58" xfId="0" applyNumberFormat="1" applyFont="1" applyFill="1" applyBorder="1" applyAlignment="1" applyProtection="1">
      <alignment horizontal="center" vertical="center" wrapText="1"/>
    </xf>
    <xf numFmtId="0" fontId="23" fillId="0" borderId="56" xfId="0" applyNumberFormat="1" applyFont="1" applyFill="1" applyBorder="1" applyAlignment="1" applyProtection="1">
      <alignment horizontal="center"/>
    </xf>
    <xf numFmtId="0" fontId="52" fillId="0" borderId="0" xfId="0" applyNumberFormat="1" applyFont="1" applyFill="1" applyAlignment="1" applyProtection="1"/>
    <xf numFmtId="0" fontId="51" fillId="0" borderId="97" xfId="0" applyNumberFormat="1" applyFont="1" applyFill="1" applyBorder="1" applyAlignment="1" applyProtection="1"/>
    <xf numFmtId="180" fontId="54" fillId="0" borderId="0" xfId="0" applyNumberFormat="1" applyFont="1" applyFill="1" applyBorder="1" applyAlignment="1" applyProtection="1"/>
    <xf numFmtId="49" fontId="25" fillId="6" borderId="5" xfId="0" applyNumberFormat="1" applyFont="1" applyFill="1" applyBorder="1" applyAlignment="1" applyProtection="1">
      <alignment horizontal="center"/>
    </xf>
    <xf numFmtId="184" fontId="23" fillId="3" borderId="19" xfId="0" applyNumberFormat="1" applyFont="1" applyFill="1" applyBorder="1" applyAlignment="1" applyProtection="1">
      <alignment horizontal="right" wrapText="1" shrinkToFit="1"/>
      <protection locked="0"/>
    </xf>
    <xf numFmtId="183" fontId="23" fillId="3" borderId="19" xfId="0" applyNumberFormat="1" applyFont="1" applyFill="1" applyBorder="1" applyAlignment="1" applyProtection="1">
      <alignment horizontal="right" wrapText="1" shrinkToFit="1"/>
      <protection locked="0"/>
    </xf>
    <xf numFmtId="0" fontId="23" fillId="0" borderId="99" xfId="0" applyNumberFormat="1" applyFont="1" applyBorder="1" applyAlignment="1" applyProtection="1">
      <alignment horizontal="center"/>
    </xf>
    <xf numFmtId="0" fontId="23" fillId="0" borderId="101" xfId="0" applyNumberFormat="1" applyFont="1" applyBorder="1" applyAlignment="1" applyProtection="1">
      <alignment horizontal="center"/>
    </xf>
    <xf numFmtId="0" fontId="0" fillId="0" borderId="0" xfId="0" applyAlignment="1"/>
    <xf numFmtId="49" fontId="25" fillId="2" borderId="102" xfId="0" applyNumberFormat="1" applyFont="1" applyFill="1" applyBorder="1" applyAlignment="1" applyProtection="1">
      <alignment horizontal="center" vertical="center" wrapText="1"/>
    </xf>
    <xf numFmtId="0" fontId="23" fillId="0" borderId="25" xfId="0" applyNumberFormat="1" applyFont="1" applyFill="1" applyBorder="1" applyAlignment="1" applyProtection="1">
      <alignment horizontal="left" vertical="center"/>
    </xf>
    <xf numFmtId="0" fontId="23" fillId="0" borderId="34" xfId="0" applyNumberFormat="1" applyFont="1" applyFill="1" applyBorder="1" applyAlignment="1" applyProtection="1">
      <alignment horizontal="left" vertical="center"/>
    </xf>
    <xf numFmtId="0" fontId="26" fillId="9" borderId="5" xfId="0" applyNumberFormat="1" applyFont="1" applyFill="1" applyBorder="1" applyAlignment="1" applyProtection="1">
      <alignment horizontal="center" vertical="center" wrapText="1"/>
    </xf>
    <xf numFmtId="0" fontId="25" fillId="2" borderId="103" xfId="0" applyNumberFormat="1" applyFont="1" applyFill="1" applyBorder="1" applyAlignment="1" applyProtection="1">
      <alignment horizontal="left" vertical="center"/>
    </xf>
    <xf numFmtId="175" fontId="56" fillId="3" borderId="26" xfId="0" applyNumberFormat="1" applyFont="1" applyFill="1" applyBorder="1" applyAlignment="1" applyProtection="1">
      <alignment horizontal="right" wrapText="1" shrinkToFit="1"/>
      <protection locked="0"/>
    </xf>
    <xf numFmtId="49" fontId="56" fillId="0" borderId="9" xfId="0" applyNumberFormat="1" applyFont="1" applyFill="1" applyBorder="1" applyAlignment="1" applyProtection="1">
      <alignment horizontal="center" vertical="center" wrapText="1"/>
    </xf>
    <xf numFmtId="0" fontId="26" fillId="6" borderId="5" xfId="0" applyNumberFormat="1" applyFont="1" applyFill="1" applyBorder="1" applyAlignment="1" applyProtection="1">
      <alignment horizontal="center" vertical="center" wrapText="1"/>
    </xf>
    <xf numFmtId="49" fontId="29" fillId="4" borderId="104" xfId="0" applyNumberFormat="1" applyFont="1" applyFill="1" applyBorder="1" applyAlignment="1" applyProtection="1">
      <alignment horizontal="left" wrapText="1" shrinkToFit="1"/>
      <protection locked="0"/>
    </xf>
    <xf numFmtId="49" fontId="29" fillId="4" borderId="41" xfId="0" applyNumberFormat="1" applyFont="1" applyFill="1" applyBorder="1" applyAlignment="1" applyProtection="1">
      <alignment horizontal="left" vertical="center"/>
      <protection locked="0"/>
    </xf>
    <xf numFmtId="49" fontId="29" fillId="4" borderId="16" xfId="0" applyNumberFormat="1" applyFont="1" applyFill="1" applyBorder="1" applyAlignment="1" applyProtection="1">
      <alignment horizontal="left"/>
      <protection locked="0"/>
    </xf>
    <xf numFmtId="0" fontId="55" fillId="0" borderId="105" xfId="0" applyNumberFormat="1" applyFont="1" applyBorder="1" applyAlignment="1" applyProtection="1">
      <alignment horizontal="left"/>
    </xf>
    <xf numFmtId="0" fontId="56" fillId="0" borderId="106" xfId="0" applyNumberFormat="1" applyFont="1" applyBorder="1" applyAlignment="1" applyProtection="1">
      <alignment horizontal="center"/>
    </xf>
    <xf numFmtId="175" fontId="56" fillId="0" borderId="106" xfId="0" applyNumberFormat="1" applyFont="1" applyBorder="1" applyAlignment="1" applyProtection="1">
      <alignment horizontal="right"/>
    </xf>
    <xf numFmtId="0" fontId="56" fillId="0" borderId="107" xfId="0" applyNumberFormat="1" applyFont="1" applyBorder="1" applyAlignment="1" applyProtection="1">
      <alignment horizontal="center"/>
    </xf>
    <xf numFmtId="49" fontId="56" fillId="3" borderId="25" xfId="0" applyNumberFormat="1" applyFont="1" applyFill="1" applyBorder="1" applyAlignment="1" applyProtection="1">
      <alignment horizontal="left" vertical="center"/>
      <protection locked="0"/>
    </xf>
    <xf numFmtId="49" fontId="56" fillId="3" borderId="26" xfId="0" applyNumberFormat="1" applyFont="1" applyFill="1" applyBorder="1" applyAlignment="1" applyProtection="1">
      <alignment horizontal="left" vertical="center"/>
      <protection locked="0"/>
    </xf>
    <xf numFmtId="175" fontId="56" fillId="0" borderId="26" xfId="0" applyNumberFormat="1" applyFont="1" applyBorder="1" applyAlignment="1" applyProtection="1">
      <alignment horizontal="right"/>
    </xf>
    <xf numFmtId="0" fontId="56" fillId="3" borderId="26" xfId="0" applyNumberFormat="1" applyFont="1" applyFill="1" applyBorder="1" applyAlignment="1" applyProtection="1">
      <alignment horizontal="left" vertical="center"/>
      <protection locked="0"/>
    </xf>
    <xf numFmtId="0" fontId="56" fillId="3" borderId="26" xfId="0" applyNumberFormat="1" applyFont="1" applyFill="1" applyBorder="1" applyAlignment="1" applyProtection="1">
      <alignment horizontal="left" vertical="center" wrapText="1"/>
      <protection locked="0"/>
    </xf>
    <xf numFmtId="0" fontId="26" fillId="9" borderId="7" xfId="0" applyNumberFormat="1" applyFont="1" applyFill="1" applyBorder="1" applyAlignment="1" applyProtection="1">
      <alignment horizontal="center" vertical="center" wrapText="1"/>
    </xf>
    <xf numFmtId="14" fontId="25" fillId="2" borderId="7" xfId="0" applyNumberFormat="1" applyFont="1" applyFill="1" applyBorder="1" applyAlignment="1" applyProtection="1">
      <alignment horizontal="center" vertical="center" wrapText="1"/>
    </xf>
    <xf numFmtId="49" fontId="25" fillId="2" borderId="108" xfId="0" applyNumberFormat="1" applyFont="1" applyFill="1" applyBorder="1" applyAlignment="1" applyProtection="1">
      <alignment horizontal="center" vertical="center" wrapText="1"/>
    </xf>
    <xf numFmtId="186" fontId="26" fillId="6" borderId="5" xfId="0" applyNumberFormat="1" applyFont="1" applyFill="1" applyBorder="1" applyAlignment="1" applyProtection="1">
      <alignment horizontal="center" vertical="center" wrapText="1"/>
    </xf>
    <xf numFmtId="0" fontId="56" fillId="0" borderId="105" xfId="0" applyNumberFormat="1" applyFont="1" applyBorder="1" applyAlignment="1" applyProtection="1">
      <alignment horizontal="center"/>
    </xf>
    <xf numFmtId="10" fontId="56" fillId="3" borderId="26" xfId="0" applyNumberFormat="1" applyFont="1" applyFill="1" applyBorder="1" applyAlignment="1" applyProtection="1">
      <alignment horizontal="left" vertical="top" wrapText="1" indent="2"/>
      <protection locked="0"/>
    </xf>
    <xf numFmtId="49" fontId="56" fillId="3" borderId="26" xfId="0" applyNumberFormat="1" applyFont="1" applyFill="1" applyBorder="1" applyAlignment="1" applyProtection="1">
      <alignment horizontal="left" vertical="top" wrapText="1" indent="2"/>
      <protection locked="0"/>
    </xf>
    <xf numFmtId="14" fontId="56" fillId="3" borderId="26" xfId="0" applyNumberFormat="1" applyFont="1" applyFill="1" applyBorder="1" applyAlignment="1" applyProtection="1">
      <alignment horizontal="left" vertical="center"/>
      <protection locked="0"/>
    </xf>
    <xf numFmtId="49" fontId="56" fillId="3" borderId="32" xfId="0" applyNumberFormat="1" applyFont="1" applyFill="1" applyBorder="1" applyAlignment="1" applyProtection="1">
      <alignment horizontal="left" vertical="top"/>
      <protection locked="0"/>
    </xf>
    <xf numFmtId="14" fontId="26" fillId="9" borderId="7" xfId="0" applyNumberFormat="1" applyFont="1" applyFill="1" applyBorder="1" applyAlignment="1" applyProtection="1">
      <alignment horizontal="center" vertical="center" wrapText="1"/>
    </xf>
    <xf numFmtId="175" fontId="56" fillId="3" borderId="26" xfId="0" applyNumberFormat="1" applyFont="1" applyFill="1" applyBorder="1" applyAlignment="1" applyProtection="1">
      <alignment horizontal="right" vertical="center"/>
      <protection locked="0"/>
    </xf>
    <xf numFmtId="49" fontId="56" fillId="3" borderId="32" xfId="0" applyNumberFormat="1" applyFont="1" applyFill="1" applyBorder="1" applyAlignment="1" applyProtection="1">
      <alignment horizontal="right" vertical="center"/>
      <protection locked="0"/>
    </xf>
    <xf numFmtId="175" fontId="56" fillId="0" borderId="106" xfId="0" applyNumberFormat="1" applyFont="1" applyBorder="1" applyAlignment="1" applyProtection="1">
      <alignment horizontal="right" vertical="center"/>
    </xf>
    <xf numFmtId="175" fontId="56" fillId="0" borderId="26" xfId="0" applyNumberFormat="1" applyFont="1" applyBorder="1" applyAlignment="1" applyProtection="1">
      <alignment horizontal="right" vertical="center"/>
    </xf>
    <xf numFmtId="169" fontId="56" fillId="0" borderId="6" xfId="0" applyNumberFormat="1" applyFont="1" applyBorder="1" applyAlignment="1" applyProtection="1">
      <alignment horizontal="right"/>
    </xf>
    <xf numFmtId="49" fontId="19" fillId="0" borderId="1" xfId="0" applyNumberFormat="1" applyFont="1" applyBorder="1" applyAlignment="1" applyProtection="1">
      <alignment wrapText="1"/>
    </xf>
    <xf numFmtId="0" fontId="23" fillId="0" borderId="0" xfId="0" applyNumberFormat="1" applyFont="1" applyAlignment="1" applyProtection="1">
      <alignment wrapText="1"/>
    </xf>
    <xf numFmtId="0" fontId="24" fillId="0" borderId="0" xfId="0" applyNumberFormat="1" applyFont="1" applyAlignment="1" applyProtection="1">
      <alignment wrapText="1"/>
    </xf>
    <xf numFmtId="49" fontId="29" fillId="0" borderId="48" xfId="0" applyNumberFormat="1" applyFont="1" applyBorder="1" applyAlignment="1" applyProtection="1">
      <alignment horizontal="center" wrapText="1"/>
    </xf>
    <xf numFmtId="49" fontId="29" fillId="0" borderId="6" xfId="0" applyNumberFormat="1" applyFont="1" applyBorder="1" applyAlignment="1" applyProtection="1">
      <alignment horizontal="center" wrapText="1"/>
    </xf>
    <xf numFmtId="0" fontId="29" fillId="0" borderId="14" xfId="0" applyNumberFormat="1" applyFont="1" applyFill="1" applyBorder="1" applyAlignment="1" applyProtection="1">
      <alignment horizontal="left" vertical="top" wrapText="1"/>
    </xf>
    <xf numFmtId="169" fontId="56" fillId="3" borderId="58" xfId="0" applyNumberFormat="1" applyFont="1" applyFill="1" applyBorder="1" applyAlignment="1" applyProtection="1">
      <alignment horizontal="right" wrapText="1" shrinkToFit="1"/>
      <protection locked="0"/>
    </xf>
    <xf numFmtId="49" fontId="26" fillId="2" borderId="5" xfId="0" applyNumberFormat="1" applyFont="1" applyFill="1" applyBorder="1" applyAlignment="1" applyProtection="1">
      <alignment horizontal="center" vertical="center" wrapText="1"/>
    </xf>
    <xf numFmtId="0" fontId="56" fillId="0" borderId="6" xfId="0" applyNumberFormat="1" applyFont="1" applyFill="1" applyBorder="1" applyAlignment="1" applyProtection="1">
      <alignment horizontal="right"/>
    </xf>
    <xf numFmtId="169" fontId="56" fillId="0" borderId="6" xfId="0" applyNumberFormat="1" applyFont="1" applyBorder="1" applyAlignment="1" applyProtection="1">
      <alignment horizontal="center"/>
    </xf>
    <xf numFmtId="49" fontId="56" fillId="3" borderId="9" xfId="0" applyNumberFormat="1" applyFont="1" applyFill="1" applyBorder="1" applyAlignment="1" applyProtection="1">
      <alignment horizontal="right" wrapText="1" shrinkToFit="1"/>
      <protection locked="0"/>
    </xf>
    <xf numFmtId="169" fontId="56" fillId="0" borderId="9" xfId="0" applyNumberFormat="1" applyFont="1" applyBorder="1" applyAlignment="1" applyProtection="1">
      <alignment horizontal="center"/>
    </xf>
    <xf numFmtId="49" fontId="25" fillId="0" borderId="48" xfId="0" applyNumberFormat="1" applyFont="1" applyBorder="1" applyAlignment="1" applyProtection="1">
      <alignment horizontal="center" wrapText="1"/>
    </xf>
    <xf numFmtId="49" fontId="25" fillId="0" borderId="48" xfId="0" applyNumberFormat="1" applyFont="1" applyBorder="1" applyAlignment="1" applyProtection="1">
      <alignment horizontal="center"/>
    </xf>
    <xf numFmtId="0" fontId="26" fillId="6" borderId="7" xfId="0" applyNumberFormat="1" applyFont="1" applyFill="1" applyBorder="1" applyAlignment="1" applyProtection="1">
      <alignment horizontal="left" vertical="center"/>
    </xf>
    <xf numFmtId="0" fontId="25" fillId="2" borderId="109" xfId="0" applyNumberFormat="1" applyFont="1" applyFill="1" applyBorder="1" applyAlignment="1" applyProtection="1">
      <alignment vertical="center" wrapText="1"/>
    </xf>
    <xf numFmtId="49" fontId="23" fillId="3" borderId="111" xfId="0" applyNumberFormat="1" applyFont="1" applyFill="1" applyBorder="1" applyAlignment="1" applyProtection="1">
      <alignment horizontal="right" wrapText="1" shrinkToFit="1"/>
      <protection locked="0"/>
    </xf>
    <xf numFmtId="0" fontId="27" fillId="0" borderId="10" xfId="0" applyFont="1" applyBorder="1" applyAlignment="1" applyProtection="1">
      <alignment wrapText="1"/>
    </xf>
    <xf numFmtId="0" fontId="24" fillId="0" borderId="0" xfId="0" applyNumberFormat="1" applyFont="1" applyFill="1" applyBorder="1" applyAlignment="1" applyProtection="1">
      <alignment wrapText="1"/>
    </xf>
    <xf numFmtId="0" fontId="29" fillId="0" borderId="6" xfId="0" applyFont="1" applyBorder="1" applyAlignment="1" applyProtection="1">
      <alignment horizontal="center" wrapText="1"/>
    </xf>
    <xf numFmtId="49" fontId="30" fillId="0" borderId="6" xfId="0" applyNumberFormat="1" applyFont="1" applyFill="1" applyBorder="1" applyAlignment="1" applyProtection="1">
      <alignment horizontal="left" vertical="center" wrapText="1"/>
    </xf>
    <xf numFmtId="49" fontId="29" fillId="0" borderId="6" xfId="0" applyNumberFormat="1" applyFont="1" applyFill="1" applyBorder="1" applyAlignment="1" applyProtection="1">
      <alignment horizontal="left" vertical="top" wrapText="1"/>
    </xf>
    <xf numFmtId="49" fontId="29" fillId="0" borderId="6" xfId="0" applyNumberFormat="1" applyFont="1" applyFill="1" applyBorder="1" applyAlignment="1" applyProtection="1">
      <alignment horizontal="left" vertical="center" wrapText="1"/>
    </xf>
    <xf numFmtId="49" fontId="29" fillId="0" borderId="6" xfId="0" applyNumberFormat="1" applyFont="1" applyFill="1" applyBorder="1" applyAlignment="1" applyProtection="1">
      <alignment horizontal="center" vertical="top" wrapText="1"/>
    </xf>
    <xf numFmtId="0" fontId="27" fillId="0" borderId="10" xfId="0" applyFont="1" applyBorder="1" applyAlignment="1" applyProtection="1">
      <alignment vertical="center" wrapText="1"/>
    </xf>
    <xf numFmtId="0" fontId="23" fillId="0" borderId="0" xfId="0" applyNumberFormat="1" applyFont="1" applyFill="1" applyBorder="1" applyAlignment="1" applyProtection="1">
      <alignment vertical="center" wrapText="1"/>
    </xf>
    <xf numFmtId="0" fontId="24" fillId="0" borderId="0" xfId="0" applyNumberFormat="1" applyFont="1" applyFill="1" applyBorder="1" applyAlignment="1" applyProtection="1">
      <alignment vertical="center" wrapText="1"/>
    </xf>
    <xf numFmtId="0" fontId="0" fillId="0" borderId="0" xfId="0" applyAlignment="1">
      <alignment vertical="center" wrapText="1"/>
    </xf>
    <xf numFmtId="0" fontId="25" fillId="0" borderId="0" xfId="0" applyNumberFormat="1" applyFont="1" applyFill="1" applyBorder="1" applyAlignment="1" applyProtection="1">
      <alignment vertical="center"/>
    </xf>
    <xf numFmtId="173" fontId="23" fillId="0" borderId="0" xfId="0" applyNumberFormat="1" applyFont="1" applyFill="1" applyBorder="1" applyAlignment="1" applyProtection="1">
      <alignment horizontal="center"/>
    </xf>
    <xf numFmtId="173" fontId="27" fillId="0" borderId="112" xfId="0" applyNumberFormat="1" applyFont="1" applyBorder="1" applyAlignment="1" applyProtection="1">
      <alignment horizontal="center"/>
    </xf>
    <xf numFmtId="49" fontId="25" fillId="2" borderId="29" xfId="0" applyNumberFormat="1" applyFont="1" applyFill="1" applyBorder="1" applyAlignment="1" applyProtection="1">
      <alignment horizontal="center" vertical="center" wrapText="1"/>
    </xf>
    <xf numFmtId="175" fontId="56" fillId="0" borderId="105" xfId="0" applyNumberFormat="1" applyFont="1" applyBorder="1" applyAlignment="1" applyProtection="1">
      <alignment wrapText="1"/>
    </xf>
    <xf numFmtId="0" fontId="55" fillId="8" borderId="25" xfId="0" applyNumberFormat="1" applyFont="1" applyFill="1" applyBorder="1" applyAlignment="1" applyProtection="1">
      <alignment vertical="center" wrapText="1"/>
    </xf>
    <xf numFmtId="0" fontId="56" fillId="8" borderId="25" xfId="0" applyNumberFormat="1" applyFont="1" applyFill="1" applyBorder="1" applyAlignment="1" applyProtection="1">
      <alignment vertical="center" wrapText="1"/>
    </xf>
    <xf numFmtId="0" fontId="24" fillId="0" borderId="0" xfId="0" applyFont="1" applyAlignment="1" applyProtection="1">
      <alignment wrapText="1"/>
    </xf>
    <xf numFmtId="49" fontId="23" fillId="0" borderId="34" xfId="0" applyNumberFormat="1" applyFont="1" applyFill="1" applyBorder="1" applyAlignment="1" applyProtection="1">
      <alignment horizontal="left" vertical="center" wrapText="1"/>
    </xf>
    <xf numFmtId="0" fontId="0" fillId="0" borderId="1" xfId="0" applyFont="1" applyBorder="1" applyAlignment="1" applyProtection="1"/>
    <xf numFmtId="0" fontId="0" fillId="0" borderId="0" xfId="0" applyFont="1" applyAlignment="1" applyProtection="1"/>
    <xf numFmtId="0" fontId="24" fillId="0" borderId="0" xfId="0" applyNumberFormat="1" applyFont="1" applyAlignment="1" applyProtection="1"/>
    <xf numFmtId="0" fontId="23" fillId="0" borderId="0" xfId="0" applyNumberFormat="1" applyFont="1" applyAlignment="1" applyProtection="1"/>
    <xf numFmtId="49" fontId="25" fillId="2" borderId="114" xfId="0" applyNumberFormat="1" applyFont="1" applyFill="1" applyBorder="1" applyAlignment="1" applyProtection="1">
      <alignment horizontal="center" vertical="center"/>
    </xf>
    <xf numFmtId="0" fontId="35" fillId="0" borderId="0" xfId="0" applyNumberFormat="1" applyFont="1" applyProtection="1"/>
    <xf numFmtId="0" fontId="48" fillId="0" borderId="0" xfId="0" applyFont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0" fontId="58" fillId="10" borderId="0" xfId="0" applyFont="1" applyFill="1" applyBorder="1" applyAlignment="1">
      <alignment horizontal="center" vertical="center" wrapText="1"/>
    </xf>
    <xf numFmtId="0" fontId="22" fillId="0" borderId="2" xfId="0" applyFont="1" applyBorder="1" applyAlignment="1" applyProtection="1">
      <alignment wrapText="1"/>
    </xf>
    <xf numFmtId="0" fontId="23" fillId="0" borderId="0" xfId="0" applyFont="1" applyAlignment="1" applyProtection="1">
      <alignment wrapText="1"/>
    </xf>
    <xf numFmtId="49" fontId="23" fillId="3" borderId="6" xfId="0" applyNumberFormat="1" applyFont="1" applyFill="1" applyBorder="1" applyAlignment="1" applyProtection="1">
      <alignment horizontal="left" vertical="center" wrapText="1"/>
      <protection locked="0"/>
    </xf>
    <xf numFmtId="0" fontId="27" fillId="0" borderId="0" xfId="0" applyNumberFormat="1" applyFont="1" applyFill="1" applyBorder="1" applyAlignment="1" applyProtection="1">
      <alignment wrapText="1"/>
    </xf>
    <xf numFmtId="0" fontId="22" fillId="0" borderId="2" xfId="0" applyNumberFormat="1" applyFont="1" applyFill="1" applyBorder="1" applyAlignment="1" applyProtection="1">
      <alignment wrapText="1"/>
    </xf>
    <xf numFmtId="49" fontId="29" fillId="0" borderId="14" xfId="0" applyNumberFormat="1" applyFont="1" applyFill="1" applyBorder="1" applyAlignment="1" applyProtection="1">
      <alignment vertical="center" wrapText="1"/>
    </xf>
    <xf numFmtId="49" fontId="30" fillId="0" borderId="14" xfId="0" applyNumberFormat="1" applyFont="1" applyFill="1" applyBorder="1" applyAlignment="1" applyProtection="1">
      <alignment horizontal="left" vertical="top" wrapText="1"/>
    </xf>
    <xf numFmtId="49" fontId="29" fillId="0" borderId="14" xfId="0" applyNumberFormat="1" applyFont="1" applyFill="1" applyBorder="1" applyAlignment="1" applyProtection="1">
      <alignment horizontal="left" vertical="top" wrapText="1"/>
    </xf>
    <xf numFmtId="49" fontId="29" fillId="0" borderId="14" xfId="0" applyNumberFormat="1" applyFont="1" applyFill="1" applyBorder="1" applyAlignment="1" applyProtection="1">
      <alignment horizontal="left" vertical="center" wrapText="1"/>
    </xf>
    <xf numFmtId="49" fontId="56" fillId="3" borderId="58" xfId="0" applyNumberFormat="1" applyFont="1" applyFill="1" applyBorder="1" applyAlignment="1" applyProtection="1">
      <alignment vertical="center" wrapText="1"/>
      <protection locked="0"/>
    </xf>
    <xf numFmtId="0" fontId="22" fillId="0" borderId="2" xfId="0" applyNumberFormat="1" applyFont="1" applyFill="1" applyBorder="1" applyAlignment="1" applyProtection="1">
      <alignment horizontal="center" wrapText="1"/>
    </xf>
    <xf numFmtId="0" fontId="22" fillId="0" borderId="2" xfId="0" applyNumberFormat="1" applyFont="1" applyFill="1" applyBorder="1" applyAlignment="1" applyProtection="1">
      <alignment horizontal="left" vertical="center"/>
    </xf>
    <xf numFmtId="0" fontId="22" fillId="0" borderId="2" xfId="0" applyNumberFormat="1" applyFont="1" applyFill="1" applyBorder="1" applyAlignment="1" applyProtection="1">
      <alignment vertical="center"/>
    </xf>
    <xf numFmtId="0" fontId="0" fillId="0" borderId="1" xfId="0" applyFont="1" applyBorder="1" applyAlignment="1" applyProtection="1">
      <alignment wrapText="1"/>
    </xf>
    <xf numFmtId="175" fontId="56" fillId="3" borderId="27" xfId="0" applyNumberFormat="1" applyFont="1" applyFill="1" applyBorder="1" applyAlignment="1" applyProtection="1">
      <alignment horizontal="right" wrapText="1" shrinkToFit="1"/>
      <protection locked="0"/>
    </xf>
    <xf numFmtId="49" fontId="24" fillId="0" borderId="0" xfId="0" applyNumberFormat="1" applyFont="1" applyFill="1" applyProtection="1"/>
    <xf numFmtId="49" fontId="24" fillId="0" borderId="39" xfId="0" applyNumberFormat="1" applyFont="1" applyFill="1" applyBorder="1" applyAlignment="1" applyProtection="1">
      <alignment horizontal="left" vertical="center" wrapText="1"/>
    </xf>
    <xf numFmtId="49" fontId="23" fillId="0" borderId="39" xfId="0" applyNumberFormat="1" applyFont="1" applyFill="1" applyBorder="1" applyAlignment="1" applyProtection="1">
      <alignment horizontal="left" vertical="center" wrapText="1"/>
    </xf>
    <xf numFmtId="49" fontId="23" fillId="0" borderId="34" xfId="0" applyNumberFormat="1" applyFont="1" applyFill="1" applyBorder="1" applyAlignment="1" applyProtection="1">
      <alignment horizontal="left" vertical="center" wrapText="1" shrinkToFit="1"/>
    </xf>
    <xf numFmtId="0" fontId="22" fillId="0" borderId="0" xfId="0" applyFont="1" applyBorder="1" applyAlignment="1" applyProtection="1">
      <alignment wrapText="1"/>
    </xf>
    <xf numFmtId="0" fontId="29" fillId="0" borderId="6" xfId="0" applyNumberFormat="1" applyFont="1" applyFill="1" applyBorder="1" applyAlignment="1" applyProtection="1">
      <alignment horizontal="left" vertical="center" wrapText="1"/>
    </xf>
    <xf numFmtId="0" fontId="22" fillId="0" borderId="2" xfId="0" applyFont="1" applyBorder="1" applyAlignment="1" applyProtection="1">
      <alignment vertical="center" wrapText="1"/>
    </xf>
    <xf numFmtId="0" fontId="22" fillId="0" borderId="2" xfId="0" applyNumberFormat="1" applyFont="1" applyFill="1" applyBorder="1" applyAlignment="1" applyProtection="1">
      <alignment vertical="center" wrapText="1"/>
    </xf>
    <xf numFmtId="0" fontId="25" fillId="2" borderId="115" xfId="0" applyNumberFormat="1" applyFont="1" applyFill="1" applyBorder="1" applyAlignment="1" applyProtection="1">
      <alignment horizontal="center" vertical="center" wrapText="1"/>
    </xf>
    <xf numFmtId="0" fontId="25" fillId="2" borderId="116" xfId="0" applyNumberFormat="1" applyFont="1" applyFill="1" applyBorder="1" applyAlignment="1" applyProtection="1">
      <alignment horizontal="center" vertical="center" wrapText="1"/>
    </xf>
    <xf numFmtId="0" fontId="34" fillId="0" borderId="14" xfId="0" applyNumberFormat="1" applyFont="1" applyFill="1" applyBorder="1" applyAlignment="1" applyProtection="1">
      <alignment horizontal="left" vertical="center" wrapText="1"/>
    </xf>
    <xf numFmtId="0" fontId="34" fillId="0" borderId="9" xfId="0" applyNumberFormat="1" applyFont="1" applyFill="1" applyBorder="1" applyAlignment="1" applyProtection="1">
      <alignment horizontal="left" vertical="center" wrapText="1"/>
    </xf>
    <xf numFmtId="49" fontId="34" fillId="0" borderId="14" xfId="0" applyNumberFormat="1" applyFont="1" applyFill="1" applyBorder="1" applyAlignment="1" applyProtection="1">
      <alignment horizontal="left" vertical="center" wrapText="1"/>
    </xf>
    <xf numFmtId="0" fontId="0" fillId="0" borderId="0" xfId="0" applyFill="1"/>
    <xf numFmtId="0" fontId="27" fillId="0" borderId="0" xfId="0" applyFont="1" applyAlignment="1"/>
    <xf numFmtId="0" fontId="22" fillId="0" borderId="2" xfId="0" applyFont="1" applyBorder="1" applyAlignment="1" applyProtection="1"/>
    <xf numFmtId="0" fontId="22" fillId="0" borderId="0" xfId="0" quotePrefix="1" applyNumberFormat="1" applyFont="1" applyFill="1" applyBorder="1" applyAlignment="1" applyProtection="1"/>
    <xf numFmtId="0" fontId="23" fillId="0" borderId="54" xfId="0" quotePrefix="1" applyNumberFormat="1" applyFont="1" applyBorder="1" applyAlignment="1" applyProtection="1">
      <alignment horizontal="center"/>
    </xf>
    <xf numFmtId="0" fontId="23" fillId="0" borderId="0" xfId="0" quotePrefix="1" applyNumberFormat="1" applyFont="1" applyProtection="1"/>
    <xf numFmtId="0" fontId="23" fillId="0" borderId="0" xfId="0" quotePrefix="1" applyNumberFormat="1" applyFont="1" applyAlignment="1" applyProtection="1"/>
    <xf numFmtId="173" fontId="29" fillId="3" borderId="6" xfId="0" applyNumberFormat="1" applyFont="1" applyFill="1" applyBorder="1" applyAlignment="1" applyProtection="1">
      <alignment horizontal="right" shrinkToFit="1"/>
      <protection locked="0"/>
    </xf>
    <xf numFmtId="10" fontId="29" fillId="3" borderId="6" xfId="0" applyNumberFormat="1" applyFont="1" applyFill="1" applyBorder="1" applyAlignment="1" applyProtection="1">
      <alignment horizontal="right" shrinkToFit="1"/>
      <protection locked="0"/>
    </xf>
    <xf numFmtId="0" fontId="19" fillId="0" borderId="1" xfId="0" applyFont="1" applyBorder="1" applyAlignment="1" applyProtection="1"/>
    <xf numFmtId="0" fontId="23" fillId="0" borderId="55" xfId="0" applyNumberFormat="1" applyFont="1" applyFill="1" applyBorder="1" applyAlignment="1" applyProtection="1"/>
    <xf numFmtId="0" fontId="23" fillId="0" borderId="55" xfId="0" applyNumberFormat="1" applyFont="1" applyBorder="1" applyAlignment="1" applyProtection="1"/>
    <xf numFmtId="0" fontId="23" fillId="0" borderId="0" xfId="0" quotePrefix="1" applyNumberFormat="1" applyFont="1" applyBorder="1" applyAlignment="1" applyProtection="1"/>
    <xf numFmtId="0" fontId="23" fillId="0" borderId="0" xfId="0" quotePrefix="1" applyNumberFormat="1" applyFont="1" applyBorder="1" applyAlignment="1" applyProtection="1">
      <alignment horizontal="center"/>
    </xf>
    <xf numFmtId="0" fontId="23" fillId="0" borderId="0" xfId="0" quotePrefix="1" applyNumberFormat="1" applyFont="1" applyFill="1" applyBorder="1" applyAlignment="1" applyProtection="1">
      <alignment horizontal="center"/>
    </xf>
    <xf numFmtId="0" fontId="22" fillId="0" borderId="0" xfId="0" quotePrefix="1" applyNumberFormat="1" applyFont="1" applyFill="1" applyBorder="1" applyAlignment="1" applyProtection="1">
      <alignment horizontal="left"/>
    </xf>
    <xf numFmtId="0" fontId="23" fillId="0" borderId="0" xfId="0" quotePrefix="1" applyNumberFormat="1" applyFont="1" applyFill="1" applyBorder="1" applyAlignment="1" applyProtection="1"/>
    <xf numFmtId="49" fontId="23" fillId="0" borderId="0" xfId="0" quotePrefix="1" applyNumberFormat="1" applyFont="1" applyFill="1" applyBorder="1" applyAlignment="1" applyProtection="1">
      <alignment vertical="center" wrapText="1"/>
    </xf>
    <xf numFmtId="173" fontId="27" fillId="0" borderId="0" xfId="0" applyNumberFormat="1" applyFont="1" applyBorder="1" applyAlignment="1" applyProtection="1">
      <alignment horizontal="center"/>
    </xf>
    <xf numFmtId="49" fontId="19" fillId="0" borderId="1" xfId="0" applyNumberFormat="1" applyFont="1" applyBorder="1" applyAlignment="1" applyProtection="1"/>
    <xf numFmtId="49" fontId="19" fillId="0" borderId="1" xfId="0" applyNumberFormat="1" applyFont="1" applyBorder="1" applyAlignment="1" applyProtection="1">
      <alignment horizontal="left"/>
    </xf>
    <xf numFmtId="0" fontId="23" fillId="0" borderId="0" xfId="0" applyNumberFormat="1" applyFont="1" applyAlignment="1" applyProtection="1">
      <alignment horizontal="left"/>
    </xf>
    <xf numFmtId="0" fontId="27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19" fillId="0" borderId="1" xfId="0" applyNumberFormat="1" applyFont="1" applyBorder="1" applyAlignment="1" applyProtection="1"/>
    <xf numFmtId="0" fontId="25" fillId="2" borderId="102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Alignment="1" applyProtection="1"/>
    <xf numFmtId="0" fontId="23" fillId="0" borderId="0" xfId="0" quotePrefix="1" applyNumberFormat="1" applyFont="1" applyAlignment="1" applyProtection="1">
      <alignment horizontal="center"/>
    </xf>
    <xf numFmtId="169" fontId="29" fillId="3" borderId="6" xfId="0" applyNumberFormat="1" applyFont="1" applyFill="1" applyBorder="1" applyAlignment="1" applyProtection="1">
      <alignment horizontal="right" shrinkToFit="1"/>
      <protection locked="0"/>
    </xf>
    <xf numFmtId="169" fontId="29" fillId="3" borderId="41" xfId="0" applyNumberFormat="1" applyFont="1" applyFill="1" applyBorder="1" applyAlignment="1" applyProtection="1">
      <alignment horizontal="right" shrinkToFit="1"/>
      <protection locked="0"/>
    </xf>
    <xf numFmtId="169" fontId="29" fillId="3" borderId="6" xfId="0" applyNumberFormat="1" applyFont="1" applyFill="1" applyBorder="1" applyAlignment="1" applyProtection="1">
      <protection locked="0"/>
    </xf>
    <xf numFmtId="0" fontId="26" fillId="6" borderId="5" xfId="0" applyNumberFormat="1" applyFont="1" applyFill="1" applyBorder="1" applyAlignment="1" applyProtection="1">
      <alignment horizontal="center" vertical="center"/>
    </xf>
    <xf numFmtId="49" fontId="25" fillId="6" borderId="5" xfId="0" applyNumberFormat="1" applyFont="1" applyFill="1" applyBorder="1" applyAlignment="1" applyProtection="1">
      <alignment horizontal="center" vertical="center"/>
    </xf>
    <xf numFmtId="49" fontId="23" fillId="0" borderId="21" xfId="0" applyNumberFormat="1" applyFont="1" applyFill="1" applyBorder="1" applyAlignment="1" applyProtection="1">
      <alignment horizontal="left" vertical="top"/>
    </xf>
    <xf numFmtId="49" fontId="23" fillId="0" borderId="67" xfId="0" applyNumberFormat="1" applyFont="1" applyFill="1" applyBorder="1" applyAlignment="1" applyProtection="1">
      <alignment horizontal="left" vertical="top"/>
    </xf>
    <xf numFmtId="0" fontId="22" fillId="0" borderId="0" xfId="0" applyFont="1" applyBorder="1" applyAlignment="1" applyProtection="1"/>
    <xf numFmtId="0" fontId="19" fillId="0" borderId="0" xfId="0" applyFont="1" applyBorder="1" applyAlignment="1" applyProtection="1"/>
    <xf numFmtId="0" fontId="25" fillId="2" borderId="8" xfId="0" applyNumberFormat="1" applyFont="1" applyFill="1" applyBorder="1" applyAlignment="1" applyProtection="1">
      <alignment vertical="center"/>
    </xf>
    <xf numFmtId="49" fontId="25" fillId="2" borderId="60" xfId="0" applyNumberFormat="1" applyFont="1" applyFill="1" applyBorder="1" applyAlignment="1" applyProtection="1">
      <alignment horizontal="center" vertical="center"/>
    </xf>
    <xf numFmtId="0" fontId="0" fillId="0" borderId="0" xfId="0" quotePrefix="1" applyFont="1" applyProtection="1"/>
    <xf numFmtId="49" fontId="56" fillId="0" borderId="6" xfId="0" applyNumberFormat="1" applyFont="1" applyFill="1" applyBorder="1" applyAlignment="1" applyProtection="1">
      <alignment horizontal="center" vertical="center"/>
    </xf>
    <xf numFmtId="14" fontId="57" fillId="0" borderId="0" xfId="0" applyNumberFormat="1" applyFont="1" applyFill="1" applyBorder="1" applyAlignment="1" applyProtection="1">
      <alignment horizontal="left" vertical="center" wrapText="1" indent="1"/>
    </xf>
    <xf numFmtId="49" fontId="23" fillId="0" borderId="6" xfId="0" applyNumberFormat="1" applyFont="1" applyFill="1" applyBorder="1" applyAlignment="1" applyProtection="1">
      <alignment horizontal="left" wrapText="1" shrinkToFit="1"/>
    </xf>
    <xf numFmtId="169" fontId="23" fillId="0" borderId="84" xfId="0" applyNumberFormat="1" applyFont="1" applyFill="1" applyBorder="1" applyAlignment="1" applyProtection="1">
      <alignment horizontal="right"/>
    </xf>
    <xf numFmtId="169" fontId="23" fillId="3" borderId="84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65" xfId="0" applyNumberFormat="1" applyFont="1" applyFill="1" applyBorder="1" applyAlignment="1" applyProtection="1">
      <alignment vertical="center"/>
      <protection locked="0"/>
    </xf>
    <xf numFmtId="0" fontId="24" fillId="0" borderId="14" xfId="0" applyNumberFormat="1" applyFont="1" applyFill="1" applyBorder="1" applyAlignment="1" applyProtection="1">
      <alignment vertical="center"/>
    </xf>
    <xf numFmtId="0" fontId="23" fillId="0" borderId="14" xfId="0" applyNumberFormat="1" applyFont="1" applyFill="1" applyBorder="1" applyAlignment="1" applyProtection="1">
      <alignment horizontal="left" vertical="center" wrapText="1" indent="1"/>
    </xf>
    <xf numFmtId="0" fontId="23" fillId="0" borderId="14" xfId="0" applyNumberFormat="1" applyFont="1" applyFill="1" applyBorder="1" applyAlignment="1" applyProtection="1">
      <alignment horizontal="left" vertical="center" wrapText="1" indent="2"/>
    </xf>
    <xf numFmtId="0" fontId="0" fillId="7" borderId="0" xfId="0" applyFill="1" applyBorder="1"/>
    <xf numFmtId="0" fontId="23" fillId="7" borderId="0" xfId="0" applyNumberFormat="1" applyFont="1" applyFill="1" applyBorder="1" applyProtection="1"/>
    <xf numFmtId="175" fontId="23" fillId="7" borderId="0" xfId="0" applyNumberFormat="1" applyFont="1" applyFill="1" applyBorder="1" applyAlignment="1" applyProtection="1">
      <alignment horizontal="right"/>
    </xf>
    <xf numFmtId="175" fontId="23" fillId="7" borderId="0" xfId="0" applyNumberFormat="1" applyFont="1" applyFill="1" applyBorder="1" applyAlignment="1" applyProtection="1">
      <alignment horizontal="right" wrapText="1" shrinkToFit="1"/>
    </xf>
    <xf numFmtId="175" fontId="23" fillId="11" borderId="0" xfId="0" applyNumberFormat="1" applyFont="1" applyFill="1" applyBorder="1" applyAlignment="1" applyProtection="1">
      <alignment horizontal="right" wrapText="1" shrinkToFit="1"/>
      <protection locked="0"/>
    </xf>
    <xf numFmtId="175" fontId="23" fillId="11" borderId="0" xfId="0" applyNumberFormat="1" applyFont="1" applyFill="1" applyBorder="1" applyAlignment="1" applyProtection="1">
      <alignment horizontal="right"/>
      <protection locked="0"/>
    </xf>
    <xf numFmtId="0" fontId="0" fillId="7" borderId="0" xfId="0" applyFont="1" applyFill="1" applyBorder="1" applyProtection="1"/>
    <xf numFmtId="49" fontId="25" fillId="2" borderId="117" xfId="0" applyNumberFormat="1" applyFont="1" applyFill="1" applyBorder="1" applyAlignment="1" applyProtection="1">
      <alignment horizontal="center"/>
    </xf>
    <xf numFmtId="49" fontId="29" fillId="3" borderId="9" xfId="0" applyNumberFormat="1" applyFont="1" applyFill="1" applyBorder="1" applyAlignment="1" applyProtection="1">
      <alignment horizontal="right" shrinkToFit="1"/>
      <protection locked="0"/>
    </xf>
    <xf numFmtId="0" fontId="24" fillId="0" borderId="14" xfId="0" applyNumberFormat="1" applyFont="1" applyFill="1" applyBorder="1" applyAlignment="1" applyProtection="1">
      <alignment horizontal="left" vertical="center" wrapText="1"/>
    </xf>
    <xf numFmtId="0" fontId="47" fillId="5" borderId="14" xfId="0" applyNumberFormat="1" applyFont="1" applyFill="1" applyBorder="1" applyAlignment="1" applyProtection="1">
      <alignment horizontal="left" vertical="center" wrapText="1"/>
    </xf>
    <xf numFmtId="0" fontId="24" fillId="0" borderId="118" xfId="0" applyFont="1" applyFill="1" applyBorder="1" applyAlignment="1" applyProtection="1">
      <alignment vertical="center"/>
    </xf>
    <xf numFmtId="0" fontId="24" fillId="0" borderId="116" xfId="0" applyFont="1" applyFill="1" applyBorder="1" applyAlignment="1" applyProtection="1">
      <alignment vertical="center"/>
    </xf>
    <xf numFmtId="0" fontId="24" fillId="0" borderId="67" xfId="0" applyFont="1" applyFill="1" applyBorder="1" applyAlignment="1" applyProtection="1">
      <alignment vertical="center"/>
    </xf>
    <xf numFmtId="0" fontId="24" fillId="0" borderId="0" xfId="0" applyFont="1" applyFill="1" applyBorder="1" applyAlignment="1" applyProtection="1">
      <alignment vertical="center"/>
    </xf>
    <xf numFmtId="0" fontId="24" fillId="0" borderId="119" xfId="0" applyFont="1" applyFill="1" applyBorder="1" applyAlignment="1" applyProtection="1">
      <alignment vertical="center"/>
    </xf>
    <xf numFmtId="0" fontId="24" fillId="0" borderId="63" xfId="0" applyFont="1" applyFill="1" applyBorder="1" applyAlignment="1" applyProtection="1">
      <alignment vertical="center"/>
    </xf>
    <xf numFmtId="0" fontId="60" fillId="0" borderId="55" xfId="0" applyFont="1" applyFill="1" applyBorder="1" applyAlignment="1" applyProtection="1">
      <alignment vertical="center"/>
    </xf>
    <xf numFmtId="0" fontId="31" fillId="0" borderId="0" xfId="0" applyFont="1" applyProtection="1"/>
    <xf numFmtId="0" fontId="23" fillId="0" borderId="0" xfId="0" applyFont="1" applyAlignment="1" applyProtection="1">
      <alignment horizontal="right"/>
    </xf>
    <xf numFmtId="0" fontId="23" fillId="0" borderId="0" xfId="0" applyFont="1" applyBorder="1" applyAlignment="1" applyProtection="1"/>
    <xf numFmtId="0" fontId="66" fillId="0" borderId="2" xfId="0" applyNumberFormat="1" applyFont="1" applyFill="1" applyBorder="1" applyAlignment="1" applyProtection="1">
      <alignment horizontal="center" vertical="center"/>
    </xf>
    <xf numFmtId="0" fontId="65" fillId="0" borderId="47" xfId="0" applyNumberFormat="1" applyFont="1" applyFill="1" applyBorder="1" applyAlignment="1" applyProtection="1">
      <alignment horizontal="center" vertical="center" wrapText="1"/>
    </xf>
    <xf numFmtId="0" fontId="65" fillId="0" borderId="13" xfId="0" applyNumberFormat="1" applyFont="1" applyFill="1" applyBorder="1" applyAlignment="1" applyProtection="1">
      <alignment horizontal="center" vertical="center" wrapText="1"/>
    </xf>
    <xf numFmtId="0" fontId="65" fillId="0" borderId="0" xfId="0" applyNumberFormat="1" applyFont="1" applyProtection="1"/>
    <xf numFmtId="0" fontId="65" fillId="0" borderId="47" xfId="0" applyNumberFormat="1" applyFont="1" applyBorder="1" applyAlignment="1" applyProtection="1">
      <alignment horizontal="center"/>
    </xf>
    <xf numFmtId="0" fontId="65" fillId="0" borderId="48" xfId="0" applyNumberFormat="1" applyFont="1" applyBorder="1" applyAlignment="1" applyProtection="1">
      <alignment horizontal="center"/>
    </xf>
    <xf numFmtId="0" fontId="65" fillId="0" borderId="13" xfId="0" applyNumberFormat="1" applyFont="1" applyBorder="1" applyAlignment="1" applyProtection="1">
      <alignment horizontal="center"/>
    </xf>
    <xf numFmtId="0" fontId="24" fillId="0" borderId="122" xfId="0" applyNumberFormat="1" applyFont="1" applyFill="1" applyBorder="1" applyAlignment="1" applyProtection="1">
      <alignment horizontal="left"/>
    </xf>
    <xf numFmtId="169" fontId="23" fillId="0" borderId="123" xfId="0" applyNumberFormat="1" applyFont="1" applyFill="1" applyBorder="1" applyAlignment="1" applyProtection="1">
      <alignment horizontal="right"/>
    </xf>
    <xf numFmtId="0" fontId="32" fillId="0" borderId="0" xfId="0" applyFont="1" applyFill="1" applyProtection="1"/>
    <xf numFmtId="0" fontId="32" fillId="0" borderId="0" xfId="0" applyNumberFormat="1" applyFont="1" applyFill="1" applyProtection="1"/>
    <xf numFmtId="0" fontId="67" fillId="0" borderId="2" xfId="0" applyNumberFormat="1" applyFont="1" applyFill="1" applyBorder="1" applyAlignment="1" applyProtection="1"/>
    <xf numFmtId="0" fontId="67" fillId="0" borderId="2" xfId="0" applyFont="1" applyFill="1" applyBorder="1" applyAlignment="1" applyProtection="1">
      <alignment vertical="center" wrapText="1"/>
    </xf>
    <xf numFmtId="0" fontId="32" fillId="0" borderId="2" xfId="0" applyNumberFormat="1" applyFont="1" applyFill="1" applyBorder="1" applyAlignment="1" applyProtection="1"/>
    <xf numFmtId="0" fontId="68" fillId="0" borderId="0" xfId="0" applyFont="1" applyFill="1" applyProtection="1"/>
    <xf numFmtId="0" fontId="67" fillId="0" borderId="0" xfId="0" applyNumberFormat="1" applyFont="1" applyFill="1" applyBorder="1" applyAlignment="1" applyProtection="1"/>
    <xf numFmtId="0" fontId="67" fillId="0" borderId="2" xfId="0" applyNumberFormat="1" applyFont="1" applyFill="1" applyBorder="1" applyAlignment="1" applyProtection="1">
      <alignment horizontal="center"/>
    </xf>
    <xf numFmtId="0" fontId="69" fillId="2" borderId="35" xfId="0" applyNumberFormat="1" applyFont="1" applyFill="1" applyBorder="1" applyAlignment="1" applyProtection="1">
      <alignment horizontal="center" vertical="center" wrapText="1"/>
    </xf>
    <xf numFmtId="0" fontId="23" fillId="0" borderId="54" xfId="0" quotePrefix="1" applyNumberFormat="1" applyFont="1" applyBorder="1" applyAlignment="1" applyProtection="1">
      <alignment horizontal="center" vertical="center"/>
    </xf>
    <xf numFmtId="0" fontId="23" fillId="0" borderId="0" xfId="0" applyNumberFormat="1" applyFont="1" applyAlignment="1" applyProtection="1">
      <alignment vertical="center"/>
    </xf>
    <xf numFmtId="0" fontId="0" fillId="0" borderId="0" xfId="0" applyFont="1" applyAlignment="1" applyProtection="1">
      <alignment vertical="center" wrapText="1"/>
    </xf>
    <xf numFmtId="49" fontId="29" fillId="3" borderId="14" xfId="0" applyNumberFormat="1" applyFont="1" applyFill="1" applyBorder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 wrapText="1"/>
    </xf>
    <xf numFmtId="0" fontId="32" fillId="0" borderId="0" xfId="0" applyFont="1" applyAlignment="1" applyProtection="1">
      <alignment vertical="center" wrapText="1"/>
    </xf>
    <xf numFmtId="0" fontId="21" fillId="0" borderId="47" xfId="0" applyFont="1" applyBorder="1" applyAlignment="1" applyProtection="1">
      <alignment vertical="center" wrapText="1"/>
    </xf>
    <xf numFmtId="0" fontId="21" fillId="0" borderId="14" xfId="0" applyFont="1" applyBorder="1" applyAlignment="1" applyProtection="1">
      <alignment vertical="center" wrapText="1"/>
    </xf>
    <xf numFmtId="0" fontId="32" fillId="5" borderId="14" xfId="0" applyFont="1" applyFill="1" applyBorder="1" applyAlignment="1" applyProtection="1">
      <alignment vertical="center" wrapText="1"/>
    </xf>
    <xf numFmtId="0" fontId="32" fillId="12" borderId="14" xfId="0" applyFont="1" applyFill="1" applyBorder="1" applyAlignment="1" applyProtection="1">
      <alignment vertical="center" wrapText="1"/>
    </xf>
    <xf numFmtId="0" fontId="21" fillId="5" borderId="14" xfId="0" applyFont="1" applyFill="1" applyBorder="1" applyAlignment="1" applyProtection="1">
      <alignment vertical="center" wrapText="1"/>
    </xf>
    <xf numFmtId="0" fontId="32" fillId="12" borderId="16" xfId="0" applyFont="1" applyFill="1" applyBorder="1" applyAlignment="1" applyProtection="1">
      <alignment vertical="center" wrapText="1"/>
    </xf>
    <xf numFmtId="0" fontId="21" fillId="0" borderId="48" xfId="0" applyFont="1" applyBorder="1" applyAlignment="1" applyProtection="1">
      <alignment horizontal="center" vertical="center"/>
    </xf>
    <xf numFmtId="0" fontId="21" fillId="0" borderId="6" xfId="0" applyFont="1" applyBorder="1" applyAlignment="1" applyProtection="1">
      <alignment horizontal="center" vertical="center"/>
    </xf>
    <xf numFmtId="0" fontId="32" fillId="5" borderId="6" xfId="0" applyFont="1" applyFill="1" applyBorder="1" applyAlignment="1" applyProtection="1">
      <alignment horizontal="center" vertical="center"/>
    </xf>
    <xf numFmtId="0" fontId="32" fillId="12" borderId="6" xfId="0" applyFont="1" applyFill="1" applyBorder="1" applyAlignment="1" applyProtection="1">
      <alignment horizontal="center" vertical="center"/>
    </xf>
    <xf numFmtId="49" fontId="32" fillId="12" borderId="41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70" fillId="0" borderId="2" xfId="0" applyNumberFormat="1" applyFont="1" applyFill="1" applyBorder="1" applyAlignment="1" applyProtection="1">
      <alignment horizontal="center" vertical="center"/>
    </xf>
    <xf numFmtId="0" fontId="65" fillId="0" borderId="0" xfId="0" quotePrefix="1" applyNumberFormat="1" applyFont="1" applyFill="1" applyBorder="1" applyAlignment="1" applyProtection="1">
      <alignment horizontal="center" vertical="center"/>
    </xf>
    <xf numFmtId="0" fontId="65" fillId="0" borderId="25" xfId="0" applyNumberFormat="1" applyFont="1" applyFill="1" applyBorder="1" applyAlignment="1" applyProtection="1">
      <alignment horizontal="center" vertical="center"/>
    </xf>
    <xf numFmtId="0" fontId="64" fillId="0" borderId="0" xfId="0" applyFont="1" applyFill="1" applyAlignment="1">
      <alignment horizontal="center" vertical="center"/>
    </xf>
    <xf numFmtId="0" fontId="65" fillId="0" borderId="0" xfId="0" quotePrefix="1" applyFont="1" applyFill="1" applyAlignment="1" applyProtection="1">
      <alignment horizontal="center" vertical="center"/>
    </xf>
    <xf numFmtId="0" fontId="65" fillId="0" borderId="0" xfId="0" applyNumberFormat="1" applyFont="1" applyFill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49" fontId="65" fillId="0" borderId="25" xfId="0" applyNumberFormat="1" applyFont="1" applyFill="1" applyBorder="1" applyAlignment="1" applyProtection="1">
      <alignment horizontal="center" vertical="center" wrapText="1"/>
    </xf>
    <xf numFmtId="0" fontId="64" fillId="0" borderId="0" xfId="0" quotePrefix="1" applyFont="1" applyFill="1" applyAlignment="1">
      <alignment horizontal="center" vertical="center"/>
    </xf>
    <xf numFmtId="169" fontId="65" fillId="0" borderId="6" xfId="0" applyNumberFormat="1" applyFont="1" applyFill="1" applyBorder="1" applyAlignment="1" applyProtection="1">
      <alignment horizontal="center" vertical="center"/>
    </xf>
    <xf numFmtId="0" fontId="70" fillId="0" borderId="0" xfId="0" quotePrefix="1" applyNumberFormat="1" applyFont="1" applyFill="1" applyBorder="1" applyAlignment="1" applyProtection="1">
      <alignment horizontal="center" vertical="center"/>
    </xf>
    <xf numFmtId="0" fontId="72" fillId="0" borderId="0" xfId="0" quotePrefix="1" applyNumberFormat="1" applyFont="1" applyFill="1" applyBorder="1" applyAlignment="1" applyProtection="1">
      <alignment horizontal="center" vertical="center"/>
    </xf>
    <xf numFmtId="0" fontId="72" fillId="0" borderId="0" xfId="0" applyNumberFormat="1" applyFont="1" applyFill="1" applyBorder="1" applyAlignment="1" applyProtection="1">
      <alignment horizontal="center" vertical="center"/>
    </xf>
    <xf numFmtId="49" fontId="65" fillId="0" borderId="14" xfId="0" applyNumberFormat="1" applyFont="1" applyFill="1" applyBorder="1" applyAlignment="1" applyProtection="1">
      <alignment horizontal="center" vertical="center" wrapText="1"/>
    </xf>
    <xf numFmtId="49" fontId="74" fillId="0" borderId="14" xfId="0" applyNumberFormat="1" applyFont="1" applyFill="1" applyBorder="1" applyAlignment="1" applyProtection="1">
      <alignment horizontal="center" vertical="center" wrapText="1"/>
    </xf>
    <xf numFmtId="0" fontId="75" fillId="0" borderId="6" xfId="0" applyFont="1" applyFill="1" applyBorder="1" applyAlignment="1" applyProtection="1">
      <alignment horizontal="center" vertical="center" wrapText="1"/>
    </xf>
    <xf numFmtId="169" fontId="75" fillId="0" borderId="6" xfId="0" applyNumberFormat="1" applyFont="1" applyFill="1" applyBorder="1" applyAlignment="1" applyProtection="1">
      <alignment horizontal="center" vertical="center"/>
    </xf>
    <xf numFmtId="0" fontId="70" fillId="0" borderId="0" xfId="0" applyNumberFormat="1" applyFont="1" applyFill="1" applyBorder="1" applyAlignment="1" applyProtection="1">
      <alignment horizontal="center" vertical="center"/>
    </xf>
    <xf numFmtId="0" fontId="75" fillId="0" borderId="14" xfId="0" applyNumberFormat="1" applyFont="1" applyFill="1" applyBorder="1" applyAlignment="1" applyProtection="1">
      <alignment horizontal="center" vertical="center" wrapText="1"/>
    </xf>
    <xf numFmtId="169" fontId="75" fillId="0" borderId="6" xfId="0" applyNumberFormat="1" applyFont="1" applyFill="1" applyBorder="1" applyAlignment="1" applyProtection="1">
      <alignment horizontal="center" vertical="center"/>
      <protection locked="0"/>
    </xf>
    <xf numFmtId="49" fontId="65" fillId="0" borderId="0" xfId="0" quotePrefix="1" applyNumberFormat="1" applyFont="1" applyFill="1" applyBorder="1" applyAlignment="1" applyProtection="1">
      <alignment horizontal="center" vertical="center" wrapText="1"/>
    </xf>
    <xf numFmtId="0" fontId="76" fillId="0" borderId="67" xfId="0" applyNumberFormat="1" applyFont="1" applyFill="1" applyBorder="1" applyAlignment="1" applyProtection="1">
      <alignment horizontal="center" vertical="center" wrapText="1"/>
    </xf>
    <xf numFmtId="169" fontId="75" fillId="0" borderId="6" xfId="0" applyNumberFormat="1" applyFont="1" applyFill="1" applyBorder="1" applyAlignment="1" applyProtection="1">
      <alignment horizontal="center" vertical="center" wrapText="1" shrinkToFit="1"/>
      <protection locked="0"/>
    </xf>
    <xf numFmtId="49" fontId="75" fillId="0" borderId="9" xfId="0" applyNumberFormat="1" applyFont="1" applyFill="1" applyBorder="1" applyAlignment="1" applyProtection="1">
      <alignment horizontal="center" vertical="center" wrapText="1" shrinkToFit="1"/>
      <protection locked="0"/>
    </xf>
    <xf numFmtId="49" fontId="65" fillId="0" borderId="14" xfId="0" applyNumberFormat="1" applyFont="1" applyFill="1" applyBorder="1" applyAlignment="1" applyProtection="1">
      <alignment horizontal="center" vertical="center" wrapText="1" shrinkToFit="1"/>
    </xf>
    <xf numFmtId="175" fontId="65" fillId="0" borderId="6" xfId="0" applyNumberFormat="1" applyFont="1" applyFill="1" applyBorder="1" applyAlignment="1" applyProtection="1">
      <alignment horizontal="center" vertical="center" wrapText="1"/>
    </xf>
    <xf numFmtId="0" fontId="79" fillId="0" borderId="2" xfId="0" applyNumberFormat="1" applyFont="1" applyFill="1" applyBorder="1" applyAlignment="1" applyProtection="1">
      <alignment horizontal="center" vertical="center"/>
    </xf>
    <xf numFmtId="0" fontId="64" fillId="0" borderId="0" xfId="0" applyFont="1" applyFill="1" applyProtection="1"/>
    <xf numFmtId="49" fontId="65" fillId="0" borderId="14" xfId="0" applyNumberFormat="1" applyFont="1" applyFill="1" applyBorder="1" applyAlignment="1" applyProtection="1">
      <alignment horizontal="center" vertical="center"/>
    </xf>
    <xf numFmtId="175" fontId="78" fillId="0" borderId="26" xfId="0" applyNumberFormat="1" applyFont="1" applyFill="1" applyBorder="1" applyAlignment="1" applyProtection="1">
      <alignment horizontal="center" vertical="center"/>
    </xf>
    <xf numFmtId="0" fontId="72" fillId="0" borderId="0" xfId="0" applyNumberFormat="1" applyFont="1" applyFill="1" applyAlignment="1" applyProtection="1">
      <alignment horizontal="center" vertical="center"/>
    </xf>
    <xf numFmtId="0" fontId="72" fillId="0" borderId="54" xfId="0" quotePrefix="1" applyNumberFormat="1" applyFont="1" applyFill="1" applyBorder="1" applyAlignment="1" applyProtection="1">
      <alignment horizontal="center" vertical="center"/>
    </xf>
    <xf numFmtId="0" fontId="70" fillId="0" borderId="2" xfId="0" applyNumberFormat="1" applyFont="1" applyFill="1" applyBorder="1" applyAlignment="1" applyProtection="1">
      <alignment horizontal="center" vertical="center" wrapText="1"/>
    </xf>
    <xf numFmtId="0" fontId="72" fillId="0" borderId="0" xfId="0" quotePrefix="1" applyNumberFormat="1" applyFont="1" applyFill="1" applyAlignment="1" applyProtection="1">
      <alignment horizontal="center" vertical="center"/>
    </xf>
    <xf numFmtId="0" fontId="72" fillId="0" borderId="54" xfId="0" applyNumberFormat="1" applyFont="1" applyFill="1" applyBorder="1" applyAlignment="1" applyProtection="1">
      <alignment horizontal="center" vertical="center"/>
    </xf>
    <xf numFmtId="0" fontId="72" fillId="0" borderId="56" xfId="0" applyNumberFormat="1" applyFont="1" applyFill="1" applyBorder="1" applyAlignment="1" applyProtection="1">
      <alignment horizontal="center" vertical="center"/>
    </xf>
    <xf numFmtId="0" fontId="65" fillId="0" borderId="0" xfId="0" quotePrefix="1" applyNumberFormat="1" applyFont="1" applyFill="1" applyBorder="1" applyAlignment="1" applyProtection="1">
      <alignment horizontal="center"/>
    </xf>
    <xf numFmtId="0" fontId="64" fillId="0" borderId="0" xfId="0" applyFont="1" applyFill="1" applyAlignment="1" applyProtection="1">
      <alignment horizontal="center"/>
    </xf>
    <xf numFmtId="49" fontId="65" fillId="0" borderId="39" xfId="0" applyNumberFormat="1" applyFont="1" applyFill="1" applyBorder="1" applyAlignment="1" applyProtection="1">
      <alignment horizontal="center" vertical="center" wrapText="1"/>
    </xf>
    <xf numFmtId="49" fontId="65" fillId="0" borderId="6" xfId="0" applyNumberFormat="1" applyFont="1" applyFill="1" applyBorder="1" applyAlignment="1" applyProtection="1">
      <alignment horizontal="center" vertical="center" wrapText="1"/>
    </xf>
    <xf numFmtId="0" fontId="72" fillId="0" borderId="0" xfId="0" applyNumberFormat="1" applyFont="1" applyFill="1" applyAlignment="1" applyProtection="1">
      <alignment horizontal="center" vertical="center" wrapText="1"/>
    </xf>
    <xf numFmtId="0" fontId="72" fillId="0" borderId="14" xfId="0" applyNumberFormat="1" applyFont="1" applyFill="1" applyBorder="1" applyAlignment="1" applyProtection="1">
      <alignment horizontal="center" vertical="center" wrapText="1"/>
    </xf>
    <xf numFmtId="0" fontId="72" fillId="0" borderId="6" xfId="0" applyNumberFormat="1" applyFont="1" applyFill="1" applyBorder="1" applyAlignment="1" applyProtection="1">
      <alignment horizontal="center" vertical="center" wrapText="1"/>
    </xf>
    <xf numFmtId="0" fontId="72" fillId="0" borderId="9" xfId="0" applyNumberFormat="1" applyFont="1" applyFill="1" applyBorder="1" applyAlignment="1" applyProtection="1">
      <alignment horizontal="center" vertical="center" wrapText="1"/>
    </xf>
    <xf numFmtId="0" fontId="72" fillId="0" borderId="0" xfId="0" applyFont="1" applyFill="1" applyAlignment="1" applyProtection="1">
      <alignment horizontal="center" vertical="center"/>
    </xf>
    <xf numFmtId="0" fontId="69" fillId="2" borderId="7" xfId="0" applyNumberFormat="1" applyFont="1" applyFill="1" applyBorder="1" applyAlignment="1" applyProtection="1">
      <alignment horizontal="center" vertical="center" wrapText="1"/>
    </xf>
    <xf numFmtId="0" fontId="69" fillId="2" borderId="5" xfId="0" applyNumberFormat="1" applyFont="1" applyFill="1" applyBorder="1" applyAlignment="1" applyProtection="1">
      <alignment horizontal="center" vertical="center" wrapText="1"/>
    </xf>
    <xf numFmtId="0" fontId="70" fillId="0" borderId="2" xfId="0" applyNumberFormat="1" applyFont="1" applyFill="1" applyBorder="1" applyAlignment="1" applyProtection="1">
      <alignment horizontal="center"/>
    </xf>
    <xf numFmtId="0" fontId="78" fillId="0" borderId="25" xfId="0" applyNumberFormat="1" applyFont="1" applyFill="1" applyBorder="1" applyAlignment="1" applyProtection="1">
      <alignment horizontal="center" vertical="center" wrapText="1"/>
    </xf>
    <xf numFmtId="0" fontId="70" fillId="0" borderId="2" xfId="0" applyFont="1" applyFill="1" applyBorder="1" applyAlignment="1" applyProtection="1">
      <alignment horizontal="center" vertical="center"/>
    </xf>
    <xf numFmtId="0" fontId="65" fillId="0" borderId="0" xfId="0" applyNumberFormat="1" applyFont="1" applyFill="1" applyBorder="1" applyAlignment="1" applyProtection="1">
      <alignment horizontal="center" vertical="center"/>
    </xf>
    <xf numFmtId="0" fontId="64" fillId="0" borderId="0" xfId="0" applyNumberFormat="1" applyFont="1" applyFill="1" applyAlignment="1" applyProtection="1">
      <alignment horizontal="center" vertical="center"/>
    </xf>
    <xf numFmtId="0" fontId="72" fillId="0" borderId="0" xfId="0" applyNumberFormat="1" applyFont="1" applyFill="1" applyAlignment="1" applyProtection="1">
      <alignment horizontal="center"/>
    </xf>
    <xf numFmtId="49" fontId="72" fillId="0" borderId="14" xfId="0" applyNumberFormat="1" applyFont="1" applyFill="1" applyBorder="1" applyAlignment="1" applyProtection="1">
      <alignment horizontal="center" vertical="center"/>
    </xf>
    <xf numFmtId="49" fontId="72" fillId="0" borderId="14" xfId="0" applyNumberFormat="1" applyFont="1" applyFill="1" applyBorder="1" applyAlignment="1" applyProtection="1">
      <alignment horizontal="center" vertical="center" wrapText="1" shrinkToFit="1"/>
    </xf>
    <xf numFmtId="173" fontId="72" fillId="0" borderId="20" xfId="0" applyNumberFormat="1" applyFont="1" applyFill="1" applyBorder="1" applyAlignment="1" applyProtection="1">
      <alignment horizontal="center" vertical="center"/>
    </xf>
    <xf numFmtId="0" fontId="65" fillId="0" borderId="0" xfId="0" applyFont="1" applyFill="1" applyAlignment="1" applyProtection="1">
      <alignment horizontal="center" vertical="center"/>
    </xf>
    <xf numFmtId="49" fontId="65" fillId="0" borderId="40" xfId="0" applyNumberFormat="1" applyFont="1" applyFill="1" applyBorder="1" applyAlignment="1" applyProtection="1">
      <alignment horizontal="center" vertical="center"/>
    </xf>
    <xf numFmtId="0" fontId="78" fillId="0" borderId="6" xfId="0" applyNumberFormat="1" applyFont="1" applyFill="1" applyBorder="1" applyAlignment="1" applyProtection="1">
      <alignment horizontal="center" vertical="center"/>
    </xf>
    <xf numFmtId="0" fontId="80" fillId="0" borderId="6" xfId="0" applyNumberFormat="1" applyFont="1" applyFill="1" applyBorder="1" applyAlignment="1" applyProtection="1">
      <alignment horizontal="center" vertical="center" wrapText="1"/>
    </xf>
    <xf numFmtId="0" fontId="75" fillId="0" borderId="6" xfId="0" applyNumberFormat="1" applyFont="1" applyFill="1" applyBorder="1" applyAlignment="1" applyProtection="1">
      <alignment horizontal="center" vertical="center"/>
    </xf>
    <xf numFmtId="49" fontId="75" fillId="0" borderId="9" xfId="0" applyNumberFormat="1" applyFont="1" applyFill="1" applyBorder="1" applyAlignment="1" applyProtection="1">
      <alignment horizontal="center" vertical="center"/>
    </xf>
    <xf numFmtId="49" fontId="75" fillId="0" borderId="14" xfId="0" applyNumberFormat="1" applyFont="1" applyFill="1" applyBorder="1" applyAlignment="1" applyProtection="1">
      <alignment horizontal="center" vertical="center"/>
    </xf>
    <xf numFmtId="0" fontId="78" fillId="0" borderId="6" xfId="0" applyNumberFormat="1" applyFont="1" applyFill="1" applyBorder="1" applyAlignment="1" applyProtection="1">
      <alignment horizontal="center"/>
    </xf>
    <xf numFmtId="175" fontId="72" fillId="0" borderId="0" xfId="0" applyNumberFormat="1" applyFont="1" applyFill="1" applyBorder="1" applyAlignment="1" applyProtection="1">
      <alignment horizontal="center" vertical="center" wrapText="1" shrinkToFit="1"/>
      <protection locked="0"/>
    </xf>
    <xf numFmtId="173" fontId="65" fillId="0" borderId="124" xfId="0" applyNumberFormat="1" applyFont="1" applyBorder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vertical="top"/>
    </xf>
    <xf numFmtId="0" fontId="25" fillId="2" borderId="12" xfId="0" applyFont="1" applyFill="1" applyBorder="1" applyAlignment="1" applyProtection="1">
      <alignment horizontal="center" vertical="center" wrapText="1"/>
    </xf>
    <xf numFmtId="49" fontId="25" fillId="2" borderId="125" xfId="0" applyNumberFormat="1" applyFont="1" applyFill="1" applyBorder="1" applyAlignment="1" applyProtection="1">
      <alignment horizontal="center" vertical="center" wrapText="1"/>
    </xf>
    <xf numFmtId="0" fontId="21" fillId="0" borderId="0" xfId="0" quotePrefix="1" applyNumberFormat="1" applyFont="1" applyFill="1" applyBorder="1" applyAlignment="1" applyProtection="1">
      <alignment horizontal="center"/>
    </xf>
    <xf numFmtId="169" fontId="21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1" fillId="3" borderId="40" xfId="0" applyNumberFormat="1" applyFont="1" applyFill="1" applyBorder="1" applyAlignment="1" applyProtection="1">
      <alignment horizontal="right" wrapText="1" shrinkToFit="1"/>
      <protection locked="0"/>
    </xf>
    <xf numFmtId="49" fontId="69" fillId="6" borderId="5" xfId="0" applyNumberFormat="1" applyFont="1" applyFill="1" applyBorder="1" applyAlignment="1" applyProtection="1">
      <alignment horizontal="center" vertical="center"/>
    </xf>
    <xf numFmtId="0" fontId="83" fillId="0" borderId="2" xfId="0" applyFont="1" applyBorder="1" applyProtection="1"/>
    <xf numFmtId="0" fontId="23" fillId="0" borderId="0" xfId="0" quotePrefix="1" applyNumberFormat="1" applyFont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22" fillId="0" borderId="2" xfId="0" applyNumberFormat="1" applyFont="1" applyFill="1" applyBorder="1" applyAlignment="1" applyProtection="1">
      <alignment horizontal="center" vertical="center"/>
    </xf>
    <xf numFmtId="0" fontId="83" fillId="0" borderId="2" xfId="0" applyNumberFormat="1" applyFont="1" applyFill="1" applyBorder="1" applyAlignment="1" applyProtection="1">
      <alignment wrapText="1"/>
    </xf>
    <xf numFmtId="49" fontId="69" fillId="9" borderId="5" xfId="0" applyNumberFormat="1" applyFont="1" applyFill="1" applyBorder="1" applyAlignment="1" applyProtection="1">
      <alignment horizontal="center" vertical="center" wrapText="1"/>
    </xf>
    <xf numFmtId="49" fontId="69" fillId="9" borderId="8" xfId="0" applyNumberFormat="1" applyFont="1" applyFill="1" applyBorder="1" applyAlignment="1" applyProtection="1">
      <alignment horizontal="center" vertical="center" wrapText="1"/>
    </xf>
    <xf numFmtId="0" fontId="83" fillId="0" borderId="2" xfId="0" applyNumberFormat="1" applyFont="1" applyFill="1" applyBorder="1" applyAlignment="1" applyProtection="1"/>
    <xf numFmtId="0" fontId="83" fillId="0" borderId="0" xfId="0" applyNumberFormat="1" applyFont="1" applyProtection="1"/>
    <xf numFmtId="49" fontId="82" fillId="2" borderId="31" xfId="0" applyNumberFormat="1" applyFont="1" applyFill="1" applyBorder="1" applyAlignment="1" applyProtection="1">
      <alignment horizontal="center" vertical="center" wrapText="1"/>
    </xf>
    <xf numFmtId="49" fontId="82" fillId="2" borderId="5" xfId="0" applyNumberFormat="1" applyFont="1" applyFill="1" applyBorder="1" applyAlignment="1" applyProtection="1">
      <alignment horizontal="center" vertical="center" wrapText="1"/>
    </xf>
    <xf numFmtId="0" fontId="83" fillId="0" borderId="0" xfId="0" quotePrefix="1" applyNumberFormat="1" applyFont="1" applyProtection="1"/>
    <xf numFmtId="49" fontId="69" fillId="2" borderId="49" xfId="0" applyNumberFormat="1" applyFont="1" applyFill="1" applyBorder="1" applyAlignment="1" applyProtection="1">
      <alignment horizontal="center" vertical="center" wrapText="1"/>
    </xf>
    <xf numFmtId="49" fontId="69" fillId="6" borderId="31" xfId="0" applyNumberFormat="1" applyFont="1" applyFill="1" applyBorder="1" applyAlignment="1" applyProtection="1">
      <alignment horizontal="center" vertical="center" wrapText="1"/>
    </xf>
    <xf numFmtId="49" fontId="69" fillId="6" borderId="8" xfId="0" applyNumberFormat="1" applyFont="1" applyFill="1" applyBorder="1" applyAlignment="1" applyProtection="1">
      <alignment horizontal="center" vertical="center" wrapText="1"/>
    </xf>
    <xf numFmtId="0" fontId="83" fillId="0" borderId="2" xfId="0" applyNumberFormat="1" applyFont="1" applyFill="1" applyBorder="1" applyAlignment="1" applyProtection="1">
      <alignment horizontal="left" vertical="center"/>
    </xf>
    <xf numFmtId="0" fontId="84" fillId="0" borderId="0" xfId="0" applyNumberFormat="1" applyFont="1" applyBorder="1" applyProtection="1"/>
    <xf numFmtId="49" fontId="69" fillId="2" borderId="50" xfId="0" applyNumberFormat="1" applyFont="1" applyFill="1" applyBorder="1" applyAlignment="1" applyProtection="1">
      <alignment horizontal="center" vertical="center" wrapText="1"/>
    </xf>
    <xf numFmtId="0" fontId="69" fillId="2" borderId="49" xfId="0" applyNumberFormat="1" applyFont="1" applyFill="1" applyBorder="1" applyAlignment="1" applyProtection="1">
      <alignment horizontal="center" vertical="center" wrapText="1"/>
    </xf>
    <xf numFmtId="49" fontId="69" fillId="6" borderId="49" xfId="0" applyNumberFormat="1" applyFont="1" applyFill="1" applyBorder="1" applyAlignment="1" applyProtection="1">
      <alignment horizontal="center" vertical="center" wrapText="1"/>
    </xf>
    <xf numFmtId="49" fontId="69" fillId="2" borderId="53" xfId="0" applyNumberFormat="1" applyFont="1" applyFill="1" applyBorder="1" applyAlignment="1" applyProtection="1">
      <alignment horizontal="center" vertical="center" wrapText="1"/>
    </xf>
    <xf numFmtId="0" fontId="85" fillId="0" borderId="0" xfId="0" applyFont="1" applyProtection="1"/>
    <xf numFmtId="0" fontId="83" fillId="0" borderId="0" xfId="0" applyNumberFormat="1" applyFont="1" applyFill="1" applyAlignment="1" applyProtection="1"/>
    <xf numFmtId="0" fontId="82" fillId="2" borderId="31" xfId="0" applyNumberFormat="1" applyFont="1" applyFill="1" applyBorder="1" applyAlignment="1" applyProtection="1">
      <alignment horizontal="center" vertical="center" wrapText="1"/>
    </xf>
    <xf numFmtId="0" fontId="82" fillId="2" borderId="5" xfId="0" applyNumberFormat="1" applyFont="1" applyFill="1" applyBorder="1" applyAlignment="1" applyProtection="1">
      <alignment horizontal="center" vertical="center" wrapText="1"/>
    </xf>
    <xf numFmtId="0" fontId="82" fillId="2" borderId="8" xfId="0" applyNumberFormat="1" applyFont="1" applyFill="1" applyBorder="1" applyAlignment="1" applyProtection="1">
      <alignment horizontal="center" vertical="center" wrapText="1"/>
    </xf>
    <xf numFmtId="0" fontId="83" fillId="0" borderId="0" xfId="0" applyFont="1" applyProtection="1"/>
    <xf numFmtId="49" fontId="69" fillId="9" borderId="31" xfId="0" applyNumberFormat="1" applyFont="1" applyFill="1" applyBorder="1" applyAlignment="1" applyProtection="1">
      <alignment horizontal="center" vertical="center" wrapText="1"/>
    </xf>
    <xf numFmtId="0" fontId="69" fillId="9" borderId="5" xfId="0" applyNumberFormat="1" applyFont="1" applyFill="1" applyBorder="1" applyAlignment="1" applyProtection="1">
      <alignment horizontal="center" vertical="center" wrapText="1"/>
    </xf>
    <xf numFmtId="0" fontId="69" fillId="9" borderId="8" xfId="0" applyNumberFormat="1" applyFont="1" applyFill="1" applyBorder="1" applyAlignment="1" applyProtection="1">
      <alignment horizontal="center" vertical="center" wrapText="1"/>
    </xf>
    <xf numFmtId="0" fontId="83" fillId="0" borderId="54" xfId="0" applyNumberFormat="1" applyFont="1" applyBorder="1" applyProtection="1"/>
    <xf numFmtId="49" fontId="82" fillId="2" borderId="8" xfId="0" applyNumberFormat="1" applyFont="1" applyFill="1" applyBorder="1" applyAlignment="1" applyProtection="1">
      <alignment horizontal="center"/>
    </xf>
    <xf numFmtId="0" fontId="23" fillId="0" borderId="0" xfId="0" applyNumberFormat="1" applyFont="1" applyAlignment="1" applyProtection="1">
      <alignment horizontal="center" wrapText="1"/>
    </xf>
    <xf numFmtId="0" fontId="83" fillId="0" borderId="0" xfId="0" applyNumberFormat="1" applyFont="1" applyFill="1" applyBorder="1" applyAlignment="1" applyProtection="1"/>
    <xf numFmtId="0" fontId="83" fillId="0" borderId="0" xfId="0" applyNumberFormat="1" applyFont="1" applyBorder="1" applyAlignment="1" applyProtection="1"/>
    <xf numFmtId="0" fontId="82" fillId="2" borderId="12" xfId="0" applyNumberFormat="1" applyFont="1" applyFill="1" applyBorder="1" applyAlignment="1" applyProtection="1">
      <alignment horizontal="center" vertical="center" wrapText="1"/>
    </xf>
    <xf numFmtId="0" fontId="82" fillId="2" borderId="12" xfId="0" applyNumberFormat="1" applyFont="1" applyFill="1" applyBorder="1" applyAlignment="1" applyProtection="1">
      <alignment horizontal="center" vertical="center"/>
    </xf>
    <xf numFmtId="0" fontId="83" fillId="0" borderId="0" xfId="0" applyNumberFormat="1" applyFont="1" applyAlignment="1" applyProtection="1"/>
    <xf numFmtId="49" fontId="69" fillId="6" borderId="5" xfId="0" applyNumberFormat="1" applyFont="1" applyFill="1" applyBorder="1" applyAlignment="1" applyProtection="1">
      <alignment horizontal="center" vertical="center" wrapText="1"/>
    </xf>
    <xf numFmtId="0" fontId="38" fillId="3" borderId="126" xfId="0" applyNumberFormat="1" applyFont="1" applyFill="1" applyBorder="1" applyAlignment="1" applyProtection="1">
      <alignment vertical="center" wrapText="1"/>
      <protection locked="0"/>
    </xf>
    <xf numFmtId="49" fontId="29" fillId="3" borderId="16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17" xfId="0" applyNumberFormat="1" applyFont="1" applyFill="1" applyBorder="1" applyAlignment="1" applyProtection="1">
      <alignment vertical="center"/>
      <protection locked="0"/>
    </xf>
    <xf numFmtId="49" fontId="29" fillId="3" borderId="17" xfId="0" applyNumberFormat="1" applyFont="1" applyFill="1" applyBorder="1" applyAlignment="1" applyProtection="1">
      <alignment horizontal="right" shrinkToFit="1"/>
      <protection locked="0"/>
    </xf>
    <xf numFmtId="49" fontId="29" fillId="3" borderId="17" xfId="0" applyNumberFormat="1" applyFont="1" applyFill="1" applyBorder="1" applyAlignment="1" applyProtection="1">
      <alignment horizontal="right" wrapText="1" shrinkToFit="1"/>
      <protection locked="0"/>
    </xf>
    <xf numFmtId="0" fontId="56" fillId="0" borderId="41" xfId="0" applyNumberFormat="1" applyFont="1" applyFill="1" applyBorder="1" applyAlignment="1" applyProtection="1">
      <alignment horizontal="right"/>
    </xf>
    <xf numFmtId="0" fontId="56" fillId="0" borderId="6" xfId="0" applyNumberFormat="1" applyFont="1" applyFill="1" applyBorder="1" applyAlignment="1" applyProtection="1">
      <alignment horizontal="left" vertical="center"/>
    </xf>
    <xf numFmtId="0" fontId="38" fillId="3" borderId="127" xfId="0" applyNumberFormat="1" applyFont="1" applyFill="1" applyBorder="1" applyAlignment="1" applyProtection="1">
      <alignment vertical="center" wrapText="1"/>
      <protection locked="0"/>
    </xf>
    <xf numFmtId="169" fontId="38" fillId="3" borderId="129" xfId="0" applyNumberFormat="1" applyFont="1" applyFill="1" applyBorder="1" applyAlignment="1" applyProtection="1">
      <alignment horizontal="right" wrapText="1" shrinkToFit="1"/>
      <protection locked="0"/>
    </xf>
    <xf numFmtId="0" fontId="38" fillId="0" borderId="130" xfId="0" applyNumberFormat="1" applyFont="1" applyFill="1" applyBorder="1" applyAlignment="1" applyProtection="1">
      <alignment horizontal="center"/>
    </xf>
    <xf numFmtId="169" fontId="38" fillId="0" borderId="58" xfId="0" applyNumberFormat="1" applyFont="1" applyBorder="1" applyAlignment="1" applyProtection="1">
      <alignment horizontal="center"/>
    </xf>
    <xf numFmtId="49" fontId="25" fillId="2" borderId="36" xfId="0" applyNumberFormat="1" applyFont="1" applyFill="1" applyBorder="1" applyAlignment="1" applyProtection="1">
      <alignment horizontal="center" vertical="center" wrapText="1"/>
    </xf>
    <xf numFmtId="49" fontId="25" fillId="2" borderId="86" xfId="0" applyNumberFormat="1" applyFont="1" applyFill="1" applyBorder="1" applyAlignment="1" applyProtection="1">
      <alignment horizontal="center" vertical="center" wrapText="1"/>
    </xf>
    <xf numFmtId="14" fontId="25" fillId="2" borderId="36" xfId="0" applyNumberFormat="1" applyFont="1" applyFill="1" applyBorder="1" applyAlignment="1" applyProtection="1">
      <alignment horizontal="center" vertical="center" wrapText="1"/>
    </xf>
    <xf numFmtId="14" fontId="25" fillId="2" borderId="35" xfId="0" applyNumberFormat="1" applyFont="1" applyFill="1" applyBorder="1" applyAlignment="1" applyProtection="1">
      <alignment horizontal="center" vertical="center" wrapText="1"/>
    </xf>
    <xf numFmtId="0" fontId="25" fillId="6" borderId="131" xfId="0" applyNumberFormat="1" applyFont="1" applyFill="1" applyBorder="1" applyAlignment="1" applyProtection="1">
      <alignment horizontal="center" vertical="center" wrapText="1"/>
    </xf>
    <xf numFmtId="0" fontId="25" fillId="2" borderId="35" xfId="0" applyNumberFormat="1" applyFont="1" applyFill="1" applyBorder="1" applyAlignment="1" applyProtection="1">
      <alignment horizontal="center" vertical="center"/>
    </xf>
    <xf numFmtId="49" fontId="25" fillId="2" borderId="5" xfId="0" applyNumberFormat="1" applyFont="1" applyFill="1" applyBorder="1" applyAlignment="1" applyProtection="1">
      <alignment horizontal="center" vertical="center"/>
    </xf>
    <xf numFmtId="49" fontId="25" fillId="6" borderId="131" xfId="0" applyNumberFormat="1" applyFont="1" applyFill="1" applyBorder="1" applyAlignment="1" applyProtection="1">
      <alignment horizontal="center" vertical="center" wrapText="1"/>
    </xf>
    <xf numFmtId="49" fontId="69" fillId="2" borderId="5" xfId="0" applyNumberFormat="1" applyFont="1" applyFill="1" applyBorder="1" applyAlignment="1" applyProtection="1">
      <alignment horizontal="center" vertical="center" wrapText="1"/>
    </xf>
    <xf numFmtId="49" fontId="25" fillId="2" borderId="31" xfId="0" applyNumberFormat="1" applyFont="1" applyFill="1" applyBorder="1" applyAlignment="1" applyProtection="1">
      <alignment horizontal="center" vertical="center"/>
    </xf>
    <xf numFmtId="0" fontId="25" fillId="2" borderId="7" xfId="0" applyNumberFormat="1" applyFont="1" applyFill="1" applyBorder="1" applyAlignment="1" applyProtection="1">
      <alignment horizontal="center" vertical="center"/>
    </xf>
    <xf numFmtId="0" fontId="25" fillId="2" borderId="5" xfId="0" applyFont="1" applyFill="1" applyBorder="1" applyAlignment="1" applyProtection="1">
      <alignment horizontal="center" vertical="center" wrapText="1"/>
    </xf>
    <xf numFmtId="49" fontId="23" fillId="0" borderId="41" xfId="0" applyNumberFormat="1" applyFont="1" applyFill="1" applyBorder="1" applyAlignment="1" applyProtection="1">
      <alignment horizontal="left" wrapText="1" shrinkToFit="1"/>
    </xf>
    <xf numFmtId="0" fontId="25" fillId="2" borderId="29" xfId="0" applyFont="1" applyFill="1" applyBorder="1" applyAlignment="1" applyProtection="1">
      <alignment horizontal="center" vertical="center" wrapText="1"/>
    </xf>
    <xf numFmtId="169" fontId="29" fillId="3" borderId="14" xfId="0" applyNumberFormat="1" applyFont="1" applyFill="1" applyBorder="1" applyAlignment="1" applyProtection="1">
      <alignment horizontal="right" wrapText="1" shrinkToFit="1"/>
      <protection locked="0"/>
    </xf>
    <xf numFmtId="169" fontId="65" fillId="0" borderId="9" xfId="0" applyNumberFormat="1" applyFont="1" applyFill="1" applyBorder="1" applyAlignment="1" applyProtection="1">
      <alignment horizontal="center" vertical="center"/>
    </xf>
    <xf numFmtId="49" fontId="24" fillId="0" borderId="16" xfId="0" applyNumberFormat="1" applyFont="1" applyFill="1" applyBorder="1" applyAlignment="1" applyProtection="1">
      <alignment horizontal="left" vertical="center"/>
    </xf>
    <xf numFmtId="169" fontId="75" fillId="0" borderId="9" xfId="0" applyNumberFormat="1" applyFont="1" applyFill="1" applyBorder="1" applyAlignment="1" applyProtection="1">
      <alignment horizontal="center" vertical="center"/>
    </xf>
    <xf numFmtId="169" fontId="29" fillId="3" borderId="132" xfId="0" applyNumberFormat="1" applyFont="1" applyFill="1" applyBorder="1" applyAlignment="1" applyProtection="1">
      <alignment vertical="center" wrapText="1" shrinkToFit="1"/>
      <protection locked="0"/>
    </xf>
    <xf numFmtId="169" fontId="29" fillId="3" borderId="132" xfId="0" applyNumberFormat="1" applyFont="1" applyFill="1" applyBorder="1" applyAlignment="1" applyProtection="1">
      <alignment horizontal="right" shrinkToFit="1"/>
      <protection locked="0"/>
    </xf>
    <xf numFmtId="49" fontId="30" fillId="0" borderId="133" xfId="0" applyNumberFormat="1" applyFont="1" applyFill="1" applyBorder="1" applyAlignment="1" applyProtection="1">
      <alignment vertical="center" wrapText="1"/>
    </xf>
    <xf numFmtId="169" fontId="29" fillId="0" borderId="134" xfId="0" applyNumberFormat="1" applyFont="1" applyFill="1" applyBorder="1" applyAlignment="1" applyProtection="1">
      <alignment horizontal="center" wrapText="1"/>
    </xf>
    <xf numFmtId="169" fontId="29" fillId="0" borderId="134" xfId="0" applyNumberFormat="1" applyFont="1" applyFill="1" applyBorder="1" applyAlignment="1" applyProtection="1">
      <alignment horizontal="right" wrapText="1"/>
    </xf>
    <xf numFmtId="49" fontId="29" fillId="3" borderId="135" xfId="0" applyNumberFormat="1" applyFont="1" applyFill="1" applyBorder="1" applyAlignment="1" applyProtection="1">
      <alignment vertical="center"/>
      <protection locked="0"/>
    </xf>
    <xf numFmtId="169" fontId="29" fillId="3" borderId="136" xfId="0" applyNumberFormat="1" applyFont="1" applyFill="1" applyBorder="1" applyAlignment="1" applyProtection="1">
      <alignment vertical="center" wrapText="1" shrinkToFit="1"/>
      <protection locked="0"/>
    </xf>
    <xf numFmtId="169" fontId="29" fillId="3" borderId="136" xfId="0" applyNumberFormat="1" applyFont="1" applyFill="1" applyBorder="1" applyAlignment="1" applyProtection="1">
      <alignment horizontal="right" shrinkToFit="1"/>
      <protection locked="0"/>
    </xf>
    <xf numFmtId="169" fontId="23" fillId="3" borderId="138" xfId="0" applyNumberFormat="1" applyFont="1" applyFill="1" applyBorder="1" applyAlignment="1" applyProtection="1">
      <alignment horizontal="right" wrapText="1" shrinkToFit="1"/>
      <protection locked="0"/>
    </xf>
    <xf numFmtId="169" fontId="23" fillId="0" borderId="138" xfId="0" applyNumberFormat="1" applyFont="1" applyFill="1" applyBorder="1" applyAlignment="1" applyProtection="1">
      <alignment horizontal="right"/>
    </xf>
    <xf numFmtId="49" fontId="23" fillId="3" borderId="139" xfId="0" applyNumberFormat="1" applyFont="1" applyFill="1" applyBorder="1" applyAlignment="1" applyProtection="1">
      <alignment horizontal="right" wrapText="1" shrinkToFit="1"/>
      <protection locked="0"/>
    </xf>
    <xf numFmtId="169" fontId="72" fillId="0" borderId="136" xfId="0" applyNumberFormat="1" applyFont="1" applyFill="1" applyBorder="1" applyAlignment="1" applyProtection="1">
      <alignment horizontal="center" vertical="center"/>
    </xf>
    <xf numFmtId="169" fontId="72" fillId="0" borderId="140" xfId="0" applyNumberFormat="1" applyFont="1" applyFill="1" applyBorder="1" applyAlignment="1" applyProtection="1">
      <alignment horizontal="center" vertical="center"/>
    </xf>
    <xf numFmtId="49" fontId="24" fillId="0" borderId="135" xfId="0" applyNumberFormat="1" applyFont="1" applyFill="1" applyBorder="1" applyAlignment="1" applyProtection="1">
      <alignment horizontal="left"/>
    </xf>
    <xf numFmtId="169" fontId="24" fillId="0" borderId="136" xfId="0" applyNumberFormat="1" applyFont="1" applyFill="1" applyBorder="1" applyAlignment="1" applyProtection="1">
      <alignment horizontal="center"/>
    </xf>
    <xf numFmtId="169" fontId="24" fillId="0" borderId="136" xfId="0" applyNumberFormat="1" applyFont="1" applyBorder="1" applyAlignment="1" applyProtection="1">
      <alignment horizontal="center" vertical="center"/>
    </xf>
    <xf numFmtId="169" fontId="24" fillId="0" borderId="140" xfId="0" applyNumberFormat="1" applyFont="1" applyBorder="1" applyAlignment="1" applyProtection="1">
      <alignment horizontal="center" vertical="center"/>
    </xf>
    <xf numFmtId="0" fontId="21" fillId="0" borderId="135" xfId="0" applyFont="1" applyFill="1" applyBorder="1" applyAlignment="1" applyProtection="1">
      <alignment horizontal="left" vertical="top"/>
    </xf>
    <xf numFmtId="169" fontId="23" fillId="0" borderId="136" xfId="0" applyNumberFormat="1" applyFont="1" applyBorder="1" applyAlignment="1" applyProtection="1">
      <alignment horizontal="center" vertical="center"/>
    </xf>
    <xf numFmtId="169" fontId="23" fillId="4" borderId="136" xfId="0" applyNumberFormat="1" applyFont="1" applyFill="1" applyBorder="1" applyAlignment="1" applyProtection="1">
      <alignment horizontal="center" vertical="center" wrapText="1"/>
      <protection locked="0"/>
    </xf>
    <xf numFmtId="169" fontId="23" fillId="0" borderId="140" xfId="0" applyNumberFormat="1" applyFont="1" applyBorder="1" applyAlignment="1" applyProtection="1">
      <alignment horizontal="center" vertical="center"/>
    </xf>
    <xf numFmtId="49" fontId="56" fillId="3" borderId="135" xfId="0" applyNumberFormat="1" applyFont="1" applyFill="1" applyBorder="1" applyAlignment="1" applyProtection="1">
      <alignment vertical="center" wrapText="1"/>
      <protection locked="0"/>
    </xf>
    <xf numFmtId="169" fontId="23" fillId="4" borderId="132" xfId="0" applyNumberFormat="1" applyFont="1" applyFill="1" applyBorder="1" applyAlignment="1" applyProtection="1">
      <alignment horizontal="center" vertical="center" wrapText="1"/>
      <protection locked="0"/>
    </xf>
    <xf numFmtId="49" fontId="25" fillId="2" borderId="141" xfId="0" applyNumberFormat="1" applyFont="1" applyFill="1" applyBorder="1" applyAlignment="1" applyProtection="1">
      <alignment horizontal="center" vertical="center" wrapText="1"/>
    </xf>
    <xf numFmtId="49" fontId="25" fillId="2" borderId="142" xfId="0" applyNumberFormat="1" applyFont="1" applyFill="1" applyBorder="1" applyAlignment="1" applyProtection="1">
      <alignment horizontal="center" vertical="center" wrapText="1"/>
    </xf>
    <xf numFmtId="49" fontId="25" fillId="2" borderId="143" xfId="0" applyNumberFormat="1" applyFont="1" applyFill="1" applyBorder="1" applyAlignment="1" applyProtection="1">
      <alignment horizontal="center" vertical="center" wrapText="1"/>
    </xf>
    <xf numFmtId="169" fontId="65" fillId="0" borderId="134" xfId="0" applyNumberFormat="1" applyFont="1" applyFill="1" applyBorder="1" applyAlignment="1" applyProtection="1">
      <alignment horizontal="center" vertical="center"/>
    </xf>
    <xf numFmtId="169" fontId="23" fillId="4" borderId="135" xfId="0" applyNumberFormat="1" applyFont="1" applyFill="1" applyBorder="1" applyAlignment="1" applyProtection="1">
      <alignment horizontal="left" vertical="center" wrapText="1"/>
      <protection locked="0"/>
    </xf>
    <xf numFmtId="169" fontId="23" fillId="4" borderId="136" xfId="0" applyNumberFormat="1" applyFont="1" applyFill="1" applyBorder="1" applyAlignment="1" applyProtection="1">
      <alignment vertical="center" wrapText="1"/>
      <protection locked="0"/>
    </xf>
    <xf numFmtId="169" fontId="24" fillId="4" borderId="136" xfId="0" applyNumberFormat="1" applyFont="1" applyFill="1" applyBorder="1" applyAlignment="1" applyProtection="1">
      <alignment horizontal="center" vertical="center" wrapText="1"/>
      <protection locked="0"/>
    </xf>
    <xf numFmtId="169" fontId="24" fillId="4" borderId="144" xfId="0" applyNumberFormat="1" applyFont="1" applyFill="1" applyBorder="1" applyAlignment="1" applyProtection="1">
      <alignment horizontal="center" vertical="center" wrapText="1"/>
      <protection locked="0"/>
    </xf>
    <xf numFmtId="169" fontId="24" fillId="4" borderId="145" xfId="0" applyNumberFormat="1" applyFont="1" applyFill="1" applyBorder="1" applyAlignment="1" applyProtection="1">
      <alignment horizontal="center" vertical="center" wrapText="1"/>
      <protection locked="0"/>
    </xf>
    <xf numFmtId="169" fontId="24" fillId="4" borderId="146" xfId="0" applyNumberFormat="1" applyFont="1" applyFill="1" applyBorder="1" applyAlignment="1" applyProtection="1">
      <alignment horizontal="center" vertical="center" wrapText="1"/>
      <protection locked="0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147" xfId="0" applyNumberFormat="1" applyFont="1" applyFill="1" applyBorder="1" applyAlignment="1" applyProtection="1">
      <alignment horizontal="center" vertical="center" wrapText="1"/>
    </xf>
    <xf numFmtId="49" fontId="25" fillId="2" borderId="148" xfId="0" applyNumberFormat="1" applyFont="1" applyFill="1" applyBorder="1" applyAlignment="1" applyProtection="1">
      <alignment horizontal="center" vertical="center" wrapText="1"/>
    </xf>
    <xf numFmtId="49" fontId="25" fillId="2" borderId="142" xfId="0" applyNumberFormat="1" applyFont="1" applyFill="1" applyBorder="1" applyAlignment="1" applyProtection="1">
      <alignment horizontal="center" vertical="center" wrapText="1"/>
    </xf>
    <xf numFmtId="49" fontId="25" fillId="2" borderId="149" xfId="0" applyNumberFormat="1" applyFont="1" applyFill="1" applyBorder="1" applyAlignment="1" applyProtection="1">
      <alignment horizontal="center" vertical="center" wrapText="1"/>
    </xf>
    <xf numFmtId="0" fontId="66" fillId="0" borderId="135" xfId="0" applyFont="1" applyFill="1" applyBorder="1" applyAlignment="1" applyProtection="1">
      <alignment horizontal="center" vertical="center"/>
    </xf>
    <xf numFmtId="169" fontId="65" fillId="0" borderId="140" xfId="0" applyNumberFormat="1" applyFont="1" applyFill="1" applyBorder="1" applyAlignment="1" applyProtection="1">
      <alignment horizontal="center" vertical="center"/>
    </xf>
    <xf numFmtId="0" fontId="32" fillId="0" borderId="135" xfId="0" applyFont="1" applyFill="1" applyBorder="1" applyAlignment="1" applyProtection="1">
      <alignment horizontal="left" vertical="top"/>
    </xf>
    <xf numFmtId="169" fontId="24" fillId="0" borderId="140" xfId="0" applyNumberFormat="1" applyFont="1" applyFill="1" applyBorder="1" applyAlignment="1" applyProtection="1">
      <alignment horizontal="center" vertical="center"/>
    </xf>
    <xf numFmtId="169" fontId="24" fillId="4" borderId="136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150" xfId="0" applyFont="1" applyFill="1" applyBorder="1" applyAlignment="1" applyProtection="1">
      <alignment horizontal="left" vertical="top"/>
    </xf>
    <xf numFmtId="169" fontId="24" fillId="0" borderId="151" xfId="0" applyNumberFormat="1" applyFont="1" applyFill="1" applyBorder="1" applyAlignment="1" applyProtection="1">
      <alignment horizontal="center" vertical="center"/>
    </xf>
    <xf numFmtId="49" fontId="66" fillId="0" borderId="135" xfId="0" applyNumberFormat="1" applyFont="1" applyFill="1" applyBorder="1" applyAlignment="1" applyProtection="1">
      <alignment horizontal="center" vertical="center" wrapText="1"/>
    </xf>
    <xf numFmtId="49" fontId="66" fillId="0" borderId="136" xfId="0" applyNumberFormat="1" applyFont="1" applyFill="1" applyBorder="1" applyAlignment="1" applyProtection="1">
      <alignment horizontal="center" vertical="center" wrapText="1"/>
    </xf>
    <xf numFmtId="169" fontId="29" fillId="3" borderId="132" xfId="0" applyNumberFormat="1" applyFont="1" applyFill="1" applyBorder="1" applyAlignment="1" applyProtection="1">
      <alignment horizontal="left" wrapText="1" shrinkToFit="1"/>
      <protection locked="0"/>
    </xf>
    <xf numFmtId="0" fontId="25" fillId="2" borderId="152" xfId="0" applyNumberFormat="1" applyFont="1" applyFill="1" applyBorder="1" applyAlignment="1" applyProtection="1">
      <alignment horizontal="center" vertical="center" wrapText="1"/>
    </xf>
    <xf numFmtId="0" fontId="25" fillId="2" borderId="153" xfId="0" applyNumberFormat="1" applyFont="1" applyFill="1" applyBorder="1" applyAlignment="1" applyProtection="1">
      <alignment horizontal="center" vertical="center" wrapText="1"/>
    </xf>
    <xf numFmtId="0" fontId="69" fillId="2" borderId="153" xfId="0" applyNumberFormat="1" applyFont="1" applyFill="1" applyBorder="1" applyAlignment="1" applyProtection="1">
      <alignment horizontal="center" vertical="center" wrapText="1"/>
    </xf>
    <xf numFmtId="0" fontId="25" fillId="2" borderId="154" xfId="0" applyNumberFormat="1" applyFont="1" applyFill="1" applyBorder="1" applyAlignment="1" applyProtection="1">
      <alignment horizontal="center" vertical="center" wrapText="1"/>
    </xf>
    <xf numFmtId="169" fontId="38" fillId="0" borderId="136" xfId="0" applyNumberFormat="1" applyFont="1" applyBorder="1" applyAlignment="1" applyProtection="1">
      <alignment horizontal="right"/>
    </xf>
    <xf numFmtId="49" fontId="38" fillId="3" borderId="135" xfId="0" applyNumberFormat="1" applyFont="1" applyFill="1" applyBorder="1" applyAlignment="1" applyProtection="1">
      <alignment horizontal="left" vertical="center"/>
      <protection locked="0"/>
    </xf>
    <xf numFmtId="169" fontId="38" fillId="3" borderId="136" xfId="0" applyNumberFormat="1" applyFont="1" applyFill="1" applyBorder="1" applyAlignment="1" applyProtection="1">
      <alignment horizontal="right" wrapText="1" shrinkToFit="1"/>
      <protection locked="0"/>
    </xf>
    <xf numFmtId="49" fontId="38" fillId="3" borderId="150" xfId="0" applyNumberFormat="1" applyFont="1" applyFill="1" applyBorder="1" applyAlignment="1" applyProtection="1">
      <alignment horizontal="left" vertical="center"/>
      <protection locked="0"/>
    </xf>
    <xf numFmtId="49" fontId="23" fillId="3" borderId="155" xfId="0" applyNumberFormat="1" applyFont="1" applyFill="1" applyBorder="1" applyAlignment="1" applyProtection="1">
      <alignment wrapText="1" shrinkToFit="1"/>
      <protection locked="0"/>
    </xf>
    <xf numFmtId="169" fontId="23" fillId="3" borderId="137" xfId="0" applyNumberFormat="1" applyFont="1" applyFill="1" applyBorder="1" applyAlignment="1" applyProtection="1">
      <alignment horizontal="right"/>
      <protection locked="0"/>
    </xf>
    <xf numFmtId="169" fontId="23" fillId="3" borderId="156" xfId="0" applyNumberFormat="1" applyFont="1" applyFill="1" applyBorder="1" applyAlignment="1" applyProtection="1">
      <alignment horizontal="right"/>
      <protection locked="0"/>
    </xf>
    <xf numFmtId="49" fontId="56" fillId="0" borderId="136" xfId="0" applyNumberFormat="1" applyFont="1" applyFill="1" applyBorder="1" applyAlignment="1" applyProtection="1">
      <alignment horizontal="center" vertical="center" wrapText="1"/>
    </xf>
    <xf numFmtId="49" fontId="25" fillId="9" borderId="143" xfId="0" applyNumberFormat="1" applyFont="1" applyFill="1" applyBorder="1" applyAlignment="1" applyProtection="1">
      <alignment horizontal="center" vertical="center" wrapText="1"/>
    </xf>
    <xf numFmtId="175" fontId="56" fillId="0" borderId="136" xfId="0" applyNumberFormat="1" applyFont="1" applyBorder="1" applyAlignment="1" applyProtection="1">
      <alignment horizontal="right"/>
    </xf>
    <xf numFmtId="175" fontId="56" fillId="3" borderId="136" xfId="0" applyNumberFormat="1" applyFont="1" applyFill="1" applyBorder="1" applyAlignment="1" applyProtection="1">
      <alignment horizontal="right" wrapText="1" shrinkToFit="1"/>
      <protection locked="0"/>
    </xf>
    <xf numFmtId="175" fontId="56" fillId="3" borderId="132" xfId="0" applyNumberFormat="1" applyFont="1" applyFill="1" applyBorder="1" applyAlignment="1" applyProtection="1">
      <alignment horizontal="right" wrapText="1" shrinkToFit="1"/>
      <protection locked="0"/>
    </xf>
    <xf numFmtId="0" fontId="55" fillId="0" borderId="135" xfId="0" applyNumberFormat="1" applyFont="1" applyBorder="1" applyAlignment="1" applyProtection="1">
      <alignment horizontal="left"/>
    </xf>
    <xf numFmtId="0" fontId="56" fillId="0" borderId="136" xfId="0" applyNumberFormat="1" applyFont="1" applyBorder="1" applyAlignment="1" applyProtection="1">
      <alignment horizontal="center"/>
    </xf>
    <xf numFmtId="0" fontId="56" fillId="3" borderId="136" xfId="0" applyNumberFormat="1" applyFont="1" applyFill="1" applyBorder="1" applyAlignment="1" applyProtection="1">
      <alignment horizontal="left" vertical="center" wrapText="1"/>
      <protection locked="0"/>
    </xf>
    <xf numFmtId="14" fontId="56" fillId="3" borderId="136" xfId="0" applyNumberFormat="1" applyFont="1" applyFill="1" applyBorder="1" applyAlignment="1" applyProtection="1">
      <alignment vertical="center" wrapText="1"/>
      <protection locked="0"/>
    </xf>
    <xf numFmtId="49" fontId="56" fillId="3" borderId="140" xfId="0" applyNumberFormat="1" applyFont="1" applyFill="1" applyBorder="1" applyAlignment="1" applyProtection="1">
      <alignment horizontal="right" wrapText="1" shrinkToFit="1"/>
      <protection locked="0"/>
    </xf>
    <xf numFmtId="14" fontId="56" fillId="3" borderId="132" xfId="0" applyNumberFormat="1" applyFont="1" applyFill="1" applyBorder="1" applyAlignment="1" applyProtection="1">
      <alignment vertical="center" wrapText="1"/>
      <protection locked="0"/>
    </xf>
    <xf numFmtId="49" fontId="56" fillId="3" borderId="151" xfId="0" applyNumberFormat="1" applyFont="1" applyFill="1" applyBorder="1" applyAlignment="1" applyProtection="1">
      <alignment horizontal="right" wrapText="1" shrinkToFit="1"/>
      <protection locked="0"/>
    </xf>
    <xf numFmtId="0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29" fillId="0" borderId="135" xfId="0" applyNumberFormat="1" applyFont="1" applyFill="1" applyBorder="1" applyAlignment="1" applyProtection="1">
      <alignment horizontal="left" wrapText="1"/>
    </xf>
    <xf numFmtId="169" fontId="29" fillId="7" borderId="136" xfId="0" applyNumberFormat="1" applyFont="1" applyFill="1" applyBorder="1" applyAlignment="1" applyProtection="1">
      <alignment horizontal="right"/>
    </xf>
    <xf numFmtId="49" fontId="29" fillId="4" borderId="135" xfId="0" applyNumberFormat="1" applyFont="1" applyFill="1" applyBorder="1" applyAlignment="1" applyProtection="1">
      <alignment horizontal="left" vertical="center"/>
      <protection locked="0"/>
    </xf>
    <xf numFmtId="14" fontId="38" fillId="3" borderId="136" xfId="0" applyNumberFormat="1" applyFont="1" applyFill="1" applyBorder="1" applyAlignment="1" applyProtection="1">
      <alignment vertical="center" wrapText="1"/>
      <protection locked="0"/>
    </xf>
    <xf numFmtId="49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49" fontId="29" fillId="4" borderId="150" xfId="0" applyNumberFormat="1" applyFont="1" applyFill="1" applyBorder="1" applyAlignment="1" applyProtection="1">
      <alignment horizontal="left" vertical="center"/>
      <protection locked="0"/>
    </xf>
    <xf numFmtId="14" fontId="38" fillId="3" borderId="132" xfId="0" applyNumberFormat="1" applyFont="1" applyFill="1" applyBorder="1" applyAlignment="1" applyProtection="1">
      <alignment vertical="center" wrapText="1"/>
      <protection locked="0"/>
    </xf>
    <xf numFmtId="49" fontId="38" fillId="3" borderId="132" xfId="0" applyNumberFormat="1" applyFont="1" applyFill="1" applyBorder="1" applyAlignment="1" applyProtection="1">
      <alignment horizontal="left" vertical="center" wrapText="1"/>
      <protection locked="0"/>
    </xf>
    <xf numFmtId="49" fontId="69" fillId="6" borderId="142" xfId="0" applyNumberFormat="1" applyFont="1" applyFill="1" applyBorder="1" applyAlignment="1" applyProtection="1">
      <alignment horizontal="center" vertical="center" wrapText="1"/>
    </xf>
    <xf numFmtId="49" fontId="30" fillId="0" borderId="135" xfId="0" applyNumberFormat="1" applyFont="1" applyFill="1" applyBorder="1" applyAlignment="1" applyProtection="1">
      <alignment horizontal="center" vertical="center"/>
    </xf>
    <xf numFmtId="49" fontId="30" fillId="0" borderId="136" xfId="0" applyNumberFormat="1" applyFont="1" applyBorder="1" applyProtection="1"/>
    <xf numFmtId="49" fontId="29" fillId="5" borderId="136" xfId="0" applyNumberFormat="1" applyFont="1" applyFill="1" applyBorder="1" applyAlignment="1" applyProtection="1">
      <alignment horizontal="center" vertical="center" wrapText="1"/>
    </xf>
    <xf numFmtId="49" fontId="29" fillId="0" borderId="136" xfId="0" applyNumberFormat="1" applyFont="1" applyFill="1" applyBorder="1" applyAlignment="1" applyProtection="1">
      <alignment horizontal="center" vertical="center"/>
    </xf>
    <xf numFmtId="175" fontId="23" fillId="0" borderId="136" xfId="0" applyNumberFormat="1" applyFont="1" applyBorder="1" applyAlignment="1" applyProtection="1">
      <alignment horizontal="right"/>
    </xf>
    <xf numFmtId="49" fontId="29" fillId="5" borderId="140" xfId="0" applyNumberFormat="1" applyFont="1" applyFill="1" applyBorder="1" applyAlignment="1" applyProtection="1">
      <alignment horizontal="center" vertical="center" wrapText="1"/>
    </xf>
    <xf numFmtId="49" fontId="0" fillId="0" borderId="135" xfId="0" applyNumberFormat="1" applyFont="1" applyFill="1" applyBorder="1" applyAlignment="1" applyProtection="1">
      <alignment horizontal="center" vertical="center" wrapText="1"/>
    </xf>
    <xf numFmtId="175" fontId="23" fillId="3" borderId="13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0" xfId="0" applyNumberFormat="1" applyFont="1" applyFill="1" applyBorder="1" applyAlignment="1" applyProtection="1">
      <alignment horizontal="center" vertical="center"/>
      <protection locked="0"/>
    </xf>
    <xf numFmtId="49" fontId="29" fillId="3" borderId="136" xfId="0" applyNumberFormat="1" applyFont="1" applyFill="1" applyBorder="1" applyAlignment="1" applyProtection="1">
      <alignment horizontal="center" vertical="center" wrapText="1"/>
      <protection locked="0"/>
    </xf>
    <xf numFmtId="49" fontId="29" fillId="3" borderId="140" xfId="0" applyNumberFormat="1" applyFont="1" applyFill="1" applyBorder="1" applyAlignment="1" applyProtection="1">
      <alignment horizontal="center" vertical="center" wrapText="1"/>
      <protection locked="0"/>
    </xf>
    <xf numFmtId="49" fontId="29" fillId="4" borderId="150" xfId="0" applyNumberFormat="1" applyFont="1" applyFill="1" applyBorder="1" applyAlignment="1" applyProtection="1">
      <alignment horizontal="left" vertical="center" wrapText="1"/>
      <protection locked="0"/>
    </xf>
    <xf numFmtId="175" fontId="23" fillId="3" borderId="132" xfId="0" applyNumberFormat="1" applyFont="1" applyFill="1" applyBorder="1" applyAlignment="1" applyProtection="1">
      <alignment horizontal="right" wrapText="1" shrinkToFit="1"/>
      <protection locked="0"/>
    </xf>
    <xf numFmtId="175" fontId="23" fillId="0" borderId="132" xfId="0" applyNumberFormat="1" applyFont="1" applyBorder="1" applyAlignment="1" applyProtection="1">
      <alignment horizontal="right"/>
    </xf>
    <xf numFmtId="49" fontId="29" fillId="3" borderId="132" xfId="0" applyNumberFormat="1" applyFont="1" applyFill="1" applyBorder="1" applyAlignment="1" applyProtection="1">
      <alignment horizontal="center" vertical="center" wrapText="1"/>
      <protection locked="0"/>
    </xf>
    <xf numFmtId="49" fontId="29" fillId="3" borderId="151" xfId="0" applyNumberFormat="1" applyFont="1" applyFill="1" applyBorder="1" applyAlignment="1" applyProtection="1">
      <alignment horizontal="center" vertical="center" wrapText="1"/>
      <protection locked="0"/>
    </xf>
    <xf numFmtId="0" fontId="25" fillId="2" borderId="142" xfId="0" applyNumberFormat="1" applyFont="1" applyFill="1" applyBorder="1" applyAlignment="1" applyProtection="1">
      <alignment horizontal="center" vertical="center" wrapText="1"/>
    </xf>
    <xf numFmtId="49" fontId="0" fillId="0" borderId="136" xfId="0" applyNumberFormat="1" applyFont="1" applyFill="1" applyBorder="1" applyAlignment="1" applyProtection="1">
      <alignment vertical="top" wrapText="1"/>
    </xf>
    <xf numFmtId="175" fontId="29" fillId="0" borderId="136" xfId="0" applyNumberFormat="1" applyFont="1" applyBorder="1" applyAlignment="1" applyProtection="1">
      <alignment horizontal="right"/>
    </xf>
    <xf numFmtId="49" fontId="29" fillId="3" borderId="136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132" xfId="0" applyNumberFormat="1" applyFont="1" applyFill="1" applyBorder="1" applyAlignment="1" applyProtection="1">
      <alignment horizontal="left" vertical="center" wrapText="1"/>
      <protection locked="0"/>
    </xf>
    <xf numFmtId="49" fontId="82" fillId="2" borderId="141" xfId="0" applyNumberFormat="1" applyFont="1" applyFill="1" applyBorder="1" applyAlignment="1" applyProtection="1">
      <alignment horizontal="center" vertical="center" wrapText="1"/>
    </xf>
    <xf numFmtId="49" fontId="82" fillId="2" borderId="142" xfId="0" applyNumberFormat="1" applyFont="1" applyFill="1" applyBorder="1" applyAlignment="1" applyProtection="1">
      <alignment horizontal="center" vertical="center" wrapText="1"/>
    </xf>
    <xf numFmtId="49" fontId="82" fillId="2" borderId="143" xfId="0" applyNumberFormat="1" applyFont="1" applyFill="1" applyBorder="1" applyAlignment="1" applyProtection="1">
      <alignment horizontal="center" vertical="center" wrapText="1"/>
    </xf>
    <xf numFmtId="0" fontId="29" fillId="0" borderId="136" xfId="0" applyNumberFormat="1" applyFont="1" applyBorder="1" applyAlignment="1" applyProtection="1">
      <alignment horizontal="center" vertical="center"/>
    </xf>
    <xf numFmtId="175" fontId="29" fillId="0" borderId="136" xfId="0" applyNumberFormat="1" applyFont="1" applyBorder="1" applyAlignment="1" applyProtection="1">
      <alignment horizontal="center" vertical="center"/>
    </xf>
    <xf numFmtId="49" fontId="29" fillId="5" borderId="135" xfId="0" applyNumberFormat="1" applyFont="1" applyFill="1" applyBorder="1" applyAlignment="1" applyProtection="1">
      <alignment horizontal="center" vertical="center" wrapText="1"/>
    </xf>
    <xf numFmtId="0" fontId="29" fillId="3" borderId="136" xfId="0" applyNumberFormat="1" applyFont="1" applyFill="1" applyBorder="1" applyAlignment="1" applyProtection="1">
      <alignment vertical="center" wrapText="1"/>
      <protection locked="0"/>
    </xf>
    <xf numFmtId="173" fontId="29" fillId="3" borderId="136" xfId="0" applyNumberFormat="1" applyFont="1" applyFill="1" applyBorder="1" applyAlignment="1" applyProtection="1">
      <alignment horizontal="right" shrinkToFit="1"/>
      <protection locked="0"/>
    </xf>
    <xf numFmtId="49" fontId="29" fillId="3" borderId="150" xfId="0" applyNumberFormat="1" applyFont="1" applyFill="1" applyBorder="1" applyAlignment="1" applyProtection="1">
      <alignment horizontal="center" vertical="center"/>
      <protection locked="0"/>
    </xf>
    <xf numFmtId="14" fontId="29" fillId="3" borderId="132" xfId="0" applyNumberFormat="1" applyFont="1" applyFill="1" applyBorder="1" applyAlignment="1" applyProtection="1">
      <alignment horizontal="left" vertical="center"/>
      <protection locked="0"/>
    </xf>
    <xf numFmtId="49" fontId="29" fillId="3" borderId="132" xfId="0" applyNumberFormat="1" applyFont="1" applyFill="1" applyBorder="1" applyAlignment="1" applyProtection="1">
      <alignment horizontal="left" vertical="center"/>
      <protection locked="0"/>
    </xf>
    <xf numFmtId="0" fontId="29" fillId="3" borderId="132" xfId="0" applyNumberFormat="1" applyFont="1" applyFill="1" applyBorder="1" applyAlignment="1" applyProtection="1">
      <alignment vertical="center"/>
      <protection locked="0"/>
    </xf>
    <xf numFmtId="173" fontId="29" fillId="3" borderId="132" xfId="0" applyNumberFormat="1" applyFont="1" applyFill="1" applyBorder="1" applyAlignment="1" applyProtection="1">
      <alignment horizontal="right" shrinkToFit="1"/>
      <protection locked="0"/>
    </xf>
    <xf numFmtId="49" fontId="29" fillId="3" borderId="151" xfId="0" applyNumberFormat="1" applyFont="1" applyFill="1" applyBorder="1" applyAlignment="1" applyProtection="1">
      <alignment horizontal="center" vertical="center"/>
      <protection locked="0"/>
    </xf>
    <xf numFmtId="49" fontId="29" fillId="3" borderId="150" xfId="0" applyNumberFormat="1" applyFont="1" applyFill="1" applyBorder="1" applyAlignment="1" applyProtection="1">
      <alignment horizontal="left" vertical="center"/>
      <protection locked="0"/>
    </xf>
    <xf numFmtId="49" fontId="72" fillId="0" borderId="0" xfId="0" quotePrefix="1" applyNumberFormat="1" applyFont="1" applyFill="1" applyBorder="1" applyAlignment="1" applyProtection="1">
      <alignment horizontal="center" vertical="center"/>
    </xf>
    <xf numFmtId="49" fontId="23" fillId="0" borderId="0" xfId="0" quotePrefix="1" applyNumberFormat="1" applyFont="1" applyBorder="1" applyAlignment="1" applyProtection="1">
      <alignment horizontal="center"/>
    </xf>
    <xf numFmtId="49" fontId="29" fillId="3" borderId="39" xfId="0" applyNumberFormat="1" applyFont="1" applyFill="1" applyBorder="1" applyAlignment="1" applyProtection="1">
      <alignment horizontal="left" vertical="center"/>
      <protection locked="0"/>
    </xf>
    <xf numFmtId="49" fontId="25" fillId="6" borderId="49" xfId="0" applyNumberFormat="1" applyFont="1" applyFill="1" applyBorder="1" applyAlignment="1" applyProtection="1">
      <alignment horizontal="center" vertical="center" wrapText="1"/>
    </xf>
    <xf numFmtId="173" fontId="29" fillId="0" borderId="136" xfId="0" applyNumberFormat="1" applyFont="1" applyBorder="1" applyAlignment="1" applyProtection="1">
      <alignment horizontal="right"/>
    </xf>
    <xf numFmtId="171" fontId="29" fillId="0" borderId="136" xfId="0" applyNumberFormat="1" applyFont="1" applyFill="1" applyBorder="1" applyAlignment="1" applyProtection="1">
      <alignment horizontal="center" vertical="center"/>
    </xf>
    <xf numFmtId="49" fontId="29" fillId="0" borderId="140" xfId="0" applyNumberFormat="1" applyFont="1" applyFill="1" applyBorder="1" applyAlignment="1" applyProtection="1">
      <alignment horizontal="center" vertical="center"/>
    </xf>
    <xf numFmtId="49" fontId="29" fillId="3" borderId="135" xfId="0" applyNumberFormat="1" applyFont="1" applyFill="1" applyBorder="1" applyAlignment="1" applyProtection="1">
      <alignment horizontal="left" vertical="center"/>
      <protection locked="0"/>
    </xf>
    <xf numFmtId="173" fontId="29" fillId="3" borderId="136" xfId="0" applyNumberFormat="1" applyFont="1" applyFill="1" applyBorder="1" applyAlignment="1" applyProtection="1">
      <alignment horizontal="right" wrapText="1" shrinkToFit="1"/>
      <protection locked="0"/>
    </xf>
    <xf numFmtId="10" fontId="29" fillId="3" borderId="136" xfId="0" applyNumberFormat="1" applyFont="1" applyFill="1" applyBorder="1" applyAlignment="1" applyProtection="1">
      <alignment horizontal="right" wrapText="1" shrinkToFit="1"/>
      <protection locked="0"/>
    </xf>
    <xf numFmtId="173" fontId="29" fillId="3" borderId="132" xfId="0" applyNumberFormat="1" applyFont="1" applyFill="1" applyBorder="1" applyAlignment="1" applyProtection="1">
      <alignment horizontal="right" wrapText="1" shrinkToFit="1"/>
      <protection locked="0"/>
    </xf>
    <xf numFmtId="173" fontId="29" fillId="0" borderId="132" xfId="0" applyNumberFormat="1" applyFont="1" applyBorder="1" applyAlignment="1" applyProtection="1">
      <alignment horizontal="right"/>
    </xf>
    <xf numFmtId="10" fontId="29" fillId="3" borderId="132" xfId="0" applyNumberFormat="1" applyFont="1" applyFill="1" applyBorder="1" applyAlignment="1" applyProtection="1">
      <alignment horizontal="right" wrapText="1" shrinkToFit="1"/>
      <protection locked="0"/>
    </xf>
    <xf numFmtId="0" fontId="29" fillId="0" borderId="157" xfId="0" applyNumberFormat="1" applyFont="1" applyFill="1" applyBorder="1" applyAlignment="1" applyProtection="1">
      <alignment horizontal="center" vertical="center"/>
    </xf>
    <xf numFmtId="49" fontId="29" fillId="0" borderId="157" xfId="0" applyNumberFormat="1" applyFont="1" applyFill="1" applyBorder="1" applyAlignment="1" applyProtection="1">
      <alignment horizontal="center" vertical="center" wrapText="1" shrinkToFit="1"/>
    </xf>
    <xf numFmtId="175" fontId="38" fillId="0" borderId="136" xfId="0" applyNumberFormat="1" applyFont="1" applyBorder="1" applyAlignment="1" applyProtection="1">
      <alignment horizontal="right"/>
    </xf>
    <xf numFmtId="175" fontId="38" fillId="3" borderId="136" xfId="0" applyNumberFormat="1" applyFont="1" applyFill="1" applyBorder="1" applyAlignment="1" applyProtection="1">
      <alignment horizontal="right" wrapText="1" shrinkToFit="1"/>
      <protection locked="0"/>
    </xf>
    <xf numFmtId="175" fontId="38" fillId="3" borderId="132" xfId="0" applyNumberFormat="1" applyFont="1" applyFill="1" applyBorder="1" applyAlignment="1" applyProtection="1">
      <alignment horizontal="right" wrapText="1" shrinkToFit="1"/>
      <protection locked="0"/>
    </xf>
    <xf numFmtId="1" fontId="25" fillId="6" borderId="142" xfId="0" applyNumberFormat="1" applyFont="1" applyFill="1" applyBorder="1" applyAlignment="1" applyProtection="1">
      <alignment horizontal="center" vertical="center" wrapText="1"/>
    </xf>
    <xf numFmtId="49" fontId="29" fillId="0" borderId="135" xfId="0" applyNumberFormat="1" applyFont="1" applyFill="1" applyBorder="1" applyAlignment="1" applyProtection="1">
      <alignment horizontal="center" vertical="center" wrapText="1"/>
    </xf>
    <xf numFmtId="49" fontId="29" fillId="0" borderId="136" xfId="0" applyNumberFormat="1" applyFont="1" applyFill="1" applyBorder="1" applyAlignment="1" applyProtection="1">
      <alignment horizontal="center" vertical="center" wrapText="1"/>
    </xf>
    <xf numFmtId="176" fontId="29" fillId="0" borderId="136" xfId="0" applyNumberFormat="1" applyFont="1" applyBorder="1" applyAlignment="1" applyProtection="1">
      <alignment horizontal="right"/>
    </xf>
    <xf numFmtId="0" fontId="29" fillId="0" borderId="136" xfId="0" applyNumberFormat="1" applyFont="1" applyFill="1" applyBorder="1" applyAlignment="1" applyProtection="1">
      <alignment horizontal="center" vertical="center" wrapText="1"/>
    </xf>
    <xf numFmtId="0" fontId="29" fillId="5" borderId="140" xfId="0" applyNumberFormat="1" applyFont="1" applyFill="1" applyBorder="1" applyAlignment="1" applyProtection="1">
      <alignment horizontal="center" vertical="center" wrapText="1"/>
    </xf>
    <xf numFmtId="0" fontId="29" fillId="3" borderId="135" xfId="0" applyNumberFormat="1" applyFont="1" applyFill="1" applyBorder="1" applyAlignment="1" applyProtection="1">
      <alignment vertical="center"/>
      <protection locked="0"/>
    </xf>
    <xf numFmtId="173" fontId="29" fillId="3" borderId="136" xfId="0" applyNumberFormat="1" applyFont="1" applyFill="1" applyBorder="1" applyAlignment="1" applyProtection="1">
      <alignment horizontal="left" wrapText="1" shrinkToFit="1"/>
      <protection locked="0"/>
    </xf>
    <xf numFmtId="0" fontId="29" fillId="3" borderId="150" xfId="0" applyNumberFormat="1" applyFont="1" applyFill="1" applyBorder="1" applyAlignment="1" applyProtection="1">
      <alignment vertical="center"/>
      <protection locked="0"/>
    </xf>
    <xf numFmtId="173" fontId="29" fillId="3" borderId="132" xfId="0" applyNumberFormat="1" applyFont="1" applyFill="1" applyBorder="1" applyAlignment="1" applyProtection="1">
      <alignment horizontal="left" wrapText="1" shrinkToFit="1"/>
      <protection locked="0"/>
    </xf>
    <xf numFmtId="49" fontId="69" fillId="2" borderId="142" xfId="0" applyNumberFormat="1" applyFont="1" applyFill="1" applyBorder="1" applyAlignment="1" applyProtection="1">
      <alignment horizontal="center" vertical="center" wrapText="1"/>
    </xf>
    <xf numFmtId="0" fontId="29" fillId="0" borderId="135" xfId="0" applyNumberFormat="1" applyFont="1" applyFill="1" applyBorder="1" applyAlignment="1" applyProtection="1">
      <alignment horizontal="center" vertical="center" wrapText="1"/>
    </xf>
    <xf numFmtId="49" fontId="29" fillId="3" borderId="135" xfId="0" applyNumberFormat="1" applyFont="1" applyFill="1" applyBorder="1" applyAlignment="1" applyProtection="1">
      <alignment horizontal="center" vertical="center"/>
      <protection locked="0"/>
    </xf>
    <xf numFmtId="49" fontId="29" fillId="3" borderId="136" xfId="0" applyNumberFormat="1" applyFont="1" applyFill="1" applyBorder="1" applyAlignment="1" applyProtection="1">
      <alignment horizontal="left" vertical="center"/>
      <protection locked="0"/>
    </xf>
    <xf numFmtId="49" fontId="29" fillId="0" borderId="135" xfId="0" applyNumberFormat="1" applyFont="1" applyBorder="1" applyAlignment="1" applyProtection="1">
      <alignment horizontal="center"/>
    </xf>
    <xf numFmtId="49" fontId="29" fillId="0" borderId="136" xfId="0" applyNumberFormat="1" applyFont="1" applyBorder="1" applyAlignment="1" applyProtection="1">
      <alignment horizontal="center"/>
    </xf>
    <xf numFmtId="0" fontId="29" fillId="0" borderId="140" xfId="0" applyNumberFormat="1" applyFont="1" applyFill="1" applyBorder="1" applyAlignment="1" applyProtection="1">
      <alignment horizontal="center" vertical="center" wrapText="1"/>
    </xf>
    <xf numFmtId="0" fontId="56" fillId="0" borderId="140" xfId="0" applyNumberFormat="1" applyFont="1" applyBorder="1" applyAlignment="1" applyProtection="1">
      <alignment horizontal="center"/>
    </xf>
    <xf numFmtId="49" fontId="56" fillId="3" borderId="135" xfId="0" applyNumberFormat="1" applyFont="1" applyFill="1" applyBorder="1" applyAlignment="1" applyProtection="1">
      <alignment horizontal="left" vertical="center"/>
      <protection locked="0"/>
    </xf>
    <xf numFmtId="49" fontId="56" fillId="3" borderId="136" xfId="0" applyNumberFormat="1" applyFont="1" applyFill="1" applyBorder="1" applyAlignment="1" applyProtection="1">
      <alignment horizontal="left" vertical="center"/>
      <protection locked="0"/>
    </xf>
    <xf numFmtId="49" fontId="56" fillId="3" borderId="136" xfId="0" applyNumberFormat="1" applyFont="1" applyFill="1" applyBorder="1" applyAlignment="1" applyProtection="1">
      <alignment horizontal="left" vertical="center" wrapText="1"/>
      <protection locked="0"/>
    </xf>
    <xf numFmtId="10" fontId="56" fillId="3" borderId="136" xfId="0" applyNumberFormat="1" applyFont="1" applyFill="1" applyBorder="1" applyAlignment="1" applyProtection="1">
      <alignment horizontal="left" vertical="center"/>
      <protection locked="0"/>
    </xf>
    <xf numFmtId="0" fontId="56" fillId="3" borderId="136" xfId="0" applyNumberFormat="1" applyFont="1" applyFill="1" applyBorder="1" applyAlignment="1" applyProtection="1">
      <alignment horizontal="left" vertical="center"/>
      <protection locked="0"/>
    </xf>
    <xf numFmtId="0" fontId="56" fillId="3" borderId="140" xfId="0" applyNumberFormat="1" applyFont="1" applyFill="1" applyBorder="1" applyAlignment="1" applyProtection="1">
      <alignment horizontal="left" vertical="center"/>
      <protection locked="0"/>
    </xf>
    <xf numFmtId="49" fontId="56" fillId="3" borderId="150" xfId="0" applyNumberFormat="1" applyFont="1" applyFill="1" applyBorder="1" applyAlignment="1" applyProtection="1">
      <alignment vertical="center"/>
      <protection locked="0"/>
    </xf>
    <xf numFmtId="49" fontId="56" fillId="3" borderId="132" xfId="0" applyNumberFormat="1" applyFont="1" applyFill="1" applyBorder="1" applyAlignment="1" applyProtection="1">
      <alignment vertical="center"/>
      <protection locked="0"/>
    </xf>
    <xf numFmtId="49" fontId="25" fillId="9" borderId="141" xfId="0" applyNumberFormat="1" applyFont="1" applyFill="1" applyBorder="1" applyAlignment="1" applyProtection="1">
      <alignment horizontal="center" vertical="center" wrapText="1"/>
    </xf>
    <xf numFmtId="49" fontId="25" fillId="9" borderId="142" xfId="0" applyNumberFormat="1" applyFont="1" applyFill="1" applyBorder="1" applyAlignment="1" applyProtection="1">
      <alignment horizontal="center" vertical="center" wrapText="1"/>
    </xf>
    <xf numFmtId="49" fontId="69" fillId="9" borderId="142" xfId="0" applyNumberFormat="1" applyFont="1" applyFill="1" applyBorder="1" applyAlignment="1" applyProtection="1">
      <alignment horizontal="center" vertical="center" wrapText="1"/>
    </xf>
    <xf numFmtId="49" fontId="56" fillId="3" borderId="140" xfId="0" applyNumberFormat="1" applyFont="1" applyFill="1" applyBorder="1" applyAlignment="1" applyProtection="1">
      <alignment horizontal="left" vertical="center"/>
      <protection locked="0"/>
    </xf>
    <xf numFmtId="49" fontId="56" fillId="3" borderId="150" xfId="0" applyNumberFormat="1" applyFont="1" applyFill="1" applyBorder="1" applyAlignment="1" applyProtection="1">
      <alignment horizontal="left" vertical="center"/>
      <protection locked="0"/>
    </xf>
    <xf numFmtId="49" fontId="56" fillId="3" borderId="132" xfId="0" applyNumberFormat="1" applyFont="1" applyFill="1" applyBorder="1" applyAlignment="1" applyProtection="1">
      <alignment horizontal="left" vertical="center"/>
      <protection locked="0"/>
    </xf>
    <xf numFmtId="49" fontId="56" fillId="3" borderId="151" xfId="0" applyNumberFormat="1" applyFont="1" applyFill="1" applyBorder="1" applyAlignment="1" applyProtection="1">
      <alignment horizontal="left" vertical="center"/>
      <protection locked="0"/>
    </xf>
    <xf numFmtId="49" fontId="56" fillId="3" borderId="136" xfId="0" applyNumberFormat="1" applyFont="1" applyFill="1" applyBorder="1" applyAlignment="1" applyProtection="1">
      <alignment horizontal="right" wrapText="1" shrinkToFit="1"/>
      <protection locked="0"/>
    </xf>
    <xf numFmtId="0" fontId="30" fillId="0" borderId="135" xfId="0" applyNumberFormat="1" applyFont="1" applyFill="1" applyBorder="1" applyAlignment="1" applyProtection="1">
      <alignment horizontal="left" vertical="center"/>
    </xf>
    <xf numFmtId="0" fontId="29" fillId="0" borderId="136" xfId="0" applyNumberFormat="1" applyFont="1" applyBorder="1" applyAlignment="1" applyProtection="1">
      <alignment horizontal="center"/>
    </xf>
    <xf numFmtId="0" fontId="29" fillId="0" borderId="140" xfId="0" applyNumberFormat="1" applyFont="1" applyBorder="1" applyAlignment="1" applyProtection="1">
      <alignment horizontal="center"/>
    </xf>
    <xf numFmtId="0" fontId="29" fillId="0" borderId="135" xfId="0" applyNumberFormat="1" applyFont="1" applyBorder="1" applyAlignment="1" applyProtection="1">
      <alignment horizontal="left" wrapText="1"/>
    </xf>
    <xf numFmtId="49" fontId="29" fillId="3" borderId="140" xfId="0" applyNumberFormat="1" applyFont="1" applyFill="1" applyBorder="1" applyAlignment="1" applyProtection="1">
      <alignment wrapText="1" shrinkToFit="1"/>
      <protection locked="0"/>
    </xf>
    <xf numFmtId="49" fontId="29" fillId="3" borderId="151" xfId="0" applyNumberFormat="1" applyFont="1" applyFill="1" applyBorder="1" applyAlignment="1" applyProtection="1">
      <alignment wrapText="1" shrinkToFit="1"/>
      <protection locked="0"/>
    </xf>
    <xf numFmtId="49" fontId="25" fillId="2" borderId="142" xfId="0" applyNumberFormat="1" applyFont="1" applyFill="1" applyBorder="1" applyAlignment="1" applyProtection="1">
      <alignment horizontal="center"/>
    </xf>
    <xf numFmtId="49" fontId="25" fillId="2" borderId="143" xfId="0" applyNumberFormat="1" applyFont="1" applyFill="1" applyBorder="1" applyAlignment="1" applyProtection="1">
      <alignment horizontal="center"/>
    </xf>
    <xf numFmtId="0" fontId="75" fillId="0" borderId="135" xfId="0" applyNumberFormat="1" applyFont="1" applyFill="1" applyBorder="1" applyAlignment="1" applyProtection="1">
      <alignment horizontal="center" vertical="center" wrapText="1"/>
    </xf>
    <xf numFmtId="49" fontId="29" fillId="3" borderId="140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35" xfId="0" applyNumberFormat="1" applyFont="1" applyFill="1" applyBorder="1" applyAlignment="1" applyProtection="1">
      <alignment wrapText="1" shrinkToFit="1"/>
      <protection locked="0"/>
    </xf>
    <xf numFmtId="49" fontId="29" fillId="3" borderId="150" xfId="0" applyNumberFormat="1" applyFont="1" applyFill="1" applyBorder="1" applyAlignment="1" applyProtection="1">
      <alignment wrapText="1" shrinkToFit="1"/>
      <protection locked="0"/>
    </xf>
    <xf numFmtId="0" fontId="29" fillId="3" borderId="132" xfId="0" applyNumberFormat="1" applyFont="1" applyFill="1" applyBorder="1" applyAlignment="1" applyProtection="1">
      <alignment vertical="center" wrapText="1"/>
      <protection locked="0"/>
    </xf>
    <xf numFmtId="0" fontId="69" fillId="2" borderId="36" xfId="0" applyNumberFormat="1" applyFont="1" applyFill="1" applyBorder="1" applyAlignment="1" applyProtection="1">
      <alignment horizontal="center" vertical="center" wrapText="1"/>
    </xf>
    <xf numFmtId="49" fontId="86" fillId="2" borderId="143" xfId="0" applyNumberFormat="1" applyFont="1" applyFill="1" applyBorder="1" applyAlignment="1" applyProtection="1">
      <alignment horizontal="center"/>
    </xf>
    <xf numFmtId="0" fontId="29" fillId="0" borderId="136" xfId="0" applyNumberFormat="1" applyFont="1" applyFill="1" applyBorder="1" applyAlignment="1" applyProtection="1">
      <alignment horizontal="center" vertical="center"/>
    </xf>
    <xf numFmtId="0" fontId="30" fillId="0" borderId="135" xfId="0" applyNumberFormat="1" applyFont="1" applyFill="1" applyBorder="1" applyAlignment="1" applyProtection="1">
      <alignment horizontal="left" vertical="center" wrapText="1"/>
    </xf>
    <xf numFmtId="0" fontId="53" fillId="0" borderId="135" xfId="0" applyNumberFormat="1" applyFont="1" applyBorder="1" applyAlignment="1" applyProtection="1">
      <alignment horizontal="left"/>
    </xf>
    <xf numFmtId="0" fontId="38" fillId="0" borderId="136" xfId="0" applyNumberFormat="1" applyFont="1" applyBorder="1" applyAlignment="1" applyProtection="1">
      <alignment horizontal="center"/>
    </xf>
    <xf numFmtId="175" fontId="38" fillId="0" borderId="136" xfId="0" applyNumberFormat="1" applyFont="1" applyBorder="1" applyAlignment="1" applyProtection="1">
      <alignment horizontal="center"/>
    </xf>
    <xf numFmtId="173" fontId="38" fillId="0" borderId="140" xfId="0" applyNumberFormat="1" applyFont="1" applyBorder="1" applyAlignment="1" applyProtection="1">
      <alignment horizontal="center"/>
    </xf>
    <xf numFmtId="0" fontId="38" fillId="3" borderId="136" xfId="0" applyNumberFormat="1" applyFont="1" applyFill="1" applyBorder="1" applyAlignment="1" applyProtection="1">
      <alignment horizontal="left" vertical="center"/>
      <protection locked="0"/>
    </xf>
    <xf numFmtId="49" fontId="38" fillId="3" borderId="136" xfId="0" applyNumberFormat="1" applyFont="1" applyFill="1" applyBorder="1" applyAlignment="1" applyProtection="1">
      <alignment horizontal="left" vertical="center"/>
      <protection locked="0"/>
    </xf>
    <xf numFmtId="0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49" fontId="38" fillId="3" borderId="140" xfId="0" applyNumberFormat="1" applyFont="1" applyFill="1" applyBorder="1" applyAlignment="1" applyProtection="1">
      <alignment horizontal="left" wrapText="1" shrinkToFit="1"/>
      <protection locked="0"/>
    </xf>
    <xf numFmtId="0" fontId="38" fillId="3" borderId="132" xfId="0" applyNumberFormat="1" applyFont="1" applyFill="1" applyBorder="1" applyAlignment="1" applyProtection="1">
      <alignment horizontal="left" vertical="center"/>
      <protection locked="0"/>
    </xf>
    <xf numFmtId="49" fontId="38" fillId="3" borderId="132" xfId="0" applyNumberFormat="1" applyFont="1" applyFill="1" applyBorder="1" applyAlignment="1" applyProtection="1">
      <alignment horizontal="left" vertical="center"/>
      <protection locked="0"/>
    </xf>
    <xf numFmtId="0" fontId="38" fillId="3" borderId="132" xfId="0" applyNumberFormat="1" applyFont="1" applyFill="1" applyBorder="1" applyAlignment="1" applyProtection="1">
      <alignment horizontal="left" vertical="center" wrapText="1"/>
      <protection locked="0"/>
    </xf>
    <xf numFmtId="49" fontId="38" fillId="3" borderId="151" xfId="0" applyNumberFormat="1" applyFont="1" applyFill="1" applyBorder="1" applyAlignment="1" applyProtection="1">
      <alignment horizontal="left" wrapText="1" shrinkToFit="1"/>
      <protection locked="0"/>
    </xf>
    <xf numFmtId="49" fontId="38" fillId="3" borderId="132" xfId="0" applyNumberFormat="1" applyFont="1" applyFill="1" applyBorder="1" applyAlignment="1" applyProtection="1">
      <alignment vertical="center" wrapText="1"/>
      <protection locked="0"/>
    </xf>
    <xf numFmtId="0" fontId="69" fillId="6" borderId="142" xfId="0" applyNumberFormat="1" applyFont="1" applyFill="1" applyBorder="1" applyAlignment="1" applyProtection="1">
      <alignment horizontal="center" vertical="center" wrapText="1"/>
    </xf>
    <xf numFmtId="175" fontId="23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169" fontId="38" fillId="0" borderId="136" xfId="0" applyNumberFormat="1" applyFont="1" applyFill="1" applyBorder="1" applyAlignment="1" applyProtection="1">
      <alignment horizontal="right"/>
    </xf>
    <xf numFmtId="0" fontId="56" fillId="0" borderId="136" xfId="0" applyNumberFormat="1" applyFont="1" applyFill="1" applyBorder="1" applyAlignment="1" applyProtection="1">
      <alignment horizontal="center" vertical="center" wrapText="1"/>
    </xf>
    <xf numFmtId="0" fontId="56" fillId="0" borderId="140" xfId="0" applyNumberFormat="1" applyFont="1" applyFill="1" applyBorder="1" applyAlignment="1" applyProtection="1">
      <alignment horizontal="center" vertical="center" wrapText="1"/>
    </xf>
    <xf numFmtId="169" fontId="56" fillId="3" borderId="136" xfId="0" applyNumberFormat="1" applyFont="1" applyFill="1" applyBorder="1" applyAlignment="1" applyProtection="1">
      <alignment horizontal="right" vertical="center"/>
      <protection locked="0"/>
    </xf>
    <xf numFmtId="169" fontId="56" fillId="3" borderId="132" xfId="0" applyNumberFormat="1" applyFont="1" applyFill="1" applyBorder="1" applyAlignment="1" applyProtection="1">
      <alignment horizontal="left" vertical="center" wrapText="1" shrinkToFit="1"/>
      <protection locked="0"/>
    </xf>
    <xf numFmtId="169" fontId="56" fillId="3" borderId="132" xfId="0" applyNumberFormat="1" applyFont="1" applyFill="1" applyBorder="1" applyAlignment="1" applyProtection="1">
      <alignment horizontal="right" vertical="center" wrapText="1" shrinkToFit="1"/>
      <protection locked="0"/>
    </xf>
    <xf numFmtId="0" fontId="56" fillId="3" borderId="132" xfId="0" applyNumberFormat="1" applyFont="1" applyFill="1" applyBorder="1" applyAlignment="1" applyProtection="1">
      <alignment horizontal="left" vertical="center" wrapText="1" shrinkToFit="1"/>
      <protection locked="0"/>
    </xf>
    <xf numFmtId="49" fontId="56" fillId="3" borderId="151" xfId="0" applyNumberFormat="1" applyFont="1" applyFill="1" applyBorder="1" applyAlignment="1" applyProtection="1">
      <alignment horizontal="left" vertical="center" wrapText="1" shrinkToFit="1"/>
      <protection locked="0"/>
    </xf>
    <xf numFmtId="49" fontId="69" fillId="2" borderId="141" xfId="0" applyNumberFormat="1" applyFont="1" applyFill="1" applyBorder="1" applyAlignment="1" applyProtection="1">
      <alignment horizontal="center" vertical="center" wrapText="1"/>
    </xf>
    <xf numFmtId="0" fontId="69" fillId="2" borderId="142" xfId="0" applyNumberFormat="1" applyFont="1" applyFill="1" applyBorder="1" applyAlignment="1" applyProtection="1">
      <alignment horizontal="center" vertical="center" wrapText="1"/>
    </xf>
    <xf numFmtId="49" fontId="69" fillId="2" borderId="143" xfId="0" applyNumberFormat="1" applyFont="1" applyFill="1" applyBorder="1" applyAlignment="1" applyProtection="1">
      <alignment horizontal="center" vertical="center" wrapText="1"/>
    </xf>
    <xf numFmtId="169" fontId="29" fillId="0" borderId="136" xfId="0" applyNumberFormat="1" applyFont="1" applyBorder="1" applyAlignment="1" applyProtection="1">
      <alignment horizontal="right"/>
    </xf>
    <xf numFmtId="169" fontId="29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169" fontId="29" fillId="0" borderId="136" xfId="0" applyNumberFormat="1" applyFont="1" applyBorder="1" applyAlignment="1" applyProtection="1">
      <alignment horizontal="right" vertical="center"/>
    </xf>
    <xf numFmtId="0" fontId="56" fillId="3" borderId="136" xfId="0" applyNumberFormat="1" applyFont="1" applyFill="1" applyBorder="1" applyAlignment="1" applyProtection="1">
      <alignment horizontal="left" vertical="center" wrapText="1" shrinkToFit="1"/>
      <protection locked="0"/>
    </xf>
    <xf numFmtId="49" fontId="29" fillId="3" borderId="140" xfId="0" applyNumberFormat="1" applyFont="1" applyFill="1" applyBorder="1" applyAlignment="1" applyProtection="1">
      <alignment horizontal="left" vertical="center" wrapText="1" shrinkToFit="1"/>
      <protection locked="0"/>
    </xf>
    <xf numFmtId="169" fontId="29" fillId="3" borderId="132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151" xfId="0" applyNumberFormat="1" applyFont="1" applyFill="1" applyBorder="1" applyAlignment="1" applyProtection="1">
      <alignment horizontal="left" vertical="center" wrapText="1" shrinkToFit="1"/>
      <protection locked="0"/>
    </xf>
    <xf numFmtId="49" fontId="56" fillId="3" borderId="34" xfId="0" applyNumberFormat="1" applyFont="1" applyFill="1" applyBorder="1" applyAlignment="1" applyProtection="1">
      <alignment horizontal="left" vertical="center"/>
      <protection locked="0"/>
    </xf>
    <xf numFmtId="14" fontId="56" fillId="3" borderId="27" xfId="0" applyNumberFormat="1" applyFont="1" applyFill="1" applyBorder="1" applyAlignment="1" applyProtection="1">
      <alignment horizontal="left" vertical="center"/>
      <protection locked="0"/>
    </xf>
    <xf numFmtId="0" fontId="56" fillId="3" borderId="27" xfId="0" applyNumberFormat="1" applyFont="1" applyFill="1" applyBorder="1" applyAlignment="1" applyProtection="1">
      <alignment horizontal="left" vertical="center"/>
      <protection locked="0"/>
    </xf>
    <xf numFmtId="49" fontId="56" fillId="3" borderId="27" xfId="0" applyNumberFormat="1" applyFont="1" applyFill="1" applyBorder="1" applyAlignment="1" applyProtection="1">
      <alignment horizontal="left" vertical="center"/>
      <protection locked="0"/>
    </xf>
    <xf numFmtId="175" fontId="56" fillId="0" borderId="27" xfId="0" applyNumberFormat="1" applyFont="1" applyBorder="1" applyAlignment="1" applyProtection="1">
      <alignment horizontal="right"/>
    </xf>
    <xf numFmtId="10" fontId="56" fillId="3" borderId="27" xfId="0" applyNumberFormat="1" applyFont="1" applyFill="1" applyBorder="1" applyAlignment="1" applyProtection="1">
      <alignment horizontal="left" vertical="top" wrapText="1" indent="2"/>
      <protection locked="0"/>
    </xf>
    <xf numFmtId="49" fontId="56" fillId="3" borderId="27" xfId="0" applyNumberFormat="1" applyFont="1" applyFill="1" applyBorder="1" applyAlignment="1" applyProtection="1">
      <alignment horizontal="left" vertical="top" wrapText="1" indent="2"/>
      <protection locked="0"/>
    </xf>
    <xf numFmtId="49" fontId="56" fillId="3" borderId="33" xfId="0" applyNumberFormat="1" applyFont="1" applyFill="1" applyBorder="1" applyAlignment="1" applyProtection="1">
      <alignment horizontal="left" vertical="top"/>
      <protection locked="0"/>
    </xf>
    <xf numFmtId="175" fontId="56" fillId="0" borderId="107" xfId="0" applyNumberFormat="1" applyFont="1" applyBorder="1" applyAlignment="1" applyProtection="1">
      <alignment horizontal="right" vertical="center"/>
    </xf>
    <xf numFmtId="175" fontId="56" fillId="3" borderId="27" xfId="0" applyNumberFormat="1" applyFont="1" applyFill="1" applyBorder="1" applyAlignment="1" applyProtection="1">
      <alignment horizontal="right" vertical="center"/>
      <protection locked="0"/>
    </xf>
    <xf numFmtId="49" fontId="56" fillId="3" borderId="33" xfId="0" applyNumberFormat="1" applyFont="1" applyFill="1" applyBorder="1" applyAlignment="1" applyProtection="1">
      <alignment horizontal="right" vertical="center"/>
      <protection locked="0"/>
    </xf>
    <xf numFmtId="175" fontId="23" fillId="3" borderId="151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16" xfId="0" applyNumberFormat="1" applyFont="1" applyFill="1" applyBorder="1" applyAlignment="1" applyProtection="1">
      <alignment horizontal="left" wrapText="1" shrinkToFit="1"/>
      <protection locked="0"/>
    </xf>
    <xf numFmtId="49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14" fontId="23" fillId="3" borderId="41" xfId="0" applyNumberFormat="1" applyFont="1" applyFill="1" applyBorder="1" applyAlignment="1" applyProtection="1">
      <alignment vertical="center" wrapText="1"/>
      <protection locked="0"/>
    </xf>
    <xf numFmtId="0" fontId="72" fillId="0" borderId="0" xfId="0" quotePrefix="1" applyNumberFormat="1" applyFont="1" applyFill="1" applyBorder="1" applyAlignment="1" applyProtection="1">
      <alignment horizontal="center"/>
    </xf>
    <xf numFmtId="0" fontId="72" fillId="0" borderId="0" xfId="0" applyNumberFormat="1" applyFont="1" applyFill="1" applyBorder="1" applyAlignment="1" applyProtection="1">
      <alignment horizontal="center"/>
    </xf>
    <xf numFmtId="0" fontId="29" fillId="0" borderId="135" xfId="0" applyNumberFormat="1" applyFont="1" applyBorder="1" applyAlignment="1" applyProtection="1">
      <alignment horizontal="center"/>
    </xf>
    <xf numFmtId="0" fontId="30" fillId="5" borderId="136" xfId="0" applyNumberFormat="1" applyFont="1" applyFill="1" applyBorder="1" applyAlignment="1" applyProtection="1">
      <alignment horizontal="left" wrapText="1" shrinkToFit="1"/>
    </xf>
    <xf numFmtId="0" fontId="29" fillId="0" borderId="135" xfId="0" applyNumberFormat="1" applyFont="1" applyBorder="1" applyAlignment="1" applyProtection="1">
      <alignment horizontal="center" vertical="center"/>
    </xf>
    <xf numFmtId="0" fontId="29" fillId="0" borderId="136" xfId="0" applyNumberFormat="1" applyFont="1" applyBorder="1" applyAlignment="1" applyProtection="1">
      <alignment horizontal="left" wrapText="1"/>
    </xf>
    <xf numFmtId="0" fontId="29" fillId="0" borderId="158" xfId="0" applyNumberFormat="1" applyFont="1" applyBorder="1" applyAlignment="1" applyProtection="1">
      <alignment horizontal="center"/>
    </xf>
    <xf numFmtId="0" fontId="29" fillId="0" borderId="158" xfId="0" applyNumberFormat="1" applyFont="1" applyBorder="1" applyAlignment="1" applyProtection="1">
      <alignment horizontal="center" vertical="center"/>
    </xf>
    <xf numFmtId="0" fontId="30" fillId="0" borderId="135" xfId="0" applyNumberFormat="1" applyFont="1" applyFill="1" applyBorder="1" applyAlignment="1" applyProtection="1">
      <alignment horizontal="left"/>
    </xf>
    <xf numFmtId="49" fontId="29" fillId="0" borderId="140" xfId="0" applyNumberFormat="1" applyFont="1" applyFill="1" applyBorder="1" applyAlignment="1" applyProtection="1">
      <alignment horizontal="center" vertical="top" wrapText="1"/>
    </xf>
    <xf numFmtId="0" fontId="29" fillId="0" borderId="135" xfId="0" applyNumberFormat="1" applyFont="1" applyFill="1" applyBorder="1" applyAlignment="1" applyProtection="1">
      <alignment horizontal="left" vertical="center" wrapText="1"/>
    </xf>
    <xf numFmtId="49" fontId="29" fillId="3" borderId="140" xfId="0" applyNumberFormat="1" applyFont="1" applyFill="1" applyBorder="1" applyAlignment="1" applyProtection="1">
      <alignment horizontal="right" vertical="center" wrapText="1"/>
      <protection locked="0"/>
    </xf>
    <xf numFmtId="49" fontId="29" fillId="3" borderId="135" xfId="0" applyNumberFormat="1" applyFont="1" applyFill="1" applyBorder="1" applyAlignment="1" applyProtection="1">
      <alignment horizontal="left" vertical="top" wrapText="1"/>
      <protection locked="0"/>
    </xf>
    <xf numFmtId="49" fontId="29" fillId="3" borderId="136" xfId="0" applyNumberFormat="1" applyFont="1" applyFill="1" applyBorder="1" applyAlignment="1" applyProtection="1">
      <alignment horizontal="left" vertical="top" wrapText="1"/>
      <protection locked="0"/>
    </xf>
    <xf numFmtId="175" fontId="29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132" xfId="0" applyNumberFormat="1" applyFont="1" applyFill="1" applyBorder="1" applyAlignment="1" applyProtection="1">
      <alignment horizontal="left" vertical="top" wrapText="1"/>
      <protection locked="0"/>
    </xf>
    <xf numFmtId="49" fontId="29" fillId="3" borderId="151" xfId="0" applyNumberFormat="1" applyFont="1" applyFill="1" applyBorder="1" applyAlignment="1" applyProtection="1">
      <alignment horizontal="right" vertical="center" wrapText="1"/>
      <protection locked="0"/>
    </xf>
    <xf numFmtId="0" fontId="77" fillId="0" borderId="159" xfId="0" applyNumberFormat="1" applyFont="1" applyFill="1" applyBorder="1" applyAlignment="1" applyProtection="1">
      <alignment horizontal="center" vertical="center" wrapText="1"/>
    </xf>
    <xf numFmtId="169" fontId="77" fillId="0" borderId="160" xfId="0" applyNumberFormat="1" applyFont="1" applyFill="1" applyBorder="1" applyAlignment="1" applyProtection="1">
      <alignment horizontal="center" vertical="center"/>
    </xf>
    <xf numFmtId="49" fontId="55" fillId="0" borderId="135" xfId="0" applyNumberFormat="1" applyFont="1" applyFill="1" applyBorder="1" applyAlignment="1" applyProtection="1">
      <alignment horizontal="left"/>
    </xf>
    <xf numFmtId="169" fontId="56" fillId="0" borderId="140" xfId="0" applyNumberFormat="1" applyFont="1" applyBorder="1" applyAlignment="1" applyProtection="1">
      <alignment horizontal="center"/>
    </xf>
    <xf numFmtId="169" fontId="56" fillId="3" borderId="136" xfId="0" applyNumberFormat="1" applyFont="1" applyFill="1" applyBorder="1" applyAlignment="1" applyProtection="1">
      <alignment horizontal="right" wrapText="1" shrinkToFit="1"/>
      <protection locked="0"/>
    </xf>
    <xf numFmtId="176" fontId="56" fillId="0" borderId="136" xfId="0" applyNumberFormat="1" applyFont="1" applyBorder="1" applyAlignment="1" applyProtection="1">
      <alignment horizontal="center" vertical="center"/>
    </xf>
    <xf numFmtId="0" fontId="56" fillId="0" borderId="150" xfId="0" applyNumberFormat="1" applyFont="1" applyFill="1" applyBorder="1" applyAlignment="1" applyProtection="1">
      <alignment vertical="center" wrapText="1"/>
    </xf>
    <xf numFmtId="169" fontId="56" fillId="3" borderId="132" xfId="0" applyNumberFormat="1" applyFont="1" applyFill="1" applyBorder="1" applyAlignment="1" applyProtection="1">
      <alignment horizontal="right" wrapText="1" shrinkToFit="1"/>
      <protection locked="0"/>
    </xf>
    <xf numFmtId="0" fontId="53" fillId="0" borderId="135" xfId="0" applyNumberFormat="1" applyFont="1" applyFill="1" applyBorder="1" applyAlignment="1" applyProtection="1">
      <alignment horizontal="left"/>
    </xf>
    <xf numFmtId="0" fontId="38" fillId="0" borderId="136" xfId="0" applyNumberFormat="1" applyFont="1" applyFill="1" applyBorder="1" applyAlignment="1" applyProtection="1">
      <alignment horizontal="center"/>
    </xf>
    <xf numFmtId="0" fontId="53" fillId="0" borderId="135" xfId="0" applyNumberFormat="1" applyFont="1" applyFill="1" applyBorder="1" applyAlignment="1" applyProtection="1">
      <alignment horizontal="left" wrapText="1"/>
    </xf>
    <xf numFmtId="49" fontId="38" fillId="3" borderId="135" xfId="0" applyNumberFormat="1" applyFont="1" applyFill="1" applyBorder="1" applyAlignment="1" applyProtection="1">
      <alignment horizontal="left" vertical="center" wrapText="1"/>
      <protection locked="0"/>
    </xf>
    <xf numFmtId="0" fontId="53" fillId="0" borderId="135" xfId="0" applyNumberFormat="1" applyFont="1" applyBorder="1" applyAlignment="1" applyProtection="1">
      <alignment horizontal="left" wrapText="1"/>
    </xf>
    <xf numFmtId="175" fontId="38" fillId="0" borderId="140" xfId="0" applyNumberFormat="1" applyFont="1" applyBorder="1" applyAlignment="1" applyProtection="1">
      <alignment horizontal="center"/>
    </xf>
    <xf numFmtId="169" fontId="29" fillId="3" borderId="136" xfId="0" applyNumberFormat="1" applyFont="1" applyFill="1" applyBorder="1" applyAlignment="1" applyProtection="1">
      <alignment horizontal="right" vertical="top" wrapText="1"/>
      <protection locked="0"/>
    </xf>
    <xf numFmtId="49" fontId="29" fillId="3" borderId="140" xfId="0" applyNumberFormat="1" applyFont="1" applyFill="1" applyBorder="1" applyAlignment="1" applyProtection="1">
      <alignment horizontal="left" vertical="top"/>
      <protection locked="0"/>
    </xf>
    <xf numFmtId="49" fontId="23" fillId="0" borderId="0" xfId="0" applyNumberFormat="1" applyFont="1" applyFill="1" applyBorder="1" applyAlignment="1" applyProtection="1">
      <alignment vertical="center"/>
    </xf>
    <xf numFmtId="49" fontId="25" fillId="2" borderId="42" xfId="0" applyNumberFormat="1" applyFont="1" applyFill="1" applyBorder="1" applyAlignment="1" applyProtection="1">
      <alignment horizontal="center" vertical="center" wrapText="1"/>
    </xf>
    <xf numFmtId="49" fontId="24" fillId="0" borderId="135" xfId="0" applyNumberFormat="1" applyFont="1" applyFill="1" applyBorder="1" applyAlignment="1" applyProtection="1">
      <alignment horizontal="left" wrapText="1" shrinkToFit="1"/>
    </xf>
    <xf numFmtId="0" fontId="23" fillId="0" borderId="136" xfId="0" applyNumberFormat="1" applyFont="1" applyFill="1" applyBorder="1" applyAlignment="1" applyProtection="1">
      <alignment horizontal="center" vertical="center"/>
    </xf>
    <xf numFmtId="175" fontId="23" fillId="5" borderId="136" xfId="0" applyNumberFormat="1" applyFont="1" applyFill="1" applyBorder="1" applyAlignment="1" applyProtection="1">
      <alignment horizontal="right" shrinkToFit="1"/>
    </xf>
    <xf numFmtId="175" fontId="23" fillId="5" borderId="140" xfId="0" applyNumberFormat="1" applyFont="1" applyFill="1" applyBorder="1" applyAlignment="1" applyProtection="1">
      <alignment horizontal="right" shrinkToFit="1"/>
    </xf>
    <xf numFmtId="49" fontId="23" fillId="3" borderId="135" xfId="0" applyNumberFormat="1" applyFont="1" applyFill="1" applyBorder="1" applyAlignment="1" applyProtection="1">
      <alignment horizontal="left" vertical="center" wrapText="1"/>
      <protection locked="0"/>
    </xf>
    <xf numFmtId="49" fontId="23" fillId="3" borderId="136" xfId="0" applyNumberFormat="1" applyFont="1" applyFill="1" applyBorder="1" applyAlignment="1" applyProtection="1">
      <alignment horizontal="left" vertical="center"/>
      <protection locked="0"/>
    </xf>
    <xf numFmtId="49" fontId="23" fillId="3" borderId="136" xfId="0" applyNumberFormat="1" applyFont="1" applyFill="1" applyBorder="1" applyAlignment="1" applyProtection="1">
      <alignment horizontal="left" wrapText="1"/>
      <protection locked="0"/>
    </xf>
    <xf numFmtId="49" fontId="23" fillId="3" borderId="136" xfId="0" applyNumberFormat="1" applyFont="1" applyFill="1" applyBorder="1" applyAlignment="1" applyProtection="1">
      <alignment horizontal="left" vertical="center" wrapText="1"/>
      <protection locked="0"/>
    </xf>
    <xf numFmtId="175" fontId="23" fillId="3" borderId="136" xfId="0" applyNumberFormat="1" applyFont="1" applyFill="1" applyBorder="1" applyAlignment="1" applyProtection="1">
      <alignment horizontal="right" shrinkToFit="1"/>
      <protection locked="0"/>
    </xf>
    <xf numFmtId="49" fontId="23" fillId="3" borderId="150" xfId="0" applyNumberFormat="1" applyFont="1" applyFill="1" applyBorder="1" applyAlignment="1" applyProtection="1">
      <alignment horizontal="left" vertical="center" wrapText="1"/>
      <protection locked="0"/>
    </xf>
    <xf numFmtId="49" fontId="23" fillId="3" borderId="132" xfId="0" applyNumberFormat="1" applyFont="1" applyFill="1" applyBorder="1" applyAlignment="1" applyProtection="1">
      <alignment horizontal="left" vertical="center"/>
      <protection locked="0"/>
    </xf>
    <xf numFmtId="49" fontId="23" fillId="3" borderId="132" xfId="0" applyNumberFormat="1" applyFont="1" applyFill="1" applyBorder="1" applyAlignment="1" applyProtection="1">
      <alignment horizontal="left" vertical="center" wrapText="1"/>
      <protection locked="0"/>
    </xf>
    <xf numFmtId="175" fontId="23" fillId="3" borderId="132" xfId="0" applyNumberFormat="1" applyFont="1" applyFill="1" applyBorder="1" applyAlignment="1" applyProtection="1">
      <alignment horizontal="right" shrinkToFit="1"/>
      <protection locked="0"/>
    </xf>
    <xf numFmtId="175" fontId="23" fillId="5" borderId="132" xfId="0" applyNumberFormat="1" applyFont="1" applyFill="1" applyBorder="1" applyAlignment="1" applyProtection="1">
      <alignment horizontal="right" shrinkToFit="1"/>
    </xf>
    <xf numFmtId="0" fontId="23" fillId="0" borderId="135" xfId="0" applyNumberFormat="1" applyFont="1" applyFill="1" applyBorder="1" applyAlignment="1" applyProtection="1">
      <alignment horizontal="center" vertical="center"/>
    </xf>
    <xf numFmtId="49" fontId="23" fillId="3" borderId="140" xfId="0" applyNumberFormat="1" applyFont="1" applyFill="1" applyBorder="1" applyAlignment="1" applyProtection="1">
      <alignment shrinkToFit="1"/>
      <protection locked="0"/>
    </xf>
    <xf numFmtId="175" fontId="23" fillId="3" borderId="136" xfId="0" applyNumberFormat="1" applyFont="1" applyFill="1" applyBorder="1" applyAlignment="1" applyProtection="1">
      <alignment horizontal="left" vertical="center" wrapText="1" shrinkToFit="1"/>
      <protection locked="0"/>
    </xf>
    <xf numFmtId="175" fontId="23" fillId="3" borderId="132" xfId="0" applyNumberFormat="1" applyFont="1" applyFill="1" applyBorder="1" applyAlignment="1" applyProtection="1">
      <alignment horizontal="left" vertical="center" wrapText="1" shrinkToFit="1"/>
      <protection locked="0"/>
    </xf>
    <xf numFmtId="49" fontId="23" fillId="3" borderId="151" xfId="0" applyNumberFormat="1" applyFont="1" applyFill="1" applyBorder="1" applyAlignment="1" applyProtection="1">
      <alignment shrinkToFit="1"/>
      <protection locked="0"/>
    </xf>
    <xf numFmtId="49" fontId="72" fillId="0" borderId="155" xfId="0" applyNumberFormat="1" applyFont="1" applyFill="1" applyBorder="1" applyAlignment="1" applyProtection="1">
      <alignment horizontal="center" vertical="center" wrapText="1"/>
      <protection locked="0"/>
    </xf>
    <xf numFmtId="176" fontId="24" fillId="0" borderId="162" xfId="0" applyNumberFormat="1" applyFont="1" applyBorder="1" applyAlignment="1" applyProtection="1">
      <alignment horizontal="left"/>
    </xf>
    <xf numFmtId="0" fontId="23" fillId="0" borderId="163" xfId="0" applyNumberFormat="1" applyFont="1" applyFill="1" applyBorder="1" applyAlignment="1" applyProtection="1">
      <alignment horizontal="center" vertical="center" wrapText="1"/>
    </xf>
    <xf numFmtId="175" fontId="23" fillId="0" borderId="163" xfId="0" applyNumberFormat="1" applyFont="1" applyBorder="1" applyAlignment="1" applyProtection="1">
      <alignment horizontal="right"/>
    </xf>
    <xf numFmtId="0" fontId="23" fillId="0" borderId="164" xfId="0" applyNumberFormat="1" applyFont="1" applyFill="1" applyBorder="1" applyAlignment="1" applyProtection="1">
      <alignment horizontal="center" vertical="center" wrapText="1"/>
    </xf>
    <xf numFmtId="49" fontId="23" fillId="3" borderId="162" xfId="0" applyNumberFormat="1" applyFont="1" applyFill="1" applyBorder="1" applyAlignment="1" applyProtection="1">
      <alignment horizontal="left" wrapText="1"/>
      <protection locked="0"/>
    </xf>
    <xf numFmtId="49" fontId="23" fillId="3" borderId="163" xfId="0" applyNumberFormat="1" applyFont="1" applyFill="1" applyBorder="1" applyAlignment="1" applyProtection="1">
      <alignment horizontal="left"/>
      <protection locked="0"/>
    </xf>
    <xf numFmtId="175" fontId="23" fillId="3" borderId="163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164" xfId="0" applyNumberFormat="1" applyFont="1" applyFill="1" applyBorder="1" applyAlignment="1" applyProtection="1">
      <alignment horizontal="left" wrapText="1" shrinkToFit="1"/>
      <protection locked="0"/>
    </xf>
    <xf numFmtId="49" fontId="23" fillId="3" borderId="165" xfId="0" applyNumberFormat="1" applyFont="1" applyFill="1" applyBorder="1" applyAlignment="1" applyProtection="1">
      <alignment horizontal="left" wrapText="1"/>
      <protection locked="0"/>
    </xf>
    <xf numFmtId="49" fontId="23" fillId="3" borderId="156" xfId="0" applyNumberFormat="1" applyFont="1" applyFill="1" applyBorder="1" applyAlignment="1" applyProtection="1">
      <alignment horizontal="left"/>
      <protection locked="0"/>
    </xf>
    <xf numFmtId="175" fontId="23" fillId="3" borderId="156" xfId="0" applyNumberFormat="1" applyFont="1" applyFill="1" applyBorder="1" applyAlignment="1" applyProtection="1">
      <alignment horizontal="right" wrapText="1" shrinkToFit="1"/>
      <protection locked="0"/>
    </xf>
    <xf numFmtId="175" fontId="23" fillId="0" borderId="156" xfId="0" applyNumberFormat="1" applyFont="1" applyBorder="1" applyAlignment="1" applyProtection="1">
      <alignment horizontal="right"/>
    </xf>
    <xf numFmtId="49" fontId="23" fillId="3" borderId="166" xfId="0" applyNumberFormat="1" applyFont="1" applyFill="1" applyBorder="1" applyAlignment="1" applyProtection="1">
      <alignment horizontal="left" wrapText="1" shrinkToFit="1"/>
      <protection locked="0"/>
    </xf>
    <xf numFmtId="175" fontId="23" fillId="3" borderId="132" xfId="0" applyNumberFormat="1" applyFont="1" applyFill="1" applyBorder="1" applyAlignment="1" applyProtection="1">
      <alignment horizontal="center" wrapText="1" shrinkToFit="1"/>
      <protection locked="0"/>
    </xf>
    <xf numFmtId="0" fontId="21" fillId="0" borderId="135" xfId="0" applyFont="1" applyFill="1" applyBorder="1" applyAlignment="1" applyProtection="1">
      <alignment horizontal="left" vertical="top" wrapText="1"/>
    </xf>
    <xf numFmtId="169" fontId="38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181" fontId="69" fillId="6" borderId="5" xfId="0" applyNumberFormat="1" applyFont="1" applyFill="1" applyBorder="1" applyAlignment="1" applyProtection="1">
      <alignment horizontal="center" vertical="center" wrapText="1"/>
    </xf>
    <xf numFmtId="49" fontId="69" fillId="6" borderId="141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Border="1" applyAlignment="1" applyProtection="1">
      <alignment horizontal="center" vertical="center"/>
    </xf>
    <xf numFmtId="0" fontId="56" fillId="0" borderId="136" xfId="0" applyNumberFormat="1" applyFont="1" applyFill="1" applyBorder="1" applyAlignment="1" applyProtection="1">
      <alignment horizontal="center" vertical="center"/>
    </xf>
    <xf numFmtId="169" fontId="56" fillId="0" borderId="136" xfId="0" applyNumberFormat="1" applyFont="1" applyBorder="1" applyAlignment="1" applyProtection="1">
      <alignment horizontal="center" vertical="center"/>
    </xf>
    <xf numFmtId="0" fontId="0" fillId="0" borderId="0" xfId="0" applyFill="1" applyAlignment="1">
      <alignment vertical="center"/>
    </xf>
    <xf numFmtId="0" fontId="23" fillId="0" borderId="167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14" xfId="0" applyNumberFormat="1" applyFont="1" applyFill="1" applyBorder="1" applyAlignment="1" applyProtection="1">
      <alignment vertical="center" wrapText="1"/>
    </xf>
    <xf numFmtId="0" fontId="29" fillId="4" borderId="135" xfId="0" applyNumberFormat="1" applyFont="1" applyFill="1" applyBorder="1" applyAlignment="1" applyProtection="1">
      <alignment horizontal="left" wrapText="1"/>
      <protection locked="0"/>
    </xf>
    <xf numFmtId="169" fontId="73" fillId="0" borderId="98" xfId="0" applyNumberFormat="1" applyFont="1" applyFill="1" applyBorder="1" applyAlignment="1" applyProtection="1">
      <alignment horizontal="center" vertical="center"/>
    </xf>
    <xf numFmtId="0" fontId="38" fillId="0" borderId="98" xfId="0" applyNumberFormat="1" applyFont="1" applyFill="1" applyBorder="1" applyAlignment="1" applyProtection="1">
      <alignment horizontal="center"/>
    </xf>
    <xf numFmtId="0" fontId="25" fillId="2" borderId="77" xfId="0" applyNumberFormat="1" applyFont="1" applyFill="1" applyBorder="1" applyAlignment="1" applyProtection="1">
      <alignment vertical="center" wrapText="1"/>
    </xf>
    <xf numFmtId="173" fontId="27" fillId="0" borderId="70" xfId="0" applyNumberFormat="1" applyFont="1" applyBorder="1" applyAlignment="1" applyProtection="1">
      <alignment horizontal="center"/>
    </xf>
    <xf numFmtId="0" fontId="26" fillId="2" borderId="31" xfId="0" applyNumberFormat="1" applyFont="1" applyFill="1" applyBorder="1" applyAlignment="1" applyProtection="1">
      <alignment horizontal="center" vertical="center" wrapText="1"/>
    </xf>
    <xf numFmtId="0" fontId="38" fillId="8" borderId="135" xfId="0" applyNumberFormat="1" applyFont="1" applyFill="1" applyBorder="1" applyAlignment="1" applyProtection="1">
      <alignment horizontal="center" vertical="center" wrapText="1" shrinkToFit="1"/>
    </xf>
    <xf numFmtId="0" fontId="23" fillId="0" borderId="0" xfId="0" applyNumberFormat="1" applyFont="1" applyBorder="1" applyAlignment="1" applyProtection="1">
      <alignment wrapText="1"/>
    </xf>
    <xf numFmtId="0" fontId="25" fillId="2" borderId="5" xfId="0" applyNumberFormat="1" applyFont="1" applyFill="1" applyBorder="1" applyAlignment="1" applyProtection="1">
      <alignment horizontal="left" vertical="center" wrapText="1"/>
    </xf>
    <xf numFmtId="0" fontId="26" fillId="2" borderId="115" xfId="0" applyNumberFormat="1" applyFont="1" applyFill="1" applyBorder="1" applyAlignment="1" applyProtection="1">
      <alignment horizontal="center" vertical="center" wrapText="1"/>
    </xf>
    <xf numFmtId="49" fontId="69" fillId="2" borderId="142" xfId="0" applyNumberFormat="1" applyFont="1" applyFill="1" applyBorder="1" applyAlignment="1" applyProtection="1">
      <alignment horizontal="center" vertical="center"/>
    </xf>
    <xf numFmtId="0" fontId="0" fillId="0" borderId="9" xfId="0" applyNumberFormat="1" applyFill="1" applyBorder="1" applyAlignment="1" applyProtection="1">
      <alignment horizontal="left" vertical="center" wrapText="1"/>
    </xf>
    <xf numFmtId="169" fontId="87" fillId="0" borderId="169" xfId="0" applyNumberFormat="1" applyFont="1" applyBorder="1" applyAlignment="1" applyProtection="1">
      <alignment horizontal="center" vertical="center"/>
    </xf>
    <xf numFmtId="169" fontId="86" fillId="0" borderId="170" xfId="0" applyNumberFormat="1" applyFont="1" applyFill="1" applyBorder="1" applyAlignment="1" applyProtection="1">
      <alignment horizontal="center" vertical="center"/>
    </xf>
    <xf numFmtId="0" fontId="25" fillId="2" borderId="42" xfId="0" applyFont="1" applyFill="1" applyBorder="1" applyAlignment="1" applyProtection="1">
      <alignment horizontal="center" vertical="center" wrapText="1"/>
    </xf>
    <xf numFmtId="169" fontId="23" fillId="3" borderId="137" xfId="0" applyNumberFormat="1" applyFont="1" applyFill="1" applyBorder="1" applyAlignment="1" applyProtection="1">
      <alignment horizontal="right" wrapText="1" shrinkToFit="1"/>
      <protection locked="0"/>
    </xf>
    <xf numFmtId="169" fontId="29" fillId="0" borderId="137" xfId="0" applyNumberFormat="1" applyFont="1" applyFill="1" applyBorder="1" applyAlignment="1" applyProtection="1">
      <alignment horizontal="right"/>
    </xf>
    <xf numFmtId="49" fontId="23" fillId="3" borderId="161" xfId="0" applyNumberFormat="1" applyFont="1" applyFill="1" applyBorder="1" applyAlignment="1" applyProtection="1">
      <alignment horizontal="left" wrapText="1" shrinkToFit="1"/>
      <protection locked="0"/>
    </xf>
    <xf numFmtId="49" fontId="23" fillId="3" borderId="165" xfId="0" applyNumberFormat="1" applyFont="1" applyFill="1" applyBorder="1" applyAlignment="1" applyProtection="1">
      <alignment vertical="center" wrapText="1"/>
      <protection locked="0"/>
    </xf>
    <xf numFmtId="169" fontId="23" fillId="3" borderId="156" xfId="0" applyNumberFormat="1" applyFont="1" applyFill="1" applyBorder="1" applyAlignment="1" applyProtection="1">
      <alignment horizontal="right" wrapText="1" shrinkToFit="1"/>
      <protection locked="0"/>
    </xf>
    <xf numFmtId="173" fontId="29" fillId="0" borderId="136" xfId="0" applyNumberFormat="1" applyFont="1" applyBorder="1" applyAlignment="1" applyProtection="1">
      <alignment horizontal="center" vertical="center"/>
    </xf>
    <xf numFmtId="0" fontId="29" fillId="5" borderId="135" xfId="0" applyNumberFormat="1" applyFont="1" applyFill="1" applyBorder="1" applyAlignment="1" applyProtection="1">
      <alignment wrapText="1"/>
    </xf>
    <xf numFmtId="176" fontId="29" fillId="0" borderId="136" xfId="0" applyNumberFormat="1" applyFont="1" applyBorder="1" applyAlignment="1" applyProtection="1">
      <alignment horizontal="center" vertical="center" wrapText="1"/>
    </xf>
    <xf numFmtId="0" fontId="29" fillId="0" borderId="136" xfId="0" applyNumberFormat="1" applyFont="1" applyBorder="1" applyAlignment="1" applyProtection="1">
      <alignment horizontal="center" vertical="center" wrapText="1"/>
    </xf>
    <xf numFmtId="49" fontId="29" fillId="3" borderId="150" xfId="0" applyNumberFormat="1" applyFont="1" applyFill="1" applyBorder="1" applyAlignment="1" applyProtection="1">
      <alignment horizontal="left" vertical="center" shrinkToFit="1"/>
      <protection locked="0"/>
    </xf>
    <xf numFmtId="175" fontId="23" fillId="3" borderId="132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151" xfId="0" applyNumberFormat="1" applyFont="1" applyFill="1" applyBorder="1" applyAlignment="1" applyProtection="1">
      <alignment horizontal="right" vertical="center" wrapText="1" shrinkToFit="1"/>
      <protection locked="0"/>
    </xf>
    <xf numFmtId="175" fontId="23" fillId="0" borderId="66" xfId="0" applyNumberFormat="1" applyFont="1" applyBorder="1" applyAlignment="1" applyProtection="1">
      <alignment horizontal="center" vertical="center"/>
    </xf>
    <xf numFmtId="175" fontId="23" fillId="0" borderId="6" xfId="0" applyNumberFormat="1" applyFont="1" applyBorder="1" applyAlignment="1" applyProtection="1">
      <alignment horizontal="center" vertical="center"/>
    </xf>
    <xf numFmtId="175" fontId="23" fillId="0" borderId="66" xfId="0" applyNumberFormat="1" applyFont="1" applyFill="1" applyBorder="1" applyAlignment="1" applyProtection="1">
      <alignment horizontal="center" vertical="center" wrapText="1" shrinkToFit="1"/>
    </xf>
    <xf numFmtId="175" fontId="23" fillId="0" borderId="6" xfId="0" applyNumberFormat="1" applyFont="1" applyFill="1" applyBorder="1" applyAlignment="1" applyProtection="1">
      <alignment horizontal="center" vertical="center" wrapText="1" shrinkToFit="1"/>
    </xf>
    <xf numFmtId="170" fontId="29" fillId="0" borderId="136" xfId="0" applyNumberFormat="1" applyFont="1" applyFill="1" applyBorder="1" applyAlignment="1" applyProtection="1">
      <alignment horizontal="center" vertical="center"/>
    </xf>
    <xf numFmtId="175" fontId="23" fillId="5" borderId="140" xfId="0" applyNumberFormat="1" applyFont="1" applyFill="1" applyBorder="1" applyAlignment="1" applyProtection="1">
      <alignment horizontal="center" vertical="center" shrinkToFit="1"/>
    </xf>
    <xf numFmtId="49" fontId="24" fillId="0" borderId="14" xfId="0" applyNumberFormat="1" applyFont="1" applyFill="1" applyBorder="1" applyAlignment="1" applyProtection="1">
      <alignment horizontal="center" vertical="center" wrapText="1" shrinkToFit="1"/>
    </xf>
    <xf numFmtId="169" fontId="32" fillId="0" borderId="171" xfId="0" applyNumberFormat="1" applyFont="1" applyFill="1" applyBorder="1" applyAlignment="1" applyProtection="1">
      <alignment horizontal="center" vertical="center" wrapText="1"/>
    </xf>
    <xf numFmtId="169" fontId="23" fillId="4" borderId="136" xfId="0" applyNumberFormat="1" applyFont="1" applyFill="1" applyBorder="1" applyAlignment="1" applyProtection="1">
      <alignment horizontal="center" vertical="center"/>
      <protection locked="0"/>
    </xf>
    <xf numFmtId="173" fontId="23" fillId="0" borderId="47" xfId="0" applyNumberFormat="1" applyFont="1" applyFill="1" applyBorder="1" applyAlignment="1" applyProtection="1">
      <alignment horizontal="right"/>
    </xf>
    <xf numFmtId="173" fontId="23" fillId="0" borderId="13" xfId="0" applyNumberFormat="1" applyFont="1" applyFill="1" applyBorder="1" applyAlignment="1" applyProtection="1">
      <alignment horizontal="right"/>
    </xf>
    <xf numFmtId="0" fontId="0" fillId="0" borderId="14" xfId="0" applyNumberFormat="1" applyFill="1" applyBorder="1" applyAlignment="1" applyProtection="1">
      <alignment horizontal="left" vertical="center" wrapText="1" indent="2"/>
    </xf>
    <xf numFmtId="0" fontId="34" fillId="0" borderId="14" xfId="0" applyNumberFormat="1" applyFont="1" applyFill="1" applyBorder="1" applyAlignment="1" applyProtection="1">
      <alignment horizontal="left" vertical="center" wrapText="1" indent="2"/>
    </xf>
    <xf numFmtId="0" fontId="0" fillId="0" borderId="0" xfId="0" applyProtection="1"/>
    <xf numFmtId="169" fontId="23" fillId="4" borderId="132" xfId="0" applyNumberFormat="1" applyFont="1" applyFill="1" applyBorder="1" applyAlignment="1" applyProtection="1">
      <alignment horizontal="center" vertical="center"/>
      <protection locked="0"/>
    </xf>
    <xf numFmtId="0" fontId="75" fillId="0" borderId="6" xfId="0" applyNumberFormat="1" applyFont="1" applyFill="1" applyBorder="1" applyAlignment="1" applyProtection="1">
      <alignment horizontal="center" vertical="center" wrapText="1"/>
    </xf>
    <xf numFmtId="0" fontId="29" fillId="0" borderId="48" xfId="0" applyNumberFormat="1" applyFont="1" applyBorder="1" applyAlignment="1" applyProtection="1">
      <alignment horizontal="center" wrapText="1"/>
    </xf>
    <xf numFmtId="0" fontId="29" fillId="0" borderId="6" xfId="0" applyNumberFormat="1" applyFont="1" applyBorder="1" applyAlignment="1" applyProtection="1">
      <alignment horizontal="center" wrapText="1"/>
    </xf>
    <xf numFmtId="175" fontId="88" fillId="0" borderId="136" xfId="0" applyNumberFormat="1" applyFont="1" applyFill="1" applyBorder="1" applyAlignment="1" applyProtection="1">
      <alignment horizontal="center" vertical="center"/>
    </xf>
    <xf numFmtId="49" fontId="25" fillId="2" borderId="177" xfId="0" applyNumberFormat="1" applyFont="1" applyFill="1" applyBorder="1" applyAlignment="1" applyProtection="1">
      <alignment horizontal="center" vertical="center" wrapText="1"/>
    </xf>
    <xf numFmtId="49" fontId="82" fillId="2" borderId="178" xfId="0" applyNumberFormat="1" applyFont="1" applyFill="1" applyBorder="1" applyAlignment="1" applyProtection="1">
      <alignment horizontal="center" vertical="center" wrapText="1"/>
    </xf>
    <xf numFmtId="169" fontId="23" fillId="3" borderId="32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33" xfId="0" applyNumberFormat="1" applyFont="1" applyFill="1" applyBorder="1" applyAlignment="1" applyProtection="1">
      <alignment horizontal="right" wrapText="1" shrinkToFit="1"/>
      <protection locked="0"/>
    </xf>
    <xf numFmtId="169" fontId="23" fillId="0" borderId="179" xfId="0" applyNumberFormat="1" applyFont="1" applyFill="1" applyBorder="1" applyAlignment="1" applyProtection="1">
      <alignment horizontal="center" vertical="center"/>
    </xf>
    <xf numFmtId="169" fontId="23" fillId="0" borderId="9" xfId="0" applyNumberFormat="1" applyFont="1" applyFill="1" applyBorder="1" applyAlignment="1" applyProtection="1">
      <alignment horizontal="center" vertical="center"/>
    </xf>
    <xf numFmtId="169" fontId="23" fillId="0" borderId="6" xfId="0" applyNumberFormat="1" applyFont="1" applyFill="1" applyBorder="1" applyAlignment="1" applyProtection="1">
      <alignment horizontal="right" wrapText="1" shrinkToFit="1"/>
    </xf>
    <xf numFmtId="169" fontId="23" fillId="0" borderId="41" xfId="0" applyNumberFormat="1" applyFont="1" applyFill="1" applyBorder="1" applyAlignment="1" applyProtection="1">
      <alignment horizontal="right" wrapText="1" shrinkToFit="1"/>
    </xf>
    <xf numFmtId="169" fontId="23" fillId="0" borderId="84" xfId="0" applyNumberFormat="1" applyFont="1" applyFill="1" applyBorder="1" applyAlignment="1" applyProtection="1">
      <alignment horizontal="right" wrapText="1" shrinkToFit="1"/>
    </xf>
    <xf numFmtId="169" fontId="23" fillId="0" borderId="26" xfId="0" applyNumberFormat="1" applyFont="1" applyFill="1" applyBorder="1" applyAlignment="1" applyProtection="1">
      <alignment horizontal="right" wrapText="1" shrinkToFit="1"/>
    </xf>
    <xf numFmtId="169" fontId="24" fillId="0" borderId="136" xfId="0" applyNumberFormat="1" applyFont="1" applyFill="1" applyBorder="1" applyAlignment="1" applyProtection="1">
      <alignment horizontal="center" vertical="center"/>
    </xf>
    <xf numFmtId="169" fontId="23" fillId="0" borderId="136" xfId="0" applyNumberFormat="1" applyFont="1" applyFill="1" applyBorder="1" applyAlignment="1" applyProtection="1">
      <alignment horizontal="center" vertical="center"/>
    </xf>
    <xf numFmtId="169" fontId="23" fillId="0" borderId="136" xfId="0" applyNumberFormat="1" applyFont="1" applyFill="1" applyBorder="1" applyAlignment="1" applyProtection="1">
      <alignment horizontal="center" vertical="center" wrapText="1"/>
    </xf>
    <xf numFmtId="169" fontId="23" fillId="0" borderId="132" xfId="0" applyNumberFormat="1" applyFont="1" applyFill="1" applyBorder="1" applyAlignment="1" applyProtection="1">
      <alignment horizontal="center" vertical="center" wrapText="1"/>
    </xf>
    <xf numFmtId="169" fontId="29" fillId="11" borderId="151" xfId="0" applyNumberFormat="1" applyFont="1" applyFill="1" applyBorder="1" applyAlignment="1" applyProtection="1">
      <alignment horizontal="right" wrapText="1" shrinkToFit="1"/>
    </xf>
    <xf numFmtId="169" fontId="29" fillId="3" borderId="151" xfId="0" applyNumberFormat="1" applyFont="1" applyFill="1" applyBorder="1" applyAlignment="1" applyProtection="1">
      <alignment horizontal="left" wrapText="1" shrinkToFit="1"/>
      <protection locked="0"/>
    </xf>
    <xf numFmtId="169" fontId="23" fillId="3" borderId="17" xfId="0" applyNumberFormat="1" applyFont="1" applyFill="1" applyBorder="1" applyAlignment="1" applyProtection="1">
      <alignment horizontal="right"/>
      <protection locked="0"/>
    </xf>
    <xf numFmtId="169" fontId="29" fillId="3" borderId="9" xfId="0" applyNumberFormat="1" applyFont="1" applyFill="1" applyBorder="1" applyAlignment="1" applyProtection="1">
      <alignment horizontal="right" wrapText="1" shrinkToFit="1"/>
      <protection locked="0"/>
    </xf>
    <xf numFmtId="169" fontId="29" fillId="3" borderId="17" xfId="0" applyNumberFormat="1" applyFont="1" applyFill="1" applyBorder="1" applyAlignment="1" applyProtection="1">
      <alignment horizontal="right" wrapText="1" shrinkToFit="1"/>
      <protection locked="0"/>
    </xf>
    <xf numFmtId="169" fontId="29" fillId="3" borderId="140" xfId="0" applyNumberFormat="1" applyFont="1" applyFill="1" applyBorder="1" applyAlignment="1" applyProtection="1">
      <alignment horizontal="right" shrinkToFit="1"/>
      <protection locked="0"/>
    </xf>
    <xf numFmtId="169" fontId="29" fillId="3" borderId="151" xfId="0" applyNumberFormat="1" applyFont="1" applyFill="1" applyBorder="1" applyAlignment="1" applyProtection="1">
      <alignment horizontal="right" shrinkToFit="1"/>
      <protection locked="0"/>
    </xf>
    <xf numFmtId="169" fontId="29" fillId="0" borderId="136" xfId="0" applyNumberFormat="1" applyFont="1" applyFill="1" applyBorder="1" applyAlignment="1" applyProtection="1">
      <alignment horizontal="right"/>
    </xf>
    <xf numFmtId="169" fontId="29" fillId="0" borderId="132" xfId="0" applyNumberFormat="1" applyFont="1" applyFill="1" applyBorder="1" applyAlignment="1" applyProtection="1">
      <alignment horizontal="right"/>
    </xf>
    <xf numFmtId="169" fontId="29" fillId="0" borderId="180" xfId="0" applyNumberFormat="1" applyFont="1" applyFill="1" applyBorder="1" applyAlignment="1" applyProtection="1">
      <alignment horizontal="center" vertical="center" wrapText="1"/>
    </xf>
    <xf numFmtId="169" fontId="23" fillId="0" borderId="137" xfId="0" applyNumberFormat="1" applyFont="1" applyFill="1" applyBorder="1" applyAlignment="1" applyProtection="1">
      <alignment horizontal="right"/>
    </xf>
    <xf numFmtId="169" fontId="23" fillId="3" borderId="161" xfId="0" applyNumberFormat="1" applyFont="1" applyFill="1" applyBorder="1" applyAlignment="1" applyProtection="1">
      <alignment horizontal="right"/>
      <protection locked="0"/>
    </xf>
    <xf numFmtId="0" fontId="29" fillId="4" borderId="140" xfId="0" applyNumberFormat="1" applyFont="1" applyFill="1" applyBorder="1" applyAlignment="1" applyProtection="1">
      <alignment horizontal="left"/>
      <protection locked="0"/>
    </xf>
    <xf numFmtId="0" fontId="29" fillId="4" borderId="151" xfId="0" applyNumberFormat="1" applyFont="1" applyFill="1" applyBorder="1" applyAlignment="1" applyProtection="1">
      <alignment horizontal="left"/>
      <protection locked="0"/>
    </xf>
    <xf numFmtId="49" fontId="30" fillId="0" borderId="181" xfId="0" applyNumberFormat="1" applyFont="1" applyFill="1" applyBorder="1" applyAlignment="1" applyProtection="1">
      <alignment horizontal="center" vertical="center"/>
    </xf>
    <xf numFmtId="49" fontId="30" fillId="0" borderId="182" xfId="0" applyNumberFormat="1" applyFont="1" applyBorder="1" applyProtection="1"/>
    <xf numFmtId="49" fontId="0" fillId="0" borderId="181" xfId="0" applyNumberFormat="1" applyFont="1" applyFill="1" applyBorder="1" applyAlignment="1" applyProtection="1">
      <alignment horizontal="center" vertical="center" wrapText="1"/>
    </xf>
    <xf numFmtId="49" fontId="0" fillId="0" borderId="182" xfId="0" applyNumberFormat="1" applyFill="1" applyBorder="1" applyAlignment="1" applyProtection="1">
      <alignment vertical="top" wrapText="1"/>
    </xf>
    <xf numFmtId="49" fontId="29" fillId="4" borderId="18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center"/>
    </xf>
    <xf numFmtId="49" fontId="25" fillId="2" borderId="184" xfId="0" applyNumberFormat="1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Protection="1"/>
    <xf numFmtId="173" fontId="65" fillId="0" borderId="185" xfId="0" applyNumberFormat="1" applyFont="1" applyFill="1" applyBorder="1" applyAlignment="1" applyProtection="1">
      <alignment horizontal="center" vertical="center"/>
    </xf>
    <xf numFmtId="49" fontId="0" fillId="14" borderId="21" xfId="0" applyNumberFormat="1" applyFont="1" applyFill="1" applyBorder="1" applyAlignment="1" applyProtection="1">
      <alignment horizontal="left" vertical="center" wrapText="1"/>
    </xf>
    <xf numFmtId="0" fontId="0" fillId="14" borderId="110" xfId="0" applyNumberFormat="1" applyFont="1" applyFill="1" applyBorder="1" applyAlignment="1" applyProtection="1">
      <alignment horizontal="left" vertical="center" wrapText="1"/>
    </xf>
    <xf numFmtId="173" fontId="23" fillId="14" borderId="47" xfId="0" applyNumberFormat="1" applyFont="1" applyFill="1" applyBorder="1" applyAlignment="1" applyProtection="1">
      <alignment horizontal="right"/>
    </xf>
    <xf numFmtId="173" fontId="23" fillId="14" borderId="13" xfId="0" applyNumberFormat="1" applyFont="1" applyFill="1" applyBorder="1" applyAlignment="1" applyProtection="1">
      <alignment horizontal="right"/>
    </xf>
    <xf numFmtId="49" fontId="23" fillId="14" borderId="111" xfId="0" applyNumberFormat="1" applyFont="1" applyFill="1" applyBorder="1" applyAlignment="1" applyProtection="1">
      <alignment horizontal="right" wrapText="1" shrinkToFit="1"/>
      <protection locked="0"/>
    </xf>
    <xf numFmtId="0" fontId="0" fillId="14" borderId="14" xfId="0" applyNumberFormat="1" applyFont="1" applyFill="1" applyBorder="1" applyAlignment="1" applyProtection="1">
      <alignment horizontal="left" vertical="center" wrapText="1"/>
    </xf>
    <xf numFmtId="0" fontId="0" fillId="14" borderId="9" xfId="0" applyNumberFormat="1" applyFont="1" applyFill="1" applyBorder="1" applyAlignment="1" applyProtection="1">
      <alignment horizontal="left" vertical="center" wrapText="1"/>
    </xf>
    <xf numFmtId="49" fontId="23" fillId="14" borderId="15" xfId="0" applyNumberFormat="1" applyFont="1" applyFill="1" applyBorder="1" applyAlignment="1" applyProtection="1">
      <alignment horizontal="right" wrapText="1" shrinkToFit="1"/>
      <protection locked="0"/>
    </xf>
    <xf numFmtId="173" fontId="23" fillId="7" borderId="47" xfId="0" applyNumberFormat="1" applyFont="1" applyFill="1" applyBorder="1" applyAlignment="1" applyProtection="1">
      <alignment horizontal="right"/>
    </xf>
    <xf numFmtId="0" fontId="0" fillId="14" borderId="14" xfId="0" applyNumberFormat="1" applyFill="1" applyBorder="1" applyAlignment="1" applyProtection="1">
      <alignment horizontal="left" vertical="center" wrapText="1"/>
    </xf>
    <xf numFmtId="0" fontId="0" fillId="14" borderId="9" xfId="0" applyNumberFormat="1" applyFill="1" applyBorder="1" applyAlignment="1" applyProtection="1">
      <alignment horizontal="left" vertical="center" wrapText="1"/>
    </xf>
    <xf numFmtId="0" fontId="34" fillId="14" borderId="14" xfId="0" applyNumberFormat="1" applyFont="1" applyFill="1" applyBorder="1" applyAlignment="1" applyProtection="1">
      <alignment horizontal="left" vertical="center" wrapText="1"/>
    </xf>
    <xf numFmtId="0" fontId="34" fillId="14" borderId="9" xfId="0" applyNumberFormat="1" applyFont="1" applyFill="1" applyBorder="1" applyAlignment="1" applyProtection="1">
      <alignment horizontal="left" vertical="center" wrapText="1"/>
    </xf>
    <xf numFmtId="0" fontId="34" fillId="14" borderId="64" xfId="0" applyNumberFormat="1" applyFont="1" applyFill="1" applyBorder="1" applyAlignment="1" applyProtection="1">
      <alignment horizontal="left" vertical="center" wrapText="1"/>
    </xf>
    <xf numFmtId="173" fontId="23" fillId="0" borderId="186" xfId="0" applyNumberFormat="1" applyFont="1" applyFill="1" applyBorder="1" applyAlignment="1" applyProtection="1">
      <alignment horizontal="right"/>
    </xf>
    <xf numFmtId="173" fontId="23" fillId="0" borderId="187" xfId="0" applyNumberFormat="1" applyFont="1" applyBorder="1" applyAlignment="1" applyProtection="1">
      <alignment horizontal="right"/>
    </xf>
    <xf numFmtId="0" fontId="0" fillId="0" borderId="1" xfId="0" applyFont="1" applyFill="1" applyBorder="1" applyProtection="1"/>
    <xf numFmtId="173" fontId="23" fillId="0" borderId="0" xfId="0" applyNumberFormat="1" applyFont="1" applyProtection="1"/>
    <xf numFmtId="0" fontId="23" fillId="0" borderId="6" xfId="0" applyFont="1" applyBorder="1" applyAlignment="1" applyProtection="1">
      <alignment horizontal="center" vertical="center"/>
    </xf>
    <xf numFmtId="0" fontId="0" fillId="0" borderId="6" xfId="0" applyNumberFormat="1" applyFont="1" applyFill="1" applyBorder="1" applyAlignment="1" applyProtection="1">
      <alignment horizontal="center" vertical="center"/>
    </xf>
    <xf numFmtId="0" fontId="20" fillId="0" borderId="6" xfId="0" applyNumberFormat="1" applyFont="1" applyFill="1" applyBorder="1" applyAlignment="1" applyProtection="1">
      <alignment horizontal="center" vertical="center"/>
    </xf>
    <xf numFmtId="0" fontId="0" fillId="0" borderId="41" xfId="0" applyNumberFormat="1" applyFont="1" applyFill="1" applyBorder="1" applyAlignment="1" applyProtection="1">
      <alignment horizontal="center" vertical="center"/>
    </xf>
    <xf numFmtId="0" fontId="32" fillId="0" borderId="0" xfId="0" applyFont="1" applyAlignment="1" applyProtection="1">
      <alignment vertical="center"/>
    </xf>
    <xf numFmtId="0" fontId="24" fillId="0" borderId="14" xfId="0" applyFont="1" applyBorder="1" applyAlignment="1" applyProtection="1">
      <alignment horizontal="left" vertical="center" wrapText="1"/>
    </xf>
    <xf numFmtId="0" fontId="0" fillId="0" borderId="14" xfId="0" applyNumberFormat="1" applyFont="1" applyFill="1" applyBorder="1" applyAlignment="1" applyProtection="1">
      <alignment vertical="center" wrapText="1"/>
    </xf>
    <xf numFmtId="0" fontId="32" fillId="0" borderId="14" xfId="0" applyNumberFormat="1" applyFont="1" applyFill="1" applyBorder="1" applyAlignment="1" applyProtection="1">
      <alignment vertical="center" wrapText="1"/>
    </xf>
    <xf numFmtId="0" fontId="0" fillId="0" borderId="16" xfId="0" applyNumberFormat="1" applyFont="1" applyFill="1" applyBorder="1" applyAlignment="1" applyProtection="1">
      <alignment vertical="center" wrapText="1"/>
    </xf>
    <xf numFmtId="0" fontId="23" fillId="0" borderId="0" xfId="0" applyFont="1" applyAlignment="1" applyProtection="1">
      <alignment horizontal="left" vertical="center"/>
    </xf>
    <xf numFmtId="0" fontId="23" fillId="0" borderId="0" xfId="0" applyFont="1" applyAlignment="1" applyProtection="1">
      <alignment horizontal="center" vertical="center" wrapText="1" shrinkToFit="1"/>
    </xf>
    <xf numFmtId="0" fontId="23" fillId="0" borderId="188" xfId="0" applyFont="1" applyBorder="1" applyAlignment="1" applyProtection="1">
      <alignment horizontal="center" vertical="center" wrapText="1" shrinkToFit="1"/>
    </xf>
    <xf numFmtId="0" fontId="23" fillId="0" borderId="189" xfId="0" applyFont="1" applyBorder="1" applyAlignment="1" applyProtection="1">
      <alignment vertical="center"/>
    </xf>
    <xf numFmtId="174" fontId="23" fillId="0" borderId="91" xfId="0" applyNumberFormat="1" applyFont="1" applyBorder="1" applyAlignment="1" applyProtection="1">
      <alignment horizontal="center" vertical="center"/>
    </xf>
    <xf numFmtId="174" fontId="23" fillId="0" borderId="190" xfId="0" applyNumberFormat="1" applyFont="1" applyBorder="1" applyAlignment="1" applyProtection="1">
      <alignment horizontal="center" vertical="center"/>
    </xf>
    <xf numFmtId="49" fontId="25" fillId="2" borderId="90" xfId="0" applyNumberFormat="1" applyFont="1" applyFill="1" applyBorder="1" applyAlignment="1" applyProtection="1">
      <alignment horizontal="center" vertical="center" wrapText="1" shrinkToFit="1"/>
    </xf>
    <xf numFmtId="0" fontId="32" fillId="14" borderId="14" xfId="0" applyFont="1" applyFill="1" applyBorder="1" applyAlignment="1" applyProtection="1">
      <alignment horizontal="left" wrapText="1"/>
    </xf>
    <xf numFmtId="0" fontId="0" fillId="14" borderId="6" xfId="0" applyFont="1" applyFill="1" applyBorder="1" applyAlignment="1" applyProtection="1">
      <alignment horizontal="center"/>
    </xf>
    <xf numFmtId="173" fontId="23" fillId="14" borderId="9" xfId="0" applyNumberFormat="1" applyFont="1" applyFill="1" applyBorder="1" applyAlignment="1" applyProtection="1">
      <alignment horizontal="right"/>
    </xf>
    <xf numFmtId="166" fontId="23" fillId="0" borderId="0" xfId="0" applyNumberFormat="1" applyFont="1" applyFill="1" applyProtection="1"/>
    <xf numFmtId="173" fontId="23" fillId="14" borderId="14" xfId="0" applyNumberFormat="1" applyFont="1" applyFill="1" applyBorder="1" applyAlignment="1" applyProtection="1">
      <alignment horizontal="right"/>
    </xf>
    <xf numFmtId="0" fontId="23" fillId="14" borderId="6" xfId="0" applyNumberFormat="1" applyFont="1" applyFill="1" applyBorder="1" applyAlignment="1" applyProtection="1">
      <alignment horizontal="center"/>
    </xf>
    <xf numFmtId="173" fontId="23" fillId="14" borderId="6" xfId="0" applyNumberFormat="1" applyFont="1" applyFill="1" applyBorder="1" applyProtection="1"/>
    <xf numFmtId="173" fontId="23" fillId="14" borderId="6" xfId="0" applyNumberFormat="1" applyFont="1" applyFill="1" applyBorder="1" applyAlignment="1" applyProtection="1">
      <alignment horizontal="right"/>
    </xf>
    <xf numFmtId="0" fontId="23" fillId="14" borderId="9" xfId="0" applyFont="1" applyFill="1" applyBorder="1" applyProtection="1"/>
    <xf numFmtId="0" fontId="0" fillId="14" borderId="6" xfId="0" applyFont="1" applyFill="1" applyBorder="1" applyAlignment="1" applyProtection="1">
      <alignment horizontal="center" wrapText="1"/>
    </xf>
    <xf numFmtId="0" fontId="32" fillId="14" borderId="6" xfId="0" applyFont="1" applyFill="1" applyBorder="1" applyAlignment="1" applyProtection="1">
      <alignment horizontal="center"/>
    </xf>
    <xf numFmtId="0" fontId="20" fillId="0" borderId="0" xfId="0" applyFont="1" applyProtection="1"/>
    <xf numFmtId="0" fontId="0" fillId="0" borderId="113" xfId="0" applyFont="1" applyBorder="1" applyAlignment="1" applyProtection="1">
      <alignment horizontal="left" vertical="center"/>
    </xf>
    <xf numFmtId="169" fontId="23" fillId="3" borderId="113" xfId="0" applyNumberFormat="1" applyFont="1" applyFill="1" applyBorder="1" applyAlignment="1" applyProtection="1">
      <alignment horizontal="left" vertical="center" wrapText="1" shrinkToFit="1"/>
      <protection locked="0"/>
    </xf>
    <xf numFmtId="0" fontId="31" fillId="0" borderId="0" xfId="0" applyFont="1" applyFill="1" applyProtection="1"/>
    <xf numFmtId="166" fontId="23" fillId="0" borderId="191" xfId="0" applyNumberFormat="1" applyFont="1" applyFill="1" applyBorder="1" applyProtection="1"/>
    <xf numFmtId="166" fontId="23" fillId="0" borderId="192" xfId="0" applyNumberFormat="1" applyFont="1" applyFill="1" applyBorder="1" applyProtection="1"/>
    <xf numFmtId="166" fontId="0" fillId="0" borderId="192" xfId="0" applyNumberFormat="1" applyFont="1" applyFill="1" applyBorder="1" applyProtection="1"/>
    <xf numFmtId="166" fontId="0" fillId="0" borderId="193" xfId="0" applyNumberFormat="1" applyFont="1" applyFill="1" applyBorder="1" applyProtection="1"/>
    <xf numFmtId="166" fontId="23" fillId="0" borderId="172" xfId="0" applyNumberFormat="1" applyFont="1" applyFill="1" applyBorder="1" applyProtection="1"/>
    <xf numFmtId="166" fontId="0" fillId="0" borderId="172" xfId="0" applyNumberFormat="1" applyFont="1" applyFill="1" applyBorder="1" applyProtection="1"/>
    <xf numFmtId="166" fontId="0" fillId="0" borderId="194" xfId="0" applyNumberFormat="1" applyFont="1" applyFill="1" applyBorder="1" applyProtection="1"/>
    <xf numFmtId="169" fontId="0" fillId="0" borderId="0" xfId="0" applyNumberFormat="1" applyFont="1" applyFill="1" applyProtection="1"/>
    <xf numFmtId="49" fontId="32" fillId="0" borderId="195" xfId="0" applyNumberFormat="1" applyFont="1" applyBorder="1" applyAlignment="1" applyProtection="1">
      <alignment horizontal="left" vertical="center" wrapText="1"/>
    </xf>
    <xf numFmtId="0" fontId="0" fillId="0" borderId="196" xfId="0" applyFont="1" applyBorder="1" applyAlignment="1" applyProtection="1">
      <alignment horizontal="center" vertical="center" wrapText="1"/>
    </xf>
    <xf numFmtId="176" fontId="23" fillId="0" borderId="197" xfId="0" applyNumberFormat="1" applyFont="1" applyFill="1" applyBorder="1" applyAlignment="1" applyProtection="1">
      <alignment horizontal="center" vertical="center"/>
    </xf>
    <xf numFmtId="49" fontId="0" fillId="0" borderId="198" xfId="0" applyNumberFormat="1" applyFont="1" applyBorder="1" applyAlignment="1" applyProtection="1">
      <alignment horizontal="left" vertical="center" wrapText="1"/>
    </xf>
    <xf numFmtId="0" fontId="0" fillId="0" borderId="199" xfId="0" applyFont="1" applyBorder="1" applyAlignment="1" applyProtection="1">
      <alignment horizontal="center" vertical="center" wrapText="1"/>
    </xf>
    <xf numFmtId="49" fontId="0" fillId="0" borderId="198" xfId="0" applyNumberFormat="1" applyFont="1" applyBorder="1" applyAlignment="1" applyProtection="1">
      <alignment horizontal="left" vertical="center" wrapText="1" indent="1"/>
    </xf>
    <xf numFmtId="49" fontId="32" fillId="0" borderId="198" xfId="0" applyNumberFormat="1" applyFont="1" applyBorder="1" applyAlignment="1" applyProtection="1">
      <alignment horizontal="left" vertical="center" wrapText="1"/>
    </xf>
    <xf numFmtId="49" fontId="0" fillId="0" borderId="198" xfId="0" applyNumberFormat="1" applyFont="1" applyBorder="1" applyAlignment="1" applyProtection="1">
      <alignment horizontal="left" vertical="center" wrapText="1" indent="2"/>
    </xf>
    <xf numFmtId="49" fontId="0" fillId="0" borderId="198" xfId="0" applyNumberFormat="1" applyFont="1" applyBorder="1" applyAlignment="1" applyProtection="1">
      <alignment horizontal="left" vertical="center" wrapText="1" indent="3"/>
    </xf>
    <xf numFmtId="49" fontId="32" fillId="0" borderId="200" xfId="0" applyNumberFormat="1" applyFont="1" applyBorder="1" applyAlignment="1" applyProtection="1">
      <alignment horizontal="left" vertical="center" wrapText="1"/>
    </xf>
    <xf numFmtId="0" fontId="0" fillId="0" borderId="201" xfId="0" applyFont="1" applyBorder="1" applyAlignment="1" applyProtection="1">
      <alignment horizontal="center" vertical="center" wrapText="1"/>
    </xf>
    <xf numFmtId="49" fontId="0" fillId="0" borderId="198" xfId="0" applyNumberFormat="1" applyFont="1" applyFill="1" applyBorder="1" applyAlignment="1" applyProtection="1">
      <alignment horizontal="left" vertical="center" wrapText="1"/>
    </xf>
    <xf numFmtId="0" fontId="0" fillId="0" borderId="199" xfId="0" applyFont="1" applyFill="1" applyBorder="1" applyAlignment="1" applyProtection="1">
      <alignment horizontal="center" vertical="center" wrapText="1"/>
    </xf>
    <xf numFmtId="0" fontId="32" fillId="0" borderId="199" xfId="0" applyFont="1" applyBorder="1" applyAlignment="1" applyProtection="1">
      <alignment horizontal="center"/>
    </xf>
    <xf numFmtId="49" fontId="32" fillId="0" borderId="202" xfId="0" applyNumberFormat="1" applyFont="1" applyBorder="1" applyAlignment="1" applyProtection="1">
      <alignment horizontal="left" vertical="center" wrapText="1"/>
    </xf>
    <xf numFmtId="0" fontId="0" fillId="0" borderId="203" xfId="0" applyFont="1" applyBorder="1" applyAlignment="1" applyProtection="1">
      <alignment horizontal="center" vertical="center" wrapText="1"/>
    </xf>
    <xf numFmtId="173" fontId="23" fillId="0" borderId="204" xfId="0" applyNumberFormat="1" applyFont="1" applyBorder="1" applyAlignment="1" applyProtection="1">
      <alignment horizontal="center"/>
    </xf>
    <xf numFmtId="173" fontId="23" fillId="0" borderId="205" xfId="0" applyNumberFormat="1" applyFont="1" applyBorder="1" applyAlignment="1" applyProtection="1">
      <alignment horizontal="center"/>
    </xf>
    <xf numFmtId="0" fontId="0" fillId="0" borderId="113" xfId="0" applyFont="1" applyBorder="1" applyAlignment="1" applyProtection="1">
      <alignment horizontal="left" vertical="center" wrapText="1"/>
    </xf>
    <xf numFmtId="166" fontId="0" fillId="0" borderId="0" xfId="0" applyNumberFormat="1" applyFont="1" applyFill="1" applyProtection="1"/>
    <xf numFmtId="173" fontId="0" fillId="0" borderId="0" xfId="0" applyNumberFormat="1" applyFont="1" applyProtection="1"/>
    <xf numFmtId="169" fontId="23" fillId="15" borderId="113" xfId="0" applyNumberFormat="1" applyFont="1" applyFill="1" applyBorder="1" applyAlignment="1" applyProtection="1">
      <alignment horizontal="left" vertical="center" wrapText="1" shrinkToFit="1"/>
      <protection locked="0"/>
    </xf>
    <xf numFmtId="49" fontId="38" fillId="3" borderId="150" xfId="0" applyNumberFormat="1" applyFont="1" applyFill="1" applyBorder="1" applyAlignment="1" applyProtection="1">
      <alignment horizontal="left" vertical="center" wrapText="1"/>
      <protection locked="0"/>
    </xf>
    <xf numFmtId="14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169" fontId="38" fillId="0" borderId="136" xfId="0" applyNumberFormat="1" applyFont="1" applyBorder="1" applyAlignment="1" applyProtection="1">
      <alignment horizontal="right" vertical="center" wrapText="1"/>
    </xf>
    <xf numFmtId="14" fontId="38" fillId="3" borderId="132" xfId="0" applyNumberFormat="1" applyFont="1" applyFill="1" applyBorder="1" applyAlignment="1" applyProtection="1">
      <alignment horizontal="left" vertical="center" wrapText="1"/>
      <protection locked="0"/>
    </xf>
    <xf numFmtId="169" fontId="38" fillId="3" borderId="132" xfId="0" applyNumberFormat="1" applyFont="1" applyFill="1" applyBorder="1" applyAlignment="1" applyProtection="1">
      <alignment horizontal="right" vertical="center" wrapText="1" shrinkToFit="1"/>
      <protection locked="0"/>
    </xf>
    <xf numFmtId="49" fontId="25" fillId="2" borderId="5" xfId="0" applyNumberFormat="1" applyFont="1" applyFill="1" applyBorder="1" applyAlignment="1" applyProtection="1">
      <alignment vertical="center" wrapText="1"/>
    </xf>
    <xf numFmtId="0" fontId="23" fillId="0" borderId="110" xfId="0" applyFont="1" applyBorder="1" applyAlignment="1" applyProtection="1">
      <alignment horizontal="center"/>
    </xf>
    <xf numFmtId="0" fontId="65" fillId="0" borderId="47" xfId="0" applyFont="1" applyBorder="1" applyAlignment="1" applyProtection="1">
      <alignment horizontal="center" vertical="center" wrapText="1"/>
    </xf>
    <xf numFmtId="0" fontId="65" fillId="0" borderId="48" xfId="0" applyFont="1" applyBorder="1" applyAlignment="1" applyProtection="1">
      <alignment horizontal="center" vertical="center"/>
    </xf>
    <xf numFmtId="0" fontId="65" fillId="0" borderId="13" xfId="0" applyFont="1" applyBorder="1" applyAlignment="1" applyProtection="1">
      <alignment horizontal="center" vertical="center"/>
    </xf>
    <xf numFmtId="0" fontId="92" fillId="0" borderId="0" xfId="0" applyFont="1" applyProtection="1"/>
    <xf numFmtId="0" fontId="65" fillId="0" borderId="47" xfId="0" applyFont="1" applyBorder="1" applyAlignment="1" applyProtection="1">
      <alignment horizontal="center"/>
    </xf>
    <xf numFmtId="0" fontId="65" fillId="0" borderId="48" xfId="0" applyFont="1" applyBorder="1" applyAlignment="1" applyProtection="1">
      <alignment horizontal="center"/>
    </xf>
    <xf numFmtId="0" fontId="65" fillId="0" borderId="13" xfId="0" applyFont="1" applyBorder="1" applyAlignment="1" applyProtection="1">
      <alignment horizontal="center"/>
    </xf>
    <xf numFmtId="49" fontId="21" fillId="3" borderId="6" xfId="0" applyNumberFormat="1" applyFont="1" applyFill="1" applyBorder="1" applyAlignment="1" applyProtection="1">
      <alignment horizontal="left" vertical="center"/>
      <protection locked="0"/>
    </xf>
    <xf numFmtId="49" fontId="21" fillId="3" borderId="26" xfId="0" applyNumberFormat="1" applyFont="1" applyFill="1" applyBorder="1" applyAlignment="1" applyProtection="1">
      <alignment horizontal="left" vertical="center" wrapText="1"/>
      <protection locked="0"/>
    </xf>
    <xf numFmtId="49" fontId="21" fillId="3" borderId="26" xfId="0" applyNumberFormat="1" applyFont="1" applyFill="1" applyBorder="1" applyAlignment="1" applyProtection="1">
      <alignment horizontal="left" vertical="center"/>
      <protection locked="0"/>
    </xf>
    <xf numFmtId="14" fontId="21" fillId="3" borderId="20" xfId="0" applyNumberFormat="1" applyFont="1" applyFill="1" applyBorder="1" applyAlignment="1" applyProtection="1">
      <alignment vertical="center"/>
      <protection locked="0"/>
    </xf>
    <xf numFmtId="14" fontId="21" fillId="3" borderId="26" xfId="0" applyNumberFormat="1" applyFont="1" applyFill="1" applyBorder="1" applyAlignment="1" applyProtection="1">
      <alignment horizontal="left" vertical="center"/>
      <protection locked="0"/>
    </xf>
    <xf numFmtId="0" fontId="21" fillId="3" borderId="26" xfId="0" applyNumberFormat="1" applyFont="1" applyFill="1" applyBorder="1" applyAlignment="1" applyProtection="1">
      <alignment horizontal="left" vertical="center"/>
      <protection locked="0"/>
    </xf>
    <xf numFmtId="0" fontId="34" fillId="4" borderId="26" xfId="0" applyFont="1" applyFill="1" applyBorder="1" applyAlignment="1" applyProtection="1">
      <alignment vertical="center" wrapText="1"/>
      <protection locked="0"/>
    </xf>
    <xf numFmtId="0" fontId="34" fillId="4" borderId="26" xfId="0" applyFont="1" applyFill="1" applyBorder="1" applyAlignment="1" applyProtection="1">
      <alignment wrapText="1"/>
      <protection locked="0"/>
    </xf>
    <xf numFmtId="0" fontId="34" fillId="4" borderId="26" xfId="0" applyFont="1" applyFill="1" applyBorder="1" applyAlignment="1" applyProtection="1">
      <alignment horizontal="center" vertical="center" wrapText="1"/>
      <protection locked="0"/>
    </xf>
    <xf numFmtId="0" fontId="34" fillId="4" borderId="32" xfId="0" applyFont="1" applyFill="1" applyBorder="1" applyAlignment="1" applyProtection="1">
      <protection locked="0"/>
    </xf>
    <xf numFmtId="0" fontId="21" fillId="0" borderId="25" xfId="0" applyNumberFormat="1" applyFont="1" applyFill="1" applyBorder="1" applyAlignment="1" applyProtection="1">
      <alignment horizontal="left" vertical="center"/>
    </xf>
    <xf numFmtId="3" fontId="21" fillId="11" borderId="26" xfId="0" applyNumberFormat="1" applyFont="1" applyFill="1" applyBorder="1" applyAlignment="1" applyProtection="1">
      <alignment horizontal="right" vertical="center"/>
    </xf>
    <xf numFmtId="0" fontId="29" fillId="11" borderId="136" xfId="0" applyNumberFormat="1" applyFont="1" applyFill="1" applyBorder="1" applyAlignment="1" applyProtection="1">
      <alignment horizontal="center" vertical="center" wrapText="1"/>
    </xf>
    <xf numFmtId="0" fontId="29" fillId="11" borderId="132" xfId="0" applyNumberFormat="1" applyFont="1" applyFill="1" applyBorder="1" applyAlignment="1" applyProtection="1">
      <alignment horizontal="center" vertical="center" wrapText="1"/>
    </xf>
    <xf numFmtId="173" fontId="29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173" fontId="29" fillId="3" borderId="132" xfId="0" applyNumberFormat="1" applyFont="1" applyFill="1" applyBorder="1" applyAlignment="1" applyProtection="1">
      <alignment horizontal="center" vertical="center" wrapText="1" shrinkToFit="1"/>
      <protection locked="0"/>
    </xf>
    <xf numFmtId="173" fontId="29" fillId="0" borderId="132" xfId="0" applyNumberFormat="1" applyFont="1" applyBorder="1" applyAlignment="1" applyProtection="1">
      <alignment horizontal="center" vertical="center"/>
    </xf>
    <xf numFmtId="49" fontId="55" fillId="0" borderId="136" xfId="0" applyNumberFormat="1" applyFont="1" applyFill="1" applyBorder="1" applyAlignment="1" applyProtection="1">
      <alignment horizontal="center" vertical="center"/>
    </xf>
    <xf numFmtId="175" fontId="56" fillId="0" borderId="136" xfId="0" applyNumberFormat="1" applyFont="1" applyBorder="1" applyAlignment="1" applyProtection="1">
      <alignment horizontal="center" vertical="center"/>
    </xf>
    <xf numFmtId="175" fontId="21" fillId="0" borderId="136" xfId="0" applyNumberFormat="1" applyFont="1" applyBorder="1" applyAlignment="1" applyProtection="1">
      <alignment horizontal="center" vertical="center" wrapText="1"/>
    </xf>
    <xf numFmtId="175" fontId="56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176" fontId="23" fillId="0" borderId="32" xfId="0" applyNumberFormat="1" applyFont="1" applyFill="1" applyBorder="1" applyAlignment="1" applyProtection="1">
      <alignment horizontal="center" vertical="center"/>
    </xf>
    <xf numFmtId="49" fontId="23" fillId="0" borderId="25" xfId="0" applyNumberFormat="1" applyFont="1" applyFill="1" applyBorder="1" applyAlignment="1" applyProtection="1">
      <alignment horizontal="center" vertical="center" wrapText="1"/>
    </xf>
    <xf numFmtId="175" fontId="23" fillId="0" borderId="26" xfId="0" applyNumberFormat="1" applyFont="1" applyFill="1" applyBorder="1" applyAlignment="1" applyProtection="1">
      <alignment horizontal="center" vertical="center"/>
    </xf>
    <xf numFmtId="175" fontId="23" fillId="3" borderId="6" xfId="0" applyNumberFormat="1" applyFont="1" applyFill="1" applyBorder="1" applyAlignment="1" applyProtection="1">
      <alignment horizontal="center" vertical="center" wrapText="1" shrinkToFit="1"/>
      <protection locked="0"/>
    </xf>
    <xf numFmtId="49" fontId="23" fillId="3" borderId="32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41" xfId="0" applyNumberFormat="1" applyFont="1" applyFill="1" applyBorder="1" applyAlignment="1" applyProtection="1">
      <alignment horizontal="center" vertical="center" wrapText="1" shrinkToFit="1"/>
    </xf>
    <xf numFmtId="175" fontId="23" fillId="3" borderId="41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27" xfId="0" applyNumberFormat="1" applyFont="1" applyFill="1" applyBorder="1" applyAlignment="1" applyProtection="1">
      <alignment horizontal="center" vertical="center"/>
    </xf>
    <xf numFmtId="49" fontId="23" fillId="3" borderId="33" xfId="0" applyNumberFormat="1" applyFont="1" applyFill="1" applyBorder="1" applyAlignment="1" applyProtection="1">
      <alignment horizontal="center" vertical="center" wrapText="1" shrinkToFit="1"/>
      <protection locked="0"/>
    </xf>
    <xf numFmtId="49" fontId="29" fillId="3" borderId="135" xfId="0" applyNumberFormat="1" applyFont="1" applyFill="1" applyBorder="1" applyAlignment="1" applyProtection="1">
      <alignment vertical="center" wrapText="1"/>
      <protection locked="0"/>
    </xf>
    <xf numFmtId="175" fontId="23" fillId="0" borderId="136" xfId="0" applyNumberFormat="1" applyFont="1" applyFill="1" applyBorder="1" applyAlignment="1" applyProtection="1">
      <alignment horizontal="center" vertical="center" wrapText="1" shrinkToFit="1"/>
    </xf>
    <xf numFmtId="0" fontId="29" fillId="5" borderId="136" xfId="0" applyNumberFormat="1" applyFont="1" applyFill="1" applyBorder="1" applyAlignment="1" applyProtection="1">
      <alignment horizontal="center" vertical="center" wrapText="1"/>
    </xf>
    <xf numFmtId="175" fontId="23" fillId="0" borderId="136" xfId="0" applyNumberFormat="1" applyFont="1" applyBorder="1" applyAlignment="1" applyProtection="1">
      <alignment horizontal="center" vertical="center" wrapText="1"/>
    </xf>
    <xf numFmtId="175" fontId="23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49" fontId="29" fillId="3" borderId="140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136" xfId="0" applyNumberFormat="1" applyFont="1" applyFill="1" applyBorder="1" applyAlignment="1" applyProtection="1">
      <alignment horizontal="center" vertical="center" wrapText="1"/>
    </xf>
    <xf numFmtId="0" fontId="23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0" fontId="90" fillId="3" borderId="136" xfId="0" applyNumberFormat="1" applyFont="1" applyFill="1" applyBorder="1" applyAlignment="1" applyProtection="1">
      <alignment horizontal="center" vertical="center" wrapText="1"/>
      <protection locked="0"/>
    </xf>
    <xf numFmtId="175" fontId="23" fillId="3" borderId="132" xfId="0" applyNumberFormat="1" applyFont="1" applyFill="1" applyBorder="1" applyAlignment="1" applyProtection="1">
      <alignment horizontal="center" vertical="center" wrapText="1" shrinkToFit="1"/>
      <protection locked="0"/>
    </xf>
    <xf numFmtId="49" fontId="80" fillId="0" borderId="133" xfId="0" applyNumberFormat="1" applyFont="1" applyFill="1" applyBorder="1" applyAlignment="1" applyProtection="1">
      <alignment horizontal="center" shrinkToFit="1"/>
    </xf>
    <xf numFmtId="49" fontId="80" fillId="0" borderId="134" xfId="0" applyNumberFormat="1" applyFont="1" applyFill="1" applyBorder="1" applyAlignment="1" applyProtection="1">
      <alignment horizontal="center" shrinkToFit="1"/>
    </xf>
    <xf numFmtId="0" fontId="29" fillId="0" borderId="132" xfId="0" applyNumberFormat="1" applyFont="1" applyFill="1" applyBorder="1" applyAlignment="1" applyProtection="1">
      <alignment horizontal="left" vertical="center" shrinkToFit="1"/>
    </xf>
    <xf numFmtId="175" fontId="23" fillId="0" borderId="136" xfId="0" applyNumberFormat="1" applyFont="1" applyBorder="1" applyAlignment="1" applyProtection="1">
      <alignment horizontal="center" vertical="center"/>
    </xf>
    <xf numFmtId="176" fontId="29" fillId="0" borderId="140" xfId="0" applyNumberFormat="1" applyFont="1" applyBorder="1" applyAlignment="1" applyProtection="1">
      <alignment horizontal="center" vertical="center"/>
    </xf>
    <xf numFmtId="0" fontId="29" fillId="3" borderId="132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150" xfId="0" applyNumberFormat="1" applyFont="1" applyFill="1" applyBorder="1" applyAlignment="1" applyProtection="1">
      <alignment horizontal="left" vertical="center" wrapText="1"/>
      <protection locked="0"/>
    </xf>
    <xf numFmtId="49" fontId="80" fillId="0" borderId="135" xfId="0" applyNumberFormat="1" applyFont="1" applyFill="1" applyBorder="1" applyAlignment="1" applyProtection="1">
      <alignment horizontal="center" vertical="center"/>
    </xf>
    <xf numFmtId="0" fontId="80" fillId="0" borderId="136" xfId="0" applyNumberFormat="1" applyFont="1" applyFill="1" applyBorder="1" applyAlignment="1" applyProtection="1">
      <alignment horizontal="center" vertical="center"/>
    </xf>
    <xf numFmtId="49" fontId="55" fillId="0" borderId="21" xfId="0" applyNumberFormat="1" applyFont="1" applyFill="1" applyBorder="1" applyAlignment="1" applyProtection="1">
      <alignment horizontal="left" vertical="center" wrapText="1" shrinkToFit="1"/>
    </xf>
    <xf numFmtId="175" fontId="56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56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56" fillId="3" borderId="41" xfId="0" applyNumberFormat="1" applyFont="1" applyFill="1" applyBorder="1" applyAlignment="1" applyProtection="1">
      <alignment horizontal="center" vertical="center" wrapText="1"/>
      <protection locked="0"/>
    </xf>
    <xf numFmtId="175" fontId="56" fillId="3" borderId="41" xfId="0" applyNumberFormat="1" applyFont="1" applyFill="1" applyBorder="1" applyAlignment="1" applyProtection="1">
      <alignment horizontal="center" vertical="center" wrapText="1"/>
      <protection locked="0"/>
    </xf>
    <xf numFmtId="49" fontId="56" fillId="3" borderId="17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14" xfId="0" applyNumberFormat="1" applyFont="1" applyFill="1" applyBorder="1" applyAlignment="1" applyProtection="1">
      <alignment horizontal="left" vertical="center" wrapText="1"/>
    </xf>
    <xf numFmtId="0" fontId="56" fillId="0" borderId="6" xfId="0" applyNumberFormat="1" applyFont="1" applyFill="1" applyBorder="1" applyAlignment="1" applyProtection="1">
      <alignment horizontal="center" vertical="center" wrapText="1"/>
    </xf>
    <xf numFmtId="0" fontId="56" fillId="0" borderId="9" xfId="0" applyNumberFormat="1" applyFont="1" applyFill="1" applyBorder="1" applyAlignment="1" applyProtection="1">
      <alignment horizontal="center" vertical="center" wrapText="1"/>
    </xf>
    <xf numFmtId="175" fontId="56" fillId="0" borderId="6" xfId="0" applyNumberFormat="1" applyFont="1" applyFill="1" applyBorder="1" applyAlignment="1" applyProtection="1">
      <alignment horizontal="center" vertical="center" wrapText="1"/>
    </xf>
    <xf numFmtId="49" fontId="56" fillId="3" borderId="16" xfId="0" applyNumberFormat="1" applyFont="1" applyFill="1" applyBorder="1" applyAlignment="1" applyProtection="1">
      <alignment horizontal="left" vertical="center" wrapText="1"/>
      <protection locked="0"/>
    </xf>
    <xf numFmtId="49" fontId="56" fillId="3" borderId="41" xfId="0" applyNumberFormat="1" applyFont="1" applyFill="1" applyBorder="1" applyAlignment="1" applyProtection="1">
      <alignment horizontal="center" vertical="center" wrapText="1"/>
      <protection locked="0"/>
    </xf>
    <xf numFmtId="14" fontId="56" fillId="3" borderId="41" xfId="0" applyNumberFormat="1" applyFont="1" applyFill="1" applyBorder="1" applyAlignment="1" applyProtection="1">
      <alignment horizontal="center" vertical="center" wrapText="1"/>
      <protection locked="0"/>
    </xf>
    <xf numFmtId="175" fontId="56" fillId="0" borderId="41" xfId="0" applyNumberFormat="1" applyFont="1" applyFill="1" applyBorder="1" applyAlignment="1" applyProtection="1">
      <alignment horizontal="center" vertical="center" wrapText="1"/>
    </xf>
    <xf numFmtId="49" fontId="77" fillId="0" borderId="14" xfId="0" applyNumberFormat="1" applyFont="1" applyFill="1" applyBorder="1" applyAlignment="1" applyProtection="1">
      <alignment horizontal="center" vertical="center" wrapText="1"/>
    </xf>
    <xf numFmtId="175" fontId="23" fillId="0" borderId="6" xfId="0" applyNumberFormat="1" applyFont="1" applyFill="1" applyBorder="1" applyAlignment="1" applyProtection="1">
      <alignment horizontal="center" vertical="center"/>
    </xf>
    <xf numFmtId="175" fontId="23" fillId="0" borderId="206" xfId="0" applyNumberFormat="1" applyFont="1" applyFill="1" applyBorder="1" applyAlignment="1" applyProtection="1">
      <alignment horizontal="center" vertical="center" wrapText="1" shrinkToFit="1"/>
    </xf>
    <xf numFmtId="175" fontId="23" fillId="3" borderId="66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3" borderId="6" xfId="0" applyNumberFormat="1" applyFont="1" applyFill="1" applyBorder="1" applyAlignment="1" applyProtection="1">
      <alignment horizontal="center" vertical="center"/>
      <protection locked="0"/>
    </xf>
    <xf numFmtId="175" fontId="23" fillId="3" borderId="66" xfId="0" applyNumberFormat="1" applyFont="1" applyFill="1" applyBorder="1" applyAlignment="1" applyProtection="1">
      <alignment horizontal="center" vertical="center"/>
      <protection locked="0"/>
    </xf>
    <xf numFmtId="175" fontId="23" fillId="3" borderId="206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3" borderId="207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3" borderId="208" xfId="0" applyNumberFormat="1" applyFont="1" applyFill="1" applyBorder="1" applyAlignment="1" applyProtection="1">
      <alignment horizontal="center" vertical="center" wrapText="1" shrinkToFit="1"/>
      <protection locked="0"/>
    </xf>
    <xf numFmtId="175" fontId="72" fillId="0" borderId="6" xfId="0" applyNumberFormat="1" applyFont="1" applyFill="1" applyBorder="1" applyAlignment="1" applyProtection="1">
      <alignment horizontal="center" vertical="center" wrapText="1" shrinkToFit="1"/>
    </xf>
    <xf numFmtId="0" fontId="73" fillId="0" borderId="98" xfId="0" applyNumberFormat="1" applyFont="1" applyFill="1" applyBorder="1" applyAlignment="1" applyProtection="1">
      <alignment horizontal="center" vertical="center"/>
    </xf>
    <xf numFmtId="0" fontId="0" fillId="0" borderId="67" xfId="0" applyBorder="1" applyAlignment="1" applyProtection="1">
      <alignment horizontal="center" vertical="center"/>
    </xf>
    <xf numFmtId="169" fontId="23" fillId="0" borderId="6" xfId="0" applyNumberFormat="1" applyFont="1" applyFill="1" applyBorder="1" applyAlignment="1" applyProtection="1">
      <alignment horizontal="center" vertical="center"/>
    </xf>
    <xf numFmtId="0" fontId="91" fillId="3" borderId="127" xfId="0" applyNumberFormat="1" applyFont="1" applyFill="1" applyBorder="1" applyAlignment="1" applyProtection="1">
      <alignment vertical="center" wrapText="1"/>
      <protection locked="0"/>
    </xf>
    <xf numFmtId="0" fontId="91" fillId="3" borderId="126" xfId="0" applyNumberFormat="1" applyFont="1" applyFill="1" applyBorder="1" applyAlignment="1" applyProtection="1">
      <alignment vertical="center" wrapText="1"/>
      <protection locked="0"/>
    </xf>
    <xf numFmtId="169" fontId="23" fillId="0" borderId="40" xfId="0" applyNumberFormat="1" applyFont="1" applyFill="1" applyBorder="1" applyAlignment="1" applyProtection="1">
      <alignment horizontal="center" vertical="center"/>
    </xf>
    <xf numFmtId="169" fontId="23" fillId="3" borderId="40" xfId="0" applyNumberFormat="1" applyFont="1" applyFill="1" applyBorder="1" applyAlignment="1" applyProtection="1">
      <alignment horizontal="right" wrapText="1" shrinkToFit="1"/>
      <protection locked="0"/>
    </xf>
    <xf numFmtId="169" fontId="29" fillId="0" borderId="6" xfId="0" applyNumberFormat="1" applyFont="1" applyFill="1" applyBorder="1" applyAlignment="1" applyProtection="1">
      <alignment horizontal="center" vertical="center" wrapText="1"/>
    </xf>
    <xf numFmtId="169" fontId="29" fillId="0" borderId="6" xfId="0" applyNumberFormat="1" applyFont="1" applyBorder="1" applyAlignment="1" applyProtection="1">
      <alignment horizontal="center" vertical="center"/>
    </xf>
    <xf numFmtId="14" fontId="30" fillId="0" borderId="14" xfId="0" applyNumberFormat="1" applyFont="1" applyFill="1" applyBorder="1" applyAlignment="1" applyProtection="1">
      <alignment horizontal="center" vertical="center" wrapText="1"/>
    </xf>
    <xf numFmtId="49" fontId="75" fillId="0" borderId="14" xfId="0" applyNumberFormat="1" applyFont="1" applyFill="1" applyBorder="1" applyAlignment="1" applyProtection="1">
      <alignment horizontal="center" vertical="center" wrapText="1"/>
    </xf>
    <xf numFmtId="169" fontId="75" fillId="0" borderId="6" xfId="0" applyNumberFormat="1" applyFont="1" applyFill="1" applyBorder="1" applyAlignment="1" applyProtection="1">
      <alignment horizontal="center" vertical="center" wrapText="1"/>
    </xf>
    <xf numFmtId="169" fontId="75" fillId="0" borderId="6" xfId="0" applyNumberFormat="1" applyFont="1" applyFill="1" applyBorder="1" applyAlignment="1" applyProtection="1">
      <alignment horizontal="center" vertical="center" wrapText="1" shrinkToFit="1"/>
    </xf>
    <xf numFmtId="169" fontId="29" fillId="3" borderId="6" xfId="0" applyNumberFormat="1" applyFont="1" applyFill="1" applyBorder="1" applyAlignment="1" applyProtection="1">
      <alignment wrapText="1"/>
      <protection locked="0"/>
    </xf>
    <xf numFmtId="169" fontId="29" fillId="3" borderId="41" xfId="0" applyNumberFormat="1" applyFont="1" applyFill="1" applyBorder="1" applyAlignment="1" applyProtection="1">
      <alignment wrapText="1"/>
      <protection locked="0"/>
    </xf>
    <xf numFmtId="0" fontId="88" fillId="0" borderId="136" xfId="0" applyNumberFormat="1" applyFont="1" applyFill="1" applyBorder="1" applyAlignment="1" applyProtection="1">
      <alignment horizontal="center" vertical="center"/>
    </xf>
    <xf numFmtId="49" fontId="88" fillId="0" borderId="140" xfId="0" applyNumberFormat="1" applyFont="1" applyFill="1" applyBorder="1" applyAlignment="1" applyProtection="1">
      <alignment horizontal="center" vertical="center"/>
    </xf>
    <xf numFmtId="0" fontId="88" fillId="0" borderId="136" xfId="0" applyNumberFormat="1" applyFont="1" applyFill="1" applyBorder="1" applyAlignment="1" applyProtection="1">
      <alignment horizontal="center" vertical="center" wrapText="1"/>
    </xf>
    <xf numFmtId="175" fontId="88" fillId="0" borderId="136" xfId="0" applyNumberFormat="1" applyFont="1" applyFill="1" applyBorder="1" applyAlignment="1" applyProtection="1">
      <alignment horizontal="center" vertical="center" wrapText="1"/>
    </xf>
    <xf numFmtId="49" fontId="88" fillId="0" borderId="136" xfId="0" applyNumberFormat="1" applyFont="1" applyFill="1" applyBorder="1" applyAlignment="1" applyProtection="1">
      <alignment horizontal="center" vertical="center" wrapText="1"/>
    </xf>
    <xf numFmtId="0" fontId="29" fillId="11" borderId="136" xfId="0" applyNumberFormat="1" applyFont="1" applyFill="1" applyBorder="1" applyAlignment="1" applyProtection="1">
      <alignment horizontal="left" vertical="center" wrapText="1"/>
    </xf>
    <xf numFmtId="175" fontId="29" fillId="3" borderId="136" xfId="0" applyNumberFormat="1" applyFont="1" applyFill="1" applyBorder="1" applyAlignment="1" applyProtection="1">
      <alignment horizontal="center" vertical="center" wrapText="1"/>
      <protection locked="0"/>
    </xf>
    <xf numFmtId="175" fontId="29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0" fontId="29" fillId="0" borderId="135" xfId="0" applyNumberFormat="1" applyFont="1" applyBorder="1" applyAlignment="1" applyProtection="1">
      <alignment horizontal="left" vertical="center" wrapText="1"/>
    </xf>
    <xf numFmtId="0" fontId="29" fillId="0" borderId="140" xfId="0" applyNumberFormat="1" applyFont="1" applyBorder="1" applyAlignment="1" applyProtection="1">
      <alignment horizontal="center" vertical="center"/>
    </xf>
    <xf numFmtId="0" fontId="29" fillId="3" borderId="132" xfId="0" applyNumberFormat="1" applyFont="1" applyFill="1" applyBorder="1" applyAlignment="1" applyProtection="1">
      <alignment horizontal="center" vertical="center" wrapText="1"/>
      <protection locked="0"/>
    </xf>
    <xf numFmtId="49" fontId="29" fillId="3" borderId="151" xfId="0" applyNumberFormat="1" applyFont="1" applyFill="1" applyBorder="1" applyAlignment="1" applyProtection="1">
      <alignment horizontal="center" wrapText="1" shrinkToFit="1"/>
      <protection locked="0"/>
    </xf>
    <xf numFmtId="49" fontId="23" fillId="3" borderId="14" xfId="0" applyNumberFormat="1" applyFont="1" applyFill="1" applyBorder="1" applyAlignment="1" applyProtection="1">
      <alignment horizontal="left" vertical="center" shrinkToFit="1"/>
      <protection locked="0"/>
    </xf>
    <xf numFmtId="169" fontId="23" fillId="0" borderId="6" xfId="0" applyNumberFormat="1" applyFont="1" applyBorder="1" applyAlignment="1" applyProtection="1">
      <alignment horizontal="center" vertical="center"/>
    </xf>
    <xf numFmtId="169" fontId="23" fillId="3" borderId="6" xfId="0" applyNumberFormat="1" applyFont="1" applyFill="1" applyBorder="1" applyAlignment="1" applyProtection="1">
      <alignment horizontal="left" vertical="center" wrapText="1" shrinkToFit="1"/>
      <protection locked="0"/>
    </xf>
    <xf numFmtId="49" fontId="23" fillId="3" borderId="16" xfId="0" applyNumberFormat="1" applyFont="1" applyFill="1" applyBorder="1" applyAlignment="1" applyProtection="1">
      <alignment horizontal="left" vertical="center" shrinkToFit="1"/>
      <protection locked="0"/>
    </xf>
    <xf numFmtId="169" fontId="23" fillId="0" borderId="41" xfId="0" applyNumberFormat="1" applyFont="1" applyBorder="1" applyAlignment="1" applyProtection="1">
      <alignment horizontal="center" vertical="center"/>
    </xf>
    <xf numFmtId="169" fontId="23" fillId="3" borderId="41" xfId="0" applyNumberFormat="1" applyFont="1" applyFill="1" applyBorder="1" applyAlignment="1" applyProtection="1">
      <alignment horizontal="left" vertical="center" wrapText="1" shrinkToFit="1"/>
      <protection locked="0"/>
    </xf>
    <xf numFmtId="49" fontId="23" fillId="3" borderId="6" xfId="0" applyNumberFormat="1" applyFont="1" applyFill="1" applyBorder="1" applyAlignment="1" applyProtection="1">
      <alignment horizontal="center" vertical="center" shrinkToFit="1"/>
      <protection locked="0"/>
    </xf>
    <xf numFmtId="49" fontId="23" fillId="3" borderId="20" xfId="0" applyNumberFormat="1" applyFont="1" applyFill="1" applyBorder="1" applyAlignment="1" applyProtection="1">
      <alignment horizontal="center" vertical="center" wrapText="1"/>
      <protection locked="0"/>
    </xf>
    <xf numFmtId="169" fontId="23" fillId="3" borderId="6" xfId="0" applyNumberFormat="1" applyFont="1" applyFill="1" applyBorder="1" applyAlignment="1" applyProtection="1">
      <alignment horizontal="center" vertical="center" wrapText="1" shrinkToFit="1"/>
      <protection locked="0"/>
    </xf>
    <xf numFmtId="49" fontId="23" fillId="3" borderId="9" xfId="0" applyNumberFormat="1" applyFont="1" applyFill="1" applyBorder="1" applyAlignment="1" applyProtection="1">
      <alignment horizontal="center" vertical="center" wrapText="1" shrinkToFit="1"/>
      <protection locked="0"/>
    </xf>
    <xf numFmtId="49" fontId="23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23" fillId="3" borderId="24" xfId="0" applyNumberFormat="1" applyFont="1" applyFill="1" applyBorder="1" applyAlignment="1" applyProtection="1">
      <alignment horizontal="center" vertical="center" wrapText="1"/>
      <protection locked="0"/>
    </xf>
    <xf numFmtId="169" fontId="23" fillId="3" borderId="41" xfId="0" applyNumberFormat="1" applyFont="1" applyFill="1" applyBorder="1" applyAlignment="1" applyProtection="1">
      <alignment horizontal="center" vertical="center" wrapText="1" shrinkToFit="1"/>
      <protection locked="0"/>
    </xf>
    <xf numFmtId="49" fontId="23" fillId="3" borderId="17" xfId="0" applyNumberFormat="1" applyFont="1" applyFill="1" applyBorder="1" applyAlignment="1" applyProtection="1">
      <alignment horizontal="center" vertical="center" wrapText="1" shrinkToFit="1"/>
      <protection locked="0"/>
    </xf>
    <xf numFmtId="169" fontId="23" fillId="5" borderId="6" xfId="0" applyNumberFormat="1" applyFont="1" applyFill="1" applyBorder="1" applyAlignment="1" applyProtection="1">
      <alignment horizontal="center" vertical="center" wrapText="1" shrinkToFit="1"/>
    </xf>
    <xf numFmtId="49" fontId="55" fillId="0" borderId="14" xfId="0" applyNumberFormat="1" applyFont="1" applyFill="1" applyBorder="1" applyAlignment="1" applyProtection="1">
      <alignment horizontal="center" vertical="center" shrinkToFit="1"/>
    </xf>
    <xf numFmtId="169" fontId="56" fillId="0" borderId="6" xfId="0" applyNumberFormat="1" applyFont="1" applyBorder="1" applyAlignment="1" applyProtection="1">
      <alignment horizontal="center" vertical="center"/>
    </xf>
    <xf numFmtId="169" fontId="56" fillId="3" borderId="6" xfId="0" applyNumberFormat="1" applyFont="1" applyFill="1" applyBorder="1" applyAlignment="1" applyProtection="1">
      <alignment horizontal="center" vertical="center" shrinkToFit="1"/>
      <protection locked="0"/>
    </xf>
    <xf numFmtId="49" fontId="56" fillId="3" borderId="9" xfId="0" applyNumberFormat="1" applyFont="1" applyFill="1" applyBorder="1" applyAlignment="1" applyProtection="1">
      <alignment horizontal="center" vertical="center" wrapText="1" shrinkToFit="1"/>
      <protection locked="0"/>
    </xf>
    <xf numFmtId="169" fontId="56" fillId="3" borderId="41" xfId="0" applyNumberFormat="1" applyFont="1" applyFill="1" applyBorder="1" applyAlignment="1" applyProtection="1">
      <alignment horizontal="center" vertical="center" shrinkToFit="1"/>
      <protection locked="0"/>
    </xf>
    <xf numFmtId="169" fontId="56" fillId="0" borderId="41" xfId="0" applyNumberFormat="1" applyFont="1" applyBorder="1" applyAlignment="1" applyProtection="1">
      <alignment horizontal="center" vertical="center"/>
    </xf>
    <xf numFmtId="49" fontId="56" fillId="3" borderId="17" xfId="0" applyNumberFormat="1" applyFont="1" applyFill="1" applyBorder="1" applyAlignment="1" applyProtection="1">
      <alignment horizontal="center" vertical="center" wrapText="1" shrinkToFit="1"/>
      <protection locked="0"/>
    </xf>
    <xf numFmtId="49" fontId="23" fillId="0" borderId="140" xfId="0" applyNumberFormat="1" applyFont="1" applyFill="1" applyBorder="1" applyAlignment="1" applyProtection="1">
      <alignment horizontal="center" vertical="center" shrinkToFit="1"/>
      <protection locked="0"/>
    </xf>
    <xf numFmtId="175" fontId="23" fillId="3" borderId="140" xfId="0" applyNumberFormat="1" applyFont="1" applyFill="1" applyBorder="1" applyAlignment="1" applyProtection="1">
      <alignment horizontal="right" wrapText="1" shrinkToFit="1"/>
      <protection locked="0"/>
    </xf>
    <xf numFmtId="172" fontId="23" fillId="0" borderId="199" xfId="0" applyNumberFormat="1" applyFont="1" applyFill="1" applyBorder="1" applyAlignment="1" applyProtection="1">
      <alignment vertical="center" wrapText="1" shrinkToFit="1"/>
    </xf>
    <xf numFmtId="172" fontId="23" fillId="0" borderId="210" xfId="0" applyNumberFormat="1" applyFont="1" applyFill="1" applyBorder="1" applyAlignment="1" applyProtection="1">
      <alignment vertical="center" wrapText="1" shrinkToFit="1"/>
    </xf>
    <xf numFmtId="49" fontId="29" fillId="0" borderId="211" xfId="0" applyNumberFormat="1" applyFont="1" applyFill="1" applyBorder="1" applyAlignment="1" applyProtection="1">
      <alignment horizontal="center" wrapText="1" shrinkToFit="1"/>
    </xf>
    <xf numFmtId="49" fontId="29" fillId="0" borderId="212" xfId="0" applyNumberFormat="1" applyFont="1" applyFill="1" applyBorder="1" applyAlignment="1" applyProtection="1">
      <alignment horizontal="center" wrapText="1" shrinkToFit="1"/>
    </xf>
    <xf numFmtId="183" fontId="23" fillId="0" borderId="199" xfId="0" applyNumberFormat="1" applyFont="1" applyFill="1" applyBorder="1" applyAlignment="1" applyProtection="1">
      <alignment horizontal="center" wrapText="1" shrinkToFit="1"/>
    </xf>
    <xf numFmtId="49" fontId="29" fillId="0" borderId="210" xfId="0" applyNumberFormat="1" applyFont="1" applyFill="1" applyBorder="1" applyAlignment="1" applyProtection="1">
      <alignment horizontal="center"/>
    </xf>
    <xf numFmtId="169" fontId="23" fillId="3" borderId="6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6" xfId="0" applyNumberFormat="1" applyFont="1" applyFill="1" applyBorder="1" applyAlignment="1" applyProtection="1">
      <alignment vertical="center" wrapText="1"/>
      <protection locked="0"/>
    </xf>
    <xf numFmtId="175" fontId="23" fillId="3" borderId="6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206" xfId="0" applyNumberFormat="1" applyFont="1" applyFill="1" applyBorder="1" applyAlignment="1" applyProtection="1">
      <alignment horizontal="right" wrapText="1" shrinkToFit="1"/>
      <protection locked="0"/>
    </xf>
    <xf numFmtId="169" fontId="23" fillId="0" borderId="206" xfId="0" applyNumberFormat="1" applyFont="1" applyFill="1" applyBorder="1" applyAlignment="1" applyProtection="1">
      <alignment horizontal="right" wrapText="1" shrinkToFit="1"/>
    </xf>
    <xf numFmtId="169" fontId="23" fillId="3" borderId="213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14" xfId="0" applyNumberFormat="1" applyFont="1" applyFill="1" applyBorder="1" applyAlignment="1" applyProtection="1">
      <alignment wrapText="1" shrinkToFit="1"/>
      <protection locked="0"/>
    </xf>
    <xf numFmtId="169" fontId="29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" xfId="0" applyNumberFormat="1" applyFont="1" applyFill="1" applyBorder="1" applyAlignment="1" applyProtection="1">
      <alignment horizontal="left" vertical="center" wrapText="1" indent="1"/>
      <protection locked="0"/>
    </xf>
    <xf numFmtId="49" fontId="23" fillId="3" borderId="14" xfId="0" applyNumberFormat="1" applyFont="1" applyFill="1" applyBorder="1" applyAlignment="1" applyProtection="1">
      <alignment vertical="center" wrapText="1" shrinkToFit="1"/>
      <protection locked="0"/>
    </xf>
    <xf numFmtId="49" fontId="23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" xfId="0" applyNumberFormat="1" applyFont="1" applyFill="1" applyBorder="1" applyAlignment="1" applyProtection="1">
      <alignment horizontal="left" wrapText="1" shrinkToFit="1"/>
      <protection locked="0"/>
    </xf>
    <xf numFmtId="49" fontId="29" fillId="3" borderId="6" xfId="0" applyNumberFormat="1" applyFont="1" applyFill="1" applyBorder="1" applyAlignment="1" applyProtection="1">
      <alignment vertical="center" wrapText="1"/>
      <protection locked="0"/>
    </xf>
    <xf numFmtId="49" fontId="29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214" xfId="0" applyNumberFormat="1" applyFont="1" applyFill="1" applyBorder="1" applyAlignment="1" applyProtection="1">
      <alignment horizontal="left"/>
      <protection locked="0"/>
    </xf>
    <xf numFmtId="49" fontId="29" fillId="4" borderId="215" xfId="0" applyNumberFormat="1" applyFont="1" applyFill="1" applyBorder="1" applyAlignment="1" applyProtection="1">
      <alignment horizontal="right" wrapText="1" shrinkToFit="1"/>
      <protection locked="0"/>
    </xf>
    <xf numFmtId="49" fontId="29" fillId="4" borderId="206" xfId="0" applyNumberFormat="1" applyFont="1" applyFill="1" applyBorder="1" applyAlignment="1" applyProtection="1">
      <alignment vertical="center"/>
      <protection locked="0"/>
    </xf>
    <xf numFmtId="169" fontId="29" fillId="3" borderId="206" xfId="0" applyNumberFormat="1" applyFont="1" applyFill="1" applyBorder="1" applyAlignment="1" applyProtection="1">
      <alignment horizontal="right" wrapText="1" shrinkToFit="1"/>
      <protection locked="0"/>
    </xf>
    <xf numFmtId="49" fontId="29" fillId="4" borderId="214" xfId="0" applyNumberFormat="1" applyFont="1" applyFill="1" applyBorder="1" applyAlignment="1" applyProtection="1">
      <alignment horizontal="left" wrapText="1" shrinkToFit="1"/>
      <protection locked="0"/>
    </xf>
    <xf numFmtId="49" fontId="29" fillId="4" borderId="206" xfId="0" applyNumberFormat="1" applyFont="1" applyFill="1" applyBorder="1" applyAlignment="1" applyProtection="1">
      <alignment horizontal="left" wrapText="1" shrinkToFit="1"/>
      <protection locked="0"/>
    </xf>
    <xf numFmtId="0" fontId="29" fillId="3" borderId="206" xfId="0" applyNumberFormat="1" applyFont="1" applyFill="1" applyBorder="1" applyAlignment="1" applyProtection="1">
      <alignment horizontal="right" wrapText="1" shrinkToFit="1"/>
      <protection locked="0"/>
    </xf>
    <xf numFmtId="0" fontId="29" fillId="3" borderId="206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6" xfId="0" applyNumberFormat="1" applyFont="1" applyFill="1" applyBorder="1" applyAlignment="1" applyProtection="1">
      <alignment horizontal="left" wrapText="1" shrinkToFit="1"/>
      <protection locked="0"/>
    </xf>
    <xf numFmtId="0" fontId="29" fillId="3" borderId="6" xfId="0" applyNumberFormat="1" applyFont="1" applyFill="1" applyBorder="1" applyAlignment="1" applyProtection="1">
      <alignment vertical="center" wrapText="1"/>
      <protection locked="0"/>
    </xf>
    <xf numFmtId="49" fontId="29" fillId="4" borderId="216" xfId="0" applyNumberFormat="1" applyFont="1" applyFill="1" applyBorder="1" applyAlignment="1" applyProtection="1">
      <alignment horizontal="left" vertical="center"/>
      <protection locked="0"/>
    </xf>
    <xf numFmtId="175" fontId="23" fillId="3" borderId="206" xfId="0" applyNumberFormat="1" applyFont="1" applyFill="1" applyBorder="1" applyAlignment="1" applyProtection="1">
      <alignment horizontal="right" shrinkToFit="1"/>
      <protection locked="0"/>
    </xf>
    <xf numFmtId="175" fontId="23" fillId="3" borderId="20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" xfId="0" applyNumberFormat="1" applyFont="1" applyFill="1" applyBorder="1" applyAlignment="1" applyProtection="1">
      <alignment horizontal="left" vertical="center" wrapText="1"/>
      <protection locked="0"/>
    </xf>
    <xf numFmtId="49" fontId="29" fillId="4" borderId="217" xfId="0" applyNumberFormat="1" applyFont="1" applyFill="1" applyBorder="1" applyAlignment="1" applyProtection="1">
      <alignment horizontal="left" vertical="center"/>
      <protection locked="0"/>
    </xf>
    <xf numFmtId="14" fontId="29" fillId="3" borderId="218" xfId="0" applyNumberFormat="1" applyFont="1" applyFill="1" applyBorder="1" applyAlignment="1" applyProtection="1">
      <alignment horizontal="left" vertical="center"/>
      <protection locked="0"/>
    </xf>
    <xf numFmtId="0" fontId="29" fillId="3" borderId="218" xfId="0" applyNumberFormat="1" applyFont="1" applyFill="1" applyBorder="1" applyAlignment="1" applyProtection="1">
      <alignment horizontal="left" vertical="center"/>
      <protection locked="0"/>
    </xf>
    <xf numFmtId="0" fontId="29" fillId="3" borderId="218" xfId="0" applyNumberFormat="1" applyFont="1" applyFill="1" applyBorder="1" applyAlignment="1" applyProtection="1">
      <alignment horizontal="left" vertical="center" wrapText="1"/>
      <protection locked="0"/>
    </xf>
    <xf numFmtId="0" fontId="29" fillId="3" borderId="218" xfId="0" applyNumberFormat="1" applyFont="1" applyFill="1" applyBorder="1" applyAlignment="1" applyProtection="1">
      <alignment vertical="center" wrapText="1"/>
      <protection locked="0"/>
    </xf>
    <xf numFmtId="173" fontId="29" fillId="3" borderId="218" xfId="0" applyNumberFormat="1" applyFont="1" applyFill="1" applyBorder="1" applyAlignment="1" applyProtection="1">
      <alignment horizontal="right" shrinkToFit="1"/>
      <protection locked="0"/>
    </xf>
    <xf numFmtId="49" fontId="29" fillId="3" borderId="218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219" xfId="0" applyNumberFormat="1" applyFont="1" applyFill="1" applyBorder="1" applyAlignment="1" applyProtection="1">
      <alignment horizontal="center" vertical="center"/>
      <protection locked="0"/>
    </xf>
    <xf numFmtId="173" fontId="29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217" xfId="0" applyNumberFormat="1" applyFont="1" applyFill="1" applyBorder="1" applyAlignment="1" applyProtection="1">
      <alignment horizontal="left" vertical="center" wrapText="1"/>
      <protection locked="0"/>
    </xf>
    <xf numFmtId="175" fontId="23" fillId="3" borderId="218" xfId="0" applyNumberFormat="1" applyFont="1" applyFill="1" applyBorder="1" applyAlignment="1" applyProtection="1">
      <alignment horizontal="center" vertical="center" wrapText="1" shrinkToFit="1"/>
      <protection locked="0"/>
    </xf>
    <xf numFmtId="49" fontId="29" fillId="3" borderId="219" xfId="0" applyNumberFormat="1" applyFont="1" applyFill="1" applyBorder="1" applyAlignment="1" applyProtection="1">
      <alignment wrapText="1" shrinkToFit="1"/>
      <protection locked="0"/>
    </xf>
    <xf numFmtId="175" fontId="23" fillId="3" borderId="20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" xfId="0" applyNumberFormat="1" applyFont="1" applyFill="1" applyBorder="1" applyAlignment="1" applyProtection="1">
      <alignment wrapText="1" shrinkToFit="1"/>
      <protection locked="0"/>
    </xf>
    <xf numFmtId="0" fontId="29" fillId="3" borderId="20" xfId="0" applyNumberFormat="1" applyFont="1" applyFill="1" applyBorder="1" applyAlignment="1" applyProtection="1">
      <alignment vertical="center" wrapText="1"/>
      <protection locked="0"/>
    </xf>
    <xf numFmtId="175" fontId="23" fillId="3" borderId="220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221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113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222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217" xfId="0" applyNumberFormat="1" applyFont="1" applyFill="1" applyBorder="1" applyAlignment="1" applyProtection="1">
      <alignment wrapText="1" shrinkToFit="1"/>
      <protection locked="0"/>
    </xf>
    <xf numFmtId="175" fontId="23" fillId="3" borderId="218" xfId="0" applyNumberFormat="1" applyFont="1" applyFill="1" applyBorder="1" applyAlignment="1" applyProtection="1">
      <alignment horizontal="right" wrapText="1" shrinkToFit="1"/>
      <protection locked="0"/>
    </xf>
    <xf numFmtId="0" fontId="29" fillId="3" borderId="218" xfId="0" applyNumberFormat="1" applyFont="1" applyFill="1" applyBorder="1" applyAlignment="1" applyProtection="1">
      <alignment horizontal="center" vertical="center" wrapText="1"/>
      <protection locked="0"/>
    </xf>
    <xf numFmtId="49" fontId="29" fillId="3" borderId="219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23" fillId="3" borderId="14" xfId="0" applyNumberFormat="1" applyFont="1" applyFill="1" applyBorder="1" applyAlignment="1" applyProtection="1">
      <alignment horizontal="left" wrapText="1" shrinkToFit="1"/>
      <protection locked="0"/>
    </xf>
    <xf numFmtId="49" fontId="23" fillId="3" borderId="6" xfId="0" applyNumberFormat="1" applyFont="1" applyFill="1" applyBorder="1" applyAlignment="1" applyProtection="1">
      <alignment horizontal="left" wrapText="1" shrinkToFit="1"/>
      <protection locked="0"/>
    </xf>
    <xf numFmtId="49" fontId="23" fillId="3" borderId="6" xfId="0" applyNumberFormat="1" applyFont="1" applyFill="1" applyBorder="1" applyAlignment="1" applyProtection="1">
      <alignment wrapText="1" shrinkToFit="1"/>
      <protection locked="0"/>
    </xf>
    <xf numFmtId="49" fontId="23" fillId="3" borderId="20" xfId="0" applyNumberFormat="1" applyFont="1" applyFill="1" applyBorder="1" applyAlignment="1" applyProtection="1">
      <alignment vertical="center" wrapText="1"/>
      <protection locked="0"/>
    </xf>
    <xf numFmtId="49" fontId="29" fillId="3" borderId="217" xfId="0" applyNumberFormat="1" applyFont="1" applyFill="1" applyBorder="1" applyAlignment="1" applyProtection="1">
      <alignment horizontal="left" vertical="center" shrinkToFit="1"/>
      <protection locked="0"/>
    </xf>
    <xf numFmtId="0" fontId="29" fillId="0" borderId="218" xfId="0" applyNumberFormat="1" applyFont="1" applyFill="1" applyBorder="1" applyAlignment="1" applyProtection="1">
      <alignment horizontal="left" vertical="center" shrinkToFit="1"/>
    </xf>
    <xf numFmtId="14" fontId="29" fillId="0" borderId="218" xfId="0" applyNumberFormat="1" applyFont="1" applyFill="1" applyBorder="1" applyAlignment="1" applyProtection="1">
      <alignment horizontal="left" vertical="center" shrinkToFit="1"/>
    </xf>
    <xf numFmtId="175" fontId="23" fillId="3" borderId="218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219" xfId="0" applyNumberFormat="1" applyFont="1" applyFill="1" applyBorder="1" applyAlignment="1" applyProtection="1">
      <alignment horizontal="right" vertical="center" wrapText="1" shrinkToFit="1"/>
      <protection locked="0"/>
    </xf>
    <xf numFmtId="49" fontId="23" fillId="3" borderId="14" xfId="0" applyNumberFormat="1" applyFont="1" applyFill="1" applyBorder="1" applyAlignment="1" applyProtection="1">
      <alignment vertical="center" wrapText="1"/>
      <protection locked="0"/>
    </xf>
    <xf numFmtId="14" fontId="23" fillId="3" borderId="6" xfId="0" applyNumberFormat="1" applyFont="1" applyFill="1" applyBorder="1" applyAlignment="1" applyProtection="1">
      <alignment vertical="center" wrapText="1"/>
      <protection locked="0"/>
    </xf>
    <xf numFmtId="0" fontId="23" fillId="3" borderId="6" xfId="0" applyNumberFormat="1" applyFont="1" applyFill="1" applyBorder="1" applyAlignment="1" applyProtection="1">
      <alignment vertical="center" wrapText="1"/>
      <protection locked="0"/>
    </xf>
    <xf numFmtId="175" fontId="23" fillId="3" borderId="6" xfId="0" applyNumberFormat="1" applyFont="1" applyFill="1" applyBorder="1" applyAlignment="1" applyProtection="1">
      <alignment horizontal="right" vertical="center" wrapText="1"/>
      <protection locked="0"/>
    </xf>
    <xf numFmtId="49" fontId="29" fillId="3" borderId="6" xfId="0" applyNumberFormat="1" applyFont="1" applyFill="1" applyBorder="1" applyAlignment="1" applyProtection="1">
      <alignment horizontal="left" vertical="top" wrapText="1"/>
      <protection locked="0"/>
    </xf>
    <xf numFmtId="175" fontId="29" fillId="3" borderId="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4" xfId="0" applyNumberFormat="1" applyFont="1" applyFill="1" applyBorder="1" applyAlignment="1" applyProtection="1">
      <alignment horizontal="left" vertical="top" wrapText="1"/>
      <protection locked="0"/>
    </xf>
    <xf numFmtId="175" fontId="23" fillId="3" borderId="206" xfId="0" applyNumberFormat="1" applyFont="1" applyFill="1" applyBorder="1" applyAlignment="1" applyProtection="1">
      <alignment horizontal="right" wrapText="1" shrinkToFit="1"/>
      <protection locked="0"/>
    </xf>
    <xf numFmtId="175" fontId="29" fillId="3" borderId="132" xfId="0" applyNumberFormat="1" applyFont="1" applyFill="1" applyBorder="1" applyAlignment="1" applyProtection="1">
      <alignment horizontal="center" vertical="center" wrapText="1" shrinkToFit="1"/>
      <protection locked="0"/>
    </xf>
    <xf numFmtId="172" fontId="23" fillId="0" borderId="223" xfId="0" applyNumberFormat="1" applyFont="1" applyFill="1" applyBorder="1" applyAlignment="1" applyProtection="1">
      <alignment vertical="center" wrapText="1" shrinkToFit="1"/>
    </xf>
    <xf numFmtId="172" fontId="23" fillId="0" borderId="210" xfId="0" applyNumberFormat="1" applyFont="1" applyFill="1" applyBorder="1" applyAlignment="1" applyProtection="1">
      <alignment vertical="center" shrinkToFit="1"/>
    </xf>
    <xf numFmtId="172" fontId="23" fillId="0" borderId="224" xfId="0" applyNumberFormat="1" applyFont="1" applyFill="1" applyBorder="1" applyAlignment="1" applyProtection="1">
      <alignment vertical="center" shrinkToFit="1"/>
    </xf>
    <xf numFmtId="166" fontId="23" fillId="0" borderId="9" xfId="0" applyNumberFormat="1" applyFont="1" applyBorder="1" applyAlignment="1" applyProtection="1">
      <alignment horizontal="right" vertical="center"/>
    </xf>
    <xf numFmtId="166" fontId="24" fillId="0" borderId="9" xfId="0" applyNumberFormat="1" applyFont="1" applyBorder="1" applyAlignment="1" applyProtection="1">
      <alignment horizontal="right" vertical="center"/>
    </xf>
    <xf numFmtId="166" fontId="23" fillId="0" borderId="17" xfId="0" applyNumberFormat="1" applyFont="1" applyBorder="1" applyAlignment="1" applyProtection="1">
      <alignment horizontal="right" vertical="center"/>
    </xf>
    <xf numFmtId="166" fontId="23" fillId="0" borderId="225" xfId="0" applyNumberFormat="1" applyFont="1" applyFill="1" applyBorder="1" applyProtection="1"/>
    <xf numFmtId="175" fontId="23" fillId="3" borderId="226" xfId="0" applyNumberFormat="1" applyFont="1" applyFill="1" applyBorder="1" applyAlignment="1" applyProtection="1">
      <alignment horizontal="center" vertical="center" wrapText="1" shrinkToFit="1"/>
      <protection locked="0"/>
    </xf>
    <xf numFmtId="49" fontId="25" fillId="6" borderId="102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right"/>
    </xf>
    <xf numFmtId="0" fontId="29" fillId="11" borderId="132" xfId="0" applyNumberFormat="1" applyFont="1" applyFill="1" applyBorder="1" applyAlignment="1" applyProtection="1">
      <alignment horizontal="left" vertical="center" wrapText="1"/>
    </xf>
    <xf numFmtId="175" fontId="29" fillId="3" borderId="132" xfId="0" applyNumberFormat="1" applyFont="1" applyFill="1" applyBorder="1" applyAlignment="1" applyProtection="1">
      <alignment horizontal="center" vertical="center" wrapText="1"/>
      <protection locked="0"/>
    </xf>
    <xf numFmtId="175" fontId="29" fillId="0" borderId="132" xfId="0" applyNumberFormat="1" applyFont="1" applyBorder="1" applyAlignment="1" applyProtection="1">
      <alignment horizontal="center" vertical="center"/>
    </xf>
    <xf numFmtId="175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173" fontId="29" fillId="3" borderId="6" xfId="0" applyNumberFormat="1" applyFont="1" applyFill="1" applyBorder="1" applyAlignment="1" applyProtection="1">
      <alignment horizontal="left" vertical="center" wrapText="1" shrinkToFit="1"/>
      <protection locked="0"/>
    </xf>
    <xf numFmtId="175" fontId="29" fillId="3" borderId="136" xfId="0" applyNumberFormat="1" applyFont="1" applyFill="1" applyBorder="1" applyAlignment="1" applyProtection="1">
      <alignment horizontal="left" vertical="center" wrapText="1"/>
      <protection locked="0"/>
    </xf>
    <xf numFmtId="169" fontId="23" fillId="3" borderId="16" xfId="0" applyNumberFormat="1" applyFont="1" applyFill="1" applyBorder="1" applyAlignment="1" applyProtection="1">
      <alignment horizontal="right" wrapText="1" shrinkToFit="1"/>
      <protection locked="0"/>
    </xf>
    <xf numFmtId="0" fontId="0" fillId="16" borderId="0" xfId="0" applyFill="1" applyAlignment="1">
      <alignment horizontal="center" vertical="center"/>
    </xf>
    <xf numFmtId="0" fontId="93" fillId="13" borderId="171" xfId="0" applyFont="1" applyFill="1" applyBorder="1" applyAlignment="1">
      <alignment horizontal="left" vertical="center" wrapText="1"/>
    </xf>
    <xf numFmtId="0" fontId="94" fillId="0" borderId="227" xfId="0" applyFont="1" applyBorder="1" applyAlignment="1">
      <alignment horizontal="left" vertical="center" wrapText="1"/>
    </xf>
    <xf numFmtId="0" fontId="94" fillId="0" borderId="228" xfId="0" applyFont="1" applyBorder="1" applyAlignment="1">
      <alignment horizontal="left" vertical="center" wrapText="1"/>
    </xf>
    <xf numFmtId="0" fontId="0" fillId="16" borderId="0" xfId="0" applyFill="1" applyAlignment="1">
      <alignment horizontal="left" vertical="center" wrapText="1"/>
    </xf>
    <xf numFmtId="0" fontId="93" fillId="13" borderId="229" xfId="0" applyFont="1" applyFill="1" applyBorder="1" applyAlignment="1">
      <alignment horizontal="left" vertical="center" wrapText="1"/>
    </xf>
    <xf numFmtId="0" fontId="94" fillId="0" borderId="230" xfId="0" applyFont="1" applyBorder="1" applyAlignment="1">
      <alignment horizontal="left" vertical="center" wrapText="1"/>
    </xf>
    <xf numFmtId="0" fontId="94" fillId="0" borderId="231" xfId="0" applyFont="1" applyBorder="1" applyAlignment="1">
      <alignment horizontal="left" vertical="center" wrapText="1"/>
    </xf>
    <xf numFmtId="0" fontId="0" fillId="16" borderId="0" xfId="0" applyFill="1" applyAlignment="1">
      <alignment horizontal="center" vertical="center" wrapText="1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vertical="center" wrapText="1"/>
    </xf>
    <xf numFmtId="0" fontId="44" fillId="0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175" fontId="65" fillId="0" borderId="6" xfId="0" applyNumberFormat="1" applyFont="1" applyFill="1" applyBorder="1" applyAlignment="1" applyProtection="1">
      <alignment horizontal="center" vertical="center" wrapText="1" shrinkToFit="1"/>
    </xf>
    <xf numFmtId="175" fontId="23" fillId="0" borderId="136" xfId="0" applyNumberFormat="1" applyFont="1" applyFill="1" applyBorder="1" applyAlignment="1" applyProtection="1">
      <alignment horizontal="right" wrapText="1" shrinkToFit="1"/>
    </xf>
    <xf numFmtId="175" fontId="23" fillId="0" borderId="136" xfId="0" applyNumberFormat="1" applyFont="1" applyFill="1" applyBorder="1" applyAlignment="1" applyProtection="1">
      <alignment horizontal="right" vertical="center" wrapText="1" shrinkToFit="1"/>
    </xf>
    <xf numFmtId="175" fontId="23" fillId="0" borderId="132" xfId="0" applyNumberFormat="1" applyFont="1" applyFill="1" applyBorder="1" applyAlignment="1" applyProtection="1">
      <alignment horizontal="right" wrapText="1" shrinkToFit="1"/>
    </xf>
    <xf numFmtId="49" fontId="29" fillId="3" borderId="150" xfId="0" applyNumberFormat="1" applyFont="1" applyFill="1" applyBorder="1" applyAlignment="1" applyProtection="1">
      <alignment vertical="center" wrapText="1"/>
      <protection locked="0"/>
    </xf>
    <xf numFmtId="0" fontId="90" fillId="3" borderId="132" xfId="0" applyNumberFormat="1" applyFont="1" applyFill="1" applyBorder="1" applyAlignment="1" applyProtection="1">
      <alignment horizontal="center" vertical="center" wrapText="1"/>
      <protection locked="0"/>
    </xf>
    <xf numFmtId="0" fontId="23" fillId="3" borderId="132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132" xfId="0" applyNumberFormat="1" applyFont="1" applyFill="1" applyBorder="1" applyAlignment="1" applyProtection="1">
      <alignment horizontal="center" vertical="center" wrapText="1" shrinkToFit="1"/>
    </xf>
    <xf numFmtId="49" fontId="29" fillId="3" borderId="151" xfId="0" applyNumberFormat="1" applyFont="1" applyFill="1" applyBorder="1" applyAlignment="1" applyProtection="1">
      <alignment horizontal="center" vertical="center" wrapText="1" shrinkToFit="1"/>
      <protection locked="0"/>
    </xf>
    <xf numFmtId="49" fontId="29" fillId="3" borderId="16" xfId="0" applyNumberFormat="1" applyFont="1" applyFill="1" applyBorder="1" applyAlignment="1" applyProtection="1">
      <alignment horizontal="left" vertical="center" wrapText="1" indent="1"/>
      <protection locked="0"/>
    </xf>
    <xf numFmtId="14" fontId="21" fillId="3" borderId="26" xfId="0" applyNumberFormat="1" applyFont="1" applyFill="1" applyBorder="1" applyAlignment="1" applyProtection="1">
      <alignment horizontal="left" vertical="center" wrapText="1"/>
      <protection locked="0"/>
    </xf>
    <xf numFmtId="173" fontId="29" fillId="3" borderId="6" xfId="0" applyNumberFormat="1" applyFont="1" applyFill="1" applyBorder="1" applyAlignment="1" applyProtection="1">
      <alignment horizontal="right" wrapText="1" shrinkToFit="1"/>
      <protection locked="0"/>
    </xf>
    <xf numFmtId="173" fontId="29" fillId="3" borderId="136" xfId="0" applyNumberFormat="1" applyFont="1" applyFill="1" applyBorder="1" applyAlignment="1" applyProtection="1">
      <alignment horizontal="left" vertical="center" wrapText="1" shrinkToFit="1"/>
      <protection locked="0"/>
    </xf>
    <xf numFmtId="173" fontId="29" fillId="3" borderId="132" xfId="0" applyNumberFormat="1" applyFont="1" applyFill="1" applyBorder="1" applyAlignment="1" applyProtection="1">
      <alignment horizontal="left" vertical="center" wrapText="1" shrinkToFit="1"/>
      <protection locked="0"/>
    </xf>
    <xf numFmtId="175" fontId="23" fillId="0" borderId="132" xfId="0" applyNumberFormat="1" applyFont="1" applyBorder="1" applyAlignment="1" applyProtection="1">
      <alignment horizontal="center" vertical="center"/>
    </xf>
    <xf numFmtId="49" fontId="29" fillId="3" borderId="135" xfId="0" applyNumberFormat="1" applyFont="1" applyFill="1" applyBorder="1" applyAlignment="1" applyProtection="1">
      <alignment horizontal="center" vertical="center" wrapText="1"/>
      <protection locked="0"/>
    </xf>
    <xf numFmtId="49" fontId="29" fillId="3" borderId="150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36" xfId="0" applyNumberFormat="1" applyFont="1" applyFill="1" applyBorder="1" applyAlignment="1" applyProtection="1">
      <alignment horizontal="left" vertical="center" shrinkToFit="1"/>
    </xf>
    <xf numFmtId="49" fontId="29" fillId="3" borderId="16" xfId="0" applyNumberFormat="1" applyFont="1" applyFill="1" applyBorder="1" applyAlignment="1" applyProtection="1">
      <alignment horizontal="left" vertical="top" wrapText="1"/>
      <protection locked="0"/>
    </xf>
    <xf numFmtId="49" fontId="29" fillId="3" borderId="41" xfId="0" applyNumberFormat="1" applyFont="1" applyFill="1" applyBorder="1" applyAlignment="1" applyProtection="1">
      <alignment horizontal="left" vertical="top" wrapText="1"/>
      <protection locked="0"/>
    </xf>
    <xf numFmtId="175" fontId="29" fillId="3" borderId="132" xfId="0" applyNumberFormat="1" applyFont="1" applyFill="1" applyBorder="1" applyAlignment="1" applyProtection="1">
      <alignment horizontal="right" vertical="center" wrapText="1" shrinkToFit="1"/>
      <protection locked="0"/>
    </xf>
    <xf numFmtId="175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0" fontId="29" fillId="0" borderId="41" xfId="0" applyNumberFormat="1" applyFont="1" applyFill="1" applyBorder="1" applyAlignment="1" applyProtection="1">
      <alignment horizontal="left" vertical="center" wrapText="1"/>
    </xf>
    <xf numFmtId="49" fontId="29" fillId="3" borderId="17" xfId="0" applyNumberFormat="1" applyFont="1" applyFill="1" applyBorder="1" applyAlignment="1" applyProtection="1">
      <alignment horizontal="left" vertical="top" wrapText="1" indent="2"/>
      <protection locked="0"/>
    </xf>
    <xf numFmtId="0" fontId="29" fillId="0" borderId="41" xfId="0" applyNumberFormat="1" applyFont="1" applyFill="1" applyBorder="1" applyAlignment="1" applyProtection="1">
      <alignment horizontal="left" vertical="top" wrapText="1"/>
    </xf>
    <xf numFmtId="0" fontId="29" fillId="3" borderId="136" xfId="0" applyNumberFormat="1" applyFont="1" applyFill="1" applyBorder="1" applyAlignment="1" applyProtection="1">
      <alignment horizontal="left" vertical="center"/>
      <protection locked="0"/>
    </xf>
    <xf numFmtId="49" fontId="29" fillId="3" borderId="150" xfId="0" applyNumberFormat="1" applyFont="1" applyFill="1" applyBorder="1" applyAlignment="1" applyProtection="1">
      <alignment vertical="center"/>
      <protection locked="0"/>
    </xf>
    <xf numFmtId="169" fontId="23" fillId="3" borderId="236" xfId="0" applyNumberFormat="1" applyFont="1" applyFill="1" applyBorder="1" applyAlignment="1" applyProtection="1">
      <alignment horizontal="right"/>
      <protection locked="0"/>
    </xf>
    <xf numFmtId="169" fontId="23" fillId="3" borderId="237" xfId="0" applyNumberFormat="1" applyFont="1" applyFill="1" applyBorder="1" applyAlignment="1" applyProtection="1">
      <alignment horizontal="right"/>
      <protection locked="0"/>
    </xf>
    <xf numFmtId="0" fontId="27" fillId="0" borderId="0" xfId="0" applyFont="1" applyProtection="1"/>
    <xf numFmtId="0" fontId="0" fillId="0" borderId="0" xfId="0" applyFill="1" applyAlignment="1" applyProtection="1">
      <alignment vertical="center"/>
    </xf>
    <xf numFmtId="0" fontId="0" fillId="0" borderId="0" xfId="0" applyFill="1" applyProtection="1"/>
    <xf numFmtId="0" fontId="0" fillId="0" borderId="0" xfId="0" applyAlignment="1" applyProtection="1">
      <alignment wrapText="1"/>
    </xf>
    <xf numFmtId="0" fontId="66" fillId="0" borderId="0" xfId="0" applyFont="1" applyFill="1" applyAlignment="1" applyProtection="1">
      <alignment horizontal="center" vertical="center"/>
    </xf>
    <xf numFmtId="49" fontId="65" fillId="3" borderId="238" xfId="0" applyNumberFormat="1" applyFont="1" applyFill="1" applyBorder="1" applyAlignment="1" applyProtection="1">
      <alignment horizontal="center" vertical="center" wrapText="1" shrinkToFit="1"/>
    </xf>
    <xf numFmtId="0" fontId="0" fillId="0" borderId="0" xfId="0" quotePrefix="1" applyFill="1" applyProtection="1"/>
    <xf numFmtId="0" fontId="64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Fill="1" applyAlignment="1" applyProtection="1">
      <alignment vertical="center"/>
    </xf>
    <xf numFmtId="172" fontId="0" fillId="0" borderId="0" xfId="0" applyNumberFormat="1" applyAlignment="1" applyProtection="1">
      <alignment horizontal="center" vertical="center"/>
    </xf>
    <xf numFmtId="0" fontId="97" fillId="0" borderId="0" xfId="0" applyFont="1" applyFill="1" applyBorder="1" applyAlignment="1" applyProtection="1">
      <alignment horizontal="left" vertical="center"/>
    </xf>
    <xf numFmtId="175" fontId="0" fillId="0" borderId="0" xfId="0" applyNumberFormat="1" applyProtection="1"/>
    <xf numFmtId="0" fontId="98" fillId="0" borderId="0" xfId="0" applyFont="1" applyProtection="1"/>
    <xf numFmtId="0" fontId="97" fillId="0" borderId="0" xfId="0" applyFont="1" applyProtection="1"/>
    <xf numFmtId="169" fontId="23" fillId="0" borderId="32" xfId="0" applyNumberFormat="1" applyFont="1" applyFill="1" applyBorder="1" applyAlignment="1" applyProtection="1">
      <alignment horizontal="center" vertical="center"/>
    </xf>
    <xf numFmtId="0" fontId="97" fillId="0" borderId="0" xfId="0" applyFont="1" applyFill="1" applyProtection="1"/>
    <xf numFmtId="169" fontId="23" fillId="0" borderId="0" xfId="0" applyNumberFormat="1" applyFont="1" applyFill="1" applyBorder="1" applyAlignment="1" applyProtection="1">
      <alignment horizontal="right" wrapText="1" shrinkToFit="1"/>
    </xf>
    <xf numFmtId="0" fontId="64" fillId="0" borderId="0" xfId="0" quotePrefix="1" applyFont="1" applyFill="1" applyAlignment="1" applyProtection="1">
      <alignment horizontal="center" vertical="center"/>
    </xf>
    <xf numFmtId="169" fontId="65" fillId="0" borderId="6" xfId="0" applyNumberFormat="1" applyFont="1" applyFill="1" applyBorder="1" applyAlignment="1" applyProtection="1">
      <alignment horizontal="center" vertical="center" wrapText="1" shrinkToFit="1"/>
    </xf>
    <xf numFmtId="0" fontId="0" fillId="0" borderId="0" xfId="0" quotePrefix="1" applyProtection="1"/>
    <xf numFmtId="49" fontId="65" fillId="0" borderId="9" xfId="0" applyNumberFormat="1" applyFont="1" applyFill="1" applyBorder="1" applyAlignment="1" applyProtection="1">
      <alignment horizontal="center" vertical="center" wrapText="1" shrinkToFit="1"/>
    </xf>
    <xf numFmtId="169" fontId="65" fillId="0" borderId="155" xfId="0" applyNumberFormat="1" applyFont="1" applyFill="1" applyBorder="1" applyAlignment="1" applyProtection="1">
      <alignment horizontal="center" vertical="center" wrapText="1" shrinkToFit="1"/>
    </xf>
    <xf numFmtId="169" fontId="65" fillId="0" borderId="9" xfId="0" applyNumberFormat="1" applyFont="1" applyFill="1" applyBorder="1" applyAlignment="1" applyProtection="1">
      <alignment horizontal="center" vertical="center" wrapText="1" shrinkToFit="1"/>
    </xf>
    <xf numFmtId="169" fontId="23" fillId="0" borderId="9" xfId="0" applyNumberFormat="1" applyFont="1" applyFill="1" applyBorder="1" applyAlignment="1" applyProtection="1">
      <alignment horizontal="center"/>
    </xf>
    <xf numFmtId="49" fontId="23" fillId="0" borderId="39" xfId="0" applyNumberFormat="1" applyFont="1" applyFill="1" applyBorder="1" applyAlignment="1" applyProtection="1">
      <alignment vertical="center" wrapText="1"/>
    </xf>
    <xf numFmtId="0" fontId="34" fillId="0" borderId="0" xfId="0" applyFont="1" applyProtection="1"/>
    <xf numFmtId="0" fontId="0" fillId="0" borderId="0" xfId="0" applyAlignment="1" applyProtection="1"/>
    <xf numFmtId="0" fontId="71" fillId="0" borderId="239" xfId="0" applyFont="1" applyFill="1" applyBorder="1" applyAlignment="1" applyProtection="1">
      <alignment horizontal="center" vertical="center" wrapText="1"/>
    </xf>
    <xf numFmtId="49" fontId="65" fillId="0" borderId="6" xfId="0" applyNumberFormat="1" applyFont="1" applyFill="1" applyBorder="1" applyAlignment="1" applyProtection="1">
      <alignment horizontal="center" vertical="center" wrapText="1" shrinkToFit="1"/>
    </xf>
    <xf numFmtId="0" fontId="57" fillId="0" borderId="239" xfId="0" applyFont="1" applyBorder="1" applyAlignment="1" applyProtection="1">
      <alignment horizontal="center" vertical="center" wrapText="1"/>
    </xf>
    <xf numFmtId="0" fontId="57" fillId="0" borderId="239" xfId="0" applyFont="1" applyBorder="1" applyAlignment="1" applyProtection="1">
      <alignment horizontal="left" wrapText="1"/>
    </xf>
    <xf numFmtId="0" fontId="57" fillId="0" borderId="240" xfId="0" applyFont="1" applyBorder="1" applyAlignment="1" applyProtection="1">
      <alignment horizontal="left" wrapText="1"/>
    </xf>
    <xf numFmtId="0" fontId="27" fillId="0" borderId="0" xfId="0" applyFont="1" applyAlignment="1" applyProtection="1"/>
    <xf numFmtId="169" fontId="75" fillId="0" borderId="6" xfId="0" applyNumberFormat="1" applyFont="1" applyFill="1" applyBorder="1" applyAlignment="1" applyProtection="1">
      <alignment horizontal="center" vertical="center" shrinkToFit="1"/>
    </xf>
    <xf numFmtId="0" fontId="0" fillId="0" borderId="0" xfId="0" applyAlignment="1" applyProtection="1">
      <alignment vertical="center" wrapText="1"/>
    </xf>
    <xf numFmtId="0" fontId="72" fillId="0" borderId="0" xfId="0" quotePrefix="1" applyFont="1" applyFill="1" applyAlignment="1" applyProtection="1">
      <alignment horizontal="center" vertical="center"/>
    </xf>
    <xf numFmtId="49" fontId="77" fillId="0" borderId="135" xfId="0" applyNumberFormat="1" applyFont="1" applyFill="1" applyBorder="1" applyAlignment="1" applyProtection="1">
      <alignment horizontal="center" vertical="center" wrapText="1"/>
    </xf>
    <xf numFmtId="169" fontId="72" fillId="0" borderId="136" xfId="0" applyNumberFormat="1" applyFont="1" applyFill="1" applyBorder="1" applyAlignment="1" applyProtection="1">
      <alignment horizontal="center" vertical="center" wrapText="1"/>
    </xf>
    <xf numFmtId="0" fontId="32" fillId="0" borderId="135" xfId="0" applyFont="1" applyFill="1" applyBorder="1" applyAlignment="1" applyProtection="1"/>
    <xf numFmtId="0" fontId="32" fillId="0" borderId="135" xfId="0" applyFont="1" applyFill="1" applyBorder="1" applyAlignment="1" applyProtection="1">
      <alignment vertical="center"/>
    </xf>
    <xf numFmtId="0" fontId="23" fillId="0" borderId="0" xfId="0" quotePrefix="1" applyFont="1" applyProtection="1"/>
    <xf numFmtId="169" fontId="65" fillId="0" borderId="135" xfId="0" applyNumberFormat="1" applyFont="1" applyFill="1" applyBorder="1" applyAlignment="1" applyProtection="1">
      <alignment horizontal="center" vertical="center"/>
    </xf>
    <xf numFmtId="49" fontId="78" fillId="0" borderId="241" xfId="0" applyNumberFormat="1" applyFont="1" applyFill="1" applyBorder="1" applyAlignment="1" applyProtection="1">
      <alignment horizontal="center" vertical="center"/>
    </xf>
    <xf numFmtId="49" fontId="78" fillId="0" borderId="242" xfId="0" applyNumberFormat="1" applyFont="1" applyFill="1" applyBorder="1" applyAlignment="1" applyProtection="1">
      <alignment horizontal="center" vertical="center"/>
    </xf>
    <xf numFmtId="169" fontId="65" fillId="0" borderId="134" xfId="0" applyNumberFormat="1" applyFont="1" applyFill="1" applyBorder="1" applyAlignment="1" applyProtection="1">
      <alignment horizontal="center" vertical="center" wrapText="1"/>
    </xf>
    <xf numFmtId="49" fontId="55" fillId="0" borderId="135" xfId="0" applyNumberFormat="1" applyFont="1" applyFill="1" applyBorder="1" applyAlignment="1" applyProtection="1"/>
    <xf numFmtId="49" fontId="56" fillId="0" borderId="136" xfId="0" applyNumberFormat="1" applyFont="1" applyFill="1" applyBorder="1" applyAlignment="1" applyProtection="1">
      <alignment horizontal="center" vertical="center"/>
    </xf>
    <xf numFmtId="0" fontId="16" fillId="0" borderId="0" xfId="0" quotePrefix="1" applyFont="1" applyProtection="1"/>
    <xf numFmtId="0" fontId="0" fillId="0" borderId="0" xfId="0" applyAlignment="1" applyProtection="1">
      <alignment horizontal="left"/>
    </xf>
    <xf numFmtId="169" fontId="65" fillId="0" borderId="136" xfId="0" applyNumberFormat="1" applyFont="1" applyFill="1" applyBorder="1" applyAlignment="1" applyProtection="1">
      <alignment horizontal="center" vertical="center" wrapText="1"/>
    </xf>
    <xf numFmtId="169" fontId="24" fillId="7" borderId="136" xfId="0" applyNumberFormat="1" applyFont="1" applyFill="1" applyBorder="1" applyAlignment="1" applyProtection="1">
      <alignment horizontal="center" vertical="center" wrapText="1"/>
    </xf>
    <xf numFmtId="169" fontId="24" fillId="7" borderId="140" xfId="0" applyNumberFormat="1" applyFont="1" applyFill="1" applyBorder="1" applyAlignment="1" applyProtection="1">
      <alignment horizontal="center" vertical="center" wrapText="1"/>
    </xf>
    <xf numFmtId="169" fontId="24" fillId="0" borderId="136" xfId="0" applyNumberFormat="1" applyFont="1" applyFill="1" applyBorder="1" applyAlignment="1" applyProtection="1">
      <alignment horizontal="center" vertical="center" wrapText="1"/>
    </xf>
    <xf numFmtId="169" fontId="24" fillId="0" borderId="132" xfId="0" applyNumberFormat="1" applyFont="1" applyFill="1" applyBorder="1" applyAlignment="1" applyProtection="1">
      <alignment horizontal="center" vertical="center" wrapText="1"/>
    </xf>
    <xf numFmtId="169" fontId="0" fillId="0" borderId="0" xfId="0" applyNumberFormat="1" applyProtection="1"/>
    <xf numFmtId="0" fontId="0" fillId="0" borderId="233" xfId="0" applyBorder="1" applyAlignment="1" applyProtection="1">
      <alignment wrapText="1"/>
    </xf>
    <xf numFmtId="0" fontId="0" fillId="0" borderId="243" xfId="0" applyBorder="1" applyAlignment="1" applyProtection="1">
      <alignment wrapText="1"/>
    </xf>
    <xf numFmtId="169" fontId="29" fillId="11" borderId="150" xfId="0" applyNumberFormat="1" applyFont="1" applyFill="1" applyBorder="1" applyAlignment="1" applyProtection="1">
      <alignment horizontal="left" wrapText="1" shrinkToFit="1"/>
    </xf>
    <xf numFmtId="49" fontId="73" fillId="0" borderId="244" xfId="0" applyNumberFormat="1" applyFont="1" applyFill="1" applyBorder="1" applyAlignment="1" applyProtection="1">
      <alignment horizontal="center" vertical="center"/>
    </xf>
    <xf numFmtId="0" fontId="25" fillId="6" borderId="235" xfId="0" applyNumberFormat="1" applyFont="1" applyFill="1" applyBorder="1" applyAlignment="1" applyProtection="1">
      <alignment horizontal="center" vertical="center" wrapText="1"/>
    </xf>
    <xf numFmtId="0" fontId="25" fillId="6" borderId="12" xfId="0" applyNumberFormat="1" applyFont="1" applyFill="1" applyBorder="1" applyAlignment="1" applyProtection="1">
      <alignment horizontal="center" vertical="center" wrapText="1"/>
    </xf>
    <xf numFmtId="0" fontId="25" fillId="6" borderId="108" xfId="0" applyNumberFormat="1" applyFont="1" applyFill="1" applyBorder="1" applyAlignment="1" applyProtection="1">
      <alignment horizontal="center" vertical="center" wrapText="1"/>
    </xf>
    <xf numFmtId="169" fontId="29" fillId="0" borderId="9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quotePrefix="1" applyFont="1" applyAlignment="1" applyProtection="1"/>
    <xf numFmtId="169" fontId="38" fillId="0" borderId="136" xfId="0" applyNumberFormat="1" applyFont="1" applyFill="1" applyBorder="1" applyAlignment="1" applyProtection="1">
      <alignment horizontal="right" wrapText="1" shrinkToFit="1"/>
    </xf>
    <xf numFmtId="169" fontId="23" fillId="0" borderId="9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0" fillId="0" borderId="245" xfId="0" applyBorder="1" applyProtection="1"/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/>
    <xf numFmtId="0" fontId="59" fillId="7" borderId="0" xfId="0" applyFont="1" applyFill="1" applyBorder="1" applyAlignment="1" applyProtection="1">
      <alignment horizontal="center" vertical="center"/>
    </xf>
    <xf numFmtId="0" fontId="59" fillId="7" borderId="0" xfId="0" applyFont="1" applyFill="1" applyBorder="1" applyAlignment="1" applyProtection="1">
      <alignment vertical="center"/>
    </xf>
    <xf numFmtId="49" fontId="77" fillId="0" borderId="136" xfId="0" applyNumberFormat="1" applyFont="1" applyFill="1" applyBorder="1" applyAlignment="1" applyProtection="1">
      <alignment horizontal="center" vertical="center" wrapText="1"/>
    </xf>
    <xf numFmtId="49" fontId="95" fillId="3" borderId="136" xfId="0" applyNumberFormat="1" applyFont="1" applyFill="1" applyBorder="1" applyAlignment="1" applyProtection="1">
      <alignment horizontal="left" vertical="center" wrapText="1"/>
      <protection locked="0"/>
    </xf>
    <xf numFmtId="14" fontId="95" fillId="3" borderId="136" xfId="0" applyNumberFormat="1" applyFont="1" applyFill="1" applyBorder="1" applyAlignment="1" applyProtection="1">
      <alignment horizontal="left" vertical="center" wrapText="1"/>
      <protection locked="0"/>
    </xf>
    <xf numFmtId="0" fontId="56" fillId="0" borderId="136" xfId="0" applyNumberFormat="1" applyFont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 wrapText="1"/>
    </xf>
    <xf numFmtId="49" fontId="78" fillId="0" borderId="26" xfId="0" applyNumberFormat="1" applyFont="1" applyFill="1" applyBorder="1" applyAlignment="1" applyProtection="1">
      <alignment horizontal="center" vertical="center" wrapText="1"/>
    </xf>
    <xf numFmtId="175" fontId="78" fillId="0" borderId="26" xfId="0" applyNumberFormat="1" applyFont="1" applyFill="1" applyBorder="1" applyAlignment="1" applyProtection="1">
      <alignment horizontal="center" vertical="center" wrapText="1" shrinkToFit="1"/>
    </xf>
    <xf numFmtId="49" fontId="78" fillId="0" borderId="26" xfId="0" applyNumberFormat="1" applyFont="1" applyFill="1" applyBorder="1" applyAlignment="1" applyProtection="1">
      <alignment horizontal="center" vertical="center"/>
    </xf>
    <xf numFmtId="49" fontId="78" fillId="0" borderId="32" xfId="0" applyNumberFormat="1" applyFont="1" applyFill="1" applyBorder="1" applyAlignment="1" applyProtection="1">
      <alignment horizontal="center" vertical="center"/>
    </xf>
    <xf numFmtId="0" fontId="64" fillId="0" borderId="0" xfId="0" quotePrefix="1" applyFont="1" applyFill="1" applyAlignment="1" applyProtection="1">
      <alignment horizontal="center" vertical="center" wrapText="1"/>
    </xf>
    <xf numFmtId="49" fontId="75" fillId="0" borderId="14" xfId="0" applyNumberFormat="1" applyFont="1" applyFill="1" applyBorder="1" applyAlignment="1" applyProtection="1">
      <alignment horizontal="center" vertical="center" wrapText="1" shrinkToFit="1"/>
    </xf>
    <xf numFmtId="49" fontId="75" fillId="0" borderId="6" xfId="0" applyNumberFormat="1" applyFont="1" applyFill="1" applyBorder="1" applyAlignment="1" applyProtection="1">
      <alignment horizontal="center" vertical="center" wrapText="1"/>
    </xf>
    <xf numFmtId="0" fontId="0" fillId="0" borderId="0" xfId="0" quotePrefix="1" applyAlignment="1" applyProtection="1">
      <alignment wrapText="1"/>
    </xf>
    <xf numFmtId="49" fontId="75" fillId="0" borderId="25" xfId="0" applyNumberFormat="1" applyFont="1" applyFill="1" applyBorder="1" applyAlignment="1" applyProtection="1">
      <alignment horizontal="center" vertical="center" wrapText="1" shrinkToFit="1"/>
    </xf>
    <xf numFmtId="49" fontId="75" fillId="0" borderId="26" xfId="0" applyNumberFormat="1" applyFont="1" applyFill="1" applyBorder="1" applyAlignment="1" applyProtection="1">
      <alignment horizontal="center" vertical="center" wrapText="1" shrinkToFit="1"/>
    </xf>
    <xf numFmtId="49" fontId="75" fillId="0" borderId="6" xfId="0" applyNumberFormat="1" applyFont="1" applyFill="1" applyBorder="1" applyAlignment="1" applyProtection="1">
      <alignment horizontal="center" vertical="center" wrapText="1" shrinkToFit="1"/>
    </xf>
    <xf numFmtId="49" fontId="75" fillId="0" borderId="6" xfId="0" applyNumberFormat="1" applyFont="1" applyFill="1" applyBorder="1" applyAlignment="1" applyProtection="1">
      <alignment horizontal="center" vertical="center"/>
    </xf>
    <xf numFmtId="0" fontId="75" fillId="0" borderId="25" xfId="0" applyNumberFormat="1" applyFont="1" applyFill="1" applyBorder="1" applyAlignment="1" applyProtection="1">
      <alignment horizontal="center" vertical="center" wrapText="1"/>
    </xf>
    <xf numFmtId="49" fontId="75" fillId="0" borderId="133" xfId="0" applyNumberFormat="1" applyFont="1" applyFill="1" applyBorder="1" applyAlignment="1" applyProtection="1">
      <alignment horizontal="center" vertical="center" wrapText="1"/>
    </xf>
    <xf numFmtId="49" fontId="75" fillId="0" borderId="242" xfId="0" applyNumberFormat="1" applyFont="1" applyFill="1" applyBorder="1" applyAlignment="1" applyProtection="1">
      <alignment horizontal="center" vertical="center"/>
    </xf>
    <xf numFmtId="169" fontId="29" fillId="7" borderId="169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 applyProtection="1"/>
    <xf numFmtId="0" fontId="0" fillId="0" borderId="1" xfId="0" applyFill="1" applyBorder="1" applyAlignment="1" applyProtection="1"/>
    <xf numFmtId="0" fontId="20" fillId="0" borderId="0" xfId="0" applyFont="1" applyFill="1" applyProtection="1"/>
    <xf numFmtId="0" fontId="75" fillId="0" borderId="25" xfId="0" applyNumberFormat="1" applyFont="1" applyFill="1" applyBorder="1" applyAlignment="1" applyProtection="1">
      <alignment horizontal="center" vertical="center"/>
    </xf>
    <xf numFmtId="0" fontId="34" fillId="0" borderId="0" xfId="0" applyFont="1" applyAlignment="1" applyProtection="1"/>
    <xf numFmtId="49" fontId="89" fillId="0" borderId="181" xfId="0" applyNumberFormat="1" applyFont="1" applyFill="1" applyBorder="1" applyAlignment="1" applyProtection="1">
      <alignment horizontal="center" vertical="center"/>
    </xf>
    <xf numFmtId="0" fontId="89" fillId="0" borderId="182" xfId="0" applyNumberFormat="1" applyFont="1" applyFill="1" applyBorder="1" applyAlignment="1" applyProtection="1">
      <alignment horizontal="center" vertical="center" wrapText="1"/>
    </xf>
    <xf numFmtId="0" fontId="89" fillId="0" borderId="6" xfId="0" applyNumberFormat="1" applyFont="1" applyFill="1" applyBorder="1" applyAlignment="1" applyProtection="1">
      <alignment horizontal="center" vertical="center"/>
    </xf>
    <xf numFmtId="0" fontId="29" fillId="11" borderId="246" xfId="0" applyNumberFormat="1" applyFont="1" applyFill="1" applyBorder="1" applyAlignment="1" applyProtection="1">
      <alignment horizontal="left" vertical="center" wrapText="1"/>
    </xf>
    <xf numFmtId="0" fontId="29" fillId="11" borderId="206" xfId="0" applyNumberFormat="1" applyFont="1" applyFill="1" applyBorder="1" applyAlignment="1" applyProtection="1">
      <alignment horizontal="left" vertical="center"/>
    </xf>
    <xf numFmtId="14" fontId="29" fillId="11" borderId="206" xfId="0" applyNumberFormat="1" applyFont="1" applyFill="1" applyBorder="1" applyAlignment="1" applyProtection="1">
      <alignment horizontal="left" vertical="center"/>
    </xf>
    <xf numFmtId="0" fontId="29" fillId="11" borderId="206" xfId="0" applyNumberFormat="1" applyFont="1" applyFill="1" applyBorder="1" applyAlignment="1" applyProtection="1">
      <alignment horizontal="left" vertical="center" wrapText="1"/>
    </xf>
    <xf numFmtId="14" fontId="80" fillId="0" borderId="136" xfId="0" applyNumberFormat="1" applyFont="1" applyFill="1" applyBorder="1" applyAlignment="1" applyProtection="1">
      <alignment horizontal="center" vertical="center"/>
    </xf>
    <xf numFmtId="0" fontId="29" fillId="11" borderId="136" xfId="0" applyNumberFormat="1" applyFont="1" applyFill="1" applyBorder="1" applyAlignment="1" applyProtection="1">
      <alignment horizontal="left" vertical="center"/>
    </xf>
    <xf numFmtId="14" fontId="29" fillId="11" borderId="136" xfId="0" applyNumberFormat="1" applyFont="1" applyFill="1" applyBorder="1" applyAlignment="1" applyProtection="1">
      <alignment horizontal="left" vertical="center"/>
    </xf>
    <xf numFmtId="0" fontId="29" fillId="11" borderId="132" xfId="0" applyNumberFormat="1" applyFont="1" applyFill="1" applyBorder="1" applyAlignment="1" applyProtection="1">
      <alignment horizontal="left" vertical="center"/>
    </xf>
    <xf numFmtId="0" fontId="29" fillId="11" borderId="218" xfId="0" applyNumberFormat="1" applyFont="1" applyFill="1" applyBorder="1" applyAlignment="1" applyProtection="1">
      <alignment horizontal="left" vertical="center" wrapText="1"/>
    </xf>
    <xf numFmtId="49" fontId="80" fillId="0" borderId="39" xfId="0" applyNumberFormat="1" applyFont="1" applyFill="1" applyBorder="1" applyAlignment="1" applyProtection="1">
      <alignment horizontal="center" vertical="center"/>
    </xf>
    <xf numFmtId="0" fontId="80" fillId="0" borderId="6" xfId="0" applyNumberFormat="1" applyFont="1" applyFill="1" applyBorder="1" applyAlignment="1" applyProtection="1">
      <alignment horizontal="center" vertical="center"/>
    </xf>
    <xf numFmtId="49" fontId="29" fillId="0" borderId="39" xfId="0" applyNumberFormat="1" applyFont="1" applyFill="1" applyBorder="1" applyAlignment="1" applyProtection="1">
      <alignment horizontal="center" vertical="center"/>
    </xf>
    <xf numFmtId="0" fontId="29" fillId="11" borderId="6" xfId="0" applyNumberFormat="1" applyFont="1" applyFill="1" applyBorder="1" applyAlignment="1" applyProtection="1">
      <alignment horizontal="left" vertical="center" wrapText="1"/>
    </xf>
    <xf numFmtId="14" fontId="29" fillId="11" borderId="6" xfId="0" applyNumberFormat="1" applyFont="1" applyFill="1" applyBorder="1" applyAlignment="1" applyProtection="1">
      <alignment horizontal="left" vertical="center" wrapText="1"/>
    </xf>
    <xf numFmtId="49" fontId="80" fillId="0" borderId="133" xfId="0" applyNumberFormat="1" applyFont="1" applyFill="1" applyBorder="1" applyAlignment="1" applyProtection="1">
      <alignment horizontal="center" vertical="center"/>
    </xf>
    <xf numFmtId="0" fontId="80" fillId="0" borderId="134" xfId="0" applyNumberFormat="1" applyFont="1" applyFill="1" applyBorder="1" applyAlignment="1" applyProtection="1">
      <alignment horizontal="center" vertical="center" wrapText="1"/>
    </xf>
    <xf numFmtId="49" fontId="29" fillId="0" borderId="135" xfId="0" applyNumberFormat="1" applyFont="1" applyFill="1" applyBorder="1" applyAlignment="1" applyProtection="1">
      <alignment horizontal="center" vertical="center"/>
    </xf>
    <xf numFmtId="14" fontId="29" fillId="11" borderId="136" xfId="0" applyNumberFormat="1" applyFont="1" applyFill="1" applyBorder="1" applyAlignment="1" applyProtection="1">
      <alignment horizontal="center" vertical="center" wrapText="1"/>
    </xf>
    <xf numFmtId="14" fontId="29" fillId="11" borderId="136" xfId="0" applyNumberFormat="1" applyFont="1" applyFill="1" applyBorder="1" applyAlignment="1" applyProtection="1">
      <alignment horizontal="left" vertical="center" wrapText="1"/>
    </xf>
    <xf numFmtId="0" fontId="29" fillId="3" borderId="104" xfId="0" applyNumberFormat="1" applyFont="1" applyFill="1" applyBorder="1" applyAlignment="1" applyProtection="1">
      <alignment horizontal="left" wrapText="1"/>
      <protection locked="0"/>
    </xf>
    <xf numFmtId="173" fontId="29" fillId="3" borderId="6" xfId="0" applyNumberFormat="1" applyFont="1" applyFill="1" applyBorder="1" applyAlignment="1" applyProtection="1">
      <alignment horizontal="right" vertical="center" wrapText="1" shrinkToFit="1"/>
      <protection locked="0"/>
    </xf>
    <xf numFmtId="173" fontId="29" fillId="0" borderId="6" xfId="0" applyNumberFormat="1" applyFont="1" applyBorder="1" applyAlignment="1" applyProtection="1">
      <alignment horizontal="right" vertical="center" wrapText="1"/>
    </xf>
    <xf numFmtId="49" fontId="29" fillId="3" borderId="9" xfId="0" applyNumberFormat="1" applyFont="1" applyFill="1" applyBorder="1" applyAlignment="1" applyProtection="1">
      <alignment horizontal="left" vertical="center" wrapText="1" shrinkToFit="1"/>
      <protection locked="0"/>
    </xf>
    <xf numFmtId="173" fontId="29" fillId="0" borderId="41" xfId="0" applyNumberFormat="1" applyFont="1" applyBorder="1" applyAlignment="1" applyProtection="1">
      <alignment horizontal="right" wrapText="1"/>
    </xf>
    <xf numFmtId="0" fontId="80" fillId="0" borderId="157" xfId="0" applyNumberFormat="1" applyFont="1" applyFill="1" applyBorder="1" applyAlignment="1" applyProtection="1">
      <alignment horizontal="center" vertical="center" wrapText="1"/>
    </xf>
    <xf numFmtId="173" fontId="29" fillId="0" borderId="6" xfId="0" applyNumberFormat="1" applyFont="1" applyFill="1" applyBorder="1" applyAlignment="1" applyProtection="1">
      <alignment horizontal="right" vertical="center" wrapText="1" shrinkToFit="1"/>
    </xf>
    <xf numFmtId="173" fontId="29" fillId="0" borderId="41" xfId="0" applyNumberFormat="1" applyFont="1" applyFill="1" applyBorder="1" applyAlignment="1" applyProtection="1">
      <alignment horizontal="right" wrapText="1" shrinkToFit="1"/>
    </xf>
    <xf numFmtId="0" fontId="80" fillId="0" borderId="135" xfId="0" applyNumberFormat="1" applyFont="1" applyFill="1" applyBorder="1" applyAlignment="1" applyProtection="1">
      <alignment horizontal="center" vertical="center"/>
    </xf>
    <xf numFmtId="0" fontId="29" fillId="11" borderId="136" xfId="0" applyNumberFormat="1" applyFont="1" applyFill="1" applyBorder="1" applyAlignment="1" applyProtection="1">
      <alignment vertical="center"/>
    </xf>
    <xf numFmtId="14" fontId="29" fillId="11" borderId="136" xfId="0" applyNumberFormat="1" applyFont="1" applyFill="1" applyBorder="1" applyAlignment="1" applyProtection="1">
      <alignment vertical="center"/>
    </xf>
    <xf numFmtId="49" fontId="80" fillId="0" borderId="136" xfId="0" applyNumberFormat="1" applyFont="1" applyFill="1" applyBorder="1" applyAlignment="1" applyProtection="1">
      <alignment horizontal="center" vertical="center"/>
    </xf>
    <xf numFmtId="49" fontId="78" fillId="0" borderId="135" xfId="0" applyNumberFormat="1" applyFont="1" applyFill="1" applyBorder="1" applyAlignment="1" applyProtection="1">
      <alignment horizontal="center" vertical="center"/>
    </xf>
    <xf numFmtId="49" fontId="78" fillId="0" borderId="136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49" fontId="80" fillId="0" borderId="135" xfId="0" applyNumberFormat="1" applyFont="1" applyFill="1" applyBorder="1" applyAlignment="1" applyProtection="1">
      <alignment horizontal="center" vertical="center" wrapText="1" shrinkToFit="1"/>
    </xf>
    <xf numFmtId="49" fontId="80" fillId="0" borderId="133" xfId="0" applyNumberFormat="1" applyFont="1" applyFill="1" applyBorder="1" applyAlignment="1" applyProtection="1">
      <alignment horizontal="center" vertical="center" wrapText="1" shrinkToFit="1"/>
    </xf>
    <xf numFmtId="0" fontId="73" fillId="0" borderId="241" xfId="0" applyNumberFormat="1" applyFont="1" applyFill="1" applyBorder="1" applyAlignment="1" applyProtection="1">
      <alignment horizontal="center" vertical="center"/>
    </xf>
    <xf numFmtId="49" fontId="73" fillId="0" borderId="135" xfId="0" applyNumberFormat="1" applyFont="1" applyFill="1" applyBorder="1" applyAlignment="1" applyProtection="1">
      <alignment horizontal="center" vertical="center"/>
    </xf>
    <xf numFmtId="49" fontId="73" fillId="0" borderId="136" xfId="0" applyNumberFormat="1" applyFont="1" applyFill="1" applyBorder="1" applyAlignment="1" applyProtection="1">
      <alignment horizontal="center" vertical="center"/>
    </xf>
    <xf numFmtId="169" fontId="56" fillId="0" borderId="136" xfId="0" applyNumberFormat="1" applyFont="1" applyFill="1" applyBorder="1" applyAlignment="1" applyProtection="1">
      <alignment horizontal="right" vertical="center"/>
    </xf>
    <xf numFmtId="0" fontId="56" fillId="0" borderId="136" xfId="0" applyNumberFormat="1" applyFont="1" applyFill="1" applyBorder="1" applyAlignment="1" applyProtection="1">
      <alignment horizontal="left" vertical="center" wrapText="1"/>
    </xf>
    <xf numFmtId="14" fontId="56" fillId="0" borderId="136" xfId="0" applyNumberFormat="1" applyFont="1" applyFill="1" applyBorder="1" applyAlignment="1" applyProtection="1">
      <alignment horizontal="left" vertical="center" wrapText="1"/>
    </xf>
    <xf numFmtId="49" fontId="56" fillId="0" borderId="132" xfId="0" applyNumberFormat="1" applyFont="1" applyFill="1" applyBorder="1" applyAlignment="1" applyProtection="1">
      <alignment horizontal="left" vertical="center" wrapText="1" shrinkToFit="1"/>
    </xf>
    <xf numFmtId="169" fontId="56" fillId="0" borderId="132" xfId="0" applyNumberFormat="1" applyFont="1" applyFill="1" applyBorder="1" applyAlignment="1" applyProtection="1">
      <alignment horizontal="right" vertical="center" wrapText="1" shrinkToFit="1"/>
    </xf>
    <xf numFmtId="49" fontId="75" fillId="0" borderId="134" xfId="0" applyNumberFormat="1" applyFont="1" applyFill="1" applyBorder="1" applyAlignment="1" applyProtection="1">
      <alignment horizontal="center" vertical="center" wrapText="1" shrinkToFit="1"/>
    </xf>
    <xf numFmtId="169" fontId="29" fillId="0" borderId="136" xfId="0" applyNumberFormat="1" applyFont="1" applyFill="1" applyBorder="1" applyAlignment="1" applyProtection="1">
      <alignment horizontal="right" vertical="center" wrapText="1" shrinkToFit="1"/>
    </xf>
    <xf numFmtId="0" fontId="29" fillId="0" borderId="136" xfId="0" applyNumberFormat="1" applyFont="1" applyFill="1" applyBorder="1" applyAlignment="1" applyProtection="1">
      <alignment horizontal="left" vertical="center" wrapText="1" shrinkToFit="1"/>
    </xf>
    <xf numFmtId="0" fontId="29" fillId="0" borderId="132" xfId="0" applyNumberFormat="1" applyFont="1" applyFill="1" applyBorder="1" applyAlignment="1" applyProtection="1">
      <alignment horizontal="left" vertical="center" wrapText="1" shrinkToFit="1"/>
    </xf>
    <xf numFmtId="169" fontId="29" fillId="0" borderId="132" xfId="0" applyNumberFormat="1" applyFont="1" applyFill="1" applyBorder="1" applyAlignment="1" applyProtection="1">
      <alignment horizontal="right" vertical="center" wrapText="1" shrinkToFit="1"/>
    </xf>
    <xf numFmtId="175" fontId="23" fillId="0" borderId="6" xfId="0" applyNumberFormat="1" applyFont="1" applyFill="1" applyBorder="1" applyAlignment="1" applyProtection="1">
      <alignment horizontal="right" wrapText="1" shrinkToFit="1"/>
    </xf>
    <xf numFmtId="49" fontId="78" fillId="0" borderId="25" xfId="0" applyNumberFormat="1" applyFont="1" applyFill="1" applyBorder="1" applyAlignment="1" applyProtection="1">
      <alignment horizontal="center" vertical="center"/>
    </xf>
    <xf numFmtId="14" fontId="78" fillId="0" borderId="26" xfId="0" applyNumberFormat="1" applyFont="1" applyFill="1" applyBorder="1" applyAlignment="1" applyProtection="1">
      <alignment horizontal="center" vertical="center"/>
    </xf>
    <xf numFmtId="0" fontId="78" fillId="0" borderId="26" xfId="0" applyNumberFormat="1" applyFont="1" applyFill="1" applyBorder="1" applyAlignment="1" applyProtection="1">
      <alignment horizontal="center" vertical="center"/>
    </xf>
    <xf numFmtId="10" fontId="78" fillId="0" borderId="26" xfId="0" applyNumberFormat="1" applyFont="1" applyFill="1" applyBorder="1" applyAlignment="1" applyProtection="1">
      <alignment horizontal="center" vertical="center" wrapText="1"/>
    </xf>
    <xf numFmtId="0" fontId="0" fillId="7" borderId="0" xfId="0" applyFill="1" applyProtection="1"/>
    <xf numFmtId="175" fontId="65" fillId="0" borderId="133" xfId="0" applyNumberFormat="1" applyFont="1" applyFill="1" applyBorder="1" applyAlignment="1" applyProtection="1">
      <alignment horizontal="center" vertical="center" wrapText="1" shrinkToFit="1"/>
    </xf>
    <xf numFmtId="175" fontId="65" fillId="0" borderId="134" xfId="0" applyNumberFormat="1" applyFont="1" applyFill="1" applyBorder="1" applyAlignment="1" applyProtection="1">
      <alignment horizontal="center" vertical="center" wrapText="1" shrinkToFit="1"/>
    </xf>
    <xf numFmtId="175" fontId="23" fillId="0" borderId="41" xfId="0" applyNumberFormat="1" applyFont="1" applyFill="1" applyBorder="1" applyAlignment="1" applyProtection="1">
      <alignment horizontal="right" wrapText="1" shrinkToFit="1"/>
    </xf>
    <xf numFmtId="49" fontId="65" fillId="0" borderId="14" xfId="0" applyNumberFormat="1" applyFont="1" applyFill="1" applyBorder="1" applyAlignment="1" applyProtection="1">
      <alignment horizontal="center" vertical="center" shrinkToFit="1"/>
    </xf>
    <xf numFmtId="49" fontId="65" fillId="0" borderId="6" xfId="0" applyNumberFormat="1" applyFont="1" applyFill="1" applyBorder="1" applyAlignment="1" applyProtection="1">
      <alignment horizontal="center" vertical="center" shrinkToFit="1"/>
    </xf>
    <xf numFmtId="49" fontId="72" fillId="0" borderId="6" xfId="0" applyNumberFormat="1" applyFont="1" applyFill="1" applyBorder="1" applyAlignment="1" applyProtection="1">
      <alignment horizontal="center" vertical="center" wrapText="1" shrinkToFit="1"/>
    </xf>
    <xf numFmtId="169" fontId="72" fillId="0" borderId="6" xfId="0" applyNumberFormat="1" applyFont="1" applyFill="1" applyBorder="1" applyAlignment="1" applyProtection="1">
      <alignment horizontal="center" vertical="center" wrapText="1" shrinkToFit="1"/>
    </xf>
    <xf numFmtId="49" fontId="72" fillId="0" borderId="9" xfId="0" applyNumberFormat="1" applyFont="1" applyFill="1" applyBorder="1" applyAlignment="1" applyProtection="1">
      <alignment horizontal="center" vertical="center" wrapText="1" shrinkToFit="1"/>
    </xf>
    <xf numFmtId="49" fontId="77" fillId="0" borderId="14" xfId="0" applyNumberFormat="1" applyFont="1" applyFill="1" applyBorder="1" applyAlignment="1" applyProtection="1">
      <alignment horizontal="center" vertical="center"/>
    </xf>
    <xf numFmtId="49" fontId="77" fillId="0" borderId="6" xfId="0" applyNumberFormat="1" applyFont="1" applyFill="1" applyBorder="1" applyAlignment="1" applyProtection="1">
      <alignment horizontal="center" vertical="center"/>
    </xf>
    <xf numFmtId="0" fontId="56" fillId="0" borderId="6" xfId="0" applyNumberFormat="1" applyFont="1" applyFill="1" applyBorder="1" applyAlignment="1" applyProtection="1">
      <alignment horizontal="center" vertical="center"/>
    </xf>
    <xf numFmtId="49" fontId="23" fillId="3" borderId="16" xfId="0" applyNumberFormat="1" applyFont="1" applyFill="1" applyBorder="1" applyAlignment="1" applyProtection="1">
      <alignment horizontal="left" wrapText="1" shrinkToFit="1"/>
      <protection locked="0"/>
    </xf>
    <xf numFmtId="49" fontId="23" fillId="3" borderId="41" xfId="0" applyNumberFormat="1" applyFont="1" applyFill="1" applyBorder="1" applyAlignment="1" applyProtection="1">
      <alignment horizontal="left" wrapText="1" shrinkToFit="1"/>
      <protection locked="0"/>
    </xf>
    <xf numFmtId="49" fontId="23" fillId="3" borderId="41" xfId="0" applyNumberFormat="1" applyFont="1" applyFill="1" applyBorder="1" applyAlignment="1" applyProtection="1">
      <alignment wrapText="1" shrinkToFit="1"/>
      <protection locked="0"/>
    </xf>
    <xf numFmtId="49" fontId="23" fillId="3" borderId="24" xfId="0" applyNumberFormat="1" applyFont="1" applyFill="1" applyBorder="1" applyAlignment="1" applyProtection="1">
      <alignment vertical="center" wrapText="1"/>
      <protection locked="0"/>
    </xf>
    <xf numFmtId="0" fontId="75" fillId="0" borderId="133" xfId="0" applyNumberFormat="1" applyFont="1" applyFill="1" applyBorder="1" applyAlignment="1" applyProtection="1">
      <alignment horizontal="center" vertical="center" wrapText="1"/>
    </xf>
    <xf numFmtId="0" fontId="75" fillId="0" borderId="160" xfId="0" applyNumberFormat="1" applyFont="1" applyFill="1" applyBorder="1" applyAlignment="1" applyProtection="1">
      <alignment horizontal="center" vertical="center" wrapText="1"/>
    </xf>
    <xf numFmtId="0" fontId="33" fillId="0" borderId="0" xfId="0" applyFont="1" applyProtection="1"/>
    <xf numFmtId="175" fontId="23" fillId="0" borderId="9" xfId="0" applyNumberFormat="1" applyFont="1" applyFill="1" applyBorder="1" applyAlignment="1" applyProtection="1">
      <alignment horizontal="right" wrapText="1" shrinkToFit="1"/>
    </xf>
    <xf numFmtId="49" fontId="78" fillId="0" borderId="14" xfId="0" applyNumberFormat="1" applyFont="1" applyFill="1" applyBorder="1" applyAlignment="1" applyProtection="1">
      <alignment horizontal="center" vertical="center"/>
    </xf>
    <xf numFmtId="49" fontId="56" fillId="0" borderId="14" xfId="0" applyNumberFormat="1" applyFont="1" applyFill="1" applyBorder="1" applyAlignment="1" applyProtection="1">
      <alignment horizontal="left" vertical="center" wrapText="1"/>
    </xf>
    <xf numFmtId="49" fontId="77" fillId="0" borderId="247" xfId="0" applyNumberFormat="1" applyFont="1" applyFill="1" applyBorder="1" applyAlignment="1" applyProtection="1">
      <alignment horizontal="center" vertical="center" wrapText="1" shrinkToFit="1"/>
    </xf>
    <xf numFmtId="169" fontId="77" fillId="0" borderId="21" xfId="0" applyNumberFormat="1" applyFont="1" applyFill="1" applyBorder="1" applyAlignment="1" applyProtection="1">
      <alignment horizontal="center" vertical="center" wrapText="1" shrinkToFit="1"/>
    </xf>
    <xf numFmtId="169" fontId="77" fillId="0" borderId="20" xfId="0" applyNumberFormat="1" applyFont="1" applyFill="1" applyBorder="1" applyAlignment="1" applyProtection="1">
      <alignment horizontal="center" vertical="center" wrapText="1" shrinkToFit="1"/>
    </xf>
    <xf numFmtId="49" fontId="80" fillId="0" borderId="133" xfId="0" applyNumberFormat="1" applyFont="1" applyFill="1" applyBorder="1" applyAlignment="1" applyProtection="1">
      <alignment horizontal="center" vertical="center" wrapText="1"/>
    </xf>
    <xf numFmtId="49" fontId="80" fillId="0" borderId="134" xfId="0" applyNumberFormat="1" applyFont="1" applyFill="1" applyBorder="1" applyAlignment="1" applyProtection="1">
      <alignment horizontal="center" vertical="center" wrapText="1"/>
    </xf>
    <xf numFmtId="175" fontId="80" fillId="0" borderId="134" xfId="0" applyNumberFormat="1" applyFont="1" applyFill="1" applyBorder="1" applyAlignment="1" applyProtection="1">
      <alignment horizontal="center" vertical="center" wrapText="1"/>
    </xf>
    <xf numFmtId="49" fontId="80" fillId="0" borderId="6" xfId="0" applyNumberFormat="1" applyFont="1" applyFill="1" applyBorder="1" applyAlignment="1" applyProtection="1">
      <alignment horizontal="center" vertical="center" wrapText="1"/>
    </xf>
    <xf numFmtId="175" fontId="80" fillId="0" borderId="6" xfId="0" applyNumberFormat="1" applyFont="1" applyFill="1" applyBorder="1" applyAlignment="1" applyProtection="1">
      <alignment horizontal="center" vertical="center" wrapText="1" shrinkToFit="1"/>
    </xf>
    <xf numFmtId="49" fontId="80" fillId="0" borderId="9" xfId="0" applyNumberFormat="1" applyFont="1" applyFill="1" applyBorder="1" applyAlignment="1" applyProtection="1">
      <alignment horizontal="center" vertical="center" wrapText="1"/>
    </xf>
    <xf numFmtId="49" fontId="29" fillId="0" borderId="9" xfId="0" applyNumberFormat="1" applyFont="1" applyFill="1" applyBorder="1" applyAlignment="1" applyProtection="1">
      <alignment horizontal="center" vertical="center" wrapText="1"/>
    </xf>
    <xf numFmtId="49" fontId="81" fillId="0" borderId="244" xfId="0" applyNumberFormat="1" applyFont="1" applyFill="1" applyBorder="1" applyAlignment="1" applyProtection="1">
      <alignment horizontal="center" vertical="center" wrapText="1"/>
    </xf>
    <xf numFmtId="49" fontId="81" fillId="0" borderId="241" xfId="0" applyNumberFormat="1" applyFont="1" applyFill="1" applyBorder="1" applyAlignment="1" applyProtection="1">
      <alignment horizontal="center" vertical="center" wrapText="1"/>
    </xf>
    <xf numFmtId="49" fontId="80" fillId="0" borderId="14" xfId="0" applyNumberFormat="1" applyFont="1" applyFill="1" applyBorder="1" applyAlignment="1" applyProtection="1">
      <alignment horizontal="center" vertical="center" wrapText="1"/>
    </xf>
    <xf numFmtId="175" fontId="29" fillId="4" borderId="6" xfId="0" applyNumberFormat="1" applyFont="1" applyFill="1" applyBorder="1" applyAlignment="1" applyProtection="1">
      <alignment horizontal="right"/>
      <protection locked="0"/>
    </xf>
    <xf numFmtId="175" fontId="29" fillId="4" borderId="41" xfId="0" applyNumberFormat="1" applyFont="1" applyFill="1" applyBorder="1" applyAlignment="1" applyProtection="1">
      <alignment horizontal="right"/>
      <protection locked="0"/>
    </xf>
    <xf numFmtId="0" fontId="0" fillId="0" borderId="0" xfId="0" applyBorder="1" applyAlignment="1" applyProtection="1">
      <alignment wrapText="1"/>
    </xf>
    <xf numFmtId="0" fontId="0" fillId="0" borderId="0" xfId="0" quotePrefix="1" applyAlignment="1" applyProtection="1"/>
    <xf numFmtId="180" fontId="78" fillId="0" borderId="98" xfId="0" applyNumberFormat="1" applyFont="1" applyFill="1" applyBorder="1" applyAlignment="1" applyProtection="1">
      <alignment horizontal="center" wrapText="1"/>
    </xf>
    <xf numFmtId="0" fontId="75" fillId="0" borderId="133" xfId="0" applyNumberFormat="1" applyFont="1" applyFill="1" applyBorder="1" applyAlignment="1" applyProtection="1">
      <alignment horizontal="center" vertical="center"/>
    </xf>
    <xf numFmtId="49" fontId="72" fillId="0" borderId="159" xfId="0" applyNumberFormat="1" applyFont="1" applyFill="1" applyBorder="1" applyAlignment="1" applyProtection="1">
      <alignment horizontal="center" vertical="center"/>
    </xf>
    <xf numFmtId="49" fontId="72" fillId="0" borderId="160" xfId="0" applyNumberFormat="1" applyFont="1" applyFill="1" applyBorder="1" applyAlignment="1" applyProtection="1">
      <alignment horizontal="center" vertical="center"/>
    </xf>
    <xf numFmtId="175" fontId="23" fillId="0" borderId="136" xfId="0" applyNumberFormat="1" applyFont="1" applyFill="1" applyBorder="1" applyAlignment="1" applyProtection="1">
      <alignment horizontal="right" shrinkToFit="1"/>
    </xf>
    <xf numFmtId="175" fontId="23" fillId="0" borderId="132" xfId="0" applyNumberFormat="1" applyFont="1" applyFill="1" applyBorder="1" applyAlignment="1" applyProtection="1">
      <alignment horizontal="right" shrinkToFit="1"/>
    </xf>
    <xf numFmtId="0" fontId="25" fillId="2" borderId="115" xfId="0" applyNumberFormat="1" applyFont="1" applyFill="1" applyBorder="1" applyAlignment="1" applyProtection="1">
      <alignment vertical="center" wrapText="1"/>
    </xf>
    <xf numFmtId="175" fontId="29" fillId="11" borderId="136" xfId="0" applyNumberFormat="1" applyFont="1" applyFill="1" applyBorder="1" applyAlignment="1" applyProtection="1">
      <alignment horizontal="center" vertical="center" wrapText="1" shrinkToFit="1"/>
    </xf>
    <xf numFmtId="175" fontId="29" fillId="11" borderId="132" xfId="0" applyNumberFormat="1" applyFont="1" applyFill="1" applyBorder="1" applyAlignment="1" applyProtection="1">
      <alignment horizontal="center" vertical="center" wrapText="1" shrinkToFit="1"/>
    </xf>
    <xf numFmtId="173" fontId="29" fillId="11" borderId="136" xfId="0" applyNumberFormat="1" applyFont="1" applyFill="1" applyBorder="1" applyAlignment="1" applyProtection="1">
      <alignment horizontal="right" shrinkToFit="1"/>
    </xf>
    <xf numFmtId="173" fontId="29" fillId="11" borderId="132" xfId="0" applyNumberFormat="1" applyFont="1" applyFill="1" applyBorder="1" applyAlignment="1" applyProtection="1">
      <alignment horizontal="right" shrinkToFit="1"/>
    </xf>
    <xf numFmtId="175" fontId="23" fillId="11" borderId="6" xfId="0" applyNumberFormat="1" applyFont="1" applyFill="1" applyBorder="1" applyAlignment="1" applyProtection="1">
      <alignment horizontal="right" wrapText="1" shrinkToFit="1"/>
    </xf>
    <xf numFmtId="169" fontId="23" fillId="11" borderId="6" xfId="0" applyNumberFormat="1" applyFont="1" applyFill="1" applyBorder="1" applyAlignment="1" applyProtection="1">
      <alignment horizontal="center" vertical="center" wrapText="1" shrinkToFit="1"/>
    </xf>
    <xf numFmtId="169" fontId="23" fillId="11" borderId="75" xfId="0" applyNumberFormat="1" applyFont="1" applyFill="1" applyBorder="1" applyAlignment="1" applyProtection="1">
      <alignment horizontal="center" vertical="center" wrapText="1" shrinkToFit="1"/>
    </xf>
    <xf numFmtId="169" fontId="56" fillId="11" borderId="64" xfId="0" applyNumberFormat="1" applyFont="1" applyFill="1" applyBorder="1" applyAlignment="1" applyProtection="1">
      <alignment horizontal="center" vertical="center" shrinkToFit="1"/>
    </xf>
    <xf numFmtId="169" fontId="56" fillId="11" borderId="75" xfId="0" applyNumberFormat="1" applyFont="1" applyFill="1" applyBorder="1" applyAlignment="1" applyProtection="1">
      <alignment horizontal="center" vertical="center" shrinkToFit="1"/>
    </xf>
    <xf numFmtId="175" fontId="23" fillId="7" borderId="136" xfId="0" applyNumberFormat="1" applyFont="1" applyFill="1" applyBorder="1" applyAlignment="1" applyProtection="1">
      <alignment horizontal="center" vertical="center" wrapText="1"/>
    </xf>
    <xf numFmtId="175" fontId="23" fillId="11" borderId="136" xfId="0" applyNumberFormat="1" applyFont="1" applyFill="1" applyBorder="1" applyAlignment="1" applyProtection="1">
      <alignment horizontal="center" vertical="center" wrapText="1" shrinkToFit="1"/>
    </xf>
    <xf numFmtId="175" fontId="23" fillId="11" borderId="132" xfId="0" applyNumberFormat="1" applyFont="1" applyFill="1" applyBorder="1" applyAlignment="1" applyProtection="1">
      <alignment horizontal="center" vertical="center" wrapText="1" shrinkToFit="1"/>
    </xf>
    <xf numFmtId="0" fontId="0" fillId="17" borderId="0" xfId="0" applyFill="1" applyAlignment="1">
      <alignment vertical="center" wrapText="1"/>
    </xf>
    <xf numFmtId="0" fontId="58" fillId="0" borderId="0" xfId="0" applyFont="1" applyProtection="1"/>
    <xf numFmtId="170" fontId="29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0" fontId="29" fillId="3" borderId="136" xfId="0" applyNumberFormat="1" applyFont="1" applyFill="1" applyBorder="1" applyAlignment="1" applyProtection="1">
      <alignment horizontal="center" vertical="center" wrapText="1" shrinkToFit="1"/>
      <protection locked="0"/>
    </xf>
    <xf numFmtId="0" fontId="29" fillId="3" borderId="140" xfId="0" applyNumberFormat="1" applyFont="1" applyFill="1" applyBorder="1" applyAlignment="1" applyProtection="1">
      <alignment horizontal="center" vertical="center"/>
      <protection locked="0"/>
    </xf>
    <xf numFmtId="3" fontId="23" fillId="3" borderId="6" xfId="0" applyNumberFormat="1" applyFont="1" applyFill="1" applyBorder="1" applyAlignment="1" applyProtection="1">
      <alignment horizontal="left" vertical="center" wrapText="1" shrinkToFit="1"/>
      <protection locked="0"/>
    </xf>
    <xf numFmtId="3" fontId="23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0" fillId="0" borderId="14" xfId="0" quotePrefix="1" applyNumberFormat="1" applyFill="1" applyBorder="1" applyAlignment="1" applyProtection="1">
      <alignment horizontal="left" vertical="center" wrapText="1" indent="2"/>
    </xf>
    <xf numFmtId="49" fontId="0" fillId="0" borderId="14" xfId="0" applyNumberFormat="1" applyFill="1" applyBorder="1" applyAlignment="1" applyProtection="1">
      <alignment horizontal="left" vertical="center" wrapText="1" indent="2"/>
    </xf>
    <xf numFmtId="0" fontId="0" fillId="0" borderId="14" xfId="0" quotePrefix="1" applyNumberFormat="1" applyFill="1" applyBorder="1" applyAlignment="1" applyProtection="1">
      <alignment horizontal="left" vertical="center" wrapText="1" indent="2"/>
    </xf>
    <xf numFmtId="169" fontId="23" fillId="3" borderId="252" xfId="0" applyNumberFormat="1" applyFont="1" applyFill="1" applyBorder="1" applyAlignment="1" applyProtection="1">
      <alignment horizontal="right" wrapText="1" shrinkToFit="1"/>
      <protection locked="0"/>
    </xf>
    <xf numFmtId="169" fontId="23" fillId="3" borderId="65" xfId="0" applyNumberFormat="1" applyFont="1" applyFill="1" applyBorder="1" applyAlignment="1" applyProtection="1">
      <alignment horizontal="right" wrapText="1" shrinkToFit="1"/>
      <protection locked="0"/>
    </xf>
    <xf numFmtId="173" fontId="23" fillId="0" borderId="21" xfId="0" applyNumberFormat="1" applyFont="1" applyBorder="1" applyAlignment="1" applyProtection="1">
      <alignment horizontal="center"/>
    </xf>
    <xf numFmtId="173" fontId="23" fillId="0" borderId="19" xfId="0" applyNumberFormat="1" applyFont="1" applyBorder="1" applyAlignment="1" applyProtection="1">
      <alignment horizontal="center"/>
    </xf>
    <xf numFmtId="0" fontId="25" fillId="2" borderId="253" xfId="0" applyFont="1" applyFill="1" applyBorder="1" applyAlignment="1" applyProtection="1">
      <alignment vertical="center" wrapText="1"/>
    </xf>
    <xf numFmtId="0" fontId="25" fillId="2" borderId="254" xfId="0" applyFont="1" applyFill="1" applyBorder="1" applyAlignment="1" applyProtection="1">
      <alignment vertical="center" wrapText="1"/>
    </xf>
    <xf numFmtId="0" fontId="25" fillId="2" borderId="255" xfId="0" applyFont="1" applyFill="1" applyBorder="1" applyAlignment="1" applyProtection="1">
      <alignment horizontal="center" vertical="center" wrapText="1"/>
    </xf>
    <xf numFmtId="0" fontId="25" fillId="2" borderId="256" xfId="0" applyFont="1" applyFill="1" applyBorder="1" applyAlignment="1" applyProtection="1">
      <alignment horizontal="center" vertical="center" wrapText="1"/>
    </xf>
    <xf numFmtId="0" fontId="25" fillId="6" borderId="31" xfId="0" applyNumberFormat="1" applyFont="1" applyFill="1" applyBorder="1" applyAlignment="1" applyProtection="1">
      <alignment horizontal="center" vertical="center" wrapText="1"/>
    </xf>
    <xf numFmtId="173" fontId="29" fillId="0" borderId="145" xfId="0" applyNumberFormat="1" applyFont="1" applyBorder="1" applyAlignment="1" applyProtection="1">
      <alignment horizontal="right"/>
    </xf>
    <xf numFmtId="0" fontId="0" fillId="0" borderId="0" xfId="0" applyFill="1" applyBorder="1"/>
    <xf numFmtId="0" fontId="78" fillId="0" borderId="133" xfId="0" applyNumberFormat="1" applyFont="1" applyFill="1" applyBorder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vertical="center" wrapText="1"/>
    </xf>
    <xf numFmtId="175" fontId="38" fillId="0" borderId="136" xfId="0" applyNumberFormat="1" applyFont="1" applyBorder="1" applyAlignment="1" applyProtection="1">
      <alignment horizontal="center" wrapText="1"/>
    </xf>
    <xf numFmtId="169" fontId="38" fillId="0" borderId="136" xfId="0" applyNumberFormat="1" applyFont="1" applyBorder="1" applyAlignment="1" applyProtection="1">
      <alignment horizontal="right" wrapText="1"/>
    </xf>
    <xf numFmtId="0" fontId="0" fillId="18" borderId="0" xfId="0" applyFill="1" applyBorder="1" applyAlignment="1">
      <alignment vertical="center" wrapText="1"/>
    </xf>
    <xf numFmtId="14" fontId="0" fillId="0" borderId="0" xfId="0" applyNumberFormat="1"/>
    <xf numFmtId="0" fontId="23" fillId="0" borderId="0" xfId="0" applyFont="1"/>
    <xf numFmtId="0" fontId="25" fillId="2" borderId="35" xfId="0" applyFont="1" applyFill="1" applyBorder="1" applyAlignment="1">
      <alignment horizontal="center" vertical="center" wrapText="1"/>
    </xf>
    <xf numFmtId="0" fontId="25" fillId="2" borderId="7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left" vertical="center"/>
    </xf>
    <xf numFmtId="0" fontId="23" fillId="0" borderId="27" xfId="0" applyFont="1" applyFill="1" applyBorder="1" applyAlignment="1">
      <alignment horizontal="left" vertical="center"/>
    </xf>
    <xf numFmtId="49" fontId="23" fillId="4" borderId="33" xfId="0" applyNumberFormat="1" applyFont="1" applyFill="1" applyBorder="1" applyAlignment="1">
      <alignment horizontal="left" vertical="center"/>
    </xf>
    <xf numFmtId="0" fontId="25" fillId="2" borderId="115" xfId="0" applyFont="1" applyFill="1" applyBorder="1" applyAlignment="1">
      <alignment horizontal="center" vertical="center" wrapText="1"/>
    </xf>
    <xf numFmtId="0" fontId="23" fillId="0" borderId="122" xfId="0" applyFont="1" applyFill="1" applyBorder="1" applyAlignment="1">
      <alignment horizontal="left" vertical="center"/>
    </xf>
    <xf numFmtId="0" fontId="23" fillId="0" borderId="258" xfId="0" applyFont="1" applyFill="1" applyBorder="1" applyAlignment="1">
      <alignment horizontal="left" vertical="center"/>
    </xf>
    <xf numFmtId="0" fontId="23" fillId="0" borderId="25" xfId="0" applyFont="1" applyFill="1" applyBorder="1" applyAlignment="1">
      <alignment horizontal="left" vertical="center"/>
    </xf>
    <xf numFmtId="0" fontId="45" fillId="0" borderId="113" xfId="0" applyFont="1" applyBorder="1"/>
    <xf numFmtId="1" fontId="44" fillId="0" borderId="113" xfId="0" applyNumberFormat="1" applyFont="1" applyBorder="1" applyAlignment="1">
      <alignment horizontal="left" vertical="center"/>
    </xf>
    <xf numFmtId="0" fontId="49" fillId="0" borderId="113" xfId="0" applyFont="1" applyBorder="1" applyAlignment="1">
      <alignment horizontal="left"/>
    </xf>
    <xf numFmtId="0" fontId="45" fillId="0" borderId="113" xfId="0" applyFont="1" applyBorder="1" applyAlignment="1">
      <alignment vertical="top"/>
    </xf>
    <xf numFmtId="0" fontId="44" fillId="0" borderId="113" xfId="0" applyNumberFormat="1" applyFont="1" applyBorder="1" applyAlignment="1">
      <alignment horizontal="left" vertical="center" wrapText="1"/>
    </xf>
    <xf numFmtId="0" fontId="25" fillId="2" borderId="260" xfId="0" applyFont="1" applyFill="1" applyBorder="1" applyAlignment="1" applyProtection="1">
      <alignment horizontal="center" vertical="center" wrapText="1"/>
    </xf>
    <xf numFmtId="49" fontId="25" fillId="2" borderId="260" xfId="0" applyNumberFormat="1" applyFont="1" applyFill="1" applyBorder="1" applyAlignment="1" applyProtection="1">
      <alignment horizontal="center" vertical="center" wrapText="1"/>
    </xf>
    <xf numFmtId="0" fontId="24" fillId="0" borderId="261" xfId="0" applyNumberFormat="1" applyFont="1" applyFill="1" applyBorder="1" applyAlignment="1" applyProtection="1">
      <alignment vertical="center" wrapText="1"/>
    </xf>
    <xf numFmtId="0" fontId="23" fillId="0" borderId="262" xfId="0" applyNumberFormat="1" applyFont="1" applyFill="1" applyBorder="1" applyAlignment="1" applyProtection="1">
      <alignment vertical="center"/>
    </xf>
    <xf numFmtId="0" fontId="23" fillId="0" borderId="262" xfId="0" applyNumberFormat="1" applyFont="1" applyFill="1" applyBorder="1" applyAlignment="1" applyProtection="1">
      <alignment horizontal="center" vertical="center"/>
    </xf>
    <xf numFmtId="173" fontId="23" fillId="0" borderId="262" xfId="0" applyNumberFormat="1" applyFont="1" applyFill="1" applyBorder="1" applyAlignment="1" applyProtection="1">
      <alignment horizontal="center" vertical="center"/>
    </xf>
    <xf numFmtId="173" fontId="23" fillId="0" borderId="263" xfId="0" applyNumberFormat="1" applyFont="1" applyFill="1" applyBorder="1" applyAlignment="1" applyProtection="1">
      <alignment horizontal="center" vertical="center"/>
    </xf>
    <xf numFmtId="0" fontId="23" fillId="19" borderId="264" xfId="0" applyNumberFormat="1" applyFont="1" applyFill="1" applyBorder="1" applyAlignment="1" applyProtection="1">
      <alignment vertical="center" wrapText="1"/>
    </xf>
    <xf numFmtId="0" fontId="23" fillId="19" borderId="265" xfId="0" applyNumberFormat="1" applyFont="1" applyFill="1" applyBorder="1" applyAlignment="1" applyProtection="1">
      <alignment vertical="center"/>
    </xf>
    <xf numFmtId="0" fontId="23" fillId="19" borderId="265" xfId="0" applyNumberFormat="1" applyFont="1" applyFill="1" applyBorder="1" applyAlignment="1" applyProtection="1">
      <alignment horizontal="center" vertical="center"/>
    </xf>
    <xf numFmtId="173" fontId="23" fillId="19" borderId="265" xfId="0" applyNumberFormat="1" applyFont="1" applyFill="1" applyBorder="1" applyAlignment="1" applyProtection="1">
      <alignment horizontal="center" vertical="center"/>
    </xf>
    <xf numFmtId="173" fontId="23" fillId="19" borderId="266" xfId="0" applyNumberFormat="1" applyFont="1" applyFill="1" applyBorder="1" applyAlignment="1" applyProtection="1">
      <alignment horizontal="center" vertical="center"/>
    </xf>
    <xf numFmtId="0" fontId="23" fillId="19" borderId="264" xfId="0" applyNumberFormat="1" applyFont="1" applyFill="1" applyBorder="1" applyAlignment="1" applyProtection="1">
      <alignment horizontal="left" vertical="center" wrapText="1"/>
    </xf>
    <xf numFmtId="174" fontId="23" fillId="19" borderId="265" xfId="0" applyNumberFormat="1" applyFont="1" applyFill="1" applyBorder="1" applyAlignment="1" applyProtection="1">
      <alignment horizontal="center" vertical="center"/>
    </xf>
    <xf numFmtId="173" fontId="23" fillId="19" borderId="265" xfId="0" applyNumberFormat="1" applyFont="1" applyFill="1" applyBorder="1" applyAlignment="1" applyProtection="1">
      <alignment vertical="center"/>
    </xf>
    <xf numFmtId="0" fontId="24" fillId="0" borderId="264" xfId="0" applyNumberFormat="1" applyFont="1" applyFill="1" applyBorder="1" applyAlignment="1" applyProtection="1">
      <alignment vertical="center" wrapText="1"/>
    </xf>
    <xf numFmtId="0" fontId="23" fillId="0" borderId="265" xfId="0" applyNumberFormat="1" applyFont="1" applyFill="1" applyBorder="1" applyAlignment="1" applyProtection="1">
      <alignment vertical="center"/>
    </xf>
    <xf numFmtId="0" fontId="23" fillId="0" borderId="265" xfId="0" applyNumberFormat="1" applyFont="1" applyFill="1" applyBorder="1" applyAlignment="1" applyProtection="1">
      <alignment horizontal="center" vertical="center"/>
    </xf>
    <xf numFmtId="173" fontId="23" fillId="0" borderId="265" xfId="0" applyNumberFormat="1" applyFont="1" applyFill="1" applyBorder="1" applyAlignment="1" applyProtection="1">
      <alignment horizontal="center" vertical="center"/>
    </xf>
    <xf numFmtId="173" fontId="23" fillId="0" borderId="266" xfId="0" applyNumberFormat="1" applyFont="1" applyFill="1" applyBorder="1" applyAlignment="1" applyProtection="1">
      <alignment horizontal="center" vertical="center"/>
    </xf>
    <xf numFmtId="0" fontId="23" fillId="19" borderId="265" xfId="0" applyNumberFormat="1" applyFont="1" applyFill="1" applyBorder="1" applyAlignment="1" applyProtection="1">
      <alignment horizontal="left" vertical="center" wrapText="1"/>
    </xf>
    <xf numFmtId="0" fontId="23" fillId="0" borderId="265" xfId="0" applyNumberFormat="1" applyFont="1" applyFill="1" applyBorder="1" applyAlignment="1" applyProtection="1">
      <alignment vertical="center" wrapText="1"/>
    </xf>
    <xf numFmtId="0" fontId="23" fillId="19" borderId="265" xfId="0" applyNumberFormat="1" applyFont="1" applyFill="1" applyBorder="1" applyAlignment="1" applyProtection="1">
      <alignment vertical="center" wrapText="1"/>
    </xf>
    <xf numFmtId="49" fontId="23" fillId="19" borderId="264" xfId="0" applyNumberFormat="1" applyFont="1" applyFill="1" applyBorder="1" applyAlignment="1" applyProtection="1">
      <alignment vertical="center" wrapText="1"/>
    </xf>
    <xf numFmtId="49" fontId="23" fillId="19" borderId="265" xfId="0" applyNumberFormat="1" applyFont="1" applyFill="1" applyBorder="1" applyAlignment="1" applyProtection="1">
      <alignment vertical="center"/>
    </xf>
    <xf numFmtId="169" fontId="23" fillId="19" borderId="265" xfId="0" applyNumberFormat="1" applyFont="1" applyFill="1" applyBorder="1" applyAlignment="1" applyProtection="1">
      <alignment horizontal="center" vertical="center"/>
    </xf>
    <xf numFmtId="169" fontId="23" fillId="19" borderId="266" xfId="0" applyNumberFormat="1" applyFont="1" applyFill="1" applyBorder="1" applyAlignment="1" applyProtection="1">
      <alignment horizontal="center" vertical="center"/>
    </xf>
    <xf numFmtId="49" fontId="24" fillId="0" borderId="264" xfId="0" applyNumberFormat="1" applyFont="1" applyFill="1" applyBorder="1" applyAlignment="1" applyProtection="1">
      <alignment vertical="center" wrapText="1"/>
    </xf>
    <xf numFmtId="49" fontId="23" fillId="0" borderId="265" xfId="0" applyNumberFormat="1" applyFont="1" applyFill="1" applyBorder="1" applyAlignment="1" applyProtection="1">
      <alignment vertical="center"/>
    </xf>
    <xf numFmtId="176" fontId="23" fillId="0" borderId="265" xfId="0" applyNumberFormat="1" applyFont="1" applyFill="1" applyBorder="1" applyAlignment="1" applyProtection="1">
      <alignment horizontal="center" vertical="center"/>
    </xf>
    <xf numFmtId="176" fontId="23" fillId="0" borderId="266" xfId="0" applyNumberFormat="1" applyFont="1" applyFill="1" applyBorder="1" applyAlignment="1" applyProtection="1">
      <alignment horizontal="center" vertical="center"/>
    </xf>
    <xf numFmtId="0" fontId="24" fillId="0" borderId="264" xfId="0" applyFont="1" applyBorder="1" applyAlignment="1" applyProtection="1">
      <alignment vertical="center" wrapText="1"/>
    </xf>
    <xf numFmtId="0" fontId="24" fillId="0" borderId="265" xfId="0" applyFont="1" applyBorder="1" applyAlignment="1" applyProtection="1">
      <alignment vertical="center" wrapText="1"/>
    </xf>
    <xf numFmtId="0" fontId="24" fillId="0" borderId="266" xfId="0" applyFont="1" applyBorder="1" applyAlignment="1" applyProtection="1">
      <alignment vertical="center" wrapText="1"/>
    </xf>
    <xf numFmtId="0" fontId="23" fillId="0" borderId="265" xfId="0" applyFont="1" applyBorder="1" applyAlignment="1" applyProtection="1">
      <alignment vertical="center"/>
    </xf>
    <xf numFmtId="0" fontId="23" fillId="0" borderId="266" xfId="0" applyFont="1" applyBorder="1" applyAlignment="1" applyProtection="1">
      <alignment vertical="center"/>
    </xf>
    <xf numFmtId="14" fontId="44" fillId="0" borderId="0" xfId="0" applyNumberFormat="1" applyFont="1"/>
    <xf numFmtId="0" fontId="0" fillId="0" borderId="10" xfId="0" applyBorder="1" applyProtection="1"/>
    <xf numFmtId="0" fontId="0" fillId="0" borderId="10" xfId="0" applyBorder="1" applyAlignment="1" applyProtection="1">
      <alignment vertical="center" wrapText="1"/>
    </xf>
    <xf numFmtId="0" fontId="0" fillId="0" borderId="10" xfId="0" applyBorder="1" applyAlignment="1" applyProtection="1">
      <alignment horizontal="center" vertical="center"/>
    </xf>
    <xf numFmtId="0" fontId="0" fillId="0" borderId="10" xfId="0" applyFill="1" applyBorder="1" applyAlignment="1" applyProtection="1">
      <alignment vertical="center"/>
    </xf>
    <xf numFmtId="0" fontId="101" fillId="0" borderId="2" xfId="0" applyFont="1" applyBorder="1" applyAlignment="1" applyProtection="1">
      <alignment wrapText="1"/>
    </xf>
    <xf numFmtId="0" fontId="101" fillId="0" borderId="2" xfId="0" applyFont="1" applyFill="1" applyBorder="1" applyAlignment="1" applyProtection="1">
      <alignment wrapText="1"/>
    </xf>
    <xf numFmtId="0" fontId="101" fillId="0" borderId="2" xfId="0" applyFont="1" applyBorder="1" applyAlignment="1" applyProtection="1">
      <alignment vertical="center" wrapText="1"/>
    </xf>
    <xf numFmtId="0" fontId="100" fillId="0" borderId="1" xfId="0" applyFont="1" applyBorder="1" applyProtection="1"/>
    <xf numFmtId="0" fontId="100" fillId="0" borderId="1" xfId="0" applyFont="1" applyBorder="1" applyAlignment="1" applyProtection="1">
      <alignment vertical="center"/>
    </xf>
    <xf numFmtId="0" fontId="101" fillId="0" borderId="2" xfId="0" applyFont="1" applyBorder="1" applyAlignment="1" applyProtection="1">
      <alignment vertical="center"/>
    </xf>
    <xf numFmtId="0" fontId="22" fillId="0" borderId="2" xfId="0" quotePrefix="1" applyNumberFormat="1" applyFont="1" applyFill="1" applyBorder="1" applyAlignment="1" applyProtection="1"/>
    <xf numFmtId="0" fontId="95" fillId="0" borderId="233" xfId="0" applyNumberFormat="1" applyFont="1" applyFill="1" applyBorder="1" applyAlignment="1" applyProtection="1">
      <alignment horizontal="left" vertical="center" wrapText="1"/>
    </xf>
    <xf numFmtId="0" fontId="19" fillId="0" borderId="1" xfId="0" applyFont="1" applyBorder="1" applyAlignment="1" applyProtection="1">
      <alignment horizontal="left"/>
    </xf>
    <xf numFmtId="49" fontId="0" fillId="0" borderId="0" xfId="0" applyNumberFormat="1" applyProtection="1"/>
    <xf numFmtId="0" fontId="24" fillId="0" borderId="264" xfId="0" applyFont="1" applyBorder="1" applyAlignment="1" applyProtection="1">
      <alignment vertical="center"/>
    </xf>
    <xf numFmtId="173" fontId="23" fillId="19" borderId="264" xfId="0" applyNumberFormat="1" applyFont="1" applyFill="1" applyBorder="1" applyAlignment="1" applyProtection="1">
      <alignment horizontal="left" vertical="center" wrapText="1"/>
    </xf>
    <xf numFmtId="173" fontId="23" fillId="19" borderId="264" xfId="0" applyNumberFormat="1" applyFont="1" applyFill="1" applyBorder="1" applyAlignment="1" applyProtection="1">
      <alignment horizontal="left" vertical="center"/>
    </xf>
    <xf numFmtId="0" fontId="23" fillId="0" borderId="265" xfId="0" applyFont="1" applyBorder="1" applyAlignment="1" applyProtection="1">
      <alignment vertical="center" wrapText="1"/>
    </xf>
    <xf numFmtId="0" fontId="102" fillId="10" borderId="0" xfId="0" applyFont="1" applyFill="1" applyAlignment="1">
      <alignment horizontal="center" vertical="center" wrapText="1"/>
    </xf>
    <xf numFmtId="169" fontId="56" fillId="0" borderId="136" xfId="0" applyNumberFormat="1" applyFont="1" applyBorder="1" applyAlignment="1" applyProtection="1">
      <alignment horizontal="right" vertical="center"/>
    </xf>
    <xf numFmtId="49" fontId="23" fillId="3" borderId="34" xfId="0" applyNumberFormat="1" applyFont="1" applyFill="1" applyBorder="1" applyAlignment="1" applyProtection="1">
      <alignment wrapText="1" shrinkToFit="1"/>
      <protection locked="0"/>
    </xf>
    <xf numFmtId="49" fontId="0" fillId="0" borderId="198" xfId="0" applyNumberFormat="1" applyBorder="1" applyAlignment="1" applyProtection="1">
      <alignment horizontal="left" vertical="center" wrapText="1" indent="1"/>
    </xf>
    <xf numFmtId="169" fontId="86" fillId="0" borderId="260" xfId="0" applyNumberFormat="1" applyFont="1" applyFill="1" applyBorder="1" applyAlignment="1" applyProtection="1">
      <alignment horizontal="center" vertical="center"/>
    </xf>
    <xf numFmtId="175" fontId="23" fillId="0" borderId="0" xfId="0" applyNumberFormat="1" applyFont="1" applyProtection="1"/>
    <xf numFmtId="49" fontId="25" fillId="2" borderId="267" xfId="0" applyNumberFormat="1" applyFont="1" applyFill="1" applyBorder="1" applyAlignment="1" applyProtection="1">
      <alignment horizontal="center" vertical="center" wrapText="1"/>
    </xf>
    <xf numFmtId="49" fontId="38" fillId="3" borderId="268" xfId="0" applyNumberFormat="1" applyFont="1" applyFill="1" applyBorder="1" applyAlignment="1" applyProtection="1">
      <alignment vertical="center"/>
      <protection locked="0"/>
    </xf>
    <xf numFmtId="49" fontId="38" fillId="3" borderId="269" xfId="0" applyNumberFormat="1" applyFont="1" applyFill="1" applyBorder="1" applyAlignment="1" applyProtection="1">
      <alignment vertical="center"/>
      <protection locked="0"/>
    </xf>
    <xf numFmtId="49" fontId="0" fillId="0" borderId="198" xfId="0" applyNumberFormat="1" applyBorder="1" applyAlignment="1" applyProtection="1">
      <alignment horizontal="left" vertical="center" wrapText="1"/>
    </xf>
    <xf numFmtId="0" fontId="29" fillId="3" borderId="234" xfId="0" applyNumberFormat="1" applyFont="1" applyFill="1" applyBorder="1" applyAlignment="1" applyProtection="1">
      <alignment vertical="center"/>
      <protection locked="0"/>
    </xf>
    <xf numFmtId="0" fontId="29" fillId="3" borderId="270" xfId="0" applyNumberFormat="1" applyFont="1" applyFill="1" applyBorder="1" applyAlignment="1" applyProtection="1">
      <alignment vertical="center"/>
      <protection locked="0"/>
    </xf>
    <xf numFmtId="0" fontId="29" fillId="3" borderId="145" xfId="0" applyNumberFormat="1" applyFont="1" applyFill="1" applyBorder="1" applyAlignment="1" applyProtection="1">
      <alignment horizontal="center" vertical="center" wrapText="1" shrinkToFit="1"/>
      <protection locked="0"/>
    </xf>
    <xf numFmtId="170" fontId="29" fillId="0" borderId="145" xfId="0" applyNumberFormat="1" applyFont="1" applyFill="1" applyBorder="1" applyAlignment="1" applyProtection="1">
      <alignment horizontal="center" vertical="center"/>
    </xf>
    <xf numFmtId="0" fontId="29" fillId="3" borderId="145" xfId="0" applyNumberFormat="1" applyFont="1" applyFill="1" applyBorder="1" applyAlignment="1" applyProtection="1">
      <alignment horizontal="center" vertical="center"/>
      <protection locked="0"/>
    </xf>
    <xf numFmtId="0" fontId="29" fillId="3" borderId="271" xfId="0" applyNumberFormat="1" applyFont="1" applyFill="1" applyBorder="1" applyAlignment="1" applyProtection="1">
      <alignment horizontal="center" vertical="center"/>
      <protection locked="0"/>
    </xf>
    <xf numFmtId="173" fontId="23" fillId="19" borderId="265" xfId="0" applyNumberFormat="1" applyFont="1" applyFill="1" applyBorder="1" applyAlignment="1" applyProtection="1">
      <alignment horizontal="left" vertical="center"/>
    </xf>
    <xf numFmtId="0" fontId="57" fillId="0" borderId="20" xfId="0" applyFont="1" applyBorder="1" applyAlignment="1">
      <alignment horizontal="left" wrapText="1"/>
    </xf>
    <xf numFmtId="173" fontId="23" fillId="7" borderId="13" xfId="0" applyNumberFormat="1" applyFont="1" applyFill="1" applyBorder="1" applyAlignment="1" applyProtection="1">
      <alignment horizontal="right"/>
    </xf>
    <xf numFmtId="169" fontId="23" fillId="3" borderId="272" xfId="0" applyNumberFormat="1" applyFont="1" applyFill="1" applyBorder="1" applyAlignment="1" applyProtection="1">
      <alignment horizontal="right" wrapText="1" shrinkToFit="1"/>
      <protection locked="0"/>
    </xf>
    <xf numFmtId="187" fontId="23" fillId="3" borderId="6" xfId="0" applyNumberFormat="1" applyFont="1" applyFill="1" applyBorder="1" applyAlignment="1" applyProtection="1">
      <alignment horizontal="right" wrapText="1" shrinkToFit="1"/>
      <protection locked="0"/>
    </xf>
    <xf numFmtId="187" fontId="23" fillId="3" borderId="273" xfId="0" applyNumberFormat="1" applyFont="1" applyFill="1" applyBorder="1" applyAlignment="1" applyProtection="1">
      <alignment horizontal="right" wrapText="1" shrinkToFit="1"/>
      <protection locked="0"/>
    </xf>
    <xf numFmtId="0" fontId="24" fillId="0" borderId="113" xfId="0" applyFont="1" applyFill="1" applyBorder="1" applyAlignment="1" applyProtection="1">
      <alignment vertical="center" wrapText="1"/>
    </xf>
    <xf numFmtId="14" fontId="29" fillId="0" borderId="136" xfId="0" applyNumberFormat="1" applyFont="1" applyFill="1" applyBorder="1" applyAlignment="1" applyProtection="1">
      <alignment horizontal="left" vertical="center" wrapText="1" shrinkToFit="1"/>
    </xf>
    <xf numFmtId="0" fontId="29" fillId="0" borderId="145" xfId="0" applyNumberFormat="1" applyFont="1" applyFill="1" applyBorder="1" applyAlignment="1" applyProtection="1">
      <alignment horizontal="left" vertical="center" wrapText="1" shrinkToFit="1"/>
    </xf>
    <xf numFmtId="177" fontId="23" fillId="0" borderId="6" xfId="0" applyNumberFormat="1" applyFont="1" applyFill="1" applyBorder="1" applyAlignment="1" applyProtection="1">
      <alignment horizontal="center"/>
    </xf>
    <xf numFmtId="0" fontId="96" fillId="0" borderId="0" xfId="0" applyFont="1" applyAlignment="1" applyProtection="1">
      <alignment vertical="center"/>
    </xf>
    <xf numFmtId="0" fontId="25" fillId="2" borderId="274" xfId="0" applyNumberFormat="1" applyFont="1" applyFill="1" applyBorder="1" applyAlignment="1" applyProtection="1">
      <alignment horizontal="center" vertical="center" wrapText="1"/>
    </xf>
    <xf numFmtId="0" fontId="23" fillId="5" borderId="275" xfId="0" applyNumberFormat="1" applyFont="1" applyFill="1" applyBorder="1" applyAlignment="1" applyProtection="1">
      <alignment horizontal="center" vertical="center"/>
    </xf>
    <xf numFmtId="169" fontId="29" fillId="0" borderId="6" xfId="0" applyNumberFormat="1" applyFont="1" applyFill="1" applyBorder="1" applyAlignment="1" applyProtection="1">
      <alignment horizontal="right" wrapText="1" shrinkToFit="1"/>
    </xf>
    <xf numFmtId="169" fontId="29" fillId="0" borderId="41" xfId="0" applyNumberFormat="1" applyFont="1" applyFill="1" applyBorder="1" applyAlignment="1" applyProtection="1">
      <alignment horizontal="right" wrapText="1" shrinkToFit="1"/>
    </xf>
    <xf numFmtId="169" fontId="29" fillId="0" borderId="145" xfId="0" applyNumberFormat="1" applyFont="1" applyBorder="1" applyAlignment="1" applyProtection="1">
      <alignment horizontal="right" vertical="center"/>
    </xf>
    <xf numFmtId="14" fontId="21" fillId="0" borderId="136" xfId="0" applyNumberFormat="1" applyFont="1" applyBorder="1" applyAlignment="1" applyProtection="1">
      <alignment horizontal="center" vertical="center" wrapText="1"/>
    </xf>
    <xf numFmtId="175" fontId="23" fillId="11" borderId="75" xfId="0" applyNumberFormat="1" applyFont="1" applyFill="1" applyBorder="1" applyAlignment="1" applyProtection="1">
      <alignment horizontal="right" wrapText="1" shrinkToFit="1"/>
    </xf>
    <xf numFmtId="10" fontId="34" fillId="4" borderId="26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NumberFormat="1" applyFont="1" applyFill="1" applyAlignment="1" applyProtection="1">
      <alignment horizontal="center" vertical="center"/>
    </xf>
    <xf numFmtId="0" fontId="103" fillId="0" borderId="0" xfId="0" applyFont="1" applyFill="1" applyProtection="1"/>
    <xf numFmtId="183" fontId="23" fillId="0" borderId="276" xfId="0" applyNumberFormat="1" applyFont="1" applyFill="1" applyBorder="1" applyAlignment="1" applyProtection="1">
      <alignment horizontal="center" wrapText="1" shrinkToFit="1"/>
    </xf>
    <xf numFmtId="183" fontId="23" fillId="0" borderId="277" xfId="0" applyNumberFormat="1" applyFont="1" applyFill="1" applyBorder="1" applyAlignment="1" applyProtection="1">
      <alignment horizontal="center" wrapText="1" shrinkToFit="1"/>
    </xf>
    <xf numFmtId="184" fontId="23" fillId="3" borderId="173" xfId="0" applyNumberFormat="1" applyFont="1" applyFill="1" applyBorder="1" applyAlignment="1" applyProtection="1">
      <alignment horizontal="right" wrapText="1" shrinkToFit="1"/>
    </xf>
    <xf numFmtId="175" fontId="23" fillId="0" borderId="6" xfId="0" applyNumberFormat="1" applyFont="1" applyFill="1" applyBorder="1" applyAlignment="1" applyProtection="1">
      <alignment horizontal="center" vertical="center" wrapText="1" shrinkToFit="1"/>
    </xf>
    <xf numFmtId="175" fontId="23" fillId="0" borderId="75" xfId="0" applyNumberFormat="1" applyFont="1" applyFill="1" applyBorder="1" applyAlignment="1" applyProtection="1">
      <alignment horizontal="right"/>
    </xf>
    <xf numFmtId="0" fontId="34" fillId="0" borderId="0" xfId="0" applyFont="1" applyFill="1" applyAlignment="1" applyProtection="1">
      <alignment vertical="center"/>
    </xf>
    <xf numFmtId="0" fontId="34" fillId="0" borderId="0" xfId="0" applyFont="1" applyFill="1" applyProtection="1"/>
    <xf numFmtId="0" fontId="31" fillId="0" borderId="0" xfId="0" applyNumberFormat="1" applyFont="1" applyFill="1" applyBorder="1" applyAlignment="1" applyProtection="1"/>
    <xf numFmtId="0" fontId="83" fillId="0" borderId="0" xfId="0" applyFont="1" applyBorder="1" applyProtection="1"/>
    <xf numFmtId="0" fontId="31" fillId="0" borderId="0" xfId="0" applyNumberFormat="1" applyFont="1" applyAlignment="1" applyProtection="1">
      <alignment horizontal="left"/>
    </xf>
    <xf numFmtId="3" fontId="22" fillId="0" borderId="0" xfId="0" applyNumberFormat="1" applyFont="1" applyFill="1" applyBorder="1" applyAlignment="1" applyProtection="1">
      <alignment wrapText="1"/>
    </xf>
    <xf numFmtId="0" fontId="104" fillId="0" borderId="0" xfId="0" applyFont="1" applyProtection="1"/>
    <xf numFmtId="0" fontId="27" fillId="0" borderId="0" xfId="0" applyFont="1" applyAlignment="1">
      <alignment wrapText="1"/>
    </xf>
    <xf numFmtId="0" fontId="31" fillId="0" borderId="0" xfId="0" applyNumberFormat="1" applyFont="1" applyProtection="1"/>
    <xf numFmtId="0" fontId="83" fillId="0" borderId="0" xfId="0" applyNumberFormat="1" applyFont="1" applyFill="1" applyBorder="1" applyAlignment="1" applyProtection="1">
      <alignment vertical="center" wrapText="1"/>
    </xf>
    <xf numFmtId="0" fontId="31" fillId="0" borderId="0" xfId="0" applyNumberFormat="1" applyFont="1" applyFill="1" applyBorder="1" applyAlignment="1" applyProtection="1">
      <alignment vertical="center" wrapText="1"/>
    </xf>
    <xf numFmtId="0" fontId="67" fillId="0" borderId="2" xfId="0" applyNumberFormat="1" applyFont="1" applyFill="1" applyBorder="1" applyAlignment="1" applyProtection="1">
      <alignment wrapText="1"/>
    </xf>
    <xf numFmtId="49" fontId="83" fillId="0" borderId="0" xfId="0" applyNumberFormat="1" applyFont="1" applyFill="1" applyBorder="1" applyAlignment="1" applyProtection="1"/>
    <xf numFmtId="0" fontId="58" fillId="0" borderId="0" xfId="0" applyFont="1" applyBorder="1" applyProtection="1"/>
    <xf numFmtId="49" fontId="58" fillId="0" borderId="0" xfId="0" applyNumberFormat="1" applyFont="1" applyBorder="1" applyProtection="1"/>
    <xf numFmtId="0" fontId="58" fillId="0" borderId="0" xfId="0" applyFont="1" applyAlignment="1" applyProtection="1">
      <alignment wrapText="1"/>
    </xf>
    <xf numFmtId="2" fontId="0" fillId="0" borderId="0" xfId="0" applyNumberFormat="1" applyProtection="1"/>
    <xf numFmtId="0" fontId="82" fillId="0" borderId="0" xfId="0" applyNumberFormat="1" applyFont="1" applyFill="1" applyBorder="1" applyAlignment="1" applyProtection="1">
      <alignment horizontal="left" vertical="center"/>
    </xf>
    <xf numFmtId="0" fontId="106" fillId="0" borderId="2" xfId="0" applyNumberFormat="1" applyFont="1" applyFill="1" applyBorder="1" applyAlignment="1" applyProtection="1">
      <alignment wrapText="1"/>
    </xf>
    <xf numFmtId="0" fontId="83" fillId="0" borderId="2" xfId="0" applyFont="1" applyBorder="1" applyAlignment="1" applyProtection="1"/>
    <xf numFmtId="0" fontId="58" fillId="0" borderId="0" xfId="0" applyFont="1" applyAlignment="1" applyProtection="1"/>
    <xf numFmtId="0" fontId="83" fillId="0" borderId="0" xfId="0" applyNumberFormat="1" applyFont="1" applyAlignment="1" applyProtection="1">
      <alignment horizontal="left"/>
    </xf>
    <xf numFmtId="0" fontId="22" fillId="0" borderId="2" xfId="0" applyNumberFormat="1" applyFont="1" applyFill="1" applyBorder="1" applyAlignment="1" applyProtection="1">
      <protection locked="0"/>
    </xf>
    <xf numFmtId="0" fontId="106" fillId="0" borderId="0" xfId="0" applyNumberFormat="1" applyFont="1" applyProtection="1"/>
    <xf numFmtId="0" fontId="31" fillId="0" borderId="0" xfId="0" applyNumberFormat="1" applyFont="1" applyFill="1" applyBorder="1" applyAlignment="1" applyProtection="1">
      <alignment wrapText="1"/>
    </xf>
    <xf numFmtId="0" fontId="83" fillId="0" borderId="0" xfId="0" applyNumberFormat="1" applyFont="1" applyAlignment="1" applyProtection="1">
      <alignment wrapText="1"/>
    </xf>
    <xf numFmtId="49" fontId="19" fillId="0" borderId="0" xfId="0" applyNumberFormat="1" applyFont="1" applyBorder="1" applyProtection="1"/>
    <xf numFmtId="0" fontId="58" fillId="7" borderId="0" xfId="0" applyFont="1" applyFill="1" applyBorder="1" applyProtection="1"/>
    <xf numFmtId="0" fontId="27" fillId="0" borderId="0" xfId="0" applyFont="1" applyAlignment="1">
      <alignment vertical="center" wrapText="1"/>
    </xf>
    <xf numFmtId="0" fontId="83" fillId="0" borderId="0" xfId="0" applyNumberFormat="1" applyFont="1" applyFill="1" applyBorder="1" applyAlignment="1" applyProtection="1">
      <alignment horizontal="center"/>
    </xf>
    <xf numFmtId="49" fontId="44" fillId="0" borderId="0" xfId="0" applyNumberFormat="1" applyFont="1"/>
    <xf numFmtId="0" fontId="107" fillId="0" borderId="0" xfId="0" applyNumberFormat="1" applyFont="1" applyProtection="1"/>
    <xf numFmtId="0" fontId="107" fillId="0" borderId="0" xfId="0" applyNumberFormat="1" applyFont="1" applyAlignment="1" applyProtection="1"/>
    <xf numFmtId="0" fontId="106" fillId="0" borderId="2" xfId="0" applyFont="1" applyBorder="1" applyProtection="1"/>
    <xf numFmtId="0" fontId="107" fillId="0" borderId="0" xfId="0" applyNumberFormat="1" applyFont="1" applyFill="1" applyBorder="1" applyAlignment="1" applyProtection="1"/>
    <xf numFmtId="0" fontId="104" fillId="0" borderId="0" xfId="0" applyFont="1" applyAlignment="1" applyProtection="1"/>
    <xf numFmtId="0" fontId="104" fillId="0" borderId="0" xfId="0" applyFont="1"/>
    <xf numFmtId="49" fontId="29" fillId="0" borderId="136" xfId="0" applyNumberFormat="1" applyFont="1" applyFill="1" applyBorder="1" applyAlignment="1" applyProtection="1">
      <alignment horizontal="left" vertical="center" wrapText="1"/>
      <protection locked="0"/>
    </xf>
    <xf numFmtId="0" fontId="0" fillId="7" borderId="0" xfId="0" applyFill="1"/>
    <xf numFmtId="0" fontId="0" fillId="0" borderId="279" xfId="0" applyBorder="1"/>
    <xf numFmtId="0" fontId="0" fillId="18" borderId="280" xfId="0" applyFill="1" applyBorder="1"/>
    <xf numFmtId="0" fontId="0" fillId="18" borderId="281" xfId="0" applyFill="1" applyBorder="1"/>
    <xf numFmtId="0" fontId="0" fillId="18" borderId="282" xfId="0" applyFill="1" applyBorder="1"/>
    <xf numFmtId="0" fontId="0" fillId="18" borderId="283" xfId="0" applyFill="1" applyBorder="1"/>
    <xf numFmtId="0" fontId="0" fillId="18" borderId="0" xfId="0" applyFill="1" applyBorder="1"/>
    <xf numFmtId="0" fontId="0" fillId="18" borderId="230" xfId="0" applyFill="1" applyBorder="1"/>
    <xf numFmtId="0" fontId="0" fillId="18" borderId="284" xfId="0" applyFill="1" applyBorder="1"/>
    <xf numFmtId="0" fontId="0" fillId="18" borderId="285" xfId="0" applyFill="1" applyBorder="1"/>
    <xf numFmtId="0" fontId="0" fillId="18" borderId="231" xfId="0" applyFill="1" applyBorder="1"/>
    <xf numFmtId="0" fontId="0" fillId="0" borderId="171" xfId="0" applyBorder="1"/>
    <xf numFmtId="0" fontId="0" fillId="0" borderId="229" xfId="0" applyBorder="1"/>
    <xf numFmtId="0" fontId="0" fillId="0" borderId="286" xfId="0" applyBorder="1"/>
    <xf numFmtId="0" fontId="0" fillId="0" borderId="287" xfId="0" applyBorder="1"/>
    <xf numFmtId="0" fontId="0" fillId="0" borderId="288" xfId="0" applyBorder="1"/>
    <xf numFmtId="0" fontId="105" fillId="0" borderId="0" xfId="0" applyFont="1"/>
    <xf numFmtId="1" fontId="0" fillId="0" borderId="0" xfId="0" applyNumberFormat="1" applyFill="1" applyBorder="1"/>
    <xf numFmtId="1" fontId="0" fillId="0" borderId="0" xfId="0" applyNumberFormat="1" applyFill="1" applyBorder="1" applyAlignment="1"/>
    <xf numFmtId="1" fontId="0" fillId="0" borderId="0" xfId="0" applyNumberFormat="1" applyFill="1" applyBorder="1" applyProtection="1"/>
    <xf numFmtId="1" fontId="95" fillId="0" borderId="0" xfId="0" applyNumberFormat="1" applyFont="1" applyFill="1" applyBorder="1" applyAlignment="1" applyProtection="1">
      <alignment horizontal="left" vertical="center" wrapText="1"/>
      <protection locked="0"/>
    </xf>
    <xf numFmtId="1" fontId="21" fillId="0" borderId="0" xfId="0" applyNumberFormat="1" applyFont="1" applyFill="1" applyBorder="1" applyAlignment="1" applyProtection="1">
      <alignment vertical="center"/>
      <protection locked="0"/>
    </xf>
    <xf numFmtId="1" fontId="21" fillId="0" borderId="0" xfId="0" applyNumberFormat="1" applyFont="1" applyFill="1" applyBorder="1" applyAlignment="1" applyProtection="1">
      <alignment horizontal="left" vertical="center" wrapText="1"/>
      <protection locked="0"/>
    </xf>
    <xf numFmtId="1" fontId="21" fillId="0" borderId="0" xfId="0" applyNumberFormat="1" applyFont="1" applyFill="1" applyBorder="1" applyAlignment="1" applyProtection="1">
      <alignment horizontal="left" vertical="center"/>
      <protection locked="0"/>
    </xf>
    <xf numFmtId="1" fontId="34" fillId="0" borderId="0" xfId="0" applyNumberFormat="1" applyFont="1" applyFill="1" applyBorder="1" applyAlignment="1" applyProtection="1">
      <protection locked="0"/>
    </xf>
    <xf numFmtId="1" fontId="29" fillId="0" borderId="0" xfId="0" applyNumberFormat="1" applyFont="1" applyFill="1" applyBorder="1" applyAlignment="1" applyProtection="1">
      <alignment horizontal="left" vertical="center"/>
      <protection locked="0"/>
    </xf>
    <xf numFmtId="1" fontId="29" fillId="0" borderId="0" xfId="0" applyNumberFormat="1" applyFont="1" applyFill="1" applyBorder="1" applyAlignment="1" applyProtection="1">
      <alignment vertical="center" wrapText="1"/>
      <protection locked="0"/>
    </xf>
    <xf numFmtId="1" fontId="56" fillId="0" borderId="0" xfId="0" applyNumberFormat="1" applyFont="1" applyFill="1" applyBorder="1" applyAlignment="1" applyProtection="1">
      <alignment vertical="center"/>
      <protection locked="0"/>
    </xf>
    <xf numFmtId="1" fontId="29" fillId="0" borderId="0" xfId="0" applyNumberFormat="1" applyFont="1" applyFill="1" applyBorder="1" applyAlignment="1" applyProtection="1">
      <alignment vertical="center" wrapText="1"/>
      <protection locked="0"/>
    </xf>
    <xf numFmtId="14" fontId="34" fillId="4" borderId="26" xfId="0" applyNumberFormat="1" applyFont="1" applyFill="1" applyBorder="1" applyAlignment="1" applyProtection="1">
      <protection locked="0"/>
    </xf>
    <xf numFmtId="0" fontId="0" fillId="20" borderId="279" xfId="0" applyFill="1" applyBorder="1"/>
    <xf numFmtId="0" fontId="0" fillId="20" borderId="171" xfId="0" applyFill="1" applyBorder="1"/>
    <xf numFmtId="0" fontId="19" fillId="7" borderId="0" xfId="0" applyFont="1" applyFill="1" applyAlignment="1">
      <alignment wrapText="1"/>
    </xf>
    <xf numFmtId="0" fontId="0" fillId="7" borderId="113" xfId="0" applyFill="1" applyBorder="1"/>
    <xf numFmtId="0" fontId="0" fillId="7" borderId="176" xfId="0" applyFill="1" applyBorder="1"/>
    <xf numFmtId="0" fontId="0" fillId="7" borderId="289" xfId="0" applyFill="1" applyBorder="1"/>
    <xf numFmtId="0" fontId="112" fillId="7" borderId="0" xfId="0" applyFont="1" applyFill="1"/>
    <xf numFmtId="0" fontId="24" fillId="0" borderId="290" xfId="0" applyFont="1" applyBorder="1" applyAlignment="1" applyProtection="1">
      <alignment vertical="center"/>
    </xf>
    <xf numFmtId="0" fontId="23" fillId="0" borderId="291" xfId="0" applyFont="1" applyBorder="1" applyAlignment="1" applyProtection="1">
      <alignment vertical="center"/>
    </xf>
    <xf numFmtId="0" fontId="23" fillId="0" borderId="291" xfId="0" applyFont="1" applyBorder="1" applyAlignment="1" applyProtection="1">
      <alignment horizontal="center" vertical="center"/>
    </xf>
    <xf numFmtId="0" fontId="23" fillId="0" borderId="292" xfId="0" applyFont="1" applyBorder="1" applyAlignment="1" applyProtection="1">
      <alignment horizontal="center" vertical="center"/>
    </xf>
    <xf numFmtId="0" fontId="112" fillId="0" borderId="0" xfId="0" applyFont="1" applyProtection="1"/>
    <xf numFmtId="49" fontId="38" fillId="3" borderId="145" xfId="0" applyNumberFormat="1" applyFont="1" applyFill="1" applyBorder="1" applyAlignment="1" applyProtection="1">
      <alignment horizontal="left" vertical="center" wrapText="1"/>
      <protection locked="0"/>
    </xf>
    <xf numFmtId="0" fontId="23" fillId="4" borderId="293" xfId="0" applyFont="1" applyFill="1" applyBorder="1" applyAlignment="1" applyProtection="1">
      <alignment horizontal="center" vertical="center"/>
      <protection locked="0"/>
    </xf>
    <xf numFmtId="0" fontId="23" fillId="4" borderId="179" xfId="0" applyFont="1" applyFill="1" applyBorder="1" applyAlignment="1" applyProtection="1">
      <alignment horizontal="center" vertical="center"/>
      <protection locked="0"/>
    </xf>
    <xf numFmtId="0" fontId="23" fillId="4" borderId="32" xfId="0" applyFont="1" applyFill="1" applyBorder="1" applyAlignment="1" applyProtection="1">
      <alignment horizontal="center" vertical="center"/>
      <protection locked="0"/>
    </xf>
    <xf numFmtId="0" fontId="23" fillId="0" borderId="75" xfId="0" applyNumberFormat="1" applyFont="1" applyBorder="1" applyAlignment="1" applyProtection="1">
      <alignment horizontal="center"/>
    </xf>
    <xf numFmtId="0" fontId="113" fillId="0" borderId="2" xfId="0" applyFont="1" applyBorder="1" applyProtection="1"/>
    <xf numFmtId="0" fontId="114" fillId="0" borderId="0" xfId="0" applyFont="1" applyProtection="1"/>
    <xf numFmtId="0" fontId="115" fillId="0" borderId="0" xfId="0" applyNumberFormat="1" applyFont="1" applyFill="1" applyBorder="1" applyAlignment="1" applyProtection="1"/>
    <xf numFmtId="0" fontId="115" fillId="0" borderId="0" xfId="0" applyFont="1" applyProtection="1"/>
    <xf numFmtId="0" fontId="115" fillId="0" borderId="0" xfId="0" applyNumberFormat="1" applyFont="1" applyProtection="1"/>
    <xf numFmtId="0" fontId="108" fillId="0" borderId="0" xfId="0" applyNumberFormat="1" applyFont="1" applyFill="1" applyBorder="1" applyAlignment="1" applyProtection="1">
      <alignment horizontal="left" vertical="center"/>
    </xf>
    <xf numFmtId="0" fontId="108" fillId="21" borderId="113" xfId="0" applyNumberFormat="1" applyFont="1" applyFill="1" applyBorder="1" applyAlignment="1" applyProtection="1">
      <alignment horizontal="left" vertical="center"/>
    </xf>
    <xf numFmtId="0" fontId="25" fillId="0" borderId="0" xfId="0" applyNumberFormat="1" applyFont="1" applyFill="1" applyBorder="1" applyAlignment="1" applyProtection="1">
      <alignment horizontal="center" vertical="center" wrapText="1"/>
    </xf>
    <xf numFmtId="0" fontId="108" fillId="4" borderId="113" xfId="0" applyNumberFormat="1" applyFont="1" applyFill="1" applyBorder="1" applyAlignment="1" applyProtection="1">
      <alignment horizontal="left" vertical="center"/>
    </xf>
    <xf numFmtId="175" fontId="29" fillId="0" borderId="0" xfId="0" applyNumberFormat="1" applyFont="1" applyFill="1" applyBorder="1" applyAlignment="1" applyProtection="1">
      <alignment horizontal="right"/>
    </xf>
    <xf numFmtId="0" fontId="109" fillId="0" borderId="0" xfId="0" applyNumberFormat="1" applyFont="1" applyFill="1" applyBorder="1" applyAlignment="1" applyProtection="1">
      <alignment horizontal="left" vertical="center" wrapText="1"/>
    </xf>
    <xf numFmtId="0" fontId="109" fillId="22" borderId="113" xfId="0" applyNumberFormat="1" applyFont="1" applyFill="1" applyBorder="1" applyAlignment="1" applyProtection="1">
      <alignment horizontal="left" vertical="center" wrapText="1"/>
    </xf>
    <xf numFmtId="175" fontId="110" fillId="21" borderId="113" xfId="0" applyNumberFormat="1" applyFont="1" applyFill="1" applyBorder="1" applyAlignment="1" applyProtection="1">
      <alignment horizontal="right" vertical="center"/>
    </xf>
    <xf numFmtId="0" fontId="34" fillId="0" borderId="0" xfId="0" applyNumberFormat="1" applyFont="1" applyFill="1" applyBorder="1" applyAlignment="1" applyProtection="1">
      <alignment horizontal="center" vertical="center"/>
    </xf>
    <xf numFmtId="0" fontId="109" fillId="23" borderId="113" xfId="0" applyNumberFormat="1" applyFont="1" applyFill="1" applyBorder="1" applyAlignment="1" applyProtection="1">
      <alignment horizontal="left" vertical="center" wrapText="1"/>
    </xf>
    <xf numFmtId="175" fontId="110" fillId="4" borderId="113" xfId="0" applyNumberFormat="1" applyFont="1" applyFill="1" applyBorder="1" applyAlignment="1" applyProtection="1">
      <alignment horizontal="right" vertical="center"/>
    </xf>
    <xf numFmtId="0" fontId="111" fillId="4" borderId="113" xfId="0" applyNumberFormat="1" applyFont="1" applyFill="1" applyBorder="1" applyAlignment="1" applyProtection="1">
      <alignment vertical="center" wrapText="1"/>
    </xf>
    <xf numFmtId="175" fontId="76" fillId="4" borderId="294" xfId="0" applyNumberFormat="1" applyFont="1" applyFill="1" applyBorder="1" applyAlignment="1" applyProtection="1">
      <alignment horizontal="right" vertical="center"/>
    </xf>
    <xf numFmtId="175" fontId="76" fillId="4" borderId="113" xfId="0" applyNumberFormat="1" applyFont="1" applyFill="1" applyBorder="1" applyAlignment="1" applyProtection="1">
      <alignment horizontal="right" vertical="center"/>
    </xf>
    <xf numFmtId="175" fontId="66" fillId="0" borderId="113" xfId="0" applyNumberFormat="1" applyFont="1" applyFill="1" applyBorder="1" applyAlignment="1" applyProtection="1">
      <alignment horizontal="right" vertical="center"/>
    </xf>
    <xf numFmtId="173" fontId="23" fillId="0" borderId="295" xfId="0" applyNumberFormat="1" applyFont="1" applyBorder="1" applyAlignment="1" applyProtection="1">
      <alignment horizontal="right"/>
    </xf>
    <xf numFmtId="0" fontId="116" fillId="0" borderId="0" xfId="0" applyNumberFormat="1" applyFont="1" applyFill="1" applyAlignment="1" applyProtection="1"/>
    <xf numFmtId="0" fontId="21" fillId="0" borderId="6" xfId="0" applyFont="1" applyFill="1" applyBorder="1" applyAlignment="1" applyProtection="1">
      <alignment horizontal="center" vertical="center"/>
    </xf>
    <xf numFmtId="49" fontId="23" fillId="19" borderId="265" xfId="0" applyNumberFormat="1" applyFont="1" applyFill="1" applyBorder="1" applyAlignment="1" applyProtection="1">
      <alignment vertical="center" wrapText="1"/>
    </xf>
    <xf numFmtId="14" fontId="23" fillId="0" borderId="0" xfId="0" applyNumberFormat="1" applyFont="1" applyFill="1" applyBorder="1" applyAlignment="1" applyProtection="1"/>
    <xf numFmtId="0" fontId="27" fillId="0" borderId="0" xfId="0" applyNumberFormat="1" applyFont="1" applyFill="1" applyBorder="1" applyAlignment="1" applyProtection="1">
      <alignment vertical="center"/>
    </xf>
    <xf numFmtId="0" fontId="19" fillId="0" borderId="2" xfId="0" applyFont="1" applyBorder="1" applyAlignment="1" applyProtection="1">
      <alignment vertical="center"/>
    </xf>
    <xf numFmtId="0" fontId="101" fillId="0" borderId="2" xfId="0" applyFont="1" applyFill="1" applyBorder="1" applyAlignment="1" applyProtection="1">
      <alignment horizontal="center" vertical="center"/>
    </xf>
    <xf numFmtId="0" fontId="23" fillId="7" borderId="32" xfId="0" applyFont="1" applyFill="1" applyBorder="1" applyAlignment="1" applyProtection="1">
      <alignment horizontal="center" vertical="center"/>
    </xf>
    <xf numFmtId="169" fontId="23" fillId="3" borderId="6" xfId="0" applyNumberFormat="1" applyFont="1" applyFill="1" applyBorder="1" applyAlignment="1" applyProtection="1">
      <alignment horizontal="left" wrapText="1" shrinkToFit="1"/>
      <protection locked="0"/>
    </xf>
    <xf numFmtId="169" fontId="56" fillId="0" borderId="132" xfId="0" applyNumberFormat="1" applyFont="1" applyFill="1" applyBorder="1" applyAlignment="1" applyProtection="1">
      <alignment horizontal="center" vertical="center" wrapText="1" shrinkToFit="1"/>
      <protection locked="0"/>
    </xf>
    <xf numFmtId="49" fontId="56" fillId="4" borderId="151" xfId="0" applyNumberFormat="1" applyFont="1" applyFill="1" applyBorder="1" applyAlignment="1" applyProtection="1">
      <alignment horizontal="center" vertical="center" wrapText="1" shrinkToFit="1"/>
      <protection locked="0"/>
    </xf>
    <xf numFmtId="169" fontId="0" fillId="0" borderId="296" xfId="0" applyNumberFormat="1" applyBorder="1" applyAlignment="1" applyProtection="1">
      <alignment horizontal="center"/>
    </xf>
    <xf numFmtId="0" fontId="119" fillId="0" borderId="0" xfId="0" applyFont="1" applyProtection="1"/>
    <xf numFmtId="0" fontId="19" fillId="0" borderId="0" xfId="0" applyFont="1" applyProtection="1"/>
    <xf numFmtId="2" fontId="23" fillId="3" borderId="163" xfId="0" applyNumberFormat="1" applyFont="1" applyFill="1" applyBorder="1" applyAlignment="1" applyProtection="1">
      <alignment horizontal="left"/>
      <protection locked="0"/>
    </xf>
    <xf numFmtId="0" fontId="120" fillId="0" borderId="0" xfId="0" applyNumberFormat="1" applyFont="1" applyProtection="1"/>
    <xf numFmtId="0" fontId="120" fillId="0" borderId="0" xfId="0" applyNumberFormat="1" applyFont="1" applyFill="1" applyBorder="1" applyAlignment="1" applyProtection="1"/>
    <xf numFmtId="0" fontId="120" fillId="0" borderId="0" xfId="0" applyNumberFormat="1" applyFont="1" applyAlignment="1" applyProtection="1"/>
    <xf numFmtId="0" fontId="34" fillId="0" borderId="1" xfId="0" applyFont="1" applyBorder="1" applyProtection="1"/>
    <xf numFmtId="0" fontId="34" fillId="0" borderId="0" xfId="0" applyFont="1" applyBorder="1" applyProtection="1"/>
    <xf numFmtId="0" fontId="21" fillId="0" borderId="0" xfId="0" applyNumberFormat="1" applyFont="1" applyProtection="1"/>
    <xf numFmtId="0" fontId="108" fillId="0" borderId="0" xfId="0" applyNumberFormat="1" applyFont="1" applyFill="1" applyAlignment="1" applyProtection="1">
      <alignment horizontal="center" vertical="center"/>
    </xf>
    <xf numFmtId="169" fontId="77" fillId="0" borderId="159" xfId="0" applyNumberFormat="1" applyFont="1" applyFill="1" applyBorder="1" applyAlignment="1" applyProtection="1">
      <alignment horizontal="center" vertical="center" wrapText="1" shrinkToFit="1"/>
    </xf>
    <xf numFmtId="169" fontId="77" fillId="0" borderId="160" xfId="0" applyNumberFormat="1" applyFont="1" applyFill="1" applyBorder="1" applyAlignment="1" applyProtection="1">
      <alignment horizontal="center" vertical="center" wrapText="1" shrinkToFit="1"/>
    </xf>
    <xf numFmtId="169" fontId="56" fillId="3" borderId="135" xfId="0" applyNumberFormat="1" applyFont="1" applyFill="1" applyBorder="1" applyAlignment="1" applyProtection="1">
      <alignment horizontal="right" wrapText="1" shrinkToFit="1"/>
      <protection locked="0"/>
    </xf>
    <xf numFmtId="169" fontId="56" fillId="3" borderId="150" xfId="0" applyNumberFormat="1" applyFont="1" applyFill="1" applyBorder="1" applyAlignment="1" applyProtection="1">
      <alignment horizontal="right" wrapText="1" shrinkToFit="1"/>
      <protection locked="0"/>
    </xf>
    <xf numFmtId="0" fontId="25" fillId="2" borderId="72" xfId="0" applyNumberFormat="1" applyFont="1" applyFill="1" applyBorder="1" applyAlignment="1" applyProtection="1">
      <alignment horizontal="center" vertical="center" wrapText="1"/>
    </xf>
    <xf numFmtId="0" fontId="25" fillId="2" borderId="86" xfId="0" applyNumberFormat="1" applyFont="1" applyFill="1" applyBorder="1" applyAlignment="1" applyProtection="1">
      <alignment horizontal="center" vertical="center" wrapText="1"/>
    </xf>
    <xf numFmtId="0" fontId="21" fillId="0" borderId="14" xfId="0" applyFont="1" applyFill="1" applyBorder="1" applyAlignment="1" applyProtection="1">
      <alignment vertical="center" wrapText="1"/>
    </xf>
    <xf numFmtId="49" fontId="25" fillId="2" borderId="297" xfId="0" applyNumberFormat="1" applyFont="1" applyFill="1" applyBorder="1" applyAlignment="1" applyProtection="1">
      <alignment horizontal="center" vertical="center" wrapText="1"/>
    </xf>
    <xf numFmtId="169" fontId="56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169" fontId="56" fillId="0" borderId="136" xfId="0" applyNumberFormat="1" applyFont="1" applyFill="1" applyBorder="1" applyAlignment="1" applyProtection="1">
      <alignment horizontal="right" vertical="center" wrapText="1" shrinkToFit="1"/>
    </xf>
    <xf numFmtId="0" fontId="122" fillId="0" borderId="0" xfId="0" applyFont="1"/>
    <xf numFmtId="0" fontId="123" fillId="0" borderId="0" xfId="0" applyFont="1"/>
    <xf numFmtId="0" fontId="123" fillId="0" borderId="0" xfId="0" applyFont="1" applyProtection="1"/>
    <xf numFmtId="0" fontId="124" fillId="0" borderId="0" xfId="0" applyFont="1" applyFill="1" applyAlignment="1" applyProtection="1">
      <alignment horizontal="center" vertical="center"/>
    </xf>
    <xf numFmtId="0" fontId="56" fillId="0" borderId="135" xfId="0" applyNumberFormat="1" applyFont="1" applyFill="1" applyBorder="1" applyAlignment="1" applyProtection="1">
      <alignment vertical="center" wrapText="1"/>
    </xf>
    <xf numFmtId="169" fontId="56" fillId="0" borderId="136" xfId="0" applyNumberFormat="1" applyFont="1" applyFill="1" applyBorder="1" applyAlignment="1" applyProtection="1">
      <alignment horizontal="center" vertical="center" wrapText="1" shrinkToFit="1"/>
    </xf>
    <xf numFmtId="169" fontId="56" fillId="0" borderId="132" xfId="0" applyNumberFormat="1" applyFont="1" applyFill="1" applyBorder="1" applyAlignment="1" applyProtection="1">
      <alignment horizontal="center" vertical="center" wrapText="1" shrinkToFit="1"/>
    </xf>
    <xf numFmtId="0" fontId="0" fillId="0" borderId="0" xfId="0" applyFill="1" applyBorder="1" applyAlignment="1">
      <alignment vertical="center" wrapText="1"/>
    </xf>
    <xf numFmtId="49" fontId="38" fillId="3" borderId="58" xfId="0" applyNumberFormat="1" applyFont="1" applyFill="1" applyBorder="1" applyAlignment="1" applyProtection="1">
      <alignment horizontal="center" vertical="center"/>
      <protection locked="0"/>
    </xf>
    <xf numFmtId="0" fontId="122" fillId="0" borderId="2" xfId="0" applyFont="1" applyBorder="1" applyAlignment="1" applyProtection="1">
      <alignment vertical="center"/>
    </xf>
    <xf numFmtId="0" fontId="27" fillId="0" borderId="0" xfId="0" applyFont="1" applyFill="1" applyProtection="1"/>
    <xf numFmtId="0" fontId="29" fillId="11" borderId="298" xfId="0" applyNumberFormat="1" applyFont="1" applyFill="1" applyBorder="1" applyAlignment="1" applyProtection="1">
      <alignment horizontal="left" vertical="center" wrapText="1"/>
    </xf>
    <xf numFmtId="0" fontId="123" fillId="0" borderId="0" xfId="0" applyFont="1" applyBorder="1" applyProtection="1"/>
    <xf numFmtId="49" fontId="21" fillId="0" borderId="135" xfId="0" applyNumberFormat="1" applyFont="1" applyFill="1" applyBorder="1" applyAlignment="1" applyProtection="1">
      <alignment horizontal="left" vertical="top"/>
    </xf>
    <xf numFmtId="175" fontId="23" fillId="0" borderId="64" xfId="0" applyNumberFormat="1" applyFont="1" applyFill="1" applyBorder="1" applyAlignment="1" applyProtection="1">
      <alignment horizontal="center" vertical="center" wrapText="1" shrinkToFit="1"/>
    </xf>
    <xf numFmtId="175" fontId="23" fillId="0" borderId="64" xfId="0" applyNumberFormat="1" applyFont="1" applyFill="1" applyBorder="1" applyAlignment="1" applyProtection="1">
      <alignment horizontal="center" vertical="center"/>
    </xf>
    <xf numFmtId="175" fontId="23" fillId="3" borderId="157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157" xfId="0" applyNumberFormat="1" applyFont="1" applyBorder="1" applyAlignment="1" applyProtection="1">
      <alignment horizontal="center" vertical="center"/>
    </xf>
    <xf numFmtId="175" fontId="23" fillId="3" borderId="273" xfId="0" applyNumberFormat="1" applyFont="1" applyFill="1" applyBorder="1" applyAlignment="1" applyProtection="1">
      <alignment horizontal="center" vertical="center" wrapText="1" shrinkToFit="1"/>
      <protection locked="0"/>
    </xf>
    <xf numFmtId="175" fontId="23" fillId="0" borderId="113" xfId="0" applyNumberFormat="1" applyFont="1" applyBorder="1" applyAlignment="1" applyProtection="1">
      <alignment horizontal="center" vertical="center"/>
    </xf>
    <xf numFmtId="188" fontId="25" fillId="6" borderId="346" xfId="0" applyNumberFormat="1" applyFont="1" applyFill="1" applyBorder="1" applyAlignment="1" applyProtection="1">
      <alignment horizontal="center" vertical="center"/>
    </xf>
    <xf numFmtId="0" fontId="25" fillId="6" borderId="347" xfId="0" applyNumberFormat="1" applyFont="1" applyFill="1" applyBorder="1" applyAlignment="1" applyProtection="1">
      <alignment horizontal="centerContinuous" vertical="center" wrapText="1"/>
    </xf>
    <xf numFmtId="0" fontId="18" fillId="10" borderId="113" xfId="0" applyFont="1" applyFill="1" applyBorder="1" applyAlignment="1">
      <alignment horizontal="center" vertical="center" wrapText="1"/>
    </xf>
    <xf numFmtId="0" fontId="0" fillId="0" borderId="113" xfId="0" applyBorder="1" applyAlignment="1">
      <alignment horizontal="left" vertical="center" wrapText="1"/>
    </xf>
    <xf numFmtId="49" fontId="15" fillId="0" borderId="113" xfId="0" applyNumberFormat="1" applyFont="1" applyFill="1" applyBorder="1" applyAlignment="1" applyProtection="1">
      <alignment horizontal="center" vertical="center" wrapText="1"/>
    </xf>
    <xf numFmtId="49" fontId="23" fillId="7" borderId="257" xfId="0" applyNumberFormat="1" applyFont="1" applyFill="1" applyBorder="1" applyAlignment="1">
      <alignment horizontal="right" vertical="top" wrapText="1"/>
    </xf>
    <xf numFmtId="49" fontId="23" fillId="7" borderId="299" xfId="0" applyNumberFormat="1" applyFont="1" applyFill="1" applyBorder="1" applyAlignment="1">
      <alignment horizontal="right" vertical="top" wrapText="1"/>
    </xf>
    <xf numFmtId="0" fontId="0" fillId="24" borderId="0" xfId="0" applyFill="1" applyProtection="1"/>
    <xf numFmtId="0" fontId="58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26" fillId="5" borderId="14" xfId="0" applyNumberFormat="1" applyFont="1" applyFill="1" applyBorder="1" applyAlignment="1" applyProtection="1">
      <alignment vertical="center" wrapText="1"/>
    </xf>
    <xf numFmtId="0" fontId="126" fillId="5" borderId="6" xfId="0" applyNumberFormat="1" applyFont="1" applyFill="1" applyBorder="1" applyAlignment="1" applyProtection="1">
      <alignment horizontal="center" vertical="center" wrapText="1"/>
    </xf>
    <xf numFmtId="0" fontId="21" fillId="0" borderId="14" xfId="0" applyNumberFormat="1" applyFont="1" applyFill="1" applyBorder="1" applyAlignment="1" applyProtection="1">
      <alignment vertical="center" wrapText="1"/>
    </xf>
    <xf numFmtId="0" fontId="126" fillId="0" borderId="6" xfId="0" applyNumberFormat="1" applyFont="1" applyFill="1" applyBorder="1" applyAlignment="1" applyProtection="1">
      <alignment horizontal="center" vertical="center" wrapText="1"/>
    </xf>
    <xf numFmtId="0" fontId="126" fillId="0" borderId="14" xfId="0" applyNumberFormat="1" applyFont="1" applyFill="1" applyBorder="1" applyAlignment="1" applyProtection="1">
      <alignment vertical="center" wrapText="1"/>
    </xf>
    <xf numFmtId="0" fontId="23" fillId="0" borderId="9" xfId="0" applyNumberFormat="1" applyFont="1" applyFill="1" applyBorder="1" applyAlignment="1" applyProtection="1">
      <alignment horizontal="center" vertical="center" wrapText="1"/>
    </xf>
    <xf numFmtId="0" fontId="0" fillId="24" borderId="0" xfId="0" applyFill="1" applyAlignment="1">
      <alignment vertical="center" wrapText="1"/>
    </xf>
    <xf numFmtId="10" fontId="29" fillId="11" borderId="246" xfId="0" applyNumberFormat="1" applyFont="1" applyFill="1" applyBorder="1" applyAlignment="1" applyProtection="1">
      <alignment horizontal="left" vertical="center" wrapText="1"/>
    </xf>
    <xf numFmtId="10" fontId="0" fillId="0" borderId="0" xfId="0" applyNumberFormat="1" applyFont="1" applyProtection="1"/>
    <xf numFmtId="175" fontId="65" fillId="0" borderId="350" xfId="0" applyNumberFormat="1" applyFont="1" applyFill="1" applyBorder="1" applyAlignment="1" applyProtection="1">
      <alignment horizontal="center" vertical="center" wrapText="1" shrinkToFit="1"/>
    </xf>
    <xf numFmtId="175" fontId="65" fillId="0" borderId="351" xfId="0" applyNumberFormat="1" applyFont="1" applyFill="1" applyBorder="1" applyAlignment="1" applyProtection="1">
      <alignment horizontal="center" vertical="center" wrapText="1" shrinkToFit="1"/>
    </xf>
    <xf numFmtId="175" fontId="65" fillId="0" borderId="352" xfId="0" applyNumberFormat="1" applyFont="1" applyFill="1" applyBorder="1" applyAlignment="1" applyProtection="1">
      <alignment horizontal="center" vertical="center" wrapText="1" shrinkToFit="1"/>
    </xf>
    <xf numFmtId="175" fontId="23" fillId="3" borderId="353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353" xfId="0" applyNumberFormat="1" applyFont="1" applyFill="1" applyBorder="1" applyAlignment="1" applyProtection="1">
      <alignment horizontal="center" wrapText="1" shrinkToFit="1"/>
      <protection locked="0"/>
    </xf>
    <xf numFmtId="175" fontId="23" fillId="0" borderId="353" xfId="0" applyNumberFormat="1" applyFont="1" applyFill="1" applyBorder="1" applyAlignment="1" applyProtection="1">
      <alignment horizontal="center" wrapText="1" shrinkToFit="1"/>
    </xf>
    <xf numFmtId="175" fontId="23" fillId="3" borderId="354" xfId="0" applyNumberFormat="1" applyFont="1" applyFill="1" applyBorder="1" applyAlignment="1" applyProtection="1">
      <alignment horizontal="center" wrapText="1" shrinkToFit="1"/>
      <protection locked="0"/>
    </xf>
    <xf numFmtId="0" fontId="127" fillId="0" borderId="1" xfId="0" applyNumberFormat="1" applyFont="1" applyBorder="1" applyProtection="1"/>
    <xf numFmtId="0" fontId="127" fillId="0" borderId="0" xfId="0" applyNumberFormat="1" applyFont="1" applyFill="1" applyBorder="1" applyAlignment="1" applyProtection="1"/>
    <xf numFmtId="0" fontId="127" fillId="0" borderId="0" xfId="0" applyNumberFormat="1" applyFont="1" applyProtection="1"/>
    <xf numFmtId="0" fontId="128" fillId="0" borderId="0" xfId="0" applyNumberFormat="1" applyFont="1" applyProtection="1"/>
    <xf numFmtId="0" fontId="25" fillId="2" borderId="131" xfId="0" applyNumberFormat="1" applyFont="1" applyFill="1" applyBorder="1" applyAlignment="1" applyProtection="1">
      <alignment horizontal="left" vertical="center" wrapText="1"/>
    </xf>
    <xf numFmtId="169" fontId="87" fillId="0" borderId="300" xfId="0" applyNumberFormat="1" applyFont="1" applyBorder="1" applyAlignment="1" applyProtection="1">
      <alignment horizontal="center" vertical="center"/>
    </xf>
    <xf numFmtId="0" fontId="25" fillId="2" borderId="119" xfId="0" applyNumberFormat="1" applyFont="1" applyFill="1" applyBorder="1" applyAlignment="1" applyProtection="1">
      <alignment horizontal="left" vertical="center" wrapText="1"/>
    </xf>
    <xf numFmtId="0" fontId="25" fillId="2" borderId="301" xfId="0" applyNumberFormat="1" applyFont="1" applyFill="1" applyBorder="1" applyAlignment="1" applyProtection="1">
      <alignment horizontal="left" vertical="center" wrapText="1"/>
    </xf>
    <xf numFmtId="0" fontId="127" fillId="0" borderId="0" xfId="0" applyNumberFormat="1" applyFont="1" applyAlignment="1" applyProtection="1">
      <alignment horizontal="right"/>
    </xf>
    <xf numFmtId="49" fontId="29" fillId="3" borderId="6" xfId="0" applyNumberFormat="1" applyFont="1" applyFill="1" applyBorder="1" applyAlignment="1" applyProtection="1">
      <alignment horizontal="left" vertical="center" wrapText="1"/>
      <protection locked="0"/>
    </xf>
    <xf numFmtId="0" fontId="56" fillId="0" borderId="6" xfId="0" applyNumberFormat="1" applyFont="1" applyFill="1" applyBorder="1" applyAlignment="1" applyProtection="1">
      <alignment horizontal="right" vertical="center"/>
    </xf>
    <xf numFmtId="175" fontId="29" fillId="4" borderId="6" xfId="0" applyNumberFormat="1" applyFont="1" applyFill="1" applyBorder="1" applyAlignment="1" applyProtection="1">
      <alignment horizontal="right" vertical="center" wrapText="1"/>
      <protection locked="0"/>
    </xf>
    <xf numFmtId="49" fontId="29" fillId="3" borderId="9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16" xfId="0" applyNumberFormat="1" applyFont="1" applyFill="1" applyBorder="1" applyAlignment="1" applyProtection="1">
      <alignment horizontal="left" vertical="center" wrapText="1"/>
      <protection locked="0"/>
    </xf>
    <xf numFmtId="49" fontId="29" fillId="3" borderId="41" xfId="0" applyNumberFormat="1" applyFont="1" applyFill="1" applyBorder="1" applyAlignment="1" applyProtection="1">
      <alignment horizontal="left" vertical="center" wrapText="1"/>
      <protection locked="0"/>
    </xf>
    <xf numFmtId="175" fontId="29" fillId="4" borderId="41" xfId="0" applyNumberFormat="1" applyFont="1" applyFill="1" applyBorder="1" applyAlignment="1" applyProtection="1">
      <alignment horizontal="right" vertical="center" wrapText="1"/>
      <protection locked="0"/>
    </xf>
    <xf numFmtId="49" fontId="29" fillId="3" borderId="17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quotePrefix="1" applyAlignment="1" applyProtection="1">
      <alignment vertical="center"/>
    </xf>
    <xf numFmtId="0" fontId="56" fillId="0" borderId="6" xfId="0" applyNumberFormat="1" applyFont="1" applyFill="1" applyBorder="1" applyAlignment="1" applyProtection="1">
      <alignment horizontal="left" vertical="center" wrapText="1"/>
    </xf>
    <xf numFmtId="175" fontId="29" fillId="3" borderId="6" xfId="0" applyNumberFormat="1" applyFont="1" applyFill="1" applyBorder="1" applyAlignment="1" applyProtection="1">
      <alignment horizontal="right" vertical="center" wrapText="1" shrinkToFit="1"/>
      <protection locked="0"/>
    </xf>
    <xf numFmtId="175" fontId="29" fillId="0" borderId="6" xfId="0" applyNumberFormat="1" applyFont="1" applyBorder="1" applyAlignment="1" applyProtection="1">
      <alignment horizontal="right" vertical="center"/>
    </xf>
    <xf numFmtId="49" fontId="29" fillId="3" borderId="9" xfId="0" applyNumberFormat="1" applyFont="1" applyFill="1" applyBorder="1" applyAlignment="1" applyProtection="1">
      <alignment horizontal="left" vertical="center"/>
      <protection locked="0"/>
    </xf>
    <xf numFmtId="0" fontId="119" fillId="0" borderId="0" xfId="0" applyFont="1" applyAlignment="1" applyProtection="1">
      <alignment vertical="center"/>
    </xf>
    <xf numFmtId="175" fontId="29" fillId="3" borderId="41" xfId="0" applyNumberFormat="1" applyFont="1" applyFill="1" applyBorder="1" applyAlignment="1" applyProtection="1">
      <alignment horizontal="right" vertical="center" shrinkToFit="1"/>
      <protection locked="0"/>
    </xf>
    <xf numFmtId="175" fontId="29" fillId="0" borderId="41" xfId="0" applyNumberFormat="1" applyFont="1" applyBorder="1" applyAlignment="1" applyProtection="1">
      <alignment horizontal="right" vertical="center"/>
    </xf>
    <xf numFmtId="49" fontId="29" fillId="3" borderId="17" xfId="0" applyNumberFormat="1" applyFont="1" applyFill="1" applyBorder="1" applyAlignment="1" applyProtection="1">
      <alignment horizontal="left" vertical="center"/>
      <protection locked="0"/>
    </xf>
    <xf numFmtId="0" fontId="129" fillId="0" borderId="0" xfId="0" applyFont="1"/>
    <xf numFmtId="14" fontId="25" fillId="2" borderId="302" xfId="0" applyNumberFormat="1" applyFont="1" applyFill="1" applyBorder="1" applyAlignment="1" applyProtection="1">
      <alignment horizontal="center" vertical="center" wrapText="1"/>
    </xf>
    <xf numFmtId="0" fontId="129" fillId="0" borderId="0" xfId="0" applyFont="1" applyFill="1" applyProtection="1"/>
    <xf numFmtId="0" fontId="129" fillId="0" borderId="0" xfId="0" applyFont="1" applyProtection="1"/>
    <xf numFmtId="49" fontId="19" fillId="0" borderId="1" xfId="0" applyNumberFormat="1" applyFont="1" applyBorder="1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129" fillId="0" borderId="1" xfId="0" applyFont="1" applyBorder="1" applyProtection="1"/>
    <xf numFmtId="0" fontId="131" fillId="0" borderId="0" xfId="0" applyFont="1" applyFill="1" applyAlignment="1" applyProtection="1">
      <alignment horizontal="center" vertical="center"/>
    </xf>
    <xf numFmtId="0" fontId="133" fillId="0" borderId="0" xfId="0" applyFont="1" applyFill="1" applyProtection="1"/>
    <xf numFmtId="3" fontId="133" fillId="0" borderId="0" xfId="0" applyNumberFormat="1" applyFont="1" applyFill="1" applyAlignment="1" applyProtection="1">
      <alignment horizontal="center"/>
    </xf>
    <xf numFmtId="0" fontId="133" fillId="0" borderId="0" xfId="0" applyFont="1" applyProtection="1"/>
    <xf numFmtId="169" fontId="23" fillId="4" borderId="150" xfId="0" applyNumberFormat="1" applyFont="1" applyFill="1" applyBorder="1" applyAlignment="1" applyProtection="1">
      <alignment horizontal="left" vertical="center" wrapText="1"/>
      <protection locked="0"/>
    </xf>
    <xf numFmtId="169" fontId="23" fillId="4" borderId="132" xfId="0" applyNumberFormat="1" applyFont="1" applyFill="1" applyBorder="1" applyAlignment="1" applyProtection="1">
      <alignment vertical="center" wrapText="1"/>
      <protection locked="0"/>
    </xf>
    <xf numFmtId="0" fontId="0" fillId="0" borderId="1" xfId="0" applyFont="1" applyBorder="1" applyAlignment="1" applyProtection="1">
      <alignment vertical="center"/>
    </xf>
    <xf numFmtId="0" fontId="19" fillId="0" borderId="1" xfId="0" applyFont="1" applyBorder="1" applyAlignment="1" applyProtection="1">
      <alignment vertical="center"/>
    </xf>
    <xf numFmtId="0" fontId="83" fillId="0" borderId="2" xfId="0" applyFont="1" applyBorder="1" applyAlignment="1" applyProtection="1">
      <alignment vertical="center"/>
    </xf>
    <xf numFmtId="0" fontId="31" fillId="0" borderId="0" xfId="0" applyNumberFormat="1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0" fontId="24" fillId="0" borderId="0" xfId="0" applyNumberFormat="1" applyFont="1" applyAlignment="1" applyProtection="1">
      <alignment vertical="center"/>
    </xf>
    <xf numFmtId="173" fontId="23" fillId="14" borderId="9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Border="1" applyAlignment="1" applyProtection="1">
      <alignment vertical="center"/>
    </xf>
    <xf numFmtId="0" fontId="23" fillId="0" borderId="0" xfId="0" applyNumberFormat="1" applyFont="1" applyFill="1" applyBorder="1" applyAlignment="1" applyProtection="1">
      <alignment vertical="center"/>
    </xf>
    <xf numFmtId="49" fontId="25" fillId="2" borderId="142" xfId="0" applyNumberFormat="1" applyFont="1" applyFill="1" applyBorder="1" applyAlignment="1" applyProtection="1">
      <alignment horizontal="center" vertical="center"/>
    </xf>
    <xf numFmtId="49" fontId="25" fillId="2" borderId="143" xfId="0" applyNumberFormat="1" applyFont="1" applyFill="1" applyBorder="1" applyAlignment="1" applyProtection="1">
      <alignment horizontal="center" vertical="center"/>
    </xf>
    <xf numFmtId="49" fontId="29" fillId="3" borderId="140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217" xfId="0" applyNumberFormat="1" applyFont="1" applyFill="1" applyBorder="1" applyAlignment="1" applyProtection="1">
      <alignment horizontal="left" vertical="center"/>
      <protection locked="0"/>
    </xf>
    <xf numFmtId="0" fontId="0" fillId="25" borderId="0" xfId="0" applyFill="1" applyAlignment="1">
      <alignment vertical="center" wrapText="1"/>
    </xf>
    <xf numFmtId="0" fontId="34" fillId="0" borderId="0" xfId="0" applyFont="1" applyFill="1" applyAlignment="1">
      <alignment vertical="center" wrapText="1"/>
    </xf>
    <xf numFmtId="0" fontId="58" fillId="25" borderId="0" xfId="0" applyFont="1" applyFill="1" applyAlignment="1">
      <alignment horizontal="center" vertical="center" wrapText="1"/>
    </xf>
    <xf numFmtId="0" fontId="27" fillId="0" borderId="0" xfId="0" applyFont="1" applyAlignment="1" applyProtection="1">
      <alignment vertical="center" wrapText="1"/>
    </xf>
    <xf numFmtId="0" fontId="83" fillId="0" borderId="2" xfId="0" applyNumberFormat="1" applyFont="1" applyFill="1" applyBorder="1" applyAlignment="1" applyProtection="1">
      <alignment vertical="center" wrapText="1"/>
    </xf>
    <xf numFmtId="0" fontId="99" fillId="0" borderId="0" xfId="0" applyFont="1" applyBorder="1" applyAlignment="1" applyProtection="1">
      <alignment vertical="center"/>
    </xf>
    <xf numFmtId="0" fontId="25" fillId="6" borderId="346" xfId="0" applyNumberFormat="1" applyFont="1" applyFill="1" applyBorder="1" applyAlignment="1" applyProtection="1">
      <alignment horizontal="left" vertical="center" wrapText="1"/>
    </xf>
    <xf numFmtId="0" fontId="53" fillId="8" borderId="136" xfId="0" applyNumberFormat="1" applyFont="1" applyFill="1" applyBorder="1" applyAlignment="1" applyProtection="1">
      <alignment horizontal="left" vertical="center" wrapText="1" shrinkToFit="1"/>
    </xf>
    <xf numFmtId="0" fontId="38" fillId="0" borderId="136" xfId="0" applyNumberFormat="1" applyFont="1" applyBorder="1" applyAlignment="1" applyProtection="1">
      <alignment horizontal="center" vertical="center"/>
    </xf>
    <xf numFmtId="169" fontId="38" fillId="0" borderId="136" xfId="0" applyNumberFormat="1" applyFont="1" applyBorder="1" applyAlignment="1" applyProtection="1">
      <alignment horizontal="right" vertical="center"/>
    </xf>
    <xf numFmtId="0" fontId="38" fillId="8" borderId="136" xfId="0" applyNumberFormat="1" applyFont="1" applyFill="1" applyBorder="1" applyAlignment="1" applyProtection="1">
      <alignment horizontal="left" vertical="center" wrapText="1" shrinkToFit="1"/>
    </xf>
    <xf numFmtId="0" fontId="38" fillId="0" borderId="136" xfId="0" applyNumberFormat="1" applyFont="1" applyBorder="1" applyAlignment="1" applyProtection="1">
      <alignment horizontal="center" vertical="center" wrapText="1"/>
    </xf>
    <xf numFmtId="169" fontId="38" fillId="0" borderId="136" xfId="0" applyNumberFormat="1" applyFont="1" applyBorder="1" applyAlignment="1" applyProtection="1">
      <alignment horizontal="center" vertical="center" wrapText="1"/>
    </xf>
    <xf numFmtId="0" fontId="103" fillId="0" borderId="0" xfId="0" applyFont="1" applyFill="1" applyAlignment="1" applyProtection="1">
      <alignment vertical="center"/>
    </xf>
    <xf numFmtId="0" fontId="120" fillId="0" borderId="0" xfId="0" applyNumberFormat="1" applyFont="1" applyAlignment="1" applyProtection="1">
      <alignment vertical="center"/>
    </xf>
    <xf numFmtId="0" fontId="129" fillId="0" borderId="0" xfId="0" applyFont="1" applyAlignment="1" applyProtection="1">
      <alignment vertical="center"/>
    </xf>
    <xf numFmtId="0" fontId="134" fillId="0" borderId="0" xfId="0" applyFont="1" applyAlignment="1" applyProtection="1">
      <alignment horizontal="center" vertical="center"/>
    </xf>
    <xf numFmtId="177" fontId="134" fillId="0" borderId="0" xfId="0" applyNumberFormat="1" applyFont="1" applyAlignment="1" applyProtection="1">
      <alignment horizontal="center" vertical="center"/>
    </xf>
    <xf numFmtId="177" fontId="129" fillId="0" borderId="0" xfId="0" applyNumberFormat="1" applyFont="1" applyAlignment="1" applyProtection="1">
      <alignment horizontal="center" vertical="center"/>
    </xf>
    <xf numFmtId="177" fontId="0" fillId="0" borderId="0" xfId="0" applyNumberFormat="1" applyFont="1" applyAlignment="1" applyProtection="1">
      <alignment vertical="center"/>
    </xf>
    <xf numFmtId="0" fontId="24" fillId="0" borderId="265" xfId="0" applyFont="1" applyBorder="1" applyAlignment="1" applyProtection="1">
      <alignment horizontal="center" vertical="center" wrapText="1"/>
    </xf>
    <xf numFmtId="0" fontId="23" fillId="0" borderId="265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23" fillId="0" borderId="168" xfId="0" applyFont="1" applyFill="1" applyBorder="1" applyAlignment="1" applyProtection="1">
      <alignment vertical="center" wrapText="1"/>
    </xf>
    <xf numFmtId="0" fontId="34" fillId="0" borderId="0" xfId="0" applyFont="1" applyFill="1" applyAlignment="1" applyProtection="1">
      <alignment horizontal="right" vertical="center"/>
    </xf>
    <xf numFmtId="0" fontId="23" fillId="0" borderId="120" xfId="0" applyFont="1" applyFill="1" applyBorder="1" applyAlignment="1" applyProtection="1">
      <alignment vertical="center" wrapText="1"/>
    </xf>
    <xf numFmtId="14" fontId="23" fillId="0" borderId="120" xfId="0" applyNumberFormat="1" applyFont="1" applyFill="1" applyBorder="1" applyAlignment="1" applyProtection="1">
      <alignment vertical="center" wrapText="1"/>
    </xf>
    <xf numFmtId="0" fontId="23" fillId="0" borderId="121" xfId="0" applyFont="1" applyFill="1" applyBorder="1" applyAlignment="1" applyProtection="1">
      <alignment vertical="center" wrapText="1"/>
    </xf>
    <xf numFmtId="0" fontId="23" fillId="0" borderId="0" xfId="0" applyFont="1" applyFill="1" applyBorder="1" applyAlignment="1" applyProtection="1">
      <alignment vertical="center" wrapText="1"/>
    </xf>
    <xf numFmtId="179" fontId="0" fillId="0" borderId="0" xfId="0" applyNumberFormat="1" applyAlignment="1" applyProtection="1">
      <alignment vertical="center"/>
    </xf>
    <xf numFmtId="0" fontId="0" fillId="0" borderId="303" xfId="0" applyBorder="1" applyAlignment="1" applyProtection="1">
      <alignment horizontal="left"/>
    </xf>
    <xf numFmtId="169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49" fontId="56" fillId="3" borderId="17" xfId="0" applyNumberFormat="1" applyFont="1" applyFill="1" applyBorder="1" applyAlignment="1" applyProtection="1">
      <alignment horizontal="right" wrapText="1" shrinkToFit="1"/>
      <protection locked="0"/>
    </xf>
    <xf numFmtId="175" fontId="21" fillId="3" borderId="113" xfId="0" applyNumberFormat="1" applyFont="1" applyFill="1" applyBorder="1" applyAlignment="1" applyProtection="1">
      <alignment horizontal="center" vertical="center" wrapText="1" shrinkToFit="1"/>
    </xf>
    <xf numFmtId="0" fontId="23" fillId="0" borderId="113" xfId="0" applyNumberFormat="1" applyFont="1" applyBorder="1" applyAlignment="1" applyProtection="1">
      <alignment vertical="center"/>
    </xf>
    <xf numFmtId="0" fontId="129" fillId="0" borderId="0" xfId="0" applyFont="1" applyFill="1" applyBorder="1" applyAlignment="1" applyProtection="1">
      <alignment horizontal="left" vertical="center"/>
    </xf>
    <xf numFmtId="0" fontId="128" fillId="0" borderId="0" xfId="0" applyFont="1" applyFill="1" applyBorder="1" applyAlignment="1" applyProtection="1">
      <alignment horizontal="left" vertical="center"/>
    </xf>
    <xf numFmtId="0" fontId="129" fillId="0" borderId="0" xfId="0" applyFont="1" applyFill="1" applyBorder="1" applyAlignment="1" applyProtection="1">
      <alignment horizontal="left" vertical="center" wrapText="1"/>
    </xf>
    <xf numFmtId="0" fontId="129" fillId="0" borderId="199" xfId="0" applyFont="1" applyFill="1" applyBorder="1" applyAlignment="1" applyProtection="1">
      <alignment horizontal="center" vertical="center" wrapText="1"/>
    </xf>
    <xf numFmtId="0" fontId="129" fillId="0" borderId="0" xfId="0" applyFont="1" applyFill="1" applyAlignment="1" applyProtection="1">
      <alignment horizontal="left" vertical="center"/>
    </xf>
    <xf numFmtId="0" fontId="134" fillId="0" borderId="0" xfId="0" applyFont="1" applyProtection="1"/>
    <xf numFmtId="0" fontId="83" fillId="0" borderId="0" xfId="0" applyNumberFormat="1" applyFont="1" applyAlignment="1" applyProtection="1">
      <alignment horizontal="center"/>
    </xf>
    <xf numFmtId="0" fontId="134" fillId="0" borderId="0" xfId="0" applyFont="1" applyFill="1" applyProtection="1"/>
    <xf numFmtId="0" fontId="131" fillId="0" borderId="0" xfId="0" applyFont="1" applyFill="1" applyAlignment="1" applyProtection="1">
      <alignment horizontal="center"/>
    </xf>
    <xf numFmtId="0" fontId="129" fillId="0" borderId="0" xfId="0" applyFont="1" applyAlignment="1" applyProtection="1"/>
    <xf numFmtId="0" fontId="0" fillId="0" borderId="0" xfId="0"/>
    <xf numFmtId="49" fontId="29" fillId="3" borderId="157" xfId="0" applyNumberFormat="1" applyFont="1" applyFill="1" applyBorder="1" applyAlignment="1" applyProtection="1">
      <alignment horizontal="left" vertical="top" wrapText="1"/>
      <protection locked="0"/>
    </xf>
    <xf numFmtId="49" fontId="25" fillId="2" borderId="304" xfId="0" applyNumberFormat="1" applyFont="1" applyFill="1" applyBorder="1" applyAlignment="1" applyProtection="1">
      <alignment horizontal="center" vertical="center" wrapText="1"/>
    </xf>
    <xf numFmtId="49" fontId="25" fillId="2" borderId="305" xfId="0" applyNumberFormat="1" applyFont="1" applyFill="1" applyBorder="1" applyAlignment="1" applyProtection="1">
      <alignment horizontal="center" vertical="center" wrapText="1"/>
    </xf>
    <xf numFmtId="0" fontId="132" fillId="0" borderId="0" xfId="0" applyNumberFormat="1" applyFont="1" applyFill="1" applyBorder="1" applyAlignment="1" applyProtection="1">
      <alignment vertical="center"/>
    </xf>
    <xf numFmtId="3" fontId="135" fillId="0" borderId="199" xfId="0" applyNumberFormat="1" applyFont="1" applyBorder="1" applyAlignment="1">
      <alignment horizontal="center"/>
    </xf>
    <xf numFmtId="3" fontId="135" fillId="0" borderId="203" xfId="0" applyNumberFormat="1" applyFont="1" applyBorder="1" applyAlignment="1">
      <alignment horizontal="center"/>
    </xf>
    <xf numFmtId="0" fontId="135" fillId="0" borderId="199" xfId="0" applyNumberFormat="1" applyFont="1" applyFill="1" applyBorder="1" applyAlignment="1" applyProtection="1">
      <alignment horizontal="center"/>
    </xf>
    <xf numFmtId="0" fontId="135" fillId="0" borderId="203" xfId="0" applyNumberFormat="1" applyFont="1" applyFill="1" applyBorder="1" applyAlignment="1" applyProtection="1">
      <alignment horizontal="center"/>
    </xf>
    <xf numFmtId="3" fontId="125" fillId="0" borderId="210" xfId="0" applyNumberFormat="1" applyFont="1" applyFill="1" applyBorder="1" applyAlignment="1" applyProtection="1">
      <alignment horizontal="center" vertical="center" wrapText="1"/>
    </xf>
    <xf numFmtId="3" fontId="125" fillId="0" borderId="224" xfId="0" applyNumberFormat="1" applyFont="1" applyFill="1" applyBorder="1" applyAlignment="1" applyProtection="1">
      <alignment horizontal="center" vertical="center" wrapText="1"/>
    </xf>
    <xf numFmtId="3" fontId="132" fillId="0" borderId="0" xfId="0" applyNumberFormat="1" applyFont="1" applyFill="1" applyBorder="1" applyAlignment="1" applyProtection="1">
      <alignment horizontal="center" vertical="center" wrapText="1"/>
    </xf>
    <xf numFmtId="180" fontId="23" fillId="0" borderId="6" xfId="0" applyNumberFormat="1" applyFont="1" applyFill="1" applyBorder="1" applyAlignment="1" applyProtection="1">
      <alignment horizontal="center" vertical="center" wrapText="1" shrinkToFit="1"/>
    </xf>
    <xf numFmtId="169" fontId="23" fillId="3" borderId="9" xfId="0" applyNumberFormat="1" applyFont="1" applyFill="1" applyBorder="1" applyAlignment="1" applyProtection="1">
      <alignment horizontal="center" vertical="center" wrapText="1" shrinkToFit="1"/>
      <protection locked="0"/>
    </xf>
    <xf numFmtId="169" fontId="23" fillId="3" borderId="6" xfId="0" applyNumberFormat="1" applyFont="1" applyFill="1" applyBorder="1" applyAlignment="1" applyProtection="1">
      <alignment horizontal="center" vertical="center" wrapText="1" shrinkToFit="1"/>
      <protection locked="0"/>
    </xf>
    <xf numFmtId="180" fontId="23" fillId="0" borderId="41" xfId="0" applyNumberFormat="1" applyFont="1" applyFill="1" applyBorder="1" applyAlignment="1" applyProtection="1">
      <alignment horizontal="center" vertical="center" wrapText="1" shrinkToFit="1"/>
    </xf>
    <xf numFmtId="169" fontId="23" fillId="3" borderId="17" xfId="0" applyNumberFormat="1" applyFont="1" applyFill="1" applyBorder="1" applyAlignment="1" applyProtection="1">
      <alignment horizontal="center" vertical="center" wrapText="1" shrinkToFit="1"/>
      <protection locked="0"/>
    </xf>
    <xf numFmtId="49" fontId="25" fillId="2" borderId="306" xfId="0" applyNumberFormat="1" applyFont="1" applyFill="1" applyBorder="1" applyAlignment="1" applyProtection="1">
      <alignment horizontal="center" vertical="center" wrapText="1"/>
    </xf>
    <xf numFmtId="0" fontId="135" fillId="0" borderId="307" xfId="0" applyNumberFormat="1" applyFont="1" applyFill="1" applyBorder="1" applyAlignment="1" applyProtection="1">
      <alignment horizontal="center"/>
    </xf>
    <xf numFmtId="3" fontId="135" fillId="0" borderId="307" xfId="0" applyNumberFormat="1" applyFont="1" applyFill="1" applyBorder="1" applyAlignment="1" applyProtection="1">
      <alignment horizontal="center"/>
    </xf>
    <xf numFmtId="0" fontId="135" fillId="0" borderId="308" xfId="0" applyNumberFormat="1" applyFont="1" applyFill="1" applyBorder="1" applyAlignment="1" applyProtection="1">
      <alignment horizontal="center"/>
    </xf>
    <xf numFmtId="173" fontId="23" fillId="14" borderId="113" xfId="0" applyNumberFormat="1" applyFont="1" applyFill="1" applyBorder="1" applyAlignment="1" applyProtection="1">
      <alignment horizontal="right"/>
    </xf>
    <xf numFmtId="175" fontId="136" fillId="4" borderId="199" xfId="0" applyNumberFormat="1" applyFont="1" applyFill="1" applyBorder="1" applyAlignment="1" applyProtection="1">
      <alignment horizontal="right"/>
      <protection locked="0"/>
    </xf>
    <xf numFmtId="3" fontId="135" fillId="0" borderId="310" xfId="0" applyNumberFormat="1" applyFont="1" applyFill="1" applyBorder="1" applyAlignment="1" applyProtection="1">
      <alignment horizontal="center"/>
    </xf>
    <xf numFmtId="0" fontId="129" fillId="0" borderId="0" xfId="0" applyFont="1" applyAlignment="1" applyProtection="1">
      <alignment horizontal="left" vertical="center"/>
    </xf>
    <xf numFmtId="0" fontId="129" fillId="0" borderId="0" xfId="0" applyFont="1" applyFill="1" applyAlignment="1" applyProtection="1">
      <alignment horizontal="right" vertical="center"/>
    </xf>
    <xf numFmtId="0" fontId="133" fillId="0" borderId="1" xfId="0" applyFont="1" applyBorder="1" applyProtection="1"/>
    <xf numFmtId="0" fontId="137" fillId="0" borderId="0" xfId="0" applyNumberFormat="1" applyFont="1" applyProtection="1"/>
    <xf numFmtId="0" fontId="138" fillId="0" borderId="0" xfId="0" applyFont="1" applyFill="1" applyAlignment="1" applyProtection="1">
      <alignment horizontal="center" vertical="center"/>
    </xf>
    <xf numFmtId="169" fontId="139" fillId="0" borderId="0" xfId="0" applyNumberFormat="1" applyFont="1" applyFill="1" applyBorder="1" applyAlignment="1" applyProtection="1">
      <alignment horizontal="center" vertical="center"/>
    </xf>
    <xf numFmtId="0" fontId="133" fillId="0" borderId="0" xfId="0" applyFont="1" applyAlignment="1" applyProtection="1">
      <alignment horizontal="center"/>
    </xf>
    <xf numFmtId="0" fontId="58" fillId="26" borderId="0" xfId="0" applyFont="1" applyFill="1" applyAlignment="1">
      <alignment horizontal="center" vertical="center" wrapText="1"/>
    </xf>
    <xf numFmtId="0" fontId="19" fillId="0" borderId="0" xfId="0" applyFont="1" applyAlignment="1" applyProtection="1">
      <alignment wrapText="1"/>
    </xf>
    <xf numFmtId="0" fontId="129" fillId="0" borderId="0" xfId="0" applyFont="1" applyAlignment="1" applyProtection="1">
      <alignment horizontal="center"/>
    </xf>
    <xf numFmtId="0" fontId="127" fillId="0" borderId="0" xfId="0" applyFont="1" applyProtection="1"/>
    <xf numFmtId="0" fontId="128" fillId="0" borderId="0" xfId="0" applyFont="1" applyFill="1" applyAlignment="1" applyProtection="1">
      <alignment horizontal="center" vertical="center"/>
    </xf>
    <xf numFmtId="0" fontId="140" fillId="0" borderId="0" xfId="0" applyFont="1" applyFill="1" applyAlignment="1" applyProtection="1">
      <alignment horizontal="center" vertical="center"/>
    </xf>
    <xf numFmtId="0" fontId="132" fillId="0" borderId="0" xfId="0" applyFont="1" applyProtection="1"/>
    <xf numFmtId="49" fontId="56" fillId="3" borderId="150" xfId="0" applyNumberFormat="1" applyFont="1" applyFill="1" applyBorder="1" applyAlignment="1" applyProtection="1">
      <alignment vertical="center" wrapText="1"/>
      <protection locked="0"/>
    </xf>
    <xf numFmtId="0" fontId="57" fillId="24" borderId="20" xfId="0" applyFont="1" applyFill="1" applyBorder="1" applyAlignment="1">
      <alignment horizontal="left" wrapText="1"/>
    </xf>
    <xf numFmtId="173" fontId="23" fillId="0" borderId="14" xfId="0" applyNumberFormat="1" applyFont="1" applyFill="1" applyBorder="1" applyAlignment="1" applyProtection="1">
      <alignment horizontal="right"/>
    </xf>
    <xf numFmtId="0" fontId="127" fillId="24" borderId="0" xfId="0" applyFont="1" applyFill="1" applyProtection="1"/>
    <xf numFmtId="9" fontId="56" fillId="0" borderId="136" xfId="0" applyNumberFormat="1" applyFont="1" applyBorder="1" applyAlignment="1" applyProtection="1">
      <alignment horizontal="center" vertical="center"/>
    </xf>
    <xf numFmtId="49" fontId="95" fillId="3" borderId="136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vertical="center"/>
    </xf>
    <xf numFmtId="3" fontId="95" fillId="3" borderId="136" xfId="0" applyNumberFormat="1" applyFont="1" applyFill="1" applyBorder="1" applyAlignment="1" applyProtection="1">
      <alignment horizontal="right" vertical="center" wrapText="1"/>
      <protection locked="0"/>
    </xf>
    <xf numFmtId="0" fontId="129" fillId="0" borderId="0" xfId="0" applyFont="1" applyAlignment="1" applyProtection="1">
      <alignment horizontal="center" vertical="center"/>
    </xf>
    <xf numFmtId="0" fontId="132" fillId="27" borderId="142" xfId="0" applyNumberFormat="1" applyFont="1" applyFill="1" applyBorder="1" applyAlignment="1" applyProtection="1">
      <alignment horizontal="center" vertical="center" wrapText="1"/>
    </xf>
    <xf numFmtId="169" fontId="0" fillId="0" borderId="0" xfId="0" applyNumberFormat="1" applyFont="1" applyAlignment="1" applyProtection="1">
      <alignment horizontal="center" vertical="center"/>
    </xf>
    <xf numFmtId="49" fontId="77" fillId="0" borderId="0" xfId="0" applyNumberFormat="1" applyFont="1" applyFill="1" applyBorder="1" applyAlignment="1" applyProtection="1">
      <alignment horizontal="center" vertical="center" wrapText="1"/>
    </xf>
    <xf numFmtId="3" fontId="95" fillId="3" borderId="158" xfId="0" applyNumberFormat="1" applyFont="1" applyFill="1" applyBorder="1" applyAlignment="1" applyProtection="1">
      <alignment horizontal="right" vertical="center" wrapText="1"/>
      <protection locked="0"/>
    </xf>
    <xf numFmtId="9" fontId="56" fillId="0" borderId="356" xfId="0" applyNumberFormat="1" applyFont="1" applyBorder="1" applyAlignment="1" applyProtection="1">
      <alignment horizontal="center" vertical="center"/>
    </xf>
    <xf numFmtId="175" fontId="56" fillId="0" borderId="0" xfId="0" applyNumberFormat="1" applyFont="1" applyBorder="1" applyAlignment="1" applyProtection="1">
      <alignment horizontal="center" vertical="center"/>
    </xf>
    <xf numFmtId="0" fontId="25" fillId="9" borderId="102" xfId="0" applyNumberFormat="1" applyFont="1" applyFill="1" applyBorder="1" applyAlignment="1" applyProtection="1">
      <alignment horizontal="center" vertical="center" wrapText="1"/>
    </xf>
    <xf numFmtId="175" fontId="56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175" fontId="56" fillId="3" borderId="136" xfId="0" applyNumberFormat="1" applyFont="1" applyFill="1" applyBorder="1" applyAlignment="1" applyProtection="1">
      <alignment horizontal="left" vertical="center" wrapText="1" shrinkToFit="1"/>
      <protection locked="0"/>
    </xf>
    <xf numFmtId="0" fontId="25" fillId="6" borderId="125" xfId="0" applyNumberFormat="1" applyFont="1" applyFill="1" applyBorder="1" applyAlignment="1" applyProtection="1">
      <alignment horizontal="center" vertical="center" wrapText="1"/>
    </xf>
    <xf numFmtId="0" fontId="25" fillId="9" borderId="311" xfId="0" applyNumberFormat="1" applyFont="1" applyFill="1" applyBorder="1" applyAlignment="1" applyProtection="1">
      <alignment horizontal="center" vertical="center" wrapText="1"/>
    </xf>
    <xf numFmtId="0" fontId="56" fillId="0" borderId="158" xfId="0" applyNumberFormat="1" applyFont="1" applyBorder="1" applyAlignment="1" applyProtection="1">
      <alignment horizontal="center" vertical="center"/>
    </xf>
    <xf numFmtId="3" fontId="125" fillId="0" borderId="312" xfId="0" applyNumberFormat="1" applyFont="1" applyFill="1" applyBorder="1" applyAlignment="1" applyProtection="1">
      <alignment horizontal="center" vertical="center" wrapText="1"/>
    </xf>
    <xf numFmtId="0" fontId="132" fillId="0" borderId="0" xfId="0" applyNumberFormat="1" applyFont="1" applyProtection="1"/>
    <xf numFmtId="49" fontId="25" fillId="9" borderId="297" xfId="0" applyNumberFormat="1" applyFont="1" applyFill="1" applyBorder="1" applyAlignment="1" applyProtection="1">
      <alignment horizontal="center" vertical="center" wrapText="1"/>
    </xf>
    <xf numFmtId="49" fontId="25" fillId="9" borderId="314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7" fillId="0" borderId="0" xfId="0" applyNumberFormat="1" applyFont="1" applyAlignment="1" applyProtection="1">
      <alignment horizontal="center"/>
    </xf>
    <xf numFmtId="0" fontId="0" fillId="0" borderId="0" xfId="0" applyBorder="1" applyAlignment="1">
      <alignment vertical="center" wrapText="1"/>
    </xf>
    <xf numFmtId="0" fontId="0" fillId="0" borderId="0" xfId="0"/>
    <xf numFmtId="0" fontId="0" fillId="0" borderId="0" xfId="0"/>
    <xf numFmtId="0" fontId="0" fillId="0" borderId="289" xfId="0" applyFont="1" applyBorder="1" applyProtection="1"/>
    <xf numFmtId="0" fontId="137" fillId="0" borderId="0" xfId="0" applyNumberFormat="1" applyFont="1" applyFill="1" applyBorder="1" applyAlignment="1" applyProtection="1"/>
    <xf numFmtId="0" fontId="133" fillId="0" borderId="0" xfId="0" applyFont="1" applyBorder="1" applyProtection="1"/>
    <xf numFmtId="49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14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>
      <alignment horizontal="center"/>
    </xf>
    <xf numFmtId="0" fontId="28" fillId="0" borderId="0" xfId="0" applyFont="1" applyFill="1" applyAlignment="1" applyProtection="1">
      <alignment horizontal="center"/>
    </xf>
    <xf numFmtId="0" fontId="28" fillId="0" borderId="0" xfId="0" applyFont="1" applyFill="1" applyAlignment="1" applyProtection="1">
      <alignment horizontal="center" wrapText="1"/>
    </xf>
    <xf numFmtId="0" fontId="28" fillId="0" borderId="172" xfId="0" applyFont="1" applyFill="1" applyBorder="1" applyAlignment="1" applyProtection="1">
      <alignment horizontal="center" wrapText="1"/>
    </xf>
    <xf numFmtId="0" fontId="0" fillId="0" borderId="113" xfId="0" applyBorder="1" applyAlignment="1" applyProtection="1">
      <alignment vertical="center" wrapText="1"/>
    </xf>
    <xf numFmtId="0" fontId="0" fillId="0" borderId="113" xfId="0" applyBorder="1" applyAlignment="1" applyProtection="1">
      <alignment vertical="center"/>
    </xf>
    <xf numFmtId="0" fontId="23" fillId="24" borderId="0" xfId="0" applyNumberFormat="1" applyFont="1" applyFill="1" applyProtection="1"/>
    <xf numFmtId="0" fontId="34" fillId="24" borderId="0" xfId="0" applyFont="1" applyFill="1" applyProtection="1"/>
    <xf numFmtId="0" fontId="0" fillId="0" borderId="0" xfId="0"/>
    <xf numFmtId="0" fontId="23" fillId="24" borderId="0" xfId="0" applyNumberFormat="1" applyFont="1" applyFill="1" applyAlignment="1" applyProtection="1">
      <alignment wrapText="1"/>
    </xf>
    <xf numFmtId="0" fontId="0" fillId="24" borderId="0" xfId="0" applyFill="1" applyAlignment="1" applyProtection="1">
      <alignment wrapText="1"/>
    </xf>
    <xf numFmtId="0" fontId="28" fillId="0" borderId="0" xfId="0" applyFont="1" applyFill="1" applyAlignment="1" applyProtection="1">
      <alignment horizontal="center"/>
    </xf>
    <xf numFmtId="1" fontId="38" fillId="3" borderId="136" xfId="0" applyNumberFormat="1" applyFont="1" applyFill="1" applyBorder="1" applyAlignment="1" applyProtection="1">
      <alignment horizontal="left" vertical="center" wrapText="1"/>
      <protection locked="0"/>
    </xf>
    <xf numFmtId="0" fontId="29" fillId="0" borderId="135" xfId="0" applyNumberFormat="1" applyFont="1" applyFill="1" applyBorder="1" applyAlignment="1" applyProtection="1">
      <alignment wrapText="1"/>
    </xf>
    <xf numFmtId="49" fontId="29" fillId="24" borderId="9" xfId="0" applyNumberFormat="1" applyFont="1" applyFill="1" applyBorder="1" applyAlignment="1" applyProtection="1">
      <alignment horizontal="center"/>
    </xf>
    <xf numFmtId="169" fontId="27" fillId="0" borderId="169" xfId="0" applyNumberFormat="1" applyFont="1" applyBorder="1" applyAlignment="1" applyProtection="1">
      <alignment horizontal="center" vertical="center"/>
      <protection locked="0"/>
    </xf>
    <xf numFmtId="175" fontId="129" fillId="0" borderId="0" xfId="0" applyNumberFormat="1" applyFont="1" applyFill="1" applyProtection="1"/>
    <xf numFmtId="0" fontId="34" fillId="24" borderId="0" xfId="0" applyFont="1" applyFill="1" applyAlignment="1">
      <alignment vertical="center" wrapText="1"/>
    </xf>
    <xf numFmtId="173" fontId="23" fillId="19" borderId="366" xfId="0" applyNumberFormat="1" applyFont="1" applyFill="1" applyBorder="1" applyAlignment="1" applyProtection="1">
      <alignment vertical="center"/>
    </xf>
    <xf numFmtId="49" fontId="25" fillId="2" borderId="86" xfId="0" applyNumberFormat="1" applyFont="1" applyFill="1" applyBorder="1" applyAlignment="1" applyProtection="1">
      <alignment horizontal="center" vertical="center" wrapText="1"/>
    </xf>
    <xf numFmtId="0" fontId="23" fillId="0" borderId="367" xfId="0" applyFont="1" applyBorder="1" applyAlignment="1" applyProtection="1">
      <alignment vertical="center"/>
    </xf>
    <xf numFmtId="172" fontId="23" fillId="0" borderId="309" xfId="0" applyNumberFormat="1" applyFont="1" applyFill="1" applyBorder="1" applyAlignment="1" applyProtection="1">
      <alignment vertical="center" wrapText="1" shrinkToFit="1"/>
    </xf>
    <xf numFmtId="184" fontId="23" fillId="3" borderId="174" xfId="0" applyNumberFormat="1" applyFont="1" applyFill="1" applyBorder="1" applyAlignment="1" applyProtection="1">
      <alignment horizontal="right" wrapText="1" shrinkToFit="1"/>
    </xf>
    <xf numFmtId="183" fontId="23" fillId="3" borderId="295" xfId="0" applyNumberFormat="1" applyFont="1" applyFill="1" applyBorder="1" applyAlignment="1" applyProtection="1">
      <alignment horizontal="right" wrapText="1" shrinkToFit="1"/>
      <protection locked="0"/>
    </xf>
    <xf numFmtId="184" fontId="23" fillId="3" borderId="173" xfId="0" applyNumberFormat="1" applyFont="1" applyFill="1" applyBorder="1" applyAlignment="1" applyProtection="1">
      <alignment horizontal="right" wrapText="1" shrinkToFit="1"/>
      <protection locked="0"/>
    </xf>
    <xf numFmtId="0" fontId="0" fillId="0" borderId="0" xfId="0"/>
    <xf numFmtId="0" fontId="57" fillId="0" borderId="20" xfId="0" applyFont="1" applyFill="1" applyBorder="1" applyAlignment="1">
      <alignment horizontal="left" wrapText="1"/>
    </xf>
    <xf numFmtId="0" fontId="27" fillId="0" borderId="0" xfId="0" applyNumberFormat="1" applyFont="1" applyProtection="1"/>
    <xf numFmtId="0" fontId="27" fillId="24" borderId="0" xfId="0" applyNumberFormat="1" applyFont="1" applyFill="1" applyProtection="1"/>
    <xf numFmtId="0" fontId="120" fillId="24" borderId="0" xfId="0" applyNumberFormat="1" applyFont="1" applyFill="1" applyAlignment="1" applyProtection="1">
      <alignment horizontal="center"/>
    </xf>
    <xf numFmtId="169" fontId="29" fillId="3" borderId="372" xfId="0" applyNumberFormat="1" applyFont="1" applyFill="1" applyBorder="1" applyAlignment="1" applyProtection="1">
      <alignment horizontal="right" wrapText="1" shrinkToFit="1"/>
      <protection locked="0"/>
    </xf>
    <xf numFmtId="180" fontId="56" fillId="3" borderId="129" xfId="0" applyNumberFormat="1" applyFont="1" applyFill="1" applyBorder="1" applyAlignment="1" applyProtection="1">
      <alignment horizontal="left" wrapText="1"/>
      <protection locked="0"/>
    </xf>
    <xf numFmtId="49" fontId="23" fillId="0" borderId="113" xfId="0" applyNumberFormat="1" applyFont="1" applyBorder="1" applyAlignment="1" applyProtection="1">
      <alignment horizontal="right"/>
    </xf>
    <xf numFmtId="0" fontId="23" fillId="0" borderId="113" xfId="0" applyFont="1" applyBorder="1" applyAlignment="1" applyProtection="1">
      <alignment horizontal="right"/>
    </xf>
    <xf numFmtId="0" fontId="23" fillId="0" borderId="113" xfId="0" applyFont="1" applyFill="1" applyBorder="1" applyAlignment="1" applyProtection="1">
      <alignment horizontal="right" vertical="top" wrapText="1"/>
    </xf>
    <xf numFmtId="0" fontId="0" fillId="0" borderId="0" xfId="0"/>
    <xf numFmtId="0" fontId="0" fillId="0" borderId="0" xfId="0" applyAlignment="1">
      <alignment horizontal="center" wrapText="1"/>
    </xf>
    <xf numFmtId="0" fontId="21" fillId="0" borderId="47" xfId="0" applyFont="1" applyFill="1" applyBorder="1" applyAlignment="1" applyProtection="1">
      <alignment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175" fontId="23" fillId="3" borderId="226" xfId="0" applyNumberFormat="1" applyFont="1" applyFill="1" applyBorder="1" applyAlignment="1" applyProtection="1">
      <alignment horizontal="right" wrapText="1" shrinkToFit="1"/>
      <protection locked="0"/>
    </xf>
    <xf numFmtId="175" fontId="23" fillId="3" borderId="373" xfId="0" applyNumberFormat="1" applyFont="1" applyFill="1" applyBorder="1" applyAlignment="1" applyProtection="1">
      <alignment horizontal="right" vertical="center" wrapText="1" shrinkToFit="1"/>
      <protection locked="0"/>
    </xf>
    <xf numFmtId="175" fontId="23" fillId="3" borderId="374" xfId="0" applyNumberFormat="1" applyFont="1" applyFill="1" applyBorder="1" applyAlignment="1" applyProtection="1">
      <alignment horizontal="right" vertical="center" wrapText="1" shrinkToFit="1"/>
      <protection locked="0"/>
    </xf>
    <xf numFmtId="0" fontId="25" fillId="2" borderId="31" xfId="0" applyNumberFormat="1" applyFont="1" applyFill="1" applyBorder="1" applyAlignment="1" applyProtection="1">
      <alignment horizontal="center" vertical="center" wrapText="1"/>
    </xf>
    <xf numFmtId="169" fontId="24" fillId="0" borderId="226" xfId="0" applyNumberFormat="1" applyFont="1" applyFill="1" applyBorder="1" applyAlignment="1" applyProtection="1">
      <alignment horizontal="center"/>
    </xf>
    <xf numFmtId="49" fontId="25" fillId="6" borderId="5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3" fontId="135" fillId="0" borderId="307" xfId="0" applyNumberFormat="1" applyFont="1" applyBorder="1" applyAlignment="1">
      <alignment horizontal="center"/>
    </xf>
    <xf numFmtId="49" fontId="25" fillId="6" borderId="5" xfId="0" applyNumberFormat="1" applyFont="1" applyFill="1" applyBorder="1" applyAlignment="1" applyProtection="1">
      <alignment horizontal="center" vertical="center" wrapText="1"/>
    </xf>
    <xf numFmtId="175" fontId="0" fillId="0" borderId="113" xfId="0" applyNumberFormat="1" applyFont="1" applyBorder="1" applyProtection="1"/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3" fillId="0" borderId="229" xfId="0" applyFont="1" applyBorder="1" applyProtection="1"/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49" fontId="25" fillId="2" borderId="31" xfId="0" applyNumberFormat="1" applyFont="1" applyFill="1" applyBorder="1" applyAlignment="1" applyProtection="1">
      <alignment horizontal="center" vertical="center" wrapText="1"/>
    </xf>
    <xf numFmtId="169" fontId="23" fillId="0" borderId="140" xfId="0" applyNumberFormat="1" applyFont="1" applyFill="1" applyBorder="1" applyAlignment="1" applyProtection="1">
      <alignment horizontal="center" vertical="center" wrapText="1"/>
    </xf>
    <xf numFmtId="169" fontId="23" fillId="0" borderId="151" xfId="0" applyNumberFormat="1" applyFont="1" applyFill="1" applyBorder="1" applyAlignment="1" applyProtection="1">
      <alignment horizontal="center" vertical="center" wrapText="1"/>
    </xf>
    <xf numFmtId="169" fontId="132" fillId="0" borderId="0" xfId="0" applyNumberFormat="1" applyFont="1" applyFill="1" applyBorder="1" applyAlignment="1" applyProtection="1">
      <alignment horizontal="center" vertical="center"/>
    </xf>
    <xf numFmtId="0" fontId="133" fillId="0" borderId="67" xfId="0" applyFont="1" applyBorder="1" applyAlignment="1" applyProtection="1">
      <alignment horizontal="center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2" fontId="57" fillId="24" borderId="113" xfId="0" applyNumberFormat="1" applyFont="1" applyFill="1" applyBorder="1" applyAlignment="1" applyProtection="1">
      <alignment horizontal="left" vertical="center" wrapText="1"/>
    </xf>
    <xf numFmtId="172" fontId="23" fillId="0" borderId="376" xfId="0" applyNumberFormat="1" applyFont="1" applyFill="1" applyBorder="1" applyAlignment="1" applyProtection="1">
      <alignment vertical="center" wrapText="1" shrinkToFit="1"/>
    </xf>
    <xf numFmtId="172" fontId="23" fillId="0" borderId="377" xfId="0" applyNumberFormat="1" applyFont="1" applyFill="1" applyBorder="1" applyAlignment="1" applyProtection="1">
      <alignment vertical="center" wrapText="1" shrinkToFit="1"/>
    </xf>
    <xf numFmtId="172" fontId="23" fillId="0" borderId="378" xfId="0" applyNumberFormat="1" applyFont="1" applyFill="1" applyBorder="1" applyAlignment="1" applyProtection="1">
      <alignment vertical="center" wrapText="1" shrinkToFit="1"/>
    </xf>
    <xf numFmtId="172" fontId="23" fillId="0" borderId="290" xfId="0" applyNumberFormat="1" applyFont="1" applyFill="1" applyBorder="1" applyAlignment="1" applyProtection="1">
      <alignment vertical="center" wrapText="1" shrinkToFi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169" fontId="23" fillId="4" borderId="35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3" xfId="0" applyBorder="1" applyAlignment="1">
      <alignment horizontal="center" vertical="center" wrapText="1"/>
    </xf>
    <xf numFmtId="0" fontId="0" fillId="0" borderId="342" xfId="0" applyBorder="1" applyAlignment="1">
      <alignment horizontal="center" vertical="center" wrapText="1"/>
    </xf>
    <xf numFmtId="0" fontId="0" fillId="0" borderId="0" xfId="0"/>
    <xf numFmtId="49" fontId="0" fillId="0" borderId="0" xfId="0" applyNumberFormat="1" applyAlignment="1" applyProtection="1"/>
    <xf numFmtId="0" fontId="58" fillId="24" borderId="0" xfId="0" applyFont="1" applyFill="1" applyAlignment="1">
      <alignment horizontal="center" vertical="center" wrapText="1"/>
    </xf>
    <xf numFmtId="0" fontId="0" fillId="0" borderId="0" xfId="0"/>
    <xf numFmtId="0" fontId="24" fillId="0" borderId="0" xfId="0" applyFont="1" applyFill="1" applyBorder="1" applyAlignment="1" applyProtection="1">
      <alignment vertical="center" wrapText="1"/>
    </xf>
    <xf numFmtId="169" fontId="38" fillId="3" borderId="248" xfId="0" applyNumberFormat="1" applyFont="1" applyFill="1" applyBorder="1" applyAlignment="1" applyProtection="1">
      <alignment horizontal="right" wrapText="1" shrinkToFit="1"/>
      <protection locked="0"/>
    </xf>
    <xf numFmtId="169" fontId="38" fillId="3" borderId="379" xfId="0" applyNumberFormat="1" applyFont="1" applyFill="1" applyBorder="1" applyAlignment="1" applyProtection="1">
      <alignment horizontal="right" wrapText="1" shrinkToFit="1"/>
      <protection locked="0"/>
    </xf>
    <xf numFmtId="0" fontId="38" fillId="0" borderId="380" xfId="0" applyNumberFormat="1" applyFont="1" applyFill="1" applyBorder="1" applyAlignment="1" applyProtection="1">
      <alignment horizontal="center"/>
    </xf>
    <xf numFmtId="49" fontId="38" fillId="3" borderId="58" xfId="0" applyNumberFormat="1" applyFont="1" applyFill="1" applyBorder="1" applyAlignment="1" applyProtection="1">
      <alignment vertical="center" wrapText="1" shrinkToFit="1"/>
      <protection locked="0"/>
    </xf>
    <xf numFmtId="0" fontId="0" fillId="0" borderId="0" xfId="0"/>
    <xf numFmtId="0" fontId="25" fillId="2" borderId="7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29" fillId="11" borderId="381" xfId="0" applyNumberFormat="1" applyFont="1" applyFill="1" applyBorder="1" applyAlignment="1" applyProtection="1">
      <alignment horizontal="left" vertical="center"/>
    </xf>
    <xf numFmtId="14" fontId="29" fillId="11" borderId="381" xfId="0" applyNumberFormat="1" applyFont="1" applyFill="1" applyBorder="1" applyAlignment="1" applyProtection="1">
      <alignment horizontal="left" vertical="center"/>
    </xf>
    <xf numFmtId="0" fontId="29" fillId="11" borderId="382" xfId="0" applyNumberFormat="1" applyFont="1" applyFill="1" applyBorder="1" applyAlignment="1" applyProtection="1">
      <alignment horizontal="left" vertical="center" wrapText="1"/>
    </xf>
    <xf numFmtId="0" fontId="29" fillId="11" borderId="383" xfId="0" applyNumberFormat="1" applyFont="1" applyFill="1" applyBorder="1" applyAlignment="1" applyProtection="1">
      <alignment horizontal="left" vertical="center"/>
    </xf>
    <xf numFmtId="14" fontId="29" fillId="11" borderId="383" xfId="0" applyNumberFormat="1" applyFont="1" applyFill="1" applyBorder="1" applyAlignment="1" applyProtection="1">
      <alignment horizontal="left" vertical="center"/>
    </xf>
    <xf numFmtId="0" fontId="29" fillId="11" borderId="383" xfId="0" applyNumberFormat="1" applyFont="1" applyFill="1" applyBorder="1" applyAlignment="1" applyProtection="1">
      <alignment horizontal="left" vertical="center" wrapText="1"/>
    </xf>
    <xf numFmtId="0" fontId="29" fillId="11" borderId="381" xfId="0" applyNumberFormat="1" applyFont="1" applyFill="1" applyBorder="1" applyAlignment="1" applyProtection="1">
      <alignment horizontal="left" vertical="center" wrapText="1"/>
    </xf>
    <xf numFmtId="14" fontId="29" fillId="11" borderId="381" xfId="0" applyNumberFormat="1" applyFont="1" applyFill="1" applyBorder="1" applyAlignment="1" applyProtection="1">
      <alignment horizontal="left" vertical="center" wrapText="1"/>
    </xf>
    <xf numFmtId="0" fontId="29" fillId="11" borderId="372" xfId="0" applyNumberFormat="1" applyFont="1" applyFill="1" applyBorder="1" applyAlignment="1" applyProtection="1">
      <alignment horizontal="left" vertical="center" wrapText="1"/>
    </xf>
    <xf numFmtId="10" fontId="29" fillId="11" borderId="382" xfId="0" applyNumberFormat="1" applyFont="1" applyFill="1" applyBorder="1" applyAlignment="1" applyProtection="1">
      <alignment horizontal="left" vertical="center" wrapText="1"/>
    </xf>
    <xf numFmtId="0" fontId="29" fillId="11" borderId="381" xfId="0" applyNumberFormat="1" applyFont="1" applyFill="1" applyBorder="1" applyAlignment="1" applyProtection="1">
      <alignment vertical="center"/>
    </xf>
    <xf numFmtId="14" fontId="29" fillId="11" borderId="381" xfId="0" applyNumberFormat="1" applyFont="1" applyFill="1" applyBorder="1" applyAlignment="1" applyProtection="1">
      <alignment vertical="center"/>
    </xf>
    <xf numFmtId="0" fontId="29" fillId="11" borderId="381" xfId="0" applyNumberFormat="1" applyFont="1" applyFill="1" applyBorder="1" applyAlignment="1" applyProtection="1">
      <alignment horizontal="center" vertical="center" wrapText="1"/>
    </xf>
    <xf numFmtId="14" fontId="29" fillId="11" borderId="381" xfId="0" applyNumberFormat="1" applyFont="1" applyFill="1" applyBorder="1" applyAlignment="1" applyProtection="1">
      <alignment horizontal="center" vertical="center" wrapText="1"/>
    </xf>
    <xf numFmtId="0" fontId="56" fillId="0" borderId="381" xfId="0" applyNumberFormat="1" applyFont="1" applyFill="1" applyBorder="1" applyAlignment="1" applyProtection="1">
      <alignment horizontal="left" vertical="center" wrapText="1"/>
    </xf>
    <xf numFmtId="0" fontId="29" fillId="0" borderId="381" xfId="0" applyNumberFormat="1" applyFont="1" applyFill="1" applyBorder="1" applyAlignment="1" applyProtection="1">
      <alignment horizontal="left" vertical="center" wrapText="1" shrinkToFit="1"/>
    </xf>
    <xf numFmtId="49" fontId="23" fillId="3" borderId="38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/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29" fillId="0" borderId="273" xfId="0" applyNumberFormat="1" applyFont="1" applyBorder="1" applyAlignment="1" applyProtection="1">
      <alignment horizontal="center"/>
    </xf>
    <xf numFmtId="175" fontId="29" fillId="4" borderId="365" xfId="0" applyNumberFormat="1" applyFont="1" applyFill="1" applyBorder="1" applyAlignment="1" applyProtection="1">
      <alignment horizontal="right"/>
      <protection locked="0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175" fontId="29" fillId="0" borderId="226" xfId="0" applyNumberFormat="1" applyFont="1" applyBorder="1" applyAlignment="1" applyProtection="1">
      <alignment horizontal="right"/>
    </xf>
    <xf numFmtId="175" fontId="29" fillId="3" borderId="226" xfId="0" applyNumberFormat="1" applyFont="1" applyFill="1" applyBorder="1" applyAlignment="1" applyProtection="1">
      <alignment horizontal="right" vertical="center" wrapText="1" shrinkToFit="1"/>
      <protection locked="0"/>
    </xf>
    <xf numFmtId="49" fontId="29" fillId="3" borderId="385" xfId="0" applyNumberFormat="1" applyFont="1" applyFill="1" applyBorder="1" applyAlignment="1" applyProtection="1">
      <alignment horizontal="left" vertical="top" wrapText="1"/>
      <protection locked="0"/>
    </xf>
    <xf numFmtId="0" fontId="129" fillId="0" borderId="0" xfId="0" applyFont="1" applyAlignment="1" applyProtection="1">
      <alignment horizontal="center" vertical="center"/>
    </xf>
    <xf numFmtId="0" fontId="25" fillId="6" borderId="5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0" fontId="29" fillId="0" borderId="386" xfId="0" applyNumberFormat="1" applyFont="1" applyBorder="1" applyAlignment="1" applyProtection="1">
      <alignment horizontal="center"/>
    </xf>
    <xf numFmtId="0" fontId="25" fillId="2" borderId="131" xfId="0" applyNumberFormat="1" applyFont="1" applyFill="1" applyBorder="1" applyAlignment="1" applyProtection="1">
      <alignment horizontal="center" vertical="center" wrapText="1"/>
    </xf>
    <xf numFmtId="0" fontId="25" fillId="2" borderId="81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38" fillId="3" borderId="390" xfId="0" applyNumberFormat="1" applyFont="1" applyFill="1" applyBorder="1" applyAlignment="1" applyProtection="1">
      <alignment vertical="center"/>
      <protection locked="0"/>
    </xf>
    <xf numFmtId="169" fontId="38" fillId="3" borderId="391" xfId="0" applyNumberFormat="1" applyFont="1" applyFill="1" applyBorder="1" applyAlignment="1" applyProtection="1">
      <alignment horizontal="right" wrapText="1" shrinkToFit="1"/>
      <protection locked="0"/>
    </xf>
    <xf numFmtId="169" fontId="38" fillId="3" borderId="175" xfId="0" applyNumberFormat="1" applyFont="1" applyFill="1" applyBorder="1" applyAlignment="1" applyProtection="1">
      <alignment horizontal="right" wrapText="1" shrinkToFit="1"/>
      <protection locked="0"/>
    </xf>
    <xf numFmtId="49" fontId="38" fillId="3" borderId="392" xfId="0" applyNumberFormat="1" applyFont="1" applyFill="1" applyBorder="1" applyAlignment="1" applyProtection="1">
      <alignment vertical="center" wrapText="1" shrinkToFit="1"/>
      <protection locked="0"/>
    </xf>
    <xf numFmtId="0" fontId="56" fillId="0" borderId="64" xfId="0" applyNumberFormat="1" applyFont="1" applyFill="1" applyBorder="1" applyAlignment="1" applyProtection="1">
      <alignment horizontal="right"/>
    </xf>
    <xf numFmtId="0" fontId="56" fillId="0" borderId="85" xfId="0" applyNumberFormat="1" applyFont="1" applyFill="1" applyBorder="1" applyAlignment="1" applyProtection="1">
      <alignment horizontal="right"/>
    </xf>
    <xf numFmtId="49" fontId="29" fillId="3" borderId="383" xfId="0" applyNumberFormat="1" applyFont="1" applyFill="1" applyBorder="1" applyAlignment="1" applyProtection="1">
      <alignment horizontal="left" vertical="top" wrapText="1"/>
      <protection locked="0"/>
    </xf>
    <xf numFmtId="49" fontId="29" fillId="3" borderId="393" xfId="0" applyNumberFormat="1" applyFont="1" applyFill="1" applyBorder="1" applyAlignment="1" applyProtection="1">
      <alignment vertical="center" wrapText="1"/>
      <protection locked="0"/>
    </xf>
    <xf numFmtId="49" fontId="23" fillId="3" borderId="383" xfId="0" applyNumberFormat="1" applyFont="1" applyFill="1" applyBorder="1" applyAlignment="1" applyProtection="1">
      <alignment horizontal="right" wrapText="1" shrinkToFit="1"/>
      <protection locked="0"/>
    </xf>
    <xf numFmtId="0" fontId="0" fillId="0" borderId="113" xfId="0" applyFill="1" applyBorder="1" applyAlignment="1">
      <alignment horizontal="center" vertical="center" wrapText="1"/>
    </xf>
    <xf numFmtId="49" fontId="23" fillId="0" borderId="113" xfId="0" applyNumberFormat="1" applyFont="1" applyFill="1" applyBorder="1" applyAlignment="1" applyProtection="1">
      <alignment horizontal="center"/>
    </xf>
    <xf numFmtId="0" fontId="0" fillId="0" borderId="113" xfId="0" applyNumberFormat="1" applyFill="1" applyBorder="1" applyAlignment="1">
      <alignment horizontal="center" vertical="center" wrapText="1"/>
    </xf>
    <xf numFmtId="0" fontId="23" fillId="0" borderId="113" xfId="0" applyNumberFormat="1" applyFont="1" applyFill="1" applyBorder="1" applyAlignment="1" applyProtection="1">
      <alignment horizontal="center"/>
    </xf>
    <xf numFmtId="0" fontId="23" fillId="0" borderId="113" xfId="0" applyFont="1" applyFill="1" applyBorder="1" applyAlignment="1" applyProtection="1">
      <alignment horizontal="center"/>
    </xf>
    <xf numFmtId="0" fontId="144" fillId="0" borderId="0" xfId="0" applyFont="1"/>
    <xf numFmtId="49" fontId="25" fillId="2" borderId="5" xfId="0" applyNumberFormat="1" applyFont="1" applyFill="1" applyBorder="1" applyAlignment="1" applyProtection="1">
      <alignment horizontal="center" vertical="center" wrapText="1"/>
    </xf>
    <xf numFmtId="169" fontId="29" fillId="3" borderId="16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158" xfId="0" applyNumberFormat="1" applyFont="1" applyFill="1" applyBorder="1" applyAlignment="1" applyProtection="1">
      <alignment horizontal="center" vertical="center"/>
      <protection locked="0"/>
    </xf>
    <xf numFmtId="49" fontId="29" fillId="3" borderId="394" xfId="0" applyNumberFormat="1" applyFont="1" applyFill="1" applyBorder="1" applyAlignment="1" applyProtection="1">
      <alignment horizontal="center" vertical="center"/>
      <protection locked="0"/>
    </xf>
    <xf numFmtId="169" fontId="56" fillId="3" borderId="396" xfId="0" applyNumberFormat="1" applyFont="1" applyFill="1" applyBorder="1" applyAlignment="1" applyProtection="1">
      <alignment horizontal="right" vertical="center"/>
      <protection locked="0"/>
    </xf>
    <xf numFmtId="169" fontId="56" fillId="3" borderId="395" xfId="0" applyNumberFormat="1" applyFont="1" applyFill="1" applyBorder="1" applyAlignment="1" applyProtection="1">
      <alignment horizontal="right" vertical="center" wrapText="1" shrinkToFit="1"/>
      <protection locked="0"/>
    </xf>
    <xf numFmtId="169" fontId="29" fillId="3" borderId="381" xfId="0" applyNumberFormat="1" applyFont="1" applyFill="1" applyBorder="1" applyAlignment="1" applyProtection="1">
      <alignment horizontal="right" vertical="center" wrapText="1" shrinkToFit="1"/>
      <protection locked="0"/>
    </xf>
    <xf numFmtId="0" fontId="56" fillId="0" borderId="383" xfId="0" applyNumberFormat="1" applyFont="1" applyFill="1" applyBorder="1" applyAlignment="1" applyProtection="1">
      <alignment horizontal="right"/>
    </xf>
    <xf numFmtId="49" fontId="25" fillId="6" borderId="5" xfId="0" applyNumberFormat="1" applyFont="1" applyFill="1" applyBorder="1" applyAlignment="1" applyProtection="1">
      <alignment horizontal="center" vertical="center" wrapText="1"/>
    </xf>
    <xf numFmtId="0" fontId="19" fillId="24" borderId="1" xfId="0" applyFont="1" applyFill="1" applyBorder="1" applyProtection="1"/>
    <xf numFmtId="0" fontId="27" fillId="24" borderId="10" xfId="0" applyFont="1" applyFill="1" applyBorder="1" applyProtection="1"/>
    <xf numFmtId="0" fontId="0" fillId="0" borderId="0" xfId="0" applyProtection="1"/>
    <xf numFmtId="0" fontId="19" fillId="0" borderId="1" xfId="0" applyFont="1" applyBorder="1" applyProtection="1"/>
    <xf numFmtId="0" fontId="27" fillId="0" borderId="10" xfId="0" applyFont="1" applyBorder="1" applyProtection="1"/>
    <xf numFmtId="0" fontId="22" fillId="0" borderId="2" xfId="0" applyNumberFormat="1" applyFont="1" applyFill="1" applyBorder="1" applyAlignment="1" applyProtection="1">
      <alignment wrapText="1"/>
    </xf>
    <xf numFmtId="0" fontId="19" fillId="0" borderId="1" xfId="0" applyFont="1" applyBorder="1" applyProtection="1"/>
    <xf numFmtId="0" fontId="22" fillId="0" borderId="2" xfId="0" applyNumberFormat="1" applyFont="1" applyFill="1" applyBorder="1" applyAlignment="1" applyProtection="1"/>
    <xf numFmtId="0" fontId="34" fillId="0" borderId="0" xfId="0" applyFont="1" applyAlignment="1" applyProtection="1"/>
    <xf numFmtId="0" fontId="22" fillId="24" borderId="2" xfId="0" applyNumberFormat="1" applyFont="1" applyFill="1" applyBorder="1" applyAlignment="1" applyProtection="1"/>
    <xf numFmtId="0" fontId="125" fillId="0" borderId="0" xfId="0" applyFont="1"/>
    <xf numFmtId="0" fontId="27" fillId="0" borderId="0" xfId="0" applyFont="1" applyAlignment="1">
      <alignment vertical="top"/>
    </xf>
    <xf numFmtId="0" fontId="22" fillId="0" borderId="2" xfId="0" applyFont="1" applyBorder="1" applyAlignment="1" applyProtection="1">
      <alignment vertical="top"/>
    </xf>
    <xf numFmtId="0" fontId="22" fillId="0" borderId="2" xfId="0" applyNumberFormat="1" applyFont="1" applyFill="1" applyBorder="1" applyAlignment="1" applyProtection="1">
      <alignment vertical="top"/>
    </xf>
    <xf numFmtId="0" fontId="79" fillId="0" borderId="2" xfId="0" applyNumberFormat="1" applyFont="1" applyFill="1" applyBorder="1" applyAlignment="1" applyProtection="1">
      <alignment horizontal="center" vertical="top"/>
    </xf>
    <xf numFmtId="0" fontId="27" fillId="0" borderId="2" xfId="0" applyNumberFormat="1" applyFont="1" applyFill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56" fillId="0" borderId="397" xfId="0" applyNumberFormat="1" applyFont="1" applyBorder="1" applyAlignment="1" applyProtection="1">
      <alignment horizontal="center" vertical="center"/>
    </xf>
    <xf numFmtId="0" fontId="19" fillId="0" borderId="1" xfId="0" applyFont="1" applyBorder="1" applyProtection="1"/>
    <xf numFmtId="49" fontId="25" fillId="6" borderId="315" xfId="0" applyNumberFormat="1" applyFont="1" applyFill="1" applyBorder="1" applyAlignment="1" applyProtection="1">
      <alignment horizontal="center" vertical="center"/>
    </xf>
    <xf numFmtId="0" fontId="25" fillId="2" borderId="249" xfId="0" applyNumberFormat="1" applyFont="1" applyFill="1" applyBorder="1" applyAlignment="1" applyProtection="1">
      <alignment horizontal="center" vertical="center" wrapText="1"/>
    </xf>
    <xf numFmtId="49" fontId="38" fillId="3" borderId="398" xfId="0" applyNumberFormat="1" applyFont="1" applyFill="1" applyBorder="1" applyAlignment="1" applyProtection="1">
      <alignment vertical="center"/>
      <protection locked="0"/>
    </xf>
    <xf numFmtId="49" fontId="29" fillId="3" borderId="218" xfId="0" applyNumberFormat="1" applyFont="1" applyFill="1" applyBorder="1" applyAlignment="1" applyProtection="1">
      <alignment horizontal="left" vertical="center"/>
      <protection locked="0"/>
    </xf>
    <xf numFmtId="49" fontId="29" fillId="3" borderId="381" xfId="0" applyNumberFormat="1" applyFont="1" applyFill="1" applyBorder="1" applyAlignment="1" applyProtection="1">
      <alignment horizontal="left" vertical="center"/>
      <protection locked="0"/>
    </xf>
    <xf numFmtId="49" fontId="29" fillId="4" borderId="6" xfId="0" applyNumberFormat="1" applyFont="1" applyFill="1" applyBorder="1" applyAlignment="1" applyProtection="1">
      <alignment horizontal="right"/>
      <protection locked="0"/>
    </xf>
    <xf numFmtId="49" fontId="29" fillId="4" borderId="365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23" fillId="0" borderId="9" xfId="0" applyFont="1" applyBorder="1" applyAlignment="1" applyProtection="1">
      <alignment horizontal="right" vertical="center"/>
    </xf>
    <xf numFmtId="49" fontId="56" fillId="3" borderId="58" xfId="0" applyNumberFormat="1" applyFont="1" applyFill="1" applyBorder="1" applyAlignment="1" applyProtection="1">
      <alignment horizontal="left" wrapText="1"/>
      <protection locked="0"/>
    </xf>
    <xf numFmtId="0" fontId="129" fillId="0" borderId="0" xfId="0" applyFont="1" applyAlignment="1" applyProtection="1">
      <alignment wrapText="1"/>
    </xf>
    <xf numFmtId="169" fontId="23" fillId="3" borderId="313" xfId="0" applyNumberFormat="1" applyFont="1" applyFill="1" applyBorder="1" applyAlignment="1" applyProtection="1">
      <alignment horizontal="left" vertical="center" wrapText="1" shrinkToFit="1"/>
      <protection locked="0"/>
    </xf>
    <xf numFmtId="14" fontId="56" fillId="0" borderId="381" xfId="0" applyNumberFormat="1" applyFont="1" applyFill="1" applyBorder="1" applyAlignment="1" applyProtection="1">
      <alignment horizontal="left" vertical="center" wrapText="1"/>
    </xf>
    <xf numFmtId="49" fontId="0" fillId="0" borderId="1" xfId="0" applyNumberFormat="1" applyFont="1" applyBorder="1" applyAlignment="1" applyProtection="1">
      <alignment vertical="center"/>
    </xf>
    <xf numFmtId="49" fontId="99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Alignment="1" applyProtection="1">
      <alignment vertical="center"/>
    </xf>
    <xf numFmtId="49" fontId="38" fillId="0" borderId="136" xfId="0" applyNumberFormat="1" applyFont="1" applyBorder="1" applyAlignment="1" applyProtection="1">
      <alignment horizontal="center" vertical="center"/>
    </xf>
    <xf numFmtId="49" fontId="38" fillId="0" borderId="136" xfId="0" applyNumberFormat="1" applyFont="1" applyBorder="1" applyAlignment="1" applyProtection="1">
      <alignment horizontal="center" vertical="center" wrapText="1"/>
    </xf>
    <xf numFmtId="173" fontId="23" fillId="0" borderId="6" xfId="0" applyNumberFormat="1" applyFont="1" applyBorder="1" applyAlignment="1" applyProtection="1">
      <alignment horizontal="left" vertical="center"/>
    </xf>
    <xf numFmtId="0" fontId="0" fillId="0" borderId="113" xfId="0" applyFont="1" applyBorder="1" applyAlignment="1" applyProtection="1">
      <alignment vertical="center" wrapText="1"/>
    </xf>
    <xf numFmtId="0" fontId="0" fillId="0" borderId="113" xfId="0" applyFont="1" applyFill="1" applyBorder="1" applyAlignment="1" applyProtection="1">
      <alignment vertical="center" wrapText="1"/>
    </xf>
    <xf numFmtId="49" fontId="23" fillId="3" borderId="355" xfId="0" applyNumberFormat="1" applyFont="1" applyFill="1" applyBorder="1" applyAlignment="1" applyProtection="1">
      <alignment horizontal="left" wrapText="1"/>
      <protection locked="0"/>
    </xf>
    <xf numFmtId="49" fontId="23" fillId="3" borderId="355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13" xfId="0" applyFill="1" applyBorder="1" applyAlignment="1">
      <alignment horizontal="center" vertical="center"/>
    </xf>
    <xf numFmtId="49" fontId="15" fillId="24" borderId="113" xfId="0" applyNumberFormat="1" applyFont="1" applyFill="1" applyBorder="1" applyAlignment="1" applyProtection="1">
      <alignment horizontal="center" vertical="center" wrapText="1"/>
    </xf>
    <xf numFmtId="0" fontId="0" fillId="0" borderId="113" xfId="0" applyBorder="1" applyAlignment="1">
      <alignment horizontal="center"/>
    </xf>
    <xf numFmtId="187" fontId="29" fillId="3" borderId="6" xfId="0" applyNumberFormat="1" applyFont="1" applyFill="1" applyBorder="1" applyAlignment="1" applyProtection="1">
      <alignment horizontal="right" vertical="center" wrapText="1" shrinkToFit="1"/>
      <protection locked="0"/>
    </xf>
    <xf numFmtId="187" fontId="29" fillId="3" borderId="41" xfId="0" applyNumberFormat="1" applyFont="1" applyFill="1" applyBorder="1" applyAlignment="1" applyProtection="1">
      <alignment horizontal="right" wrapText="1" shrinkToFit="1"/>
      <protection locked="0"/>
    </xf>
    <xf numFmtId="0" fontId="0" fillId="0" borderId="0" xfId="0"/>
    <xf numFmtId="0" fontId="22" fillId="0" borderId="0" xfId="0" quotePrefix="1" applyFont="1" applyBorder="1" applyAlignment="1" applyProtection="1">
      <alignment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169" fontId="24" fillId="0" borderId="140" xfId="0" applyNumberFormat="1" applyFont="1" applyFill="1" applyBorder="1" applyAlignment="1" applyProtection="1">
      <alignment horizontal="center"/>
    </xf>
    <xf numFmtId="169" fontId="23" fillId="4" borderId="140" xfId="0" applyNumberFormat="1" applyFont="1" applyFill="1" applyBorder="1" applyAlignment="1" applyProtection="1">
      <alignment horizontal="center" vertical="center"/>
      <protection locked="0"/>
    </xf>
    <xf numFmtId="169" fontId="23" fillId="4" borderId="15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3" xfId="0" applyBorder="1" applyAlignment="1">
      <alignment vertical="center" wrapText="1"/>
    </xf>
    <xf numFmtId="173" fontId="127" fillId="0" borderId="0" xfId="0" applyNumberFormat="1" applyFont="1" applyProtection="1"/>
    <xf numFmtId="173" fontId="21" fillId="0" borderId="0" xfId="0" applyNumberFormat="1" applyFont="1" applyBorder="1" applyAlignment="1" applyProtection="1">
      <alignment horizontal="right" vertical="center"/>
    </xf>
    <xf numFmtId="173" fontId="24" fillId="0" borderId="0" xfId="0" applyNumberFormat="1" applyFont="1" applyProtection="1"/>
    <xf numFmtId="173" fontId="127" fillId="0" borderId="0" xfId="0" applyNumberFormat="1" applyFont="1" applyBorder="1" applyAlignment="1" applyProtection="1">
      <alignment horizontal="right" vertical="center"/>
    </xf>
    <xf numFmtId="173" fontId="23" fillId="29" borderId="0" xfId="0" applyNumberFormat="1" applyFont="1" applyFill="1" applyBorder="1" applyAlignment="1" applyProtection="1">
      <alignment horizontal="left" vertical="center" wrapText="1"/>
    </xf>
    <xf numFmtId="173" fontId="21" fillId="29" borderId="0" xfId="0" applyNumberFormat="1" applyFont="1" applyFill="1" applyBorder="1" applyAlignment="1" applyProtection="1">
      <alignment horizontal="right" vertical="center"/>
    </xf>
    <xf numFmtId="173" fontId="127" fillId="29" borderId="0" xfId="0" applyNumberFormat="1" applyFont="1" applyFill="1" applyBorder="1" applyAlignment="1" applyProtection="1">
      <alignment horizontal="right" vertical="center"/>
    </xf>
    <xf numFmtId="173" fontId="23" fillId="0" borderId="0" xfId="0" applyNumberFormat="1" applyFont="1" applyBorder="1" applyProtection="1"/>
    <xf numFmtId="173" fontId="24" fillId="0" borderId="0" xfId="0" applyNumberFormat="1" applyFont="1" applyBorder="1" applyProtection="1"/>
    <xf numFmtId="173" fontId="23" fillId="0" borderId="0" xfId="0" applyNumberFormat="1" applyFont="1" applyFill="1" applyBorder="1" applyAlignment="1" applyProtection="1">
      <alignment horizontal="left" vertical="center" wrapText="1"/>
    </xf>
    <xf numFmtId="49" fontId="25" fillId="2" borderId="267" xfId="0" applyNumberFormat="1" applyFont="1" applyFill="1" applyBorder="1" applyAlignment="1" applyProtection="1">
      <alignment horizontal="left" vertical="center"/>
    </xf>
    <xf numFmtId="188" fontId="25" fillId="6" borderId="348" xfId="0" applyNumberFormat="1" applyFont="1" applyFill="1" applyBorder="1" applyAlignment="1" applyProtection="1">
      <alignment vertical="center"/>
    </xf>
    <xf numFmtId="173" fontId="23" fillId="29" borderId="0" xfId="0" applyNumberFormat="1" applyFont="1" applyFill="1" applyProtection="1"/>
    <xf numFmtId="0" fontId="137" fillId="0" borderId="0" xfId="0" applyNumberFormat="1" applyFont="1" applyAlignment="1" applyProtection="1">
      <alignment horizontal="center"/>
    </xf>
    <xf numFmtId="173" fontId="23" fillId="0" borderId="0" xfId="0" applyNumberFormat="1" applyFont="1" applyFill="1" applyProtection="1"/>
    <xf numFmtId="173" fontId="21" fillId="0" borderId="0" xfId="0" applyNumberFormat="1" applyFont="1" applyFill="1" applyBorder="1" applyAlignment="1" applyProtection="1">
      <alignment horizontal="right" vertical="center"/>
    </xf>
    <xf numFmtId="173" fontId="127" fillId="0" borderId="0" xfId="0" applyNumberFormat="1" applyFont="1" applyFill="1" applyBorder="1" applyAlignment="1" applyProtection="1">
      <alignment horizontal="right" vertical="center"/>
    </xf>
    <xf numFmtId="0" fontId="127" fillId="0" borderId="0" xfId="0" applyNumberFormat="1" applyFont="1" applyFill="1" applyProtection="1"/>
    <xf numFmtId="175" fontId="23" fillId="0" borderId="0" xfId="0" applyNumberFormat="1" applyFont="1" applyFill="1" applyBorder="1" applyAlignment="1" applyProtection="1">
      <alignment horizontal="right"/>
    </xf>
    <xf numFmtId="175" fontId="23" fillId="0" borderId="66" xfId="0" applyNumberFormat="1" applyFont="1" applyFill="1" applyBorder="1" applyAlignment="1" applyProtection="1">
      <alignment horizontal="center" vertical="center"/>
    </xf>
    <xf numFmtId="166" fontId="23" fillId="0" borderId="210" xfId="0" applyNumberFormat="1" applyFont="1" applyFill="1" applyBorder="1" applyAlignment="1" applyProtection="1">
      <alignment vertical="center"/>
    </xf>
    <xf numFmtId="166" fontId="23" fillId="0" borderId="203" xfId="0" applyNumberFormat="1" applyFont="1" applyBorder="1" applyAlignment="1" applyProtection="1">
      <alignment horizontal="center" vertical="center" wrapText="1"/>
    </xf>
    <xf numFmtId="190" fontId="148" fillId="0" borderId="0" xfId="0" applyNumberFormat="1" applyFont="1"/>
    <xf numFmtId="190" fontId="92" fillId="0" borderId="0" xfId="0" applyNumberFormat="1" applyFont="1"/>
    <xf numFmtId="190" fontId="92" fillId="0" borderId="0" xfId="0" applyNumberFormat="1" applyFont="1" applyAlignment="1">
      <alignment horizontal="left"/>
    </xf>
    <xf numFmtId="190" fontId="92" fillId="0" borderId="0" xfId="0" applyNumberFormat="1" applyFont="1" applyAlignment="1">
      <alignment horizontal="center"/>
    </xf>
    <xf numFmtId="190" fontId="66" fillId="0" borderId="0" xfId="0" applyNumberFormat="1" applyFont="1"/>
    <xf numFmtId="190" fontId="66" fillId="0" borderId="0" xfId="0" applyNumberFormat="1" applyFont="1" applyAlignment="1">
      <alignment horizontal="left"/>
    </xf>
    <xf numFmtId="190" fontId="66" fillId="0" borderId="0" xfId="0" applyNumberFormat="1" applyFont="1" applyAlignment="1">
      <alignment horizontal="center"/>
    </xf>
    <xf numFmtId="0" fontId="21" fillId="0" borderId="113" xfId="0" applyFont="1" applyBorder="1" applyAlignment="1" applyProtection="1">
      <alignment horizontal="left" vertical="center"/>
    </xf>
    <xf numFmtId="14" fontId="57" fillId="0" borderId="113" xfId="0" applyNumberFormat="1" applyFont="1" applyFill="1" applyBorder="1" applyAlignment="1" applyProtection="1">
      <alignment horizontal="left" vertical="center" wrapText="1"/>
    </xf>
    <xf numFmtId="49" fontId="57" fillId="0" borderId="313" xfId="0" applyNumberFormat="1" applyFont="1" applyFill="1" applyBorder="1" applyAlignment="1" applyProtection="1">
      <alignment horizontal="left" vertical="center" wrapText="1"/>
    </xf>
    <xf numFmtId="49" fontId="57" fillId="0" borderId="113" xfId="0" applyNumberFormat="1" applyFont="1" applyFill="1" applyBorder="1" applyAlignment="1" applyProtection="1">
      <alignment horizontal="center" vertical="center" wrapText="1"/>
    </xf>
    <xf numFmtId="49" fontId="23" fillId="0" borderId="25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0" fontId="58" fillId="10" borderId="0" xfId="0" applyFont="1" applyFill="1" applyAlignment="1">
      <alignment horizontal="center" vertical="center" wrapText="1"/>
    </xf>
    <xf numFmtId="0" fontId="0" fillId="0" borderId="113" xfId="0" applyBorder="1"/>
    <xf numFmtId="0" fontId="0" fillId="0" borderId="0" xfId="0"/>
    <xf numFmtId="0" fontId="0" fillId="0" borderId="0" xfId="0" applyBorder="1" applyAlignment="1">
      <alignment vertical="center" wrapText="1"/>
    </xf>
    <xf numFmtId="0" fontId="57" fillId="0" borderId="0" xfId="0" applyFont="1" applyBorder="1" applyAlignment="1">
      <alignment horizontal="left" wrapText="1"/>
    </xf>
    <xf numFmtId="0" fontId="0" fillId="0" borderId="0" xfId="0"/>
    <xf numFmtId="1" fontId="95" fillId="3" borderId="136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/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175" fontId="23" fillId="3" borderId="381" xfId="0" applyNumberFormat="1" applyFont="1" applyFill="1" applyBorder="1" applyAlignment="1" applyProtection="1">
      <alignment horizontal="right" vertical="center" wrapText="1" shrinkToFit="1"/>
      <protection locked="0"/>
    </xf>
    <xf numFmtId="0" fontId="149" fillId="0" borderId="0" xfId="0" applyFont="1" applyFill="1" applyAlignment="1">
      <alignment vertical="center"/>
    </xf>
    <xf numFmtId="0" fontId="130" fillId="0" borderId="0" xfId="0" applyNumberFormat="1" applyFont="1" applyFill="1" applyAlignment="1" applyProtection="1">
      <alignment horizontal="center"/>
    </xf>
    <xf numFmtId="0" fontId="72" fillId="0" borderId="0" xfId="0" applyNumberFormat="1" applyFont="1" applyProtection="1"/>
    <xf numFmtId="0" fontId="72" fillId="0" borderId="0" xfId="0" applyNumberFormat="1" applyFont="1" applyAlignment="1" applyProtection="1">
      <alignment vertical="center"/>
    </xf>
    <xf numFmtId="0" fontId="25" fillId="6" borderId="7" xfId="0" applyNumberFormat="1" applyFont="1" applyFill="1" applyBorder="1" applyAlignment="1" applyProtection="1">
      <alignment horizontal="left" vertical="center"/>
    </xf>
    <xf numFmtId="0" fontId="0" fillId="0" borderId="0" xfId="0"/>
    <xf numFmtId="49" fontId="25" fillId="2" borderId="31" xfId="0" applyNumberFormat="1" applyFont="1" applyFill="1" applyBorder="1" applyAlignment="1" applyProtection="1">
      <alignment horizontal="center" vertical="center" wrapText="1"/>
    </xf>
    <xf numFmtId="49" fontId="25" fillId="2" borderId="102" xfId="0" applyNumberFormat="1" applyFont="1" applyFill="1" applyBorder="1" applyAlignment="1" applyProtection="1">
      <alignment horizontal="center" vertical="center" wrapText="1"/>
    </xf>
    <xf numFmtId="0" fontId="25" fillId="2" borderId="42" xfId="0" applyNumberFormat="1" applyFont="1" applyFill="1" applyBorder="1" applyAlignment="1" applyProtection="1">
      <alignment horizontal="center" vertical="center" wrapText="1"/>
    </xf>
    <xf numFmtId="0" fontId="102" fillId="25" borderId="0" xfId="0" applyFont="1" applyFill="1" applyAlignment="1">
      <alignment horizontal="center" vertical="center" wrapText="1"/>
    </xf>
    <xf numFmtId="0" fontId="0" fillId="25" borderId="0" xfId="0" applyFill="1"/>
    <xf numFmtId="49" fontId="29" fillId="3" borderId="135" xfId="0" applyNumberFormat="1" applyFont="1" applyFill="1" applyBorder="1" applyAlignment="1" applyProtection="1">
      <alignment horizontal="left" vertical="center" wrapText="1"/>
      <protection locked="0"/>
    </xf>
    <xf numFmtId="0" fontId="29" fillId="3" borderId="136" xfId="0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NumberFormat="1" applyFont="1" applyFill="1" applyBorder="1" applyAlignment="1" applyProtection="1">
      <alignment horizontal="center" vertical="center" wrapText="1"/>
    </xf>
    <xf numFmtId="0" fontId="21" fillId="0" borderId="0" xfId="0" applyNumberFormat="1" applyFont="1" applyFill="1" applyBorder="1" applyAlignment="1" applyProtection="1">
      <alignment horizontal="left" vertical="center" wrapText="1"/>
    </xf>
    <xf numFmtId="2" fontId="57" fillId="0" borderId="0" xfId="0" applyNumberFormat="1" applyFont="1" applyFill="1" applyBorder="1" applyAlignment="1" applyProtection="1">
      <alignment horizontal="left" vertical="center" wrapText="1"/>
    </xf>
    <xf numFmtId="0" fontId="57" fillId="0" borderId="0" xfId="0" applyFont="1" applyFill="1" applyBorder="1" applyAlignment="1">
      <alignment horizontal="left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189" fontId="0" fillId="0" borderId="0" xfId="0" applyNumberFormat="1" applyProtection="1"/>
    <xf numFmtId="189" fontId="0" fillId="0" borderId="0" xfId="0" applyNumberFormat="1" applyAlignment="1" applyProtection="1">
      <alignment vertical="center"/>
    </xf>
    <xf numFmtId="189" fontId="64" fillId="0" borderId="0" xfId="0" applyNumberFormat="1" applyFont="1" applyFill="1" applyAlignment="1" applyProtection="1">
      <alignment vertical="center"/>
    </xf>
    <xf numFmtId="0" fontId="70" fillId="0" borderId="2" xfId="0" applyNumberFormat="1" applyFont="1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wrapText="1"/>
    </xf>
    <xf numFmtId="0" fontId="27" fillId="0" borderId="0" xfId="0" quotePrefix="1" applyNumberFormat="1" applyFont="1" applyFill="1" applyBorder="1" applyAlignment="1" applyProtection="1"/>
    <xf numFmtId="0" fontId="122" fillId="0" borderId="0" xfId="0" applyFont="1" applyFill="1" applyAlignment="1">
      <alignment vertical="center"/>
    </xf>
    <xf numFmtId="173" fontId="21" fillId="0" borderId="9" xfId="0" applyNumberFormat="1" applyFont="1" applyBorder="1" applyAlignment="1" applyProtection="1">
      <alignment horizontal="right" vertical="center"/>
    </xf>
    <xf numFmtId="173" fontId="32" fillId="5" borderId="9" xfId="0" applyNumberFormat="1" applyFont="1" applyFill="1" applyBorder="1" applyAlignment="1" applyProtection="1">
      <alignment horizontal="right" vertical="center"/>
    </xf>
    <xf numFmtId="173" fontId="32" fillId="12" borderId="9" xfId="0" applyNumberFormat="1" applyFont="1" applyFill="1" applyBorder="1" applyAlignment="1" applyProtection="1">
      <alignment horizontal="right" vertical="center"/>
    </xf>
    <xf numFmtId="173" fontId="21" fillId="5" borderId="9" xfId="0" applyNumberFormat="1" applyFont="1" applyFill="1" applyBorder="1" applyAlignment="1" applyProtection="1">
      <alignment horizontal="right" vertical="center"/>
    </xf>
    <xf numFmtId="173" fontId="21" fillId="0" borderId="9" xfId="0" applyNumberFormat="1" applyFont="1" applyFill="1" applyBorder="1" applyAlignment="1" applyProtection="1">
      <alignment horizontal="right" vertical="center"/>
    </xf>
    <xf numFmtId="173" fontId="32" fillId="12" borderId="17" xfId="0" applyNumberFormat="1" applyFont="1" applyFill="1" applyBorder="1" applyAlignment="1" applyProtection="1">
      <alignment horizontal="right" vertical="center"/>
    </xf>
    <xf numFmtId="0" fontId="0" fillId="0" borderId="0" xfId="0"/>
    <xf numFmtId="49" fontId="0" fillId="24" borderId="113" xfId="0" applyNumberFormat="1" applyFill="1" applyBorder="1" applyAlignment="1">
      <alignment horizontal="center" vertical="center" wrapText="1"/>
    </xf>
    <xf numFmtId="0" fontId="25" fillId="2" borderId="57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175" fontId="29" fillId="0" borderId="402" xfId="0" applyNumberFormat="1" applyFont="1" applyBorder="1" applyAlignment="1" applyProtection="1">
      <alignment horizontal="right"/>
    </xf>
    <xf numFmtId="175" fontId="29" fillId="3" borderId="403" xfId="0" applyNumberFormat="1" applyFont="1" applyFill="1" applyBorder="1" applyAlignment="1" applyProtection="1">
      <alignment horizontal="right" vertical="center" wrapText="1" shrinkToFit="1"/>
      <protection locked="0"/>
    </xf>
    <xf numFmtId="175" fontId="29" fillId="3" borderId="404" xfId="0" applyNumberFormat="1" applyFont="1" applyFill="1" applyBorder="1" applyAlignment="1" applyProtection="1">
      <alignment horizontal="right" vertical="center" wrapText="1" shrinkToFit="1"/>
      <protection locked="0"/>
    </xf>
    <xf numFmtId="0" fontId="150" fillId="0" borderId="0" xfId="0" applyNumberFormat="1" applyFont="1" applyAlignment="1" applyProtection="1">
      <alignment horizontal="left" vertical="center"/>
    </xf>
    <xf numFmtId="188" fontId="23" fillId="0" borderId="0" xfId="0" applyNumberFormat="1" applyFont="1" applyBorder="1" applyAlignment="1" applyProtection="1">
      <alignment horizontal="center" vertical="center"/>
    </xf>
    <xf numFmtId="0" fontId="151" fillId="0" borderId="0" xfId="0" applyFont="1" applyFill="1" applyAlignment="1">
      <alignment vertical="center"/>
    </xf>
    <xf numFmtId="0" fontId="0" fillId="24" borderId="113" xfId="0" applyFill="1" applyBorder="1" applyAlignment="1">
      <alignment horizontal="center"/>
    </xf>
    <xf numFmtId="0" fontId="141" fillId="0" borderId="0" xfId="0" applyFont="1" applyBorder="1" applyAlignment="1">
      <alignment horizontal="center" vertical="center"/>
    </xf>
    <xf numFmtId="0" fontId="142" fillId="0" borderId="0" xfId="0" applyFont="1" applyBorder="1" applyAlignment="1">
      <alignment horizontal="center" vertical="center"/>
    </xf>
    <xf numFmtId="0" fontId="142" fillId="0" borderId="0" xfId="0" applyFont="1" applyBorder="1" applyAlignment="1">
      <alignment horizontal="center" vertical="center" wrapText="1"/>
    </xf>
    <xf numFmtId="0" fontId="23" fillId="29" borderId="99" xfId="0" applyNumberFormat="1" applyFont="1" applyFill="1" applyBorder="1" applyAlignment="1" applyProtection="1">
      <alignment horizontal="center"/>
    </xf>
    <xf numFmtId="0" fontId="0" fillId="0" borderId="0" xfId="0"/>
    <xf numFmtId="49" fontId="24" fillId="3" borderId="405" xfId="0" applyNumberFormat="1" applyFont="1" applyFill="1" applyBorder="1" applyAlignment="1" applyProtection="1">
      <alignment vertical="center" wrapText="1"/>
    </xf>
    <xf numFmtId="0" fontId="0" fillId="0" borderId="405" xfId="0" applyBorder="1" applyAlignment="1" applyProtection="1">
      <alignment horizontal="left"/>
    </xf>
    <xf numFmtId="0" fontId="0" fillId="0" borderId="405" xfId="0" quotePrefix="1" applyBorder="1" applyAlignment="1" applyProtection="1">
      <alignment horizontal="left"/>
    </xf>
    <xf numFmtId="0" fontId="0" fillId="0" borderId="405" xfId="0" applyBorder="1" applyProtection="1"/>
    <xf numFmtId="0" fontId="0" fillId="0" borderId="406" xfId="0" applyBorder="1" applyAlignment="1" applyProtection="1">
      <alignment horizontal="left"/>
    </xf>
    <xf numFmtId="0" fontId="23" fillId="0" borderId="407" xfId="0" applyFont="1" applyFill="1" applyBorder="1" applyAlignment="1" applyProtection="1">
      <alignment vertical="center" wrapText="1"/>
    </xf>
    <xf numFmtId="190" fontId="152" fillId="30" borderId="400" xfId="0" applyNumberFormat="1" applyFont="1" applyFill="1" applyBorder="1" applyAlignment="1">
      <alignment horizontal="left" vertical="center" wrapText="1"/>
    </xf>
    <xf numFmtId="190" fontId="152" fillId="30" borderId="0" xfId="0" applyNumberFormat="1" applyFont="1" applyFill="1" applyBorder="1" applyAlignment="1">
      <alignment horizontal="center" vertical="center" wrapText="1"/>
    </xf>
    <xf numFmtId="190" fontId="152" fillId="3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20" fillId="0" borderId="113" xfId="0" applyFont="1" applyBorder="1" applyAlignment="1">
      <alignment horizontal="center" vertical="center" wrapText="1"/>
    </xf>
    <xf numFmtId="169" fontId="23" fillId="4" borderId="226" xfId="0" applyNumberFormat="1" applyFont="1" applyFill="1" applyBorder="1" applyAlignment="1" applyProtection="1">
      <alignment horizontal="center" vertical="center"/>
      <protection locked="0"/>
    </xf>
    <xf numFmtId="169" fontId="23" fillId="4" borderId="374" xfId="0" applyNumberFormat="1" applyFont="1" applyFill="1" applyBorder="1" applyAlignment="1" applyProtection="1">
      <alignment horizontal="center" vertical="center" wrapText="1"/>
      <protection locked="0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/>
    <xf numFmtId="49" fontId="29" fillId="0" borderId="64" xfId="0" applyNumberFormat="1" applyFont="1" applyBorder="1" applyAlignment="1" applyProtection="1">
      <alignment horizontal="center"/>
    </xf>
    <xf numFmtId="0" fontId="24" fillId="0" borderId="0" xfId="0" applyNumberFormat="1" applyFont="1" applyAlignment="1" applyProtection="1">
      <alignment horizontal="center"/>
    </xf>
    <xf numFmtId="0" fontId="134" fillId="0" borderId="0" xfId="0" applyNumberFormat="1" applyFont="1" applyFill="1" applyBorder="1" applyAlignment="1" applyProtection="1">
      <alignment horizontal="center" vertical="center"/>
    </xf>
    <xf numFmtId="3" fontId="24" fillId="0" borderId="313" xfId="0" applyNumberFormat="1" applyFont="1" applyFill="1" applyBorder="1" applyAlignment="1" applyProtection="1">
      <alignment horizontal="center" vertical="center"/>
    </xf>
    <xf numFmtId="0" fontId="129" fillId="0" borderId="0" xfId="0" applyFont="1" applyFill="1" applyAlignment="1" applyProtection="1">
      <alignment vertical="center"/>
    </xf>
    <xf numFmtId="0" fontId="120" fillId="0" borderId="0" xfId="0" applyNumberFormat="1" applyFont="1" applyAlignment="1" applyProtection="1">
      <alignment horizontal="center"/>
    </xf>
    <xf numFmtId="0" fontId="0" fillId="0" borderId="176" xfId="0" applyFill="1" applyBorder="1" applyAlignment="1">
      <alignment horizontal="left" vertical="center" wrapText="1"/>
    </xf>
    <xf numFmtId="0" fontId="21" fillId="0" borderId="0" xfId="0" applyFont="1" applyAlignment="1" applyProtection="1">
      <alignment vertical="center"/>
    </xf>
    <xf numFmtId="0" fontId="65" fillId="0" borderId="0" xfId="0" applyFont="1" applyFill="1" applyAlignment="1">
      <alignment horizontal="center" vertical="center"/>
    </xf>
    <xf numFmtId="0" fontId="65" fillId="0" borderId="0" xfId="0" applyFont="1"/>
    <xf numFmtId="0" fontId="65" fillId="0" borderId="0" xfId="0" applyFont="1" applyAlignment="1" applyProtection="1">
      <alignment vertical="center"/>
    </xf>
    <xf numFmtId="0" fontId="65" fillId="0" borderId="0" xfId="0" applyNumberFormat="1" applyFont="1" applyAlignment="1" applyProtection="1">
      <alignment vertical="center"/>
    </xf>
    <xf numFmtId="0" fontId="127" fillId="0" borderId="0" xfId="0" applyNumberFormat="1" applyFont="1" applyAlignment="1" applyProtection="1">
      <alignment vertical="center"/>
    </xf>
    <xf numFmtId="175" fontId="127" fillId="0" borderId="0" xfId="0" applyNumberFormat="1" applyFont="1" applyAlignment="1" applyProtection="1">
      <alignment vertical="center"/>
    </xf>
    <xf numFmtId="0" fontId="127" fillId="0" borderId="0" xfId="0" applyNumberFormat="1" applyFont="1" applyFill="1" applyAlignment="1" applyProtection="1">
      <alignment vertical="center"/>
    </xf>
    <xf numFmtId="0" fontId="156" fillId="0" borderId="0" xfId="0" applyFont="1"/>
    <xf numFmtId="0" fontId="156" fillId="0" borderId="0" xfId="0" applyFont="1" applyAlignment="1" applyProtection="1">
      <alignment vertical="center"/>
    </xf>
    <xf numFmtId="0" fontId="157" fillId="0" borderId="0" xfId="0" applyNumberFormat="1" applyFont="1" applyAlignment="1" applyProtection="1">
      <alignment vertical="center"/>
    </xf>
    <xf numFmtId="0" fontId="158" fillId="0" borderId="0" xfId="0" applyFont="1" applyAlignment="1" applyProtection="1">
      <alignment horizontal="center" vertical="center" wrapText="1"/>
    </xf>
    <xf numFmtId="0" fontId="156" fillId="0" borderId="0" xfId="0" applyNumberFormat="1" applyFont="1" applyProtection="1"/>
    <xf numFmtId="169" fontId="86" fillId="0" borderId="0" xfId="0" applyNumberFormat="1" applyFont="1" applyFill="1" applyBorder="1" applyAlignment="1" applyProtection="1">
      <alignment horizontal="center" vertical="center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115" xfId="0" applyNumberFormat="1" applyFont="1" applyFill="1" applyBorder="1" applyAlignment="1" applyProtection="1">
      <alignment horizontal="center" vertical="center" wrapText="1"/>
    </xf>
    <xf numFmtId="49" fontId="25" fillId="2" borderId="131" xfId="0" applyNumberFormat="1" applyFont="1" applyFill="1" applyBorder="1" applyAlignment="1" applyProtection="1">
      <alignment horizontal="center" vertical="center" wrapText="1"/>
    </xf>
    <xf numFmtId="0" fontId="23" fillId="0" borderId="113" xfId="0" applyFont="1" applyBorder="1" applyProtection="1"/>
    <xf numFmtId="0" fontId="24" fillId="0" borderId="113" xfId="0" applyFont="1" applyBorder="1" applyProtection="1"/>
    <xf numFmtId="169" fontId="21" fillId="0" borderId="113" xfId="0" applyNumberFormat="1" applyFont="1" applyBorder="1" applyAlignment="1" applyProtection="1">
      <alignment horizontal="center" vertical="center"/>
    </xf>
    <xf numFmtId="173" fontId="23" fillId="0" borderId="0" xfId="0" applyNumberFormat="1" applyFont="1" applyAlignment="1" applyProtection="1">
      <alignment vertical="center" wrapText="1"/>
    </xf>
    <xf numFmtId="173" fontId="23" fillId="29" borderId="0" xfId="0" applyNumberFormat="1" applyFont="1" applyFill="1" applyAlignment="1" applyProtection="1">
      <alignment vertical="center" wrapText="1"/>
    </xf>
    <xf numFmtId="173" fontId="23" fillId="29" borderId="0" xfId="0" applyNumberFormat="1" applyFont="1" applyFill="1" applyBorder="1" applyAlignment="1" applyProtection="1">
      <alignment vertical="center"/>
    </xf>
    <xf numFmtId="0" fontId="20" fillId="0" borderId="0" xfId="0" applyFont="1" applyAlignment="1" applyProtection="1">
      <alignment vertical="center"/>
    </xf>
    <xf numFmtId="173" fontId="23" fillId="0" borderId="0" xfId="0" applyNumberFormat="1" applyFont="1" applyBorder="1" applyAlignment="1" applyProtection="1">
      <alignment vertical="center"/>
    </xf>
    <xf numFmtId="173" fontId="23" fillId="0" borderId="0" xfId="0" applyNumberFormat="1" applyFont="1" applyAlignment="1" applyProtection="1">
      <alignment vertical="center"/>
    </xf>
    <xf numFmtId="0" fontId="129" fillId="29" borderId="0" xfId="0" applyFont="1" applyFill="1" applyAlignment="1" applyProtection="1">
      <alignment vertical="center"/>
    </xf>
    <xf numFmtId="0" fontId="0" fillId="0" borderId="0" xfId="0"/>
    <xf numFmtId="169" fontId="29" fillId="0" borderId="383" xfId="0" applyNumberFormat="1" applyFont="1" applyBorder="1" applyAlignment="1" applyProtection="1">
      <alignment horizontal="right"/>
    </xf>
    <xf numFmtId="169" fontId="24" fillId="0" borderId="113" xfId="0" applyNumberFormat="1" applyFont="1" applyFill="1" applyBorder="1" applyAlignment="1" applyProtection="1">
      <alignment horizontal="center" vertical="center"/>
    </xf>
    <xf numFmtId="0" fontId="127" fillId="0" borderId="0" xfId="0" applyNumberFormat="1" applyFont="1" applyFill="1" applyBorder="1" applyAlignment="1" applyProtection="1">
      <alignment horizontal="center"/>
    </xf>
    <xf numFmtId="0" fontId="143" fillId="31" borderId="113" xfId="0" applyFont="1" applyFill="1" applyBorder="1" applyAlignment="1">
      <alignment horizontal="center"/>
    </xf>
    <xf numFmtId="0" fontId="0" fillId="31" borderId="113" xfId="0" applyFill="1" applyBorder="1"/>
    <xf numFmtId="0" fontId="0" fillId="31" borderId="113" xfId="0" applyFill="1" applyBorder="1" applyAlignment="1">
      <alignment horizontal="center" vertical="center"/>
    </xf>
    <xf numFmtId="0" fontId="18" fillId="10" borderId="281" xfId="0" applyFont="1" applyFill="1" applyBorder="1" applyAlignment="1">
      <alignment horizontal="center" vertical="center" wrapText="1"/>
    </xf>
    <xf numFmtId="0" fontId="0" fillId="0" borderId="313" xfId="0" applyFill="1" applyBorder="1" applyAlignment="1">
      <alignment vertical="center" wrapText="1"/>
    </xf>
    <xf numFmtId="0" fontId="0" fillId="0" borderId="313" xfId="0" applyFill="1" applyBorder="1" applyAlignment="1">
      <alignment horizontal="left" vertical="center" wrapText="1"/>
    </xf>
    <xf numFmtId="0" fontId="0" fillId="0" borderId="313" xfId="0" applyFill="1" applyBorder="1" applyAlignment="1">
      <alignment horizontal="left" vertical="center"/>
    </xf>
    <xf numFmtId="0" fontId="0" fillId="0" borderId="225" xfId="0" applyFill="1" applyBorder="1" applyAlignment="1">
      <alignment horizontal="left" vertical="center" wrapText="1"/>
    </xf>
    <xf numFmtId="0" fontId="143" fillId="31" borderId="176" xfId="0" applyFont="1" applyFill="1" applyBorder="1" applyAlignment="1">
      <alignment horizontal="center" vertical="center" wrapText="1"/>
    </xf>
    <xf numFmtId="0" fontId="0" fillId="0" borderId="113" xfId="0" applyBorder="1" applyAlignment="1">
      <alignment horizontal="center" vertical="center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25" fillId="9" borderId="5" xfId="0" applyNumberFormat="1" applyFont="1" applyFill="1" applyBorder="1" applyAlignment="1" applyProtection="1">
      <alignment horizontal="center" vertical="center" wrapText="1"/>
    </xf>
    <xf numFmtId="177" fontId="23" fillId="0" borderId="0" xfId="0" applyNumberFormat="1" applyFont="1" applyProtection="1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29" borderId="0" xfId="0" applyFill="1" applyProtection="1"/>
    <xf numFmtId="49" fontId="29" fillId="29" borderId="136" xfId="0" applyNumberFormat="1" applyFont="1" applyFill="1" applyBorder="1" applyAlignment="1" applyProtection="1">
      <alignment horizontal="left" vertical="center" wrapText="1"/>
      <protection locked="0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/>
    <xf numFmtId="14" fontId="25" fillId="6" borderId="348" xfId="0" applyNumberFormat="1" applyFont="1" applyFill="1" applyBorder="1" applyAlignment="1" applyProtection="1">
      <alignment horizontal="centerContinuous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8" fillId="0" borderId="0" xfId="0" applyFont="1" applyFill="1" applyProtection="1"/>
    <xf numFmtId="177" fontId="0" fillId="0" borderId="0" xfId="0" applyNumberFormat="1" applyFont="1" applyProtection="1"/>
    <xf numFmtId="177" fontId="25" fillId="2" borderId="113" xfId="0" applyNumberFormat="1" applyFont="1" applyFill="1" applyBorder="1" applyAlignment="1" applyProtection="1">
      <alignment horizontal="center" vertical="center" wrapText="1"/>
    </xf>
    <xf numFmtId="177" fontId="65" fillId="0" borderId="0" xfId="0" applyNumberFormat="1" applyFont="1" applyFill="1" applyAlignment="1" applyProtection="1">
      <alignment horizontal="center" vertical="center"/>
    </xf>
    <xf numFmtId="177" fontId="28" fillId="0" borderId="0" xfId="0" applyNumberFormat="1" applyFont="1" applyFill="1" applyAlignment="1" applyProtection="1"/>
    <xf numFmtId="175" fontId="29" fillId="0" borderId="381" xfId="0" applyNumberFormat="1" applyFont="1" applyFill="1" applyBorder="1" applyAlignment="1" applyProtection="1">
      <alignment horizontal="right" vertical="center" wrapText="1" shrinkToFit="1"/>
    </xf>
    <xf numFmtId="175" fontId="23" fillId="3" borderId="374" xfId="0" applyNumberFormat="1" applyFont="1" applyFill="1" applyBorder="1" applyAlignment="1" applyProtection="1">
      <alignment horizontal="center" vertical="center" wrapText="1" shrinkToFit="1"/>
      <protection locked="0"/>
    </xf>
    <xf numFmtId="49" fontId="24" fillId="0" borderId="0" xfId="0" applyNumberFormat="1" applyFont="1" applyFill="1" applyBorder="1" applyAlignment="1" applyProtection="1">
      <alignment horizontal="center" wrapText="1"/>
    </xf>
    <xf numFmtId="175" fontId="23" fillId="3" borderId="136" xfId="0" applyNumberFormat="1" applyFont="1" applyFill="1" applyBorder="1" applyAlignment="1" applyProtection="1">
      <alignment horizontal="left" wrapText="1" shrinkToFit="1"/>
      <protection locked="0"/>
    </xf>
    <xf numFmtId="175" fontId="23" fillId="3" borderId="381" xfId="0" applyNumberFormat="1" applyFont="1" applyFill="1" applyBorder="1" applyAlignment="1" applyProtection="1">
      <alignment horizontal="left" wrapText="1" shrinkToFit="1"/>
      <protection locked="0"/>
    </xf>
    <xf numFmtId="14" fontId="29" fillId="11" borderId="411" xfId="0" applyNumberFormat="1" applyFont="1" applyFill="1" applyBorder="1" applyAlignment="1" applyProtection="1">
      <alignment horizontal="left" vertical="center"/>
    </xf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180" fontId="65" fillId="0" borderId="40" xfId="0" applyNumberFormat="1" applyFont="1" applyFill="1" applyBorder="1" applyAlignment="1" applyProtection="1">
      <alignment horizontal="center" vertical="center" wrapText="1"/>
    </xf>
    <xf numFmtId="0" fontId="25" fillId="32" borderId="4" xfId="0" applyNumberFormat="1" applyFont="1" applyFill="1" applyBorder="1" applyAlignment="1" applyProtection="1">
      <alignment horizontal="center" vertical="center" wrapText="1"/>
    </xf>
    <xf numFmtId="0" fontId="25" fillId="32" borderId="5" xfId="0" applyNumberFormat="1" applyFont="1" applyFill="1" applyBorder="1" applyAlignment="1" applyProtection="1">
      <alignment horizontal="center" vertical="center" wrapText="1"/>
    </xf>
    <xf numFmtId="0" fontId="25" fillId="33" borderId="7" xfId="0" applyNumberFormat="1" applyFont="1" applyFill="1" applyBorder="1" applyAlignment="1" applyProtection="1">
      <alignment horizontal="center" vertical="center" wrapText="1"/>
    </xf>
    <xf numFmtId="49" fontId="25" fillId="33" borderId="5" xfId="0" applyNumberFormat="1" applyFont="1" applyFill="1" applyBorder="1" applyAlignment="1" applyProtection="1">
      <alignment horizontal="center" vertical="center" wrapText="1"/>
    </xf>
    <xf numFmtId="49" fontId="0" fillId="0" borderId="14" xfId="0" applyNumberFormat="1" applyFont="1" applyFill="1" applyBorder="1" applyAlignment="1" applyProtection="1">
      <alignment horizontal="left" vertical="center" wrapText="1" indent="2"/>
    </xf>
    <xf numFmtId="175" fontId="56" fillId="3" borderId="226" xfId="0" applyNumberFormat="1" applyFont="1" applyFill="1" applyBorder="1" applyAlignment="1" applyProtection="1">
      <alignment horizontal="center" vertical="center" wrapText="1" shrinkToFit="1"/>
      <protection locked="0"/>
    </xf>
    <xf numFmtId="49" fontId="25" fillId="2" borderId="35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3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42" xfId="0" applyNumberFormat="1" applyFont="1" applyFill="1" applyBorder="1" applyAlignment="1" applyProtection="1">
      <alignment horizontal="center" vertical="center" wrapText="1"/>
    </xf>
    <xf numFmtId="0" fontId="25" fillId="9" borderId="363" xfId="0" applyNumberFormat="1" applyFont="1" applyFill="1" applyBorder="1" applyAlignment="1" applyProtection="1">
      <alignment horizontal="center" vertical="center" wrapText="1"/>
    </xf>
    <xf numFmtId="49" fontId="25" fillId="6" borderId="7" xfId="0" applyNumberFormat="1" applyFont="1" applyFill="1" applyBorder="1" applyAlignment="1" applyProtection="1">
      <alignment horizontal="center" vertical="center" wrapText="1"/>
    </xf>
    <xf numFmtId="49" fontId="25" fillId="6" borderId="4" xfId="0" applyNumberFormat="1" applyFont="1" applyFill="1" applyBorder="1" applyAlignment="1" applyProtection="1">
      <alignment horizontal="center" vertical="center" wrapText="1"/>
    </xf>
    <xf numFmtId="0" fontId="139" fillId="2" borderId="4" xfId="0" applyNumberFormat="1" applyFont="1" applyFill="1" applyBorder="1" applyAlignment="1" applyProtection="1">
      <alignment horizontal="center" vertical="center" wrapText="1"/>
    </xf>
    <xf numFmtId="49" fontId="69" fillId="2" borderId="4" xfId="0" applyNumberFormat="1" applyFont="1" applyFill="1" applyBorder="1" applyAlignment="1" applyProtection="1">
      <alignment horizontal="center" vertical="center" wrapText="1"/>
    </xf>
    <xf numFmtId="0" fontId="127" fillId="0" borderId="412" xfId="0" applyNumberFormat="1" applyFont="1" applyBorder="1" applyProtection="1"/>
    <xf numFmtId="0" fontId="25" fillId="2" borderId="28" xfId="0" applyNumberFormat="1" applyFont="1" applyFill="1" applyBorder="1" applyAlignment="1" applyProtection="1">
      <alignment horizontal="center" vertical="center" wrapText="1"/>
    </xf>
    <xf numFmtId="0" fontId="0" fillId="0" borderId="113" xfId="0" applyBorder="1" applyAlignment="1">
      <alignment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5" fillId="2" borderId="36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35" xfId="0" applyNumberFormat="1" applyFont="1" applyFill="1" applyBorder="1" applyAlignment="1" applyProtection="1">
      <alignment horizontal="center" vertical="center" wrapText="1"/>
    </xf>
    <xf numFmtId="0" fontId="72" fillId="0" borderId="0" xfId="0" applyNumberFormat="1" applyFont="1" applyFill="1" applyAlignment="1" applyProtection="1">
      <alignment horizontal="center" vertical="center" wrapText="1"/>
    </xf>
    <xf numFmtId="0" fontId="25" fillId="2" borderId="77" xfId="0" applyNumberFormat="1" applyFont="1" applyFill="1" applyBorder="1" applyAlignment="1" applyProtection="1">
      <alignment horizontal="center" vertical="center" wrapText="1"/>
    </xf>
    <xf numFmtId="0" fontId="23" fillId="0" borderId="14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1" fontId="23" fillId="0" borderId="25" xfId="0" applyNumberFormat="1" applyFont="1" applyFill="1" applyBorder="1" applyAlignment="1">
      <alignment horizontal="left" vertical="center"/>
    </xf>
    <xf numFmtId="0" fontId="0" fillId="0" borderId="0" xfId="0"/>
    <xf numFmtId="173" fontId="23" fillId="0" borderId="0" xfId="0" applyNumberFormat="1" applyFont="1" applyFill="1" applyAlignment="1" applyProtection="1">
      <alignment vertical="center" wrapText="1"/>
    </xf>
    <xf numFmtId="173" fontId="23" fillId="0" borderId="0" xfId="0" applyNumberFormat="1" applyFont="1" applyFill="1" applyAlignment="1" applyProtection="1">
      <alignment vertical="center"/>
    </xf>
    <xf numFmtId="173" fontId="23" fillId="0" borderId="0" xfId="0" applyNumberFormat="1" applyFont="1" applyFill="1" applyBorder="1" applyAlignment="1" applyProtection="1">
      <alignment horizontal="left" vertical="center"/>
    </xf>
    <xf numFmtId="173" fontId="23" fillId="29" borderId="0" xfId="0" applyNumberFormat="1" applyFont="1" applyFill="1" applyBorder="1" applyAlignment="1" applyProtection="1">
      <alignment horizontal="left" vertical="center"/>
    </xf>
    <xf numFmtId="0" fontId="23" fillId="0" borderId="0" xfId="0" applyFont="1" applyFill="1" applyAlignment="1">
      <alignment horizontal="center" vertical="center" wrapText="1"/>
    </xf>
    <xf numFmtId="0" fontId="156" fillId="34" borderId="0" xfId="0" applyNumberFormat="1" applyFont="1" applyFill="1" applyProtection="1"/>
    <xf numFmtId="0" fontId="24" fillId="0" borderId="0" xfId="0" applyFont="1" applyAlignment="1" applyProtection="1">
      <alignment vertical="center" wrapText="1"/>
    </xf>
    <xf numFmtId="0" fontId="159" fillId="0" borderId="0" xfId="0" applyFont="1" applyAlignment="1" applyProtection="1">
      <alignment vertical="center"/>
    </xf>
    <xf numFmtId="0" fontId="0" fillId="0" borderId="0" xfId="0"/>
    <xf numFmtId="0" fontId="0" fillId="0" borderId="0" xfId="0" applyBorder="1" applyAlignment="1">
      <alignment horizontal="left"/>
    </xf>
    <xf numFmtId="0" fontId="156" fillId="35" borderId="0" xfId="0" applyNumberFormat="1" applyFont="1" applyFill="1" applyProtection="1"/>
    <xf numFmtId="0" fontId="160" fillId="0" borderId="0" xfId="0" applyFont="1" applyAlignment="1" applyProtection="1">
      <alignment horizontal="center" vertical="center"/>
    </xf>
    <xf numFmtId="0" fontId="129" fillId="0" borderId="0" xfId="0" applyFont="1" applyAlignment="1" applyProtection="1">
      <alignment horizontal="center" vertical="center" wrapText="1"/>
    </xf>
    <xf numFmtId="0" fontId="29" fillId="4" borderId="6" xfId="0" applyNumberFormat="1" applyFont="1" applyFill="1" applyBorder="1" applyAlignment="1" applyProtection="1">
      <alignment horizontal="right"/>
      <protection locked="0"/>
    </xf>
    <xf numFmtId="49" fontId="29" fillId="0" borderId="0" xfId="0" applyNumberFormat="1" applyFont="1" applyBorder="1" applyAlignment="1" applyProtection="1">
      <alignment horizontal="center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36" xfId="0" applyNumberFormat="1" applyFont="1" applyFill="1" applyBorder="1" applyAlignment="1" applyProtection="1">
      <alignment horizontal="center" vertical="center" wrapText="1"/>
    </xf>
    <xf numFmtId="0" fontId="25" fillId="2" borderId="35" xfId="0" applyNumberFormat="1" applyFont="1" applyFill="1" applyBorder="1" applyAlignment="1" applyProtection="1">
      <alignment horizontal="center" vertical="center" wrapText="1"/>
    </xf>
    <xf numFmtId="0" fontId="0" fillId="0" borderId="413" xfId="0" applyBorder="1" applyAlignment="1" applyProtection="1">
      <alignment horizontal="left"/>
    </xf>
    <xf numFmtId="0" fontId="0" fillId="0" borderId="0" xfId="0"/>
    <xf numFmtId="169" fontId="23" fillId="3" borderId="41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/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169" fontId="56" fillId="3" borderId="381" xfId="0" applyNumberFormat="1" applyFont="1" applyFill="1" applyBorder="1" applyAlignment="1" applyProtection="1">
      <alignment horizontal="right" vertical="center"/>
      <protection locked="0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113" xfId="0" applyFill="1" applyBorder="1" applyAlignment="1">
      <alignment wrapText="1"/>
    </xf>
    <xf numFmtId="0" fontId="23" fillId="0" borderId="424" xfId="0" applyFont="1" applyFill="1" applyBorder="1" applyAlignment="1" applyProtection="1">
      <alignment horizontal="center" vertical="center" wrapText="1"/>
    </xf>
    <xf numFmtId="0" fontId="23" fillId="0" borderId="425" xfId="0" applyFont="1" applyFill="1" applyBorder="1" applyAlignment="1" applyProtection="1">
      <alignment horizontal="center" vertical="center" wrapText="1"/>
    </xf>
    <xf numFmtId="0" fontId="23" fillId="0" borderId="426" xfId="0" applyFont="1" applyFill="1" applyBorder="1" applyAlignment="1" applyProtection="1">
      <alignment horizontal="center" vertical="center" wrapText="1"/>
    </xf>
    <xf numFmtId="49" fontId="24" fillId="0" borderId="0" xfId="0" applyNumberFormat="1" applyFont="1" applyFill="1" applyBorder="1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25" borderId="0" xfId="0" applyFill="1" applyAlignment="1">
      <alignment vertical="center" wrapText="1"/>
    </xf>
    <xf numFmtId="49" fontId="57" fillId="0" borderId="113" xfId="0" applyNumberFormat="1" applyFont="1" applyFill="1" applyBorder="1" applyAlignment="1" applyProtection="1">
      <alignment horizontal="left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2" borderId="427" xfId="0" applyNumberFormat="1" applyFont="1" applyFill="1" applyBorder="1" applyAlignment="1" applyProtection="1">
      <alignment horizontal="center" vertical="center" wrapText="1"/>
    </xf>
    <xf numFmtId="185" fontId="29" fillId="3" borderId="6" xfId="0" applyNumberFormat="1" applyFont="1" applyFill="1" applyBorder="1" applyAlignment="1" applyProtection="1">
      <alignment horizontal="right" vertical="center"/>
      <protection locked="0"/>
    </xf>
    <xf numFmtId="185" fontId="29" fillId="3" borderId="41" xfId="0" applyNumberFormat="1" applyFont="1" applyFill="1" applyBorder="1" applyAlignment="1" applyProtection="1">
      <alignment horizontal="right" vertical="center"/>
      <protection locked="0"/>
    </xf>
    <xf numFmtId="185" fontId="29" fillId="3" borderId="218" xfId="0" applyNumberFormat="1" applyFont="1" applyFill="1" applyBorder="1" applyAlignment="1" applyProtection="1">
      <alignment horizontal="right"/>
      <protection locked="0"/>
    </xf>
    <xf numFmtId="185" fontId="29" fillId="3" borderId="132" xfId="0" applyNumberFormat="1" applyFont="1" applyFill="1" applyBorder="1" applyAlignment="1" applyProtection="1">
      <alignment horizontal="right"/>
      <protection locked="0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157" fillId="0" borderId="0" xfId="0" applyNumberFormat="1" applyFont="1" applyFill="1" applyProtection="1"/>
    <xf numFmtId="0" fontId="157" fillId="0" borderId="0" xfId="0" applyNumberFormat="1" applyFont="1" applyFill="1" applyAlignment="1" applyProtection="1">
      <alignment horizontal="center" wrapText="1"/>
    </xf>
    <xf numFmtId="0" fontId="0" fillId="0" borderId="113" xfId="0" applyFill="1" applyBorder="1" applyAlignment="1">
      <alignment horizontal="center"/>
    </xf>
    <xf numFmtId="169" fontId="23" fillId="66" borderId="6" xfId="0" applyNumberFormat="1" applyFont="1" applyFill="1" applyBorder="1" applyAlignment="1" applyProtection="1">
      <alignment horizontal="center" vertical="center" wrapText="1" shrinkToFit="1"/>
    </xf>
    <xf numFmtId="185" fontId="29" fillId="0" borderId="136" xfId="0" applyNumberFormat="1" applyFont="1" applyBorder="1" applyAlignment="1" applyProtection="1">
      <alignment horizontal="center" vertical="center"/>
    </xf>
    <xf numFmtId="185" fontId="29" fillId="0" borderId="132" xfId="0" applyNumberFormat="1" applyFont="1" applyBorder="1" applyAlignment="1" applyProtection="1">
      <alignment horizontal="center" vertical="center"/>
    </xf>
    <xf numFmtId="0" fontId="127" fillId="0" borderId="0" xfId="0" applyNumberFormat="1" applyFont="1" applyBorder="1" applyProtection="1"/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7" fillId="0" borderId="0" xfId="0" quotePrefix="1" applyFont="1"/>
    <xf numFmtId="0" fontId="0" fillId="0" borderId="0" xfId="0"/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3" fontId="125" fillId="24" borderId="309" xfId="0" applyNumberFormat="1" applyFont="1" applyFill="1" applyBorder="1" applyAlignment="1" applyProtection="1">
      <alignment horizontal="center" vertical="center" wrapText="1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6" borderId="250" xfId="0" applyNumberFormat="1" applyFont="1" applyFill="1" applyBorder="1" applyAlignment="1" applyProtection="1">
      <alignment horizontal="center" vertical="center" wrapText="1"/>
    </xf>
    <xf numFmtId="175" fontId="56" fillId="3" borderId="140" xfId="0" applyNumberFormat="1" applyFont="1" applyFill="1" applyBorder="1" applyAlignment="1" applyProtection="1">
      <alignment horizontal="right" vertical="center" wrapText="1" shrinkToFit="1"/>
      <protection locked="0"/>
    </xf>
    <xf numFmtId="0" fontId="180" fillId="0" borderId="0" xfId="0" applyNumberFormat="1" applyFont="1" applyFill="1" applyAlignment="1" applyProtection="1">
      <alignment horizontal="center" vertical="center" wrapText="1"/>
    </xf>
    <xf numFmtId="177" fontId="181" fillId="0" borderId="0" xfId="0" applyNumberFormat="1" applyFont="1" applyProtection="1"/>
    <xf numFmtId="0" fontId="25" fillId="9" borderId="5" xfId="0" applyNumberFormat="1" applyFont="1" applyFill="1" applyBorder="1" applyAlignment="1" applyProtection="1">
      <alignment horizontal="center" vertical="center" wrapText="1"/>
    </xf>
    <xf numFmtId="0" fontId="180" fillId="0" borderId="0" xfId="0" applyNumberFormat="1" applyFont="1" applyFill="1" applyAlignment="1" applyProtection="1">
      <alignment horizontal="center" vertical="center"/>
    </xf>
    <xf numFmtId="0" fontId="25" fillId="9" borderId="431" xfId="0" applyNumberFormat="1" applyFont="1" applyFill="1" applyBorder="1" applyAlignment="1" applyProtection="1">
      <alignment horizontal="center" vertical="center" wrapText="1"/>
    </xf>
    <xf numFmtId="0" fontId="25" fillId="9" borderId="432" xfId="0" applyNumberFormat="1" applyFont="1" applyFill="1" applyBorder="1" applyAlignment="1" applyProtection="1">
      <alignment horizontal="center" vertical="center" wrapText="1"/>
    </xf>
    <xf numFmtId="0" fontId="57" fillId="0" borderId="433" xfId="0" applyFont="1" applyFill="1" applyBorder="1" applyAlignment="1">
      <alignment horizontal="left" wrapText="1"/>
    </xf>
    <xf numFmtId="9" fontId="56" fillId="3" borderId="26" xfId="0" applyNumberFormat="1" applyFont="1" applyFill="1" applyBorder="1" applyAlignment="1" applyProtection="1">
      <alignment horizontal="right" wrapText="1" shrinkToFit="1"/>
      <protection locked="0"/>
    </xf>
    <xf numFmtId="0" fontId="25" fillId="9" borderId="12" xfId="0" applyNumberFormat="1" applyFont="1" applyFill="1" applyBorder="1" applyAlignment="1" applyProtection="1">
      <alignment horizontal="center" vertical="center" wrapText="1"/>
    </xf>
    <xf numFmtId="0" fontId="0" fillId="0" borderId="176" xfId="0" applyBorder="1"/>
    <xf numFmtId="0" fontId="56" fillId="8" borderId="435" xfId="0" applyNumberFormat="1" applyFont="1" applyFill="1" applyBorder="1" applyAlignment="1" applyProtection="1">
      <alignment vertical="center" wrapText="1"/>
    </xf>
    <xf numFmtId="0" fontId="56" fillId="8" borderId="434" xfId="0" applyNumberFormat="1" applyFont="1" applyFill="1" applyBorder="1" applyAlignment="1" applyProtection="1">
      <alignment vertical="center" wrapText="1"/>
    </xf>
    <xf numFmtId="0" fontId="0" fillId="24" borderId="113" xfId="0" applyFill="1" applyBorder="1" applyAlignment="1">
      <alignment wrapText="1"/>
    </xf>
    <xf numFmtId="9" fontId="56" fillId="3" borderId="436" xfId="0" applyNumberFormat="1" applyFont="1" applyFill="1" applyBorder="1" applyAlignment="1" applyProtection="1">
      <alignment horizontal="right" wrapText="1" shrinkToFit="1"/>
      <protection locked="0"/>
    </xf>
    <xf numFmtId="0" fontId="23" fillId="19" borderId="437" xfId="0" applyNumberFormat="1" applyFont="1" applyFill="1" applyBorder="1" applyAlignment="1" applyProtection="1">
      <alignment horizontal="left" vertical="center" wrapText="1"/>
    </xf>
    <xf numFmtId="0" fontId="56" fillId="0" borderId="438" xfId="0" applyNumberFormat="1" applyFont="1" applyBorder="1" applyAlignment="1" applyProtection="1">
      <alignment horizontal="center"/>
    </xf>
    <xf numFmtId="0" fontId="0" fillId="0" borderId="439" xfId="0" applyFill="1" applyBorder="1" applyAlignment="1">
      <alignment wrapText="1"/>
    </xf>
    <xf numFmtId="0" fontId="25" fillId="2" borderId="103" xfId="0" applyNumberFormat="1" applyFont="1" applyFill="1" applyBorder="1" applyAlignment="1" applyProtection="1">
      <alignment horizontal="center" vertical="center" wrapText="1"/>
    </xf>
    <xf numFmtId="173" fontId="23" fillId="19" borderId="440" xfId="0" applyNumberFormat="1" applyFont="1" applyFill="1" applyBorder="1" applyAlignment="1" applyProtection="1">
      <alignment horizontal="left" vertical="center"/>
    </xf>
    <xf numFmtId="0" fontId="25" fillId="9" borderId="125" xfId="0" applyNumberFormat="1" applyFont="1" applyFill="1" applyBorder="1" applyAlignment="1" applyProtection="1">
      <alignment horizontal="center" vertical="center" wrapText="1"/>
    </xf>
    <xf numFmtId="173" fontId="127" fillId="0" borderId="70" xfId="0" applyNumberFormat="1" applyFont="1" applyBorder="1" applyAlignment="1" applyProtection="1">
      <alignment horizontal="center"/>
    </xf>
    <xf numFmtId="0" fontId="127" fillId="0" borderId="0" xfId="0" applyNumberFormat="1" applyFont="1" applyAlignment="1" applyProtection="1">
      <alignment horizontal="center"/>
    </xf>
    <xf numFmtId="0" fontId="25" fillId="9" borderId="441" xfId="0" applyNumberFormat="1" applyFont="1" applyFill="1" applyBorder="1" applyAlignment="1" applyProtection="1">
      <alignment horizontal="center" vertical="center" wrapText="1"/>
    </xf>
    <xf numFmtId="0" fontId="127" fillId="0" borderId="113" xfId="0" applyNumberFormat="1" applyFont="1" applyBorder="1" applyProtection="1"/>
    <xf numFmtId="0" fontId="144" fillId="0" borderId="0" xfId="0" applyFont="1" applyProtection="1"/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>
      <alignment horizontal="center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72" fillId="0" borderId="0" xfId="0" applyNumberFormat="1" applyFont="1" applyAlignment="1" applyProtection="1">
      <alignment horizontal="center" vertical="center"/>
    </xf>
    <xf numFmtId="0" fontId="0" fillId="0" borderId="0" xfId="0"/>
    <xf numFmtId="0" fontId="44" fillId="0" borderId="370" xfId="0" applyFont="1" applyBorder="1" applyAlignment="1">
      <alignment horizontal="left"/>
    </xf>
    <xf numFmtId="0" fontId="22" fillId="0" borderId="442" xfId="0" applyNumberFormat="1" applyFont="1" applyFill="1" applyBorder="1" applyAlignment="1" applyProtection="1"/>
    <xf numFmtId="0" fontId="44" fillId="0" borderId="443" xfId="0" applyFont="1" applyBorder="1" applyAlignment="1">
      <alignment horizontal="left"/>
    </xf>
    <xf numFmtId="3" fontId="135" fillId="0" borderId="444" xfId="0" applyNumberFormat="1" applyFont="1" applyBorder="1" applyAlignment="1">
      <alignment horizontal="center"/>
    </xf>
    <xf numFmtId="0" fontId="44" fillId="0" borderId="445" xfId="0" applyFont="1" applyBorder="1" applyAlignment="1"/>
    <xf numFmtId="0" fontId="25" fillId="2" borderId="5" xfId="0" applyNumberFormat="1" applyFont="1" applyFill="1" applyBorder="1" applyAlignment="1" applyProtection="1">
      <alignment horizontal="center" vertical="center" wrapText="1"/>
    </xf>
    <xf numFmtId="49" fontId="25" fillId="6" borderId="131" xfId="0" applyNumberFormat="1" applyFont="1" applyFill="1" applyBorder="1" applyAlignment="1" applyProtection="1">
      <alignment horizontal="center" vertical="center" wrapText="1"/>
    </xf>
    <xf numFmtId="0" fontId="127" fillId="0" borderId="0" xfId="0" applyNumberFormat="1" applyFont="1" applyAlignment="1" applyProtection="1"/>
    <xf numFmtId="0" fontId="127" fillId="7" borderId="0" xfId="0" applyNumberFormat="1" applyFont="1" applyFill="1" applyProtection="1"/>
    <xf numFmtId="169" fontId="127" fillId="0" borderId="446" xfId="0" applyNumberFormat="1" applyFont="1" applyFill="1" applyBorder="1" applyAlignment="1" applyProtection="1">
      <alignment horizontal="center"/>
    </xf>
    <xf numFmtId="0" fontId="0" fillId="0" borderId="113" xfId="0" applyBorder="1" applyAlignment="1" applyProtection="1">
      <alignment horizontal="center" vertical="center" wrapText="1"/>
    </xf>
    <xf numFmtId="169" fontId="127" fillId="0" borderId="0" xfId="0" applyNumberFormat="1" applyFont="1" applyFill="1" applyBorder="1" applyAlignment="1" applyProtection="1">
      <alignment horizontal="right" wrapText="1" shrinkToFit="1"/>
    </xf>
    <xf numFmtId="0" fontId="23" fillId="19" borderId="440" xfId="0" applyNumberFormat="1" applyFont="1" applyFill="1" applyBorder="1" applyAlignment="1" applyProtection="1">
      <alignment horizontal="left" vertical="center" wrapText="1"/>
    </xf>
    <xf numFmtId="0" fontId="182" fillId="0" borderId="0" xfId="0" applyFont="1" applyAlignment="1">
      <alignment vertical="center"/>
    </xf>
    <xf numFmtId="0" fontId="183" fillId="0" borderId="0" xfId="0" applyFont="1"/>
    <xf numFmtId="0" fontId="182" fillId="0" borderId="0" xfId="0" applyFont="1"/>
    <xf numFmtId="0" fontId="23" fillId="0" borderId="113" xfId="0" applyNumberFormat="1" applyFont="1" applyBorder="1" applyAlignment="1" applyProtection="1">
      <alignment horizontal="center" wrapText="1"/>
    </xf>
    <xf numFmtId="49" fontId="23" fillId="0" borderId="0" xfId="0" applyNumberFormat="1" applyFont="1" applyFill="1" applyBorder="1" applyAlignment="1" applyProtection="1">
      <alignment horizontal="left" vertical="center" wrapText="1"/>
    </xf>
    <xf numFmtId="14" fontId="58" fillId="0" borderId="0" xfId="0" applyNumberFormat="1" applyFont="1" applyAlignment="1" applyProtection="1">
      <alignment vertical="center"/>
    </xf>
    <xf numFmtId="0" fontId="19" fillId="25" borderId="1" xfId="0" applyFont="1" applyFill="1" applyBorder="1" applyAlignment="1" applyProtection="1">
      <alignment vertical="center"/>
    </xf>
    <xf numFmtId="0" fontId="0" fillId="25" borderId="0" xfId="0" applyFont="1" applyFill="1" applyBorder="1" applyAlignment="1" applyProtection="1">
      <alignment vertical="center"/>
    </xf>
    <xf numFmtId="173" fontId="23" fillId="14" borderId="64" xfId="0" applyNumberFormat="1" applyFont="1" applyFill="1" applyBorder="1" applyAlignment="1" applyProtection="1">
      <alignment horizontal="right" vertical="center"/>
    </xf>
    <xf numFmtId="0" fontId="0" fillId="67" borderId="113" xfId="0" applyFill="1" applyBorder="1" applyAlignment="1" applyProtection="1">
      <alignment vertical="center"/>
    </xf>
    <xf numFmtId="0" fontId="38" fillId="0" borderId="136" xfId="0" applyNumberFormat="1" applyFont="1" applyFill="1" applyBorder="1" applyAlignment="1" applyProtection="1">
      <alignment horizontal="center" vertical="center"/>
    </xf>
    <xf numFmtId="169" fontId="38" fillId="0" borderId="136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5" fillId="2" borderId="176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0" fontId="56" fillId="0" borderId="123" xfId="0" applyNumberFormat="1" applyFont="1" applyBorder="1" applyAlignment="1" applyProtection="1">
      <alignment horizontal="center"/>
    </xf>
    <xf numFmtId="0" fontId="0" fillId="0" borderId="450" xfId="0" applyNumberFormat="1" applyFont="1" applyBorder="1" applyAlignment="1" applyProtection="1">
      <alignment horizontal="left" wrapText="1"/>
    </xf>
    <xf numFmtId="0" fontId="0" fillId="0" borderId="0" xfId="0"/>
    <xf numFmtId="0" fontId="23" fillId="0" borderId="0" xfId="0" applyNumberFormat="1" applyFont="1" applyAlignment="1" applyProtection="1">
      <alignment horizontal="center" vertical="center" wrapText="1"/>
    </xf>
    <xf numFmtId="0" fontId="0" fillId="0" borderId="294" xfId="0" applyBorder="1"/>
    <xf numFmtId="49" fontId="25" fillId="2" borderId="4" xfId="0" applyNumberFormat="1" applyFont="1" applyFill="1" applyBorder="1" applyAlignment="1" applyProtection="1">
      <alignment horizontal="center" vertical="center" wrapText="1"/>
    </xf>
    <xf numFmtId="175" fontId="56" fillId="3" borderId="451" xfId="0" applyNumberFormat="1" applyFont="1" applyFill="1" applyBorder="1" applyAlignment="1" applyProtection="1">
      <alignment horizontal="center" vertical="center" wrapText="1" shrinkToFit="1"/>
      <protection locked="0"/>
    </xf>
    <xf numFmtId="175" fontId="56" fillId="3" borderId="381" xfId="0" applyNumberFormat="1" applyFont="1" applyFill="1" applyBorder="1" applyAlignment="1" applyProtection="1">
      <alignment horizontal="center" vertical="center" wrapText="1" shrinkToFit="1"/>
      <protection locked="0"/>
    </xf>
    <xf numFmtId="169" fontId="129" fillId="0" borderId="0" xfId="0" applyNumberFormat="1" applyFont="1" applyProtection="1"/>
    <xf numFmtId="0" fontId="0" fillId="0" borderId="113" xfId="0" applyFill="1" applyBorder="1" applyAlignment="1">
      <alignment vertical="center" wrapText="1"/>
    </xf>
    <xf numFmtId="0" fontId="0" fillId="0" borderId="113" xfId="0" applyFill="1" applyBorder="1" applyAlignment="1">
      <alignment horizontal="left" vertical="center" wrapText="1"/>
    </xf>
    <xf numFmtId="0" fontId="0" fillId="0" borderId="113" xfId="0" applyFill="1" applyBorder="1" applyAlignment="1">
      <alignment horizontal="left" vertical="center"/>
    </xf>
    <xf numFmtId="49" fontId="38" fillId="3" borderId="381" xfId="0" applyNumberFormat="1" applyFont="1" applyFill="1" applyBorder="1" applyAlignment="1" applyProtection="1">
      <alignment horizontal="left" vertical="center" wrapText="1"/>
      <protection locked="0"/>
    </xf>
    <xf numFmtId="0" fontId="38" fillId="3" borderId="38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/>
    <xf numFmtId="0" fontId="0" fillId="0" borderId="452" xfId="0" applyBorder="1" applyAlignment="1" applyProtection="1">
      <alignment wrapText="1"/>
    </xf>
    <xf numFmtId="169" fontId="24" fillId="4" borderId="218" xfId="0" applyNumberFormat="1" applyFont="1" applyFill="1" applyBorder="1" applyAlignment="1" applyProtection="1">
      <alignment horizontal="center" vertical="center" wrapText="1"/>
      <protection locked="0"/>
    </xf>
    <xf numFmtId="169" fontId="24" fillId="4" borderId="453" xfId="0" applyNumberFormat="1" applyFont="1" applyFill="1" applyBorder="1" applyAlignment="1" applyProtection="1">
      <alignment horizontal="center" vertical="center" wrapText="1"/>
      <protection locked="0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10" fontId="23" fillId="3" borderId="6" xfId="0" applyNumberFormat="1" applyFont="1" applyFill="1" applyBorder="1" applyAlignment="1" applyProtection="1">
      <alignment horizontal="center" wrapText="1" shrinkToFit="1"/>
      <protection locked="0"/>
    </xf>
    <xf numFmtId="10" fontId="23" fillId="5" borderId="6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432" xfId="0" applyNumberFormat="1" applyFont="1" applyFill="1" applyBorder="1" applyAlignment="1" applyProtection="1">
      <alignment horizontal="center" vertical="center" wrapText="1"/>
    </xf>
    <xf numFmtId="0" fontId="144" fillId="24" borderId="0" xfId="0" applyFont="1" applyFill="1" applyProtection="1"/>
    <xf numFmtId="0" fontId="0" fillId="0" borderId="0" xfId="0"/>
    <xf numFmtId="0" fontId="0" fillId="0" borderId="0" xfId="0" applyAlignment="1">
      <alignment horizontal="center"/>
    </xf>
    <xf numFmtId="190" fontId="152" fillId="30" borderId="408" xfId="0" applyNumberFormat="1" applyFont="1" applyFill="1" applyBorder="1" applyAlignment="1">
      <alignment horizontal="center" vertical="center" wrapText="1"/>
    </xf>
    <xf numFmtId="190" fontId="152" fillId="30" borderId="400" xfId="0" applyNumberFormat="1" applyFont="1" applyFill="1" applyBorder="1" applyAlignment="1">
      <alignment horizontal="center" vertical="center" wrapText="1"/>
    </xf>
    <xf numFmtId="0" fontId="19" fillId="0" borderId="1" xfId="0" applyFont="1" applyFill="1" applyBorder="1" applyAlignment="1" applyProtection="1">
      <alignment vertical="center"/>
    </xf>
    <xf numFmtId="0" fontId="58" fillId="0" borderId="0" xfId="0" applyFont="1" applyFill="1" applyAlignment="1" applyProtection="1">
      <alignment vertical="center"/>
    </xf>
    <xf numFmtId="49" fontId="25" fillId="2" borderId="86" xfId="0" applyNumberFormat="1" applyFont="1" applyFill="1" applyBorder="1" applyAlignment="1" applyProtection="1">
      <alignment horizontal="center" vertical="center" wrapText="1"/>
    </xf>
    <xf numFmtId="0" fontId="143" fillId="31" borderId="113" xfId="0" applyFont="1" applyFill="1" applyBorder="1" applyAlignment="1">
      <alignment horizontal="center" vertical="center"/>
    </xf>
    <xf numFmtId="0" fontId="143" fillId="31" borderId="113" xfId="0" applyFont="1" applyFill="1" applyBorder="1" applyAlignment="1">
      <alignment horizontal="center" vertical="center" wrapText="1"/>
    </xf>
    <xf numFmtId="0" fontId="143" fillId="0" borderId="113" xfId="0" applyFont="1" applyFill="1" applyBorder="1" applyAlignment="1">
      <alignment horizontal="center" vertical="center" wrapText="1"/>
    </xf>
    <xf numFmtId="0" fontId="25" fillId="2" borderId="316" xfId="0" applyFont="1" applyFill="1" applyBorder="1" applyAlignment="1" applyProtection="1">
      <alignment horizontal="left" vertical="center" wrapText="1"/>
    </xf>
    <xf numFmtId="0" fontId="25" fillId="2" borderId="317" xfId="0" applyFont="1" applyFill="1" applyBorder="1" applyAlignment="1" applyProtection="1">
      <alignment horizontal="left" vertical="center" wrapText="1"/>
    </xf>
    <xf numFmtId="0" fontId="25" fillId="2" borderId="318" xfId="0" applyFont="1" applyFill="1" applyBorder="1" applyAlignment="1" applyProtection="1">
      <alignment horizontal="center" vertical="center" wrapText="1"/>
    </xf>
    <xf numFmtId="0" fontId="25" fillId="2" borderId="317" xfId="0" applyFont="1" applyFill="1" applyBorder="1" applyAlignment="1" applyProtection="1">
      <alignment horizontal="center" vertical="center" wrapText="1"/>
    </xf>
    <xf numFmtId="0" fontId="25" fillId="2" borderId="5" xfId="0" applyFont="1" applyFill="1" applyBorder="1" applyAlignment="1" applyProtection="1">
      <alignment horizontal="center" vertical="center" wrapText="1"/>
    </xf>
    <xf numFmtId="0" fontId="25" fillId="2" borderId="7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36" fillId="0" borderId="0" xfId="0" applyFont="1" applyAlignment="1" applyProtection="1">
      <alignment wrapText="1"/>
    </xf>
    <xf numFmtId="49" fontId="29" fillId="11" borderId="6" xfId="0" applyNumberFormat="1" applyFont="1" applyFill="1" applyBorder="1" applyAlignment="1" applyProtection="1">
      <alignment horizontal="left" vertical="center" wrapText="1"/>
    </xf>
    <xf numFmtId="0" fontId="0" fillId="24" borderId="0" xfId="0" applyFill="1" applyBorder="1" applyAlignment="1">
      <alignment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177" fillId="0" borderId="456" xfId="196" applyBorder="1" applyAlignment="1" applyProtection="1">
      <alignment horizontal="left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6" borderId="250" xfId="0" applyNumberFormat="1" applyFont="1" applyFill="1" applyBorder="1" applyAlignment="1" applyProtection="1">
      <alignment horizontal="center" vertical="center" wrapText="1"/>
    </xf>
    <xf numFmtId="9" fontId="56" fillId="3" borderId="226" xfId="23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76" fillId="0" borderId="0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186" fillId="0" borderId="0" xfId="0" applyFont="1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49" fontId="29" fillId="4" borderId="458" xfId="0" applyNumberFormat="1" applyFont="1" applyFill="1" applyBorder="1" applyAlignment="1" applyProtection="1">
      <alignment horizontal="left" vertical="center"/>
      <protection locked="0"/>
    </xf>
    <xf numFmtId="49" fontId="29" fillId="4" borderId="459" xfId="0" applyNumberFormat="1" applyFont="1" applyFill="1" applyBorder="1" applyAlignment="1" applyProtection="1">
      <alignment horizontal="left" vertical="center"/>
      <protection locked="0"/>
    </xf>
    <xf numFmtId="0" fontId="29" fillId="11" borderId="6" xfId="0" applyNumberFormat="1" applyFont="1" applyFill="1" applyBorder="1" applyAlignment="1" applyProtection="1">
      <alignment horizontal="left" vertical="center" wrapText="1" shrinkToFit="1"/>
    </xf>
    <xf numFmtId="0" fontId="29" fillId="11" borderId="41" xfId="0" applyNumberFormat="1" applyFont="1" applyFill="1" applyBorder="1" applyAlignment="1" applyProtection="1">
      <alignment horizontal="left" wrapText="1" shrinkToFit="1"/>
    </xf>
    <xf numFmtId="49" fontId="56" fillId="3" borderId="460" xfId="0" applyNumberFormat="1" applyFont="1" applyFill="1" applyBorder="1" applyAlignment="1" applyProtection="1">
      <alignment horizontal="left" vertical="center"/>
      <protection locked="0"/>
    </xf>
    <xf numFmtId="14" fontId="29" fillId="11" borderId="461" xfId="0" applyNumberFormat="1" applyFont="1" applyFill="1" applyBorder="1" applyAlignment="1" applyProtection="1">
      <alignment horizontal="left" vertical="center" wrapText="1"/>
    </xf>
    <xf numFmtId="49" fontId="56" fillId="3" borderId="460" xfId="0" applyNumberFormat="1" applyFont="1" applyFill="1" applyBorder="1" applyAlignment="1" applyProtection="1">
      <alignment vertical="center"/>
      <protection locked="0"/>
    </xf>
    <xf numFmtId="49" fontId="29" fillId="11" borderId="461" xfId="0" applyNumberFormat="1" applyFont="1" applyFill="1" applyBorder="1" applyAlignment="1" applyProtection="1">
      <alignment horizontal="left" vertical="center" wrapText="1"/>
    </xf>
    <xf numFmtId="14" fontId="56" fillId="3" borderId="460" xfId="0" applyNumberFormat="1" applyFont="1" applyFill="1" applyBorder="1" applyAlignment="1" applyProtection="1">
      <alignment vertical="center"/>
      <protection locked="0"/>
    </xf>
    <xf numFmtId="10" fontId="56" fillId="3" borderId="460" xfId="0" applyNumberFormat="1" applyFont="1" applyFill="1" applyBorder="1" applyAlignment="1" applyProtection="1">
      <alignment vertical="center"/>
      <protection locked="0"/>
    </xf>
    <xf numFmtId="175" fontId="56" fillId="3" borderId="460" xfId="0" applyNumberFormat="1" applyFont="1" applyFill="1" applyBorder="1" applyAlignment="1" applyProtection="1">
      <alignment horizontal="right" wrapText="1" shrinkToFit="1"/>
      <protection locked="0"/>
    </xf>
    <xf numFmtId="0" fontId="56" fillId="3" borderId="462" xfId="0" applyNumberFormat="1" applyFont="1" applyFill="1" applyBorder="1" applyAlignment="1" applyProtection="1">
      <alignment horizontal="left" vertical="center"/>
      <protection locked="0"/>
    </xf>
    <xf numFmtId="49" fontId="56" fillId="3" borderId="381" xfId="0" applyNumberFormat="1" applyFont="1" applyFill="1" applyBorder="1" applyAlignment="1" applyProtection="1">
      <alignment horizontal="left" vertical="center"/>
      <protection locked="0"/>
    </xf>
    <xf numFmtId="14" fontId="29" fillId="11" borderId="383" xfId="0" applyNumberFormat="1" applyFont="1" applyFill="1" applyBorder="1" applyAlignment="1" applyProtection="1">
      <alignment horizontal="left" vertical="center" wrapText="1"/>
    </xf>
    <xf numFmtId="49" fontId="29" fillId="11" borderId="383" xfId="0" applyNumberFormat="1" applyFont="1" applyFill="1" applyBorder="1" applyAlignment="1" applyProtection="1">
      <alignment horizontal="left" vertical="center" wrapText="1"/>
    </xf>
    <xf numFmtId="0" fontId="56" fillId="0" borderId="463" xfId="0" applyNumberFormat="1" applyFont="1" applyFill="1" applyBorder="1" applyAlignment="1" applyProtection="1">
      <alignment horizontal="center" vertical="center" wrapText="1"/>
    </xf>
    <xf numFmtId="0" fontId="29" fillId="0" borderId="463" xfId="0" applyNumberFormat="1" applyFont="1" applyFill="1" applyBorder="1" applyAlignment="1" applyProtection="1">
      <alignment horizontal="center" vertical="center" wrapText="1"/>
    </xf>
    <xf numFmtId="0" fontId="23" fillId="3" borderId="461" xfId="0" applyNumberFormat="1" applyFont="1" applyFill="1" applyBorder="1" applyAlignment="1" applyProtection="1">
      <alignment vertical="center" wrapText="1"/>
      <protection locked="0"/>
    </xf>
    <xf numFmtId="0" fontId="56" fillId="0" borderId="461" xfId="0" applyNumberFormat="1" applyFont="1" applyFill="1" applyBorder="1" applyAlignment="1" applyProtection="1">
      <alignment horizontal="left" vertical="center"/>
    </xf>
    <xf numFmtId="176" fontId="56" fillId="0" borderId="132" xfId="0" applyNumberFormat="1" applyFont="1" applyBorder="1" applyAlignment="1" applyProtection="1">
      <alignment horizontal="center" vertical="center"/>
    </xf>
    <xf numFmtId="0" fontId="56" fillId="0" borderId="461" xfId="0" applyNumberFormat="1" applyFont="1" applyFill="1" applyBorder="1" applyAlignment="1" applyProtection="1">
      <alignment horizontal="center" vertical="center"/>
    </xf>
    <xf numFmtId="49" fontId="29" fillId="3" borderId="393" xfId="0" applyNumberFormat="1" applyFont="1" applyFill="1" applyBorder="1" applyAlignment="1" applyProtection="1">
      <alignment horizontal="left" vertical="center" wrapText="1"/>
      <protection locked="0"/>
    </xf>
    <xf numFmtId="0" fontId="29" fillId="11" borderId="41" xfId="0" applyNumberFormat="1" applyFont="1" applyFill="1" applyBorder="1" applyAlignment="1" applyProtection="1">
      <alignment horizontal="left" vertical="center" wrapText="1"/>
    </xf>
    <xf numFmtId="14" fontId="29" fillId="11" borderId="41" xfId="0" applyNumberFormat="1" applyFont="1" applyFill="1" applyBorder="1" applyAlignment="1" applyProtection="1">
      <alignment horizontal="left" vertical="center" wrapText="1"/>
    </xf>
    <xf numFmtId="173" fontId="29" fillId="3" borderId="464" xfId="0" applyNumberFormat="1" applyFont="1" applyFill="1" applyBorder="1" applyAlignment="1" applyProtection="1">
      <alignment horizontal="right" wrapText="1" shrinkToFit="1"/>
      <protection locked="0"/>
    </xf>
    <xf numFmtId="173" fontId="29" fillId="0" borderId="464" xfId="0" applyNumberFormat="1" applyFont="1" applyBorder="1" applyAlignment="1" applyProtection="1">
      <alignment horizontal="right"/>
    </xf>
    <xf numFmtId="49" fontId="29" fillId="3" borderId="464" xfId="0" applyNumberFormat="1" applyFont="1" applyFill="1" applyBorder="1" applyAlignment="1" applyProtection="1">
      <alignment horizontal="center" vertical="center" wrapText="1"/>
      <protection locked="0"/>
    </xf>
    <xf numFmtId="10" fontId="29" fillId="3" borderId="464" xfId="0" applyNumberFormat="1" applyFont="1" applyFill="1" applyBorder="1" applyAlignment="1" applyProtection="1">
      <alignment horizontal="right" wrapText="1" shrinkToFit="1"/>
      <protection locked="0"/>
    </xf>
    <xf numFmtId="49" fontId="29" fillId="3" borderId="465" xfId="0" applyNumberFormat="1" applyFont="1" applyFill="1" applyBorder="1" applyAlignment="1" applyProtection="1">
      <alignment horizontal="center" vertical="center" wrapText="1"/>
      <protection locked="0"/>
    </xf>
    <xf numFmtId="169" fontId="29" fillId="0" borderId="466" xfId="0" applyNumberFormat="1" applyFont="1" applyFill="1" applyBorder="1" applyAlignment="1" applyProtection="1">
      <alignment horizontal="right"/>
    </xf>
    <xf numFmtId="169" fontId="29" fillId="0" borderId="461" xfId="0" applyNumberFormat="1" applyFont="1" applyBorder="1" applyAlignment="1" applyProtection="1">
      <alignment horizontal="center" vertical="center"/>
    </xf>
    <xf numFmtId="49" fontId="29" fillId="4" borderId="461" xfId="0" applyNumberFormat="1" applyFont="1" applyFill="1" applyBorder="1" applyAlignment="1" applyProtection="1">
      <alignment horizontal="right"/>
      <protection locked="0"/>
    </xf>
    <xf numFmtId="0" fontId="56" fillId="0" borderId="41" xfId="0" applyNumberFormat="1" applyFont="1" applyFill="1" applyBorder="1" applyAlignment="1" applyProtection="1">
      <alignment horizontal="left" vertical="center" wrapText="1"/>
    </xf>
    <xf numFmtId="0" fontId="56" fillId="0" borderId="41" xfId="0" applyNumberFormat="1" applyFont="1" applyFill="1" applyBorder="1" applyAlignment="1" applyProtection="1">
      <alignment horizontal="right" vertical="center"/>
    </xf>
    <xf numFmtId="49" fontId="29" fillId="3" borderId="41" xfId="0" applyNumberFormat="1" applyFont="1" applyFill="1" applyBorder="1" applyAlignment="1" applyProtection="1">
      <alignment horizontal="left" vertical="center"/>
      <protection locked="0"/>
    </xf>
    <xf numFmtId="175" fontId="65" fillId="0" borderId="183" xfId="0" applyNumberFormat="1" applyFont="1" applyFill="1" applyBorder="1" applyAlignment="1" applyProtection="1">
      <alignment horizontal="center" vertical="center" wrapText="1" shrinkToFit="1"/>
    </xf>
    <xf numFmtId="49" fontId="25" fillId="2" borderId="467" xfId="0" applyNumberFormat="1" applyFont="1" applyFill="1" applyBorder="1" applyAlignment="1" applyProtection="1">
      <alignment horizontal="center" vertical="center" wrapText="1"/>
    </xf>
    <xf numFmtId="0" fontId="132" fillId="0" borderId="113" xfId="0" applyFont="1" applyFill="1" applyBorder="1" applyAlignment="1" applyProtection="1">
      <alignment vertical="center"/>
    </xf>
    <xf numFmtId="49" fontId="24" fillId="68" borderId="405" xfId="0" applyNumberFormat="1" applyFont="1" applyFill="1" applyBorder="1" applyAlignment="1" applyProtection="1">
      <alignment vertical="center" wrapText="1"/>
    </xf>
    <xf numFmtId="0" fontId="187" fillId="0" borderId="2" xfId="0" applyFont="1" applyBorder="1" applyAlignment="1" applyProtection="1"/>
    <xf numFmtId="0" fontId="19" fillId="0" borderId="0" xfId="0" applyNumberFormat="1" applyFont="1" applyBorder="1" applyProtection="1"/>
    <xf numFmtId="169" fontId="77" fillId="0" borderId="468" xfId="0" applyNumberFormat="1" applyFont="1" applyFill="1" applyBorder="1" applyAlignment="1" applyProtection="1">
      <alignment horizontal="center" vertical="center" wrapText="1" shrinkToFit="1"/>
    </xf>
    <xf numFmtId="193" fontId="56" fillId="3" borderId="26" xfId="0" applyNumberFormat="1" applyFont="1" applyFill="1" applyBorder="1" applyAlignment="1" applyProtection="1">
      <alignment horizontal="right" wrapText="1" shrinkToFit="1"/>
    </xf>
    <xf numFmtId="10" fontId="184" fillId="0" borderId="457" xfId="175" applyNumberFormat="1" applyFont="1" applyFill="1" applyBorder="1" applyAlignment="1" applyProtection="1">
      <alignment horizontal="center" vertical="center" wrapText="1" shrinkToFit="1"/>
    </xf>
    <xf numFmtId="175" fontId="185" fillId="0" borderId="457" xfId="0" applyNumberFormat="1" applyFont="1" applyFill="1" applyBorder="1" applyAlignment="1" applyProtection="1">
      <alignment horizontal="center" vertical="center" wrapText="1" shrinkToFit="1"/>
    </xf>
    <xf numFmtId="169" fontId="56" fillId="0" borderId="136" xfId="0" applyNumberFormat="1" applyFont="1" applyFill="1" applyBorder="1" applyAlignment="1" applyProtection="1">
      <alignment horizontal="right" wrapText="1" shrinkToFit="1"/>
    </xf>
    <xf numFmtId="0" fontId="21" fillId="24" borderId="113" xfId="0" applyFont="1" applyFill="1" applyBorder="1" applyAlignment="1" applyProtection="1">
      <alignment horizontal="left" vertical="center"/>
    </xf>
    <xf numFmtId="49" fontId="21" fillId="0" borderId="113" xfId="234" applyNumberFormat="1" applyFont="1" applyFill="1" applyBorder="1" applyAlignment="1">
      <alignment horizontal="left" vertical="center" wrapText="1" indent="2"/>
    </xf>
    <xf numFmtId="0" fontId="21" fillId="0" borderId="113" xfId="234" applyFont="1" applyFill="1" applyBorder="1" applyAlignment="1">
      <alignment horizontal="left" vertical="center" wrapText="1"/>
    </xf>
    <xf numFmtId="49" fontId="0" fillId="0" borderId="113" xfId="234" applyNumberFormat="1" applyFont="1" applyFill="1" applyBorder="1" applyAlignment="1">
      <alignment horizontal="left" vertical="center" wrapText="1" indent="2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121" fillId="0" borderId="0" xfId="0" applyNumberFormat="1" applyFont="1" applyFill="1" applyBorder="1" applyAlignment="1" applyProtection="1">
      <alignment horizontal="left" vertical="top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129" fillId="0" borderId="113" xfId="0" applyFont="1" applyBorder="1" applyProtection="1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5" xfId="0" applyFont="1" applyFill="1" applyBorder="1" applyAlignment="1" applyProtection="1">
      <alignment horizontal="center" vertical="center" wrapText="1"/>
    </xf>
    <xf numFmtId="0" fontId="25" fillId="2" borderId="7" xfId="0" applyFont="1" applyFill="1" applyBorder="1" applyAlignment="1" applyProtection="1">
      <alignment horizontal="center" vertical="center"/>
    </xf>
    <xf numFmtId="0" fontId="189" fillId="0" borderId="0" xfId="0" applyNumberFormat="1" applyFont="1" applyFill="1" applyAlignment="1" applyProtection="1">
      <alignment horizontal="center" vertical="center"/>
    </xf>
    <xf numFmtId="0" fontId="190" fillId="0" borderId="457" xfId="0" applyNumberFormat="1" applyFont="1" applyFill="1" applyBorder="1" applyProtection="1"/>
    <xf numFmtId="173" fontId="23" fillId="19" borderId="265" xfId="0" applyNumberFormat="1" applyFont="1" applyFill="1" applyBorder="1" applyAlignment="1" applyProtection="1">
      <alignment horizontal="center" vertical="center" wrapText="1"/>
    </xf>
    <xf numFmtId="0" fontId="29" fillId="3" borderId="135" xfId="0" applyNumberFormat="1" applyFont="1" applyFill="1" applyBorder="1" applyAlignment="1" applyProtection="1">
      <alignment horizontal="left" vertical="top" wrapText="1"/>
      <protection locked="0"/>
    </xf>
    <xf numFmtId="9" fontId="190" fillId="0" borderId="457" xfId="230" applyNumberFormat="1" applyFont="1" applyFill="1" applyBorder="1" applyAlignment="1" applyProtection="1">
      <alignment horizontal="center" vertical="center" wrapText="1" shrinkToFit="1"/>
    </xf>
    <xf numFmtId="0" fontId="157" fillId="0" borderId="0" xfId="0" applyNumberFormat="1" applyFont="1" applyFill="1" applyBorder="1" applyProtection="1"/>
    <xf numFmtId="0" fontId="187" fillId="0" borderId="0" xfId="0" applyNumberFormat="1" applyFont="1" applyFill="1" applyAlignment="1" applyProtection="1">
      <alignment horizontal="center" vertical="center"/>
    </xf>
    <xf numFmtId="0" fontId="23" fillId="0" borderId="16" xfId="0" applyNumberFormat="1" applyFont="1" applyFill="1" applyBorder="1" applyAlignment="1" applyProtection="1">
      <alignment horizontal="left" vertical="center" wrapText="1" indent="1"/>
    </xf>
    <xf numFmtId="175" fontId="23" fillId="0" borderId="41" xfId="0" applyNumberFormat="1" applyFont="1" applyFill="1" applyBorder="1" applyAlignment="1" applyProtection="1">
      <alignment horizontal="center" vertical="center"/>
    </xf>
    <xf numFmtId="0" fontId="188" fillId="0" borderId="0" xfId="233"/>
    <xf numFmtId="0" fontId="0" fillId="0" borderId="0" xfId="0"/>
    <xf numFmtId="0" fontId="0" fillId="0" borderId="113" xfId="0" applyBorder="1" applyAlignment="1" applyProtection="1">
      <alignment horizontal="left"/>
    </xf>
    <xf numFmtId="169" fontId="56" fillId="3" borderId="430" xfId="0" applyNumberFormat="1" applyFont="1" applyFill="1" applyBorder="1" applyAlignment="1" applyProtection="1">
      <alignment horizontal="right" wrapText="1" shrinkToFit="1"/>
      <protection locked="0"/>
    </xf>
    <xf numFmtId="0" fontId="55" fillId="8" borderId="34" xfId="0" applyNumberFormat="1" applyFont="1" applyFill="1" applyBorder="1" applyAlignment="1" applyProtection="1">
      <alignment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3" fillId="0" borderId="289" xfId="0" applyNumberFormat="1" applyFont="1" applyBorder="1" applyAlignment="1" applyProtection="1">
      <alignment horizontal="center" vertical="center"/>
    </xf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0" fontId="38" fillId="0" borderId="470" xfId="0" applyNumberFormat="1" applyFont="1" applyFill="1" applyBorder="1" applyAlignment="1" applyProtection="1">
      <alignment horizontal="center"/>
    </xf>
    <xf numFmtId="0" fontId="177" fillId="0" borderId="405" xfId="196" applyBorder="1" applyAlignment="1" applyProtection="1">
      <alignment horizontal="left"/>
    </xf>
    <xf numFmtId="0" fontId="177" fillId="0" borderId="405" xfId="196" quotePrefix="1" applyBorder="1" applyAlignment="1" applyProtection="1">
      <alignment horizontal="left"/>
    </xf>
    <xf numFmtId="0" fontId="177" fillId="0" borderId="405" xfId="196" applyBorder="1" applyProtection="1"/>
    <xf numFmtId="49" fontId="29" fillId="3" borderId="158" xfId="0" applyNumberFormat="1" applyFont="1" applyFill="1" applyBorder="1" applyAlignment="1" applyProtection="1">
      <alignment horizontal="left" vertical="center" shrinkToFit="1"/>
      <protection locked="0"/>
    </xf>
    <xf numFmtId="14" fontId="29" fillId="0" borderId="136" xfId="0" applyNumberFormat="1" applyFont="1" applyFill="1" applyBorder="1" applyAlignment="1" applyProtection="1">
      <alignment horizontal="left" vertical="center" shrinkToFit="1"/>
    </xf>
    <xf numFmtId="49" fontId="29" fillId="3" borderId="471" xfId="0" applyNumberFormat="1" applyFont="1" applyFill="1" applyBorder="1" applyAlignment="1" applyProtection="1">
      <alignment horizontal="left" vertical="center" shrinkToFit="1"/>
      <protection locked="0"/>
    </xf>
    <xf numFmtId="49" fontId="29" fillId="3" borderId="394" xfId="0" applyNumberFormat="1" applyFont="1" applyFill="1" applyBorder="1" applyAlignment="1" applyProtection="1">
      <alignment horizontal="left" vertical="center" shrinkToFit="1"/>
      <protection locked="0"/>
    </xf>
    <xf numFmtId="175" fontId="187" fillId="0" borderId="0" xfId="0" applyNumberFormat="1" applyFont="1" applyFill="1" applyAlignment="1" applyProtection="1">
      <alignment horizontal="center" vertical="center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49" fontId="25" fillId="2" borderId="429" xfId="0" applyNumberFormat="1" applyFont="1" applyFill="1" applyBorder="1" applyAlignment="1" applyProtection="1">
      <alignment horizontal="center" vertical="center" wrapText="1"/>
    </xf>
    <xf numFmtId="0" fontId="24" fillId="0" borderId="342" xfId="0" applyFont="1" applyFill="1" applyBorder="1" applyAlignment="1" applyProtection="1">
      <alignment vertical="center" wrapText="1"/>
    </xf>
    <xf numFmtId="173" fontId="23" fillId="14" borderId="213" xfId="0" applyNumberFormat="1" applyFont="1" applyFill="1" applyBorder="1" applyAlignment="1" applyProtection="1">
      <alignment horizontal="right"/>
    </xf>
    <xf numFmtId="49" fontId="25" fillId="2" borderId="472" xfId="0" applyNumberFormat="1" applyFont="1" applyFill="1" applyBorder="1" applyAlignment="1" applyProtection="1">
      <alignment horizontal="center" vertical="center" wrapText="1"/>
    </xf>
    <xf numFmtId="49" fontId="25" fillId="2" borderId="473" xfId="0" applyNumberFormat="1" applyFont="1" applyFill="1" applyBorder="1" applyAlignment="1" applyProtection="1">
      <alignment horizontal="center" vertical="center" wrapText="1"/>
    </xf>
    <xf numFmtId="49" fontId="25" fillId="2" borderId="474" xfId="0" applyNumberFormat="1" applyFont="1" applyFill="1" applyBorder="1" applyAlignment="1" applyProtection="1">
      <alignment horizontal="center" vertical="center" wrapText="1"/>
    </xf>
    <xf numFmtId="49" fontId="25" fillId="2" borderId="475" xfId="0" applyNumberFormat="1" applyFont="1" applyFill="1" applyBorder="1" applyAlignment="1" applyProtection="1">
      <alignment horizontal="center" vertical="center" wrapText="1"/>
    </xf>
    <xf numFmtId="49" fontId="77" fillId="0" borderId="476" xfId="0" applyNumberFormat="1" applyFont="1" applyFill="1" applyBorder="1" applyAlignment="1" applyProtection="1">
      <alignment horizontal="center" vertical="center" wrapText="1"/>
    </xf>
    <xf numFmtId="49" fontId="56" fillId="0" borderId="476" xfId="0" applyNumberFormat="1" applyFont="1" applyFill="1" applyBorder="1" applyAlignment="1" applyProtection="1">
      <alignment horizontal="center" vertical="center" wrapText="1"/>
    </xf>
    <xf numFmtId="49" fontId="56" fillId="0" borderId="477" xfId="0" applyNumberFormat="1" applyFont="1" applyFill="1" applyBorder="1" applyAlignment="1" applyProtection="1">
      <alignment horizontal="center" vertical="center" wrapText="1"/>
    </xf>
    <xf numFmtId="49" fontId="56" fillId="3" borderId="476" xfId="0" applyNumberFormat="1" applyFont="1" applyFill="1" applyBorder="1" applyAlignment="1" applyProtection="1">
      <alignment horizontal="center" vertical="center" wrapText="1"/>
      <protection locked="0"/>
    </xf>
    <xf numFmtId="49" fontId="56" fillId="3" borderId="477" xfId="0" applyNumberFormat="1" applyFont="1" applyFill="1" applyBorder="1" applyAlignment="1" applyProtection="1">
      <alignment horizontal="left" vertical="top" wrapText="1" indent="2"/>
      <protection locked="0"/>
    </xf>
    <xf numFmtId="49" fontId="56" fillId="3" borderId="478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479" xfId="0" applyNumberFormat="1" applyFont="1" applyBorder="1" applyAlignment="1" applyProtection="1">
      <alignment horizontal="center" vertical="center" wrapText="1"/>
    </xf>
    <xf numFmtId="175" fontId="56" fillId="3" borderId="479" xfId="0" applyNumberFormat="1" applyFont="1" applyFill="1" applyBorder="1" applyAlignment="1" applyProtection="1">
      <alignment horizontal="center" vertical="center" wrapText="1" shrinkToFit="1"/>
      <protection locked="0"/>
    </xf>
    <xf numFmtId="175" fontId="56" fillId="0" borderId="479" xfId="0" applyNumberFormat="1" applyFont="1" applyBorder="1" applyAlignment="1" applyProtection="1">
      <alignment horizontal="center" vertical="center"/>
    </xf>
    <xf numFmtId="49" fontId="56" fillId="3" borderId="480" xfId="0" applyNumberFormat="1" applyFont="1" applyFill="1" applyBorder="1" applyAlignment="1" applyProtection="1">
      <alignment horizontal="left" vertical="top" wrapText="1" indent="2"/>
      <protection locked="0"/>
    </xf>
    <xf numFmtId="0" fontId="157" fillId="0" borderId="0" xfId="0" applyNumberFormat="1" applyFont="1" applyProtection="1"/>
    <xf numFmtId="175" fontId="127" fillId="0" borderId="0" xfId="0" applyNumberFormat="1" applyFont="1" applyFill="1" applyBorder="1" applyAlignment="1" applyProtection="1">
      <alignment horizontal="center" vertical="center" wrapText="1" shrinkToFit="1"/>
    </xf>
    <xf numFmtId="175" fontId="157" fillId="0" borderId="0" xfId="0" applyNumberFormat="1" applyFont="1" applyFill="1" applyBorder="1" applyAlignment="1" applyProtection="1">
      <alignment horizontal="center" vertical="center" wrapText="1" shrinkToFit="1"/>
    </xf>
    <xf numFmtId="49" fontId="25" fillId="6" borderId="142" xfId="0" applyNumberFormat="1" applyFont="1" applyFill="1" applyBorder="1" applyAlignment="1" applyProtection="1">
      <alignment horizontal="center" vertical="center" wrapText="1"/>
    </xf>
    <xf numFmtId="0" fontId="23" fillId="0" borderId="0" xfId="0" applyFont="1" applyProtection="1"/>
    <xf numFmtId="0" fontId="0" fillId="0" borderId="0" xfId="0" applyFill="1" applyAlignment="1">
      <alignment vertical="center"/>
    </xf>
    <xf numFmtId="173" fontId="23" fillId="19" borderId="265" xfId="0" applyNumberFormat="1" applyFont="1" applyFill="1" applyBorder="1" applyAlignment="1" applyProtection="1">
      <alignment horizontal="center" vertical="center"/>
    </xf>
    <xf numFmtId="173" fontId="23" fillId="19" borderId="266" xfId="0" applyNumberFormat="1" applyFont="1" applyFill="1" applyBorder="1" applyAlignment="1" applyProtection="1">
      <alignment horizontal="center" vertical="center"/>
    </xf>
    <xf numFmtId="0" fontId="23" fillId="19" borderId="264" xfId="0" applyNumberFormat="1" applyFont="1" applyFill="1" applyBorder="1" applyAlignment="1" applyProtection="1">
      <alignment horizontal="left" vertical="center" wrapText="1"/>
    </xf>
    <xf numFmtId="0" fontId="23" fillId="19" borderId="265" xfId="0" applyNumberFormat="1" applyFont="1" applyFill="1" applyBorder="1" applyAlignment="1" applyProtection="1">
      <alignment horizontal="left" vertical="center" wrapText="1"/>
    </xf>
    <xf numFmtId="0" fontId="23" fillId="19" borderId="265" xfId="0" applyNumberFormat="1" applyFont="1" applyFill="1" applyBorder="1" applyAlignment="1" applyProtection="1">
      <alignment vertical="center" wrapText="1"/>
    </xf>
    <xf numFmtId="0" fontId="127" fillId="0" borderId="0" xfId="0" applyNumberFormat="1" applyFont="1" applyProtection="1"/>
    <xf numFmtId="175" fontId="127" fillId="0" borderId="0" xfId="0" applyNumberFormat="1" applyFont="1" applyFill="1" applyBorder="1" applyAlignment="1" applyProtection="1">
      <alignment horizontal="center" vertical="center" wrapText="1" shrinkToFit="1"/>
    </xf>
    <xf numFmtId="175" fontId="157" fillId="0" borderId="0" xfId="0" applyNumberFormat="1" applyFont="1" applyFill="1" applyBorder="1" applyAlignment="1" applyProtection="1">
      <alignment horizontal="center" vertical="center" wrapText="1" shrinkToFi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175" fontId="56" fillId="3" borderId="483" xfId="0" applyNumberFormat="1" applyFont="1" applyFill="1" applyBorder="1" applyAlignment="1" applyProtection="1">
      <alignment horizontal="center" vertical="center" wrapText="1" shrinkToFit="1"/>
      <protection locked="0"/>
    </xf>
    <xf numFmtId="49" fontId="56" fillId="3" borderId="158" xfId="0" applyNumberFormat="1" applyFont="1" applyFill="1" applyBorder="1" applyAlignment="1" applyProtection="1">
      <alignment horizontal="center" vertical="center" wrapText="1"/>
      <protection locked="0"/>
    </xf>
    <xf numFmtId="49" fontId="56" fillId="3" borderId="484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483" xfId="0" applyNumberFormat="1" applyFont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vertical="top"/>
    </xf>
    <xf numFmtId="0" fontId="72" fillId="0" borderId="0" xfId="0" applyNumberFormat="1" applyFont="1" applyFill="1" applyAlignment="1" applyProtection="1">
      <alignment horizontal="center" vertical="top"/>
    </xf>
    <xf numFmtId="0" fontId="0" fillId="0" borderId="0" xfId="0"/>
    <xf numFmtId="0" fontId="0" fillId="0" borderId="0" xfId="0"/>
    <xf numFmtId="0" fontId="24" fillId="0" borderId="0" xfId="0" applyNumberFormat="1" applyFont="1" applyFill="1" applyBorder="1" applyAlignment="1" applyProtection="1">
      <alignment vertical="center" wrapText="1"/>
      <protection locked="0"/>
    </xf>
    <xf numFmtId="0" fontId="132" fillId="24" borderId="0" xfId="0" applyNumberFormat="1" applyFont="1" applyFill="1" applyBorder="1" applyAlignment="1" applyProtection="1">
      <alignment vertical="center" wrapText="1"/>
      <protection locked="0"/>
    </xf>
    <xf numFmtId="175" fontId="185" fillId="0" borderId="457" xfId="0" applyNumberFormat="1" applyFont="1" applyFill="1" applyBorder="1" applyAlignment="1" applyProtection="1">
      <alignment horizontal="center" vertical="center" wrapText="1" shrinkToFit="1"/>
    </xf>
    <xf numFmtId="0" fontId="0" fillId="0" borderId="485" xfId="0" applyFont="1" applyBorder="1" applyProtection="1"/>
    <xf numFmtId="0" fontId="0" fillId="0" borderId="485" xfId="0" applyFont="1" applyBorder="1" applyAlignment="1" applyProtection="1">
      <alignment wrapText="1"/>
    </xf>
    <xf numFmtId="0" fontId="0" fillId="0" borderId="485" xfId="0" applyFont="1" applyBorder="1" applyAlignment="1" applyProtection="1">
      <alignment horizontal="center" wrapText="1"/>
    </xf>
    <xf numFmtId="169" fontId="23" fillId="3" borderId="485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485" xfId="0" applyFill="1" applyBorder="1" applyAlignment="1">
      <alignment vertical="center" wrapText="1"/>
    </xf>
    <xf numFmtId="0" fontId="0" fillId="0" borderId="485" xfId="0" applyFill="1" applyBorder="1" applyAlignment="1">
      <alignment horizontal="left" vertical="center" wrapText="1"/>
    </xf>
    <xf numFmtId="49" fontId="132" fillId="0" borderId="0" xfId="0" applyNumberFormat="1" applyFont="1" applyFill="1" applyBorder="1" applyAlignment="1" applyProtection="1">
      <alignment vertical="center" wrapText="1"/>
      <protection locked="0"/>
    </xf>
    <xf numFmtId="0" fontId="133" fillId="0" borderId="0" xfId="0" applyFont="1" applyAlignment="1" applyProtection="1">
      <alignment vertical="center"/>
    </xf>
    <xf numFmtId="49" fontId="139" fillId="0" borderId="0" xfId="0" applyNumberFormat="1" applyFont="1" applyFill="1" applyBorder="1" applyAlignment="1" applyProtection="1">
      <alignment vertical="center" wrapText="1"/>
      <protection locked="0"/>
    </xf>
    <xf numFmtId="0" fontId="132" fillId="0" borderId="0" xfId="0" applyNumberFormat="1" applyFont="1" applyBorder="1" applyProtection="1"/>
    <xf numFmtId="173" fontId="23" fillId="19" borderId="366" xfId="0" applyNumberFormat="1" applyFont="1" applyFill="1" applyBorder="1" applyAlignment="1" applyProtection="1">
      <alignment horizontal="center" vertical="center"/>
    </xf>
    <xf numFmtId="169" fontId="23" fillId="0" borderId="6" xfId="0" applyNumberFormat="1" applyFont="1" applyFill="1" applyBorder="1" applyAlignment="1" applyProtection="1">
      <alignment horizontal="center" vertical="center" wrapText="1" shrinkToFit="1"/>
      <protection locked="0"/>
    </xf>
    <xf numFmtId="0" fontId="127" fillId="0" borderId="278" xfId="0" applyNumberFormat="1" applyFont="1" applyBorder="1" applyProtection="1"/>
    <xf numFmtId="0" fontId="127" fillId="0" borderId="2" xfId="0" applyNumberFormat="1" applyFont="1" applyFill="1" applyBorder="1" applyAlignment="1" applyProtection="1"/>
    <xf numFmtId="0" fontId="127" fillId="0" borderId="2" xfId="0" applyNumberFormat="1" applyFont="1" applyBorder="1" applyProtection="1"/>
    <xf numFmtId="0" fontId="128" fillId="0" borderId="2" xfId="0" applyNumberFormat="1" applyFont="1" applyBorder="1" applyProtection="1"/>
    <xf numFmtId="0" fontId="127" fillId="24" borderId="2" xfId="0" applyNumberFormat="1" applyFont="1" applyFill="1" applyBorder="1" applyProtection="1"/>
    <xf numFmtId="0" fontId="177" fillId="0" borderId="0" xfId="795" applyProtection="1"/>
    <xf numFmtId="49" fontId="23" fillId="3" borderId="15" xfId="0" quotePrefix="1" applyNumberFormat="1" applyFont="1" applyFill="1" applyBorder="1" applyAlignment="1" applyProtection="1">
      <alignment horizontal="right" wrapText="1" shrinkToFit="1"/>
      <protection locked="0"/>
    </xf>
    <xf numFmtId="0" fontId="25" fillId="6" borderId="486" xfId="0" applyNumberFormat="1" applyFont="1" applyFill="1" applyBorder="1" applyAlignment="1" applyProtection="1">
      <alignment horizontal="center" vertical="center" wrapText="1"/>
    </xf>
    <xf numFmtId="0" fontId="25" fillId="6" borderId="487" xfId="0" applyNumberFormat="1" applyFont="1" applyFill="1" applyBorder="1" applyAlignment="1" applyProtection="1">
      <alignment horizontal="center" vertical="center" wrapText="1"/>
    </xf>
    <xf numFmtId="0" fontId="26" fillId="6" borderId="357" xfId="0" applyNumberFormat="1" applyFont="1" applyFill="1" applyBorder="1" applyAlignment="1" applyProtection="1">
      <alignment horizontal="center" vertical="center" wrapText="1"/>
    </xf>
    <xf numFmtId="0" fontId="25" fillId="6" borderId="357" xfId="0" applyNumberFormat="1" applyFont="1" applyFill="1" applyBorder="1" applyAlignment="1" applyProtection="1">
      <alignment horizontal="center" vertical="center" wrapText="1"/>
    </xf>
    <xf numFmtId="0" fontId="25" fillId="6" borderId="488" xfId="0" applyNumberFormat="1" applyFont="1" applyFill="1" applyBorder="1" applyAlignment="1" applyProtection="1">
      <alignment horizontal="center" vertical="center" wrapText="1"/>
    </xf>
    <xf numFmtId="49" fontId="25" fillId="6" borderId="489" xfId="0" applyNumberFormat="1" applyFont="1" applyFill="1" applyBorder="1" applyAlignment="1" applyProtection="1">
      <alignment horizontal="center" vertical="center" wrapText="1"/>
    </xf>
    <xf numFmtId="180" fontId="78" fillId="0" borderId="490" xfId="0" applyNumberFormat="1" applyFont="1" applyFill="1" applyBorder="1" applyAlignment="1" applyProtection="1">
      <alignment horizontal="center" wrapText="1"/>
    </xf>
    <xf numFmtId="176" fontId="53" fillId="0" borderId="490" xfId="0" applyNumberFormat="1" applyFont="1" applyFill="1" applyBorder="1" applyAlignment="1" applyProtection="1">
      <alignment horizontal="left"/>
    </xf>
    <xf numFmtId="180" fontId="56" fillId="3" borderId="490" xfId="0" applyNumberFormat="1" applyFont="1" applyFill="1" applyBorder="1" applyAlignment="1" applyProtection="1">
      <alignment horizontal="left" wrapText="1"/>
      <protection locked="0"/>
    </xf>
    <xf numFmtId="49" fontId="56" fillId="3" borderId="491" xfId="0" applyNumberFormat="1" applyFont="1" applyFill="1" applyBorder="1" applyAlignment="1" applyProtection="1">
      <alignment horizontal="right" wrapText="1" shrinkToFit="1"/>
      <protection locked="0"/>
    </xf>
    <xf numFmtId="180" fontId="56" fillId="3" borderId="492" xfId="0" applyNumberFormat="1" applyFont="1" applyFill="1" applyBorder="1" applyAlignment="1" applyProtection="1">
      <alignment horizontal="left" wrapText="1"/>
      <protection locked="0"/>
    </xf>
    <xf numFmtId="49" fontId="56" fillId="3" borderId="494" xfId="0" applyNumberFormat="1" applyFont="1" applyFill="1" applyBorder="1" applyAlignment="1" applyProtection="1">
      <alignment horizontal="left" wrapText="1"/>
      <protection locked="0"/>
    </xf>
    <xf numFmtId="49" fontId="56" fillId="3" borderId="494" xfId="0" applyNumberFormat="1" applyFont="1" applyFill="1" applyBorder="1" applyAlignment="1" applyProtection="1">
      <alignment vertical="center" wrapText="1"/>
      <protection locked="0"/>
    </xf>
    <xf numFmtId="169" fontId="56" fillId="3" borderId="493" xfId="0" applyNumberFormat="1" applyFont="1" applyFill="1" applyBorder="1" applyAlignment="1" applyProtection="1">
      <alignment horizontal="right" wrapText="1" shrinkToFit="1"/>
      <protection locked="0"/>
    </xf>
    <xf numFmtId="49" fontId="56" fillId="3" borderId="495" xfId="0" applyNumberFormat="1" applyFont="1" applyFill="1" applyBorder="1" applyAlignment="1" applyProtection="1">
      <alignment horizontal="right" wrapText="1" shrinkToFit="1"/>
      <protection locked="0"/>
    </xf>
    <xf numFmtId="0" fontId="0" fillId="0" borderId="0" xfId="0"/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144" fillId="24" borderId="0" xfId="0" applyFont="1" applyFill="1"/>
    <xf numFmtId="0" fontId="0" fillId="24" borderId="0" xfId="0" applyFill="1"/>
    <xf numFmtId="0" fontId="25" fillId="2" borderId="192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0" fontId="25" fillId="6" borderId="5" xfId="0" applyNumberFormat="1" applyFont="1" applyFill="1" applyBorder="1" applyAlignment="1" applyProtection="1">
      <alignment horizontal="center" vertical="center" wrapText="1"/>
    </xf>
    <xf numFmtId="49" fontId="25" fillId="6" borderId="131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172" fontId="23" fillId="0" borderId="199" xfId="0" applyNumberFormat="1" applyFont="1" applyFill="1" applyBorder="1" applyAlignment="1" applyProtection="1">
      <alignment horizontal="center" vertical="center" wrapText="1" shrinkToFit="1"/>
    </xf>
    <xf numFmtId="172" fontId="23" fillId="0" borderId="210" xfId="0" applyNumberFormat="1" applyFont="1" applyFill="1" applyBorder="1" applyAlignment="1" applyProtection="1">
      <alignment horizontal="center" vertical="center" wrapText="1" shrinkToFit="1"/>
    </xf>
    <xf numFmtId="2" fontId="57" fillId="0" borderId="375" xfId="0" applyNumberFormat="1" applyFont="1" applyFill="1" applyBorder="1" applyAlignment="1" applyProtection="1">
      <alignment horizontal="left" vertical="center" wrapText="1"/>
    </xf>
    <xf numFmtId="0" fontId="21" fillId="0" borderId="401" xfId="0" applyFont="1" applyFill="1" applyBorder="1" applyAlignment="1" applyProtection="1">
      <alignment vertical="center" wrapText="1"/>
    </xf>
    <xf numFmtId="0" fontId="32" fillId="0" borderId="14" xfId="0" applyFont="1" applyFill="1" applyBorder="1" applyAlignment="1" applyProtection="1">
      <alignment vertical="center" wrapText="1"/>
    </xf>
    <xf numFmtId="0" fontId="32" fillId="0" borderId="6" xfId="0" applyFont="1" applyFill="1" applyBorder="1" applyAlignment="1" applyProtection="1">
      <alignment horizontal="center" vertical="center"/>
    </xf>
    <xf numFmtId="0" fontId="0" fillId="0" borderId="113" xfId="234" applyFont="1" applyFill="1" applyBorder="1" applyAlignment="1">
      <alignment horizontal="left" vertical="center" wrapText="1"/>
    </xf>
    <xf numFmtId="3" fontId="193" fillId="26" borderId="113" xfId="0" applyNumberFormat="1" applyFont="1" applyFill="1" applyBorder="1" applyAlignment="1" applyProtection="1">
      <alignment vertical="center"/>
    </xf>
    <xf numFmtId="0" fontId="29" fillId="3" borderId="6" xfId="0" applyNumberFormat="1" applyFont="1" applyFill="1" applyBorder="1" applyAlignment="1" applyProtection="1">
      <alignment horizontal="right" wrapText="1" shrinkToFit="1"/>
      <protection locked="0"/>
    </xf>
    <xf numFmtId="0" fontId="0" fillId="0" borderId="0" xfId="0"/>
    <xf numFmtId="0" fontId="0" fillId="0" borderId="0" xfId="0" applyFill="1" applyBorder="1" applyAlignment="1">
      <alignment wrapText="1"/>
    </xf>
    <xf numFmtId="0" fontId="0" fillId="0" borderId="0" xfId="0"/>
    <xf numFmtId="0" fontId="30" fillId="0" borderId="136" xfId="0" applyNumberFormat="1" applyFont="1" applyFill="1" applyBorder="1" applyAlignment="1" applyProtection="1">
      <alignment horizontal="left" vertical="top" wrapText="1"/>
    </xf>
    <xf numFmtId="0" fontId="30" fillId="11" borderId="136" xfId="0" applyNumberFormat="1" applyFont="1" applyFill="1" applyBorder="1" applyAlignment="1" applyProtection="1">
      <alignment horizontal="left" vertical="center" wrapText="1"/>
    </xf>
    <xf numFmtId="49" fontId="25" fillId="2" borderId="35" xfId="0" applyNumberFormat="1" applyFont="1" applyFill="1" applyBorder="1" applyAlignment="1" applyProtection="1">
      <alignment horizontal="center" vertical="center" wrapText="1"/>
    </xf>
    <xf numFmtId="49" fontId="31" fillId="2" borderId="35" xfId="0" applyNumberFormat="1" applyFont="1" applyFill="1" applyBorder="1" applyAlignment="1" applyProtection="1">
      <alignment horizontal="center" vertical="center" wrapText="1"/>
    </xf>
    <xf numFmtId="0" fontId="131" fillId="0" borderId="0" xfId="0" applyFont="1" applyProtection="1"/>
    <xf numFmtId="0" fontId="194" fillId="0" borderId="0" xfId="0" applyFont="1" applyProtection="1"/>
    <xf numFmtId="0" fontId="194" fillId="0" borderId="496" xfId="0" applyFont="1" applyBorder="1" applyProtection="1"/>
    <xf numFmtId="0" fontId="194" fillId="0" borderId="456" xfId="0" applyFont="1" applyBorder="1" applyProtection="1"/>
    <xf numFmtId="0" fontId="196" fillId="0" borderId="497" xfId="0" applyFont="1" applyBorder="1" applyProtection="1"/>
    <xf numFmtId="0" fontId="196" fillId="0" borderId="498" xfId="0" applyFont="1" applyBorder="1" applyProtection="1"/>
    <xf numFmtId="0" fontId="58" fillId="0" borderId="0" xfId="0" applyFont="1" applyAlignment="1" applyProtection="1">
      <alignment horizontal="center"/>
    </xf>
    <xf numFmtId="0" fontId="194" fillId="0" borderId="0" xfId="0" applyFont="1" applyAlignment="1" applyProtection="1">
      <alignment horizontal="center"/>
    </xf>
    <xf numFmtId="3" fontId="194" fillId="0" borderId="120" xfId="0" applyNumberFormat="1" applyFont="1" applyBorder="1" applyAlignment="1" applyProtection="1">
      <alignment horizontal="center"/>
    </xf>
    <xf numFmtId="3" fontId="194" fillId="0" borderId="121" xfId="0" applyNumberFormat="1" applyFont="1" applyBorder="1" applyAlignment="1" applyProtection="1">
      <alignment horizontal="center"/>
    </xf>
    <xf numFmtId="0" fontId="194" fillId="0" borderId="499" xfId="0" applyFont="1" applyBorder="1" applyProtection="1"/>
    <xf numFmtId="3" fontId="194" fillId="0" borderId="500" xfId="0" applyNumberFormat="1" applyFont="1" applyBorder="1" applyAlignment="1" applyProtection="1">
      <alignment horizontal="center"/>
    </xf>
    <xf numFmtId="0" fontId="196" fillId="0" borderId="501" xfId="0" applyFont="1" applyBorder="1" applyProtection="1"/>
    <xf numFmtId="0" fontId="146" fillId="0" borderId="407" xfId="0" applyNumberFormat="1" applyFont="1" applyFill="1" applyBorder="1" applyAlignment="1" applyProtection="1">
      <alignment horizontal="center" vertical="center"/>
    </xf>
    <xf numFmtId="0" fontId="127" fillId="0" borderId="0" xfId="0" applyNumberFormat="1" applyFont="1" applyAlignment="1" applyProtection="1">
      <alignment wrapText="1"/>
    </xf>
    <xf numFmtId="0" fontId="23" fillId="0" borderId="113" xfId="0" applyNumberFormat="1" applyFont="1" applyBorder="1" applyAlignment="1" applyProtection="1">
      <alignment horizontal="center" vertical="center" wrapText="1"/>
    </xf>
    <xf numFmtId="49" fontId="25" fillId="2" borderId="441" xfId="0" applyNumberFormat="1" applyFont="1" applyFill="1" applyBorder="1" applyAlignment="1" applyProtection="1">
      <alignment horizontal="center" vertical="center" wrapText="1"/>
    </xf>
    <xf numFmtId="173" fontId="29" fillId="3" borderId="503" xfId="0" applyNumberFormat="1" applyFont="1" applyFill="1" applyBorder="1" applyAlignment="1" applyProtection="1">
      <alignment horizontal="right" wrapText="1" shrinkToFit="1"/>
      <protection locked="0"/>
    </xf>
    <xf numFmtId="49" fontId="25" fillId="2" borderId="28" xfId="0" applyNumberFormat="1" applyFont="1" applyFill="1" applyBorder="1" applyAlignment="1" applyProtection="1">
      <alignment horizontal="center" vertical="center" wrapText="1"/>
    </xf>
    <xf numFmtId="49" fontId="25" fillId="2" borderId="28" xfId="0" applyNumberFormat="1" applyFont="1" applyFill="1" applyBorder="1" applyAlignment="1" applyProtection="1">
      <alignment horizontal="center" vertical="center" wrapText="1"/>
    </xf>
    <xf numFmtId="173" fontId="23" fillId="19" borderId="504" xfId="0" applyNumberFormat="1" applyFont="1" applyFill="1" applyBorder="1" applyAlignment="1" applyProtection="1">
      <alignment horizontal="center" vertical="center"/>
    </xf>
    <xf numFmtId="0" fontId="127" fillId="0" borderId="113" xfId="0" applyNumberFormat="1" applyFont="1" applyBorder="1" applyAlignment="1" applyProtection="1">
      <alignment horizontal="center"/>
    </xf>
    <xf numFmtId="0" fontId="15" fillId="24" borderId="113" xfId="1070" applyFill="1" applyBorder="1" applyAlignment="1">
      <alignment vertical="center" wrapText="1"/>
    </xf>
    <xf numFmtId="0" fontId="15" fillId="24" borderId="113" xfId="797" applyFill="1" applyBorder="1" applyAlignment="1">
      <alignment vertical="center" wrapText="1"/>
    </xf>
    <xf numFmtId="0" fontId="15" fillId="0" borderId="113" xfId="797" applyBorder="1"/>
    <xf numFmtId="0" fontId="15" fillId="0" borderId="113" xfId="1070" applyBorder="1" applyAlignment="1">
      <alignment vertical="center" wrapText="1"/>
    </xf>
    <xf numFmtId="175" fontId="197" fillId="3" borderId="113" xfId="0" applyNumberFormat="1" applyFont="1" applyFill="1" applyBorder="1" applyAlignment="1" applyProtection="1">
      <alignment horizontal="center" vertical="center" wrapText="1" shrinkToFit="1"/>
    </xf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0" fontId="15" fillId="0" borderId="113" xfId="4146" applyFont="1" applyFill="1" applyBorder="1" applyAlignment="1">
      <alignment vertical="center" wrapText="1"/>
    </xf>
    <xf numFmtId="0" fontId="15" fillId="0" borderId="113" xfId="4146" applyFill="1" applyBorder="1" applyAlignment="1">
      <alignment horizontal="left" vertical="center" wrapText="1"/>
    </xf>
    <xf numFmtId="3" fontId="200" fillId="0" borderId="496" xfId="0" applyNumberFormat="1" applyFont="1" applyFill="1" applyBorder="1" applyAlignment="1">
      <alignment horizontal="center" vertical="center" wrapText="1"/>
    </xf>
    <xf numFmtId="3" fontId="200" fillId="0" borderId="496" xfId="4146" applyNumberFormat="1" applyFont="1" applyFill="1" applyBorder="1" applyAlignment="1">
      <alignment horizontal="center" vertical="center" wrapText="1"/>
    </xf>
    <xf numFmtId="3" fontId="200" fillId="0" borderId="496" xfId="0" applyNumberFormat="1" applyFont="1" applyBorder="1" applyAlignment="1">
      <alignment horizontal="center"/>
    </xf>
    <xf numFmtId="3" fontId="200" fillId="0" borderId="456" xfId="4146" applyNumberFormat="1" applyFont="1" applyFill="1" applyBorder="1" applyAlignment="1">
      <alignment horizontal="center" vertical="center" wrapText="1"/>
    </xf>
    <xf numFmtId="0" fontId="25" fillId="2" borderId="427" xfId="0" applyNumberFormat="1" applyFont="1" applyFill="1" applyBorder="1" applyAlignment="1" applyProtection="1">
      <alignment horizontal="centerContinuous" vertical="center" wrapText="1"/>
    </xf>
    <xf numFmtId="0" fontId="25" fillId="2" borderId="409" xfId="0" applyNumberFormat="1" applyFont="1" applyFill="1" applyBorder="1" applyAlignment="1" applyProtection="1">
      <alignment horizontal="center" vertical="center" wrapText="1"/>
    </xf>
    <xf numFmtId="0" fontId="101" fillId="0" borderId="442" xfId="0" applyFont="1" applyBorder="1" applyAlignment="1" applyProtection="1">
      <alignment vertical="center"/>
    </xf>
    <xf numFmtId="173" fontId="23" fillId="0" borderId="505" xfId="0" applyNumberFormat="1" applyFont="1" applyBorder="1" applyProtection="1"/>
    <xf numFmtId="0" fontId="4" fillId="0" borderId="113" xfId="4148" applyFill="1" applyBorder="1" applyAlignment="1">
      <alignment wrapText="1"/>
    </xf>
    <xf numFmtId="0" fontId="21" fillId="0" borderId="113" xfId="4148" applyFont="1" applyFill="1" applyBorder="1" applyAlignment="1">
      <alignment wrapText="1"/>
    </xf>
    <xf numFmtId="0" fontId="137" fillId="0" borderId="0" xfId="0" applyFont="1" applyProtection="1"/>
    <xf numFmtId="0" fontId="133" fillId="0" borderId="0" xfId="0" applyFont="1"/>
    <xf numFmtId="177" fontId="137" fillId="0" borderId="0" xfId="0" applyNumberFormat="1" applyFont="1" applyProtection="1"/>
    <xf numFmtId="0" fontId="0" fillId="0" borderId="439" xfId="0" applyBorder="1" applyAlignment="1">
      <alignment vertical="center" wrapText="1"/>
    </xf>
    <xf numFmtId="0" fontId="188" fillId="25" borderId="113" xfId="233" applyFill="1" applyBorder="1"/>
    <xf numFmtId="0" fontId="0" fillId="0" borderId="342" xfId="0" applyBorder="1" applyAlignment="1">
      <alignment vertical="center" wrapText="1"/>
    </xf>
    <xf numFmtId="0" fontId="0" fillId="0" borderId="313" xfId="0" applyBorder="1" applyAlignment="1">
      <alignment vertical="center" wrapText="1"/>
    </xf>
    <xf numFmtId="0" fontId="3" fillId="0" borderId="113" xfId="4776" applyBorder="1" applyAlignment="1">
      <alignment wrapText="1"/>
    </xf>
    <xf numFmtId="0" fontId="15" fillId="0" borderId="0" xfId="4200" applyAlignment="1">
      <alignment vertical="center" wrapText="1"/>
    </xf>
    <xf numFmtId="0" fontId="15" fillId="0" borderId="0" xfId="4200" applyBorder="1" applyAlignment="1">
      <alignment vertical="center" wrapText="1"/>
    </xf>
    <xf numFmtId="0" fontId="25" fillId="2" borderId="409" xfId="0" applyNumberFormat="1" applyFont="1" applyFill="1" applyBorder="1" applyAlignment="1" applyProtection="1">
      <alignment horizontal="center" vertical="center" wrapText="1"/>
    </xf>
    <xf numFmtId="0" fontId="57" fillId="0" borderId="505" xfId="0" applyFont="1" applyFill="1" applyBorder="1" applyAlignment="1">
      <alignment horizontal="center" vertical="center" wrapText="1"/>
    </xf>
    <xf numFmtId="0" fontId="23" fillId="19" borderId="527" xfId="0" applyNumberFormat="1" applyFont="1" applyFill="1" applyBorder="1" applyAlignment="1" applyProtection="1">
      <alignment horizontal="left" vertical="center" wrapText="1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137" borderId="0" xfId="0" applyNumberFormat="1" applyFont="1" applyFill="1" applyBorder="1" applyAlignment="1" applyProtection="1">
      <alignment horizontal="center" vertical="center" wrapText="1"/>
    </xf>
    <xf numFmtId="0" fontId="25" fillId="2" borderId="528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0" fillId="138" borderId="113" xfId="0" applyFill="1" applyBorder="1" applyAlignment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175" fontId="23" fillId="3" borderId="503" xfId="0" applyNumberFormat="1" applyFont="1" applyFill="1" applyBorder="1" applyAlignment="1" applyProtection="1">
      <alignment horizontal="center" vertical="center" wrapText="1" shrinkToFit="1"/>
      <protection locked="0"/>
    </xf>
    <xf numFmtId="49" fontId="127" fillId="0" borderId="313" xfId="0" applyNumberFormat="1" applyFont="1" applyFill="1" applyBorder="1" applyAlignment="1" applyProtection="1">
      <alignment horizontal="left" vertical="center" wrapText="1"/>
    </xf>
    <xf numFmtId="0" fontId="0" fillId="0" borderId="496" xfId="0" applyBorder="1" applyAlignment="1" applyProtection="1">
      <alignment horizontal="left"/>
    </xf>
    <xf numFmtId="49" fontId="24" fillId="3" borderId="496" xfId="0" applyNumberFormat="1" applyFont="1" applyFill="1" applyBorder="1" applyAlignment="1" applyProtection="1">
      <alignment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169" fontId="23" fillId="4" borderId="503" xfId="0" applyNumberFormat="1" applyFont="1" applyFill="1" applyBorder="1" applyAlignment="1" applyProtection="1">
      <alignment horizontal="center" vertical="center" wrapText="1"/>
      <protection locked="0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117" fillId="2" borderId="345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57" fillId="0" borderId="113" xfId="0" applyFont="1" applyBorder="1" applyAlignment="1">
      <alignment horizontal="left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49" fontId="25" fillId="2" borderId="429" xfId="0" applyNumberFormat="1" applyFont="1" applyFill="1" applyBorder="1" applyAlignment="1" applyProtection="1">
      <alignment horizontal="center" vertical="center" wrapText="1"/>
    </xf>
    <xf numFmtId="0" fontId="22" fillId="7" borderId="442" xfId="0" applyNumberFormat="1" applyFont="1" applyFill="1" applyBorder="1" applyAlignment="1" applyProtection="1"/>
    <xf numFmtId="49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6" borderId="35" xfId="0" applyNumberFormat="1" applyFont="1" applyFill="1" applyBorder="1" applyAlignment="1" applyProtection="1">
      <alignment horizontal="center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49" fontId="25" fillId="2" borderId="36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49" fontId="25" fillId="2" borderId="3" xfId="0" applyNumberFormat="1" applyFont="1" applyFill="1" applyBorder="1" applyAlignment="1" applyProtection="1">
      <alignment horizontal="center" vertical="center" wrapText="1"/>
    </xf>
    <xf numFmtId="49" fontId="25" fillId="2" borderId="31" xfId="0" applyNumberFormat="1" applyFont="1" applyFill="1" applyBorder="1" applyAlignment="1" applyProtection="1">
      <alignment horizontal="center" vertical="center" wrapText="1"/>
    </xf>
    <xf numFmtId="49" fontId="25" fillId="2" borderId="369" xfId="0" applyNumberFormat="1" applyFont="1" applyFill="1" applyBorder="1" applyAlignment="1" applyProtection="1">
      <alignment horizontal="center" vertical="center" wrapText="1"/>
    </xf>
    <xf numFmtId="49" fontId="25" fillId="2" borderId="431" xfId="0" applyNumberFormat="1" applyFont="1" applyFill="1" applyBorder="1" applyAlignment="1" applyProtection="1">
      <alignment horizontal="center" vertical="center" wrapText="1"/>
    </xf>
    <xf numFmtId="49" fontId="25" fillId="2" borderId="529" xfId="0" applyNumberFormat="1" applyFont="1" applyFill="1" applyBorder="1" applyAlignment="1" applyProtection="1">
      <alignment horizontal="center" vertical="center" wrapText="1"/>
    </xf>
    <xf numFmtId="49" fontId="25" fillId="2" borderId="371" xfId="0" applyNumberFormat="1" applyFont="1" applyFill="1" applyBorder="1" applyAlignment="1" applyProtection="1">
      <alignment vertical="center" wrapText="1"/>
    </xf>
    <xf numFmtId="49" fontId="44" fillId="0" borderId="531" xfId="0" applyNumberFormat="1" applyFont="1" applyBorder="1" applyAlignment="1">
      <alignment horizontal="center"/>
    </xf>
    <xf numFmtId="3" fontId="44" fillId="0" borderId="531" xfId="0" applyNumberFormat="1" applyFont="1" applyBorder="1" applyAlignment="1">
      <alignment horizontal="center" vertical="center"/>
    </xf>
    <xf numFmtId="0" fontId="44" fillId="0" borderId="531" xfId="0" applyFont="1" applyBorder="1" applyAlignment="1">
      <alignment horizontal="center"/>
    </xf>
    <xf numFmtId="0" fontId="135" fillId="0" borderId="532" xfId="0" applyNumberFormat="1" applyFont="1" applyFill="1" applyBorder="1" applyAlignment="1" applyProtection="1">
      <alignment horizontal="center"/>
    </xf>
    <xf numFmtId="0" fontId="44" fillId="0" borderId="531" xfId="0" applyFont="1" applyBorder="1" applyAlignment="1">
      <alignment horizontal="center" vertical="center"/>
    </xf>
    <xf numFmtId="3" fontId="135" fillId="0" borderId="532" xfId="0" applyNumberFormat="1" applyFont="1" applyFill="1" applyBorder="1" applyAlignment="1" applyProtection="1">
      <alignment horizontal="center"/>
    </xf>
    <xf numFmtId="175" fontId="136" fillId="4" borderId="533" xfId="0" applyNumberFormat="1" applyFont="1" applyFill="1" applyBorder="1" applyAlignment="1" applyProtection="1">
      <alignment horizontal="right"/>
      <protection locked="0"/>
    </xf>
    <xf numFmtId="49" fontId="44" fillId="0" borderId="534" xfId="0" applyNumberFormat="1" applyFont="1" applyBorder="1" applyAlignment="1">
      <alignment horizontal="center"/>
    </xf>
    <xf numFmtId="0" fontId="44" fillId="0" borderId="534" xfId="0" applyFont="1" applyBorder="1" applyAlignment="1">
      <alignment horizontal="center" vertical="center"/>
    </xf>
    <xf numFmtId="0" fontId="44" fillId="0" borderId="534" xfId="0" applyFont="1" applyBorder="1" applyAlignment="1">
      <alignment horizontal="center"/>
    </xf>
    <xf numFmtId="0" fontId="44" fillId="0" borderId="535" xfId="0" applyFont="1" applyBorder="1" applyAlignment="1">
      <alignment horizontal="center"/>
    </xf>
    <xf numFmtId="0" fontId="44" fillId="0" borderId="535" xfId="0" applyFont="1" applyBorder="1" applyAlignment="1">
      <alignment horizontal="center" vertical="center"/>
    </xf>
    <xf numFmtId="0" fontId="135" fillId="0" borderId="536" xfId="0" applyNumberFormat="1" applyFont="1" applyFill="1" applyBorder="1" applyAlignment="1" applyProtection="1">
      <alignment horizontal="center"/>
    </xf>
    <xf numFmtId="181" fontId="25" fillId="6" borderId="5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5" fillId="2" borderId="432" xfId="0" applyNumberFormat="1" applyFont="1" applyFill="1" applyBorder="1" applyAlignment="1" applyProtection="1">
      <alignment horizontal="center" vertical="center" wrapText="1"/>
    </xf>
    <xf numFmtId="0" fontId="51" fillId="0" borderId="0" xfId="0" applyNumberFormat="1" applyFont="1" applyFill="1" applyBorder="1" applyAlignment="1" applyProtection="1"/>
    <xf numFmtId="0" fontId="25" fillId="6" borderId="431" xfId="0" applyNumberFormat="1" applyFont="1" applyFill="1" applyBorder="1" applyAlignment="1" applyProtection="1">
      <alignment horizontal="center" vertical="center" wrapText="1"/>
    </xf>
    <xf numFmtId="49" fontId="25" fillId="6" borderId="529" xfId="0" applyNumberFormat="1" applyFont="1" applyFill="1" applyBorder="1" applyAlignment="1" applyProtection="1">
      <alignment horizontal="center" vertical="center" wrapText="1"/>
    </xf>
    <xf numFmtId="0" fontId="25" fillId="6" borderId="529" xfId="0" applyNumberFormat="1" applyFont="1" applyFill="1" applyBorder="1" applyAlignment="1" applyProtection="1">
      <alignment horizontal="center" vertical="center" wrapText="1"/>
    </xf>
    <xf numFmtId="49" fontId="38" fillId="3" borderId="503" xfId="0" applyNumberFormat="1" applyFont="1" applyFill="1" applyBorder="1" applyAlignment="1" applyProtection="1">
      <alignment horizontal="left" vertical="center"/>
      <protection locked="0"/>
    </xf>
    <xf numFmtId="49" fontId="38" fillId="3" borderId="503" xfId="0" applyNumberFormat="1" applyFont="1" applyFill="1" applyBorder="1" applyAlignment="1" applyProtection="1">
      <alignment horizontal="left" vertical="center" wrapText="1"/>
      <protection locked="0"/>
    </xf>
    <xf numFmtId="1" fontId="38" fillId="3" borderId="503" xfId="0" applyNumberFormat="1" applyFont="1" applyFill="1" applyBorder="1" applyAlignment="1" applyProtection="1">
      <alignment horizontal="left" vertical="center"/>
      <protection locked="0"/>
    </xf>
    <xf numFmtId="169" fontId="38" fillId="3" borderId="503" xfId="0" applyNumberFormat="1" applyFont="1" applyFill="1" applyBorder="1" applyAlignment="1" applyProtection="1">
      <alignment horizontal="right" wrapText="1" shrinkToFit="1"/>
      <protection locked="0"/>
    </xf>
    <xf numFmtId="0" fontId="139" fillId="139" borderId="0" xfId="0" applyNumberFormat="1" applyFont="1" applyFill="1" applyAlignment="1" applyProtection="1">
      <alignment horizont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49" fontId="25" fillId="2" borderId="28" xfId="0" applyNumberFormat="1" applyFont="1" applyFill="1" applyBorder="1" applyAlignment="1" applyProtection="1">
      <alignment horizontal="center" vertical="center" wrapText="1"/>
    </xf>
    <xf numFmtId="0" fontId="132" fillId="0" borderId="113" xfId="0" applyNumberFormat="1" applyFont="1" applyBorder="1" applyAlignment="1" applyProtection="1">
      <alignment horizontal="center"/>
    </xf>
    <xf numFmtId="0" fontId="23" fillId="24" borderId="113" xfId="0" applyNumberFormat="1" applyFont="1" applyFill="1" applyBorder="1" applyAlignment="1" applyProtection="1">
      <alignment vertical="center"/>
    </xf>
    <xf numFmtId="175" fontId="21" fillId="68" borderId="113" xfId="0" applyNumberFormat="1" applyFont="1" applyFill="1" applyBorder="1" applyAlignment="1" applyProtection="1">
      <alignment horizontal="center" vertical="center" wrapText="1" shrinkToFit="1"/>
    </xf>
    <xf numFmtId="175" fontId="21" fillId="68" borderId="113" xfId="0" applyNumberFormat="1" applyFont="1" applyFill="1" applyBorder="1" applyAlignment="1" applyProtection="1">
      <alignment vertical="center" wrapText="1" shrinkToFit="1"/>
    </xf>
    <xf numFmtId="0" fontId="132" fillId="24" borderId="0" xfId="0" applyNumberFormat="1" applyFont="1" applyFill="1" applyAlignment="1" applyProtection="1">
      <alignment vertical="center"/>
    </xf>
    <xf numFmtId="0" fontId="48" fillId="0" borderId="113" xfId="0" applyFont="1" applyBorder="1" applyAlignment="1" applyProtection="1">
      <alignment horizontal="center" vertical="center"/>
    </xf>
    <xf numFmtId="3" fontId="44" fillId="0" borderId="531" xfId="0" applyNumberFormat="1" applyFont="1" applyBorder="1" applyAlignment="1">
      <alignment horizontal="center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0" fillId="0" borderId="537" xfId="0" applyFont="1" applyBorder="1" applyAlignment="1">
      <alignment horizontal="center" vertical="center"/>
    </xf>
    <xf numFmtId="49" fontId="0" fillId="0" borderId="113" xfId="0" applyNumberFormat="1" applyBorder="1"/>
    <xf numFmtId="0" fontId="144" fillId="0" borderId="113" xfId="0" applyFont="1" applyBorder="1"/>
    <xf numFmtId="0" fontId="20" fillId="0" borderId="538" xfId="0" applyFont="1" applyBorder="1" applyAlignment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175" fontId="56" fillId="0" borderId="226" xfId="0" applyNumberFormat="1" applyFont="1" applyBorder="1" applyAlignment="1" applyProtection="1">
      <alignment horizontal="center" vertical="center"/>
    </xf>
    <xf numFmtId="0" fontId="272" fillId="2" borderId="432" xfId="0" applyNumberFormat="1" applyFont="1" applyFill="1" applyBorder="1" applyAlignment="1" applyProtection="1">
      <alignment horizontal="center" vertical="center" wrapText="1"/>
    </xf>
    <xf numFmtId="49" fontId="272" fillId="2" borderId="142" xfId="0" applyNumberFormat="1" applyFont="1" applyFill="1" applyBorder="1" applyAlignment="1" applyProtection="1">
      <alignment horizontal="center"/>
    </xf>
    <xf numFmtId="0" fontId="0" fillId="0" borderId="0" xfId="0"/>
    <xf numFmtId="0" fontId="27" fillId="0" borderId="0" xfId="16944" applyFont="1"/>
    <xf numFmtId="0" fontId="27" fillId="0" borderId="10" xfId="16944" applyFont="1" applyBorder="1" applyProtection="1"/>
    <xf numFmtId="0" fontId="27" fillId="24" borderId="10" xfId="16944" applyFont="1" applyFill="1" applyBorder="1" applyProtection="1"/>
    <xf numFmtId="0" fontId="19" fillId="0" borderId="1" xfId="16944" applyFont="1" applyBorder="1" applyProtection="1"/>
    <xf numFmtId="0" fontId="15" fillId="0" borderId="0" xfId="16944" applyProtection="1"/>
    <xf numFmtId="0" fontId="22" fillId="0" borderId="442" xfId="16944" applyFont="1" applyBorder="1" applyProtection="1"/>
    <xf numFmtId="0" fontId="31" fillId="0" borderId="0" xfId="16944" applyNumberFormat="1" applyFont="1" applyFill="1" applyBorder="1" applyAlignment="1" applyProtection="1"/>
    <xf numFmtId="0" fontId="58" fillId="0" borderId="0" xfId="16944" applyFont="1" applyProtection="1"/>
    <xf numFmtId="0" fontId="22" fillId="0" borderId="442" xfId="16944" applyNumberFormat="1" applyFont="1" applyFill="1" applyBorder="1" applyAlignment="1" applyProtection="1"/>
    <xf numFmtId="0" fontId="23" fillId="0" borderId="0" xfId="16944" applyNumberFormat="1" applyFont="1" applyProtection="1"/>
    <xf numFmtId="0" fontId="24" fillId="0" borderId="0" xfId="16944" applyNumberFormat="1" applyFont="1" applyFill="1" applyBorder="1" applyAlignment="1" applyProtection="1"/>
    <xf numFmtId="0" fontId="24" fillId="0" borderId="113" xfId="16944" applyFont="1" applyFill="1" applyBorder="1" applyAlignment="1" applyProtection="1">
      <alignment vertical="center" wrapText="1"/>
    </xf>
    <xf numFmtId="0" fontId="23" fillId="0" borderId="0" xfId="16944" applyNumberFormat="1" applyFont="1" applyFill="1" applyBorder="1" applyAlignment="1" applyProtection="1"/>
    <xf numFmtId="0" fontId="25" fillId="2" borderId="431" xfId="16944" applyNumberFormat="1" applyFont="1" applyFill="1" applyBorder="1" applyAlignment="1" applyProtection="1">
      <alignment horizontal="center" vertical="center" wrapText="1"/>
    </xf>
    <xf numFmtId="49" fontId="25" fillId="2" borderId="432" xfId="16944" applyNumberFormat="1" applyFont="1" applyFill="1" applyBorder="1" applyAlignment="1" applyProtection="1">
      <alignment horizontal="center" vertical="center" wrapText="1"/>
    </xf>
    <xf numFmtId="0" fontId="15" fillId="0" borderId="0" xfId="16944" applyAlignment="1" applyProtection="1">
      <alignment wrapText="1"/>
    </xf>
    <xf numFmtId="0" fontId="25" fillId="2" borderId="37" xfId="16944" applyNumberFormat="1" applyFont="1" applyFill="1" applyBorder="1" applyAlignment="1" applyProtection="1">
      <alignment horizontal="center" vertical="center" wrapText="1"/>
    </xf>
    <xf numFmtId="0" fontId="25" fillId="2" borderId="11" xfId="16944" applyNumberFormat="1" applyFont="1" applyFill="1" applyBorder="1" applyAlignment="1" applyProtection="1">
      <alignment horizontal="center" vertical="center" wrapText="1"/>
    </xf>
    <xf numFmtId="0" fontId="25" fillId="2" borderId="529" xfId="16944" applyNumberFormat="1" applyFont="1" applyFill="1" applyBorder="1" applyAlignment="1" applyProtection="1">
      <alignment horizontal="center" vertical="center" wrapText="1"/>
    </xf>
    <xf numFmtId="49" fontId="25" fillId="6" borderId="141" xfId="16915" applyNumberFormat="1" applyFont="1" applyFill="1" applyBorder="1" applyAlignment="1" applyProtection="1">
      <alignment horizontal="center" vertical="center" wrapText="1"/>
    </xf>
    <xf numFmtId="49" fontId="25" fillId="6" borderId="142" xfId="16915" applyNumberFormat="1" applyFont="1" applyFill="1" applyBorder="1" applyAlignment="1" applyProtection="1">
      <alignment horizontal="center" vertical="center" wrapText="1"/>
    </xf>
    <xf numFmtId="49" fontId="25" fillId="2" borderId="52" xfId="16915" applyNumberFormat="1" applyFont="1" applyFill="1" applyBorder="1" applyAlignment="1" applyProtection="1">
      <alignment horizontal="center" vertical="center" wrapText="1"/>
    </xf>
    <xf numFmtId="0" fontId="70" fillId="0" borderId="442" xfId="16944" applyNumberFormat="1" applyFont="1" applyFill="1" applyBorder="1" applyAlignment="1" applyProtection="1">
      <alignment horizontal="center" vertical="center"/>
    </xf>
    <xf numFmtId="0" fontId="65" fillId="0" borderId="0" xfId="16944" quotePrefix="1" applyNumberFormat="1" applyFont="1" applyFill="1" applyBorder="1" applyAlignment="1" applyProtection="1">
      <alignment horizontal="center" vertical="center"/>
    </xf>
    <xf numFmtId="49" fontId="65" fillId="0" borderId="39" xfId="16944" applyNumberFormat="1" applyFont="1" applyFill="1" applyBorder="1" applyAlignment="1" applyProtection="1">
      <alignment horizontal="center" vertical="center" wrapText="1"/>
    </xf>
    <xf numFmtId="169" fontId="65" fillId="0" borderId="6" xfId="16944" applyNumberFormat="1" applyFont="1" applyFill="1" applyBorder="1" applyAlignment="1" applyProtection="1">
      <alignment horizontal="center" vertical="center" wrapText="1" shrinkToFit="1"/>
    </xf>
    <xf numFmtId="0" fontId="129" fillId="0" borderId="0" xfId="16944" applyFont="1" applyProtection="1"/>
    <xf numFmtId="0" fontId="64" fillId="0" borderId="0" xfId="16944" applyFont="1" applyFill="1" applyAlignment="1" applyProtection="1">
      <alignment horizontal="center" vertical="center"/>
    </xf>
    <xf numFmtId="49" fontId="24" fillId="0" borderId="39" xfId="16944" applyNumberFormat="1" applyFont="1" applyFill="1" applyBorder="1" applyAlignment="1" applyProtection="1">
      <alignment vertical="center" wrapText="1"/>
    </xf>
    <xf numFmtId="169" fontId="23" fillId="0" borderId="6" xfId="16944" applyNumberFormat="1" applyFont="1" applyFill="1" applyBorder="1" applyAlignment="1" applyProtection="1">
      <alignment horizontal="center"/>
    </xf>
    <xf numFmtId="169" fontId="23" fillId="0" borderId="6" xfId="16944" applyNumberFormat="1" applyFont="1" applyFill="1" applyBorder="1" applyAlignment="1" applyProtection="1">
      <alignment horizontal="center" vertical="center"/>
    </xf>
    <xf numFmtId="169" fontId="23" fillId="3" borderId="6" xfId="16944" applyNumberFormat="1" applyFont="1" applyFill="1" applyBorder="1" applyAlignment="1" applyProtection="1">
      <alignment horizontal="left" wrapText="1" shrinkToFit="1"/>
      <protection locked="0"/>
    </xf>
    <xf numFmtId="169" fontId="23" fillId="3" borderId="6" xfId="16944" applyNumberFormat="1" applyFont="1" applyFill="1" applyBorder="1" applyAlignment="1" applyProtection="1">
      <alignment horizontal="center" wrapText="1" shrinkToFit="1"/>
      <protection locked="0"/>
    </xf>
    <xf numFmtId="0" fontId="23" fillId="0" borderId="6" xfId="16944" applyNumberFormat="1" applyFont="1" applyFill="1" applyBorder="1" applyAlignment="1" applyProtection="1">
      <alignment horizontal="center"/>
    </xf>
    <xf numFmtId="0" fontId="23" fillId="0" borderId="0" xfId="16944" quotePrefix="1" applyNumberFormat="1" applyFont="1" applyFill="1" applyBorder="1" applyAlignment="1" applyProtection="1">
      <alignment horizontal="center"/>
    </xf>
    <xf numFmtId="0" fontId="177" fillId="0" borderId="496" xfId="795" quotePrefix="1" applyBorder="1" applyAlignment="1" applyProtection="1">
      <alignment horizontal="left"/>
    </xf>
    <xf numFmtId="0" fontId="0" fillId="0" borderId="0" xfId="0"/>
    <xf numFmtId="49" fontId="0" fillId="0" borderId="539" xfId="0" applyNumberFormat="1" applyFont="1" applyBorder="1" applyAlignment="1" applyProtection="1">
      <alignment horizontal="left" vertical="center" wrapText="1"/>
    </xf>
    <xf numFmtId="0" fontId="0" fillId="0" borderId="0" xfId="16944" applyFont="1" applyAlignment="1" applyProtection="1">
      <alignment wrapText="1"/>
    </xf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432" xfId="0" applyNumberFormat="1" applyFont="1" applyFill="1" applyBorder="1" applyAlignment="1" applyProtection="1">
      <alignment horizontal="center" vertical="center" wrapText="1"/>
    </xf>
    <xf numFmtId="49" fontId="65" fillId="0" borderId="157" xfId="0" applyNumberFormat="1" applyFont="1" applyFill="1" applyBorder="1" applyAlignment="1" applyProtection="1">
      <alignment horizontal="center" vertical="center" wrapText="1"/>
    </xf>
    <xf numFmtId="175" fontId="65" fillId="0" borderId="66" xfId="0" applyNumberFormat="1" applyFont="1" applyFill="1" applyBorder="1" applyAlignment="1" applyProtection="1">
      <alignment horizontal="center" vertical="center" wrapText="1" shrinkToFit="1"/>
    </xf>
    <xf numFmtId="49" fontId="72" fillId="0" borderId="540" xfId="0" applyNumberFormat="1" applyFont="1" applyFill="1" applyBorder="1" applyAlignment="1" applyProtection="1">
      <alignment horizontal="center" vertical="center" wrapText="1"/>
    </xf>
    <xf numFmtId="175" fontId="72" fillId="0" borderId="541" xfId="0" applyNumberFormat="1" applyFont="1" applyFill="1" applyBorder="1" applyAlignment="1" applyProtection="1">
      <alignment horizontal="center" vertical="center" wrapText="1" shrinkToFit="1"/>
    </xf>
    <xf numFmtId="180" fontId="23" fillId="0" borderId="64" xfId="0" applyNumberFormat="1" applyFont="1" applyFill="1" applyBorder="1" applyAlignment="1" applyProtection="1">
      <alignment horizontal="center" vertical="center" wrapText="1" shrinkToFit="1"/>
    </xf>
    <xf numFmtId="0" fontId="127" fillId="0" borderId="442" xfId="0" applyNumberFormat="1" applyFont="1" applyBorder="1" applyProtection="1"/>
    <xf numFmtId="0" fontId="127" fillId="24" borderId="442" xfId="0" applyNumberFormat="1" applyFont="1" applyFill="1" applyBorder="1" applyProtection="1"/>
    <xf numFmtId="49" fontId="23" fillId="24" borderId="14" xfId="0" applyNumberFormat="1" applyFont="1" applyFill="1" applyBorder="1" applyAlignment="1" applyProtection="1">
      <alignment horizontal="left" wrapText="1" shrinkToFit="1"/>
    </xf>
    <xf numFmtId="180" fontId="23" fillId="0" borderId="206" xfId="0" applyNumberFormat="1" applyFont="1" applyFill="1" applyBorder="1" applyAlignment="1" applyProtection="1">
      <alignment horizontal="center" vertical="center" wrapText="1" shrinkToFit="1"/>
    </xf>
    <xf numFmtId="180" fontId="23" fillId="0" borderId="542" xfId="0" applyNumberFormat="1" applyFont="1" applyFill="1" applyBorder="1" applyAlignment="1" applyProtection="1">
      <alignment horizontal="center" vertical="center" wrapText="1" shrinkToFit="1"/>
    </xf>
    <xf numFmtId="0" fontId="25" fillId="6" borderId="131" xfId="0" applyNumberFormat="1" applyFont="1" applyFill="1" applyBorder="1" applyAlignment="1" applyProtection="1">
      <alignment horizontal="center" vertical="center" wrapText="1"/>
    </xf>
    <xf numFmtId="0" fontId="0" fillId="29" borderId="113" xfId="0" applyFill="1" applyBorder="1"/>
    <xf numFmtId="0" fontId="0" fillId="29" borderId="0" xfId="0" applyFill="1" applyAlignment="1">
      <alignment vertical="center" wrapText="1"/>
    </xf>
    <xf numFmtId="0" fontId="0" fillId="29" borderId="113" xfId="0" applyFill="1" applyBorder="1" applyAlignment="1">
      <alignment vertical="center" wrapText="1"/>
    </xf>
    <xf numFmtId="49" fontId="23" fillId="0" borderId="505" xfId="0" applyNumberFormat="1" applyFont="1" applyFill="1" applyBorder="1" applyAlignment="1" applyProtection="1">
      <alignment horizontal="center" wrapText="1" shrinkToFit="1"/>
    </xf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0" fontId="25" fillId="9" borderId="36" xfId="0" applyNumberFormat="1" applyFont="1" applyFill="1" applyBorder="1" applyAlignment="1" applyProtection="1">
      <alignment horizontal="center" vertical="center" wrapText="1"/>
    </xf>
    <xf numFmtId="169" fontId="24" fillId="0" borderId="485" xfId="0" applyNumberFormat="1" applyFont="1" applyFill="1" applyBorder="1" applyAlignment="1" applyProtection="1">
      <alignment horizontal="center" vertical="center" wrapText="1"/>
    </xf>
    <xf numFmtId="0" fontId="25" fillId="2" borderId="485" xfId="0" applyNumberFormat="1" applyFont="1" applyFill="1" applyBorder="1" applyAlignment="1" applyProtection="1">
      <alignment horizontal="center" vertical="center" wrapText="1"/>
    </xf>
    <xf numFmtId="0" fontId="32" fillId="0" borderId="485" xfId="0" applyFont="1" applyFill="1" applyBorder="1" applyAlignment="1" applyProtection="1">
      <alignment horizontal="left" vertical="top"/>
    </xf>
    <xf numFmtId="0" fontId="0" fillId="0" borderId="485" xfId="0" applyBorder="1" applyAlignment="1" applyProtection="1">
      <alignment wrapText="1"/>
    </xf>
    <xf numFmtId="169" fontId="24" fillId="4" borderId="485" xfId="0" applyNumberFormat="1" applyFont="1" applyFill="1" applyBorder="1" applyAlignment="1" applyProtection="1">
      <alignment horizontal="center" vertical="center" wrapText="1"/>
      <protection locked="0"/>
    </xf>
    <xf numFmtId="49" fontId="25" fillId="2" borderId="12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108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25" fillId="2" borderId="108" xfId="0" applyNumberFormat="1" applyFont="1" applyFill="1" applyBorder="1" applyAlignment="1" applyProtection="1">
      <alignment horizontal="center" vertical="center" wrapText="1"/>
    </xf>
    <xf numFmtId="0" fontId="25" fillId="2" borderId="125" xfId="0" applyNumberFormat="1" applyFont="1" applyFill="1" applyBorder="1" applyAlignment="1" applyProtection="1">
      <alignment horizontal="center" vertical="center" wrapText="1"/>
    </xf>
    <xf numFmtId="0" fontId="25" fillId="2" borderId="529" xfId="0" applyNumberFormat="1" applyFont="1" applyFill="1" applyBorder="1" applyAlignment="1" applyProtection="1">
      <alignment horizontal="center" vertical="center" wrapText="1"/>
    </xf>
    <xf numFmtId="0" fontId="25" fillId="2" borderId="543" xfId="0" applyNumberFormat="1" applyFont="1" applyFill="1" applyBorder="1" applyAlignment="1" applyProtection="1">
      <alignment horizontal="center" vertical="center" wrapText="1"/>
    </xf>
    <xf numFmtId="169" fontId="23" fillId="0" borderId="464" xfId="0" applyNumberFormat="1" applyFont="1" applyFill="1" applyBorder="1" applyAlignment="1" applyProtection="1">
      <alignment horizontal="right"/>
    </xf>
    <xf numFmtId="0" fontId="34" fillId="14" borderId="110" xfId="0" applyNumberFormat="1" applyFont="1" applyFill="1" applyBorder="1" applyAlignment="1" applyProtection="1">
      <alignment horizontal="left" vertical="center" wrapText="1"/>
    </xf>
    <xf numFmtId="49" fontId="34" fillId="14" borderId="21" xfId="0" applyNumberFormat="1" applyFont="1" applyFill="1" applyBorder="1" applyAlignment="1" applyProtection="1">
      <alignment horizontal="left" vertical="center" wrapText="1"/>
    </xf>
    <xf numFmtId="0" fontId="25" fillId="2" borderId="3" xfId="0" applyNumberFormat="1" applyFont="1" applyFill="1" applyBorder="1" applyAlignment="1" applyProtection="1">
      <alignment horizontal="center" vertical="center" wrapText="1"/>
    </xf>
    <xf numFmtId="49" fontId="25" fillId="2" borderId="178" xfId="0" applyNumberFormat="1" applyFont="1" applyFill="1" applyBorder="1" applyAlignment="1" applyProtection="1">
      <alignment horizontal="center" vertical="center" wrapText="1"/>
    </xf>
    <xf numFmtId="49" fontId="29" fillId="3" borderId="158" xfId="0" applyNumberFormat="1" applyFont="1" applyFill="1" applyBorder="1" applyAlignment="1" applyProtection="1">
      <alignment horizontal="left" vertical="center"/>
      <protection locked="0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1" fontId="0" fillId="67" borderId="113" xfId="0" applyNumberFormat="1" applyFill="1" applyBorder="1" applyAlignment="1" applyProtection="1">
      <alignment vertical="center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49" fontId="25" fillId="2" borderId="428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0" fontId="0" fillId="0" borderId="113" xfId="4146" applyFont="1" applyFill="1" applyBorder="1" applyAlignment="1">
      <alignment vertical="center" wrapText="1"/>
    </xf>
    <xf numFmtId="0" fontId="24" fillId="141" borderId="0" xfId="0" applyNumberFormat="1" applyFont="1" applyFill="1" applyAlignment="1" applyProtection="1">
      <alignment horizontal="center" vertical="center" wrapText="1"/>
    </xf>
    <xf numFmtId="0" fontId="23" fillId="24" borderId="0" xfId="0" applyNumberFormat="1" applyFont="1" applyFill="1" applyAlignment="1" applyProtection="1">
      <alignment vertical="center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>
      <alignment horizontal="center"/>
    </xf>
    <xf numFmtId="0" fontId="44" fillId="0" borderId="544" xfId="0" applyFont="1" applyBorder="1" applyAlignment="1">
      <alignment horizontal="left"/>
    </xf>
    <xf numFmtId="3" fontId="135" fillId="0" borderId="533" xfId="0" applyNumberFormat="1" applyFont="1" applyBorder="1" applyAlignment="1">
      <alignment horizontal="center"/>
    </xf>
    <xf numFmtId="0" fontId="21" fillId="24" borderId="113" xfId="0" applyFont="1" applyFill="1" applyBorder="1"/>
    <xf numFmtId="174" fontId="23" fillId="142" borderId="265" xfId="0" applyNumberFormat="1" applyFont="1" applyFill="1" applyBorder="1" applyAlignment="1" applyProtection="1">
      <alignment horizontal="center" vertical="center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0" fillId="29" borderId="113" xfId="0" applyFill="1" applyBorder="1" applyAlignment="1">
      <alignment wrapText="1"/>
    </xf>
    <xf numFmtId="0" fontId="25" fillId="9" borderId="36" xfId="0" applyNumberFormat="1" applyFont="1" applyFill="1" applyBorder="1" applyAlignment="1" applyProtection="1">
      <alignment horizontal="center" vertical="center" wrapText="1"/>
    </xf>
    <xf numFmtId="0" fontId="25" fillId="9" borderId="28" xfId="0" applyNumberFormat="1" applyFont="1" applyFill="1" applyBorder="1" applyAlignment="1" applyProtection="1">
      <alignment horizontal="center" vertical="center" wrapText="1"/>
    </xf>
    <xf numFmtId="0" fontId="25" fillId="9" borderId="28" xfId="0" applyNumberFormat="1" applyFont="1" applyFill="1" applyBorder="1" applyAlignment="1" applyProtection="1">
      <alignment horizontal="center" vertical="center" wrapText="1"/>
    </xf>
    <xf numFmtId="49" fontId="23" fillId="7" borderId="545" xfId="0" applyNumberFormat="1" applyFont="1" applyFill="1" applyBorder="1" applyAlignment="1">
      <alignment horizontal="right" vertical="top" wrapText="1"/>
    </xf>
    <xf numFmtId="49" fontId="23" fillId="7" borderId="546" xfId="0" applyNumberFormat="1" applyFont="1" applyFill="1" applyBorder="1" applyAlignment="1">
      <alignment horizontal="right" vertical="top" wrapText="1"/>
    </xf>
    <xf numFmtId="0" fontId="23" fillId="0" borderId="113" xfId="0" applyNumberFormat="1" applyFont="1" applyBorder="1" applyProtection="1"/>
    <xf numFmtId="0" fontId="130" fillId="0" borderId="113" xfId="0" applyNumberFormat="1" applyFont="1" applyFill="1" applyBorder="1" applyAlignment="1" applyProtection="1">
      <alignment horizontal="center" vertical="center"/>
    </xf>
    <xf numFmtId="0" fontId="65" fillId="0" borderId="0" xfId="0" applyNumberFormat="1" applyFont="1" applyAlignment="1" applyProtection="1">
      <alignment vertical="top" wrapText="1"/>
    </xf>
    <xf numFmtId="0" fontId="25" fillId="2" borderId="529" xfId="0" applyNumberFormat="1" applyFont="1" applyFill="1" applyBorder="1" applyAlignment="1" applyProtection="1">
      <alignment horizontal="center" vertical="center" wrapText="1"/>
    </xf>
    <xf numFmtId="0" fontId="25" fillId="2" borderId="36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2" fillId="0" borderId="0" xfId="0" applyFont="1" applyAlignment="1">
      <alignment vertical="center" wrapText="1"/>
    </xf>
    <xf numFmtId="49" fontId="29" fillId="3" borderId="547" xfId="0" applyNumberFormat="1" applyFont="1" applyFill="1" applyBorder="1" applyAlignment="1" applyProtection="1">
      <alignment horizontal="left" vertical="top" wrapText="1"/>
      <protection locked="0"/>
    </xf>
    <xf numFmtId="49" fontId="38" fillId="3" borderId="226" xfId="0" applyNumberFormat="1" applyFont="1" applyFill="1" applyBorder="1" applyAlignment="1" applyProtection="1">
      <alignment horizontal="left" vertical="center" wrapText="1"/>
      <protection locked="0"/>
    </xf>
    <xf numFmtId="49" fontId="38" fillId="3" borderId="548" xfId="0" applyNumberFormat="1" applyFont="1" applyFill="1" applyBorder="1" applyAlignment="1" applyProtection="1">
      <alignment horizontal="left" vertical="center" wrapText="1"/>
      <protection locked="0"/>
    </xf>
    <xf numFmtId="0" fontId="38" fillId="0" borderId="226" xfId="0" applyNumberFormat="1" applyFont="1" applyFill="1" applyBorder="1" applyAlignment="1" applyProtection="1">
      <alignment horizontal="center"/>
    </xf>
    <xf numFmtId="0" fontId="38" fillId="0" borderId="548" xfId="0" applyNumberFormat="1" applyFont="1" applyFill="1" applyBorder="1" applyAlignment="1" applyProtection="1">
      <alignment horizontal="center"/>
    </xf>
    <xf numFmtId="49" fontId="38" fillId="3" borderId="549" xfId="0" applyNumberFormat="1" applyFont="1" applyFill="1" applyBorder="1" applyAlignment="1" applyProtection="1">
      <alignment horizontal="left" vertical="center" wrapText="1"/>
      <protection locked="0"/>
    </xf>
    <xf numFmtId="0" fontId="78" fillId="0" borderId="64" xfId="0" applyNumberFormat="1" applyFont="1" applyFill="1" applyBorder="1" applyAlignment="1" applyProtection="1">
      <alignment horizontal="center" vertical="center"/>
    </xf>
    <xf numFmtId="49" fontId="29" fillId="0" borderId="64" xfId="0" applyNumberFormat="1" applyFont="1" applyFill="1" applyBorder="1" applyAlignment="1" applyProtection="1">
      <alignment horizontal="center" vertical="center" wrapText="1"/>
    </xf>
    <xf numFmtId="49" fontId="29" fillId="3" borderId="64" xfId="0" applyNumberFormat="1" applyFont="1" applyFill="1" applyBorder="1" applyAlignment="1" applyProtection="1">
      <alignment horizontal="left" vertical="top" wrapText="1"/>
      <protection locked="0"/>
    </xf>
    <xf numFmtId="49" fontId="29" fillId="3" borderId="402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/>
    <xf numFmtId="0" fontId="25" fillId="6" borderId="131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5" fillId="2" borderId="432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76" fillId="0" borderId="0" xfId="0" applyNumberFormat="1" applyFont="1" applyFill="1" applyAlignment="1" applyProtection="1"/>
    <xf numFmtId="0" fontId="28" fillId="0" borderId="0" xfId="0" applyNumberFormat="1" applyFont="1" applyFill="1" applyBorder="1" applyAlignment="1" applyProtection="1"/>
    <xf numFmtId="173" fontId="0" fillId="0" borderId="0" xfId="0" applyNumberFormat="1"/>
    <xf numFmtId="49" fontId="25" fillId="2" borderId="550" xfId="0" applyNumberFormat="1" applyFont="1" applyFill="1" applyBorder="1" applyAlignment="1" applyProtection="1">
      <alignment horizontal="center" vertical="center" wrapText="1"/>
    </xf>
    <xf numFmtId="49" fontId="25" fillId="6" borderId="550" xfId="0" applyNumberFormat="1" applyFont="1" applyFill="1" applyBorder="1" applyAlignment="1" applyProtection="1">
      <alignment horizontal="center" vertical="center" wrapText="1"/>
    </xf>
    <xf numFmtId="0" fontId="127" fillId="0" borderId="0" xfId="0" applyNumberFormat="1" applyFont="1" applyFill="1" applyAlignment="1" applyProtection="1"/>
    <xf numFmtId="0" fontId="70" fillId="0" borderId="442" xfId="0" applyNumberFormat="1" applyFont="1" applyFill="1" applyBorder="1" applyAlignment="1" applyProtection="1">
      <alignment horizontal="center" vertical="center"/>
    </xf>
    <xf numFmtId="0" fontId="130" fillId="0" borderId="0" xfId="0" applyNumberFormat="1" applyFont="1" applyFill="1" applyAlignment="1" applyProtection="1">
      <alignment horizontal="center" vertical="center"/>
    </xf>
    <xf numFmtId="175" fontId="126" fillId="3" borderId="136" xfId="0" applyNumberFormat="1" applyFont="1" applyFill="1" applyBorder="1" applyAlignment="1" applyProtection="1">
      <alignment horizontal="right" vertical="center" wrapText="1" shrinkToFit="1"/>
      <protection locked="0"/>
    </xf>
    <xf numFmtId="49" fontId="126" fillId="3" borderId="6" xfId="0" applyNumberFormat="1" applyFont="1" applyFill="1" applyBorder="1" applyAlignment="1" applyProtection="1">
      <alignment horizontal="left" vertical="top" wrapText="1"/>
      <protection locked="0"/>
    </xf>
    <xf numFmtId="49" fontId="126" fillId="3" borderId="136" xfId="0" applyNumberFormat="1" applyFont="1" applyFill="1" applyBorder="1" applyAlignment="1" applyProtection="1">
      <alignment horizontal="left" vertical="center" wrapText="1"/>
      <protection locked="0"/>
    </xf>
    <xf numFmtId="14" fontId="126" fillId="3" borderId="136" xfId="0" applyNumberFormat="1" applyFont="1" applyFill="1" applyBorder="1" applyAlignment="1" applyProtection="1">
      <alignment vertical="center" wrapText="1"/>
      <protection locked="0"/>
    </xf>
    <xf numFmtId="49" fontId="126" fillId="3" borderId="158" xfId="0" applyNumberFormat="1" applyFont="1" applyFill="1" applyBorder="1" applyAlignment="1" applyProtection="1">
      <alignment horizontal="left" vertical="center" wrapText="1"/>
      <protection locked="0"/>
    </xf>
    <xf numFmtId="169" fontId="126" fillId="3" borderId="136" xfId="0" applyNumberFormat="1" applyFont="1" applyFill="1" applyBorder="1" applyAlignment="1" applyProtection="1">
      <alignment horizontal="right" wrapText="1" shrinkToFit="1"/>
      <protection locked="0"/>
    </xf>
    <xf numFmtId="175" fontId="126" fillId="3" borderId="381" xfId="0" applyNumberFormat="1" applyFont="1" applyFill="1" applyBorder="1" applyAlignment="1" applyProtection="1">
      <alignment horizontal="right" vertical="center" wrapText="1" shrinkToFit="1"/>
      <protection locked="0"/>
    </xf>
    <xf numFmtId="49" fontId="126" fillId="3" borderId="551" xfId="0" applyNumberFormat="1" applyFont="1" applyFill="1" applyBorder="1" applyAlignment="1" applyProtection="1">
      <alignment horizontal="left" vertical="center" wrapText="1"/>
      <protection locked="0"/>
    </xf>
    <xf numFmtId="49" fontId="126" fillId="3" borderId="41" xfId="0" applyNumberFormat="1" applyFont="1" applyFill="1" applyBorder="1" applyAlignment="1" applyProtection="1">
      <alignment horizontal="left" vertical="top" wrapText="1"/>
      <protection locked="0"/>
    </xf>
    <xf numFmtId="49" fontId="126" fillId="3" borderId="503" xfId="0" applyNumberFormat="1" applyFont="1" applyFill="1" applyBorder="1" applyAlignment="1" applyProtection="1">
      <alignment horizontal="left" vertical="center"/>
      <protection locked="0"/>
    </xf>
    <xf numFmtId="49" fontId="126" fillId="3" borderId="503" xfId="0" applyNumberFormat="1" applyFont="1" applyFill="1" applyBorder="1" applyAlignment="1" applyProtection="1">
      <alignment horizontal="left" vertical="center" wrapText="1"/>
      <protection locked="0"/>
    </xf>
    <xf numFmtId="169" fontId="126" fillId="3" borderId="381" xfId="0" applyNumberFormat="1" applyFont="1" applyFill="1" applyBorder="1" applyAlignment="1" applyProtection="1">
      <alignment horizontal="right" wrapText="1" shrinkToFit="1"/>
      <protection locked="0"/>
    </xf>
    <xf numFmtId="14" fontId="126" fillId="3" borderId="381" xfId="0" applyNumberFormat="1" applyFont="1" applyFill="1" applyBorder="1" applyAlignment="1" applyProtection="1">
      <alignment vertical="center" wrapText="1"/>
      <protection locked="0"/>
    </xf>
    <xf numFmtId="14" fontId="24" fillId="0" borderId="0" xfId="0" applyNumberFormat="1" applyFont="1" applyFill="1" applyBorder="1" applyAlignment="1" applyProtection="1">
      <alignment horizontal="left" vertical="center" wrapText="1"/>
    </xf>
    <xf numFmtId="0" fontId="23" fillId="0" borderId="552" xfId="0" applyFont="1" applyFill="1" applyBorder="1" applyAlignment="1">
      <alignment horizontal="left" vertical="center"/>
    </xf>
    <xf numFmtId="0" fontId="0" fillId="0" borderId="0" xfId="0"/>
    <xf numFmtId="0" fontId="25" fillId="2" borderId="36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38" fillId="3" borderId="553" xfId="0" applyNumberFormat="1" applyFont="1" applyFill="1" applyBorder="1" applyAlignment="1" applyProtection="1">
      <alignment horizontal="left" vertical="center" wrapText="1"/>
      <protection locked="0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49" fontId="38" fillId="3" borderId="554" xfId="0" applyNumberFormat="1" applyFont="1" applyFill="1" applyBorder="1" applyAlignment="1" applyProtection="1">
      <alignment horizontal="left" vertical="center" wrapText="1"/>
      <protection locked="0"/>
    </xf>
    <xf numFmtId="0" fontId="137" fillId="0" borderId="0" xfId="0" applyNumberFormat="1" applyFont="1" applyFill="1" applyAlignment="1" applyProtection="1"/>
    <xf numFmtId="0" fontId="177" fillId="0" borderId="456" xfId="795" applyBorder="1" applyAlignment="1" applyProtection="1">
      <alignment horizontal="left"/>
    </xf>
    <xf numFmtId="49" fontId="32" fillId="143" borderId="428" xfId="0" applyNumberFormat="1" applyFont="1" applyFill="1" applyBorder="1" applyAlignment="1" applyProtection="1">
      <alignment horizontal="center" vertical="center" wrapText="1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49" fontId="25" fillId="9" borderId="108" xfId="0" applyNumberFormat="1" applyFont="1" applyFill="1" applyBorder="1" applyAlignment="1" applyProtection="1">
      <alignment horizontal="center" vertical="center" wrapText="1"/>
    </xf>
    <xf numFmtId="0" fontId="25" fillId="9" borderId="360" xfId="0" applyNumberFormat="1" applyFont="1" applyFill="1" applyBorder="1" applyAlignment="1" applyProtection="1">
      <alignment horizontal="center" vertical="center" wrapText="1"/>
    </xf>
    <xf numFmtId="175" fontId="132" fillId="0" borderId="0" xfId="0" applyNumberFormat="1" applyFont="1" applyProtection="1"/>
    <xf numFmtId="49" fontId="25" fillId="2" borderId="428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48" fillId="0" borderId="113" xfId="0" applyFont="1" applyFill="1" applyBorder="1" applyAlignment="1" applyProtection="1">
      <alignment horizontal="center" vertical="center"/>
    </xf>
    <xf numFmtId="0" fontId="48" fillId="0" borderId="0" xfId="0" applyFont="1" applyFill="1" applyAlignment="1" applyProtection="1">
      <alignment vertical="center"/>
    </xf>
    <xf numFmtId="0" fontId="275" fillId="2" borderId="192" xfId="0" applyNumberFormat="1" applyFont="1" applyFill="1" applyBorder="1" applyAlignment="1" applyProtection="1">
      <alignment horizontal="center" vertical="center" wrapText="1"/>
    </xf>
    <xf numFmtId="0" fontId="275" fillId="2" borderId="0" xfId="0" applyNumberFormat="1" applyFont="1" applyFill="1" applyBorder="1" applyAlignment="1" applyProtection="1">
      <alignment horizontal="center" vertical="center" wrapText="1"/>
    </xf>
    <xf numFmtId="0" fontId="275" fillId="2" borderId="76" xfId="0" applyNumberFormat="1" applyFont="1" applyFill="1" applyBorder="1" applyAlignment="1" applyProtection="1">
      <alignment horizontal="center" vertical="center" wrapText="1"/>
    </xf>
    <xf numFmtId="49" fontId="275" fillId="2" borderId="49" xfId="0" applyNumberFormat="1" applyFont="1" applyFill="1" applyBorder="1" applyAlignment="1" applyProtection="1">
      <alignment horizontal="center" vertical="center" wrapText="1"/>
    </xf>
    <xf numFmtId="0" fontId="275" fillId="2" borderId="176" xfId="0" applyNumberFormat="1" applyFont="1" applyFill="1" applyBorder="1" applyAlignment="1" applyProtection="1">
      <alignment horizontal="center" vertical="center" wrapText="1"/>
    </xf>
    <xf numFmtId="49" fontId="275" fillId="2" borderId="28" xfId="0" applyNumberFormat="1" applyFont="1" applyFill="1" applyBorder="1" applyAlignment="1" applyProtection="1">
      <alignment horizontal="center" vertical="center" wrapText="1"/>
    </xf>
    <xf numFmtId="49" fontId="280" fillId="2" borderId="8" xfId="0" applyNumberFormat="1" applyFont="1" applyFill="1" applyBorder="1" applyAlignment="1" applyProtection="1">
      <alignment horizontal="center"/>
    </xf>
    <xf numFmtId="0" fontId="126" fillId="19" borderId="437" xfId="0" applyNumberFormat="1" applyFont="1" applyFill="1" applyBorder="1" applyAlignment="1" applyProtection="1">
      <alignment horizontal="left" vertical="center" wrapText="1"/>
    </xf>
    <xf numFmtId="0" fontId="126" fillId="19" borderId="290" xfId="0" applyNumberFormat="1" applyFont="1" applyFill="1" applyBorder="1" applyAlignment="1" applyProtection="1">
      <alignment horizontal="left" vertical="center" wrapText="1"/>
    </xf>
    <xf numFmtId="0" fontId="126" fillId="19" borderId="558" xfId="0" applyNumberFormat="1" applyFont="1" applyFill="1" applyBorder="1" applyAlignment="1" applyProtection="1">
      <alignment horizontal="left" vertical="center" wrapText="1"/>
    </xf>
    <xf numFmtId="0" fontId="23" fillId="19" borderId="559" xfId="0" applyNumberFormat="1" applyFont="1" applyFill="1" applyBorder="1" applyAlignment="1" applyProtection="1">
      <alignment horizontal="left" vertical="center" wrapText="1"/>
    </xf>
    <xf numFmtId="173" fontId="23" fillId="19" borderId="560" xfId="0" applyNumberFormat="1" applyFont="1" applyFill="1" applyBorder="1" applyAlignment="1" applyProtection="1">
      <alignment horizontal="center" vertical="center"/>
    </xf>
    <xf numFmtId="173" fontId="23" fillId="19" borderId="262" xfId="0" applyNumberFormat="1" applyFont="1" applyFill="1" applyBorder="1" applyAlignment="1" applyProtection="1">
      <alignment horizontal="center" vertical="center"/>
    </xf>
    <xf numFmtId="173" fontId="23" fillId="19" borderId="263" xfId="0" applyNumberFormat="1" applyFont="1" applyFill="1" applyBorder="1" applyAlignment="1" applyProtection="1">
      <alignment horizontal="center" vertical="center"/>
    </xf>
    <xf numFmtId="0" fontId="23" fillId="19" borderId="291" xfId="0" applyNumberFormat="1" applyFont="1" applyFill="1" applyBorder="1" applyAlignment="1" applyProtection="1">
      <alignment horizontal="left" vertical="center" wrapText="1"/>
    </xf>
    <xf numFmtId="173" fontId="23" fillId="19" borderId="291" xfId="0" applyNumberFormat="1" applyFont="1" applyFill="1" applyBorder="1" applyAlignment="1" applyProtection="1">
      <alignment horizontal="center" vertical="center"/>
    </xf>
    <xf numFmtId="175" fontId="21" fillId="0" borderId="561" xfId="0" applyNumberFormat="1" applyFont="1" applyBorder="1" applyAlignment="1" applyProtection="1">
      <alignment horizontal="center" vertical="center" wrapText="1"/>
    </xf>
    <xf numFmtId="0" fontId="281" fillId="0" borderId="0" xfId="0" applyFont="1" applyAlignment="1" applyProtection="1">
      <alignment vertical="center"/>
    </xf>
    <xf numFmtId="49" fontId="139" fillId="2" borderId="28" xfId="0" applyNumberFormat="1" applyFont="1" applyFill="1" applyBorder="1" applyAlignment="1" applyProtection="1">
      <alignment horizontal="center" vertical="center" wrapText="1"/>
    </xf>
    <xf numFmtId="0" fontId="0" fillId="0" borderId="563" xfId="0" applyBorder="1" applyAlignment="1">
      <alignment horizontal="center" vertical="center" wrapText="1"/>
    </xf>
    <xf numFmtId="0" fontId="0" fillId="0" borderId="564" xfId="0" applyBorder="1" applyAlignment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25" fillId="6" borderId="3" xfId="0" applyNumberFormat="1" applyFont="1" applyFill="1" applyBorder="1" applyAlignment="1" applyProtection="1">
      <alignment horizontal="center" vertical="center" wrapText="1"/>
    </xf>
    <xf numFmtId="49" fontId="280" fillId="2" borderId="529" xfId="0" applyNumberFormat="1" applyFont="1" applyFill="1" applyBorder="1" applyAlignment="1" applyProtection="1">
      <alignment horizontal="center" vertical="center"/>
    </xf>
    <xf numFmtId="0" fontId="139" fillId="2" borderId="0" xfId="0" applyNumberFormat="1" applyFont="1" applyFill="1" applyBorder="1" applyAlignment="1" applyProtection="1">
      <alignment horizontal="center" vertical="center" wrapText="1"/>
    </xf>
    <xf numFmtId="0" fontId="0" fillId="0" borderId="0" xfId="4200" applyFont="1" applyAlignment="1">
      <alignment vertical="center" wrapText="1"/>
    </xf>
    <xf numFmtId="0" fontId="18" fillId="10" borderId="0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49" fontId="71" fillId="0" borderId="113" xfId="0" applyNumberFormat="1" applyFont="1" applyFill="1" applyBorder="1" applyAlignment="1" applyProtection="1">
      <alignment horizontal="center" vertical="center" wrapText="1"/>
    </xf>
    <xf numFmtId="49" fontId="23" fillId="0" borderId="393" xfId="0" applyNumberFormat="1" applyFont="1" applyFill="1" applyBorder="1" applyAlignment="1" applyProtection="1">
      <alignment vertical="center" wrapText="1"/>
    </xf>
    <xf numFmtId="169" fontId="23" fillId="3" borderId="565" xfId="0" applyNumberFormat="1" applyFont="1" applyFill="1" applyBorder="1" applyAlignment="1" applyProtection="1">
      <alignment horizontal="right" wrapText="1" shrinkToFit="1"/>
      <protection locked="0"/>
    </xf>
    <xf numFmtId="0" fontId="57" fillId="0" borderId="505" xfId="0" applyNumberFormat="1" applyFont="1" applyBorder="1" applyAlignment="1">
      <alignment horizontal="left" wrapText="1"/>
    </xf>
    <xf numFmtId="0" fontId="23" fillId="0" borderId="0" xfId="0" applyFont="1" applyBorder="1" applyAlignment="1" applyProtection="1">
      <alignment horizontal="center"/>
    </xf>
    <xf numFmtId="0" fontId="0" fillId="0" borderId="0" xfId="0"/>
    <xf numFmtId="49" fontId="23" fillId="0" borderId="214" xfId="0" applyNumberFormat="1" applyFont="1" applyFill="1" applyBorder="1" applyAlignment="1" applyProtection="1">
      <alignment horizontal="left" vertical="center" wrapText="1"/>
    </xf>
    <xf numFmtId="49" fontId="23" fillId="3" borderId="213" xfId="0" applyNumberFormat="1" applyFont="1" applyFill="1" applyBorder="1" applyAlignment="1" applyProtection="1">
      <alignment vertical="center" wrapText="1"/>
      <protection locked="0"/>
    </xf>
    <xf numFmtId="49" fontId="0" fillId="24" borderId="198" xfId="0" applyNumberFormat="1" applyFont="1" applyFill="1" applyBorder="1" applyAlignment="1" applyProtection="1">
      <alignment horizontal="left" vertical="center" wrapText="1"/>
    </xf>
    <xf numFmtId="0" fontId="101" fillId="0" borderId="442" xfId="0" applyFont="1" applyFill="1" applyBorder="1" applyAlignment="1" applyProtection="1">
      <alignment wrapText="1"/>
    </xf>
    <xf numFmtId="49" fontId="0" fillId="24" borderId="539" xfId="0" applyNumberFormat="1" applyFont="1" applyFill="1" applyBorder="1" applyAlignment="1" applyProtection="1">
      <alignment horizontal="left" vertical="center" wrapText="1" indent="1"/>
    </xf>
    <xf numFmtId="0" fontId="0" fillId="24" borderId="199" xfId="0" applyFont="1" applyFill="1" applyBorder="1" applyAlignment="1" applyProtection="1">
      <alignment horizontal="center" vertical="center" wrapText="1"/>
    </xf>
    <xf numFmtId="49" fontId="0" fillId="24" borderId="539" xfId="0" applyNumberFormat="1" applyFont="1" applyFill="1" applyBorder="1" applyAlignment="1" applyProtection="1">
      <alignment horizontal="left" vertical="center" wrapText="1"/>
    </xf>
    <xf numFmtId="49" fontId="0" fillId="24" borderId="539" xfId="0" applyNumberFormat="1" applyFont="1" applyFill="1" applyBorder="1" applyAlignment="1" applyProtection="1">
      <alignment horizontal="left" vertical="center" wrapText="1" indent="3"/>
    </xf>
    <xf numFmtId="0" fontId="0" fillId="24" borderId="533" xfId="0" applyFont="1" applyFill="1" applyBorder="1" applyAlignment="1" applyProtection="1">
      <alignment horizontal="center" vertical="center" wrapText="1"/>
    </xf>
    <xf numFmtId="172" fontId="23" fillId="24" borderId="199" xfId="0" applyNumberFormat="1" applyFont="1" applyFill="1" applyBorder="1" applyAlignment="1" applyProtection="1">
      <alignment vertical="center" wrapText="1" shrinkToFit="1"/>
    </xf>
    <xf numFmtId="172" fontId="23" fillId="24" borderId="533" xfId="0" applyNumberFormat="1" applyFont="1" applyFill="1" applyBorder="1" applyAlignment="1" applyProtection="1">
      <alignment vertical="center" wrapText="1" shrinkToFit="1"/>
    </xf>
    <xf numFmtId="172" fontId="23" fillId="24" borderId="210" xfId="0" applyNumberFormat="1" applyFont="1" applyFill="1" applyBorder="1" applyAlignment="1" applyProtection="1">
      <alignment vertical="center" wrapText="1" shrinkToFit="1"/>
    </xf>
    <xf numFmtId="49" fontId="57" fillId="0" borderId="439" xfId="0" applyNumberFormat="1" applyFont="1" applyFill="1" applyBorder="1" applyAlignment="1" applyProtection="1">
      <alignment horizontal="left" vertical="center" wrapText="1"/>
    </xf>
    <xf numFmtId="0" fontId="177" fillId="0" borderId="405" xfId="795" quotePrefix="1" applyBorder="1" applyAlignment="1" applyProtection="1">
      <alignment horizontal="left"/>
    </xf>
    <xf numFmtId="0" fontId="0" fillId="0" borderId="0" xfId="0"/>
    <xf numFmtId="49" fontId="25" fillId="2" borderId="35" xfId="0" applyNumberFormat="1" applyFont="1" applyFill="1" applyBorder="1" applyAlignment="1" applyProtection="1">
      <alignment horizontal="center" vertical="center" wrapText="1"/>
    </xf>
    <xf numFmtId="0" fontId="22" fillId="0" borderId="442" xfId="0" applyNumberFormat="1" applyFont="1" applyFill="1" applyBorder="1" applyAlignment="1" applyProtection="1">
      <alignment wrapText="1"/>
    </xf>
    <xf numFmtId="0" fontId="75" fillId="0" borderId="273" xfId="0" applyNumberFormat="1" applyFont="1" applyFill="1" applyBorder="1" applyAlignment="1" applyProtection="1">
      <alignment horizontal="center" vertical="center" wrapText="1"/>
    </xf>
    <xf numFmtId="0" fontId="75" fillId="0" borderId="273" xfId="0" applyNumberFormat="1" applyFont="1" applyFill="1" applyBorder="1" applyAlignment="1" applyProtection="1">
      <alignment horizontal="center" vertical="center"/>
    </xf>
    <xf numFmtId="0" fontId="75" fillId="0" borderId="252" xfId="0" applyNumberFormat="1" applyFont="1" applyFill="1" applyBorder="1" applyAlignment="1" applyProtection="1">
      <alignment horizontal="center" vertical="center"/>
    </xf>
    <xf numFmtId="0" fontId="76" fillId="21" borderId="113" xfId="0" applyNumberFormat="1" applyFont="1" applyFill="1" applyBorder="1" applyAlignment="1" applyProtection="1">
      <alignment horizontal="left" vertical="center"/>
    </xf>
    <xf numFmtId="0" fontId="76" fillId="4" borderId="113" xfId="0" applyNumberFormat="1" applyFont="1" applyFill="1" applyBorder="1" applyAlignment="1" applyProtection="1">
      <alignment horizontal="left" vertical="center"/>
    </xf>
    <xf numFmtId="0" fontId="282" fillId="0" borderId="0" xfId="0" applyFont="1" applyAlignment="1">
      <alignment horizontal="left"/>
    </xf>
    <xf numFmtId="0" fontId="0" fillId="0" borderId="0" xfId="0" applyNumberFormat="1" applyAlignment="1">
      <alignment wrapText="1"/>
    </xf>
    <xf numFmtId="0" fontId="283" fillId="0" borderId="0" xfId="0" applyFont="1" applyAlignment="1" applyProtection="1">
      <alignment vertical="center"/>
    </xf>
    <xf numFmtId="0" fontId="132" fillId="2" borderId="12" xfId="0" applyNumberFormat="1" applyFont="1" applyFill="1" applyBorder="1" applyAlignment="1" applyProtection="1">
      <alignment horizontal="center" vertical="center" wrapText="1"/>
    </xf>
    <xf numFmtId="169" fontId="127" fillId="0" borderId="26" xfId="0" applyNumberFormat="1" applyFont="1" applyFill="1" applyBorder="1" applyAlignment="1" applyProtection="1">
      <alignment horizontal="right"/>
    </xf>
    <xf numFmtId="0" fontId="24" fillId="0" borderId="566" xfId="0" applyNumberFormat="1" applyFont="1" applyFill="1" applyBorder="1" applyAlignment="1" applyProtection="1">
      <alignment horizontal="left"/>
    </xf>
    <xf numFmtId="0" fontId="24" fillId="0" borderId="567" xfId="0" applyNumberFormat="1" applyFont="1" applyFill="1" applyBorder="1" applyAlignment="1" applyProtection="1">
      <alignment horizontal="left"/>
    </xf>
    <xf numFmtId="0" fontId="127" fillId="0" borderId="0" xfId="0" applyFont="1" applyFill="1" applyProtection="1"/>
    <xf numFmtId="0" fontId="129" fillId="24" borderId="0" xfId="0" applyFont="1" applyFill="1" applyAlignment="1" applyProtection="1">
      <alignment horizontal="right" vertical="center"/>
    </xf>
    <xf numFmtId="49" fontId="127" fillId="0" borderId="439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0" fontId="129" fillId="24" borderId="405" xfId="0" quotePrefix="1" applyFont="1" applyFill="1" applyBorder="1" applyAlignment="1" applyProtection="1">
      <alignment horizontal="left"/>
    </xf>
    <xf numFmtId="0" fontId="127" fillId="24" borderId="120" xfId="0" applyFont="1" applyFill="1" applyBorder="1" applyAlignment="1" applyProtection="1">
      <alignment vertical="center" wrapText="1"/>
    </xf>
    <xf numFmtId="49" fontId="54" fillId="0" borderId="313" xfId="0" applyNumberFormat="1" applyFont="1" applyFill="1" applyBorder="1" applyAlignment="1" applyProtection="1">
      <alignment horizontal="left" vertical="center" wrapText="1"/>
    </xf>
    <xf numFmtId="173" fontId="23" fillId="24" borderId="366" xfId="0" applyNumberFormat="1" applyFont="1" applyFill="1" applyBorder="1" applyAlignment="1" applyProtection="1">
      <alignment vertical="center"/>
    </xf>
    <xf numFmtId="0" fontId="23" fillId="0" borderId="25" xfId="0" quotePrefix="1" applyFont="1" applyFill="1" applyBorder="1" applyAlignment="1">
      <alignment horizontal="left" vertical="center"/>
    </xf>
    <xf numFmtId="0" fontId="27" fillId="0" borderId="0" xfId="0" quotePrefix="1" applyFont="1" applyProtection="1"/>
    <xf numFmtId="0" fontId="0" fillId="0" borderId="0" xfId="0"/>
    <xf numFmtId="0" fontId="0" fillId="0" borderId="0" xfId="0"/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0" fontId="0" fillId="0" borderId="0" xfId="0"/>
    <xf numFmtId="0" fontId="0" fillId="24" borderId="9" xfId="0" applyNumberFormat="1" applyFont="1" applyFill="1" applyBorder="1" applyAlignment="1" applyProtection="1">
      <alignment horizontal="left" vertical="center" wrapText="1"/>
    </xf>
    <xf numFmtId="0" fontId="196" fillId="0" borderId="0" xfId="0" applyFont="1" applyAlignment="1" applyProtection="1">
      <alignment vertical="center"/>
    </xf>
    <xf numFmtId="0" fontId="284" fillId="0" borderId="0" xfId="0" applyFont="1" applyProtection="1"/>
    <xf numFmtId="0" fontId="23" fillId="24" borderId="437" xfId="0" applyNumberFormat="1" applyFont="1" applyFill="1" applyBorder="1" applyAlignment="1" applyProtection="1">
      <alignment horizontal="left" vertical="center" wrapText="1"/>
    </xf>
    <xf numFmtId="0" fontId="23" fillId="24" borderId="440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49" fontId="23" fillId="19" borderId="264" xfId="0" applyNumberFormat="1" applyFont="1" applyFill="1" applyBorder="1" applyAlignment="1" applyProtection="1">
      <alignment horizontal="left" vertical="center" wrapText="1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175" fontId="38" fillId="0" borderId="58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25" fillId="2" borderId="113" xfId="0" applyNumberFormat="1" applyFont="1" applyFill="1" applyBorder="1" applyAlignment="1" applyProtection="1">
      <alignment horizontal="center" vertical="center" wrapText="1"/>
    </xf>
    <xf numFmtId="49" fontId="57" fillId="0" borderId="313" xfId="0" quotePrefix="1" applyNumberFormat="1" applyFont="1" applyFill="1" applyBorder="1" applyAlignment="1" applyProtection="1">
      <alignment horizontal="left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170" fontId="29" fillId="0" borderId="568" xfId="0" applyNumberFormat="1" applyFont="1" applyFill="1" applyBorder="1" applyAlignment="1" applyProtection="1">
      <alignment horizontal="center" vertical="center"/>
    </xf>
    <xf numFmtId="49" fontId="285" fillId="0" borderId="113" xfId="0" applyNumberFormat="1" applyFont="1" applyFill="1" applyBorder="1" applyAlignment="1" applyProtection="1">
      <alignment horizontal="left" vertical="center" wrapText="1"/>
    </xf>
    <xf numFmtId="0" fontId="15" fillId="0" borderId="113" xfId="4146" applyFont="1" applyFill="1" applyBorder="1" applyAlignment="1">
      <alignment horizontal="left" vertical="center" wrapText="1"/>
    </xf>
    <xf numFmtId="0" fontId="15" fillId="0" borderId="113" xfId="4146" applyFill="1" applyBorder="1" applyAlignment="1">
      <alignment horizontal="left" vertical="center"/>
    </xf>
    <xf numFmtId="0" fontId="15" fillId="0" borderId="113" xfId="4146" applyFill="1" applyBorder="1" applyAlignment="1">
      <alignment vertical="center"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0" fontId="25" fillId="6" borderId="5" xfId="0" applyNumberFormat="1" applyFont="1" applyFill="1" applyBorder="1" applyAlignment="1" applyProtection="1">
      <alignment horizontal="center" vertical="center"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0" fontId="25" fillId="6" borderId="5" xfId="0" applyNumberFormat="1" applyFont="1" applyFill="1" applyBorder="1" applyAlignment="1" applyProtection="1">
      <alignment horizontal="center" vertical="center" wrapText="1"/>
    </xf>
    <xf numFmtId="49" fontId="29" fillId="0" borderId="6" xfId="0" applyNumberFormat="1" applyFont="1" applyFill="1" applyBorder="1" applyAlignment="1" applyProtection="1">
      <alignment horizontal="center" vertical="top" wrapText="1"/>
      <protection locked="0"/>
    </xf>
    <xf numFmtId="169" fontId="56" fillId="138" borderId="58" xfId="0" applyNumberFormat="1" applyFont="1" applyFill="1" applyBorder="1" applyAlignment="1" applyProtection="1">
      <alignment horizontal="right" wrapText="1" shrinkToFit="1"/>
      <protection locked="0"/>
    </xf>
    <xf numFmtId="0" fontId="23" fillId="0" borderId="99" xfId="0" applyNumberFormat="1" applyFont="1" applyFill="1" applyBorder="1" applyAlignment="1" applyProtection="1">
      <alignment horizontal="center"/>
    </xf>
    <xf numFmtId="0" fontId="23" fillId="0" borderId="100" xfId="0" applyNumberFormat="1" applyFont="1" applyFill="1" applyBorder="1" applyAlignment="1" applyProtection="1">
      <alignment horizontal="center"/>
    </xf>
    <xf numFmtId="0" fontId="0" fillId="0" borderId="0" xfId="0"/>
    <xf numFmtId="0" fontId="0" fillId="0" borderId="0" xfId="0"/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57" fillId="24" borderId="505" xfId="0" applyNumberFormat="1" applyFont="1" applyFill="1" applyBorder="1" applyAlignment="1">
      <alignment horizontal="left" wrapText="1"/>
    </xf>
    <xf numFmtId="0" fontId="57" fillId="0" borderId="0" xfId="0" applyNumberFormat="1" applyFont="1" applyFill="1" applyBorder="1" applyAlignment="1">
      <alignment horizontal="left" wrapText="1"/>
    </xf>
    <xf numFmtId="0" fontId="57" fillId="24" borderId="0" xfId="0" applyNumberFormat="1" applyFont="1" applyFill="1" applyBorder="1" applyAlignment="1">
      <alignment horizontal="left" wrapText="1"/>
    </xf>
    <xf numFmtId="49" fontId="286" fillId="0" borderId="113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0" fontId="34" fillId="0" borderId="0" xfId="0" applyFont="1"/>
    <xf numFmtId="0" fontId="151" fillId="0" borderId="0" xfId="0" applyFont="1" applyFill="1" applyAlignment="1" applyProtection="1">
      <alignment horizontal="center" vertical="center"/>
    </xf>
    <xf numFmtId="0" fontId="0" fillId="0" borderId="0" xfId="0"/>
    <xf numFmtId="175" fontId="23" fillId="0" borderId="0" xfId="0" applyNumberFormat="1" applyFont="1" applyFill="1" applyAlignment="1" applyProtection="1"/>
    <xf numFmtId="49" fontId="77" fillId="0" borderId="569" xfId="0" applyNumberFormat="1" applyFont="1" applyFill="1" applyBorder="1" applyAlignment="1" applyProtection="1">
      <alignment horizontal="center" vertical="center" wrapText="1"/>
    </xf>
    <xf numFmtId="49" fontId="275" fillId="2" borderId="131" xfId="0" applyNumberFormat="1" applyFont="1" applyFill="1" applyBorder="1" applyAlignment="1" applyProtection="1">
      <alignment horizontal="center" vertical="center" wrapText="1"/>
    </xf>
    <xf numFmtId="0" fontId="275" fillId="6" borderId="432" xfId="0" applyNumberFormat="1" applyFont="1" applyFill="1" applyBorder="1" applyAlignment="1" applyProtection="1">
      <alignment horizontal="center" vertical="center" wrapText="1"/>
    </xf>
    <xf numFmtId="0" fontId="287" fillId="0" borderId="0" xfId="0" applyNumberFormat="1" applyFont="1" applyFill="1" applyAlignment="1" applyProtection="1">
      <alignment horizontal="center" vertical="center" wrapText="1"/>
    </xf>
    <xf numFmtId="0" fontId="287" fillId="0" borderId="0" xfId="0" applyNumberFormat="1" applyFont="1" applyFill="1" applyAlignment="1" applyProtection="1">
      <alignment horizontal="center" vertical="center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Border="1" applyProtection="1"/>
    <xf numFmtId="16" fontId="0" fillId="0" borderId="0" xfId="0" applyNumberFormat="1" applyProtection="1"/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5" fillId="2" borderId="108" xfId="0" applyNumberFormat="1" applyFont="1" applyFill="1" applyBorder="1" applyAlignment="1" applyProtection="1">
      <alignment horizontal="center" vertical="center" wrapText="1"/>
    </xf>
    <xf numFmtId="0" fontId="0" fillId="0" borderId="289" xfId="0" applyBorder="1" applyAlignment="1" applyProtection="1">
      <alignment horizontal="center" vertical="center" wrapText="1"/>
    </xf>
    <xf numFmtId="14" fontId="25" fillId="2" borderId="431" xfId="0" applyNumberFormat="1" applyFont="1" applyFill="1" applyBorder="1" applyAlignment="1" applyProtection="1">
      <alignment horizontal="center" vertical="center" wrapText="1"/>
    </xf>
    <xf numFmtId="169" fontId="73" fillId="0" borderId="570" xfId="0" applyNumberFormat="1" applyFont="1" applyFill="1" applyBorder="1" applyAlignment="1" applyProtection="1">
      <alignment horizontal="center" vertical="center"/>
    </xf>
    <xf numFmtId="169" fontId="23" fillId="3" borderId="25" xfId="0" applyNumberFormat="1" applyFont="1" applyFill="1" applyBorder="1" applyAlignment="1" applyProtection="1">
      <alignment horizontal="right" wrapText="1" shrinkToFit="1"/>
      <protection locked="0"/>
    </xf>
    <xf numFmtId="49" fontId="38" fillId="3" borderId="571" xfId="0" applyNumberFormat="1" applyFont="1" applyFill="1" applyBorder="1" applyAlignment="1" applyProtection="1">
      <alignment horizontal="center" vertical="center"/>
      <protection locked="0"/>
    </xf>
    <xf numFmtId="0" fontId="38" fillId="0" borderId="571" xfId="0" applyNumberFormat="1" applyFont="1" applyFill="1" applyBorder="1" applyAlignment="1" applyProtection="1">
      <alignment horizontal="center"/>
    </xf>
    <xf numFmtId="169" fontId="23" fillId="0" borderId="27" xfId="0" applyNumberFormat="1" applyFont="1" applyFill="1" applyBorder="1" applyAlignment="1" applyProtection="1">
      <alignment horizontal="right" wrapText="1" shrinkToFi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9" fillId="24" borderId="136" xfId="0" applyNumberFormat="1" applyFont="1" applyFill="1" applyBorder="1" applyAlignment="1" applyProtection="1">
      <alignment horizontal="center" vertical="center" wrapText="1"/>
    </xf>
    <xf numFmtId="0" fontId="30" fillId="0" borderId="135" xfId="0" applyNumberFormat="1" applyFont="1" applyFill="1" applyBorder="1" applyAlignment="1" applyProtection="1">
      <alignment wrapText="1"/>
    </xf>
    <xf numFmtId="0" fontId="288" fillId="0" borderId="0" xfId="0" applyFont="1" applyAlignment="1">
      <alignment horizontal="left" vertical="center" indent="4"/>
    </xf>
    <xf numFmtId="0" fontId="196" fillId="0" borderId="0" xfId="0" quotePrefix="1" applyFont="1" applyAlignment="1" applyProtection="1">
      <alignment horizontal="center" vertical="center"/>
    </xf>
    <xf numFmtId="0" fontId="15" fillId="0" borderId="113" xfId="4146" applyNumberFormat="1" applyFill="1" applyBorder="1" applyAlignment="1">
      <alignment horizontal="left" vertical="center" wrapText="1"/>
    </xf>
    <xf numFmtId="0" fontId="0" fillId="0" borderId="0" xfId="0"/>
    <xf numFmtId="183" fontId="23" fillId="24" borderId="21" xfId="0" applyNumberFormat="1" applyFont="1" applyFill="1" applyBorder="1" applyAlignment="1" applyProtection="1">
      <alignment horizontal="center" wrapText="1" shrinkToFit="1"/>
    </xf>
    <xf numFmtId="49" fontId="29" fillId="24" borderId="136" xfId="0" applyNumberFormat="1" applyFont="1" applyFill="1" applyBorder="1" applyAlignment="1" applyProtection="1">
      <alignment horizontal="left" vertical="center" wrapText="1"/>
      <protection locked="0"/>
    </xf>
    <xf numFmtId="0" fontId="27" fillId="24" borderId="0" xfId="0" applyFont="1" applyFill="1" applyProtection="1"/>
    <xf numFmtId="0" fontId="129" fillId="24" borderId="0" xfId="0" applyFont="1" applyFill="1" applyProtection="1"/>
    <xf numFmtId="0" fontId="290" fillId="0" borderId="0" xfId="0" applyFont="1" applyAlignment="1">
      <alignment vertical="center"/>
    </xf>
    <xf numFmtId="0" fontId="119" fillId="24" borderId="0" xfId="0" applyFont="1" applyFill="1" applyAlignment="1" applyProtection="1">
      <alignment vertical="center"/>
    </xf>
    <xf numFmtId="177" fontId="129" fillId="24" borderId="0" xfId="0" applyNumberFormat="1" applyFont="1" applyFill="1" applyAlignment="1" applyProtection="1">
      <alignment horizontal="center" vertical="center" wrapText="1"/>
    </xf>
    <xf numFmtId="0" fontId="182" fillId="0" borderId="0" xfId="0" applyFont="1" applyAlignment="1">
      <alignment horizontal="left" vertical="center" indent="4"/>
    </xf>
    <xf numFmtId="0" fontId="290" fillId="0" borderId="0" xfId="0" applyFont="1" applyAlignment="1">
      <alignment horizontal="left" vertical="center" indent="4"/>
    </xf>
    <xf numFmtId="172" fontId="23" fillId="144" borderId="199" xfId="0" applyNumberFormat="1" applyFont="1" applyFill="1" applyBorder="1" applyAlignment="1" applyProtection="1">
      <alignment vertical="center" wrapText="1" shrinkToFit="1"/>
    </xf>
    <xf numFmtId="172" fontId="23" fillId="144" borderId="210" xfId="0" applyNumberFormat="1" applyFont="1" applyFill="1" applyBorder="1" applyAlignment="1" applyProtection="1">
      <alignment vertical="center" wrapText="1" shrinkToFit="1"/>
    </xf>
    <xf numFmtId="173" fontId="23" fillId="24" borderId="265" xfId="0" applyNumberFormat="1" applyFont="1" applyFill="1" applyBorder="1" applyAlignment="1" applyProtection="1">
      <alignment horizontal="center" vertical="center"/>
    </xf>
    <xf numFmtId="16" fontId="134" fillId="0" borderId="0" xfId="0" applyNumberFormat="1" applyFont="1" applyProtection="1"/>
    <xf numFmtId="0" fontId="0" fillId="0" borderId="0" xfId="0" applyBorder="1" applyAlignment="1" applyProtection="1">
      <alignment horizontal="center" vertical="center" wrapText="1"/>
    </xf>
    <xf numFmtId="0" fontId="129" fillId="0" borderId="0" xfId="0" applyFont="1" applyBorder="1" applyProtection="1"/>
    <xf numFmtId="0" fontId="64" fillId="0" borderId="0" xfId="0" applyFont="1" applyFill="1" applyBorder="1" applyAlignment="1" applyProtection="1">
      <alignment horizontal="center" vertical="center"/>
    </xf>
    <xf numFmtId="0" fontId="23" fillId="24" borderId="527" xfId="0" applyNumberFormat="1" applyFont="1" applyFill="1" applyBorder="1" applyAlignment="1" applyProtection="1">
      <alignment horizontal="left" vertical="center" wrapText="1"/>
    </xf>
    <xf numFmtId="173" fontId="23" fillId="24" borderId="266" xfId="0" applyNumberFormat="1" applyFont="1" applyFill="1" applyBorder="1" applyAlignment="1" applyProtection="1">
      <alignment horizontal="center" vertical="center"/>
    </xf>
    <xf numFmtId="0" fontId="23" fillId="0" borderId="289" xfId="0" applyNumberFormat="1" applyFont="1" applyBorder="1" applyAlignment="1" applyProtection="1">
      <alignment horizontal="center" vertical="center"/>
    </xf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175" fontId="21" fillId="28" borderId="193" xfId="0" applyNumberFormat="1" applyFont="1" applyFill="1" applyBorder="1" applyAlignment="1" applyProtection="1">
      <alignment horizontal="center" vertical="center" wrapText="1" shrinkToFit="1"/>
    </xf>
    <xf numFmtId="175" fontId="21" fillId="28" borderId="337" xfId="0" applyNumberFormat="1" applyFont="1" applyFill="1" applyBorder="1" applyAlignment="1" applyProtection="1">
      <alignment horizontal="center" vertical="center" wrapText="1" shrinkToFit="1"/>
    </xf>
    <xf numFmtId="175" fontId="21" fillId="28" borderId="194" xfId="0" applyNumberFormat="1" applyFont="1" applyFill="1" applyBorder="1" applyAlignment="1" applyProtection="1">
      <alignment horizontal="center" vertical="center" wrapText="1" shrinkToFit="1"/>
    </xf>
    <xf numFmtId="49" fontId="292" fillId="0" borderId="113" xfId="0" applyNumberFormat="1" applyFont="1" applyFill="1" applyBorder="1" applyAlignment="1" applyProtection="1">
      <alignment horizontal="left" vertical="center" wrapText="1"/>
    </xf>
    <xf numFmtId="172" fontId="23" fillId="145" borderId="199" xfId="0" applyNumberFormat="1" applyFont="1" applyFill="1" applyBorder="1" applyAlignment="1" applyProtection="1">
      <alignment vertical="center" wrapText="1" shrinkToFit="1"/>
    </xf>
    <xf numFmtId="172" fontId="23" fillId="145" borderId="210" xfId="0" applyNumberFormat="1" applyFont="1" applyFill="1" applyBorder="1" applyAlignment="1" applyProtection="1">
      <alignment vertical="center" wrapText="1" shrinkToFit="1"/>
    </xf>
    <xf numFmtId="172" fontId="23" fillId="145" borderId="533" xfId="0" applyNumberFormat="1" applyFont="1" applyFill="1" applyBorder="1" applyAlignment="1" applyProtection="1">
      <alignment vertical="center" wrapText="1" shrinkToFit="1"/>
    </xf>
    <xf numFmtId="0" fontId="0" fillId="0" borderId="113" xfId="0" applyBorder="1" applyProtection="1"/>
    <xf numFmtId="49" fontId="25" fillId="2" borderId="113" xfId="0" applyNumberFormat="1" applyFont="1" applyFill="1" applyBorder="1" applyAlignment="1" applyProtection="1">
      <alignment horizontal="center" vertical="center" wrapText="1"/>
    </xf>
    <xf numFmtId="0" fontId="182" fillId="0" borderId="113" xfId="0" applyFont="1" applyBorder="1"/>
    <xf numFmtId="0" fontId="0" fillId="0" borderId="113" xfId="0" applyBorder="1" applyAlignment="1" applyProtection="1">
      <alignment horizontal="right"/>
    </xf>
    <xf numFmtId="0" fontId="182" fillId="0" borderId="113" xfId="0" applyFont="1" applyBorder="1" applyAlignment="1">
      <alignment vertical="center"/>
    </xf>
    <xf numFmtId="0" fontId="0" fillId="0" borderId="0" xfId="0"/>
    <xf numFmtId="0" fontId="0" fillId="0" borderId="0" xfId="0"/>
    <xf numFmtId="49" fontId="77" fillId="24" borderId="136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188" fillId="24" borderId="0" xfId="233" applyFill="1"/>
    <xf numFmtId="0" fontId="0" fillId="24" borderId="113" xfId="0" applyFill="1" applyBorder="1"/>
    <xf numFmtId="0" fontId="0" fillId="0" borderId="0" xfId="0"/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/>
    <xf numFmtId="49" fontId="24" fillId="68" borderId="496" xfId="0" applyNumberFormat="1" applyFont="1" applyFill="1" applyBorder="1" applyAlignment="1" applyProtection="1">
      <alignment vertical="center" wrapText="1"/>
    </xf>
    <xf numFmtId="173" fontId="23" fillId="24" borderId="21" xfId="0" applyNumberFormat="1" applyFont="1" applyFill="1" applyBorder="1" applyAlignment="1" applyProtection="1">
      <alignment horizontal="right"/>
    </xf>
    <xf numFmtId="173" fontId="23" fillId="24" borderId="19" xfId="0" applyNumberFormat="1" applyFont="1" applyFill="1" applyBorder="1" applyAlignment="1" applyProtection="1">
      <alignment horizontal="right"/>
    </xf>
    <xf numFmtId="0" fontId="0" fillId="0" borderId="0" xfId="0"/>
    <xf numFmtId="0" fontId="143" fillId="0" borderId="113" xfId="4146" applyFont="1" applyFill="1" applyBorder="1" applyAlignment="1">
      <alignment horizontal="center" vertical="center" wrapText="1"/>
    </xf>
    <xf numFmtId="0" fontId="0" fillId="24" borderId="113" xfId="0" applyFill="1" applyBorder="1" applyAlignment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49" fontId="140" fillId="0" borderId="113" xfId="0" applyNumberFormat="1" applyFont="1" applyFill="1" applyBorder="1" applyAlignment="1" applyProtection="1">
      <alignment horizontal="left" vertical="center" wrapText="1"/>
    </xf>
    <xf numFmtId="173" fontId="23" fillId="24" borderId="47" xfId="0" applyNumberFormat="1" applyFont="1" applyFill="1" applyBorder="1" applyAlignment="1" applyProtection="1">
      <alignment horizontal="right"/>
    </xf>
    <xf numFmtId="0" fontId="0" fillId="0" borderId="0" xfId="0"/>
    <xf numFmtId="0" fontId="0" fillId="0" borderId="176" xfId="0" applyBorder="1" applyAlignment="1">
      <alignment horizontal="center" vertical="center" wrapText="1"/>
    </xf>
    <xf numFmtId="0" fontId="0" fillId="0" borderId="176" xfId="0" applyFill="1" applyBorder="1" applyAlignment="1">
      <alignment horizontal="center" vertical="center" wrapText="1"/>
    </xf>
    <xf numFmtId="0" fontId="48" fillId="0" borderId="231" xfId="0" applyFont="1" applyBorder="1" applyAlignment="1" applyProtection="1">
      <alignment horizontal="center" vertical="center"/>
    </xf>
    <xf numFmtId="0" fontId="297" fillId="24" borderId="113" xfId="0" applyFont="1" applyFill="1" applyBorder="1" applyAlignment="1">
      <alignment horizontal="center" vertical="center"/>
    </xf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>
      <alignment horizontal="center"/>
    </xf>
    <xf numFmtId="49" fontId="71" fillId="0" borderId="113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0" fontId="0" fillId="0" borderId="0" xfId="0"/>
    <xf numFmtId="0" fontId="23" fillId="24" borderId="0" xfId="0" applyFont="1" applyFill="1" applyBorder="1" applyProtection="1"/>
    <xf numFmtId="0" fontId="23" fillId="146" borderId="0" xfId="0" applyFont="1" applyFill="1" applyBorder="1" applyProtection="1"/>
    <xf numFmtId="0" fontId="15" fillId="0" borderId="342" xfId="4146" applyNumberFormat="1" applyFill="1" applyBorder="1" applyAlignment="1">
      <alignment horizontal="left" vertical="center" wrapText="1"/>
    </xf>
    <xf numFmtId="0" fontId="15" fillId="0" borderId="342" xfId="4146" applyFont="1" applyFill="1" applyBorder="1" applyAlignment="1">
      <alignment vertical="center" wrapText="1"/>
    </xf>
    <xf numFmtId="0" fontId="15" fillId="0" borderId="342" xfId="4146" applyFill="1" applyBorder="1" applyAlignment="1">
      <alignment horizontal="left" vertical="center" wrapText="1"/>
    </xf>
    <xf numFmtId="0" fontId="15" fillId="0" borderId="0" xfId="4146" applyNumberFormat="1" applyFill="1" applyBorder="1" applyAlignment="1">
      <alignment horizontal="left" vertical="center" wrapText="1"/>
    </xf>
    <xf numFmtId="0" fontId="15" fillId="0" borderId="0" xfId="4146" applyFont="1" applyFill="1" applyBorder="1" applyAlignment="1">
      <alignment vertical="center" wrapText="1"/>
    </xf>
    <xf numFmtId="0" fontId="15" fillId="0" borderId="0" xfId="4146" applyFill="1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49" fontId="286" fillId="0" borderId="439" xfId="0" applyNumberFormat="1" applyFont="1" applyFill="1" applyBorder="1" applyAlignment="1" applyProtection="1">
      <alignment horizontal="left" vertical="center" wrapText="1"/>
    </xf>
    <xf numFmtId="49" fontId="57" fillId="0" borderId="439" xfId="0" applyNumberFormat="1" applyFont="1" applyFill="1" applyBorder="1" applyAlignment="1" applyProtection="1">
      <alignment horizontal="center" vertical="center" wrapText="1"/>
    </xf>
    <xf numFmtId="14" fontId="302" fillId="138" borderId="113" xfId="0" applyNumberFormat="1" applyFont="1" applyFill="1" applyBorder="1" applyAlignment="1">
      <alignment horizontal="center" vertical="center" wrapText="1"/>
    </xf>
    <xf numFmtId="0" fontId="302" fillId="138" borderId="113" xfId="0" applyFont="1" applyFill="1" applyBorder="1" applyAlignment="1">
      <alignment horizontal="center" vertical="center" wrapText="1"/>
    </xf>
    <xf numFmtId="0" fontId="301" fillId="138" borderId="113" xfId="0" applyNumberFormat="1" applyFont="1" applyFill="1" applyBorder="1" applyAlignment="1">
      <alignment horizontal="left" vertical="center" wrapText="1"/>
    </xf>
    <xf numFmtId="0" fontId="301" fillId="138" borderId="113" xfId="0" applyFont="1" applyFill="1" applyBorder="1" applyAlignment="1">
      <alignment horizontal="left" vertical="center" wrapText="1"/>
    </xf>
    <xf numFmtId="0" fontId="57" fillId="147" borderId="505" xfId="0" applyNumberFormat="1" applyFont="1" applyFill="1" applyBorder="1" applyAlignment="1">
      <alignment horizontal="left" wrapText="1"/>
    </xf>
    <xf numFmtId="0" fontId="0" fillId="0" borderId="0" xfId="0"/>
    <xf numFmtId="0" fontId="0" fillId="138" borderId="176" xfId="0" applyFill="1" applyBorder="1" applyAlignment="1">
      <alignment horizontal="center" vertical="center" wrapText="1"/>
    </xf>
    <xf numFmtId="0" fontId="0" fillId="0" borderId="113" xfId="0" applyFill="1" applyBorder="1"/>
    <xf numFmtId="0" fontId="0" fillId="0" borderId="0" xfId="0" applyFill="1" applyBorder="1" applyAlignment="1">
      <alignment horizontal="left" vertical="center" wrapText="1"/>
    </xf>
    <xf numFmtId="0" fontId="300" fillId="0" borderId="113" xfId="0" applyFont="1" applyFill="1" applyBorder="1" applyAlignment="1">
      <alignment vertical="center" wrapText="1"/>
    </xf>
    <xf numFmtId="0" fontId="0" fillId="0" borderId="525" xfId="0" applyFill="1" applyBorder="1" applyAlignment="1">
      <alignment vertical="center" wrapText="1"/>
    </xf>
    <xf numFmtId="0" fontId="0" fillId="24" borderId="113" xfId="0" applyFill="1" applyBorder="1" applyAlignment="1">
      <alignment vertical="center" wrapText="1"/>
    </xf>
    <xf numFmtId="0" fontId="0" fillId="24" borderId="113" xfId="4146" applyFont="1" applyFill="1" applyBorder="1" applyAlignment="1">
      <alignment vertical="center" wrapText="1"/>
    </xf>
    <xf numFmtId="0" fontId="0" fillId="0" borderId="289" xfId="0" applyBorder="1" applyAlignment="1">
      <alignment horizontal="center" vertical="center" wrapText="1"/>
    </xf>
    <xf numFmtId="0" fontId="142" fillId="148" borderId="113" xfId="0" applyFont="1" applyFill="1" applyBorder="1" applyAlignment="1">
      <alignment vertical="center" wrapText="1"/>
    </xf>
    <xf numFmtId="0" fontId="142" fillId="0" borderId="113" xfId="0" applyFont="1" applyBorder="1" applyAlignment="1">
      <alignment vertical="center" wrapText="1"/>
    </xf>
    <xf numFmtId="0" fontId="142" fillId="0" borderId="113" xfId="0" applyFont="1" applyBorder="1" applyAlignment="1">
      <alignment vertical="center"/>
    </xf>
    <xf numFmtId="0" fontId="143" fillId="0" borderId="113" xfId="0" applyFont="1" applyFill="1" applyBorder="1" applyAlignment="1">
      <alignment vertical="center" wrapText="1"/>
    </xf>
    <xf numFmtId="0" fontId="143" fillId="0" borderId="113" xfId="0" applyFont="1" applyFill="1" applyBorder="1" applyAlignment="1">
      <alignment horizontal="left" vertical="center" wrapText="1"/>
    </xf>
    <xf numFmtId="0" fontId="143" fillId="0" borderId="113" xfId="0" applyFont="1" applyFill="1" applyBorder="1" applyAlignment="1">
      <alignment horizontal="left" vertical="center"/>
    </xf>
    <xf numFmtId="0" fontId="143" fillId="0" borderId="113" xfId="0" applyFont="1" applyBorder="1" applyAlignment="1">
      <alignment horizontal="center" vertical="center" wrapText="1"/>
    </xf>
    <xf numFmtId="0" fontId="303" fillId="0" borderId="113" xfId="0" applyFont="1" applyBorder="1" applyAlignment="1" applyProtection="1">
      <alignment horizontal="center" vertical="center"/>
    </xf>
    <xf numFmtId="0" fontId="303" fillId="0" borderId="0" xfId="0" applyFont="1" applyAlignment="1" applyProtection="1">
      <alignment vertical="center"/>
    </xf>
    <xf numFmtId="0" fontId="143" fillId="24" borderId="113" xfId="0" applyFont="1" applyFill="1" applyBorder="1" applyAlignment="1">
      <alignment vertical="center" wrapText="1"/>
    </xf>
    <xf numFmtId="0" fontId="0" fillId="149" borderId="113" xfId="0" applyFill="1" applyBorder="1" applyAlignment="1">
      <alignment vertical="center" wrapText="1"/>
    </xf>
    <xf numFmtId="49" fontId="15" fillId="149" borderId="113" xfId="4146" applyNumberFormat="1" applyFont="1" applyFill="1" applyBorder="1" applyAlignment="1">
      <alignment horizontal="left" vertical="center" wrapText="1"/>
    </xf>
    <xf numFmtId="0" fontId="0" fillId="0" borderId="0" xfId="0"/>
    <xf numFmtId="0" fontId="15" fillId="146" borderId="113" xfId="4146" applyFont="1" applyFill="1" applyBorder="1" applyAlignment="1">
      <alignment vertical="center" wrapText="1"/>
    </xf>
    <xf numFmtId="0" fontId="0" fillId="0" borderId="0" xfId="0"/>
    <xf numFmtId="0" fontId="23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center" wrapText="1"/>
    </xf>
    <xf numFmtId="49" fontId="24" fillId="3" borderId="113" xfId="0" applyNumberFormat="1" applyFont="1" applyFill="1" applyBorder="1" applyAlignment="1" applyProtection="1">
      <alignment horizontal="left" vertical="center" wrapText="1"/>
      <protection locked="0"/>
    </xf>
    <xf numFmtId="49" fontId="24" fillId="3" borderId="319" xfId="0" applyNumberFormat="1" applyFont="1" applyFill="1" applyBorder="1" applyAlignment="1" applyProtection="1">
      <alignment horizontal="left" vertical="center" wrapText="1"/>
      <protection locked="0"/>
    </xf>
    <xf numFmtId="0" fontId="24" fillId="0" borderId="315" xfId="0" applyNumberFormat="1" applyFont="1" applyFill="1" applyBorder="1" applyAlignment="1" applyProtection="1">
      <alignment horizontal="left" vertical="center"/>
    </xf>
    <xf numFmtId="0" fontId="25" fillId="2" borderId="316" xfId="0" applyFont="1" applyFill="1" applyBorder="1" applyAlignment="1" applyProtection="1">
      <alignment horizontal="left" vertical="center" wrapText="1"/>
    </xf>
    <xf numFmtId="0" fontId="25" fillId="2" borderId="317" xfId="0" applyFont="1" applyFill="1" applyBorder="1" applyAlignment="1" applyProtection="1">
      <alignment horizontal="left" vertical="center" wrapText="1"/>
    </xf>
    <xf numFmtId="0" fontId="25" fillId="2" borderId="318" xfId="0" applyFont="1" applyFill="1" applyBorder="1" applyAlignment="1" applyProtection="1">
      <alignment horizontal="center" vertical="center" wrapText="1"/>
    </xf>
    <xf numFmtId="0" fontId="25" fillId="2" borderId="317" xfId="0" applyFont="1" applyFill="1" applyBorder="1" applyAlignment="1" applyProtection="1">
      <alignment horizontal="center" vertical="center" wrapText="1"/>
    </xf>
    <xf numFmtId="0" fontId="25" fillId="2" borderId="330" xfId="0" applyFont="1" applyFill="1" applyBorder="1" applyAlignment="1" applyProtection="1">
      <alignment horizontal="center" vertical="center" wrapText="1"/>
    </xf>
    <xf numFmtId="0" fontId="25" fillId="2" borderId="423" xfId="0" applyFont="1" applyFill="1" applyBorder="1" applyAlignment="1" applyProtection="1">
      <alignment horizontal="center" vertical="center" wrapText="1"/>
    </xf>
    <xf numFmtId="49" fontId="24" fillId="3" borderId="315" xfId="0" applyNumberFormat="1" applyFont="1" applyFill="1" applyBorder="1" applyAlignment="1" applyProtection="1">
      <alignment horizontal="left" vertical="center" wrapText="1"/>
      <protection locked="0"/>
    </xf>
    <xf numFmtId="49" fontId="24" fillId="3" borderId="63" xfId="0" applyNumberFormat="1" applyFont="1" applyFill="1" applyBorder="1" applyAlignment="1" applyProtection="1">
      <alignment horizontal="left" vertical="center" wrapText="1"/>
      <protection locked="0"/>
    </xf>
    <xf numFmtId="49" fontId="24" fillId="3" borderId="301" xfId="0" applyNumberFormat="1" applyFont="1" applyFill="1" applyBorder="1" applyAlignment="1" applyProtection="1">
      <alignment horizontal="left" vertical="center" wrapText="1"/>
      <protection locked="0"/>
    </xf>
    <xf numFmtId="14" fontId="24" fillId="0" borderId="315" xfId="0" applyNumberFormat="1" applyFont="1" applyFill="1" applyBorder="1" applyAlignment="1" applyProtection="1">
      <alignment horizontal="left" vertical="center" wrapText="1"/>
    </xf>
    <xf numFmtId="0" fontId="25" fillId="2" borderId="260" xfId="0" applyFont="1" applyFill="1" applyBorder="1" applyAlignment="1" applyProtection="1">
      <alignment horizontal="center" vertical="center" wrapText="1"/>
    </xf>
    <xf numFmtId="0" fontId="25" fillId="2" borderId="320" xfId="0" applyFont="1" applyFill="1" applyBorder="1" applyAlignment="1" applyProtection="1">
      <alignment horizontal="center" vertical="center" wrapText="1"/>
    </xf>
    <xf numFmtId="49" fontId="25" fillId="2" borderId="35" xfId="0" applyNumberFormat="1" applyFont="1" applyFill="1" applyBorder="1" applyAlignment="1" applyProtection="1">
      <alignment horizontal="center" vertical="center" wrapText="1"/>
    </xf>
    <xf numFmtId="49" fontId="25" fillId="2" borderId="72" xfId="0" applyNumberFormat="1" applyFont="1" applyFill="1" applyBorder="1" applyAlignment="1" applyProtection="1">
      <alignment horizontal="center" vertical="center" wrapText="1"/>
    </xf>
    <xf numFmtId="49" fontId="25" fillId="2" borderId="7" xfId="0" applyNumberFormat="1" applyFont="1" applyFill="1" applyBorder="1" applyAlignment="1" applyProtection="1">
      <alignment horizontal="center" vertical="center" wrapText="1"/>
    </xf>
    <xf numFmtId="49" fontId="25" fillId="2" borderId="86" xfId="0" applyNumberFormat="1" applyFont="1" applyFill="1" applyBorder="1" applyAlignment="1" applyProtection="1">
      <alignment horizontal="center" vertical="center" wrapText="1"/>
    </xf>
    <xf numFmtId="49" fontId="25" fillId="2" borderId="76" xfId="0" applyNumberFormat="1" applyFont="1" applyFill="1" applyBorder="1" applyAlignment="1" applyProtection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49" fontId="25" fillId="2" borderId="321" xfId="0" applyNumberFormat="1" applyFont="1" applyFill="1" applyBorder="1" applyAlignment="1" applyProtection="1">
      <alignment horizontal="center" vertical="center" wrapText="1"/>
    </xf>
    <xf numFmtId="0" fontId="0" fillId="0" borderId="368" xfId="0" applyBorder="1" applyAlignment="1">
      <alignment horizontal="center" vertical="center" wrapText="1"/>
    </xf>
    <xf numFmtId="49" fontId="25" fillId="2" borderId="251" xfId="0" applyNumberFormat="1" applyFont="1" applyFill="1" applyBorder="1" applyAlignment="1" applyProtection="1">
      <alignment horizontal="center" vertical="center" wrapText="1"/>
    </xf>
    <xf numFmtId="49" fontId="25" fillId="2" borderId="322" xfId="0" applyNumberFormat="1" applyFont="1" applyFill="1" applyBorder="1" applyAlignment="1" applyProtection="1">
      <alignment horizontal="center" vertical="center" wrapText="1"/>
    </xf>
    <xf numFmtId="0" fontId="25" fillId="2" borderId="67" xfId="0" applyFont="1" applyFill="1" applyBorder="1" applyAlignment="1" applyProtection="1">
      <alignment horizontal="center" vertical="center" wrapText="1"/>
    </xf>
    <xf numFmtId="0" fontId="25" fillId="2" borderId="0" xfId="0" applyFont="1" applyFill="1" applyBorder="1" applyAlignment="1" applyProtection="1">
      <alignment horizontal="center" vertical="center" wrapText="1"/>
    </xf>
    <xf numFmtId="0" fontId="25" fillId="2" borderId="323" xfId="0" applyFont="1" applyFill="1" applyBorder="1" applyAlignment="1" applyProtection="1">
      <alignment horizontal="center" vertical="center" wrapText="1"/>
    </xf>
    <xf numFmtId="0" fontId="25" fillId="2" borderId="315" xfId="0" applyFont="1" applyFill="1" applyBorder="1" applyAlignment="1" applyProtection="1">
      <alignment horizontal="center" vertical="center" wrapText="1"/>
    </xf>
    <xf numFmtId="0" fontId="25" fillId="2" borderId="35" xfId="0" applyFont="1" applyFill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left" vertical="center" wrapText="1"/>
    </xf>
    <xf numFmtId="0" fontId="25" fillId="2" borderId="7" xfId="0" applyFont="1" applyFill="1" applyBorder="1" applyAlignment="1" applyProtection="1">
      <alignment horizontal="center" vertical="center" wrapText="1"/>
    </xf>
    <xf numFmtId="0" fontId="25" fillId="2" borderId="36" xfId="0" applyFont="1" applyFill="1" applyBorder="1" applyAlignment="1" applyProtection="1">
      <alignment horizontal="center" vertical="center" wrapText="1"/>
    </xf>
    <xf numFmtId="0" fontId="25" fillId="2" borderId="8" xfId="0" applyFont="1" applyFill="1" applyBorder="1" applyAlignment="1" applyProtection="1">
      <alignment horizontal="center" vertical="center" wrapText="1"/>
    </xf>
    <xf numFmtId="0" fontId="25" fillId="2" borderId="35" xfId="0" applyFont="1" applyFill="1" applyBorder="1" applyAlignment="1" applyProtection="1">
      <alignment horizontal="center" vertical="center"/>
    </xf>
    <xf numFmtId="0" fontId="25" fillId="2" borderId="31" xfId="0" applyFont="1" applyFill="1" applyBorder="1" applyAlignment="1" applyProtection="1">
      <alignment horizontal="center" vertical="center"/>
    </xf>
    <xf numFmtId="0" fontId="25" fillId="2" borderId="5" xfId="0" applyFont="1" applyFill="1" applyBorder="1" applyAlignment="1" applyProtection="1">
      <alignment horizontal="center" vertical="center" wrapText="1"/>
    </xf>
    <xf numFmtId="0" fontId="25" fillId="2" borderId="72" xfId="0" applyFont="1" applyFill="1" applyBorder="1" applyAlignment="1" applyProtection="1">
      <alignment horizontal="center" vertical="center"/>
    </xf>
    <xf numFmtId="0" fontId="25" fillId="2" borderId="7" xfId="0" applyFont="1" applyFill="1" applyBorder="1" applyAlignment="1" applyProtection="1">
      <alignment horizontal="center" vertical="center"/>
    </xf>
    <xf numFmtId="0" fontId="25" fillId="2" borderId="36" xfId="0" applyFont="1" applyFill="1" applyBorder="1" applyAlignment="1" applyProtection="1">
      <alignment horizontal="center" vertical="center"/>
    </xf>
    <xf numFmtId="0" fontId="25" fillId="2" borderId="86" xfId="0" applyFont="1" applyFill="1" applyBorder="1" applyAlignment="1" applyProtection="1">
      <alignment horizontal="center" vertical="center" wrapText="1"/>
    </xf>
    <xf numFmtId="0" fontId="25" fillId="2" borderId="43" xfId="0" applyFont="1" applyFill="1" applyBorder="1" applyAlignment="1" applyProtection="1">
      <alignment horizontal="center" vertical="center" wrapText="1"/>
    </xf>
    <xf numFmtId="0" fontId="25" fillId="2" borderId="324" xfId="0" applyFont="1" applyFill="1" applyBorder="1" applyAlignment="1" applyProtection="1">
      <alignment horizontal="center" vertical="center" wrapText="1"/>
    </xf>
    <xf numFmtId="0" fontId="196" fillId="0" borderId="0" xfId="0" applyFont="1" applyAlignment="1" applyProtection="1">
      <alignment horizontal="center" vertical="center"/>
    </xf>
    <xf numFmtId="0" fontId="284" fillId="0" borderId="0" xfId="0" applyFont="1" applyFill="1" applyAlignment="1" applyProtection="1">
      <alignment horizontal="center" vertical="center"/>
    </xf>
    <xf numFmtId="0" fontId="25" fillId="2" borderId="12" xfId="0" applyNumberFormat="1" applyFont="1" applyFill="1" applyBorder="1" applyAlignment="1" applyProtection="1">
      <alignment horizontal="center" vertical="center" wrapText="1"/>
    </xf>
    <xf numFmtId="0" fontId="25" fillId="2" borderId="325" xfId="0" applyNumberFormat="1" applyFont="1" applyFill="1" applyBorder="1" applyAlignment="1" applyProtection="1">
      <alignment horizontal="center" vertical="center" wrapText="1"/>
    </xf>
    <xf numFmtId="49" fontId="25" fillId="2" borderId="250" xfId="0" applyNumberFormat="1" applyFont="1" applyFill="1" applyBorder="1" applyAlignment="1" applyProtection="1">
      <alignment horizontal="center" vertical="center" wrapText="1"/>
    </xf>
    <xf numFmtId="0" fontId="129" fillId="0" borderId="0" xfId="0" applyFont="1" applyAlignment="1" applyProtection="1">
      <alignment horizontal="center"/>
    </xf>
    <xf numFmtId="0" fontId="0" fillId="0" borderId="0" xfId="0"/>
    <xf numFmtId="0" fontId="25" fillId="2" borderId="5" xfId="0" applyNumberFormat="1" applyFont="1" applyFill="1" applyBorder="1" applyAlignment="1" applyProtection="1">
      <alignment horizontal="center" vertical="center" wrapText="1"/>
    </xf>
    <xf numFmtId="0" fontId="25" fillId="2" borderId="36" xfId="0" applyNumberFormat="1" applyFont="1" applyFill="1" applyBorder="1" applyAlignment="1" applyProtection="1">
      <alignment horizontal="center" vertical="center" wrapText="1"/>
    </xf>
    <xf numFmtId="0" fontId="25" fillId="2" borderId="8" xfId="0" applyNumberFormat="1" applyFont="1" applyFill="1" applyBorder="1" applyAlignment="1" applyProtection="1">
      <alignment horizontal="center" vertical="center" wrapText="1"/>
    </xf>
    <xf numFmtId="0" fontId="25" fillId="2" borderId="7" xfId="0" applyNumberFormat="1" applyFont="1" applyFill="1" applyBorder="1" applyAlignment="1" applyProtection="1">
      <alignment horizontal="center" vertical="center" wrapText="1"/>
    </xf>
    <xf numFmtId="0" fontId="25" fillId="2" borderId="115" xfId="0" applyNumberFormat="1" applyFont="1" applyFill="1" applyBorder="1" applyAlignment="1" applyProtection="1">
      <alignment horizontal="center"/>
    </xf>
    <xf numFmtId="0" fontId="26" fillId="2" borderId="115" xfId="0" applyNumberFormat="1" applyFont="1" applyFill="1" applyBorder="1" applyAlignment="1" applyProtection="1">
      <alignment horizontal="center"/>
    </xf>
    <xf numFmtId="0" fontId="26" fillId="2" borderId="3" xfId="0" applyNumberFormat="1" applyFont="1" applyFill="1" applyBorder="1" applyAlignment="1" applyProtection="1">
      <alignment horizontal="center"/>
    </xf>
    <xf numFmtId="0" fontId="25" fillId="2" borderId="131" xfId="0" applyNumberFormat="1" applyFont="1" applyFill="1" applyBorder="1" applyAlignment="1" applyProtection="1">
      <alignment horizontal="center" vertical="center" wrapText="1"/>
    </xf>
    <xf numFmtId="0" fontId="26" fillId="2" borderId="76" xfId="0" applyNumberFormat="1" applyFont="1" applyFill="1" applyBorder="1" applyAlignment="1" applyProtection="1">
      <alignment horizontal="center" vertical="center"/>
    </xf>
    <xf numFmtId="0" fontId="26" fillId="2" borderId="115" xfId="0" applyNumberFormat="1" applyFont="1" applyFill="1" applyBorder="1" applyAlignment="1" applyProtection="1">
      <alignment horizontal="center" vertical="center"/>
    </xf>
    <xf numFmtId="0" fontId="26" fillId="2" borderId="3" xfId="0" applyNumberFormat="1" applyFont="1" applyFill="1" applyBorder="1" applyAlignment="1" applyProtection="1">
      <alignment horizontal="center" vertical="center"/>
    </xf>
    <xf numFmtId="0" fontId="0" fillId="0" borderId="131" xfId="0" applyBorder="1" applyAlignment="1" applyProtection="1">
      <alignment wrapText="1"/>
    </xf>
    <xf numFmtId="0" fontId="25" fillId="6" borderId="7" xfId="0" applyNumberFormat="1" applyFont="1" applyFill="1" applyBorder="1" applyAlignment="1" applyProtection="1">
      <alignment horizontal="center" vertical="center" wrapText="1"/>
    </xf>
    <xf numFmtId="0" fontId="25" fillId="6" borderId="5" xfId="0" applyNumberFormat="1" applyFont="1" applyFill="1" applyBorder="1" applyAlignment="1" applyProtection="1">
      <alignment horizontal="center" vertical="center" wrapText="1"/>
    </xf>
    <xf numFmtId="0" fontId="25" fillId="6" borderId="131" xfId="0" applyNumberFormat="1" applyFont="1" applyFill="1" applyBorder="1" applyAlignment="1" applyProtection="1">
      <alignment horizontal="center" vertical="center" wrapText="1"/>
    </xf>
    <xf numFmtId="0" fontId="25" fillId="6" borderId="76" xfId="0" applyNumberFormat="1" applyFont="1" applyFill="1" applyBorder="1" applyAlignment="1" applyProtection="1">
      <alignment horizontal="center" vertical="center" wrapText="1"/>
    </xf>
    <xf numFmtId="0" fontId="25" fillId="6" borderId="125" xfId="0" applyNumberFormat="1" applyFont="1" applyFill="1" applyBorder="1" applyAlignment="1" applyProtection="1">
      <alignment horizontal="center" vertical="center" wrapText="1"/>
    </xf>
    <xf numFmtId="49" fontId="25" fillId="6" borderId="131" xfId="0" applyNumberFormat="1" applyFont="1" applyFill="1" applyBorder="1" applyAlignment="1" applyProtection="1">
      <alignment horizontal="center" vertical="center" wrapText="1"/>
    </xf>
    <xf numFmtId="0" fontId="25" fillId="6" borderId="432" xfId="0" applyNumberFormat="1" applyFont="1" applyFill="1" applyBorder="1" applyAlignment="1" applyProtection="1">
      <alignment horizontal="center" vertical="center" wrapText="1"/>
    </xf>
    <xf numFmtId="169" fontId="29" fillId="0" borderId="206" xfId="0" applyNumberFormat="1" applyFont="1" applyBorder="1" applyAlignment="1" applyProtection="1">
      <alignment horizontal="center" vertical="center"/>
    </xf>
    <xf numFmtId="169" fontId="29" fillId="0" borderId="410" xfId="0" applyNumberFormat="1" applyFont="1" applyBorder="1" applyAlignment="1" applyProtection="1">
      <alignment horizontal="center" vertical="center"/>
    </xf>
    <xf numFmtId="0" fontId="0" fillId="0" borderId="273" xfId="0" applyBorder="1" applyAlignment="1">
      <alignment horizontal="center" vertical="center"/>
    </xf>
    <xf numFmtId="0" fontId="25" fillId="2" borderId="35" xfId="0" applyNumberFormat="1" applyFont="1" applyFill="1" applyBorder="1" applyAlignment="1" applyProtection="1">
      <alignment horizontal="center" vertical="center" wrapText="1"/>
    </xf>
    <xf numFmtId="0" fontId="26" fillId="2" borderId="76" xfId="0" applyNumberFormat="1" applyFont="1" applyFill="1" applyBorder="1" applyAlignment="1" applyProtection="1">
      <alignment horizontal="center" vertical="center" wrapText="1"/>
    </xf>
    <xf numFmtId="0" fontId="26" fillId="2" borderId="115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 wrapText="1"/>
    </xf>
    <xf numFmtId="0" fontId="25" fillId="2" borderId="115" xfId="0" applyNumberFormat="1" applyFont="1" applyFill="1" applyBorder="1" applyAlignment="1" applyProtection="1">
      <alignment horizontal="center" vertical="center" wrapText="1"/>
    </xf>
    <xf numFmtId="49" fontId="29" fillId="0" borderId="206" xfId="0" applyNumberFormat="1" applyFont="1" applyFill="1" applyBorder="1" applyAlignment="1" applyProtection="1">
      <alignment horizontal="center" vertical="center" wrapText="1"/>
    </xf>
    <xf numFmtId="49" fontId="29" fillId="0" borderId="410" xfId="0" applyNumberFormat="1" applyFont="1" applyFill="1" applyBorder="1" applyAlignment="1" applyProtection="1">
      <alignment horizontal="center" vertical="center" wrapText="1"/>
    </xf>
    <xf numFmtId="0" fontId="0" fillId="0" borderId="273" xfId="0" applyBorder="1" applyAlignment="1">
      <alignment horizontal="center" vertical="center" wrapText="1"/>
    </xf>
    <xf numFmtId="0" fontId="25" fillId="2" borderId="57" xfId="0" applyNumberFormat="1" applyFont="1" applyFill="1" applyBorder="1" applyAlignment="1" applyProtection="1">
      <alignment horizontal="center" vertical="center" wrapText="1"/>
    </xf>
    <xf numFmtId="0" fontId="25" fillId="2" borderId="128" xfId="0" applyNumberFormat="1" applyFont="1" applyFill="1" applyBorder="1" applyAlignment="1" applyProtection="1">
      <alignment horizontal="center" vertical="center" wrapText="1"/>
    </xf>
    <xf numFmtId="0" fontId="117" fillId="2" borderId="36" xfId="0" applyNumberFormat="1" applyFont="1" applyFill="1" applyBorder="1" applyAlignment="1" applyProtection="1">
      <alignment horizontal="center" vertical="center" wrapText="1"/>
    </xf>
    <xf numFmtId="0" fontId="117" fillId="2" borderId="8" xfId="0" applyNumberFormat="1" applyFont="1" applyFill="1" applyBorder="1" applyAlignment="1" applyProtection="1">
      <alignment horizontal="center" vertical="center" wrapText="1"/>
    </xf>
    <xf numFmtId="0" fontId="25" fillId="2" borderId="31" xfId="0" applyNumberFormat="1" applyFont="1" applyFill="1" applyBorder="1" applyAlignment="1" applyProtection="1">
      <alignment horizontal="center" vertical="center" wrapText="1"/>
    </xf>
    <xf numFmtId="0" fontId="129" fillId="0" borderId="0" xfId="0" applyFont="1" applyBorder="1" applyAlignment="1" applyProtection="1">
      <alignment horizontal="center" wrapText="1"/>
    </xf>
    <xf numFmtId="0" fontId="0" fillId="0" borderId="31" xfId="0" applyBorder="1" applyAlignment="1" applyProtection="1">
      <alignment horizontal="center" vertical="center" wrapText="1"/>
    </xf>
    <xf numFmtId="0" fontId="25" fillId="2" borderId="35" xfId="0" applyNumberFormat="1" applyFont="1" applyFill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 vertical="center"/>
    </xf>
    <xf numFmtId="0" fontId="25" fillId="2" borderId="77" xfId="0" applyNumberFormat="1" applyFont="1" applyFill="1" applyBorder="1" applyAlignment="1" applyProtection="1">
      <alignment horizontal="center" vertical="center"/>
    </xf>
    <xf numFmtId="0" fontId="25" fillId="2" borderId="326" xfId="0" applyNumberFormat="1" applyFont="1" applyFill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 wrapText="1"/>
    </xf>
    <xf numFmtId="169" fontId="0" fillId="0" borderId="176" xfId="0" applyNumberFormat="1" applyBorder="1" applyAlignment="1" applyProtection="1">
      <alignment horizontal="center"/>
    </xf>
    <xf numFmtId="0" fontId="0" fillId="0" borderId="289" xfId="0" applyBorder="1" applyAlignment="1" applyProtection="1">
      <alignment horizontal="center"/>
    </xf>
    <xf numFmtId="0" fontId="118" fillId="2" borderId="530" xfId="0" applyNumberFormat="1" applyFont="1" applyFill="1" applyBorder="1" applyAlignment="1" applyProtection="1">
      <alignment horizontal="center" vertical="center" wrapText="1"/>
    </xf>
    <xf numFmtId="0" fontId="118" fillId="2" borderId="447" xfId="0" applyNumberFormat="1" applyFont="1" applyFill="1" applyBorder="1" applyAlignment="1" applyProtection="1">
      <alignment horizontal="center" vertical="center" wrapText="1"/>
    </xf>
    <xf numFmtId="0" fontId="25" fillId="2" borderId="118" xfId="0" applyNumberFormat="1" applyFont="1" applyFill="1" applyBorder="1" applyAlignment="1" applyProtection="1">
      <alignment horizontal="center" vertical="center" wrapText="1"/>
    </xf>
    <xf numFmtId="0" fontId="25" fillId="2" borderId="319" xfId="0" applyNumberFormat="1" applyFont="1" applyFill="1" applyBorder="1" applyAlignment="1" applyProtection="1">
      <alignment horizontal="center" vertical="center" wrapText="1"/>
    </xf>
    <xf numFmtId="0" fontId="25" fillId="2" borderId="327" xfId="0" applyNumberFormat="1" applyFont="1" applyFill="1" applyBorder="1" applyAlignment="1" applyProtection="1">
      <alignment horizontal="center" vertical="center" wrapText="1"/>
    </xf>
    <xf numFmtId="0" fontId="25" fillId="2" borderId="232" xfId="0" applyNumberFormat="1" applyFont="1" applyFill="1" applyBorder="1" applyAlignment="1" applyProtection="1">
      <alignment horizontal="center" vertical="center" wrapText="1"/>
    </xf>
    <xf numFmtId="0" fontId="25" fillId="2" borderId="328" xfId="0" applyNumberFormat="1" applyFont="1" applyFill="1" applyBorder="1" applyAlignment="1" applyProtection="1">
      <alignment horizontal="center" vertical="center" wrapText="1"/>
    </xf>
    <xf numFmtId="0" fontId="25" fillId="2" borderId="329" xfId="0" applyNumberFormat="1" applyFont="1" applyFill="1" applyBorder="1" applyAlignment="1" applyProtection="1">
      <alignment horizontal="center" vertical="center" wrapText="1"/>
    </xf>
    <xf numFmtId="0" fontId="25" fillId="2" borderId="330" xfId="0" applyNumberFormat="1" applyFont="1" applyFill="1" applyBorder="1" applyAlignment="1" applyProtection="1">
      <alignment horizontal="center" vertical="center" wrapText="1"/>
    </xf>
    <xf numFmtId="0" fontId="25" fillId="2" borderId="331" xfId="0" applyNumberFormat="1" applyFont="1" applyFill="1" applyBorder="1" applyAlignment="1" applyProtection="1">
      <alignment horizontal="center" vertical="center" wrapText="1"/>
    </xf>
    <xf numFmtId="0" fontId="25" fillId="2" borderId="332" xfId="0" applyNumberFormat="1" applyFont="1" applyFill="1" applyBorder="1" applyAlignment="1" applyProtection="1">
      <alignment horizontal="center" vertical="center" wrapText="1"/>
    </xf>
    <xf numFmtId="0" fontId="25" fillId="2" borderId="143" xfId="0" applyNumberFormat="1" applyFont="1" applyFill="1" applyBorder="1" applyAlignment="1" applyProtection="1">
      <alignment horizontal="center" vertical="center" wrapText="1"/>
    </xf>
    <xf numFmtId="49" fontId="25" fillId="2" borderId="333" xfId="0" applyNumberFormat="1" applyFont="1" applyFill="1" applyBorder="1" applyAlignment="1" applyProtection="1">
      <alignment horizontal="center" vertical="center" wrapText="1"/>
    </xf>
    <xf numFmtId="49" fontId="25" fillId="2" borderId="254" xfId="0" applyNumberFormat="1" applyFont="1" applyFill="1" applyBorder="1" applyAlignment="1" applyProtection="1">
      <alignment horizontal="center" vertical="center" wrapText="1"/>
    </xf>
    <xf numFmtId="49" fontId="25" fillId="2" borderId="334" xfId="0" applyNumberFormat="1" applyFont="1" applyFill="1" applyBorder="1" applyAlignment="1" applyProtection="1">
      <alignment horizontal="center" vertical="center" wrapText="1"/>
    </xf>
    <xf numFmtId="49" fontId="25" fillId="2" borderId="253" xfId="0" applyNumberFormat="1" applyFont="1" applyFill="1" applyBorder="1" applyAlignment="1" applyProtection="1">
      <alignment horizontal="center" vertical="center" wrapText="1"/>
    </xf>
    <xf numFmtId="49" fontId="25" fillId="2" borderId="335" xfId="0" applyNumberFormat="1" applyFont="1" applyFill="1" applyBorder="1" applyAlignment="1" applyProtection="1">
      <alignment horizontal="center" vertical="center" wrapText="1"/>
    </xf>
    <xf numFmtId="49" fontId="25" fillId="2" borderId="177" xfId="0" applyNumberFormat="1" applyFont="1" applyFill="1" applyBorder="1" applyAlignment="1" applyProtection="1">
      <alignment horizontal="center" vertical="center" wrapText="1"/>
    </xf>
    <xf numFmtId="49" fontId="25" fillId="2" borderId="36" xfId="0" applyNumberFormat="1" applyFont="1" applyFill="1" applyBorder="1" applyAlignment="1" applyProtection="1">
      <alignment horizontal="center" vertical="center" wrapText="1"/>
    </xf>
    <xf numFmtId="49" fontId="25" fillId="2" borderId="115" xfId="0" applyNumberFormat="1" applyFont="1" applyFill="1" applyBorder="1" applyAlignment="1" applyProtection="1">
      <alignment horizontal="center" vertical="center" wrapText="1"/>
    </xf>
    <xf numFmtId="49" fontId="25" fillId="2" borderId="5" xfId="0" applyNumberFormat="1" applyFont="1" applyFill="1" applyBorder="1" applyAlignment="1" applyProtection="1">
      <alignment horizontal="center" vertical="center"/>
    </xf>
    <xf numFmtId="49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12" xfId="0" applyNumberFormat="1" applyFont="1" applyFill="1" applyBorder="1" applyAlignment="1" applyProtection="1">
      <alignment horizontal="center" vertical="center" wrapText="1"/>
    </xf>
    <xf numFmtId="49" fontId="25" fillId="2" borderId="131" xfId="0" applyNumberFormat="1" applyFont="1" applyFill="1" applyBorder="1" applyAlignment="1" applyProtection="1">
      <alignment horizontal="center" vertical="center" wrapText="1"/>
    </xf>
    <xf numFmtId="49" fontId="25" fillId="2" borderId="8" xfId="0" applyNumberFormat="1" applyFont="1" applyFill="1" applyBorder="1" applyAlignment="1" applyProtection="1">
      <alignment horizontal="center" vertical="center" wrapText="1"/>
    </xf>
    <xf numFmtId="49" fontId="25" fillId="2" borderId="76" xfId="0" applyNumberFormat="1" applyFont="1" applyFill="1" applyBorder="1" applyAlignment="1" applyProtection="1">
      <alignment horizontal="center" vertical="center"/>
    </xf>
    <xf numFmtId="49" fontId="25" fillId="2" borderId="115" xfId="0" applyNumberFormat="1" applyFont="1" applyFill="1" applyBorder="1" applyAlignment="1" applyProtection="1">
      <alignment horizontal="center" vertical="center"/>
    </xf>
    <xf numFmtId="49" fontId="25" fillId="2" borderId="28" xfId="0" applyNumberFormat="1" applyFont="1" applyFill="1" applyBorder="1" applyAlignment="1" applyProtection="1">
      <alignment horizontal="center" vertical="center" wrapText="1"/>
    </xf>
    <xf numFmtId="49" fontId="25" fillId="2" borderId="80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 wrapText="1"/>
    </xf>
    <xf numFmtId="49" fontId="25" fillId="2" borderId="81" xfId="0" applyNumberFormat="1" applyFont="1" applyFill="1" applyBorder="1" applyAlignment="1" applyProtection="1">
      <alignment horizontal="center" vertical="center" wrapText="1"/>
    </xf>
    <xf numFmtId="49" fontId="25" fillId="2" borderId="42" xfId="0" applyNumberFormat="1" applyFont="1" applyFill="1" applyBorder="1" applyAlignment="1" applyProtection="1">
      <alignment horizontal="center" vertical="center" wrapText="1"/>
    </xf>
    <xf numFmtId="49" fontId="25" fillId="2" borderId="209" xfId="0" applyNumberFormat="1" applyFont="1" applyFill="1" applyBorder="1" applyAlignment="1" applyProtection="1">
      <alignment horizontal="center" vertical="center" wrapText="1"/>
    </xf>
    <xf numFmtId="49" fontId="25" fillId="2" borderId="3" xfId="0" applyNumberFormat="1" applyFont="1" applyFill="1" applyBorder="1" applyAlignment="1" applyProtection="1">
      <alignment horizontal="center" vertical="center" wrapText="1"/>
    </xf>
    <xf numFmtId="0" fontId="25" fillId="6" borderId="250" xfId="0" applyNumberFormat="1" applyFont="1" applyFill="1" applyBorder="1" applyAlignment="1" applyProtection="1">
      <alignment horizontal="center" vertical="center" wrapText="1"/>
    </xf>
    <xf numFmtId="0" fontId="25" fillId="2" borderId="0" xfId="0" applyNumberFormat="1" applyFont="1" applyFill="1" applyBorder="1" applyAlignment="1" applyProtection="1">
      <alignment horizontal="center" vertical="center" wrapText="1"/>
    </xf>
    <xf numFmtId="0" fontId="25" fillId="9" borderId="364" xfId="0" applyNumberFormat="1" applyFont="1" applyFill="1" applyBorder="1" applyAlignment="1" applyProtection="1">
      <alignment horizontal="center" vertical="center" wrapText="1"/>
    </xf>
    <xf numFmtId="0" fontId="25" fillId="9" borderId="125" xfId="0" applyNumberFormat="1" applyFont="1" applyFill="1" applyBorder="1" applyAlignment="1" applyProtection="1">
      <alignment horizontal="center" vertical="center" wrapText="1"/>
    </xf>
    <xf numFmtId="0" fontId="108" fillId="0" borderId="481" xfId="0" applyNumberFormat="1" applyFont="1" applyFill="1" applyBorder="1" applyAlignment="1" applyProtection="1">
      <alignment horizontal="center" vertical="center" wrapText="1"/>
    </xf>
    <xf numFmtId="0" fontId="108" fillId="0" borderId="482" xfId="0" applyNumberFormat="1" applyFont="1" applyFill="1" applyBorder="1" applyAlignment="1" applyProtection="1">
      <alignment horizontal="center" vertical="center" wrapText="1"/>
    </xf>
    <xf numFmtId="49" fontId="25" fillId="2" borderId="447" xfId="0" applyNumberFormat="1" applyFont="1" applyFill="1" applyBorder="1" applyAlignment="1" applyProtection="1">
      <alignment horizontal="center" vertical="center" wrapText="1"/>
    </xf>
    <xf numFmtId="49" fontId="25" fillId="2" borderId="428" xfId="0" applyNumberFormat="1" applyFont="1" applyFill="1" applyBorder="1" applyAlignment="1" applyProtection="1">
      <alignment horizontal="center" vertical="center" wrapText="1"/>
    </xf>
    <xf numFmtId="49" fontId="25" fillId="2" borderId="429" xfId="0" applyNumberFormat="1" applyFont="1" applyFill="1" applyBorder="1" applyAlignment="1" applyProtection="1">
      <alignment horizontal="center" vertical="center" wrapText="1"/>
    </xf>
    <xf numFmtId="0" fontId="65" fillId="0" borderId="0" xfId="0" applyNumberFormat="1" applyFont="1" applyAlignment="1" applyProtection="1">
      <alignment horizontal="center" vertical="top" wrapText="1"/>
    </xf>
    <xf numFmtId="0" fontId="72" fillId="0" borderId="0" xfId="0" applyNumberFormat="1" applyFont="1" applyFill="1" applyBorder="1" applyAlignment="1" applyProtection="1">
      <alignment horizontal="center" vertical="top" wrapText="1"/>
    </xf>
    <xf numFmtId="0" fontId="180" fillId="0" borderId="0" xfId="0" applyNumberFormat="1" applyFont="1" applyFill="1" applyAlignment="1" applyProtection="1">
      <alignment horizontal="center" vertical="top" wrapText="1"/>
    </xf>
    <xf numFmtId="0" fontId="180" fillId="0" borderId="0" xfId="0" applyNumberFormat="1" applyFont="1" applyFill="1" applyAlignment="1" applyProtection="1">
      <alignment horizontal="center" vertical="top"/>
    </xf>
    <xf numFmtId="49" fontId="25" fillId="2" borderId="361" xfId="0" applyNumberFormat="1" applyFont="1" applyFill="1" applyBorder="1" applyAlignment="1" applyProtection="1">
      <alignment horizontal="center" vertical="center" wrapText="1"/>
    </xf>
    <xf numFmtId="49" fontId="25" fillId="2" borderId="362" xfId="0" applyNumberFormat="1" applyFont="1" applyFill="1" applyBorder="1" applyAlignment="1" applyProtection="1">
      <alignment horizontal="center" vertical="center" wrapText="1"/>
    </xf>
    <xf numFmtId="0" fontId="72" fillId="0" borderId="0" xfId="0" applyNumberFormat="1" applyFont="1" applyFill="1" applyAlignment="1" applyProtection="1">
      <alignment horizontal="center" vertical="top" wrapText="1"/>
    </xf>
    <xf numFmtId="49" fontId="25" fillId="2" borderId="31" xfId="0" applyNumberFormat="1" applyFont="1" applyFill="1" applyBorder="1" applyAlignment="1" applyProtection="1">
      <alignment horizontal="center" vertical="center" wrapText="1"/>
    </xf>
    <xf numFmtId="0" fontId="157" fillId="0" borderId="0" xfId="0" applyNumberFormat="1" applyFont="1" applyAlignment="1" applyProtection="1">
      <alignment horizontal="center"/>
    </xf>
    <xf numFmtId="0" fontId="25" fillId="9" borderId="363" xfId="0" applyNumberFormat="1" applyFont="1" applyFill="1" applyBorder="1" applyAlignment="1" applyProtection="1">
      <alignment horizontal="center" vertical="center" wrapText="1"/>
    </xf>
    <xf numFmtId="0" fontId="0" fillId="0" borderId="131" xfId="0" applyBorder="1" applyAlignment="1">
      <alignment horizontal="center" vertical="center" wrapText="1"/>
    </xf>
    <xf numFmtId="49" fontId="25" fillId="2" borderId="358" xfId="0" applyNumberFormat="1" applyFont="1" applyFill="1" applyBorder="1" applyAlignment="1" applyProtection="1">
      <alignment horizontal="center" vertical="center" wrapText="1"/>
    </xf>
    <xf numFmtId="49" fontId="25" fillId="2" borderId="359" xfId="0" applyNumberFormat="1" applyFont="1" applyFill="1" applyBorder="1" applyAlignment="1" applyProtection="1">
      <alignment horizontal="center" vertical="center" wrapText="1"/>
    </xf>
    <xf numFmtId="0" fontId="25" fillId="6" borderId="360" xfId="0" applyNumberFormat="1" applyFont="1" applyFill="1" applyBorder="1" applyAlignment="1" applyProtection="1">
      <alignment horizontal="center" vertical="center" wrapText="1"/>
    </xf>
    <xf numFmtId="0" fontId="25" fillId="9" borderId="358" xfId="0" applyNumberFormat="1" applyFont="1" applyFill="1" applyBorder="1" applyAlignment="1" applyProtection="1">
      <alignment horizontal="center" vertical="center" wrapText="1"/>
    </xf>
    <xf numFmtId="0" fontId="25" fillId="9" borderId="360" xfId="0" applyNumberFormat="1" applyFont="1" applyFill="1" applyBorder="1" applyAlignment="1" applyProtection="1">
      <alignment horizontal="center" vertical="center" wrapText="1"/>
    </xf>
    <xf numFmtId="0" fontId="25" fillId="9" borderId="359" xfId="0" applyNumberFormat="1" applyFont="1" applyFill="1" applyBorder="1" applyAlignment="1" applyProtection="1">
      <alignment horizontal="center" vertical="center" wrapText="1"/>
    </xf>
    <xf numFmtId="49" fontId="25" fillId="2" borderId="357" xfId="0" applyNumberFormat="1" applyFont="1" applyFill="1" applyBorder="1" applyAlignment="1" applyProtection="1">
      <alignment horizontal="center" vertical="center" wrapText="1"/>
    </xf>
    <xf numFmtId="49" fontId="25" fillId="2" borderId="529" xfId="0" applyNumberFormat="1" applyFont="1" applyFill="1" applyBorder="1" applyAlignment="1" applyProtection="1">
      <alignment horizontal="center" vertical="center" wrapText="1"/>
    </xf>
    <xf numFmtId="0" fontId="25" fillId="6" borderId="358" xfId="0" applyNumberFormat="1" applyFont="1" applyFill="1" applyBorder="1" applyAlignment="1" applyProtection="1">
      <alignment horizontal="center" vertical="center" wrapText="1"/>
    </xf>
    <xf numFmtId="0" fontId="25" fillId="6" borderId="359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horizontal="center" vertical="top" wrapText="1"/>
    </xf>
    <xf numFmtId="49" fontId="25" fillId="2" borderId="555" xfId="0" applyNumberFormat="1" applyFont="1" applyFill="1" applyBorder="1" applyAlignment="1" applyProtection="1">
      <alignment horizontal="center" vertical="center" wrapText="1"/>
    </xf>
    <xf numFmtId="49" fontId="25" fillId="2" borderId="399" xfId="0" applyNumberFormat="1" applyFont="1" applyFill="1" applyBorder="1" applyAlignment="1" applyProtection="1">
      <alignment horizontal="center" vertical="center" wrapText="1"/>
    </xf>
    <xf numFmtId="49" fontId="25" fillId="2" borderId="556" xfId="0" applyNumberFormat="1" applyFont="1" applyFill="1" applyBorder="1" applyAlignment="1" applyProtection="1">
      <alignment horizontal="center" vertical="center" wrapText="1"/>
    </xf>
    <xf numFmtId="49" fontId="32" fillId="143" borderId="557" xfId="0" applyNumberFormat="1" applyFont="1" applyFill="1" applyBorder="1" applyAlignment="1" applyProtection="1">
      <alignment horizontal="center" vertical="center" wrapText="1"/>
    </xf>
    <xf numFmtId="49" fontId="32" fillId="143" borderId="285" xfId="0" applyNumberFormat="1" applyFont="1" applyFill="1" applyBorder="1" applyAlignment="1" applyProtection="1">
      <alignment horizontal="center" vertical="center" wrapText="1"/>
    </xf>
    <xf numFmtId="49" fontId="21" fillId="0" borderId="0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>
      <alignment horizontal="center" wrapText="1"/>
    </xf>
    <xf numFmtId="49" fontId="25" fillId="2" borderId="338" xfId="0" applyNumberFormat="1" applyFont="1" applyFill="1" applyBorder="1" applyAlignment="1" applyProtection="1">
      <alignment horizontal="center" vertical="center" wrapText="1"/>
    </xf>
    <xf numFmtId="49" fontId="25" fillId="2" borderId="339" xfId="0" applyNumberFormat="1" applyFont="1" applyFill="1" applyBorder="1" applyAlignment="1" applyProtection="1">
      <alignment horizontal="center" vertical="center" wrapText="1"/>
    </xf>
    <xf numFmtId="49" fontId="25" fillId="2" borderId="448" xfId="0" applyNumberFormat="1" applyFont="1" applyFill="1" applyBorder="1" applyAlignment="1" applyProtection="1">
      <alignment horizontal="center" vertical="center" wrapText="1"/>
    </xf>
    <xf numFmtId="0" fontId="0" fillId="0" borderId="249" xfId="0" applyBorder="1" applyAlignment="1">
      <alignment horizontal="center" vertical="center" wrapText="1"/>
    </xf>
    <xf numFmtId="0" fontId="0" fillId="0" borderId="0" xfId="0" applyAlignment="1"/>
    <xf numFmtId="0" fontId="25" fillId="2" borderId="409" xfId="0" applyNumberFormat="1" applyFont="1" applyFill="1" applyBorder="1" applyAlignment="1" applyProtection="1">
      <alignment horizontal="center" vertical="center" wrapText="1"/>
    </xf>
    <xf numFmtId="0" fontId="25" fillId="2" borderId="28" xfId="0" applyNumberFormat="1" applyFont="1" applyFill="1" applyBorder="1" applyAlignment="1" applyProtection="1">
      <alignment horizontal="center" vertical="center" wrapText="1"/>
    </xf>
    <xf numFmtId="0" fontId="25" fillId="2" borderId="109" xfId="0" applyNumberFormat="1" applyFont="1" applyFill="1" applyBorder="1" applyAlignment="1" applyProtection="1">
      <alignment horizontal="center" vertical="center" wrapText="1"/>
    </xf>
    <xf numFmtId="4" fontId="26" fillId="6" borderId="7" xfId="0" applyNumberFormat="1" applyFont="1" applyFill="1" applyBorder="1" applyAlignment="1" applyProtection="1">
      <alignment horizontal="center" vertical="center" wrapText="1"/>
    </xf>
    <xf numFmtId="4" fontId="26" fillId="6" borderId="5" xfId="0" applyNumberFormat="1" applyFont="1" applyFill="1" applyBorder="1" applyAlignment="1" applyProtection="1">
      <alignment horizontal="center" vertical="center" wrapText="1"/>
    </xf>
    <xf numFmtId="4" fontId="25" fillId="6" borderId="7" xfId="0" applyNumberFormat="1" applyFont="1" applyFill="1" applyBorder="1" applyAlignment="1" applyProtection="1">
      <alignment horizontal="center" vertical="center" wrapText="1"/>
    </xf>
    <xf numFmtId="4" fontId="25" fillId="6" borderId="5" xfId="0" applyNumberFormat="1" applyFont="1" applyFill="1" applyBorder="1" applyAlignment="1" applyProtection="1">
      <alignment horizontal="center" vertical="center" wrapText="1"/>
    </xf>
    <xf numFmtId="0" fontId="25" fillId="6" borderId="4" xfId="0" applyNumberFormat="1" applyFont="1" applyFill="1" applyBorder="1" applyAlignment="1" applyProtection="1">
      <alignment horizontal="center" vertical="center" wrapText="1"/>
    </xf>
    <xf numFmtId="0" fontId="26" fillId="2" borderId="4" xfId="0" applyNumberFormat="1" applyFont="1" applyFill="1" applyBorder="1" applyAlignment="1" applyProtection="1">
      <alignment horizontal="center" vertical="center" wrapText="1"/>
    </xf>
    <xf numFmtId="0" fontId="26" fillId="2" borderId="81" xfId="0" applyNumberFormat="1" applyFont="1" applyFill="1" applyBorder="1" applyAlignment="1" applyProtection="1">
      <alignment horizontal="center" vertical="center" wrapText="1"/>
    </xf>
    <xf numFmtId="49" fontId="25" fillId="2" borderId="4" xfId="0" applyNumberFormat="1" applyFont="1" applyFill="1" applyBorder="1" applyAlignment="1" applyProtection="1">
      <alignment horizontal="center" vertical="center"/>
    </xf>
    <xf numFmtId="49" fontId="25" fillId="2" borderId="131" xfId="0" applyNumberFormat="1" applyFont="1" applyFill="1" applyBorder="1" applyAlignment="1" applyProtection="1">
      <alignment horizontal="center" vertical="center"/>
    </xf>
    <xf numFmtId="49" fontId="25" fillId="2" borderId="82" xfId="0" applyNumberFormat="1" applyFont="1" applyFill="1" applyBorder="1" applyAlignment="1" applyProtection="1">
      <alignment horizontal="center" vertical="center" wrapText="1"/>
    </xf>
    <xf numFmtId="49" fontId="25" fillId="2" borderId="340" xfId="0" applyNumberFormat="1" applyFont="1" applyFill="1" applyBorder="1" applyAlignment="1" applyProtection="1">
      <alignment horizontal="center" vertical="center" wrapText="1"/>
    </xf>
    <xf numFmtId="49" fontId="25" fillId="6" borderId="12" xfId="0" applyNumberFormat="1" applyFont="1" applyFill="1" applyBorder="1" applyAlignment="1" applyProtection="1">
      <alignment horizontal="center" vertical="center" wrapText="1"/>
    </xf>
    <xf numFmtId="49" fontId="26" fillId="6" borderId="447" xfId="0" applyNumberFormat="1" applyFont="1" applyFill="1" applyBorder="1" applyAlignment="1" applyProtection="1">
      <alignment horizontal="center" vertical="center" wrapText="1"/>
    </xf>
    <xf numFmtId="0" fontId="0" fillId="0" borderId="447" xfId="0" applyBorder="1" applyAlignment="1">
      <alignment horizontal="center" vertical="center" wrapText="1"/>
    </xf>
    <xf numFmtId="49" fontId="26" fillId="6" borderId="12" xfId="0" applyNumberFormat="1" applyFont="1" applyFill="1" applyBorder="1" applyAlignment="1" applyProtection="1">
      <alignment horizontal="center" vertical="center" wrapText="1"/>
    </xf>
    <xf numFmtId="49" fontId="69" fillId="2" borderId="7" xfId="0" applyNumberFormat="1" applyFont="1" applyFill="1" applyBorder="1" applyAlignment="1" applyProtection="1">
      <alignment horizontal="center" vertical="center" wrapText="1"/>
    </xf>
    <xf numFmtId="49" fontId="23" fillId="0" borderId="63" xfId="0" applyNumberFormat="1" applyFont="1" applyFill="1" applyBorder="1" applyAlignment="1" applyProtection="1">
      <alignment horizontal="center"/>
    </xf>
    <xf numFmtId="0" fontId="25" fillId="2" borderId="4" xfId="0" applyNumberFormat="1" applyFont="1" applyFill="1" applyBorder="1" applyAlignment="1" applyProtection="1">
      <alignment horizontal="center" vertical="center" wrapText="1"/>
    </xf>
    <xf numFmtId="0" fontId="0" fillId="0" borderId="81" xfId="0" applyBorder="1" applyProtection="1"/>
    <xf numFmtId="0" fontId="0" fillId="0" borderId="131" xfId="0" applyBorder="1" applyProtection="1"/>
    <xf numFmtId="49" fontId="25" fillId="2" borderId="441" xfId="0" applyNumberFormat="1" applyFont="1" applyFill="1" applyBorder="1" applyAlignment="1" applyProtection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25" fillId="2" borderId="12" xfId="0" applyNumberFormat="1" applyFont="1" applyFill="1" applyBorder="1" applyAlignment="1" applyProtection="1">
      <alignment horizontal="center" vertical="center"/>
    </xf>
    <xf numFmtId="0" fontId="25" fillId="2" borderId="81" xfId="0" applyNumberFormat="1" applyFont="1" applyFill="1" applyBorder="1" applyAlignment="1" applyProtection="1">
      <alignment horizontal="center" vertical="center"/>
    </xf>
    <xf numFmtId="0" fontId="26" fillId="2" borderId="12" xfId="0" applyNumberFormat="1" applyFont="1" applyFill="1" applyBorder="1" applyAlignment="1" applyProtection="1">
      <alignment horizontal="center" vertical="center" wrapText="1"/>
    </xf>
    <xf numFmtId="49" fontId="25" fillId="6" borderId="57" xfId="0" applyNumberFormat="1" applyFont="1" applyFill="1" applyBorder="1" applyAlignment="1" applyProtection="1">
      <alignment horizontal="center" vertical="center" wrapText="1"/>
    </xf>
    <xf numFmtId="49" fontId="25" fillId="6" borderId="116" xfId="0" applyNumberFormat="1" applyFont="1" applyFill="1" applyBorder="1" applyAlignment="1" applyProtection="1">
      <alignment horizontal="center" vertical="center" wrapText="1"/>
    </xf>
    <xf numFmtId="49" fontId="25" fillId="6" borderId="249" xfId="0" applyNumberFormat="1" applyFont="1" applyFill="1" applyBorder="1" applyAlignment="1" applyProtection="1">
      <alignment horizontal="center" vertical="center" wrapText="1"/>
    </xf>
    <xf numFmtId="49" fontId="25" fillId="2" borderId="57" xfId="0" applyNumberFormat="1" applyFont="1" applyFill="1" applyBorder="1" applyAlignment="1" applyProtection="1">
      <alignment horizontal="center" vertical="center" wrapText="1"/>
    </xf>
    <xf numFmtId="49" fontId="25" fillId="2" borderId="116" xfId="0" applyNumberFormat="1" applyFont="1" applyFill="1" applyBorder="1" applyAlignment="1" applyProtection="1">
      <alignment horizontal="center" vertical="center" wrapText="1"/>
    </xf>
    <xf numFmtId="49" fontId="25" fillId="2" borderId="249" xfId="0" applyNumberFormat="1" applyFont="1" applyFill="1" applyBorder="1" applyAlignment="1" applyProtection="1">
      <alignment horizontal="center" vertical="center" wrapText="1"/>
    </xf>
    <xf numFmtId="49" fontId="25" fillId="6" borderId="7" xfId="0" applyNumberFormat="1" applyFont="1" applyFill="1" applyBorder="1" applyAlignment="1" applyProtection="1">
      <alignment horizontal="center" vertical="center" wrapText="1"/>
    </xf>
    <xf numFmtId="0" fontId="0" fillId="0" borderId="116" xfId="0" applyBorder="1" applyAlignment="1">
      <alignment horizontal="center" vertical="center" wrapText="1"/>
    </xf>
    <xf numFmtId="0" fontId="0" fillId="0" borderId="250" xfId="0" applyBorder="1" applyAlignment="1"/>
    <xf numFmtId="0" fontId="25" fillId="9" borderId="36" xfId="0" applyNumberFormat="1" applyFont="1" applyFill="1" applyBorder="1" applyAlignment="1" applyProtection="1">
      <alignment horizontal="center" vertical="center" wrapText="1"/>
    </xf>
    <xf numFmtId="0" fontId="25" fillId="9" borderId="8" xfId="0" applyNumberFormat="1" applyFont="1" applyFill="1" applyBorder="1" applyAlignment="1" applyProtection="1">
      <alignment horizontal="center" vertical="center" wrapText="1"/>
    </xf>
    <xf numFmtId="0" fontId="26" fillId="9" borderId="7" xfId="0" applyNumberFormat="1" applyFont="1" applyFill="1" applyBorder="1" applyAlignment="1" applyProtection="1">
      <alignment horizontal="center" vertical="center" wrapText="1"/>
    </xf>
    <xf numFmtId="0" fontId="26" fillId="9" borderId="5" xfId="0" applyNumberFormat="1" applyFont="1" applyFill="1" applyBorder="1" applyAlignment="1" applyProtection="1">
      <alignment horizontal="center" vertical="center" wrapText="1"/>
    </xf>
    <xf numFmtId="0" fontId="25" fillId="9" borderId="7" xfId="0" applyNumberFormat="1" applyFont="1" applyFill="1" applyBorder="1" applyAlignment="1" applyProtection="1">
      <alignment horizontal="center" vertical="center" wrapText="1"/>
    </xf>
    <xf numFmtId="0" fontId="25" fillId="9" borderId="131" xfId="0" applyNumberFormat="1" applyFont="1" applyFill="1" applyBorder="1" applyAlignment="1" applyProtection="1">
      <alignment horizontal="center" vertical="center" wrapText="1"/>
    </xf>
    <xf numFmtId="0" fontId="25" fillId="9" borderId="4" xfId="0" applyNumberFormat="1" applyFont="1" applyFill="1" applyBorder="1" applyAlignment="1" applyProtection="1">
      <alignment horizontal="center" vertical="center" wrapText="1"/>
    </xf>
    <xf numFmtId="0" fontId="44" fillId="0" borderId="131" xfId="0" applyFont="1" applyBorder="1" applyAlignment="1">
      <alignment horizontal="center" vertical="center" wrapText="1"/>
    </xf>
    <xf numFmtId="0" fontId="25" fillId="9" borderId="35" xfId="0" applyNumberFormat="1" applyFont="1" applyFill="1" applyBorder="1" applyAlignment="1" applyProtection="1">
      <alignment horizontal="center" vertical="center" wrapText="1"/>
    </xf>
    <xf numFmtId="0" fontId="25" fillId="9" borderId="31" xfId="0" applyNumberFormat="1" applyFont="1" applyFill="1" applyBorder="1" applyAlignment="1" applyProtection="1">
      <alignment horizontal="center" vertical="center" wrapText="1"/>
    </xf>
    <xf numFmtId="0" fontId="25" fillId="9" borderId="5" xfId="0" applyNumberFormat="1" applyFont="1" applyFill="1" applyBorder="1" applyAlignment="1" applyProtection="1">
      <alignment horizontal="center" vertical="center" wrapText="1"/>
    </xf>
    <xf numFmtId="0" fontId="69" fillId="9" borderId="7" xfId="0" applyNumberFormat="1" applyFont="1" applyFill="1" applyBorder="1" applyAlignment="1" applyProtection="1">
      <alignment horizontal="center" vertical="center" wrapText="1"/>
    </xf>
    <xf numFmtId="0" fontId="69" fillId="9" borderId="5" xfId="0" applyNumberFormat="1" applyFont="1" applyFill="1" applyBorder="1" applyAlignment="1" applyProtection="1">
      <alignment horizontal="center" vertical="center" wrapText="1"/>
    </xf>
    <xf numFmtId="0" fontId="25" fillId="9" borderId="28" xfId="0" applyNumberFormat="1" applyFont="1" applyFill="1" applyBorder="1" applyAlignment="1" applyProtection="1">
      <alignment horizontal="center" vertical="center" wrapText="1"/>
    </xf>
    <xf numFmtId="0" fontId="25" fillId="9" borderId="109" xfId="0" applyNumberFormat="1" applyFont="1" applyFill="1" applyBorder="1" applyAlignment="1" applyProtection="1">
      <alignment horizontal="center" vertical="center" wrapText="1"/>
    </xf>
    <xf numFmtId="0" fontId="26" fillId="9" borderId="4" xfId="0" applyNumberFormat="1" applyFont="1" applyFill="1" applyBorder="1" applyAlignment="1" applyProtection="1">
      <alignment horizontal="center" vertical="center" wrapText="1"/>
    </xf>
    <xf numFmtId="0" fontId="26" fillId="9" borderId="131" xfId="0" applyNumberFormat="1" applyFont="1" applyFill="1" applyBorder="1" applyAlignment="1" applyProtection="1">
      <alignment horizontal="center" vertical="center" wrapText="1"/>
    </xf>
    <xf numFmtId="0" fontId="26" fillId="9" borderId="76" xfId="0" applyNumberFormat="1" applyFont="1" applyFill="1" applyBorder="1" applyAlignment="1" applyProtection="1">
      <alignment horizontal="center" vertical="center" wrapText="1"/>
    </xf>
    <xf numFmtId="0" fontId="26" fillId="9" borderId="3" xfId="0" applyNumberFormat="1" applyFont="1" applyFill="1" applyBorder="1" applyAlignment="1" applyProtection="1">
      <alignment horizontal="center" vertical="center" wrapText="1"/>
    </xf>
    <xf numFmtId="0" fontId="25" fillId="9" borderId="42" xfId="0" applyNumberFormat="1" applyFont="1" applyFill="1" applyBorder="1" applyAlignment="1" applyProtection="1">
      <alignment horizontal="center" vertical="center" wrapText="1"/>
    </xf>
    <xf numFmtId="0" fontId="25" fillId="9" borderId="209" xfId="0" applyNumberFormat="1" applyFont="1" applyFill="1" applyBorder="1" applyAlignment="1" applyProtection="1">
      <alignment horizontal="center" vertical="center" wrapText="1"/>
    </xf>
    <xf numFmtId="0" fontId="25" fillId="2" borderId="176" xfId="0" applyNumberFormat="1" applyFont="1" applyFill="1" applyBorder="1" applyAlignment="1" applyProtection="1">
      <alignment horizontal="center" vertical="center" wrapText="1"/>
    </xf>
    <xf numFmtId="0" fontId="25" fillId="2" borderId="289" xfId="0" applyNumberFormat="1" applyFont="1" applyFill="1" applyBorder="1" applyAlignment="1" applyProtection="1">
      <alignment horizontal="center" vertical="center" wrapText="1"/>
    </xf>
    <xf numFmtId="0" fontId="25" fillId="2" borderId="113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Border="1" applyAlignment="1" applyProtection="1">
      <alignment horizontal="center" wrapText="1"/>
    </xf>
    <xf numFmtId="0" fontId="26" fillId="6" borderId="76" xfId="0" applyNumberFormat="1" applyFont="1" applyFill="1" applyBorder="1" applyAlignment="1" applyProtection="1">
      <alignment horizontal="center" vertical="center" wrapText="1"/>
    </xf>
    <xf numFmtId="0" fontId="24" fillId="0" borderId="0" xfId="0" applyNumberFormat="1" applyFont="1" applyFill="1" applyBorder="1" applyAlignment="1" applyProtection="1">
      <alignment horizontal="left" vertical="center"/>
    </xf>
    <xf numFmtId="0" fontId="25" fillId="6" borderId="35" xfId="0" applyNumberFormat="1" applyFont="1" applyFill="1" applyBorder="1" applyAlignment="1" applyProtection="1">
      <alignment horizontal="center" vertical="center" wrapText="1"/>
    </xf>
    <xf numFmtId="0" fontId="26" fillId="6" borderId="7" xfId="0" applyNumberFormat="1" applyFont="1" applyFill="1" applyBorder="1" applyAlignment="1" applyProtection="1">
      <alignment horizontal="center" vertical="center" wrapText="1"/>
    </xf>
    <xf numFmtId="0" fontId="121" fillId="0" borderId="63" xfId="0" applyNumberFormat="1" applyFont="1" applyFill="1" applyBorder="1" applyAlignment="1" applyProtection="1">
      <alignment horizontal="center" wrapText="1"/>
    </xf>
    <xf numFmtId="0" fontId="26" fillId="6" borderId="36" xfId="0" applyNumberFormat="1" applyFont="1" applyFill="1" applyBorder="1" applyAlignment="1" applyProtection="1">
      <alignment horizontal="center" vertical="center" wrapText="1"/>
    </xf>
    <xf numFmtId="0" fontId="69" fillId="6" borderId="5" xfId="0" applyNumberFormat="1" applyFont="1" applyFill="1" applyBorder="1" applyAlignment="1" applyProtection="1">
      <alignment horizontal="center" vertical="center" wrapText="1"/>
    </xf>
    <xf numFmtId="0" fontId="25" fillId="2" borderId="441" xfId="0" applyNumberFormat="1" applyFont="1" applyFill="1" applyBorder="1" applyAlignment="1" applyProtection="1">
      <alignment horizontal="center" vertical="center" wrapText="1"/>
    </xf>
    <xf numFmtId="0" fontId="25" fillId="2" borderId="447" xfId="0" applyNumberFormat="1" applyFont="1" applyFill="1" applyBorder="1" applyAlignment="1" applyProtection="1">
      <alignment horizontal="center" vertical="center" wrapText="1"/>
    </xf>
    <xf numFmtId="0" fontId="69" fillId="6" borderId="125" xfId="0" applyNumberFormat="1" applyFont="1" applyFill="1" applyBorder="1" applyAlignment="1" applyProtection="1">
      <alignment horizontal="center" vertical="center" wrapText="1"/>
    </xf>
    <xf numFmtId="0" fontId="69" fillId="6" borderId="341" xfId="0" applyNumberFormat="1" applyFont="1" applyFill="1" applyBorder="1" applyAlignment="1" applyProtection="1">
      <alignment horizontal="center" vertical="center" wrapText="1"/>
    </xf>
    <xf numFmtId="0" fontId="69" fillId="6" borderId="102" xfId="0" applyNumberFormat="1" applyFont="1" applyFill="1" applyBorder="1" applyAlignment="1" applyProtection="1">
      <alignment horizontal="center" vertical="center" wrapText="1"/>
    </xf>
    <xf numFmtId="0" fontId="69" fillId="6" borderId="35" xfId="0" applyNumberFormat="1" applyFont="1" applyFill="1" applyBorder="1" applyAlignment="1" applyProtection="1">
      <alignment horizontal="center" vertical="center" wrapText="1"/>
    </xf>
    <xf numFmtId="0" fontId="69" fillId="6" borderId="31" xfId="0" applyNumberFormat="1" applyFont="1" applyFill="1" applyBorder="1" applyAlignment="1" applyProtection="1">
      <alignment horizontal="center" vertical="center" wrapText="1"/>
    </xf>
    <xf numFmtId="0" fontId="69" fillId="6" borderId="7" xfId="0" applyNumberFormat="1" applyFont="1" applyFill="1" applyBorder="1" applyAlignment="1" applyProtection="1">
      <alignment horizontal="center" vertical="center" wrapText="1"/>
    </xf>
    <xf numFmtId="49" fontId="69" fillId="6" borderId="7" xfId="0" applyNumberFormat="1" applyFont="1" applyFill="1" applyBorder="1" applyAlignment="1" applyProtection="1">
      <alignment horizontal="center" vertical="center" wrapText="1"/>
    </xf>
    <xf numFmtId="49" fontId="69" fillId="6" borderId="5" xfId="0" applyNumberFormat="1" applyFont="1" applyFill="1" applyBorder="1" applyAlignment="1" applyProtection="1">
      <alignment horizontal="center" vertical="center" wrapText="1"/>
    </xf>
    <xf numFmtId="49" fontId="25" fillId="6" borderId="4" xfId="0" applyNumberFormat="1" applyFont="1" applyFill="1" applyBorder="1" applyAlignment="1" applyProtection="1">
      <alignment horizontal="center" vertical="center" wrapText="1"/>
    </xf>
    <xf numFmtId="49" fontId="25" fillId="2" borderId="562" xfId="0" applyNumberFormat="1" applyFont="1" applyFill="1" applyBorder="1" applyAlignment="1" applyProtection="1">
      <alignment horizontal="center" vertical="center" wrapText="1"/>
    </xf>
    <xf numFmtId="0" fontId="0" fillId="0" borderId="563" xfId="0" applyBorder="1" applyAlignment="1">
      <alignment horizontal="center" vertical="center" wrapText="1"/>
    </xf>
    <xf numFmtId="0" fontId="0" fillId="0" borderId="564" xfId="0" applyBorder="1" applyAlignment="1">
      <alignment horizontal="center" vertical="center" wrapText="1"/>
    </xf>
    <xf numFmtId="0" fontId="121" fillId="0" borderId="0" xfId="0" applyNumberFormat="1" applyFont="1" applyFill="1" applyBorder="1" applyAlignment="1" applyProtection="1">
      <alignment horizontal="left" vertical="top" wrapText="1"/>
    </xf>
    <xf numFmtId="0" fontId="69" fillId="6" borderId="131" xfId="0" applyNumberFormat="1" applyFont="1" applyFill="1" applyBorder="1" applyAlignment="1" applyProtection="1">
      <alignment horizontal="center" vertical="center" wrapText="1"/>
    </xf>
    <xf numFmtId="0" fontId="25" fillId="2" borderId="448" xfId="0" applyNumberFormat="1" applyFont="1" applyFill="1" applyBorder="1" applyAlignment="1" applyProtection="1">
      <alignment horizontal="center" vertical="center" wrapText="1"/>
    </xf>
    <xf numFmtId="0" fontId="25" fillId="2" borderId="449" xfId="0" applyNumberFormat="1" applyFont="1" applyFill="1" applyBorder="1" applyAlignment="1" applyProtection="1">
      <alignment horizontal="center" vertical="center" wrapText="1"/>
    </xf>
    <xf numFmtId="0" fontId="121" fillId="0" borderId="0" xfId="0" applyNumberFormat="1" applyFont="1" applyFill="1" applyBorder="1" applyAlignment="1" applyProtection="1">
      <alignment horizontal="center" vertical="top" wrapText="1"/>
    </xf>
    <xf numFmtId="188" fontId="25" fillId="6" borderId="347" xfId="0" applyNumberFormat="1" applyFont="1" applyFill="1" applyBorder="1" applyAlignment="1" applyProtection="1">
      <alignment horizontal="center" vertical="center" wrapText="1"/>
    </xf>
    <xf numFmtId="188" fontId="25" fillId="6" borderId="348" xfId="0" applyNumberFormat="1" applyFont="1" applyFill="1" applyBorder="1" applyAlignment="1" applyProtection="1">
      <alignment horizontal="center" vertical="center" wrapText="1"/>
    </xf>
    <xf numFmtId="0" fontId="25" fillId="6" borderId="347" xfId="0" applyNumberFormat="1" applyFont="1" applyFill="1" applyBorder="1" applyAlignment="1" applyProtection="1">
      <alignment horizontal="center" vertical="center" wrapText="1"/>
    </xf>
    <xf numFmtId="0" fontId="25" fillId="6" borderId="348" xfId="0" applyNumberFormat="1" applyFont="1" applyFill="1" applyBorder="1" applyAlignment="1" applyProtection="1">
      <alignment horizontal="center" vertical="center" wrapText="1"/>
    </xf>
    <xf numFmtId="0" fontId="25" fillId="6" borderId="349" xfId="0" applyNumberFormat="1" applyFont="1" applyFill="1" applyBorder="1" applyAlignment="1" applyProtection="1">
      <alignment horizontal="center" vertical="center" wrapText="1"/>
    </xf>
    <xf numFmtId="0" fontId="25" fillId="6" borderId="115" xfId="0" applyNumberFormat="1" applyFont="1" applyFill="1" applyBorder="1" applyAlignment="1" applyProtection="1">
      <alignment horizontal="center" vertical="center" wrapText="1"/>
    </xf>
    <xf numFmtId="0" fontId="25" fillId="6" borderId="3" xfId="0" applyNumberFormat="1" applyFont="1" applyFill="1" applyBorder="1" applyAlignment="1" applyProtection="1">
      <alignment horizontal="center" vertical="center" wrapText="1"/>
    </xf>
    <xf numFmtId="0" fontId="0" fillId="0" borderId="32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36" xfId="0" applyBorder="1" applyAlignment="1">
      <alignment horizontal="center" vertical="center" wrapText="1"/>
    </xf>
    <xf numFmtId="0" fontId="0" fillId="0" borderId="128" xfId="0" applyBorder="1" applyAlignment="1">
      <alignment horizontal="center" vertical="center" wrapText="1"/>
    </xf>
    <xf numFmtId="0" fontId="0" fillId="0" borderId="250" xfId="0" applyBorder="1" applyAlignment="1">
      <alignment horizontal="center" vertical="center" wrapText="1"/>
    </xf>
    <xf numFmtId="0" fontId="0" fillId="0" borderId="251" xfId="0" applyBorder="1" applyAlignment="1">
      <alignment horizontal="center" vertical="center" wrapText="1"/>
    </xf>
    <xf numFmtId="0" fontId="26" fillId="2" borderId="7" xfId="0" applyNumberFormat="1" applyFont="1" applyFill="1" applyBorder="1" applyAlignment="1" applyProtection="1">
      <alignment horizontal="center" vertical="center" wrapText="1"/>
    </xf>
    <xf numFmtId="0" fontId="26" fillId="2" borderId="5" xfId="0" applyNumberFormat="1" applyFont="1" applyFill="1" applyBorder="1" applyAlignment="1" applyProtection="1">
      <alignment horizontal="center" vertical="center" wrapText="1"/>
    </xf>
    <xf numFmtId="0" fontId="25" fillId="2" borderId="108" xfId="0" applyNumberFormat="1" applyFont="1" applyFill="1" applyBorder="1" applyAlignment="1" applyProtection="1">
      <alignment horizontal="center" vertical="center" wrapText="1"/>
    </xf>
    <xf numFmtId="0" fontId="25" fillId="2" borderId="235" xfId="0" applyNumberFormat="1" applyFont="1" applyFill="1" applyBorder="1" applyAlignment="1" applyProtection="1">
      <alignment horizontal="center" vertical="center" wrapText="1"/>
    </xf>
    <xf numFmtId="0" fontId="25" fillId="2" borderId="251" xfId="0" applyNumberFormat="1" applyFont="1" applyFill="1" applyBorder="1" applyAlignment="1" applyProtection="1">
      <alignment horizontal="center" vertical="center" wrapText="1"/>
    </xf>
    <xf numFmtId="0" fontId="25" fillId="27" borderId="12" xfId="0" applyNumberFormat="1" applyFont="1" applyFill="1" applyBorder="1" applyAlignment="1" applyProtection="1">
      <alignment horizontal="center" vertical="center" wrapText="1"/>
    </xf>
    <xf numFmtId="0" fontId="25" fillId="27" borderId="131" xfId="0" applyNumberFormat="1" applyFont="1" applyFill="1" applyBorder="1" applyAlignment="1" applyProtection="1">
      <alignment horizontal="center" vertical="center" wrapText="1"/>
    </xf>
    <xf numFmtId="0" fontId="25" fillId="2" borderId="81" xfId="0" applyNumberFormat="1" applyFont="1" applyFill="1" applyBorder="1" applyAlignment="1" applyProtection="1">
      <alignment horizontal="center" vertical="center" wrapText="1"/>
    </xf>
    <xf numFmtId="0" fontId="25" fillId="2" borderId="3" xfId="0" applyNumberFormat="1" applyFont="1" applyFill="1" applyBorder="1" applyAlignment="1" applyProtection="1">
      <alignment horizontal="center" vertical="center" wrapText="1"/>
    </xf>
    <xf numFmtId="0" fontId="25" fillId="6" borderId="259" xfId="0" applyNumberFormat="1" applyFont="1" applyFill="1" applyBorder="1" applyAlignment="1" applyProtection="1">
      <alignment horizontal="center" vertical="center" wrapText="1"/>
    </xf>
    <xf numFmtId="0" fontId="25" fillId="2" borderId="125" xfId="0" applyNumberFormat="1" applyFont="1" applyFill="1" applyBorder="1" applyAlignment="1" applyProtection="1">
      <alignment horizontal="center" vertical="center" wrapText="1"/>
    </xf>
    <xf numFmtId="0" fontId="25" fillId="2" borderId="341" xfId="0" applyNumberFormat="1" applyFont="1" applyFill="1" applyBorder="1" applyAlignment="1" applyProtection="1">
      <alignment horizontal="center" vertical="center" wrapText="1"/>
    </xf>
    <xf numFmtId="0" fontId="25" fillId="2" borderId="102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39" fillId="0" borderId="0" xfId="0" applyNumberFormat="1" applyFont="1" applyFill="1" applyBorder="1" applyAlignment="1" applyProtection="1">
      <alignment horizontal="center" wrapText="1"/>
    </xf>
    <xf numFmtId="49" fontId="25" fillId="9" borderId="5" xfId="0" applyNumberFormat="1" applyFont="1" applyFill="1" applyBorder="1" applyAlignment="1" applyProtection="1">
      <alignment horizontal="center" vertical="center" wrapText="1"/>
    </xf>
    <xf numFmtId="49" fontId="25" fillId="9" borderId="7" xfId="0" applyNumberFormat="1" applyFont="1" applyFill="1" applyBorder="1" applyAlignment="1" applyProtection="1">
      <alignment horizontal="center" vertical="center" wrapText="1"/>
    </xf>
    <xf numFmtId="181" fontId="25" fillId="2" borderId="7" xfId="0" applyNumberFormat="1" applyFont="1" applyFill="1" applyBorder="1" applyAlignment="1" applyProtection="1">
      <alignment horizontal="center" vertical="center" wrapText="1"/>
    </xf>
    <xf numFmtId="181" fontId="25" fillId="2" borderId="5" xfId="0" applyNumberFormat="1" applyFont="1" applyFill="1" applyBorder="1" applyAlignment="1" applyProtection="1">
      <alignment horizontal="center" vertical="center" wrapText="1"/>
    </xf>
    <xf numFmtId="49" fontId="25" fillId="2" borderId="109" xfId="0" applyNumberFormat="1" applyFont="1" applyFill="1" applyBorder="1" applyAlignment="1" applyProtection="1">
      <alignment horizontal="center" vertical="center" wrapText="1"/>
    </xf>
    <xf numFmtId="0" fontId="28" fillId="0" borderId="0" xfId="0" applyFont="1" applyFill="1" applyAlignment="1" applyProtection="1">
      <alignment horizontal="center"/>
    </xf>
    <xf numFmtId="177" fontId="25" fillId="2" borderId="176" xfId="0" applyNumberFormat="1" applyFont="1" applyFill="1" applyBorder="1" applyAlignment="1" applyProtection="1">
      <alignment horizontal="center" vertical="center" wrapText="1"/>
    </xf>
    <xf numFmtId="177" fontId="25" fillId="2" borderId="289" xfId="0" applyNumberFormat="1" applyFont="1" applyFill="1" applyBorder="1" applyAlignment="1" applyProtection="1">
      <alignment horizontal="center" vertical="center" wrapText="1"/>
    </xf>
    <xf numFmtId="0" fontId="268" fillId="140" borderId="409" xfId="0" applyNumberFormat="1" applyFont="1" applyFill="1" applyBorder="1" applyAlignment="1" applyProtection="1">
      <alignment horizontal="center" vertical="center" wrapText="1"/>
    </xf>
    <xf numFmtId="0" fontId="268" fillId="140" borderId="0" xfId="0" applyNumberFormat="1" applyFont="1" applyFill="1" applyBorder="1" applyAlignment="1" applyProtection="1">
      <alignment horizontal="center" vertical="center" wrapText="1"/>
    </xf>
    <xf numFmtId="0" fontId="25" fillId="2" borderId="454" xfId="0" applyNumberFormat="1" applyFont="1" applyFill="1" applyBorder="1" applyAlignment="1" applyProtection="1">
      <alignment horizontal="center" vertical="center" wrapText="1"/>
    </xf>
    <xf numFmtId="0" fontId="25" fillId="2" borderId="455" xfId="0" applyNumberFormat="1" applyFont="1" applyFill="1" applyBorder="1" applyAlignment="1" applyProtection="1">
      <alignment horizontal="center" vertical="center" wrapText="1"/>
    </xf>
    <xf numFmtId="0" fontId="25" fillId="2" borderId="77" xfId="0" applyNumberFormat="1" applyFont="1" applyFill="1" applyBorder="1" applyAlignment="1" applyProtection="1">
      <alignment horizontal="center" vertical="center" wrapText="1"/>
    </xf>
    <xf numFmtId="0" fontId="25" fillId="2" borderId="326" xfId="0" applyNumberFormat="1" applyFont="1" applyFill="1" applyBorder="1" applyAlignment="1" applyProtection="1">
      <alignment horizontal="center" vertical="center" wrapText="1"/>
    </xf>
    <xf numFmtId="0" fontId="25" fillId="2" borderId="116" xfId="0" applyNumberFormat="1" applyFont="1" applyFill="1" applyBorder="1" applyAlignment="1" applyProtection="1">
      <alignment horizontal="center" vertical="center" wrapText="1"/>
    </xf>
    <xf numFmtId="0" fontId="25" fillId="2" borderId="80" xfId="0" applyNumberFormat="1" applyFont="1" applyFill="1" applyBorder="1" applyAlignment="1" applyProtection="1">
      <alignment horizontal="center" vertical="center" wrapText="1"/>
    </xf>
    <xf numFmtId="0" fontId="25" fillId="2" borderId="42" xfId="0" applyNumberFormat="1" applyFont="1" applyFill="1" applyBorder="1" applyAlignment="1" applyProtection="1">
      <alignment horizontal="center" vertical="center" wrapText="1"/>
    </xf>
    <xf numFmtId="0" fontId="25" fillId="2" borderId="82" xfId="0" applyNumberFormat="1" applyFont="1" applyFill="1" applyBorder="1" applyAlignment="1" applyProtection="1">
      <alignment horizontal="center" vertical="center" wrapText="1"/>
    </xf>
    <xf numFmtId="0" fontId="25" fillId="2" borderId="209" xfId="0" applyNumberFormat="1" applyFont="1" applyFill="1" applyBorder="1" applyAlignment="1" applyProtection="1">
      <alignment horizontal="center" vertical="center" wrapText="1"/>
    </xf>
    <xf numFmtId="0" fontId="25" fillId="2" borderId="86" xfId="0" applyNumberFormat="1" applyFont="1" applyFill="1" applyBorder="1" applyAlignment="1" applyProtection="1">
      <alignment horizontal="center" vertical="center" wrapText="1"/>
    </xf>
    <xf numFmtId="0" fontId="25" fillId="2" borderId="368" xfId="0" applyNumberFormat="1" applyFont="1" applyFill="1" applyBorder="1" applyAlignment="1" applyProtection="1">
      <alignment horizontal="center" vertical="center" wrapText="1"/>
    </xf>
    <xf numFmtId="0" fontId="25" fillId="2" borderId="469" xfId="0" applyNumberFormat="1" applyFont="1" applyFill="1" applyBorder="1" applyAlignment="1" applyProtection="1">
      <alignment horizontal="center" vertical="center" wrapText="1"/>
    </xf>
    <xf numFmtId="0" fontId="0" fillId="0" borderId="128" xfId="0" applyBorder="1" applyAlignment="1">
      <alignment horizontal="center"/>
    </xf>
    <xf numFmtId="0" fontId="118" fillId="2" borderId="4" xfId="0" applyNumberFormat="1" applyFont="1" applyFill="1" applyBorder="1" applyAlignment="1" applyProtection="1">
      <alignment horizontal="center" vertical="center" wrapText="1"/>
    </xf>
    <xf numFmtId="0" fontId="64" fillId="0" borderId="131" xfId="0" applyFont="1" applyBorder="1" applyAlignment="1">
      <alignment horizontal="center" vertical="center" wrapText="1"/>
    </xf>
    <xf numFmtId="0" fontId="129" fillId="0" borderId="0" xfId="0" applyFont="1" applyAlignment="1" applyProtection="1">
      <alignment horizontal="center" vertical="center" wrapText="1"/>
    </xf>
    <xf numFmtId="175" fontId="66" fillId="0" borderId="176" xfId="0" applyNumberFormat="1" applyFont="1" applyFill="1" applyBorder="1" applyAlignment="1" applyProtection="1">
      <alignment horizontal="center" vertical="center"/>
    </xf>
    <xf numFmtId="175" fontId="66" fillId="0" borderId="514" xfId="0" applyNumberFormat="1" applyFont="1" applyFill="1" applyBorder="1" applyAlignment="1" applyProtection="1">
      <alignment horizontal="center" vertical="center"/>
    </xf>
    <xf numFmtId="175" fontId="66" fillId="0" borderId="289" xfId="0" applyNumberFormat="1" applyFont="1" applyFill="1" applyBorder="1" applyAlignment="1" applyProtection="1">
      <alignment horizontal="center" vertical="center"/>
    </xf>
    <xf numFmtId="0" fontId="25" fillId="2" borderId="387" xfId="0" applyNumberFormat="1" applyFont="1" applyFill="1" applyBorder="1" applyAlignment="1" applyProtection="1">
      <alignment horizontal="center" vertical="center" wrapText="1"/>
    </xf>
    <xf numFmtId="0" fontId="25" fillId="2" borderId="388" xfId="0" applyNumberFormat="1" applyFont="1" applyFill="1" applyBorder="1" applyAlignment="1" applyProtection="1">
      <alignment horizontal="center" vertical="center" wrapText="1"/>
    </xf>
    <xf numFmtId="0" fontId="25" fillId="2" borderId="389" xfId="0" applyNumberFormat="1" applyFont="1" applyFill="1" applyBorder="1" applyAlignment="1" applyProtection="1">
      <alignment horizontal="center" vertical="center" wrapText="1"/>
    </xf>
    <xf numFmtId="49" fontId="25" fillId="2" borderId="409" xfId="0" applyNumberFormat="1" applyFont="1" applyFill="1" applyBorder="1" applyAlignment="1" applyProtection="1">
      <alignment horizontal="center" vertical="center" wrapText="1"/>
    </xf>
    <xf numFmtId="49" fontId="25" fillId="2" borderId="342" xfId="0" applyNumberFormat="1" applyFont="1" applyFill="1" applyBorder="1" applyAlignment="1" applyProtection="1">
      <alignment horizontal="center" vertical="center" wrapText="1"/>
    </xf>
    <xf numFmtId="49" fontId="25" fillId="2" borderId="343" xfId="0" applyNumberFormat="1" applyFont="1" applyFill="1" applyBorder="1" applyAlignment="1" applyProtection="1">
      <alignment horizontal="center" vertical="center" wrapText="1"/>
    </xf>
    <xf numFmtId="0" fontId="132" fillId="0" borderId="113" xfId="0" applyNumberFormat="1" applyFont="1" applyBorder="1" applyAlignment="1" applyProtection="1">
      <alignment horizontal="center"/>
    </xf>
    <xf numFmtId="0" fontId="25" fillId="2" borderId="259" xfId="0" applyNumberFormat="1" applyFont="1" applyFill="1" applyBorder="1" applyAlignment="1" applyProtection="1">
      <alignment horizontal="center" vertical="center" wrapText="1"/>
    </xf>
    <xf numFmtId="0" fontId="23" fillId="0" borderId="176" xfId="0" applyNumberFormat="1" applyFont="1" applyBorder="1" applyAlignment="1" applyProtection="1">
      <alignment horizontal="center" vertical="center"/>
    </xf>
    <xf numFmtId="0" fontId="23" fillId="0" borderId="289" xfId="0" applyNumberFormat="1" applyFont="1" applyBorder="1" applyAlignment="1" applyProtection="1">
      <alignment horizontal="center" vertical="center"/>
    </xf>
    <xf numFmtId="175" fontId="21" fillId="28" borderId="113" xfId="0" applyNumberFormat="1" applyFont="1" applyFill="1" applyBorder="1" applyAlignment="1" applyProtection="1">
      <alignment horizontal="center" vertical="center" wrapText="1" shrinkToFit="1"/>
    </xf>
    <xf numFmtId="0" fontId="25" fillId="2" borderId="344" xfId="0" applyNumberFormat="1" applyFont="1" applyFill="1" applyBorder="1" applyAlignment="1" applyProtection="1">
      <alignment horizontal="center" vertical="center" wrapText="1"/>
    </xf>
    <xf numFmtId="0" fontId="25" fillId="2" borderId="345" xfId="0" applyNumberFormat="1" applyFont="1" applyFill="1" applyBorder="1" applyAlignment="1" applyProtection="1">
      <alignment horizontal="center" vertical="center" wrapText="1"/>
    </xf>
    <xf numFmtId="175" fontId="197" fillId="3" borderId="342" xfId="0" applyNumberFormat="1" applyFont="1" applyFill="1" applyBorder="1" applyAlignment="1" applyProtection="1">
      <alignment horizontal="center" vertical="center" wrapText="1" shrinkToFit="1"/>
    </xf>
    <xf numFmtId="175" fontId="197" fillId="3" borderId="439" xfId="0" applyNumberFormat="1" applyFont="1" applyFill="1" applyBorder="1" applyAlignment="1" applyProtection="1">
      <alignment horizontal="center" vertical="center" wrapText="1" shrinkToFit="1"/>
    </xf>
    <xf numFmtId="175" fontId="197" fillId="3" borderId="313" xfId="0" applyNumberFormat="1" applyFont="1" applyFill="1" applyBorder="1" applyAlignment="1" applyProtection="1">
      <alignment horizontal="center" vertical="center" wrapText="1" shrinkToFit="1"/>
    </xf>
    <xf numFmtId="175" fontId="21" fillId="28" borderId="176" xfId="0" applyNumberFormat="1" applyFont="1" applyFill="1" applyBorder="1" applyAlignment="1" applyProtection="1">
      <alignment horizontal="center" vertical="center" wrapText="1" shrinkToFit="1"/>
    </xf>
    <xf numFmtId="175" fontId="21" fillId="28" borderId="289" xfId="0" applyNumberFormat="1" applyFont="1" applyFill="1" applyBorder="1" applyAlignment="1" applyProtection="1">
      <alignment horizontal="center" vertical="center" wrapText="1" shrinkToFit="1"/>
    </xf>
    <xf numFmtId="175" fontId="21" fillId="3" borderId="342" xfId="0" applyNumberFormat="1" applyFont="1" applyFill="1" applyBorder="1" applyAlignment="1" applyProtection="1">
      <alignment horizontal="center" vertical="center" wrapText="1" shrinkToFit="1"/>
    </xf>
    <xf numFmtId="175" fontId="21" fillId="3" borderId="439" xfId="0" applyNumberFormat="1" applyFont="1" applyFill="1" applyBorder="1" applyAlignment="1" applyProtection="1">
      <alignment horizontal="center" vertical="center" wrapText="1" shrinkToFit="1"/>
    </xf>
    <xf numFmtId="175" fontId="21" fillId="3" borderId="313" xfId="0" applyNumberFormat="1" applyFont="1" applyFill="1" applyBorder="1" applyAlignment="1" applyProtection="1">
      <alignment horizontal="center" vertical="center" wrapText="1" shrinkToFit="1"/>
    </xf>
    <xf numFmtId="0" fontId="23" fillId="0" borderId="342" xfId="0" applyNumberFormat="1" applyFont="1" applyBorder="1" applyAlignment="1" applyProtection="1">
      <alignment horizontal="center" vertical="center"/>
    </xf>
    <xf numFmtId="0" fontId="23" fillId="0" borderId="439" xfId="0" applyNumberFormat="1" applyFont="1" applyBorder="1" applyAlignment="1" applyProtection="1">
      <alignment horizontal="center" vertical="center"/>
    </xf>
    <xf numFmtId="0" fontId="23" fillId="0" borderId="313" xfId="0" applyNumberFormat="1" applyFont="1" applyBorder="1" applyAlignment="1" applyProtection="1">
      <alignment horizontal="center" vertical="center"/>
    </xf>
    <xf numFmtId="49" fontId="25" fillId="2" borderId="439" xfId="0" applyNumberFormat="1" applyFont="1" applyFill="1" applyBorder="1" applyAlignment="1" applyProtection="1">
      <alignment horizontal="center" vertical="center" wrapText="1"/>
    </xf>
    <xf numFmtId="0" fontId="25" fillId="2" borderId="337" xfId="0" applyNumberFormat="1" applyFont="1" applyFill="1" applyBorder="1" applyAlignment="1" applyProtection="1">
      <alignment horizontal="center" vertical="center" wrapText="1"/>
    </xf>
    <xf numFmtId="0" fontId="23" fillId="0" borderId="0" xfId="0" applyNumberFormat="1" applyFont="1" applyFill="1" applyAlignment="1" applyProtection="1">
      <alignment horizontal="left" wrapText="1"/>
    </xf>
    <xf numFmtId="0" fontId="24" fillId="0" borderId="0" xfId="0" applyNumberFormat="1" applyFont="1" applyFill="1" applyAlignment="1" applyProtection="1">
      <alignment horizontal="left" wrapText="1"/>
    </xf>
    <xf numFmtId="0" fontId="195" fillId="2" borderId="303" xfId="0" applyNumberFormat="1" applyFont="1" applyFill="1" applyBorder="1" applyAlignment="1" applyProtection="1">
      <alignment horizontal="center" vertical="center" wrapText="1"/>
    </xf>
    <xf numFmtId="0" fontId="195" fillId="2" borderId="168" xfId="0" applyNumberFormat="1" applyFont="1" applyFill="1" applyBorder="1" applyAlignment="1" applyProtection="1">
      <alignment horizontal="center" vertical="center" wrapText="1"/>
    </xf>
    <xf numFmtId="0" fontId="195" fillId="2" borderId="502" xfId="0" applyNumberFormat="1" applyFont="1" applyFill="1" applyBorder="1" applyAlignment="1" applyProtection="1">
      <alignment horizontal="center" vertical="center" wrapText="1"/>
    </xf>
    <xf numFmtId="0" fontId="25" fillId="2" borderId="76" xfId="0" applyNumberFormat="1" applyFont="1" applyFill="1" applyBorder="1" applyAlignment="1" applyProtection="1">
      <alignment horizontal="center" vertical="center"/>
    </xf>
    <xf numFmtId="0" fontId="25" fillId="2" borderId="115" xfId="0" applyNumberFormat="1" applyFont="1" applyFill="1" applyBorder="1" applyAlignment="1" applyProtection="1">
      <alignment horizontal="center" vertical="center"/>
    </xf>
    <xf numFmtId="0" fontId="25" fillId="2" borderId="3" xfId="0" applyNumberFormat="1" applyFont="1" applyFill="1" applyBorder="1" applyAlignment="1" applyProtection="1">
      <alignment horizontal="center" vertical="center"/>
    </xf>
    <xf numFmtId="0" fontId="25" fillId="2" borderId="7" xfId="0" applyNumberFormat="1" applyFont="1" applyFill="1" applyBorder="1" applyAlignment="1" applyProtection="1">
      <alignment horizontal="center" vertical="center"/>
    </xf>
    <xf numFmtId="0" fontId="25" fillId="2" borderId="36" xfId="0" applyNumberFormat="1" applyFont="1" applyFill="1" applyBorder="1" applyAlignment="1" applyProtection="1">
      <alignment horizontal="center" vertical="center"/>
    </xf>
    <xf numFmtId="0" fontId="25" fillId="2" borderId="432" xfId="0" applyNumberFormat="1" applyFont="1" applyFill="1" applyBorder="1" applyAlignment="1" applyProtection="1">
      <alignment horizontal="center" vertical="center" wrapText="1"/>
    </xf>
    <xf numFmtId="0" fontId="25" fillId="2" borderId="529" xfId="0" applyNumberFormat="1" applyFont="1" applyFill="1" applyBorder="1" applyAlignment="1" applyProtection="1">
      <alignment horizontal="center" vertical="center" wrapText="1"/>
    </xf>
  </cellXfs>
  <cellStyles count="50472">
    <cellStyle name="_x000a_bidires=100_x000a_" xfId="10875"/>
    <cellStyle name="******************************************" xfId="10876"/>
    <cellStyle name="?" xfId="10877"/>
    <cellStyle name="?…?ж?Ш?и [0.00]" xfId="10878"/>
    <cellStyle name="?W??_‘O’с?р??" xfId="10879"/>
    <cellStyle name="]_x000a_Zoomed=1_x000a_Row=0_x000a_Column=0_x000a_Height=0_x000a_Width=0_x000a_FontName=FoxFont_x000a_FontStyle=0_x000a_FontSize=9_x000a_PrtFontName=FoxPrin" xfId="10880"/>
    <cellStyle name="]_x000a_Zoomed=1_x000a_Row=0_x000a_Column=0_x000a_Height=0_x000a_Width=0_x000a_FontName=FoxFont_x000a_FontStyle=0_x000a_FontSize=9_x000a_PrtFontName=FoxPrin 10" xfId="10881"/>
    <cellStyle name="]_x000a_Zoomed=1_x000a_Row=0_x000a_Column=0_x000a_Height=0_x000a_Width=0_x000a_FontName=FoxFont_x000a_FontStyle=0_x000a_FontSize=9_x000a_PrtFontName=FoxPrin 11" xfId="10882"/>
    <cellStyle name="]_x000a_Zoomed=1_x000a_Row=0_x000a_Column=0_x000a_Height=0_x000a_Width=0_x000a_FontName=FoxFont_x000a_FontStyle=0_x000a_FontSize=9_x000a_PrtFontName=FoxPrin 11 2" xfId="10883"/>
    <cellStyle name="]_x000a_Zoomed=1_x000a_Row=0_x000a_Column=0_x000a_Height=0_x000a_Width=0_x000a_FontName=FoxFont_x000a_FontStyle=0_x000a_FontSize=9_x000a_PrtFontName=FoxPrin 11 3" xfId="10884"/>
    <cellStyle name="]_x000a_Zoomed=1_x000a_Row=0_x000a_Column=0_x000a_Height=0_x000a_Width=0_x000a_FontName=FoxFont_x000a_FontStyle=0_x000a_FontSize=9_x000a_PrtFontName=FoxPrin 11_2010_02_17_Затраты_v1" xfId="10885"/>
    <cellStyle name="]_x000a_Zoomed=1_x000a_Row=0_x000a_Column=0_x000a_Height=0_x000a_Width=0_x000a_FontName=FoxFont_x000a_FontStyle=0_x000a_FontSize=9_x000a_PrtFontName=FoxPrin 12" xfId="10886"/>
    <cellStyle name="]_x000a_Zoomed=1_x000a_Row=0_x000a_Column=0_x000a_Height=0_x000a_Width=0_x000a_FontName=FoxFont_x000a_FontStyle=0_x000a_FontSize=9_x000a_PrtFontName=FoxPrin 12 2" xfId="10887"/>
    <cellStyle name="]_x000a_Zoomed=1_x000a_Row=0_x000a_Column=0_x000a_Height=0_x000a_Width=0_x000a_FontName=FoxFont_x000a_FontStyle=0_x000a_FontSize=9_x000a_PrtFontName=FoxPrin 12 3" xfId="10888"/>
    <cellStyle name="]_x000a_Zoomed=1_x000a_Row=0_x000a_Column=0_x000a_Height=0_x000a_Width=0_x000a_FontName=FoxFont_x000a_FontStyle=0_x000a_FontSize=9_x000a_PrtFontName=FoxPrin 12_2010_02_17_Затраты_v1" xfId="10889"/>
    <cellStyle name="]_x000a_Zoomed=1_x000a_Row=0_x000a_Column=0_x000a_Height=0_x000a_Width=0_x000a_FontName=FoxFont_x000a_FontStyle=0_x000a_FontSize=9_x000a_PrtFontName=FoxPrin 13" xfId="10890"/>
    <cellStyle name="]_x000a_Zoomed=1_x000a_Row=0_x000a_Column=0_x000a_Height=0_x000a_Width=0_x000a_FontName=FoxFont_x000a_FontStyle=0_x000a_FontSize=9_x000a_PrtFontName=FoxPrin 13 2" xfId="10891"/>
    <cellStyle name="]_x000a_Zoomed=1_x000a_Row=0_x000a_Column=0_x000a_Height=0_x000a_Width=0_x000a_FontName=FoxFont_x000a_FontStyle=0_x000a_FontSize=9_x000a_PrtFontName=FoxPrin 13 3" xfId="10892"/>
    <cellStyle name="]_x000a_Zoomed=1_x000a_Row=0_x000a_Column=0_x000a_Height=0_x000a_Width=0_x000a_FontName=FoxFont_x000a_FontStyle=0_x000a_FontSize=9_x000a_PrtFontName=FoxPrin 14" xfId="10893"/>
    <cellStyle name="]_x000a_Zoomed=1_x000a_Row=0_x000a_Column=0_x000a_Height=0_x000a_Width=0_x000a_FontName=FoxFont_x000a_FontStyle=0_x000a_FontSize=9_x000a_PrtFontName=FoxPrin 14 2" xfId="10894"/>
    <cellStyle name="]_x000a_Zoomed=1_x000a_Row=0_x000a_Column=0_x000a_Height=0_x000a_Width=0_x000a_FontName=FoxFont_x000a_FontStyle=0_x000a_FontSize=9_x000a_PrtFontName=FoxPrin 15" xfId="10895"/>
    <cellStyle name="]_x000a_Zoomed=1_x000a_Row=0_x000a_Column=0_x000a_Height=0_x000a_Width=0_x000a_FontName=FoxFont_x000a_FontStyle=0_x000a_FontSize=9_x000a_PrtFontName=FoxPrin 2" xfId="10896"/>
    <cellStyle name="]_x000a_Zoomed=1_x000a_Row=0_x000a_Column=0_x000a_Height=0_x000a_Width=0_x000a_FontName=FoxFont_x000a_FontStyle=0_x000a_FontSize=9_x000a_PrtFontName=FoxPrin 3" xfId="10897"/>
    <cellStyle name="]_x000a_Zoomed=1_x000a_Row=0_x000a_Column=0_x000a_Height=0_x000a_Width=0_x000a_FontName=FoxFont_x000a_FontStyle=0_x000a_FontSize=9_x000a_PrtFontName=FoxPrin 4" xfId="10898"/>
    <cellStyle name="]_x000a_Zoomed=1_x000a_Row=0_x000a_Column=0_x000a_Height=0_x000a_Width=0_x000a_FontName=FoxFont_x000a_FontStyle=0_x000a_FontSize=9_x000a_PrtFontName=FoxPrin 5" xfId="10899"/>
    <cellStyle name="]_x000a_Zoomed=1_x000a_Row=0_x000a_Column=0_x000a_Height=0_x000a_Width=0_x000a_FontName=FoxFont_x000a_FontStyle=0_x000a_FontSize=9_x000a_PrtFontName=FoxPrin 6" xfId="10900"/>
    <cellStyle name="]_x000a_Zoomed=1_x000a_Row=0_x000a_Column=0_x000a_Height=0_x000a_Width=0_x000a_FontName=FoxFont_x000a_FontStyle=0_x000a_FontSize=9_x000a_PrtFontName=FoxPrin 7" xfId="10901"/>
    <cellStyle name="]_x000a_Zoomed=1_x000a_Row=0_x000a_Column=0_x000a_Height=0_x000a_Width=0_x000a_FontName=FoxFont_x000a_FontStyle=0_x000a_FontSize=9_x000a_PrtFontName=FoxPrin 8" xfId="10902"/>
    <cellStyle name="]_x000a_Zoomed=1_x000a_Row=0_x000a_Column=0_x000a_Height=0_x000a_Width=0_x000a_FontName=FoxFont_x000a_FontStyle=0_x000a_FontSize=9_x000a_PrtFontName=FoxPrin 9" xfId="10903"/>
    <cellStyle name="]_x000d__x000a_Zoomed=1_x000d__x000a_Row=0_x000d__x000a_Column=0_x000d__x000a_Height=0_x000d__x000a_Width=0_x000d__x000a_FontName=FoxFont_x000d__x000a_FontStyle=0_x000d__x000a_FontSize=9_x000d__x000a_PrtFontName=FoxPrin" xfId="10904"/>
    <cellStyle name="]_x000d__x000a_Zoomed=1_x000d__x000a_Row=0_x000d__x000a_Column=0_x000d__x000a_Height=0_x000d__x000a_Width=0_x000d__x000a_FontName=FoxFont_x000d__x000a_FontStyle=0_x000d__x000a_FontSize=9_x000d__x000a_PrtFontName=FoxPrin 10" xfId="10905"/>
    <cellStyle name="]_x000d__x000a_Zoomed=1_x000d__x000a_Row=0_x000d__x000a_Column=0_x000d__x000a_Height=0_x000d__x000a_Width=0_x000d__x000a_FontName=FoxFont_x000d__x000a_FontStyle=0_x000d__x000a_FontSize=9_x000d__x000a_PrtFontName=FoxPrin 10 2" xfId="10906"/>
    <cellStyle name="]_x000d__x000a_Zoomed=1_x000d__x000a_Row=0_x000d__x000a_Column=0_x000d__x000a_Height=0_x000d__x000a_Width=0_x000d__x000a_FontName=FoxFont_x000d__x000a_FontStyle=0_x000d__x000a_FontSize=9_x000d__x000a_PrtFontName=FoxPrin 10 3" xfId="15708"/>
    <cellStyle name="]_x000d__x000a_Zoomed=1_x000d__x000a_Row=0_x000d__x000a_Column=0_x000d__x000a_Height=0_x000d__x000a_Width=0_x000d__x000a_FontName=FoxFont_x000d__x000a_FontStyle=0_x000d__x000a_FontSize=9_x000d__x000a_PrtFontName=FoxPrin 10_Список исправленных ошибок" xfId="10907"/>
    <cellStyle name="]_x000d__x000a_Zoomed=1_x000d__x000a_Row=0_x000d__x000a_Column=0_x000d__x000a_Height=0_x000d__x000a_Width=0_x000d__x000a_FontName=FoxFont_x000d__x000a_FontStyle=0_x000d__x000a_FontSize=9_x000d__x000a_PrtFontName=FoxPrin 11" xfId="10908"/>
    <cellStyle name="]_x000d__x000a_Zoomed=1_x000d__x000a_Row=0_x000d__x000a_Column=0_x000d__x000a_Height=0_x000d__x000a_Width=0_x000d__x000a_FontName=FoxFont_x000d__x000a_FontStyle=0_x000d__x000a_FontSize=9_x000d__x000a_PrtFontName=FoxPrin 11 2" xfId="10909"/>
    <cellStyle name="]_x000d__x000a_Zoomed=1_x000d__x000a_Row=0_x000d__x000a_Column=0_x000d__x000a_Height=0_x000d__x000a_Width=0_x000d__x000a_FontName=FoxFont_x000d__x000a_FontStyle=0_x000d__x000a_FontSize=9_x000d__x000a_PrtFontName=FoxPrin 11 2 2" xfId="10910"/>
    <cellStyle name="]_x000d__x000a_Zoomed=1_x000d__x000a_Row=0_x000d__x000a_Column=0_x000d__x000a_Height=0_x000d__x000a_Width=0_x000d__x000a_FontName=FoxFont_x000d__x000a_FontStyle=0_x000d__x000a_FontSize=9_x000d__x000a_PrtFontName=FoxPrin 11 2 3" xfId="15710"/>
    <cellStyle name="]_x000d__x000a_Zoomed=1_x000d__x000a_Row=0_x000d__x000a_Column=0_x000d__x000a_Height=0_x000d__x000a_Width=0_x000d__x000a_FontName=FoxFont_x000d__x000a_FontStyle=0_x000d__x000a_FontSize=9_x000d__x000a_PrtFontName=FoxPrin 11 2_Список исправленных ошибок" xfId="10911"/>
    <cellStyle name="]_x000d__x000a_Zoomed=1_x000d__x000a_Row=0_x000d__x000a_Column=0_x000d__x000a_Height=0_x000d__x000a_Width=0_x000d__x000a_FontName=FoxFont_x000d__x000a_FontStyle=0_x000d__x000a_FontSize=9_x000d__x000a_PrtFontName=FoxPrin 11 3" xfId="10912"/>
    <cellStyle name="]_x000d__x000a_Zoomed=1_x000d__x000a_Row=0_x000d__x000a_Column=0_x000d__x000a_Height=0_x000d__x000a_Width=0_x000d__x000a_FontName=FoxFont_x000d__x000a_FontStyle=0_x000d__x000a_FontSize=9_x000d__x000a_PrtFontName=FoxPrin 11 3 2" xfId="10913"/>
    <cellStyle name="]_x000d__x000a_Zoomed=1_x000d__x000a_Row=0_x000d__x000a_Column=0_x000d__x000a_Height=0_x000d__x000a_Width=0_x000d__x000a_FontName=FoxFont_x000d__x000a_FontStyle=0_x000d__x000a_FontSize=9_x000d__x000a_PrtFontName=FoxPrin 11 3 3" xfId="15711"/>
    <cellStyle name="]_x000d__x000a_Zoomed=1_x000d__x000a_Row=0_x000d__x000a_Column=0_x000d__x000a_Height=0_x000d__x000a_Width=0_x000d__x000a_FontName=FoxFont_x000d__x000a_FontStyle=0_x000d__x000a_FontSize=9_x000d__x000a_PrtFontName=FoxPrin 11 3_Список исправленных ошибок" xfId="10914"/>
    <cellStyle name="]_x000d__x000a_Zoomed=1_x000d__x000a_Row=0_x000d__x000a_Column=0_x000d__x000a_Height=0_x000d__x000a_Width=0_x000d__x000a_FontName=FoxFont_x000d__x000a_FontStyle=0_x000d__x000a_FontSize=9_x000d__x000a_PrtFontName=FoxPrin 11 4" xfId="10915"/>
    <cellStyle name="]_x000d__x000a_Zoomed=1_x000d__x000a_Row=0_x000d__x000a_Column=0_x000d__x000a_Height=0_x000d__x000a_Width=0_x000d__x000a_FontName=FoxFont_x000d__x000a_FontStyle=0_x000d__x000a_FontSize=9_x000d__x000a_PrtFontName=FoxPrin 11 5" xfId="15709"/>
    <cellStyle name="]_x000d__x000a_Zoomed=1_x000d__x000a_Row=0_x000d__x000a_Column=0_x000d__x000a_Height=0_x000d__x000a_Width=0_x000d__x000a_FontName=FoxFont_x000d__x000a_FontStyle=0_x000d__x000a_FontSize=9_x000d__x000a_PrtFontName=FoxPrin 11_2010_02_17_Затраты_v1" xfId="10916"/>
    <cellStyle name="]_x000d__x000a_Zoomed=1_x000d__x000a_Row=0_x000d__x000a_Column=0_x000d__x000a_Height=0_x000d__x000a_Width=0_x000d__x000a_FontName=FoxFont_x000d__x000a_FontStyle=0_x000d__x000a_FontSize=9_x000d__x000a_PrtFontName=FoxPrin 12" xfId="10917"/>
    <cellStyle name="]_x000d__x000a_Zoomed=1_x000d__x000a_Row=0_x000d__x000a_Column=0_x000d__x000a_Height=0_x000d__x000a_Width=0_x000d__x000a_FontName=FoxFont_x000d__x000a_FontStyle=0_x000d__x000a_FontSize=9_x000d__x000a_PrtFontName=FoxPrin 12 2" xfId="10918"/>
    <cellStyle name="]_x000d__x000a_Zoomed=1_x000d__x000a_Row=0_x000d__x000a_Column=0_x000d__x000a_Height=0_x000d__x000a_Width=0_x000d__x000a_FontName=FoxFont_x000d__x000a_FontStyle=0_x000d__x000a_FontSize=9_x000d__x000a_PrtFontName=FoxPrin 12 2 2" xfId="10919"/>
    <cellStyle name="]_x000d__x000a_Zoomed=1_x000d__x000a_Row=0_x000d__x000a_Column=0_x000d__x000a_Height=0_x000d__x000a_Width=0_x000d__x000a_FontName=FoxFont_x000d__x000a_FontStyle=0_x000d__x000a_FontSize=9_x000d__x000a_PrtFontName=FoxPrin 12 2 3" xfId="15713"/>
    <cellStyle name="]_x000d__x000a_Zoomed=1_x000d__x000a_Row=0_x000d__x000a_Column=0_x000d__x000a_Height=0_x000d__x000a_Width=0_x000d__x000a_FontName=FoxFont_x000d__x000a_FontStyle=0_x000d__x000a_FontSize=9_x000d__x000a_PrtFontName=FoxPrin 12 2_Список исправленных ошибок" xfId="10920"/>
    <cellStyle name="]_x000d__x000a_Zoomed=1_x000d__x000a_Row=0_x000d__x000a_Column=0_x000d__x000a_Height=0_x000d__x000a_Width=0_x000d__x000a_FontName=FoxFont_x000d__x000a_FontStyle=0_x000d__x000a_FontSize=9_x000d__x000a_PrtFontName=FoxPrin 12 3" xfId="10921"/>
    <cellStyle name="]_x000d__x000a_Zoomed=1_x000d__x000a_Row=0_x000d__x000a_Column=0_x000d__x000a_Height=0_x000d__x000a_Width=0_x000d__x000a_FontName=FoxFont_x000d__x000a_FontStyle=0_x000d__x000a_FontSize=9_x000d__x000a_PrtFontName=FoxPrin 12 3 2" xfId="10922"/>
    <cellStyle name="]_x000d__x000a_Zoomed=1_x000d__x000a_Row=0_x000d__x000a_Column=0_x000d__x000a_Height=0_x000d__x000a_Width=0_x000d__x000a_FontName=FoxFont_x000d__x000a_FontStyle=0_x000d__x000a_FontSize=9_x000d__x000a_PrtFontName=FoxPrin 12 3 3" xfId="15714"/>
    <cellStyle name="]_x000d__x000a_Zoomed=1_x000d__x000a_Row=0_x000d__x000a_Column=0_x000d__x000a_Height=0_x000d__x000a_Width=0_x000d__x000a_FontName=FoxFont_x000d__x000a_FontStyle=0_x000d__x000a_FontSize=9_x000d__x000a_PrtFontName=FoxPrin 12 3_Список исправленных ошибок" xfId="10923"/>
    <cellStyle name="]_x000d__x000a_Zoomed=1_x000d__x000a_Row=0_x000d__x000a_Column=0_x000d__x000a_Height=0_x000d__x000a_Width=0_x000d__x000a_FontName=FoxFont_x000d__x000a_FontStyle=0_x000d__x000a_FontSize=9_x000d__x000a_PrtFontName=FoxPrin 12 4" xfId="10924"/>
    <cellStyle name="]_x000d__x000a_Zoomed=1_x000d__x000a_Row=0_x000d__x000a_Column=0_x000d__x000a_Height=0_x000d__x000a_Width=0_x000d__x000a_FontName=FoxFont_x000d__x000a_FontStyle=0_x000d__x000a_FontSize=9_x000d__x000a_PrtFontName=FoxPrin 12 5" xfId="15712"/>
    <cellStyle name="]_x000d__x000a_Zoomed=1_x000d__x000a_Row=0_x000d__x000a_Column=0_x000d__x000a_Height=0_x000d__x000a_Width=0_x000d__x000a_FontName=FoxFont_x000d__x000a_FontStyle=0_x000d__x000a_FontSize=9_x000d__x000a_PrtFontName=FoxPrin 12_2010_02_17_Затраты_v1" xfId="10925"/>
    <cellStyle name="]_x000d__x000a_Zoomed=1_x000d__x000a_Row=0_x000d__x000a_Column=0_x000d__x000a_Height=0_x000d__x000a_Width=0_x000d__x000a_FontName=FoxFont_x000d__x000a_FontStyle=0_x000d__x000a_FontSize=9_x000d__x000a_PrtFontName=FoxPrin 13" xfId="10926"/>
    <cellStyle name="]_x000d__x000a_Zoomed=1_x000d__x000a_Row=0_x000d__x000a_Column=0_x000d__x000a_Height=0_x000d__x000a_Width=0_x000d__x000a_FontName=FoxFont_x000d__x000a_FontStyle=0_x000d__x000a_FontSize=9_x000d__x000a_PrtFontName=FoxPrin 13 2" xfId="10927"/>
    <cellStyle name="]_x000d__x000a_Zoomed=1_x000d__x000a_Row=0_x000d__x000a_Column=0_x000d__x000a_Height=0_x000d__x000a_Width=0_x000d__x000a_FontName=FoxFont_x000d__x000a_FontStyle=0_x000d__x000a_FontSize=9_x000d__x000a_PrtFontName=FoxPrin 13 2 2" xfId="10928"/>
    <cellStyle name="]_x000d__x000a_Zoomed=1_x000d__x000a_Row=0_x000d__x000a_Column=0_x000d__x000a_Height=0_x000d__x000a_Width=0_x000d__x000a_FontName=FoxFont_x000d__x000a_FontStyle=0_x000d__x000a_FontSize=9_x000d__x000a_PrtFontName=FoxPrin 13 2 3" xfId="15716"/>
    <cellStyle name="]_x000d__x000a_Zoomed=1_x000d__x000a_Row=0_x000d__x000a_Column=0_x000d__x000a_Height=0_x000d__x000a_Width=0_x000d__x000a_FontName=FoxFont_x000d__x000a_FontStyle=0_x000d__x000a_FontSize=9_x000d__x000a_PrtFontName=FoxPrin 13 2_Список исправленных ошибок" xfId="10929"/>
    <cellStyle name="]_x000d__x000a_Zoomed=1_x000d__x000a_Row=0_x000d__x000a_Column=0_x000d__x000a_Height=0_x000d__x000a_Width=0_x000d__x000a_FontName=FoxFont_x000d__x000a_FontStyle=0_x000d__x000a_FontSize=9_x000d__x000a_PrtFontName=FoxPrin 13 3" xfId="10930"/>
    <cellStyle name="]_x000d__x000a_Zoomed=1_x000d__x000a_Row=0_x000d__x000a_Column=0_x000d__x000a_Height=0_x000d__x000a_Width=0_x000d__x000a_FontName=FoxFont_x000d__x000a_FontStyle=0_x000d__x000a_FontSize=9_x000d__x000a_PrtFontName=FoxPrin 13 3 2" xfId="10931"/>
    <cellStyle name="]_x000d__x000a_Zoomed=1_x000d__x000a_Row=0_x000d__x000a_Column=0_x000d__x000a_Height=0_x000d__x000a_Width=0_x000d__x000a_FontName=FoxFont_x000d__x000a_FontStyle=0_x000d__x000a_FontSize=9_x000d__x000a_PrtFontName=FoxPrin 13 3 3" xfId="15717"/>
    <cellStyle name="]_x000d__x000a_Zoomed=1_x000d__x000a_Row=0_x000d__x000a_Column=0_x000d__x000a_Height=0_x000d__x000a_Width=0_x000d__x000a_FontName=FoxFont_x000d__x000a_FontStyle=0_x000d__x000a_FontSize=9_x000d__x000a_PrtFontName=FoxPrin 13 3_Список исправленных ошибок" xfId="10932"/>
    <cellStyle name="]_x000d__x000a_Zoomed=1_x000d__x000a_Row=0_x000d__x000a_Column=0_x000d__x000a_Height=0_x000d__x000a_Width=0_x000d__x000a_FontName=FoxFont_x000d__x000a_FontStyle=0_x000d__x000a_FontSize=9_x000d__x000a_PrtFontName=FoxPrin 13 4" xfId="10933"/>
    <cellStyle name="]_x000d__x000a_Zoomed=1_x000d__x000a_Row=0_x000d__x000a_Column=0_x000d__x000a_Height=0_x000d__x000a_Width=0_x000d__x000a_FontName=FoxFont_x000d__x000a_FontStyle=0_x000d__x000a_FontSize=9_x000d__x000a_PrtFontName=FoxPrin 13 5" xfId="15715"/>
    <cellStyle name="]_x000d__x000a_Zoomed=1_x000d__x000a_Row=0_x000d__x000a_Column=0_x000d__x000a_Height=0_x000d__x000a_Width=0_x000d__x000a_FontName=FoxFont_x000d__x000a_FontStyle=0_x000d__x000a_FontSize=9_x000d__x000a_PrtFontName=FoxPrin 13_2010_02_17_Затраты_v1" xfId="10934"/>
    <cellStyle name="]_x000d__x000a_Zoomed=1_x000d__x000a_Row=0_x000d__x000a_Column=0_x000d__x000a_Height=0_x000d__x000a_Width=0_x000d__x000a_FontName=FoxFont_x000d__x000a_FontStyle=0_x000d__x000a_FontSize=9_x000d__x000a_PrtFontName=FoxPrin 14" xfId="10935"/>
    <cellStyle name="]_x000d__x000a_Zoomed=1_x000d__x000a_Row=0_x000d__x000a_Column=0_x000d__x000a_Height=0_x000d__x000a_Width=0_x000d__x000a_FontName=FoxFont_x000d__x000a_FontStyle=0_x000d__x000a_FontSize=9_x000d__x000a_PrtFontName=FoxPrin 14 2" xfId="10936"/>
    <cellStyle name="]_x000d__x000a_Zoomed=1_x000d__x000a_Row=0_x000d__x000a_Column=0_x000d__x000a_Height=0_x000d__x000a_Width=0_x000d__x000a_FontName=FoxFont_x000d__x000a_FontStyle=0_x000d__x000a_FontSize=9_x000d__x000a_PrtFontName=FoxPrin 14 2 2" xfId="10937"/>
    <cellStyle name="]_x000d__x000a_Zoomed=1_x000d__x000a_Row=0_x000d__x000a_Column=0_x000d__x000a_Height=0_x000d__x000a_Width=0_x000d__x000a_FontName=FoxFont_x000d__x000a_FontStyle=0_x000d__x000a_FontSize=9_x000d__x000a_PrtFontName=FoxPrin 14 2 3" xfId="15719"/>
    <cellStyle name="]_x000d__x000a_Zoomed=1_x000d__x000a_Row=0_x000d__x000a_Column=0_x000d__x000a_Height=0_x000d__x000a_Width=0_x000d__x000a_FontName=FoxFont_x000d__x000a_FontStyle=0_x000d__x000a_FontSize=9_x000d__x000a_PrtFontName=FoxPrin 14 2_Список исправленных ошибок" xfId="10938"/>
    <cellStyle name="]_x000d__x000a_Zoomed=1_x000d__x000a_Row=0_x000d__x000a_Column=0_x000d__x000a_Height=0_x000d__x000a_Width=0_x000d__x000a_FontName=FoxFont_x000d__x000a_FontStyle=0_x000d__x000a_FontSize=9_x000d__x000a_PrtFontName=FoxPrin 14 3" xfId="10939"/>
    <cellStyle name="]_x000d__x000a_Zoomed=1_x000d__x000a_Row=0_x000d__x000a_Column=0_x000d__x000a_Height=0_x000d__x000a_Width=0_x000d__x000a_FontName=FoxFont_x000d__x000a_FontStyle=0_x000d__x000a_FontSize=9_x000d__x000a_PrtFontName=FoxPrin 14 4" xfId="15718"/>
    <cellStyle name="]_x000d__x000a_Zoomed=1_x000d__x000a_Row=0_x000d__x000a_Column=0_x000d__x000a_Height=0_x000d__x000a_Width=0_x000d__x000a_FontName=FoxFont_x000d__x000a_FontStyle=0_x000d__x000a_FontSize=9_x000d__x000a_PrtFontName=FoxPrin 14_2010_02_17_Затраты_v1" xfId="10940"/>
    <cellStyle name="]_x000d__x000a_Zoomed=1_x000d__x000a_Row=0_x000d__x000a_Column=0_x000d__x000a_Height=0_x000d__x000a_Width=0_x000d__x000a_FontName=FoxFont_x000d__x000a_FontStyle=0_x000d__x000a_FontSize=9_x000d__x000a_PrtFontName=FoxPrin 15" xfId="10941"/>
    <cellStyle name="]_x000d__x000a_Zoomed=1_x000d__x000a_Row=0_x000d__x000a_Column=0_x000d__x000a_Height=0_x000d__x000a_Width=0_x000d__x000a_FontName=FoxFont_x000d__x000a_FontStyle=0_x000d__x000a_FontSize=9_x000d__x000a_PrtFontName=FoxPrin 15 2" xfId="10942"/>
    <cellStyle name="]_x000d__x000a_Zoomed=1_x000d__x000a_Row=0_x000d__x000a_Column=0_x000d__x000a_Height=0_x000d__x000a_Width=0_x000d__x000a_FontName=FoxFont_x000d__x000a_FontStyle=0_x000d__x000a_FontSize=9_x000d__x000a_PrtFontName=FoxPrin 15 3" xfId="15720"/>
    <cellStyle name="]_x000d__x000a_Zoomed=1_x000d__x000a_Row=0_x000d__x000a_Column=0_x000d__x000a_Height=0_x000d__x000a_Width=0_x000d__x000a_FontName=FoxFont_x000d__x000a_FontStyle=0_x000d__x000a_FontSize=9_x000d__x000a_PrtFontName=FoxPrin 15_Список исправленных ошибок" xfId="10943"/>
    <cellStyle name="]_x000d__x000a_Zoomed=1_x000d__x000a_Row=0_x000d__x000a_Column=0_x000d__x000a_Height=0_x000d__x000a_Width=0_x000d__x000a_FontName=FoxFont_x000d__x000a_FontStyle=0_x000d__x000a_FontSize=9_x000d__x000a_PrtFontName=FoxPrin 16" xfId="10944"/>
    <cellStyle name="]_x000d__x000a_Zoomed=1_x000d__x000a_Row=0_x000d__x000a_Column=0_x000d__x000a_Height=0_x000d__x000a_Width=0_x000d__x000a_FontName=FoxFont_x000d__x000a_FontStyle=0_x000d__x000a_FontSize=9_x000d__x000a_PrtFontName=FoxPrin 17" xfId="15707"/>
    <cellStyle name="]_x000d__x000a_Zoomed=1_x000d__x000a_Row=0_x000d__x000a_Column=0_x000d__x000a_Height=0_x000d__x000a_Width=0_x000d__x000a_FontName=FoxFont_x000d__x000a_FontStyle=0_x000d__x000a_FontSize=9_x000d__x000a_PrtFontName=FoxPrin 2" xfId="10945"/>
    <cellStyle name="]_x000d__x000a_Zoomed=1_x000d__x000a_Row=0_x000d__x000a_Column=0_x000d__x000a_Height=0_x000d__x000a_Width=0_x000d__x000a_FontName=FoxFont_x000d__x000a_FontStyle=0_x000d__x000a_FontSize=9_x000d__x000a_PrtFontName=FoxPrin 2 2" xfId="10946"/>
    <cellStyle name="]_x000d__x000a_Zoomed=1_x000d__x000a_Row=0_x000d__x000a_Column=0_x000d__x000a_Height=0_x000d__x000a_Width=0_x000d__x000a_FontName=FoxFont_x000d__x000a_FontStyle=0_x000d__x000a_FontSize=9_x000d__x000a_PrtFontName=FoxPrin 2 3" xfId="15721"/>
    <cellStyle name="]_x000d__x000a_Zoomed=1_x000d__x000a_Row=0_x000d__x000a_Column=0_x000d__x000a_Height=0_x000d__x000a_Width=0_x000d__x000a_FontName=FoxFont_x000d__x000a_FontStyle=0_x000d__x000a_FontSize=9_x000d__x000a_PrtFontName=FoxPrin 2_Список исправленных ошибок" xfId="10947"/>
    <cellStyle name="]_x000d__x000a_Zoomed=1_x000d__x000a_Row=0_x000d__x000a_Column=0_x000d__x000a_Height=0_x000d__x000a_Width=0_x000d__x000a_FontName=FoxFont_x000d__x000a_FontStyle=0_x000d__x000a_FontSize=9_x000d__x000a_PrtFontName=FoxPrin 3" xfId="10948"/>
    <cellStyle name="]_x000d__x000a_Zoomed=1_x000d__x000a_Row=0_x000d__x000a_Column=0_x000d__x000a_Height=0_x000d__x000a_Width=0_x000d__x000a_FontName=FoxFont_x000d__x000a_FontStyle=0_x000d__x000a_FontSize=9_x000d__x000a_PrtFontName=FoxPrin 3 2" xfId="10949"/>
    <cellStyle name="]_x000d__x000a_Zoomed=1_x000d__x000a_Row=0_x000d__x000a_Column=0_x000d__x000a_Height=0_x000d__x000a_Width=0_x000d__x000a_FontName=FoxFont_x000d__x000a_FontStyle=0_x000d__x000a_FontSize=9_x000d__x000a_PrtFontName=FoxPrin 3 3" xfId="15722"/>
    <cellStyle name="]_x000d__x000a_Zoomed=1_x000d__x000a_Row=0_x000d__x000a_Column=0_x000d__x000a_Height=0_x000d__x000a_Width=0_x000d__x000a_FontName=FoxFont_x000d__x000a_FontStyle=0_x000d__x000a_FontSize=9_x000d__x000a_PrtFontName=FoxPrin 3_Список исправленных ошибок" xfId="10950"/>
    <cellStyle name="]_x000d__x000a_Zoomed=1_x000d__x000a_Row=0_x000d__x000a_Column=0_x000d__x000a_Height=0_x000d__x000a_Width=0_x000d__x000a_FontName=FoxFont_x000d__x000a_FontStyle=0_x000d__x000a_FontSize=9_x000d__x000a_PrtFontName=FoxPrin 4" xfId="10951"/>
    <cellStyle name="]_x000d__x000a_Zoomed=1_x000d__x000a_Row=0_x000d__x000a_Column=0_x000d__x000a_Height=0_x000d__x000a_Width=0_x000d__x000a_FontName=FoxFont_x000d__x000a_FontStyle=0_x000d__x000a_FontSize=9_x000d__x000a_PrtFontName=FoxPrin 4 2" xfId="10952"/>
    <cellStyle name="]_x000d__x000a_Zoomed=1_x000d__x000a_Row=0_x000d__x000a_Column=0_x000d__x000a_Height=0_x000d__x000a_Width=0_x000d__x000a_FontName=FoxFont_x000d__x000a_FontStyle=0_x000d__x000a_FontSize=9_x000d__x000a_PrtFontName=FoxPrin 4 3" xfId="15723"/>
    <cellStyle name="]_x000d__x000a_Zoomed=1_x000d__x000a_Row=0_x000d__x000a_Column=0_x000d__x000a_Height=0_x000d__x000a_Width=0_x000d__x000a_FontName=FoxFont_x000d__x000a_FontStyle=0_x000d__x000a_FontSize=9_x000d__x000a_PrtFontName=FoxPrin 4_Список исправленных ошибок" xfId="10953"/>
    <cellStyle name="]_x000d__x000a_Zoomed=1_x000d__x000a_Row=0_x000d__x000a_Column=0_x000d__x000a_Height=0_x000d__x000a_Width=0_x000d__x000a_FontName=FoxFont_x000d__x000a_FontStyle=0_x000d__x000a_FontSize=9_x000d__x000a_PrtFontName=FoxPrin 5" xfId="10954"/>
    <cellStyle name="]_x000d__x000a_Zoomed=1_x000d__x000a_Row=0_x000d__x000a_Column=0_x000d__x000a_Height=0_x000d__x000a_Width=0_x000d__x000a_FontName=FoxFont_x000d__x000a_FontStyle=0_x000d__x000a_FontSize=9_x000d__x000a_PrtFontName=FoxPrin 5 2" xfId="10955"/>
    <cellStyle name="]_x000d__x000a_Zoomed=1_x000d__x000a_Row=0_x000d__x000a_Column=0_x000d__x000a_Height=0_x000d__x000a_Width=0_x000d__x000a_FontName=FoxFont_x000d__x000a_FontStyle=0_x000d__x000a_FontSize=9_x000d__x000a_PrtFontName=FoxPrin 5 3" xfId="15724"/>
    <cellStyle name="]_x000d__x000a_Zoomed=1_x000d__x000a_Row=0_x000d__x000a_Column=0_x000d__x000a_Height=0_x000d__x000a_Width=0_x000d__x000a_FontName=FoxFont_x000d__x000a_FontStyle=0_x000d__x000a_FontSize=9_x000d__x000a_PrtFontName=FoxPrin 5_Список исправленных ошибок" xfId="10956"/>
    <cellStyle name="]_x000d__x000a_Zoomed=1_x000d__x000a_Row=0_x000d__x000a_Column=0_x000d__x000a_Height=0_x000d__x000a_Width=0_x000d__x000a_FontName=FoxFont_x000d__x000a_FontStyle=0_x000d__x000a_FontSize=9_x000d__x000a_PrtFontName=FoxPrin 6" xfId="10957"/>
    <cellStyle name="]_x000d__x000a_Zoomed=1_x000d__x000a_Row=0_x000d__x000a_Column=0_x000d__x000a_Height=0_x000d__x000a_Width=0_x000d__x000a_FontName=FoxFont_x000d__x000a_FontStyle=0_x000d__x000a_FontSize=9_x000d__x000a_PrtFontName=FoxPrin 6 2" xfId="10958"/>
    <cellStyle name="]_x000d__x000a_Zoomed=1_x000d__x000a_Row=0_x000d__x000a_Column=0_x000d__x000a_Height=0_x000d__x000a_Width=0_x000d__x000a_FontName=FoxFont_x000d__x000a_FontStyle=0_x000d__x000a_FontSize=9_x000d__x000a_PrtFontName=FoxPrin 6 3" xfId="15725"/>
    <cellStyle name="]_x000d__x000a_Zoomed=1_x000d__x000a_Row=0_x000d__x000a_Column=0_x000d__x000a_Height=0_x000d__x000a_Width=0_x000d__x000a_FontName=FoxFont_x000d__x000a_FontStyle=0_x000d__x000a_FontSize=9_x000d__x000a_PrtFontName=FoxPrin 6_Список исправленных ошибок" xfId="10959"/>
    <cellStyle name="]_x000d__x000a_Zoomed=1_x000d__x000a_Row=0_x000d__x000a_Column=0_x000d__x000a_Height=0_x000d__x000a_Width=0_x000d__x000a_FontName=FoxFont_x000d__x000a_FontStyle=0_x000d__x000a_FontSize=9_x000d__x000a_PrtFontName=FoxPrin 7" xfId="10960"/>
    <cellStyle name="]_x000d__x000a_Zoomed=1_x000d__x000a_Row=0_x000d__x000a_Column=0_x000d__x000a_Height=0_x000d__x000a_Width=0_x000d__x000a_FontName=FoxFont_x000d__x000a_FontStyle=0_x000d__x000a_FontSize=9_x000d__x000a_PrtFontName=FoxPrin 7 2" xfId="10961"/>
    <cellStyle name="]_x000d__x000a_Zoomed=1_x000d__x000a_Row=0_x000d__x000a_Column=0_x000d__x000a_Height=0_x000d__x000a_Width=0_x000d__x000a_FontName=FoxFont_x000d__x000a_FontStyle=0_x000d__x000a_FontSize=9_x000d__x000a_PrtFontName=FoxPrin 7 3" xfId="15726"/>
    <cellStyle name="]_x000d__x000a_Zoomed=1_x000d__x000a_Row=0_x000d__x000a_Column=0_x000d__x000a_Height=0_x000d__x000a_Width=0_x000d__x000a_FontName=FoxFont_x000d__x000a_FontStyle=0_x000d__x000a_FontSize=9_x000d__x000a_PrtFontName=FoxPrin 7_Список исправленных ошибок" xfId="10962"/>
    <cellStyle name="]_x000d__x000a_Zoomed=1_x000d__x000a_Row=0_x000d__x000a_Column=0_x000d__x000a_Height=0_x000d__x000a_Width=0_x000d__x000a_FontName=FoxFont_x000d__x000a_FontStyle=0_x000d__x000a_FontSize=9_x000d__x000a_PrtFontName=FoxPrin 8" xfId="10963"/>
    <cellStyle name="]_x000d__x000a_Zoomed=1_x000d__x000a_Row=0_x000d__x000a_Column=0_x000d__x000a_Height=0_x000d__x000a_Width=0_x000d__x000a_FontName=FoxFont_x000d__x000a_FontStyle=0_x000d__x000a_FontSize=9_x000d__x000a_PrtFontName=FoxPrin 8 2" xfId="10964"/>
    <cellStyle name="]_x000d__x000a_Zoomed=1_x000d__x000a_Row=0_x000d__x000a_Column=0_x000d__x000a_Height=0_x000d__x000a_Width=0_x000d__x000a_FontName=FoxFont_x000d__x000a_FontStyle=0_x000d__x000a_FontSize=9_x000d__x000a_PrtFontName=FoxPrin 8 3" xfId="15727"/>
    <cellStyle name="]_x000d__x000a_Zoomed=1_x000d__x000a_Row=0_x000d__x000a_Column=0_x000d__x000a_Height=0_x000d__x000a_Width=0_x000d__x000a_FontName=FoxFont_x000d__x000a_FontStyle=0_x000d__x000a_FontSize=9_x000d__x000a_PrtFontName=FoxPrin 8_Список исправленных ошибок" xfId="10965"/>
    <cellStyle name="]_x000d__x000a_Zoomed=1_x000d__x000a_Row=0_x000d__x000a_Column=0_x000d__x000a_Height=0_x000d__x000a_Width=0_x000d__x000a_FontName=FoxFont_x000d__x000a_FontStyle=0_x000d__x000a_FontSize=9_x000d__x000a_PrtFontName=FoxPrin 9" xfId="10966"/>
    <cellStyle name="]_x000d__x000a_Zoomed=1_x000d__x000a_Row=0_x000d__x000a_Column=0_x000d__x000a_Height=0_x000d__x000a_Width=0_x000d__x000a_FontName=FoxFont_x000d__x000a_FontStyle=0_x000d__x000a_FontSize=9_x000d__x000a_PrtFontName=FoxPrin 9 2" xfId="10967"/>
    <cellStyle name="]_x000d__x000a_Zoomed=1_x000d__x000a_Row=0_x000d__x000a_Column=0_x000d__x000a_Height=0_x000d__x000a_Width=0_x000d__x000a_FontName=FoxFont_x000d__x000a_FontStyle=0_x000d__x000a_FontSize=9_x000d__x000a_PrtFontName=FoxPrin 9 3" xfId="15728"/>
    <cellStyle name="]_x000d__x000a_Zoomed=1_x000d__x000a_Row=0_x000d__x000a_Column=0_x000d__x000a_Height=0_x000d__x000a_Width=0_x000d__x000a_FontName=FoxFont_x000d__x000a_FontStyle=0_x000d__x000a_FontSize=9_x000d__x000a_PrtFontName=FoxPrin 9_Список исправленных ошибок" xfId="10968"/>
    <cellStyle name="]_x000d__x000a_Zoomed=1_x000d__x000a_Row=0_x000d__x000a_Column=0_x000d__x000a_Height=0_x000d__x000a_Width=0_x000d__x000a_FontName=FoxFont_x000d__x000a_FontStyle=0_x000d__x000a_FontSize=9_x000d__x000a_PrtFontName=FoxPrin_2010_02_17_Затраты_v1" xfId="10969"/>
    <cellStyle name="_ ТЭЦ февраль 04г" xfId="10970"/>
    <cellStyle name="_%(SignOnly)" xfId="10971"/>
    <cellStyle name="_%(SignOnly)_ВГО01-3_РСБУ" xfId="10972"/>
    <cellStyle name="_%(SignSpaceOnly)" xfId="10973"/>
    <cellStyle name="_%(SignSpaceOnly)_ВГО01-3_РСБУ" xfId="10974"/>
    <cellStyle name="__Металлургический дивизион - формы v1.2" xfId="10975"/>
    <cellStyle name="__Металлургический дивизион - формы v1.2 2" xfId="10976"/>
    <cellStyle name="__Металлургический дивизион - формы v1.2 2_Вопросы_ФСД" xfId="10977"/>
    <cellStyle name="__Металлургический дивизион - формы v1.2 2_Список исправленных ошибок" xfId="10978"/>
    <cellStyle name="__Металлургический дивизион - формы v1.2 2_Список исправленных ошибок_1" xfId="10979"/>
    <cellStyle name="__Металлургический дивизион - формы v1.2_01" xfId="10980"/>
    <cellStyle name="__Металлургический дивизион - формы v1.2_19" xfId="10981"/>
    <cellStyle name="__Металлургический дивизион - формы v1.2_2240 Р" xfId="10982"/>
    <cellStyle name="__Металлургический дивизион - формы v1.2_Вопросы_ФСД" xfId="10983"/>
    <cellStyle name="__Металлургический дивизион - формы v1.2_Лист2" xfId="10984"/>
    <cellStyle name="__Металлургический дивизион - формы v1.2_Лист3" xfId="10985"/>
    <cellStyle name="__Металлургический дивизион - формы v1.2_Протокол" xfId="10986"/>
    <cellStyle name="__Металлургический дивизион - формы v1.2_Список исправленных ошибок" xfId="10987"/>
    <cellStyle name="__Металлургический дивизион - формы v1.2_Список исправленных ошибок_1" xfId="10988"/>
    <cellStyle name="__Металлургический дивизион v1.3" xfId="10989"/>
    <cellStyle name="__Металлургический дивизион v1.3 2" xfId="10990"/>
    <cellStyle name="__Металлургический дивизион v1.3 2_Вопросы_ФСД" xfId="10991"/>
    <cellStyle name="__Металлургический дивизион v1.3 2_Список исправленных ошибок" xfId="10992"/>
    <cellStyle name="__Металлургический дивизион v1.3 2_Список исправленных ошибок_1" xfId="10993"/>
    <cellStyle name="__Металлургический дивизион v1.3_01" xfId="10994"/>
    <cellStyle name="__Металлургический дивизион v1.3_19" xfId="10995"/>
    <cellStyle name="__Металлургический дивизион v1.3_2240 Р" xfId="10996"/>
    <cellStyle name="__Металлургический дивизион v1.3_Вопросы_ФСД" xfId="10997"/>
    <cellStyle name="__Металлургический дивизион v1.3_Лист2" xfId="10998"/>
    <cellStyle name="__Металлургический дивизион v1.3_Лист3" xfId="10999"/>
    <cellStyle name="__Металлургический дивизион v1.3_Протокол" xfId="11000"/>
    <cellStyle name="__Металлургический дивизион v1.3_Список исправленных ошибок" xfId="11001"/>
    <cellStyle name="__Металлургический дивизион v1.3_Список исправленных ошибок_1" xfId="11002"/>
    <cellStyle name="__Штабквартира - формы v1.1" xfId="11003"/>
    <cellStyle name="__Штабквартира - формы v1.1 2" xfId="11004"/>
    <cellStyle name="__Штабквартира - формы v1.1 2 2" xfId="11005"/>
    <cellStyle name="__Штабквартира - формы v1.1 2 2_Список исправленных ошибок" xfId="11006"/>
    <cellStyle name="__Штабквартира - формы v1.1 2_01" xfId="11007"/>
    <cellStyle name="__Штабквартира - формы v1.1 2_19" xfId="11008"/>
    <cellStyle name="__Штабквартира - формы v1.1 2_2240 Р" xfId="11009"/>
    <cellStyle name="__Штабквартира - формы v1.1 2_Вопросы_ФСД" xfId="11010"/>
    <cellStyle name="__Штабквартира - формы v1.1 2_Лист2" xfId="11011"/>
    <cellStyle name="__Штабквартира - формы v1.1 2_Лист3" xfId="11012"/>
    <cellStyle name="__Штабквартира - формы v1.1 2_Список исправленных ошибок" xfId="11013"/>
    <cellStyle name="__Штабквартира - формы v1.1 3" xfId="11014"/>
    <cellStyle name="__Штабквартира - формы v1.1 3 2" xfId="11015"/>
    <cellStyle name="__Штабквартира - формы v1.1 3 2_Список исправленных ошибок" xfId="11016"/>
    <cellStyle name="__Штабквартира - формы v1.1 3_01" xfId="11017"/>
    <cellStyle name="__Штабквартира - формы v1.1 3_19" xfId="11018"/>
    <cellStyle name="__Штабквартира - формы v1.1 3_2240 Р" xfId="11019"/>
    <cellStyle name="__Штабквартира - формы v1.1 3_Вопросы_ФСД" xfId="11020"/>
    <cellStyle name="__Штабквартира - формы v1.1 3_Лист2" xfId="11021"/>
    <cellStyle name="__Штабквартира - формы v1.1 3_Лист3" xfId="11022"/>
    <cellStyle name="__Штабквартира - формы v1.1 3_Список исправленных ошибок" xfId="11023"/>
    <cellStyle name="__Штабквартира - формы v1.1 4" xfId="11024"/>
    <cellStyle name="__Штабквартира - формы v1.1 4_Список исправленных ошибок" xfId="11025"/>
    <cellStyle name="__Штабквартира - формы v1.1_01" xfId="11026"/>
    <cellStyle name="__Штабквартира - формы v1.1_19" xfId="11027"/>
    <cellStyle name="__Штабквартира - формы v1.1_2240 Р" xfId="11028"/>
    <cellStyle name="__Штабквартира - формы v1.1_Вопросы_ФСД" xfId="11029"/>
    <cellStyle name="__Штабквартира - формы v1.1_Список исправленных ошибок" xfId="11030"/>
    <cellStyle name="_1,2" xfId="11031"/>
    <cellStyle name="_1,2 2" xfId="11032"/>
    <cellStyle name="_1,2_Вопросы_ФСД" xfId="11033"/>
    <cellStyle name="_1,2_Список исправленных ошибок" xfId="11034"/>
    <cellStyle name="_FR Consolidation" xfId="11035"/>
    <cellStyle name="_FR Consolidation 2" xfId="11036"/>
    <cellStyle name="_FR Consolidation 2_Вопросы_ФСД" xfId="11037"/>
    <cellStyle name="_FR Consolidation 2_Список исправленных ошибок" xfId="11038"/>
    <cellStyle name="_FR Consolidation 2_Список исправленных ошибок_1" xfId="11039"/>
    <cellStyle name="_FR Consolidation_01" xfId="11040"/>
    <cellStyle name="_FR Consolidation_19" xfId="11041"/>
    <cellStyle name="_FR Consolidation_Вопросы_ФСД" xfId="11042"/>
    <cellStyle name="_FR Consolidation_Протокол" xfId="11043"/>
    <cellStyle name="_FR Consolidation_Список исправленных ошибок" xfId="11044"/>
    <cellStyle name="_FR Consolidation_Список исправленных ошибок_1" xfId="11045"/>
    <cellStyle name="_Impairment model" xfId="11046"/>
    <cellStyle name="_Impairment model 2" xfId="11047"/>
    <cellStyle name="_Impairment model 2_Вопросы_ФСД" xfId="11048"/>
    <cellStyle name="_Impairment model 2_Список исправленных ошибок" xfId="11049"/>
    <cellStyle name="_Impairment model 2_Список исправленных ошибок_1" xfId="11050"/>
    <cellStyle name="_Impairment model_01" xfId="11051"/>
    <cellStyle name="_Impairment model_19" xfId="11052"/>
    <cellStyle name="_Impairment model_Вопросы_ФСД" xfId="11053"/>
    <cellStyle name="_Impairment model_Протокол" xfId="11054"/>
    <cellStyle name="_Impairment model_Список исправленных ошибок" xfId="11055"/>
    <cellStyle name="_Impairment model_Список исправленных ошибок_1" xfId="11056"/>
    <cellStyle name="_MR Consolidated forms" xfId="11057"/>
    <cellStyle name="_MR Consolidated forms 2" xfId="11058"/>
    <cellStyle name="_MR Consolidated forms 2 2" xfId="11059"/>
    <cellStyle name="_MR Consolidated forms 2 3" xfId="15730"/>
    <cellStyle name="_MR Consolidated forms 2_01" xfId="11060"/>
    <cellStyle name="_MR Consolidated forms 2_19" xfId="11061"/>
    <cellStyle name="_MR Consolidated forms 2_Вопросы_ФСД" xfId="11062"/>
    <cellStyle name="_MR Consolidated forms 2_Список исправленных ошибок" xfId="11063"/>
    <cellStyle name="_MR Consolidated forms 3" xfId="11064"/>
    <cellStyle name="_MR Consolidated forms 3 2" xfId="11065"/>
    <cellStyle name="_MR Consolidated forms 3 3" xfId="15731"/>
    <cellStyle name="_MR Consolidated forms 3_01" xfId="11066"/>
    <cellStyle name="_MR Consolidated forms 3_19" xfId="11067"/>
    <cellStyle name="_MR Consolidated forms 3_Вопросы_ФСД" xfId="11068"/>
    <cellStyle name="_MR Consolidated forms 3_Список исправленных ошибок" xfId="11069"/>
    <cellStyle name="_MR Consolidated forms 4" xfId="11070"/>
    <cellStyle name="_MR Consolidated forms 5" xfId="15729"/>
    <cellStyle name="_MR Consolidated forms_01" xfId="11071"/>
    <cellStyle name="_MR Consolidated forms_19" xfId="11072"/>
    <cellStyle name="_MR Consolidated forms_Вопросы_ФСД" xfId="11073"/>
    <cellStyle name="_MR Consolidated forms_Список исправленных ошибок" xfId="11074"/>
    <cellStyle name="_PBC schedule" xfId="11075"/>
    <cellStyle name="_PBC schedule 2" xfId="11076"/>
    <cellStyle name="_PBC schedule 2_Вопросы_ФСД" xfId="11077"/>
    <cellStyle name="_PBC schedule 2_Список исправленных ошибок" xfId="11078"/>
    <cellStyle name="_PBC schedule 2_Список исправленных ошибок_1" xfId="11079"/>
    <cellStyle name="_PBC schedule_01" xfId="11080"/>
    <cellStyle name="_PBC schedule_10" xfId="11081"/>
    <cellStyle name="_PBC schedule_10 2" xfId="11082"/>
    <cellStyle name="_PBC schedule_10_Вопросы_ФСД" xfId="11083"/>
    <cellStyle name="_PBC schedule_10_Список исправленных ошибок" xfId="11084"/>
    <cellStyle name="_PBC schedule_14" xfId="11085"/>
    <cellStyle name="_PBC schedule_14 2" xfId="11086"/>
    <cellStyle name="_PBC schedule_14_Вопросы_ФСД" xfId="11087"/>
    <cellStyle name="_PBC schedule_14_Список исправленных ошибок" xfId="11088"/>
    <cellStyle name="_PBC schedule_16" xfId="11089"/>
    <cellStyle name="_PBC schedule_16 2" xfId="11090"/>
    <cellStyle name="_PBC schedule_16_Вопросы_ФСД" xfId="11091"/>
    <cellStyle name="_PBC schedule_16_Список исправленных ошибок" xfId="11092"/>
    <cellStyle name="_PBC schedule_19" xfId="11093"/>
    <cellStyle name="_PBC schedule_20" xfId="11094"/>
    <cellStyle name="_PBC schedule_20 2" xfId="11095"/>
    <cellStyle name="_PBC schedule_20_Вопросы_ФСД" xfId="11096"/>
    <cellStyle name="_PBC schedule_20_Список исправленных ошибок" xfId="11097"/>
    <cellStyle name="_PBC schedule_2010-11-25_Росатом_ЕПС-2011_v4" xfId="11098"/>
    <cellStyle name="_PBC schedule_2010-11-25_Росатом_ЕПС-2011_v4 2" xfId="11099"/>
    <cellStyle name="_PBC schedule_2010-11-25_Росатом_ЕПС-2011_v4_Вопросы_ФСД" xfId="11100"/>
    <cellStyle name="_PBC schedule_2010-11-25_Росатом_ЕПС-2011_v4_Список исправленных ошибок" xfId="11101"/>
    <cellStyle name="_PBC schedule_21" xfId="11102"/>
    <cellStyle name="_PBC schedule_21 2" xfId="11103"/>
    <cellStyle name="_PBC schedule_21_Вопросы_ФСД" xfId="11104"/>
    <cellStyle name="_PBC schedule_21_Список исправленных ошибок" xfId="11105"/>
    <cellStyle name="_PBC schedule_23" xfId="11106"/>
    <cellStyle name="_PBC schedule_23 2" xfId="11107"/>
    <cellStyle name="_PBC schedule_23_Вопросы_ФСД" xfId="11108"/>
    <cellStyle name="_PBC schedule_23_Список исправленных ошибок" xfId="11109"/>
    <cellStyle name="_PBC schedule_25" xfId="11110"/>
    <cellStyle name="_PBC schedule_25 2" xfId="11111"/>
    <cellStyle name="_PBC schedule_25_Вопросы_ФСД" xfId="11112"/>
    <cellStyle name="_PBC schedule_25_Список исправленных ошибок" xfId="11113"/>
    <cellStyle name="_PBC schedule_26" xfId="11114"/>
    <cellStyle name="_PBC schedule_26 2" xfId="11115"/>
    <cellStyle name="_PBC schedule_26_Вопросы_ФСД" xfId="11116"/>
    <cellStyle name="_PBC schedule_26_Список исправленных ошибок" xfId="11117"/>
    <cellStyle name="_PBC schedule_29" xfId="11118"/>
    <cellStyle name="_PBC schedule_29 2" xfId="11119"/>
    <cellStyle name="_PBC schedule_29_Вопросы_ФСД" xfId="11120"/>
    <cellStyle name="_PBC schedule_29_Список исправленных ошибок" xfId="11121"/>
    <cellStyle name="_PBC schedule_40" xfId="11122"/>
    <cellStyle name="_PBC schedule_40 2" xfId="11123"/>
    <cellStyle name="_PBC schedule_40_Вопросы_ФСД" xfId="11124"/>
    <cellStyle name="_PBC schedule_40_Список исправленных ошибок" xfId="11125"/>
    <cellStyle name="_PBC schedule_43" xfId="11126"/>
    <cellStyle name="_PBC schedule_43 2" xfId="11127"/>
    <cellStyle name="_PBC schedule_43_Вопросы_ФСД" xfId="11128"/>
    <cellStyle name="_PBC schedule_43_Список исправленных ошибок" xfId="11129"/>
    <cellStyle name="_PBC schedule_44" xfId="11130"/>
    <cellStyle name="_PBC schedule_44 2" xfId="11131"/>
    <cellStyle name="_PBC schedule_44_Вопросы_ФСД" xfId="11132"/>
    <cellStyle name="_PBC schedule_44_Список исправленных ошибок" xfId="11133"/>
    <cellStyle name="_PBC schedule_45" xfId="11134"/>
    <cellStyle name="_PBC schedule_45 2" xfId="11135"/>
    <cellStyle name="_PBC schedule_45_Вопросы_ФСД" xfId="11136"/>
    <cellStyle name="_PBC schedule_45_Список исправленных ошибок" xfId="11137"/>
    <cellStyle name="_PBC schedule_63.01" xfId="11138"/>
    <cellStyle name="_PBC schedule_63.01 2" xfId="11139"/>
    <cellStyle name="_PBC schedule_63.01_Вопросы_ФСД" xfId="11140"/>
    <cellStyle name="_PBC schedule_63.01_Список исправленных ошибок" xfId="11141"/>
    <cellStyle name="_PBC schedule_76.01_%" xfId="11142"/>
    <cellStyle name="_PBC schedule_76.01_% 2" xfId="11143"/>
    <cellStyle name="_PBC schedule_76.01_%_Вопросы_ФСД" xfId="11144"/>
    <cellStyle name="_PBC schedule_76.01_%_Список исправленных ошибок" xfId="11145"/>
    <cellStyle name="_PBC schedule_Sheet1" xfId="11146"/>
    <cellStyle name="_PBC schedule_Sheet1 2" xfId="11147"/>
    <cellStyle name="_PBC schedule_Sheet1_Вопросы_ФСД" xfId="11148"/>
    <cellStyle name="_PBC schedule_Sheet1_Список исправленных ошибок" xfId="11149"/>
    <cellStyle name="_PBC schedule_Бюджетная_модель" xfId="11150"/>
    <cellStyle name="_PBC schedule_Бюджетная_модель 2" xfId="11151"/>
    <cellStyle name="_PBC schedule_Бюджетная_модель_Вопросы_ФСД" xfId="11152"/>
    <cellStyle name="_PBC schedule_Бюджетная_модель_Список исправленных ошибок" xfId="11153"/>
    <cellStyle name="_PBC schedule_Вопросы_ФСД" xfId="11154"/>
    <cellStyle name="_PBC schedule_Приложение02_ФинАренда_КодКомпании_ДДММГГГГ" xfId="11155"/>
    <cellStyle name="_PBC schedule_Приложение02_ФинАренда_КодКомпании_ДДММГГГГ 2" xfId="11156"/>
    <cellStyle name="_PBC schedule_Приложение02_ФинАренда_КодКомпании_ДДММГГГГ_01" xfId="11157"/>
    <cellStyle name="_PBC schedule_Приложение02_ФинАренда_КодКомпании_ДДММГГГГ_19" xfId="11158"/>
    <cellStyle name="_PBC schedule_Приложение02_ФинАренда_КодКомпании_ДДММГГГГ_Вопросы_ФСД" xfId="11159"/>
    <cellStyle name="_PBC schedule_Приложение02_ФинАренда_КодКомпании_ДДММГГГГ_Список исправленных ошибок" xfId="11160"/>
    <cellStyle name="_PBC schedule_Приложение02_ФинАренда_КодКомпании_ДДММГГГГ_Список исправленных ошибок_1" xfId="11161"/>
    <cellStyle name="_PBC schedule_Примеры (3)" xfId="11162"/>
    <cellStyle name="_PBC schedule_Примеры (3) 2" xfId="11163"/>
    <cellStyle name="_PBC schedule_Примеры (3)_Вопросы_ФСД" xfId="11164"/>
    <cellStyle name="_PBC schedule_Примеры (3)_Список исправленных ошибок" xfId="11165"/>
    <cellStyle name="_PBC schedule_Протокол" xfId="11166"/>
    <cellStyle name="_PBC schedule_ПСД_КодКомпании_ДДММГГГГ" xfId="11167"/>
    <cellStyle name="_PBC schedule_ПСД_КодКомпании_ДДММГГГГ 2" xfId="11168"/>
    <cellStyle name="_PBC schedule_ПСД_КодКомпании_ДДММГГГГ_Вопросы_ФСД" xfId="11169"/>
    <cellStyle name="_PBC schedule_ПСД_КодКомпании_ДДММГГГГ_Список исправленных ошибок" xfId="11170"/>
    <cellStyle name="_PBC schedule_Расчеты_v2" xfId="11171"/>
    <cellStyle name="_PBC schedule_Расчеты_v2 2" xfId="11172"/>
    <cellStyle name="_PBC schedule_Расчеты_v2_Вопросы_ФСД" xfId="11173"/>
    <cellStyle name="_PBC schedule_Расчеты_v2_Список исправленных ошибок" xfId="11174"/>
    <cellStyle name="_PBC schedule_Расчеты_v3" xfId="11175"/>
    <cellStyle name="_PBC schedule_Расчеты_v3 2" xfId="11176"/>
    <cellStyle name="_PBC schedule_Расчеты_v3_Вопросы_ФСД" xfId="11177"/>
    <cellStyle name="_PBC schedule_Расчеты_v3_Список исправленных ошибок" xfId="11178"/>
    <cellStyle name="_PBC schedule_Список исправленных ошибок" xfId="11179"/>
    <cellStyle name="_PBC schedule_Список исправленных ошибок_1" xfId="11180"/>
    <cellStyle name="_PBC schedule_список Компаний" xfId="11181"/>
    <cellStyle name="_PBC schedule_список Компаний 2" xfId="11182"/>
    <cellStyle name="_PBC schedule_список Компаний_01" xfId="11183"/>
    <cellStyle name="_PBC schedule_список Компаний_19" xfId="11184"/>
    <cellStyle name="_PBC schedule_список Компаний_Вопросы_ФСД" xfId="11185"/>
    <cellStyle name="_PBC schedule_список Компаний_Список исправленных ошибок" xfId="11186"/>
    <cellStyle name="_PBC schedule_список Компаний_Список исправленных ошибок_1" xfId="11187"/>
    <cellStyle name="_PBC schedule_Титул" xfId="11188"/>
    <cellStyle name="_PBC schedule_Титул 2" xfId="11189"/>
    <cellStyle name="_PBC schedule_Титул_01" xfId="11190"/>
    <cellStyle name="_PBC schedule_Титул_19" xfId="11191"/>
    <cellStyle name="_PBC schedule_Титул_Вопросы_ФСД" xfId="11192"/>
    <cellStyle name="_PBC schedule_Титул_Список исправленных ошибок" xfId="11193"/>
    <cellStyle name="_PBC schedule_Титул_Список исправленных ошибок_1" xfId="11194"/>
    <cellStyle name="_RM_Transpack.20070810_v5_EA" xfId="11195"/>
    <cellStyle name="_RM_Transpack.20070810_v5_EA 2" xfId="11196"/>
    <cellStyle name="_RM_Transpack.20070810_v5_EA 2_Вопросы_ФСД" xfId="11197"/>
    <cellStyle name="_RM_Transpack.20070810_v5_EA 2_Список исправленных ошибок" xfId="11198"/>
    <cellStyle name="_RM_Transpack.20070810_v5_EA 2_Список исправленных ошибок_1" xfId="11199"/>
    <cellStyle name="_RM_Transpack.20070810_v5_EA_01" xfId="11200"/>
    <cellStyle name="_RM_Transpack.20070810_v5_EA_19" xfId="11201"/>
    <cellStyle name="_RM_Transpack.20070810_v5_EA_Вопросы_ФСД" xfId="11202"/>
    <cellStyle name="_RM_Transpack.20070810_v5_EA_Протокол" xfId="11203"/>
    <cellStyle name="_RM_Transpack.20070810_v5_EA_Список исправленных ошибок" xfId="11204"/>
    <cellStyle name="_RM_Transpack.20070810_v5_EA_Список исправленных ошибок_1" xfId="11205"/>
    <cellStyle name="_RP-2000" xfId="11206"/>
    <cellStyle name="_RP-2000 2" xfId="11207"/>
    <cellStyle name="_RP-2000 2_Вопросы_ФСД" xfId="11208"/>
    <cellStyle name="_RP-2000 2_Список исправленных ошибок" xfId="11209"/>
    <cellStyle name="_RP-2000 2_Список исправленных ошибок_1" xfId="11210"/>
    <cellStyle name="_RP-2000_01" xfId="11211"/>
    <cellStyle name="_RP-2000_10" xfId="11212"/>
    <cellStyle name="_RP-2000_10 2" xfId="11213"/>
    <cellStyle name="_RP-2000_10_Вопросы_ФСД" xfId="11214"/>
    <cellStyle name="_RP-2000_10_Список исправленных ошибок" xfId="11215"/>
    <cellStyle name="_RP-2000_14" xfId="11216"/>
    <cellStyle name="_RP-2000_14 2" xfId="11217"/>
    <cellStyle name="_RP-2000_14_Вопросы_ФСД" xfId="11218"/>
    <cellStyle name="_RP-2000_14_Список исправленных ошибок" xfId="11219"/>
    <cellStyle name="_RP-2000_16" xfId="11220"/>
    <cellStyle name="_RP-2000_16 2" xfId="11221"/>
    <cellStyle name="_RP-2000_16_Вопросы_ФСД" xfId="11222"/>
    <cellStyle name="_RP-2000_16_Список исправленных ошибок" xfId="11223"/>
    <cellStyle name="_RP-2000_19" xfId="11224"/>
    <cellStyle name="_RP-2000_20" xfId="11225"/>
    <cellStyle name="_RP-2000_20_Вопросы_ФСД" xfId="11226"/>
    <cellStyle name="_RP-2000_20_Список исправленных ошибок" xfId="11227"/>
    <cellStyle name="_RP-2000_2010-11-25_Росатом_ЕПС-2011_v4" xfId="11228"/>
    <cellStyle name="_RP-2000_2010-11-25_Росатом_ЕПС-2011_v4_Вопросы_ФСД" xfId="11229"/>
    <cellStyle name="_RP-2000_21" xfId="11230"/>
    <cellStyle name="_RP-2000_21_Вопросы_ФСД" xfId="11231"/>
    <cellStyle name="_RP-2000_23" xfId="11232"/>
    <cellStyle name="_RP-2000_23_Вопросы_ФСД" xfId="11233"/>
    <cellStyle name="_RP-2000_25" xfId="11234"/>
    <cellStyle name="_RP-2000_25_Вопросы_ФСД" xfId="11235"/>
    <cellStyle name="_RP-2000_26" xfId="11236"/>
    <cellStyle name="_RP-2000_26_Вопросы_ФСД" xfId="11237"/>
    <cellStyle name="_RP-2000_29" xfId="11238"/>
    <cellStyle name="_RP-2000_29_Вопросы_ФСД" xfId="11239"/>
    <cellStyle name="_RP-2000_40" xfId="11240"/>
    <cellStyle name="_RP-2000_40_Вопросы_ФСД" xfId="11241"/>
    <cellStyle name="_RP-2000_43" xfId="11242"/>
    <cellStyle name="_RP-2000_43_Вопросы_ФСД" xfId="11243"/>
    <cellStyle name="_RP-2000_44" xfId="11244"/>
    <cellStyle name="_RP-2000_44_Вопросы_ФСД" xfId="11245"/>
    <cellStyle name="_RP-2000_45" xfId="11246"/>
    <cellStyle name="_RP-2000_45_Вопросы_ФСД" xfId="11247"/>
    <cellStyle name="_RP-2000_63.01" xfId="11248"/>
    <cellStyle name="_RP-2000_63.01_Вопросы_ФСД" xfId="11249"/>
    <cellStyle name="_RP-2000_76.01_%" xfId="11250"/>
    <cellStyle name="_RP-2000_76.01_%_Вопросы_ФСД" xfId="11251"/>
    <cellStyle name="_RP-2000_Sheet1" xfId="11252"/>
    <cellStyle name="_RP-2000_Sheet1_Вопросы_ФСД" xfId="11253"/>
    <cellStyle name="_RP-2000_Бюджетная_модель" xfId="11254"/>
    <cellStyle name="_RP-2000_Бюджетная_модель_Вопросы_ФСД" xfId="11255"/>
    <cellStyle name="_RP-2000_Вопросы_ФСД" xfId="11256"/>
    <cellStyle name="_RP-2000_Приложение02_ФинАренда_КодКомпании_ДДММГГГГ" xfId="11257"/>
    <cellStyle name="_RP-2000_Приложение02_ФинАренда_КодКомпании_ДДММГГГГ_Вопросы_ФСД" xfId="11258"/>
    <cellStyle name="_RP-2000_Приложение02_ФинАренда_КодКомпании_ДДММГГГГ_Список исправленных ошибок" xfId="11259"/>
    <cellStyle name="_RP-2000_Примеры (3)" xfId="11260"/>
    <cellStyle name="_RP-2000_Примеры (3)_Вопросы_ФСД" xfId="11261"/>
    <cellStyle name="_RP-2000_ПСД_КодКомпании_ДДММГГГГ" xfId="11262"/>
    <cellStyle name="_RP-2000_ПСД_КодКомпании_ДДММГГГГ_Вопросы_ФСД" xfId="11263"/>
    <cellStyle name="_RP-2000_Расчеты_v2" xfId="11264"/>
    <cellStyle name="_RP-2000_Расчеты_v2_Вопросы_ФСД" xfId="11265"/>
    <cellStyle name="_RP-2000_Расчеты_v3" xfId="11266"/>
    <cellStyle name="_RP-2000_Расчеты_v3_Вопросы_ФСД" xfId="11267"/>
    <cellStyle name="_RP-2000_Список исправленных ошибок" xfId="11268"/>
    <cellStyle name="_RP-2000_Список исправленных ошибок_1" xfId="11269"/>
    <cellStyle name="_RP-2000_список Компаний" xfId="11270"/>
    <cellStyle name="_RP-2000_список Компаний_Вопросы_ФСД" xfId="11271"/>
    <cellStyle name="_RP-2000_список Компаний_Список исправленных ошибок" xfId="11272"/>
    <cellStyle name="_RP-2000_Титул" xfId="11273"/>
    <cellStyle name="_RP-2000_Титул_Вопросы_ФСД" xfId="11274"/>
    <cellStyle name="_RP-2000_Титул_Список исправленных ошибок" xfId="11275"/>
    <cellStyle name="_Sheet1" xfId="11276"/>
    <cellStyle name="_Sheet1 10" xfId="11277"/>
    <cellStyle name="_Sheet1 10_Вопросы_ФСД" xfId="11278"/>
    <cellStyle name="_Sheet1 10_Список исправленных ошибок" xfId="11279"/>
    <cellStyle name="_Sheet1 11" xfId="11280"/>
    <cellStyle name="_Sheet1 11_Вопросы_ФСД" xfId="11281"/>
    <cellStyle name="_Sheet1 11_Список исправленных ошибок" xfId="11282"/>
    <cellStyle name="_Sheet1 12" xfId="11283"/>
    <cellStyle name="_Sheet1 12_Вопросы_ФСД" xfId="11284"/>
    <cellStyle name="_Sheet1 12_Список исправленных ошибок" xfId="11285"/>
    <cellStyle name="_Sheet1 13" xfId="11286"/>
    <cellStyle name="_Sheet1 13_Вопросы_ФСД" xfId="11287"/>
    <cellStyle name="_Sheet1 13_Список исправленных ошибок" xfId="11288"/>
    <cellStyle name="_Sheet1 2" xfId="11289"/>
    <cellStyle name="_Sheet1 2_Вопросы_ФСД" xfId="11290"/>
    <cellStyle name="_Sheet1 2_Список исправленных ошибок" xfId="11291"/>
    <cellStyle name="_Sheet1 3" xfId="11292"/>
    <cellStyle name="_Sheet1 3_Вопросы_ФСД" xfId="11293"/>
    <cellStyle name="_Sheet1 3_Список исправленных ошибок" xfId="11294"/>
    <cellStyle name="_Sheet1 4" xfId="11295"/>
    <cellStyle name="_Sheet1 4_Вопросы_ФСД" xfId="11296"/>
    <cellStyle name="_Sheet1 4_Список исправленных ошибок" xfId="11297"/>
    <cellStyle name="_Sheet1 5" xfId="11298"/>
    <cellStyle name="_Sheet1 5_Вопросы_ФСД" xfId="11299"/>
    <cellStyle name="_Sheet1 5_Список исправленных ошибок" xfId="11300"/>
    <cellStyle name="_Sheet1 6" xfId="11301"/>
    <cellStyle name="_Sheet1 6_Вопросы_ФСД" xfId="11302"/>
    <cellStyle name="_Sheet1 6_Список исправленных ошибок" xfId="11303"/>
    <cellStyle name="_Sheet1 7" xfId="11304"/>
    <cellStyle name="_Sheet1 7_Вопросы_ФСД" xfId="11305"/>
    <cellStyle name="_Sheet1 7_Список исправленных ошибок" xfId="11306"/>
    <cellStyle name="_Sheet1 8" xfId="11307"/>
    <cellStyle name="_Sheet1 8_Вопросы_ФСД" xfId="11308"/>
    <cellStyle name="_Sheet1 8_Список исправленных ошибок" xfId="11309"/>
    <cellStyle name="_Sheet1 9" xfId="11310"/>
    <cellStyle name="_Sheet1 9_Вопросы_ФСД" xfId="11311"/>
    <cellStyle name="_Sheet1 9_Список исправленных ошибок" xfId="11312"/>
    <cellStyle name="_Sheet1_091222_Росатом_ЕПС" xfId="11313"/>
    <cellStyle name="_Sheet1_091222_Росатом_ЕПС_Вопросы_ФСД" xfId="11314"/>
    <cellStyle name="_Sheet1_091222_Росатом_ЕПС_Список исправленных ошибок" xfId="11315"/>
    <cellStyle name="_Sheet1_10" xfId="11316"/>
    <cellStyle name="_Sheet1_10_Вопросы_ФСД" xfId="11317"/>
    <cellStyle name="_Sheet1_14" xfId="11318"/>
    <cellStyle name="_Sheet1_14_Вопросы_ФСД" xfId="11319"/>
    <cellStyle name="_Sheet1_16" xfId="11320"/>
    <cellStyle name="_Sheet1_16_Вопросы_ФСД" xfId="11321"/>
    <cellStyle name="_Sheet1_20" xfId="11322"/>
    <cellStyle name="_Sheet1_20_Вопросы_ФСД" xfId="11323"/>
    <cellStyle name="_Sheet1_2010_02_17_Затраты_v1" xfId="11324"/>
    <cellStyle name="_Sheet1_2010_02_17_Затраты_v1_Вопросы_ФСД" xfId="11325"/>
    <cellStyle name="_Sheet1_2010_02_17_Затраты_v1_Список исправленных ошибок" xfId="11326"/>
    <cellStyle name="_Sheet1_2010-11-25_Росатом_ЕПС-2011_v4" xfId="11327"/>
    <cellStyle name="_Sheet1_Затраты_v2_комментарии_Сабурова" xfId="11328"/>
    <cellStyle name="_Sheet1_Затраты_v4" xfId="11329"/>
    <cellStyle name="_Sheet1_Итог по материалам" xfId="11330"/>
    <cellStyle name="_Sheet1_Итог по материалам_2010_02_17_Затраты_v1" xfId="11331"/>
    <cellStyle name="_Sheet1_Итог по материалам_Затраты_v2_комментарии_Сабурова" xfId="11332"/>
    <cellStyle name="_Sheet1_Итог по материалам_Затраты_v4" xfId="11333"/>
    <cellStyle name="_Sheet1_Материалы" xfId="11334"/>
    <cellStyle name="_Sheet1_Материалы_2010_02_17_Затраты_v1" xfId="11335"/>
    <cellStyle name="_Sheet1_Материалы_Затраты_v2_комментарии_Сабурова" xfId="11336"/>
    <cellStyle name="_Sheet1_Материалы_Затраты_v4" xfId="11337"/>
    <cellStyle name="_Sheet1_Приложение02_ФинАренда_КодКомпании_ДДММГГГГ" xfId="11338"/>
    <cellStyle name="_Sheet1_ПСД_КодКомпании_ДДММГГГГ" xfId="11339"/>
    <cellStyle name="_Sheet1_ПСД_КодКомпании_ДДММГГГГ_2010_02_17_Затраты_v1" xfId="11340"/>
    <cellStyle name="_Sheet1_ПСД_КодКомпании_ДДММГГГГ_Затраты_v2_комментарии_Сабурова" xfId="11341"/>
    <cellStyle name="_Sheet1_ПСД_КодКомпании_ДДММГГГГ_Затраты_v4" xfId="11342"/>
    <cellStyle name="_Sheet1_Список исправленных ошибок" xfId="11343"/>
    <cellStyle name="_Sheet1_Список исправленных ошибок_1" xfId="11344"/>
    <cellStyle name="_Sheet1_список Компаний" xfId="11345"/>
    <cellStyle name="_Sheet1_Титул" xfId="11346"/>
    <cellStyle name="_Sheet1_Товары_v2" xfId="11347"/>
    <cellStyle name="_SUEK PBC (15)" xfId="11348"/>
    <cellStyle name="_SUEK PBC (15) 2" xfId="11349"/>
    <cellStyle name="_SUEK PBC (15) 3" xfId="11350"/>
    <cellStyle name="_SUEK PBC (15) 4" xfId="11351"/>
    <cellStyle name="_SUEK PBC (15) 5" xfId="11352"/>
    <cellStyle name="_SUEK PBC (15) 6" xfId="11353"/>
    <cellStyle name="_SUEK PBC (15) 7" xfId="11354"/>
    <cellStyle name="_SUEK PBC (15) 8" xfId="11355"/>
    <cellStyle name="_SUEK PBC (15)_2010_02_17_Затраты_v1" xfId="11356"/>
    <cellStyle name="_SUEK PBC (15)_2010_02_19_Выручка_Прочие_доходы_v5" xfId="11357"/>
    <cellStyle name="_SUEK PBC (15)_Бюджетная_модель" xfId="11358"/>
    <cellStyle name="_SUEK PBC (15)_Затраты_v2_комментарии_Сабурова" xfId="11359"/>
    <cellStyle name="_SUEK PBC (15)_Затраты_v4" xfId="11360"/>
    <cellStyle name="_SUEK PBC (15)_Приложение02_ФинАренда_КодКомпании_ДДММГГГГ" xfId="11361"/>
    <cellStyle name="_SUEK PBC (15)_ПСД_КодКомпании_ДДММГГГГ" xfId="11362"/>
    <cellStyle name="_SUEK PBC (15)_ПСД_КодКомпании_ДДММГГГГ_2010_02_17_Затраты_v1" xfId="11363"/>
    <cellStyle name="_SUEK PBC (15)_ПСД_КодКомпании_ДДММГГГГ_Затраты_v2_комментарии_Сабурова" xfId="11364"/>
    <cellStyle name="_SUEK PBC (15)_ПСД_КодКомпании_ДДММГГГГ_Затраты_v4" xfId="11365"/>
    <cellStyle name="_SUEK PBC (15)_Расчеты_v2" xfId="11366"/>
    <cellStyle name="_SUEK PBC (15)_Расчеты_v3" xfId="11367"/>
    <cellStyle name="_SUEK PBC (15)_Список исправленных ошибок" xfId="11368"/>
    <cellStyle name="_SUEK PBC (15)_список Компаний" xfId="11369"/>
    <cellStyle name="_SUEK PBC (15)_Товары_v2" xfId="11370"/>
    <cellStyle name="_SZNP - Eqiuty Roll" xfId="11371"/>
    <cellStyle name="_SZNP - Eqiuty Roll 2" xfId="11372"/>
    <cellStyle name="_SZNP - Eqiuty Roll 3" xfId="11373"/>
    <cellStyle name="_SZNP - Eqiuty Roll 4" xfId="11374"/>
    <cellStyle name="_SZNP - Eqiuty Roll 5" xfId="11375"/>
    <cellStyle name="_SZNP - Eqiuty Roll 6" xfId="11376"/>
    <cellStyle name="_SZNP - Eqiuty Roll 7" xfId="11377"/>
    <cellStyle name="_SZNP - Eqiuty Roll 8" xfId="11378"/>
    <cellStyle name="_SZNP - Eqiuty Roll_2010_02_17_Затраты_v1" xfId="11379"/>
    <cellStyle name="_SZNP - Eqiuty Roll_2010_02_19_Выручка_Прочие_доходы_v5" xfId="11380"/>
    <cellStyle name="_SZNP - Eqiuty Roll_Бюджетная_модель" xfId="11381"/>
    <cellStyle name="_SZNP - Eqiuty Roll_Затраты_v2_комментарии_Сабурова" xfId="11382"/>
    <cellStyle name="_SZNP - Eqiuty Roll_Затраты_v4" xfId="11383"/>
    <cellStyle name="_SZNP - Eqiuty Roll_Приложение02_ФинАренда_КодКомпании_ДДММГГГГ" xfId="11384"/>
    <cellStyle name="_SZNP - Eqiuty Roll_ПСД_КодКомпании_ДДММГГГГ" xfId="11385"/>
    <cellStyle name="_SZNP - Eqiuty Roll_ПСД_КодКомпании_ДДММГГГГ_2010_02_17_Затраты_v1" xfId="11386"/>
    <cellStyle name="_SZNP - Eqiuty Roll_ПСД_КодКомпании_ДДММГГГГ_Затраты_v2_комментарии_Сабурова" xfId="11387"/>
    <cellStyle name="_SZNP - Eqiuty Roll_ПСД_КодКомпании_ДДММГГГГ_Затраты_v4" xfId="11388"/>
    <cellStyle name="_SZNP - Eqiuty Roll_Расчеты_v2" xfId="11389"/>
    <cellStyle name="_SZNP - Eqiuty Roll_Расчеты_v3" xfId="11390"/>
    <cellStyle name="_SZNP - Eqiuty Roll_Список исправленных ошибок" xfId="11391"/>
    <cellStyle name="_SZNP - Eqiuty Roll_список Компаний" xfId="11392"/>
    <cellStyle name="_SZNP - Eqiuty Roll_Товары_v2" xfId="11393"/>
    <cellStyle name="_SZNP - rasshifrovki-002000-333" xfId="11394"/>
    <cellStyle name="_SZNP - rasshifrovki-002000-333 2" xfId="11395"/>
    <cellStyle name="_SZNP - rasshifrovki-002000-333 3" xfId="11396"/>
    <cellStyle name="_SZNP - rasshifrovki-002000-333 4" xfId="11397"/>
    <cellStyle name="_SZNP - rasshifrovki-002000-333 5" xfId="11398"/>
    <cellStyle name="_SZNP - rasshifrovki-002000-333 6" xfId="11399"/>
    <cellStyle name="_SZNP - rasshifrovki-002000-333 7" xfId="11400"/>
    <cellStyle name="_SZNP - rasshifrovki-002000-333 8" xfId="11401"/>
    <cellStyle name="_SZNP - rasshifrovki-002000-333_2010_02_17_Затраты_v1" xfId="11402"/>
    <cellStyle name="_SZNP - rasshifrovki-002000-333_2010_02_19_Выручка_Прочие_доходы_v5" xfId="11403"/>
    <cellStyle name="_SZNP - rasshifrovki-002000-333_Бюджетная_модель" xfId="11404"/>
    <cellStyle name="_SZNP - rasshifrovki-002000-333_Затраты_v2_комментарии_Сабурова" xfId="11405"/>
    <cellStyle name="_SZNP - rasshifrovki-002000-333_Затраты_v4" xfId="11406"/>
    <cellStyle name="_SZNP - rasshifrovki-002000-333_Приложение02_ФинАренда_КодКомпании_ДДММГГГГ" xfId="11407"/>
    <cellStyle name="_SZNP - rasshifrovki-002000-333_ПСД_КодКомпании_ДДММГГГГ" xfId="11408"/>
    <cellStyle name="_SZNP - rasshifrovki-002000-333_ПСД_КодКомпании_ДДММГГГГ_2010_02_17_Затраты_v1" xfId="11409"/>
    <cellStyle name="_SZNP - rasshifrovki-002000-333_ПСД_КодКомпании_ДДММГГГГ_Затраты_v2_комментарии_Сабурова" xfId="11410"/>
    <cellStyle name="_SZNP - rasshifrovki-002000-333_ПСД_КодКомпании_ДДММГГГГ_Затраты_v4" xfId="11411"/>
    <cellStyle name="_SZNP - rasshifrovki-002000-333_Расчеты_v2" xfId="11412"/>
    <cellStyle name="_SZNP - rasshifrovki-002000-333_Расчеты_v3" xfId="11413"/>
    <cellStyle name="_SZNP - rasshifrovki-002000-333_Список исправленных ошибок" xfId="11414"/>
    <cellStyle name="_SZNP - rasshifrovki-002000-333_список Компаний" xfId="11415"/>
    <cellStyle name="_SZNP - rasshifrovki-002000-333_Товары_v2" xfId="11416"/>
    <cellStyle name="_SZNP - TRS-092000" xfId="11417"/>
    <cellStyle name="_SZNP - TRS-092000 2" xfId="11418"/>
    <cellStyle name="_SZNP - TRS-092000 3" xfId="11419"/>
    <cellStyle name="_SZNP - TRS-092000 4" xfId="11420"/>
    <cellStyle name="_SZNP - TRS-092000 5" xfId="11421"/>
    <cellStyle name="_SZNP - TRS-092000 6" xfId="11422"/>
    <cellStyle name="_SZNP - TRS-092000 7" xfId="11423"/>
    <cellStyle name="_SZNP - TRS-092000 8" xfId="11424"/>
    <cellStyle name="_SZNP - TRS-092000_2010_02_17_Затраты_v1" xfId="11425"/>
    <cellStyle name="_SZNP - TRS-092000_2010_02_19_Выручка_Прочие_доходы_v5" xfId="11426"/>
    <cellStyle name="_SZNP - TRS-092000_Бюджетная_модель" xfId="11427"/>
    <cellStyle name="_SZNP - TRS-092000_Затраты_v2_комментарии_Сабурова" xfId="11428"/>
    <cellStyle name="_SZNP - TRS-092000_Затраты_v4" xfId="11429"/>
    <cellStyle name="_SZNP - TRS-092000_Приложение02_ФинАренда_КодКомпании_ДДММГГГГ" xfId="11430"/>
    <cellStyle name="_SZNP - TRS-092000_ПСД_КодКомпании_ДДММГГГГ" xfId="11431"/>
    <cellStyle name="_SZNP - TRS-092000_ПСД_КодКомпании_ДДММГГГГ_2010_02_17_Затраты_v1" xfId="11432"/>
    <cellStyle name="_SZNP - TRS-092000_ПСД_КодКомпании_ДДММГГГГ_Затраты_v2_комментарии_Сабурова" xfId="11433"/>
    <cellStyle name="_SZNP - TRS-092000_ПСД_КодКомпании_ДДММГГГГ_Затраты_v4" xfId="11434"/>
    <cellStyle name="_SZNP - TRS-092000_Расчеты_v2" xfId="11435"/>
    <cellStyle name="_SZNP - TRS-092000_Расчеты_v3" xfId="11436"/>
    <cellStyle name="_SZNP - TRS-092000_Список исправленных ошибок" xfId="11437"/>
    <cellStyle name="_SZNP - TRS-092000_список Компаний" xfId="11438"/>
    <cellStyle name="_SZNP - TRS-092000_Товары_v2" xfId="11439"/>
    <cellStyle name="_Worksheet in   Transformation - Templ" xfId="11440"/>
    <cellStyle name="_Worksheet in   Transformation - Templ 2" xfId="11441"/>
    <cellStyle name="_Worksheet in   Transformation - Templ_Список исправленных ошибок" xfId="11442"/>
    <cellStyle name="_Worksheet in   СoA V 2 dd 02.07" xfId="11443"/>
    <cellStyle name="_Worksheet in   СoA V 2 dd 02.07 2" xfId="11444"/>
    <cellStyle name="_Worksheet in   СoA V 2 dd 02.07_Список исправленных ошибок" xfId="11445"/>
    <cellStyle name="_Worksheet in (C) 2240 NN  1Q 2006 - Report" xfId="11446"/>
    <cellStyle name="_Worksheet in (C) 2240 NN  1Q 2006 - Report_2010_02_17_Затраты_v1" xfId="11447"/>
    <cellStyle name="_Worksheet in (C) 2240 NN  1Q 2006 - Report_Затраты_v2_комментарии_Сабурова" xfId="11448"/>
    <cellStyle name="_Worksheet in (C) 2240 NN  1Q 2006 - Report_Затраты_v4" xfId="11449"/>
    <cellStyle name="_Worksheet in (C) 2240 NN  1Q 2006 - Report_Приложение02_ФинАренда_КодКомпании_ДДММГГГГ" xfId="11450"/>
    <cellStyle name="_Worksheet in (C) 2240 NN  1Q 2006 - Report_список Компаний" xfId="11451"/>
    <cellStyle name="_Worksheet in (C) 2240 NN - 2005 - Report" xfId="11452"/>
    <cellStyle name="_Worksheet in (C) 2240 NN - 2005 - Report_2010_02_17_Затраты_v1" xfId="11453"/>
    <cellStyle name="_Worksheet in (C) 2240 NN - 2005 - Report_Затраты_v2_комментарии_Сабурова" xfId="11454"/>
    <cellStyle name="_Worksheet in (C) 2240 NN - 2005 - Report_Затраты_v4" xfId="11455"/>
    <cellStyle name="_Worksheet in (C) 2240 NN - 2005 - Report_Приложение02_ФинАренда_КодКомпании_ДДММГГГГ" xfId="11456"/>
    <cellStyle name="_Worksheet in (C) 2240 NN - 2005 - Report_список Компаний" xfId="11457"/>
    <cellStyle name="_Worksheet in (C) 5110 Сonsolidation - 2004 - NEW" xfId="11458"/>
    <cellStyle name="_Worksheet in (C) 5110 Сonsolidation - 2004 - NEW_2010_02_17_Затраты_v1" xfId="11459"/>
    <cellStyle name="_Worksheet in (C) 5110 Сonsolidation - 2004 - NEW_Затраты_v2_комментарии_Сабурова" xfId="11460"/>
    <cellStyle name="_Worksheet in (C) 5110 Сonsolidation - 2004 - NEW_Затраты_v4" xfId="11461"/>
    <cellStyle name="_Worksheet in (C) 5110 Сonsolidation - 2004 - NEW_Приложение02_ФинАренда_КодКомпании_ДДММГГГГ" xfId="11462"/>
    <cellStyle name="_Worksheet in (C) 5110 Сonsolidation - 2004 - NEW_список Компаний" xfId="11463"/>
    <cellStyle name="_Worksheet in (C) 5110-Q1 Сonsolidation - 2004" xfId="11464"/>
    <cellStyle name="_Worksheet in (C) 5110-Q1 Сonsolidation - 2004_2010_02_17_Затраты_v1" xfId="11465"/>
    <cellStyle name="_Worksheet in (C) 5110-Q1 Сonsolidation - 2004_Затраты_v2_комментарии_Сабурова" xfId="11466"/>
    <cellStyle name="_Worksheet in (C) 5110-Q1 Сonsolidation - 2004_Затраты_v4" xfId="11467"/>
    <cellStyle name="_Worksheet in (C) 5110-Q1 Сonsolidation - 2004_Приложение02_ФинАренда_КодКомпании_ДДММГГГГ" xfId="11468"/>
    <cellStyle name="_Worksheet in (C) 5110-Q1 Сonsolidation - 2004_список Компаний" xfId="11469"/>
    <cellStyle name="_Worksheet in (C) 5816-PLS Consolidation 2005" xfId="11470"/>
    <cellStyle name="_Worksheet in (C) 5816-PLS Consolidation 2005_2010_02_17_Затраты_v1" xfId="11471"/>
    <cellStyle name="_Worksheet in (C) 5816-PLS Consolidation 2005_Затраты_v2_комментарии_Сабурова" xfId="11472"/>
    <cellStyle name="_Worksheet in (C) 5816-PLS Consolidation 2005_Затраты_v4" xfId="11473"/>
    <cellStyle name="_Worksheet in (C) 5816-PLS Consolidation 2005_Приложение02_ФинАренда_КодКомпании_ДДММГГГГ" xfId="11474"/>
    <cellStyle name="_Worksheet in (C) 5816-PLS Consolidation 2005_список Компаний" xfId="11475"/>
    <cellStyle name="_Worksheet in (C) RP-NN-Q2 REPORT Q2-2003 2004 - GF + reclasses" xfId="11476"/>
    <cellStyle name="_Worksheet in (C) RP-NN-Q2 REPORT Q2-2003 2004 - GF + reclasses - for references" xfId="11477"/>
    <cellStyle name="_Worksheet in (C) RP-NN-Q2 REPORT Q2-2003 2004 - GF + reclasses - for references_2010_02_17_Затраты_v1" xfId="11478"/>
    <cellStyle name="_Worksheet in (C) RP-NN-Q2 REPORT Q2-2003 2004 - GF + reclasses - for references_Затраты_v2_комментарии_Сабурова" xfId="11479"/>
    <cellStyle name="_Worksheet in (C) RP-NN-Q2 REPORT Q2-2003 2004 - GF + reclasses - for references_Затраты_v4" xfId="11480"/>
    <cellStyle name="_Worksheet in (C) RP-NN-Q2 REPORT Q2-2003 2004 - GF + reclasses - for references_Приложение02_ФинАренда_КодКомпании_ДДММГГГГ" xfId="11481"/>
    <cellStyle name="_Worksheet in (C) RP-NN-Q2 REPORT Q2-2003 2004 - GF + reclasses - for references_список Компаний" xfId="11482"/>
    <cellStyle name="_Worksheet in (C) RP-NN-Q2 REPORT Q2-2003 2004 - GF + reclasses_2010_02_17_Затраты_v1" xfId="11483"/>
    <cellStyle name="_Worksheet in (C) RP-NN-Q2 REPORT Q2-2003 2004 - GF + reclasses_Затраты_v2_комментарии_Сабурова" xfId="11484"/>
    <cellStyle name="_Worksheet in (C) RP-NN-Q2 REPORT Q2-2003 2004 - GF + reclasses_Затраты_v4" xfId="11485"/>
    <cellStyle name="_Worksheet in (C) RP-NN-Q2 REPORT Q2-2003 2004 - GF + reclasses_Приложение02_ФинАренда_КодКомпании_ДДММГГГГ" xfId="11486"/>
    <cellStyle name="_Worksheet in (C) RP-NN-Q2 REPORT Q2-2003 2004 - GF + reclasses_список Компаний" xfId="11487"/>
    <cellStyle name="_Worksheet in 2240 NN - 1Q 2005 - Report - NEW IAS 39" xfId="11488"/>
    <cellStyle name="_Worksheet in 2240 NN - 1Q 2005 - Report - NEW IAS 39_2010_02_17_Затраты_v1" xfId="11489"/>
    <cellStyle name="_Worksheet in 2240 NN - 1Q 2005 - Report - NEW IAS 39_Затраты_v2_комментарии_Сабурова" xfId="11490"/>
    <cellStyle name="_Worksheet in 2240 NN - 1Q 2005 - Report - NEW IAS 39_Затраты_v4" xfId="11491"/>
    <cellStyle name="_Worksheet in 2240 NN - 1Q 2005 - Report - NEW IAS 39_Приложение02_ФинАренда_КодКомпании_ДДММГГГГ" xfId="11492"/>
    <cellStyle name="_Worksheet in 2240 NN - 1Q 2005 - Report - NEW IAS 39_список Компаний" xfId="11493"/>
    <cellStyle name="_Worksheet in 2240 NN - 2Q 2005 - Report - NEW IAS 39" xfId="11494"/>
    <cellStyle name="_Worksheet in 2240 NN - 2Q 2005 - Report - NEW IAS 39_2010_02_17_Затраты_v1" xfId="11495"/>
    <cellStyle name="_Worksheet in 2240 NN - 2Q 2005 - Report - NEW IAS 39_Затраты_v2_комментарии_Сабурова" xfId="11496"/>
    <cellStyle name="_Worksheet in 2240 NN - 2Q 2005 - Report - NEW IAS 39_Затраты_v4" xfId="11497"/>
    <cellStyle name="_Worksheet in 2240 NN - 2Q 2005 - Report - NEW IAS 39_Приложение02_ФинАренда_КодКомпании_ДДММГГГГ" xfId="11498"/>
    <cellStyle name="_Worksheet in 2240 NN - 2Q 2005 - Report - NEW IAS 39_список Компаний" xfId="11499"/>
    <cellStyle name="_Worksheet in 2240-52 Footnote 52 - Disposal Group held for sale" xfId="11500"/>
    <cellStyle name="_Worksheet in 2240-52 Footnote 52 - Disposal Group held for sale_2010_02_17_Затраты_v1" xfId="11501"/>
    <cellStyle name="_Worksheet in 2240-52 Footnote 52 - Disposal Group held for sale_Затраты_v2_комментарии_Сабурова" xfId="11502"/>
    <cellStyle name="_Worksheet in 2240-52 Footnote 52 - Disposal Group held for sale_Затраты_v4" xfId="11503"/>
    <cellStyle name="_Worksheet in 2240-52 Footnote 52 - Disposal Group held for sale_Приложение02_ФинАренда_КодКомпании_ДДММГГГГ" xfId="11504"/>
    <cellStyle name="_Worksheet in 2240-52 Footnote 52 - Disposal Group held for sale_список Компаний" xfId="11505"/>
    <cellStyle name="_Worksheet in 2261-MOEK Trial Balance 2004-2006" xfId="11506"/>
    <cellStyle name="_Worksheet in 2261-MOEK Trial Balance 2004-2006_2010_02_17_Затраты_v1" xfId="11507"/>
    <cellStyle name="_Worksheet in 2261-MOEK Trial Balance 2004-2006_Затраты_v2_комментарии_Сабурова" xfId="11508"/>
    <cellStyle name="_Worksheet in 2261-MOEK Trial Balance 2004-2006_Затраты_v4" xfId="11509"/>
    <cellStyle name="_Worksheet in 2261-MOEK Trial Balance 2004-2006_Приложение02_ФинАренда_КодКомпании_ДДММГГГГ" xfId="11510"/>
    <cellStyle name="_Worksheet in 2261-MOEK Trial Balance 2004-2006_список Компаний" xfId="11511"/>
    <cellStyle name="_бюджет затрат на оплату труда  29_08_07" xfId="11512"/>
    <cellStyle name="_бюджет затрат на оплату труда  29_08_07 2" xfId="11513"/>
    <cellStyle name="_бюджет затрат на оплату труда  29_08_07 3" xfId="11514"/>
    <cellStyle name="_бюджет затрат на оплату труда  29_08_07 4" xfId="11515"/>
    <cellStyle name="_бюджет затрат на оплату труда  29_08_07 5" xfId="11516"/>
    <cellStyle name="_бюджет затрат на оплату труда  29_08_07 6" xfId="11517"/>
    <cellStyle name="_бюджет затрат на оплату труда  29_08_07 7" xfId="11518"/>
    <cellStyle name="_бюджет затрат на оплату труда  29_08_07 8" xfId="11519"/>
    <cellStyle name="_бюджет затрат на оплату труда  29_08_07_2010_02_17_Затраты_v1" xfId="11520"/>
    <cellStyle name="_бюджет затрат на оплату труда  29_08_07_2010_02_19_Выручка_Прочие_доходы_v5" xfId="11521"/>
    <cellStyle name="_бюджет затрат на оплату труда  29_08_07_Бюджетная_модель" xfId="11522"/>
    <cellStyle name="_бюджет затрат на оплату труда  29_08_07_Затраты_v2_комментарии_Сабурова" xfId="11523"/>
    <cellStyle name="_бюджет затрат на оплату труда  29_08_07_Затраты_v4" xfId="11524"/>
    <cellStyle name="_бюджет затрат на оплату труда  29_08_07_Приложение02_ФинАренда_КодКомпании_ДДММГГГГ" xfId="11525"/>
    <cellStyle name="_бюджет затрат на оплату труда  29_08_07_ПСД_КодКомпании_ДДММГГГГ" xfId="11526"/>
    <cellStyle name="_бюджет затрат на оплату труда  29_08_07_ПСД_КодКомпании_ДДММГГГГ_2010_02_17_Затраты_v1" xfId="11527"/>
    <cellStyle name="_бюджет затрат на оплату труда  29_08_07_ПСД_КодКомпании_ДДММГГГГ_Затраты_v2_комментарии_Сабурова" xfId="11528"/>
    <cellStyle name="_бюджет затрат на оплату труда  29_08_07_ПСД_КодКомпании_ДДММГГГГ_Затраты_v4" xfId="11529"/>
    <cellStyle name="_бюджет затрат на оплату труда  29_08_07_Расчеты_v2" xfId="11530"/>
    <cellStyle name="_бюджет затрат на оплату труда  29_08_07_Расчеты_v3" xfId="11531"/>
    <cellStyle name="_бюджет затрат на оплату труда  29_08_07_Список исправленных ошибок" xfId="11532"/>
    <cellStyle name="_бюджет затрат на оплату труда  29_08_07_список Компаний" xfId="11533"/>
    <cellStyle name="_бюджет затрат на оплату труда  29_08_07_Товары_v2" xfId="11534"/>
    <cellStyle name="_горн" xfId="11535"/>
    <cellStyle name="_горн 2" xfId="11536"/>
    <cellStyle name="_горн 2 2" xfId="15733"/>
    <cellStyle name="_горн 2_2010_02_17_Затраты_v1" xfId="11537"/>
    <cellStyle name="_горн 2_Затраты_v2_комментарии_Сабурова" xfId="11538"/>
    <cellStyle name="_горн 2_Затраты_v4" xfId="11539"/>
    <cellStyle name="_горн 3" xfId="11540"/>
    <cellStyle name="_горн 3 2" xfId="15734"/>
    <cellStyle name="_горн 3_2010_02_17_Затраты_v1" xfId="11541"/>
    <cellStyle name="_горн 3_Затраты_v2_комментарии_Сабурова" xfId="11542"/>
    <cellStyle name="_горн 3_Затраты_v4" xfId="11543"/>
    <cellStyle name="_горн 4" xfId="15732"/>
    <cellStyle name="_горн_2010_02_17_Затраты_v1" xfId="11544"/>
    <cellStyle name="_горн_Затраты_v2_комментарии_Сабурова" xfId="11545"/>
    <cellStyle name="_горн_Затраты_v4" xfId="11546"/>
    <cellStyle name="_Горнорудный дивизион - формы MR - v6.0" xfId="11547"/>
    <cellStyle name="_Горнорудный дивизион - формы MR - v6.0 2" xfId="11548"/>
    <cellStyle name="_Горнорудный дивизион - формы MR - v6.0_Список исправленных ошибок" xfId="11549"/>
    <cellStyle name="_Горнорудный дивизион - формы MR_v7.4" xfId="11550"/>
    <cellStyle name="_Горнорудный дивизион - формы MR_v7.4 2" xfId="11551"/>
    <cellStyle name="_Горнорудный дивизион - формы MR_v7.4_Список исправленных ошибок" xfId="11552"/>
    <cellStyle name="_Заемные средства - MR and DGP" xfId="11553"/>
    <cellStyle name="_Заемные средства - MR and DGP 2" xfId="11554"/>
    <cellStyle name="_Заемные средства - MR and DGP_Список исправленных ошибок" xfId="11555"/>
    <cellStyle name="_Книга1" xfId="11556"/>
    <cellStyle name="_Книга1_Приложение02_ФинАренда_КодКомпании_ДДММГГГГ" xfId="11557"/>
    <cellStyle name="_Книга1_список Компаний" xfId="11558"/>
    <cellStyle name="_кокс" xfId="11559"/>
    <cellStyle name="_кокс 2" xfId="11560"/>
    <cellStyle name="_кокс 2 2" xfId="15736"/>
    <cellStyle name="_кокс 2_2010_02_17_Затраты_v1" xfId="11561"/>
    <cellStyle name="_кокс 2_Затраты_v2_комментарии_Сабурова" xfId="11562"/>
    <cellStyle name="_кокс 2_Затраты_v4" xfId="11563"/>
    <cellStyle name="_кокс 3" xfId="11564"/>
    <cellStyle name="_кокс 3 2" xfId="15737"/>
    <cellStyle name="_кокс 3_2010_02_17_Затраты_v1" xfId="11565"/>
    <cellStyle name="_кокс 3_Затраты_v2_комментарии_Сабурова" xfId="11566"/>
    <cellStyle name="_кокс 3_Затраты_v4" xfId="11567"/>
    <cellStyle name="_кокс 4" xfId="15735"/>
    <cellStyle name="_кокс_2010_02_17_Затраты_v1" xfId="11568"/>
    <cellStyle name="_кокс_Затраты_v2_комментарии_Сабурова" xfId="11569"/>
    <cellStyle name="_кокс_Затраты_v4" xfId="11570"/>
    <cellStyle name="_Коксоугольный дивизион - формы MR - v2 0" xfId="11571"/>
    <cellStyle name="_Коксоугольный дивизион - формы MR - v2 0 2" xfId="11572"/>
    <cellStyle name="_Коксоугольный дивизион - формы MR - v2 0_Список исправленных ошибок" xfId="11573"/>
    <cellStyle name="_Коксоугольный дивизион - формы MR - v2.0" xfId="11574"/>
    <cellStyle name="_Коксоугольный дивизион - формы MR - v2.0 2" xfId="11575"/>
    <cellStyle name="_Коксоугольный дивизион - формы MR - v2.0_Список исправленных ошибок" xfId="11576"/>
    <cellStyle name="_Копия Дополнение к PBC+ (version 1)" xfId="11577"/>
    <cellStyle name="_Копия Дополнение к PBC+ (version 1) 2" xfId="11578"/>
    <cellStyle name="_Копия Дополнение к PBC+ (version 1) 3" xfId="11579"/>
    <cellStyle name="_Копия Дополнение к PBC+ (version 1) 4" xfId="11580"/>
    <cellStyle name="_Копия Дополнение к PBC+ (version 1) 5" xfId="11581"/>
    <cellStyle name="_Копия Дополнение к PBC+ (version 1) 6" xfId="11582"/>
    <cellStyle name="_Копия Дополнение к PBC+ (version 1) 7" xfId="11583"/>
    <cellStyle name="_Копия Дополнение к PBC+ (version 1) 8" xfId="11584"/>
    <cellStyle name="_Копия Дополнение к PBC+ (version 1)_2010_02_17_Затраты_v1" xfId="11585"/>
    <cellStyle name="_Копия Дополнение к PBC+ (version 1)_2010_02_19_Выручка_Прочие_доходы_v5" xfId="11586"/>
    <cellStyle name="_Копия Дополнение к PBC+ (version 1)_Бюджетная_модель" xfId="11587"/>
    <cellStyle name="_Копия Дополнение к PBC+ (version 1)_Затраты_v2_комментарии_Сабурова" xfId="11588"/>
    <cellStyle name="_Копия Дополнение к PBC+ (version 1)_Затраты_v4" xfId="11589"/>
    <cellStyle name="_Копия Дополнение к PBC+ (version 1)_Приложение02_ФинАренда_КодКомпании_ДДММГГГГ" xfId="11590"/>
    <cellStyle name="_Копия Дополнение к PBC+ (version 1)_ПСД_КодКомпании_ДДММГГГГ" xfId="11591"/>
    <cellStyle name="_Копия Дополнение к PBC+ (version 1)_ПСД_КодКомпании_ДДММГГГГ_2010_02_17_Затраты_v1" xfId="11592"/>
    <cellStyle name="_Копия Дополнение к PBC+ (version 1)_ПСД_КодКомпании_ДДММГГГГ_Затраты_v2_комментарии_Сабурова" xfId="11593"/>
    <cellStyle name="_Копия Дополнение к PBC+ (version 1)_ПСД_КодКомпании_ДДММГГГГ_Затраты_v4" xfId="11594"/>
    <cellStyle name="_Копия Дополнение к PBC+ (version 1)_Расчеты_v2" xfId="11595"/>
    <cellStyle name="_Копия Дополнение к PBC+ (version 1)_Расчеты_v3" xfId="11596"/>
    <cellStyle name="_Копия Дополнение к PBC+ (version 1)_Список исправленных ошибок" xfId="11597"/>
    <cellStyle name="_Копия Дополнение к PBC+ (version 1)_список Компаний" xfId="11598"/>
    <cellStyle name="_Копия Дополнение к PBC+ (version 1)_Товары_v2" xfId="11599"/>
    <cellStyle name="_мет" xfId="11600"/>
    <cellStyle name="_мет 2" xfId="11601"/>
    <cellStyle name="_мет 2 2" xfId="15739"/>
    <cellStyle name="_мет 2_2010_02_17_Затраты_v1" xfId="11602"/>
    <cellStyle name="_мет 2_Затраты_v2_комментарии_Сабурова" xfId="11603"/>
    <cellStyle name="_мет 2_Затраты_v4" xfId="11604"/>
    <cellStyle name="_мет 3" xfId="11605"/>
    <cellStyle name="_мет 3 2" xfId="15740"/>
    <cellStyle name="_мет 3_2010_02_17_Затраты_v1" xfId="11606"/>
    <cellStyle name="_мет 3_Затраты_v2_комментарии_Сабурова" xfId="11607"/>
    <cellStyle name="_мет 3_Затраты_v4" xfId="11608"/>
    <cellStyle name="_мет 4" xfId="15738"/>
    <cellStyle name="_мет_2010_02_17_Затраты_v1" xfId="11609"/>
    <cellStyle name="_мет_Затраты_v2_комментарии_Сабурова" xfId="11610"/>
    <cellStyle name="_мет_Затраты_v4" xfId="11611"/>
    <cellStyle name="_Металлургический дивизион - формы MR - v5.8" xfId="11612"/>
    <cellStyle name="_Металлургический дивизион - формы MR - v5.8 2" xfId="11613"/>
    <cellStyle name="_Металлургический дивизион - формы MR - v5.8_Список исправленных ошибок" xfId="11614"/>
    <cellStyle name="_Металлургический дивизион - формы MR - v8.2" xfId="11615"/>
    <cellStyle name="_Металлургический дивизион - формы MR - v8.2 2" xfId="11616"/>
    <cellStyle name="_Металлургический дивизион - формы MR - v8.2_Список исправленных ошибок" xfId="11617"/>
    <cellStyle name="_Металлургический дивизион - формы MR - v8.4" xfId="11618"/>
    <cellStyle name="_Металлургический дивизион - формы MR - v8.4 2" xfId="11619"/>
    <cellStyle name="_Металлургический дивизион - формы MR - v8.4_Список исправленных ошибок" xfId="11620"/>
    <cellStyle name="_Модель  по МСФО 29 09" xfId="11621"/>
    <cellStyle name="_Перечень форм" xfId="11622"/>
    <cellStyle name="_Перечень форм 2" xfId="11623"/>
    <cellStyle name="_Перечень форм 3" xfId="11624"/>
    <cellStyle name="_Перечень форм 4" xfId="11625"/>
    <cellStyle name="_Перечень форм 5" xfId="11626"/>
    <cellStyle name="_Перечень форм 6" xfId="11627"/>
    <cellStyle name="_Перечень форм 7" xfId="11628"/>
    <cellStyle name="_Перечень форм 8" xfId="11629"/>
    <cellStyle name="_Перечень форм_2010_02_17_Затраты_v1" xfId="11630"/>
    <cellStyle name="_Перечень форм_2010_02_19_Выручка_Прочие_доходы_v5" xfId="11631"/>
    <cellStyle name="_Перечень форм_Бюджетная_модель" xfId="11632"/>
    <cellStyle name="_Перечень форм_Затраты_v2_комментарии_Сабурова" xfId="11633"/>
    <cellStyle name="_Перечень форм_Затраты_v4" xfId="11634"/>
    <cellStyle name="_Перечень форм_Приложение02_ФинАренда_КодКомпании_ДДММГГГГ" xfId="11635"/>
    <cellStyle name="_Перечень форм_ПСД_КодКомпании_ДДММГГГГ" xfId="11636"/>
    <cellStyle name="_Перечень форм_ПСД_КодКомпании_ДДММГГГГ_2010_02_17_Затраты_v1" xfId="11637"/>
    <cellStyle name="_Перечень форм_ПСД_КодКомпании_ДДММГГГГ_Затраты_v2_комментарии_Сабурова" xfId="11638"/>
    <cellStyle name="_Перечень форм_ПСД_КодКомпании_ДДММГГГГ_Затраты_v4" xfId="11639"/>
    <cellStyle name="_Перечень форм_Расчеты_v2" xfId="11640"/>
    <cellStyle name="_Перечень форм_Расчеты_v3" xfId="11641"/>
    <cellStyle name="_Перечень форм_Список исправленных ошибок" xfId="11642"/>
    <cellStyle name="_Перечень форм_список Компаний" xfId="11643"/>
    <cellStyle name="_Перечень форм_Товары_v2" xfId="11644"/>
    <cellStyle name="_Приложение №1_v8" xfId="11645"/>
    <cellStyle name="_Продукты, процессы,  ед.изм." xfId="11646"/>
    <cellStyle name="_Продукты, процессы,  ед.изм. 2" xfId="11647"/>
    <cellStyle name="_Продукты, процессы,  ед.изм. 3" xfId="11648"/>
    <cellStyle name="_Продукты, процессы,  ед.изм. 4" xfId="11649"/>
    <cellStyle name="_Продукты, процессы,  ед.изм. 5" xfId="11650"/>
    <cellStyle name="_Продукты, процессы,  ед.изм. 6" xfId="11651"/>
    <cellStyle name="_Продукты, процессы,  ед.изм. 7" xfId="11652"/>
    <cellStyle name="_Продукты, процессы,  ед.изм. 8" xfId="11653"/>
    <cellStyle name="_Продукты, процессы,  ед.изм._2010_02_17_Затраты_v1" xfId="11654"/>
    <cellStyle name="_Продукты, процессы,  ед.изм._2010_02_19_Выручка_Прочие_доходы_v5" xfId="11655"/>
    <cellStyle name="_Продукты, процессы,  ед.изм._Бюджетная_модель" xfId="11656"/>
    <cellStyle name="_Продукты, процессы,  ед.изм._Затраты_v2_комментарии_Сабурова" xfId="11657"/>
    <cellStyle name="_Продукты, процессы,  ед.изм._Затраты_v4" xfId="11658"/>
    <cellStyle name="_Продукты, процессы,  ед.изм._Приложение02_ФинАренда_КодКомпании_ДДММГГГГ" xfId="11659"/>
    <cellStyle name="_Продукты, процессы,  ед.изм._ПСД_КодКомпании_ДДММГГГГ" xfId="11660"/>
    <cellStyle name="_Продукты, процессы,  ед.изм._ПСД_КодКомпании_ДДММГГГГ_2010_02_17_Затраты_v1" xfId="11661"/>
    <cellStyle name="_Продукты, процессы,  ед.изм._ПСД_КодКомпании_ДДММГГГГ_Затраты_v2_комментарии_Сабурова" xfId="11662"/>
    <cellStyle name="_Продукты, процессы,  ед.изм._ПСД_КодКомпании_ДДММГГГГ_Затраты_v4" xfId="11663"/>
    <cellStyle name="_Продукты, процессы,  ед.изм._Расчеты_v2" xfId="11664"/>
    <cellStyle name="_Продукты, процессы,  ед.изм._Расчеты_v3" xfId="11665"/>
    <cellStyle name="_Продукты, процессы,  ед.изм._Список исправленных ошибок" xfId="11666"/>
    <cellStyle name="_Продукты, процессы,  ед.изм._список Компаний" xfId="11667"/>
    <cellStyle name="_Продукты, процессы,  ед.изм._Товары_v2" xfId="11668"/>
    <cellStyle name="_Рабочие таблицы для отчетности по МСФО" xfId="11669"/>
    <cellStyle name="_Рабочие таблицы для отчетности по МСФО 2" xfId="11670"/>
    <cellStyle name="_Рабочие таблицы для отчетности по МСФО 3" xfId="11671"/>
    <cellStyle name="_Рабочие таблицы для отчетности по МСФО 4" xfId="11672"/>
    <cellStyle name="_Рабочие таблицы для отчетности по МСФО 5" xfId="11673"/>
    <cellStyle name="_Рабочие таблицы для отчетности по МСФО 6" xfId="11674"/>
    <cellStyle name="_Рабочие таблицы для отчетности по МСФО 7" xfId="11675"/>
    <cellStyle name="_Рабочие таблицы для отчетности по МСФО 8" xfId="11676"/>
    <cellStyle name="_Рабочие таблицы для отчетности по МСФО_2010_02_17_Затраты_v1" xfId="11677"/>
    <cellStyle name="_Рабочие таблицы для отчетности по МСФО_2010_02_19_Выручка_Прочие_доходы_v5" xfId="11678"/>
    <cellStyle name="_Рабочие таблицы для отчетности по МСФО_Бюджетная_модель" xfId="11679"/>
    <cellStyle name="_Рабочие таблицы для отчетности по МСФО_Затраты_v2_комментарии_Сабурова" xfId="11680"/>
    <cellStyle name="_Рабочие таблицы для отчетности по МСФО_Затраты_v4" xfId="11681"/>
    <cellStyle name="_Рабочие таблицы для отчетности по МСФО_Приложение02_ФинАренда_КодКомпании_ДДММГГГГ" xfId="11682"/>
    <cellStyle name="_Рабочие таблицы для отчетности по МСФО_ПСД_КодКомпании_ДДММГГГГ" xfId="11683"/>
    <cellStyle name="_Рабочие таблицы для отчетности по МСФО_ПСД_КодКомпании_ДДММГГГГ_2010_02_17_Затраты_v1" xfId="11684"/>
    <cellStyle name="_Рабочие таблицы для отчетности по МСФО_ПСД_КодКомпании_ДДММГГГГ_Затраты_v2_комментарии_Сабурова" xfId="11685"/>
    <cellStyle name="_Рабочие таблицы для отчетности по МСФО_ПСД_КодКомпании_ДДММГГГГ_Затраты_v4" xfId="11686"/>
    <cellStyle name="_Рабочие таблицы для отчетности по МСФО_Расчеты_v2" xfId="11687"/>
    <cellStyle name="_Рабочие таблицы для отчетности по МСФО_Расчеты_v3" xfId="11688"/>
    <cellStyle name="_Рабочие таблицы для отчетности по МСФО_Список исправленных ошибок" xfId="11689"/>
    <cellStyle name="_Рабочие таблицы для отчетности по МСФО_список Компаний" xfId="11690"/>
    <cellStyle name="_Рабочие таблицы для отчетности по МСФО_Товары_v2" xfId="11691"/>
    <cellStyle name="_Расш. доп. инф. (на 31.12.2005г.)" xfId="11692"/>
    <cellStyle name="_Расш. доп. инф. (на 31.12.2005г.) 2" xfId="11693"/>
    <cellStyle name="_Расш. доп. инф. (на 31.12.2005г.) 3" xfId="11694"/>
    <cellStyle name="_Расш. доп. инф. (на 31.12.2005г.) 4" xfId="11695"/>
    <cellStyle name="_Расш. доп. инф. (на 31.12.2005г.) 5" xfId="11696"/>
    <cellStyle name="_Расш. доп. инф. (на 31.12.2005г.) 6" xfId="11697"/>
    <cellStyle name="_Расш. доп. инф. (на 31.12.2005г.) 7" xfId="11698"/>
    <cellStyle name="_Расш. доп. инф. (на 31.12.2005г.) 8" xfId="11699"/>
    <cellStyle name="_Расш. доп. инф. (на 31.12.2005г.)_2010_02_17_Затраты_v1" xfId="11700"/>
    <cellStyle name="_Расш. доп. инф. (на 31.12.2005г.)_2010_02_19_Выручка_Прочие_доходы_v5" xfId="11701"/>
    <cellStyle name="_Расш. доп. инф. (на 31.12.2005г.)_Бюджетная_модель" xfId="11702"/>
    <cellStyle name="_Расш. доп. инф. (на 31.12.2005г.)_Затраты_v2_комментарии_Сабурова" xfId="11703"/>
    <cellStyle name="_Расш. доп. инф. (на 31.12.2005г.)_Затраты_v4" xfId="11704"/>
    <cellStyle name="_Расш. доп. инф. (на 31.12.2005г.)_Приложение02_ФинАренда_КодКомпании_ДДММГГГГ" xfId="11705"/>
    <cellStyle name="_Расш. доп. инф. (на 31.12.2005г.)_ПСД_КодКомпании_ДДММГГГГ" xfId="11706"/>
    <cellStyle name="_Расш. доп. инф. (на 31.12.2005г.)_ПСД_КодКомпании_ДДММГГГГ_2010_02_17_Затраты_v1" xfId="11707"/>
    <cellStyle name="_Расш. доп. инф. (на 31.12.2005г.)_ПСД_КодКомпании_ДДММГГГГ_Затраты_v2_комментарии_Сабурова" xfId="11708"/>
    <cellStyle name="_Расш. доп. инф. (на 31.12.2005г.)_ПСД_КодКомпании_ДДММГГГГ_Затраты_v4" xfId="11709"/>
    <cellStyle name="_Расш. доп. инф. (на 31.12.2005г.)_Расчеты_v2" xfId="11710"/>
    <cellStyle name="_Расш. доп. инф. (на 31.12.2005г.)_Расчеты_v3" xfId="11711"/>
    <cellStyle name="_Расш. доп. инф. (на 31.12.2005г.)_Список исправленных ошибок" xfId="11712"/>
    <cellStyle name="_Расш. доп. инф. (на 31.12.2005г.)_список Компаний" xfId="11713"/>
    <cellStyle name="_Расш. доп. инф. (на 31.12.2005г.)_Товары_v2" xfId="11714"/>
    <cellStyle name="_Расшифровка забаланс статей (на 30.06.2005г.)" xfId="11715"/>
    <cellStyle name="_Расшифровка забаланс статей (на 30.06.2005г.) 2" xfId="11716"/>
    <cellStyle name="_Расшифровка забаланс статей (на 30.06.2005г.) 3" xfId="11717"/>
    <cellStyle name="_Расшифровка забаланс статей (на 30.06.2005г.) 4" xfId="11718"/>
    <cellStyle name="_Расшифровка забаланс статей (на 30.06.2005г.) 5" xfId="11719"/>
    <cellStyle name="_Расшифровка забаланс статей (на 30.06.2005г.) 6" xfId="11720"/>
    <cellStyle name="_Расшифровка забаланс статей (на 30.06.2005г.) 7" xfId="11721"/>
    <cellStyle name="_Расшифровка забаланс статей (на 30.06.2005г.) 8" xfId="11722"/>
    <cellStyle name="_Расшифровка забаланс статей (на 30.06.2005г.)_2010_02_17_Затраты_v1" xfId="11723"/>
    <cellStyle name="_Расшифровка забаланс статей (на 30.06.2005г.)_2010_02_19_Выручка_Прочие_доходы_v5" xfId="11724"/>
    <cellStyle name="_Расшифровка забаланс статей (на 30.06.2005г.)_Бюджетная_модель" xfId="11725"/>
    <cellStyle name="_Расшифровка забаланс статей (на 30.06.2005г.)_Затраты_v2_комментарии_Сабурова" xfId="11726"/>
    <cellStyle name="_Расшифровка забаланс статей (на 30.06.2005г.)_Затраты_v4" xfId="11727"/>
    <cellStyle name="_Расшифровка забаланс статей (на 30.06.2005г.)_Приложение02_ФинАренда_КодКомпании_ДДММГГГГ" xfId="11728"/>
    <cellStyle name="_Расшифровка забаланс статей (на 30.06.2005г.)_ПСД_КодКомпании_ДДММГГГГ" xfId="11729"/>
    <cellStyle name="_Расшифровка забаланс статей (на 30.06.2005г.)_ПСД_КодКомпании_ДДММГГГГ_2010_02_17_Затраты_v1" xfId="11730"/>
    <cellStyle name="_Расшифровка забаланс статей (на 30.06.2005г.)_ПСД_КодКомпании_ДДММГГГГ_Затраты_v2_комментарии_Сабурова" xfId="11731"/>
    <cellStyle name="_Расшифровка забаланс статей (на 30.06.2005г.)_ПСД_КодКомпании_ДДММГГГГ_Затраты_v4" xfId="11732"/>
    <cellStyle name="_Расшифровка забаланс статей (на 30.06.2005г.)_Расчеты_v2" xfId="11733"/>
    <cellStyle name="_Расшифровка забаланс статей (на 30.06.2005г.)_Расчеты_v3" xfId="11734"/>
    <cellStyle name="_Расшифровка забаланс статей (на 30.06.2005г.)_Список исправленных ошибок" xfId="11735"/>
    <cellStyle name="_Расшифровка забаланс статей (на 30.06.2005г.)_список Компаний" xfId="11736"/>
    <cellStyle name="_Расшифровка забаланс статей (на 30.06.2005г.)_Товары_v2" xfId="11737"/>
    <cellStyle name="_Расшифровка забаланса (на 31.12.2005г.)" xfId="11738"/>
    <cellStyle name="_Расшифровка забаланса (на 31.12.2005г.) 2" xfId="11739"/>
    <cellStyle name="_Расшифровка забаланса (на 31.12.2005г.) 3" xfId="11740"/>
    <cellStyle name="_Расшифровка забаланса (на 31.12.2005г.) 4" xfId="11741"/>
    <cellStyle name="_Расшифровка забаланса (на 31.12.2005г.) 5" xfId="11742"/>
    <cellStyle name="_Расшифровка забаланса (на 31.12.2005г.) 6" xfId="11743"/>
    <cellStyle name="_Расшифровка забаланса (на 31.12.2005г.) 7" xfId="11744"/>
    <cellStyle name="_Расшифровка забаланса (на 31.12.2005г.) 8" xfId="11745"/>
    <cellStyle name="_Расшифровка забаланса (на 31.12.2005г.)_2010_02_17_Затраты_v1" xfId="11746"/>
    <cellStyle name="_Расшифровка забаланса (на 31.12.2005г.)_2010_02_19_Выручка_Прочие_доходы_v5" xfId="11747"/>
    <cellStyle name="_Расшифровка забаланса (на 31.12.2005г.)_Бюджетная_модель" xfId="11748"/>
    <cellStyle name="_Расшифровка забаланса (на 31.12.2005г.)_Затраты_v2_комментарии_Сабурова" xfId="11749"/>
    <cellStyle name="_Расшифровка забаланса (на 31.12.2005г.)_Затраты_v4" xfId="11750"/>
    <cellStyle name="_Расшифровка забаланса (на 31.12.2005г.)_Приложение02_ФинАренда_КодКомпании_ДДММГГГГ" xfId="11751"/>
    <cellStyle name="_Расшифровка забаланса (на 31.12.2005г.)_ПСД_КодКомпании_ДДММГГГГ" xfId="11752"/>
    <cellStyle name="_Расшифровка забаланса (на 31.12.2005г.)_ПСД_КодКомпании_ДДММГГГГ_2010_02_17_Затраты_v1" xfId="11753"/>
    <cellStyle name="_Расшифровка забаланса (на 31.12.2005г.)_ПСД_КодКомпании_ДДММГГГГ_Затраты_v2_комментарии_Сабурова" xfId="11754"/>
    <cellStyle name="_Расшифровка забаланса (на 31.12.2005г.)_ПСД_КодКомпании_ДДММГГГГ_Затраты_v4" xfId="11755"/>
    <cellStyle name="_Расшифровка забаланса (на 31.12.2005г.)_Расчеты_v2" xfId="11756"/>
    <cellStyle name="_Расшифровка забаланса (на 31.12.2005г.)_Расчеты_v3" xfId="11757"/>
    <cellStyle name="_Расшифровка забаланса (на 31.12.2005г.)_Список исправленных ошибок" xfId="11758"/>
    <cellStyle name="_Расшифровка забаланса (на 31.12.2005г.)_список Компаний" xfId="11759"/>
    <cellStyle name="_Расшифровка забаланса (на 31.12.2005г.)_Товары_v2" xfId="11760"/>
    <cellStyle name="_Расшифровка ОПУ-форма 2 (за год 2005г.)" xfId="11761"/>
    <cellStyle name="_Расшифровка ОПУ-форма 2 (за год 2005г.) 2" xfId="11762"/>
    <cellStyle name="_Расшифровка ОПУ-форма 2 (за год 2005г.) 3" xfId="11763"/>
    <cellStyle name="_Расшифровка ОПУ-форма 2 (за год 2005г.) 4" xfId="11764"/>
    <cellStyle name="_Расшифровка ОПУ-форма 2 (за год 2005г.) 5" xfId="11765"/>
    <cellStyle name="_Расшифровка ОПУ-форма 2 (за год 2005г.) 6" xfId="11766"/>
    <cellStyle name="_Расшифровка ОПУ-форма 2 (за год 2005г.) 7" xfId="11767"/>
    <cellStyle name="_Расшифровка ОПУ-форма 2 (за год 2005г.) 8" xfId="11768"/>
    <cellStyle name="_Расшифровка ОПУ-форма 2 (за год 2005г.)_2010_02_17_Затраты_v1" xfId="11769"/>
    <cellStyle name="_Расшифровка ОПУ-форма 2 (за год 2005г.)_2010_02_19_Выручка_Прочие_доходы_v5" xfId="11770"/>
    <cellStyle name="_Расшифровка ОПУ-форма 2 (за год 2005г.)_Бюджетная_модель" xfId="11771"/>
    <cellStyle name="_Расшифровка ОПУ-форма 2 (за год 2005г.)_Затраты_v2_комментарии_Сабурова" xfId="11772"/>
    <cellStyle name="_Расшифровка ОПУ-форма 2 (за год 2005г.)_Затраты_v4" xfId="11773"/>
    <cellStyle name="_Расшифровка ОПУ-форма 2 (за год 2005г.)_Приложение02_ФинАренда_КодКомпании_ДДММГГГГ" xfId="11774"/>
    <cellStyle name="_Расшифровка ОПУ-форма 2 (за год 2005г.)_ПСД_КодКомпании_ДДММГГГГ" xfId="11775"/>
    <cellStyle name="_Расшифровка ОПУ-форма 2 (за год 2005г.)_ПСД_КодКомпании_ДДММГГГГ_2010_02_17_Затраты_v1" xfId="11776"/>
    <cellStyle name="_Расшифровка ОПУ-форма 2 (за год 2005г.)_ПСД_КодКомпании_ДДММГГГГ_Затраты_v2_комментарии_Сабурова" xfId="11777"/>
    <cellStyle name="_Расшифровка ОПУ-форма 2 (за год 2005г.)_ПСД_КодКомпании_ДДММГГГГ_Затраты_v4" xfId="11778"/>
    <cellStyle name="_Расшифровка ОПУ-форма 2 (за год 2005г.)_Расчеты_v2" xfId="11779"/>
    <cellStyle name="_Расшифровка ОПУ-форма 2 (за год 2005г.)_Расчеты_v3" xfId="11780"/>
    <cellStyle name="_Расшифровка ОПУ-форма 2 (за год 2005г.)_Список исправленных ошибок" xfId="11781"/>
    <cellStyle name="_Расшифровка ОПУ-форма 2 (за год 2005г.)_список Компаний" xfId="11782"/>
    <cellStyle name="_Расшифровка ОПУ-форма 2 (за год 2005г.)_Товары_v2" xfId="11783"/>
    <cellStyle name="_Расшифровка статей баланса (на 30.06.2005г.)" xfId="11784"/>
    <cellStyle name="_Расшифровка статей баланса (на 30.06.2005г.) 2" xfId="11785"/>
    <cellStyle name="_Расшифровка статей баланса (на 30.06.2005г.) 3" xfId="11786"/>
    <cellStyle name="_Расшифровка статей баланса (на 30.06.2005г.) 4" xfId="11787"/>
    <cellStyle name="_Расшифровка статей баланса (на 30.06.2005г.) 5" xfId="11788"/>
    <cellStyle name="_Расшифровка статей баланса (на 30.06.2005г.) 6" xfId="11789"/>
    <cellStyle name="_Расшифровка статей баланса (на 30.06.2005г.) 7" xfId="11790"/>
    <cellStyle name="_Расшифровка статей баланса (на 30.06.2005г.) 8" xfId="11791"/>
    <cellStyle name="_Расшифровка статей баланса (на 30.06.2005г.)_2010_02_17_Затраты_v1" xfId="11792"/>
    <cellStyle name="_Расшифровка статей баланса (на 30.06.2005г.)_2010_02_19_Выручка_Прочие_доходы_v5" xfId="11793"/>
    <cellStyle name="_Расшифровка статей баланса (на 30.06.2005г.)_Бюджетная_модель" xfId="11794"/>
    <cellStyle name="_Расшифровка статей баланса (на 30.06.2005г.)_Затраты_v2_комментарии_Сабурова" xfId="11795"/>
    <cellStyle name="_Расшифровка статей баланса (на 30.06.2005г.)_Затраты_v4" xfId="11796"/>
    <cellStyle name="_Расшифровка статей баланса (на 30.06.2005г.)_Приложение02_ФинАренда_КодКомпании_ДДММГГГГ" xfId="11797"/>
    <cellStyle name="_Расшифровка статей баланса (на 30.06.2005г.)_ПСД_КодКомпании_ДДММГГГГ" xfId="11798"/>
    <cellStyle name="_Расшифровка статей баланса (на 30.06.2005г.)_ПСД_КодКомпании_ДДММГГГГ_2010_02_17_Затраты_v1" xfId="11799"/>
    <cellStyle name="_Расшифровка статей баланса (на 30.06.2005г.)_ПСД_КодКомпании_ДДММГГГГ_Затраты_v2_комментарии_Сабурова" xfId="11800"/>
    <cellStyle name="_Расшифровка статей баланса (на 30.06.2005г.)_ПСД_КодКомпании_ДДММГГГГ_Затраты_v4" xfId="11801"/>
    <cellStyle name="_Расшифровка статей баланса (на 30.06.2005г.)_Расчеты_v2" xfId="11802"/>
    <cellStyle name="_Расшифровка статей баланса (на 30.06.2005г.)_Расчеты_v3" xfId="11803"/>
    <cellStyle name="_Расшифровка статей баланса (на 30.06.2005г.)_Список исправленных ошибок" xfId="11804"/>
    <cellStyle name="_Расшифровка статей баланса (на 30.06.2005г.)_список Компаний" xfId="11805"/>
    <cellStyle name="_Расшифровка статей баланса (на 30.06.2005г.)_Товары_v2" xfId="11806"/>
    <cellStyle name="_расшифровка ф. 2" xfId="11807"/>
    <cellStyle name="_расшифровка ф. 2 2" xfId="11808"/>
    <cellStyle name="_расшифровка ф. 2 3" xfId="11809"/>
    <cellStyle name="_расшифровка ф. 2 4" xfId="11810"/>
    <cellStyle name="_расшифровка ф. 2 5" xfId="11811"/>
    <cellStyle name="_расшифровка ф. 2 6" xfId="11812"/>
    <cellStyle name="_расшифровка ф. 2 7" xfId="11813"/>
    <cellStyle name="_расшифровка ф. 2 8" xfId="11814"/>
    <cellStyle name="_расшифровка ф. 2_2010_02_17_Затраты_v1" xfId="11815"/>
    <cellStyle name="_расшифровка ф. 2_2010_02_19_Выручка_Прочие_доходы_v5" xfId="11816"/>
    <cellStyle name="_расшифровка ф. 2_Бюджетная_модель" xfId="11817"/>
    <cellStyle name="_расшифровка ф. 2_Затраты_v2_комментарии_Сабурова" xfId="11818"/>
    <cellStyle name="_расшифровка ф. 2_Затраты_v4" xfId="11819"/>
    <cellStyle name="_расшифровка ф. 2_Приложение02_ФинАренда_КодКомпании_ДДММГГГГ" xfId="11820"/>
    <cellStyle name="_расшифровка ф. 2_ПСД_КодКомпании_ДДММГГГГ" xfId="11821"/>
    <cellStyle name="_расшифровка ф. 2_ПСД_КодКомпании_ДДММГГГГ_2010_02_17_Затраты_v1" xfId="11822"/>
    <cellStyle name="_расшифровка ф. 2_ПСД_КодКомпании_ДДММГГГГ_Затраты_v2_комментарии_Сабурова" xfId="11823"/>
    <cellStyle name="_расшифровка ф. 2_ПСД_КодКомпании_ДДММГГГГ_Затраты_v4" xfId="11824"/>
    <cellStyle name="_расшифровка ф. 2_Расчеты_v2" xfId="11825"/>
    <cellStyle name="_расшифровка ф. 2_Расчеты_v3" xfId="11826"/>
    <cellStyle name="_расшифровка ф. 2_Список исправленных ошибок" xfId="11827"/>
    <cellStyle name="_расшифровка ф. 2_список Компаний" xfId="11828"/>
    <cellStyle name="_расшифровка ф. 2_Товары_v2" xfId="11829"/>
    <cellStyle name="_Таблица соответствия ЕПС и ТВ 060610" xfId="11830"/>
    <cellStyle name="_Таблица соответствия ЕПС и ТВ 060610 2" xfId="11831"/>
    <cellStyle name="_Таблица соответствия ЕПС и ТВ 060610 3" xfId="11832"/>
    <cellStyle name="_Таблица соответствия ЕПС и ТВ 060610 4" xfId="11833"/>
    <cellStyle name="_Таблица соответствия ЕПС и ТВ 060610 5" xfId="11834"/>
    <cellStyle name="_Таблица соответствия ЕПС и ТВ 060610 6" xfId="11835"/>
    <cellStyle name="_Таблица соответствия ЕПС и ТВ 060610 7" xfId="11836"/>
    <cellStyle name="_Таблица соответствия ЕПС и ТВ 060610 8" xfId="11837"/>
    <cellStyle name="_Таблица соответствия ЕПС и ТВ 060610_2010_02_17_Затраты_v1" xfId="11838"/>
    <cellStyle name="_Таблица соответствия ЕПС и ТВ 060610_2010_02_19_Выручка_Прочие_доходы_v5" xfId="11839"/>
    <cellStyle name="_Таблица соответствия ЕПС и ТВ 060610_Бюджетная_модель" xfId="11840"/>
    <cellStyle name="_Таблица соответствия ЕПС и ТВ 060610_Затраты_v2_комментарии_Сабурова" xfId="11841"/>
    <cellStyle name="_Таблица соответствия ЕПС и ТВ 060610_Затраты_v4" xfId="11842"/>
    <cellStyle name="_Таблица соответствия ЕПС и ТВ 060610_Приложение02_ФинАренда_КодКомпании_ДДММГГГГ" xfId="11843"/>
    <cellStyle name="_Таблица соответствия ЕПС и ТВ 060610_ПСД_КодКомпании_ДДММГГГГ" xfId="11844"/>
    <cellStyle name="_Таблица соответствия ЕПС и ТВ 060610_ПСД_КодКомпании_ДДММГГГГ_2010_02_17_Затраты_v1" xfId="11845"/>
    <cellStyle name="_Таблица соответствия ЕПС и ТВ 060610_ПСД_КодКомпании_ДДММГГГГ_Затраты_v2_комментарии_Сабурова" xfId="11846"/>
    <cellStyle name="_Таблица соответствия ЕПС и ТВ 060610_ПСД_КодКомпании_ДДММГГГГ_Затраты_v4" xfId="11847"/>
    <cellStyle name="_Таблица соответствия ЕПС и ТВ 060610_Расчеты_v2" xfId="11848"/>
    <cellStyle name="_Таблица соответствия ЕПС и ТВ 060610_Расчеты_v3" xfId="11849"/>
    <cellStyle name="_Таблица соответствия ЕПС и ТВ 060610_Список исправленных ошибок" xfId="11850"/>
    <cellStyle name="_Таблица соответствия ЕПС и ТВ 060610_список Компаний" xfId="11851"/>
    <cellStyle name="_Таблица соответствия ЕПС и ТВ 060610_Товары_v2" xfId="11852"/>
    <cellStyle name="_Таблица соответствия ЕПС и ТВ МСФО PL" xfId="11853"/>
    <cellStyle name="_Таблица соответствия ЕПС и ТВ МСФО PL 2" xfId="11854"/>
    <cellStyle name="_Таблица соответствия ЕПС и ТВ МСФО PL 3" xfId="11855"/>
    <cellStyle name="_Таблица соответствия ЕПС и ТВ МСФО PL 4" xfId="11856"/>
    <cellStyle name="_Таблица соответствия ЕПС и ТВ МСФО PL 5" xfId="11857"/>
    <cellStyle name="_Таблица соответствия ЕПС и ТВ МСФО PL 6" xfId="11858"/>
    <cellStyle name="_Таблица соответствия ЕПС и ТВ МСФО PL 7" xfId="11859"/>
    <cellStyle name="_Таблица соответствия ЕПС и ТВ МСФО PL 8" xfId="11860"/>
    <cellStyle name="_Таблица соответствия ЕПС и ТВ МСФО PL_2010_02_17_Затраты_v1" xfId="11861"/>
    <cellStyle name="_Таблица соответствия ЕПС и ТВ МСФО PL_2010_02_19_Выручка_Прочие_доходы_v5" xfId="11862"/>
    <cellStyle name="_Таблица соответствия ЕПС и ТВ МСФО PL_Бюджетная_модель" xfId="11863"/>
    <cellStyle name="_Таблица соответствия ЕПС и ТВ МСФО PL_Затраты_v2_комментарии_Сабурова" xfId="11864"/>
    <cellStyle name="_Таблица соответствия ЕПС и ТВ МСФО PL_Затраты_v4" xfId="11865"/>
    <cellStyle name="_Таблица соответствия ЕПС и ТВ МСФО PL_Приложение02_ФинАренда_КодКомпании_ДДММГГГГ" xfId="11866"/>
    <cellStyle name="_Таблица соответствия ЕПС и ТВ МСФО PL_ПСД_КодКомпании_ДДММГГГГ" xfId="11867"/>
    <cellStyle name="_Таблица соответствия ЕПС и ТВ МСФО PL_ПСД_КодКомпании_ДДММГГГГ_2010_02_17_Затраты_v1" xfId="11868"/>
    <cellStyle name="_Таблица соответствия ЕПС и ТВ МСФО PL_ПСД_КодКомпании_ДДММГГГГ_Затраты_v2_комментарии_Сабурова" xfId="11869"/>
    <cellStyle name="_Таблица соответствия ЕПС и ТВ МСФО PL_ПСД_КодКомпании_ДДММГГГГ_Затраты_v4" xfId="11870"/>
    <cellStyle name="_Таблица соответствия ЕПС и ТВ МСФО PL_Расчеты_v2" xfId="11871"/>
    <cellStyle name="_Таблица соответствия ЕПС и ТВ МСФО PL_Расчеты_v3" xfId="11872"/>
    <cellStyle name="_Таблица соответствия ЕПС и ТВ МСФО PL_Список исправленных ошибок" xfId="11873"/>
    <cellStyle name="_Таблица соответствия ЕПС и ТВ МСФО PL_список Компаний" xfId="11874"/>
    <cellStyle name="_Таблица соответствия ЕПС и ТВ МСФО PL_Товары_v2" xfId="11875"/>
    <cellStyle name="_Форма 2 - предложенная аудиторами" xfId="11876"/>
    <cellStyle name="_Форма 2 - предложенная аудиторами 2" xfId="11877"/>
    <cellStyle name="_Форма 2 - предложенная аудиторами 3" xfId="11878"/>
    <cellStyle name="_Форма 2 - предложенная аудиторами 4" xfId="11879"/>
    <cellStyle name="_Форма 2 - предложенная аудиторами 5" xfId="11880"/>
    <cellStyle name="_Форма 2 - предложенная аудиторами 6" xfId="11881"/>
    <cellStyle name="_Форма 2 - предложенная аудиторами 7" xfId="11882"/>
    <cellStyle name="_Форма 2 - предложенная аудиторами 8" xfId="11883"/>
    <cellStyle name="_Форма 2 - предложенная аудиторами_2010_02_17_Затраты_v1" xfId="11884"/>
    <cellStyle name="_Форма 2 - предложенная аудиторами_2010_02_19_Выручка_Прочие_доходы_v5" xfId="11885"/>
    <cellStyle name="_Форма 2 - предложенная аудиторами_Бюджетная_модель" xfId="11886"/>
    <cellStyle name="_Форма 2 - предложенная аудиторами_Затраты_v2_комментарии_Сабурова" xfId="11887"/>
    <cellStyle name="_Форма 2 - предложенная аудиторами_Затраты_v4" xfId="11888"/>
    <cellStyle name="_Форма 2 - предложенная аудиторами_Приложение02_ФинАренда_КодКомпании_ДДММГГГГ" xfId="11889"/>
    <cellStyle name="_Форма 2 - предложенная аудиторами_ПСД_КодКомпании_ДДММГГГГ" xfId="11890"/>
    <cellStyle name="_Форма 2 - предложенная аудиторами_ПСД_КодКомпании_ДДММГГГГ_2010_02_17_Затраты_v1" xfId="11891"/>
    <cellStyle name="_Форма 2 - предложенная аудиторами_ПСД_КодКомпании_ДДММГГГГ_Затраты_v2_комментарии_Сабурова" xfId="11892"/>
    <cellStyle name="_Форма 2 - предложенная аудиторами_ПСД_КодКомпании_ДДММГГГГ_Затраты_v4" xfId="11893"/>
    <cellStyle name="_Форма 2 - предложенная аудиторами_Расчеты_v2" xfId="11894"/>
    <cellStyle name="_Форма 2 - предложенная аудиторами_Расчеты_v3" xfId="11895"/>
    <cellStyle name="_Форма 2 - предложенная аудиторами_Список исправленных ошибок" xfId="11896"/>
    <cellStyle name="_Форма 2 - предложенная аудиторами_список Компаний" xfId="11897"/>
    <cellStyle name="_Форма 2 - предложенная аудиторами_Товары_v2" xfId="11898"/>
    <cellStyle name="_ШтабКвартира - формы MR - v3.0" xfId="11899"/>
    <cellStyle name="_ШтабКвартира - формы MR - v3.0 2" xfId="11900"/>
    <cellStyle name="_ШтабКвартира - формы MR - v3.0 2 2" xfId="15742"/>
    <cellStyle name="_ШтабКвартира - формы MR - v3.0 2_2010_02_17_Затраты_v1" xfId="11901"/>
    <cellStyle name="_ШтабКвартира - формы MR - v3.0 2_Затраты_v2_комментарии_Сабурова" xfId="11902"/>
    <cellStyle name="_ШтабКвартира - формы MR - v3.0 2_Затраты_v4" xfId="11903"/>
    <cellStyle name="_ШтабКвартира - формы MR - v3.0 3" xfId="11904"/>
    <cellStyle name="_ШтабКвартира - формы MR - v3.0 3 2" xfId="15743"/>
    <cellStyle name="_ШтабКвартира - формы MR - v3.0 3_2010_02_17_Затраты_v1" xfId="11905"/>
    <cellStyle name="_ШтабКвартира - формы MR - v3.0 3_Затраты_v2_комментарии_Сабурова" xfId="11906"/>
    <cellStyle name="_ШтабКвартира - формы MR - v3.0 3_Затраты_v4" xfId="11907"/>
    <cellStyle name="_ШтабКвартира - формы MR - v3.0 4" xfId="15741"/>
    <cellStyle name="_ШтабКвартира - формы MR - v3.0_2010_02_17_Затраты_v1" xfId="11908"/>
    <cellStyle name="_ШтабКвартира - формы MR - v3.0_Затраты_v2_комментарии_Сабурова" xfId="11909"/>
    <cellStyle name="_ШтабКвартира - формы MR - v3.0_Затраты_v4" xfId="11910"/>
    <cellStyle name="_ШтабКвартира - формы MR - v5 0" xfId="11911"/>
    <cellStyle name="_ШтабКвартира - формы MR - v5 0 2" xfId="11912"/>
    <cellStyle name="_ШтабКвартира - формы MR - v5 0 2 2" xfId="15745"/>
    <cellStyle name="_ШтабКвартира - формы MR - v5 0 2_2010_02_17_Затраты_v1" xfId="11913"/>
    <cellStyle name="_ШтабКвартира - формы MR - v5 0 2_Затраты_v2_комментарии_Сабурова" xfId="11914"/>
    <cellStyle name="_ШтабКвартира - формы MR - v5 0 2_Затраты_v4" xfId="11915"/>
    <cellStyle name="_ШтабКвартира - формы MR - v5 0 3" xfId="11916"/>
    <cellStyle name="_ШтабКвартира - формы MR - v5 0 3 2" xfId="15746"/>
    <cellStyle name="_ШтабКвартира - формы MR - v5 0 3_2010_02_17_Затраты_v1" xfId="11917"/>
    <cellStyle name="_ШтабКвартира - формы MR - v5 0 3_Затраты_v2_комментарии_Сабурова" xfId="11918"/>
    <cellStyle name="_ШтабКвартира - формы MR - v5 0 3_Затраты_v4" xfId="11919"/>
    <cellStyle name="_ШтабКвартира - формы MR - v5 0 4" xfId="15744"/>
    <cellStyle name="_ШтабКвартира - формы MR - v5 0_2010_02_17_Затраты_v1" xfId="11920"/>
    <cellStyle name="_ШтабКвартира - формы MR - v5 0_Затраты_v2_комментарии_Сабурова" xfId="11921"/>
    <cellStyle name="_ШтабКвартира - формы MR - v5 0_Затраты_v4" xfId="11922"/>
    <cellStyle name="_ШтабКвартира - формы MR - v7.2(уточнить соответствие)" xfId="11923"/>
    <cellStyle name="_ШтабКвартира - формы MR - v7.2(уточнить соответствие) 2" xfId="11924"/>
    <cellStyle name="_ШтабКвартира - формы MR - v7.2(уточнить соответствие) 2 2" xfId="15748"/>
    <cellStyle name="_ШтабКвартира - формы MR - v7.2(уточнить соответствие) 2_2010_02_17_Затраты_v1" xfId="11925"/>
    <cellStyle name="_ШтабКвартира - формы MR - v7.2(уточнить соответствие) 2_Затраты_v2_комментарии_Сабурова" xfId="11926"/>
    <cellStyle name="_ШтабКвартира - формы MR - v7.2(уточнить соответствие) 2_Затраты_v4" xfId="11927"/>
    <cellStyle name="_ШтабКвартира - формы MR - v7.2(уточнить соответствие) 3" xfId="11928"/>
    <cellStyle name="_ШтабКвартира - формы MR - v7.2(уточнить соответствие) 3 2" xfId="15749"/>
    <cellStyle name="_ШтабКвартира - формы MR - v7.2(уточнить соответствие) 3_2010_02_17_Затраты_v1" xfId="11929"/>
    <cellStyle name="_ШтабКвартира - формы MR - v7.2(уточнить соответствие) 3_Затраты_v2_комментарии_Сабурова" xfId="11930"/>
    <cellStyle name="_ШтабКвартира - формы MR - v7.2(уточнить соответствие) 3_Затраты_v4" xfId="11931"/>
    <cellStyle name="_ШтабКвартира - формы MR - v7.2(уточнить соответствие) 4" xfId="15747"/>
    <cellStyle name="_ШтабКвартира - формы MR - v7.2(уточнить соответствие)_2010_02_17_Затраты_v1" xfId="11932"/>
    <cellStyle name="_ШтабКвартира - формы MR - v7.2(уточнить соответствие)_Затраты_v2_комментарии_Сабурова" xfId="11933"/>
    <cellStyle name="_ШтабКвартира - формы MR - v7.2(уточнить соответствие)_Затраты_v4" xfId="11934"/>
    <cellStyle name="_ШтабКвартира - формы MR - v8.1" xfId="11935"/>
    <cellStyle name="_ШтабКвартира - формы MR - v8.1 2" xfId="11936"/>
    <cellStyle name="_ШтабКвартира - формы MR - v8.1 2 2" xfId="15751"/>
    <cellStyle name="_ШтабКвартира - формы MR - v8.1 2_2010_02_17_Затраты_v1" xfId="11937"/>
    <cellStyle name="_ШтабКвартира - формы MR - v8.1 2_Затраты_v2_комментарии_Сабурова" xfId="11938"/>
    <cellStyle name="_ШтабКвартира - формы MR - v8.1 2_Затраты_v4" xfId="11939"/>
    <cellStyle name="_ШтабКвартира - формы MR - v8.1 3" xfId="11940"/>
    <cellStyle name="_ШтабКвартира - формы MR - v8.1 3 2" xfId="15752"/>
    <cellStyle name="_ШтабКвартира - формы MR - v8.1 3_2010_02_17_Затраты_v1" xfId="11941"/>
    <cellStyle name="_ШтабКвартира - формы MR - v8.1 3_Затраты_v2_комментарии_Сабурова" xfId="11942"/>
    <cellStyle name="_ШтабКвартира - формы MR - v8.1 3_Затраты_v4" xfId="11943"/>
    <cellStyle name="_ШтабКвартира - формы MR - v8.1 4" xfId="15750"/>
    <cellStyle name="_ШтабКвартира - формы MR - v8.1_2010_02_17_Затраты_v1" xfId="11944"/>
    <cellStyle name="_ШтабКвартира - формы MR - v8.1_Затраты_v2_комментарии_Сабурова" xfId="11945"/>
    <cellStyle name="_ШтабКвартира - формы MR - v8.1_Затраты_v4" xfId="11946"/>
    <cellStyle name="_ШтабКвартира - формы MR - v8.2" xfId="11947"/>
    <cellStyle name="_ШтабКвартира - формы MR - v8.2 2" xfId="11948"/>
    <cellStyle name="_ШтабКвартира - формы MR - v8.2 2 2" xfId="15754"/>
    <cellStyle name="_ШтабКвартира - формы MR - v8.2 2_2010_02_17_Затраты_v1" xfId="11949"/>
    <cellStyle name="_ШтабКвартира - формы MR - v8.2 2_Затраты_v2_комментарии_Сабурова" xfId="11950"/>
    <cellStyle name="_ШтабКвартира - формы MR - v8.2 2_Затраты_v4" xfId="11951"/>
    <cellStyle name="_ШтабКвартира - формы MR - v8.2 3" xfId="11952"/>
    <cellStyle name="_ШтабКвартира - формы MR - v8.2 3 2" xfId="15755"/>
    <cellStyle name="_ШтабКвартира - формы MR - v8.2 3_2010_02_17_Затраты_v1" xfId="11953"/>
    <cellStyle name="_ШтабКвартира - формы MR - v8.2 3_Затраты_v2_комментарии_Сабурова" xfId="11954"/>
    <cellStyle name="_ШтабКвартира - формы MR - v8.2 3_Затраты_v4" xfId="11955"/>
    <cellStyle name="_ШтабКвартира - формы MR - v8.2 4" xfId="15753"/>
    <cellStyle name="_ШтабКвартира - формы MR - v8.2_2010_02_17_Затраты_v1" xfId="11956"/>
    <cellStyle name="_ШтабКвартира - формы MR - v8.2_Затраты_v2_комментарии_Сабурова" xfId="11957"/>
    <cellStyle name="_ШтабКвартира - формы MR - v8.2_Затраты_v4" xfId="11958"/>
    <cellStyle name="" xfId="11959"/>
    <cellStyle name="" xfId="11960"/>
    <cellStyle name="" xfId="11961"/>
    <cellStyle name=" 2" xfId="50403"/>
    <cellStyle name="" xfId="11962"/>
    <cellStyle name="" xfId="11963"/>
    <cellStyle name="" xfId="11964"/>
    <cellStyle name="0,00;0;" xfId="11965"/>
    <cellStyle name="0,00;0; 10" xfId="11966"/>
    <cellStyle name="0,00;0; 11" xfId="11967"/>
    <cellStyle name="0,00;0; 12" xfId="11968"/>
    <cellStyle name="0,00;0; 13" xfId="11969"/>
    <cellStyle name="0,00;0; 14" xfId="11970"/>
    <cellStyle name="0,00;0; 15" xfId="11971"/>
    <cellStyle name="0,00;0; 16" xfId="11972"/>
    <cellStyle name="0,00;0; 2" xfId="11973"/>
    <cellStyle name="0,00;0; 3" xfId="11974"/>
    <cellStyle name="0,00;0; 4" xfId="11975"/>
    <cellStyle name="0,00;0; 5" xfId="11976"/>
    <cellStyle name="0,00;0; 6" xfId="11977"/>
    <cellStyle name="0,00;0; 7" xfId="11978"/>
    <cellStyle name="0,00;0; 8" xfId="11979"/>
    <cellStyle name="0,00;0; 9" xfId="11980"/>
    <cellStyle name="0,00;0;_2010_02_19_Выручка_Прочие_доходы_v5" xfId="11981"/>
    <cellStyle name="1Normal" xfId="11982"/>
    <cellStyle name="1Normal 2" xfId="11983"/>
    <cellStyle name="1Normal 3" xfId="11984"/>
    <cellStyle name="1Normal 4" xfId="11985"/>
    <cellStyle name="1Normal 5" xfId="11986"/>
    <cellStyle name="1Normal 6" xfId="11987"/>
    <cellStyle name="1Normal 7" xfId="11988"/>
    <cellStyle name="1Normal 8" xfId="11989"/>
    <cellStyle name="1Normal_Список исправленных ошибок" xfId="11990"/>
    <cellStyle name="20% - Accent1" xfId="11991"/>
    <cellStyle name="20% - Accent1 10" xfId="11992"/>
    <cellStyle name="20% - Accent1 2" xfId="11993"/>
    <cellStyle name="20% - Accent1 3" xfId="11994"/>
    <cellStyle name="20% - Accent1 4" xfId="11995"/>
    <cellStyle name="20% - Accent1 6" xfId="11996"/>
    <cellStyle name="20% - Accent1 7" xfId="11997"/>
    <cellStyle name="20% - Accent1 8" xfId="11998"/>
    <cellStyle name="20% - Accent2" xfId="11999"/>
    <cellStyle name="20% - Accent2 10" xfId="12000"/>
    <cellStyle name="20% - Accent2 2" xfId="12001"/>
    <cellStyle name="20% - Accent2 3" xfId="12002"/>
    <cellStyle name="20% - Accent2 4" xfId="12003"/>
    <cellStyle name="20% - Accent2 6" xfId="12004"/>
    <cellStyle name="20% - Accent2 7" xfId="12005"/>
    <cellStyle name="20% - Accent2 8" xfId="12006"/>
    <cellStyle name="20% - Accent3" xfId="12007"/>
    <cellStyle name="20% - Accent3 10" xfId="12008"/>
    <cellStyle name="20% - Accent3 2" xfId="12009"/>
    <cellStyle name="20% - Accent3 3" xfId="12010"/>
    <cellStyle name="20% - Accent3 4" xfId="12011"/>
    <cellStyle name="20% - Accent3 6" xfId="12012"/>
    <cellStyle name="20% - Accent3 7" xfId="12013"/>
    <cellStyle name="20% - Accent3 8" xfId="12014"/>
    <cellStyle name="20% - Accent4" xfId="12015"/>
    <cellStyle name="20% - Accent4 10" xfId="12016"/>
    <cellStyle name="20% - Accent4 2" xfId="12017"/>
    <cellStyle name="20% - Accent4 3" xfId="12018"/>
    <cellStyle name="20% - Accent4 4" xfId="12019"/>
    <cellStyle name="20% - Accent4 6" xfId="12020"/>
    <cellStyle name="20% - Accent4 7" xfId="12021"/>
    <cellStyle name="20% - Accent4 8" xfId="12022"/>
    <cellStyle name="20% - Accent5" xfId="12023"/>
    <cellStyle name="20% - Accent5 10" xfId="12024"/>
    <cellStyle name="20% - Accent5 2" xfId="12025"/>
    <cellStyle name="20% - Accent5 3" xfId="12026"/>
    <cellStyle name="20% - Accent5 4" xfId="12027"/>
    <cellStyle name="20% - Accent5 6" xfId="12028"/>
    <cellStyle name="20% - Accent5 7" xfId="12029"/>
    <cellStyle name="20% - Accent5 8" xfId="12030"/>
    <cellStyle name="20% - Accent6" xfId="12031"/>
    <cellStyle name="20% - Accent6 10" xfId="12032"/>
    <cellStyle name="20% - Accent6 2" xfId="12033"/>
    <cellStyle name="20% - Accent6 3" xfId="12034"/>
    <cellStyle name="20% - Accent6 4" xfId="12035"/>
    <cellStyle name="20% - Accent6 6" xfId="12036"/>
    <cellStyle name="20% - Accent6 7" xfId="12037"/>
    <cellStyle name="20% - Accent6 8" xfId="12038"/>
    <cellStyle name="20% — акцент1" xfId="28" builtinId="30" hidden="1"/>
    <cellStyle name="20% — акцент1" xfId="66" builtinId="30" hidden="1"/>
    <cellStyle name="20% — акцент1" xfId="113" builtinId="30" hidden="1"/>
    <cellStyle name="20% — акцент1" xfId="152" builtinId="30" hidden="1"/>
    <cellStyle name="20% — акцент1" xfId="307" builtinId="30" hidden="1"/>
    <cellStyle name="20% — акцент1" xfId="345" builtinId="30" hidden="1"/>
    <cellStyle name="20% — акцент1" xfId="392" builtinId="30" hidden="1"/>
    <cellStyle name="20% — акцент1" xfId="431" builtinId="30" hidden="1"/>
    <cellStyle name="20% — акцент1" xfId="563" builtinId="30" hidden="1"/>
    <cellStyle name="20% — акцент1" xfId="601" builtinId="30" hidden="1"/>
    <cellStyle name="20% — акцент1" xfId="648" builtinId="30" hidden="1"/>
    <cellStyle name="20% — акцент1" xfId="687" builtinId="30" hidden="1"/>
    <cellStyle name="20% — акцент1" xfId="4166" builtinId="30" customBuiltin="1"/>
    <cellStyle name="20% - Акцент1 10" xfId="12040"/>
    <cellStyle name="20% - Акцент1 11" xfId="12041"/>
    <cellStyle name="20% - Акцент1 12" xfId="12042"/>
    <cellStyle name="20% - Акцент1 13" xfId="12043"/>
    <cellStyle name="20% - Акцент1 14" xfId="12044"/>
    <cellStyle name="20% - Акцент1 15" xfId="12045"/>
    <cellStyle name="20% - Акцент1 16" xfId="12046"/>
    <cellStyle name="20% - Акцент1 17" xfId="15756"/>
    <cellStyle name="20% - Акцент1 18" xfId="15663"/>
    <cellStyle name="20% - Акцент1 19" xfId="16985"/>
    <cellStyle name="20% - Акцент1 2" xfId="4207"/>
    <cellStyle name="20% - Акцент1 2 2" xfId="12048"/>
    <cellStyle name="20% - Акцент1 2 2 2" xfId="12049"/>
    <cellStyle name="20% - Акцент1 2 2_Список исправленных ошибок" xfId="12050"/>
    <cellStyle name="20% - Акцент1 2 3" xfId="12051"/>
    <cellStyle name="20% - Акцент1 2 4" xfId="12052"/>
    <cellStyle name="20% - Акцент1 2 5" xfId="12053"/>
    <cellStyle name="20% - Акцент1 2 6" xfId="12047"/>
    <cellStyle name="20% - Акцент1 2_ПСД_ВГО_new_AZ_v1 (draft)" xfId="12054"/>
    <cellStyle name="20% - Акцент1 20" xfId="17047"/>
    <cellStyle name="20% - Акцент1 21" xfId="17941"/>
    <cellStyle name="20% - Акцент1 22" xfId="36478"/>
    <cellStyle name="20% - Акцент1 23" xfId="12039"/>
    <cellStyle name="20% - Акцент1 3" xfId="12055"/>
    <cellStyle name="20% - Акцент1 3 2" xfId="12056"/>
    <cellStyle name="20% - Акцент1 3 3" xfId="12057"/>
    <cellStyle name="20% - Акцент1 3 4" xfId="12058"/>
    <cellStyle name="20% - Акцент1 3 5" xfId="12059"/>
    <cellStyle name="20% - Акцент1 3_ПСД_ВГО_new_AZ_v1 (draft)" xfId="12060"/>
    <cellStyle name="20% - Акцент1 4" xfId="12061"/>
    <cellStyle name="20% - Акцент1 4 2" xfId="12062"/>
    <cellStyle name="20% - Акцент1 4 3" xfId="12063"/>
    <cellStyle name="20% - Акцент1 4 4" xfId="12064"/>
    <cellStyle name="20% - Акцент1 4 5" xfId="12065"/>
    <cellStyle name="20% - Акцент1 4_ПСД_ВГО_new_AZ_v1 (draft)" xfId="12066"/>
    <cellStyle name="20% - Акцент1 5" xfId="12067"/>
    <cellStyle name="20% - Акцент1 5 2" xfId="12068"/>
    <cellStyle name="20% - Акцент1 5 3" xfId="12069"/>
    <cellStyle name="20% - Акцент1 5 4" xfId="12070"/>
    <cellStyle name="20% - Акцент1 5 5" xfId="12071"/>
    <cellStyle name="20% - Акцент1 5_ПСД_ВГО_new_AZ_v1 (draft)" xfId="12072"/>
    <cellStyle name="20% - Акцент1 6" xfId="12073"/>
    <cellStyle name="20% - Акцент1 6 2" xfId="12074"/>
    <cellStyle name="20% - Акцент1 6 3" xfId="12075"/>
    <cellStyle name="20% - Акцент1 6 4" xfId="12076"/>
    <cellStyle name="20% - Акцент1 6 5" xfId="12077"/>
    <cellStyle name="20% - Акцент1 6_ПСД_ВГО_new_AZ_v1 (draft)" xfId="12078"/>
    <cellStyle name="20% - Акцент1 7" xfId="12079"/>
    <cellStyle name="20% - Акцент1 7 2" xfId="12080"/>
    <cellStyle name="20% - Акцент1 7 3" xfId="12081"/>
    <cellStyle name="20% - Акцент1 7 4" xfId="12082"/>
    <cellStyle name="20% - Акцент1 7 5" xfId="12083"/>
    <cellStyle name="20% - Акцент1 7_ПСД_ВГО_new_AZ_v1 (draft)" xfId="12084"/>
    <cellStyle name="20% - Акцент1 8" xfId="12085"/>
    <cellStyle name="20% - Акцент1 8 2" xfId="12086"/>
    <cellStyle name="20% - Акцент1 8 3" xfId="12087"/>
    <cellStyle name="20% - Акцент1 8 4" xfId="12088"/>
    <cellStyle name="20% - Акцент1 8 5" xfId="12089"/>
    <cellStyle name="20% - Акцент1 8_ПСД_ВГО_new_AZ_v1 (draft)" xfId="12090"/>
    <cellStyle name="20% - Акцент1 9" xfId="12091"/>
    <cellStyle name="20% - Акцент1 9 2" xfId="12092"/>
    <cellStyle name="20% - Акцент1 9 3" xfId="12093"/>
    <cellStyle name="20% - Акцент1 9 4" xfId="12094"/>
    <cellStyle name="20% - Акцент1 9 5" xfId="12095"/>
    <cellStyle name="20% - Акцент1 9_ПСД_ВГО_new_AZ_v1 (draft)" xfId="12096"/>
    <cellStyle name="20% — акцент2" xfId="32" builtinId="34" hidden="1"/>
    <cellStyle name="20% — акцент2" xfId="70" builtinId="34" hidden="1"/>
    <cellStyle name="20% — акцент2" xfId="120" builtinId="34" hidden="1"/>
    <cellStyle name="20% — акцент2" xfId="156" builtinId="34" hidden="1"/>
    <cellStyle name="20% — акцент2" xfId="311" builtinId="34" hidden="1"/>
    <cellStyle name="20% — акцент2" xfId="349" builtinId="34" hidden="1"/>
    <cellStyle name="20% — акцент2" xfId="399" builtinId="34" hidden="1"/>
    <cellStyle name="20% — акцент2" xfId="435" builtinId="34" hidden="1"/>
    <cellStyle name="20% — акцент2" xfId="567" builtinId="34" hidden="1"/>
    <cellStyle name="20% — акцент2" xfId="605" builtinId="34" hidden="1"/>
    <cellStyle name="20% — акцент2" xfId="655" builtinId="34" hidden="1"/>
    <cellStyle name="20% — акцент2" xfId="691" builtinId="34" hidden="1"/>
    <cellStyle name="20% — акцент2" xfId="4170" builtinId="34" customBuiltin="1"/>
    <cellStyle name="20% - Акцент2 10" xfId="12098"/>
    <cellStyle name="20% - Акцент2 11" xfId="12099"/>
    <cellStyle name="20% - Акцент2 12" xfId="12100"/>
    <cellStyle name="20% - Акцент2 13" xfId="12101"/>
    <cellStyle name="20% - Акцент2 14" xfId="12102"/>
    <cellStyle name="20% - Акцент2 15" xfId="12103"/>
    <cellStyle name="20% - Акцент2 16" xfId="12104"/>
    <cellStyle name="20% - Акцент2 17" xfId="15757"/>
    <cellStyle name="20% - Акцент2 18" xfId="15664"/>
    <cellStyle name="20% - Акцент2 19" xfId="16986"/>
    <cellStyle name="20% - Акцент2 2" xfId="4209"/>
    <cellStyle name="20% - Акцент2 2 2" xfId="12106"/>
    <cellStyle name="20% - Акцент2 2 2 2" xfId="12107"/>
    <cellStyle name="20% - Акцент2 2 2_Список исправленных ошибок" xfId="12108"/>
    <cellStyle name="20% - Акцент2 2 3" xfId="12109"/>
    <cellStyle name="20% - Акцент2 2 4" xfId="12110"/>
    <cellStyle name="20% - Акцент2 2 5" xfId="12111"/>
    <cellStyle name="20% - Акцент2 2 6" xfId="12105"/>
    <cellStyle name="20% - Акцент2 2_ПСД_ВГО_new_AZ_v1 (draft)" xfId="12112"/>
    <cellStyle name="20% - Акцент2 20" xfId="17048"/>
    <cellStyle name="20% - Акцент2 21" xfId="17942"/>
    <cellStyle name="20% - Акцент2 22" xfId="36479"/>
    <cellStyle name="20% - Акцент2 23" xfId="12097"/>
    <cellStyle name="20% - Акцент2 3" xfId="12113"/>
    <cellStyle name="20% - Акцент2 3 2" xfId="12114"/>
    <cellStyle name="20% - Акцент2 3 3" xfId="12115"/>
    <cellStyle name="20% - Акцент2 3 4" xfId="12116"/>
    <cellStyle name="20% - Акцент2 3 5" xfId="12117"/>
    <cellStyle name="20% - Акцент2 3_ПСД_ВГО_new_AZ_v1 (draft)" xfId="12118"/>
    <cellStyle name="20% - Акцент2 4" xfId="12119"/>
    <cellStyle name="20% - Акцент2 4 2" xfId="12120"/>
    <cellStyle name="20% - Акцент2 4 3" xfId="12121"/>
    <cellStyle name="20% - Акцент2 4 4" xfId="12122"/>
    <cellStyle name="20% - Акцент2 4 5" xfId="12123"/>
    <cellStyle name="20% - Акцент2 4_ПСД_ВГО_new_AZ_v1 (draft)" xfId="12124"/>
    <cellStyle name="20% - Акцент2 5" xfId="12125"/>
    <cellStyle name="20% - Акцент2 5 2" xfId="12126"/>
    <cellStyle name="20% - Акцент2 5 3" xfId="12127"/>
    <cellStyle name="20% - Акцент2 5 4" xfId="12128"/>
    <cellStyle name="20% - Акцент2 5 5" xfId="12129"/>
    <cellStyle name="20% - Акцент2 5_ПСД_ВГО_new_AZ_v1 (draft)" xfId="12130"/>
    <cellStyle name="20% - Акцент2 6" xfId="12131"/>
    <cellStyle name="20% - Акцент2 6 2" xfId="12132"/>
    <cellStyle name="20% - Акцент2 6 3" xfId="12133"/>
    <cellStyle name="20% - Акцент2 6 4" xfId="12134"/>
    <cellStyle name="20% - Акцент2 6 5" xfId="12135"/>
    <cellStyle name="20% - Акцент2 6_ПСД_ВГО_new_AZ_v1 (draft)" xfId="12136"/>
    <cellStyle name="20% - Акцент2 7" xfId="12137"/>
    <cellStyle name="20% - Акцент2 7 2" xfId="12138"/>
    <cellStyle name="20% - Акцент2 7 3" xfId="12139"/>
    <cellStyle name="20% - Акцент2 7 4" xfId="12140"/>
    <cellStyle name="20% - Акцент2 7 5" xfId="12141"/>
    <cellStyle name="20% - Акцент2 7_ПСД_ВГО_new_AZ_v1 (draft)" xfId="12142"/>
    <cellStyle name="20% - Акцент2 8" xfId="12143"/>
    <cellStyle name="20% - Акцент2 8 2" xfId="12144"/>
    <cellStyle name="20% - Акцент2 8 3" xfId="12145"/>
    <cellStyle name="20% - Акцент2 8 4" xfId="12146"/>
    <cellStyle name="20% - Акцент2 8 5" xfId="12147"/>
    <cellStyle name="20% - Акцент2 8_ПСД_ВГО_new_AZ_v1 (draft)" xfId="12148"/>
    <cellStyle name="20% - Акцент2 9" xfId="12149"/>
    <cellStyle name="20% - Акцент2 9 2" xfId="12150"/>
    <cellStyle name="20% - Акцент2 9 3" xfId="12151"/>
    <cellStyle name="20% - Акцент2 9 4" xfId="12152"/>
    <cellStyle name="20% - Акцент2 9 5" xfId="12153"/>
    <cellStyle name="20% - Акцент2 9_ПСД_ВГО_new_AZ_v1 (draft)" xfId="12154"/>
    <cellStyle name="20% — акцент3" xfId="36" builtinId="38" hidden="1"/>
    <cellStyle name="20% — акцент3" xfId="74" builtinId="38" hidden="1"/>
    <cellStyle name="20% — акцент3" xfId="105" builtinId="38" hidden="1"/>
    <cellStyle name="20% — акцент3" xfId="160" builtinId="38" hidden="1"/>
    <cellStyle name="20% — акцент3" xfId="315" builtinId="38" hidden="1"/>
    <cellStyle name="20% — акцент3" xfId="353" builtinId="38" hidden="1"/>
    <cellStyle name="20% — акцент3" xfId="384" builtinId="38" hidden="1"/>
    <cellStyle name="20% — акцент3" xfId="439" builtinId="38" hidden="1"/>
    <cellStyle name="20% — акцент3" xfId="571" builtinId="38" hidden="1"/>
    <cellStyle name="20% — акцент3" xfId="609" builtinId="38" hidden="1"/>
    <cellStyle name="20% — акцент3" xfId="640" builtinId="38" hidden="1"/>
    <cellStyle name="20% — акцент3" xfId="695" builtinId="38" hidden="1"/>
    <cellStyle name="20% — акцент3" xfId="4174" builtinId="38" customBuiltin="1"/>
    <cellStyle name="20% - Акцент3 10" xfId="12156"/>
    <cellStyle name="20% - Акцент3 11" xfId="12157"/>
    <cellStyle name="20% - Акцент3 12" xfId="12158"/>
    <cellStyle name="20% - Акцент3 13" xfId="12159"/>
    <cellStyle name="20% - Акцент3 14" xfId="12160"/>
    <cellStyle name="20% - Акцент3 15" xfId="12161"/>
    <cellStyle name="20% - Акцент3 16" xfId="12162"/>
    <cellStyle name="20% - Акцент3 17" xfId="15758"/>
    <cellStyle name="20% - Акцент3 18" xfId="15665"/>
    <cellStyle name="20% - Акцент3 19" xfId="16987"/>
    <cellStyle name="20% - Акцент3 2" xfId="4211"/>
    <cellStyle name="20% - Акцент3 2 2" xfId="12164"/>
    <cellStyle name="20% - Акцент3 2 2 2" xfId="12165"/>
    <cellStyle name="20% - Акцент3 2 2_Список исправленных ошибок" xfId="12166"/>
    <cellStyle name="20% - Акцент3 2 3" xfId="12167"/>
    <cellStyle name="20% - Акцент3 2 4" xfId="12168"/>
    <cellStyle name="20% - Акцент3 2 5" xfId="12169"/>
    <cellStyle name="20% - Акцент3 2 6" xfId="12163"/>
    <cellStyle name="20% - Акцент3 2_ПСД_ВГО_new_AZ_v1 (draft)" xfId="12170"/>
    <cellStyle name="20% - Акцент3 20" xfId="17049"/>
    <cellStyle name="20% - Акцент3 21" xfId="17943"/>
    <cellStyle name="20% - Акцент3 22" xfId="36480"/>
    <cellStyle name="20% - Акцент3 23" xfId="12155"/>
    <cellStyle name="20% - Акцент3 3" xfId="12171"/>
    <cellStyle name="20% - Акцент3 3 2" xfId="12172"/>
    <cellStyle name="20% - Акцент3 3 3" xfId="12173"/>
    <cellStyle name="20% - Акцент3 3 4" xfId="12174"/>
    <cellStyle name="20% - Акцент3 3 5" xfId="12175"/>
    <cellStyle name="20% - Акцент3 3_ПСД_ВГО_new_AZ_v1 (draft)" xfId="12176"/>
    <cellStyle name="20% - Акцент3 4" xfId="12177"/>
    <cellStyle name="20% - Акцент3 4 2" xfId="12178"/>
    <cellStyle name="20% - Акцент3 4 3" xfId="12179"/>
    <cellStyle name="20% - Акцент3 4 4" xfId="12180"/>
    <cellStyle name="20% - Акцент3 4 5" xfId="12181"/>
    <cellStyle name="20% - Акцент3 4_ПСД_ВГО_new_AZ_v1 (draft)" xfId="12182"/>
    <cellStyle name="20% - Акцент3 5" xfId="12183"/>
    <cellStyle name="20% - Акцент3 5 2" xfId="12184"/>
    <cellStyle name="20% - Акцент3 5 3" xfId="12185"/>
    <cellStyle name="20% - Акцент3 5 4" xfId="12186"/>
    <cellStyle name="20% - Акцент3 5 5" xfId="12187"/>
    <cellStyle name="20% - Акцент3 5_ПСД_ВГО_new_AZ_v1 (draft)" xfId="12188"/>
    <cellStyle name="20% - Акцент3 6" xfId="12189"/>
    <cellStyle name="20% - Акцент3 6 2" xfId="12190"/>
    <cellStyle name="20% - Акцент3 6 3" xfId="12191"/>
    <cellStyle name="20% - Акцент3 6 4" xfId="12192"/>
    <cellStyle name="20% - Акцент3 6 5" xfId="12193"/>
    <cellStyle name="20% - Акцент3 6_ПСД_ВГО_new_AZ_v1 (draft)" xfId="12194"/>
    <cellStyle name="20% - Акцент3 7" xfId="12195"/>
    <cellStyle name="20% - Акцент3 7 2" xfId="12196"/>
    <cellStyle name="20% - Акцент3 7 3" xfId="12197"/>
    <cellStyle name="20% - Акцент3 7 4" xfId="12198"/>
    <cellStyle name="20% - Акцент3 7 5" xfId="12199"/>
    <cellStyle name="20% - Акцент3 7_ПСД_ВГО_new_AZ_v1 (draft)" xfId="12200"/>
    <cellStyle name="20% - Акцент3 8" xfId="12201"/>
    <cellStyle name="20% - Акцент3 8 2" xfId="12202"/>
    <cellStyle name="20% - Акцент3 8 3" xfId="12203"/>
    <cellStyle name="20% - Акцент3 8 4" xfId="12204"/>
    <cellStyle name="20% - Акцент3 8 5" xfId="12205"/>
    <cellStyle name="20% - Акцент3 8_ПСД_ВГО_new_AZ_v1 (draft)" xfId="12206"/>
    <cellStyle name="20% - Акцент3 9" xfId="12207"/>
    <cellStyle name="20% - Акцент3 9 2" xfId="12208"/>
    <cellStyle name="20% - Акцент3 9 3" xfId="12209"/>
    <cellStyle name="20% - Акцент3 9 4" xfId="12210"/>
    <cellStyle name="20% - Акцент3 9 5" xfId="12211"/>
    <cellStyle name="20% - Акцент3 9_ПСД_ВГО_new_AZ_v1 (draft)" xfId="12212"/>
    <cellStyle name="20% — акцент4" xfId="40" builtinId="42" hidden="1"/>
    <cellStyle name="20% — акцент4" xfId="78" builtinId="42" hidden="1"/>
    <cellStyle name="20% — акцент4" xfId="125" builtinId="42" hidden="1"/>
    <cellStyle name="20% — акцент4" xfId="164" builtinId="42" hidden="1"/>
    <cellStyle name="20% — акцент4" xfId="319" builtinId="42" hidden="1"/>
    <cellStyle name="20% — акцент4" xfId="357" builtinId="42" hidden="1"/>
    <cellStyle name="20% — акцент4" xfId="404" builtinId="42" hidden="1"/>
    <cellStyle name="20% — акцент4" xfId="443" builtinId="42" hidden="1"/>
    <cellStyle name="20% — акцент4" xfId="575" builtinId="42" hidden="1"/>
    <cellStyle name="20% — акцент4" xfId="613" builtinId="42" hidden="1"/>
    <cellStyle name="20% — акцент4" xfId="660" builtinId="42" hidden="1"/>
    <cellStyle name="20% — акцент4" xfId="699" builtinId="42" hidden="1"/>
    <cellStyle name="20% — акцент4" xfId="4178" builtinId="42" customBuiltin="1"/>
    <cellStyle name="20% - Акцент4 10" xfId="12214"/>
    <cellStyle name="20% - Акцент4 11" xfId="12215"/>
    <cellStyle name="20% - Акцент4 12" xfId="12216"/>
    <cellStyle name="20% - Акцент4 13" xfId="12217"/>
    <cellStyle name="20% - Акцент4 14" xfId="12218"/>
    <cellStyle name="20% - Акцент4 15" xfId="12219"/>
    <cellStyle name="20% - Акцент4 16" xfId="12220"/>
    <cellStyle name="20% - Акцент4 17" xfId="15759"/>
    <cellStyle name="20% - Акцент4 18" xfId="15666"/>
    <cellStyle name="20% - Акцент4 19" xfId="16988"/>
    <cellStyle name="20% - Акцент4 2" xfId="4213"/>
    <cellStyle name="20% - Акцент4 2 2" xfId="12222"/>
    <cellStyle name="20% - Акцент4 2 2 2" xfId="12223"/>
    <cellStyle name="20% - Акцент4 2 2_Список исправленных ошибок" xfId="12224"/>
    <cellStyle name="20% - Акцент4 2 3" xfId="12225"/>
    <cellStyle name="20% - Акцент4 2 4" xfId="12226"/>
    <cellStyle name="20% - Акцент4 2 5" xfId="12227"/>
    <cellStyle name="20% - Акцент4 2 6" xfId="12221"/>
    <cellStyle name="20% - Акцент4 2_ПСД_ВГО_new_AZ_v1 (draft)" xfId="12228"/>
    <cellStyle name="20% - Акцент4 20" xfId="17050"/>
    <cellStyle name="20% - Акцент4 21" xfId="17944"/>
    <cellStyle name="20% - Акцент4 22" xfId="36481"/>
    <cellStyle name="20% - Акцент4 23" xfId="12213"/>
    <cellStyle name="20% - Акцент4 3" xfId="12229"/>
    <cellStyle name="20% - Акцент4 3 2" xfId="12230"/>
    <cellStyle name="20% - Акцент4 3 3" xfId="12231"/>
    <cellStyle name="20% - Акцент4 3 4" xfId="12232"/>
    <cellStyle name="20% - Акцент4 3 5" xfId="12233"/>
    <cellStyle name="20% - Акцент4 3_ПСД_ВГО_new_AZ_v1 (draft)" xfId="12234"/>
    <cellStyle name="20% - Акцент4 4" xfId="12235"/>
    <cellStyle name="20% - Акцент4 4 2" xfId="12236"/>
    <cellStyle name="20% - Акцент4 4 3" xfId="12237"/>
    <cellStyle name="20% - Акцент4 4 4" xfId="12238"/>
    <cellStyle name="20% - Акцент4 4 5" xfId="12239"/>
    <cellStyle name="20% - Акцент4 4_ПСД_ВГО_new_AZ_v1 (draft)" xfId="12240"/>
    <cellStyle name="20% - Акцент4 5" xfId="12241"/>
    <cellStyle name="20% - Акцент4 5 2" xfId="12242"/>
    <cellStyle name="20% - Акцент4 5 3" xfId="12243"/>
    <cellStyle name="20% - Акцент4 5 4" xfId="12244"/>
    <cellStyle name="20% - Акцент4 5 5" xfId="12245"/>
    <cellStyle name="20% - Акцент4 5_ПСД_ВГО_new_AZ_v1 (draft)" xfId="12246"/>
    <cellStyle name="20% - Акцент4 6" xfId="12247"/>
    <cellStyle name="20% - Акцент4 6 2" xfId="12248"/>
    <cellStyle name="20% - Акцент4 6 3" xfId="12249"/>
    <cellStyle name="20% - Акцент4 6 4" xfId="12250"/>
    <cellStyle name="20% - Акцент4 6 5" xfId="12251"/>
    <cellStyle name="20% - Акцент4 6_ПСД_ВГО_new_AZ_v1 (draft)" xfId="12252"/>
    <cellStyle name="20% - Акцент4 7" xfId="12253"/>
    <cellStyle name="20% - Акцент4 7 2" xfId="12254"/>
    <cellStyle name="20% - Акцент4 7 3" xfId="12255"/>
    <cellStyle name="20% - Акцент4 7 4" xfId="12256"/>
    <cellStyle name="20% - Акцент4 7 5" xfId="12257"/>
    <cellStyle name="20% - Акцент4 7_ПСД_ВГО_new_AZ_v1 (draft)" xfId="12258"/>
    <cellStyle name="20% - Акцент4 8" xfId="12259"/>
    <cellStyle name="20% - Акцент4 8 2" xfId="12260"/>
    <cellStyle name="20% - Акцент4 8 3" xfId="12261"/>
    <cellStyle name="20% - Акцент4 8 4" xfId="12262"/>
    <cellStyle name="20% - Акцент4 8 5" xfId="12263"/>
    <cellStyle name="20% - Акцент4 8_ПСД_ВГО_new_AZ_v1 (draft)" xfId="12264"/>
    <cellStyle name="20% - Акцент4 9" xfId="12265"/>
    <cellStyle name="20% - Акцент4 9 2" xfId="12266"/>
    <cellStyle name="20% - Акцент4 9 3" xfId="12267"/>
    <cellStyle name="20% - Акцент4 9 4" xfId="12268"/>
    <cellStyle name="20% - Акцент4 9 5" xfId="12269"/>
    <cellStyle name="20% - Акцент4 9_ПСД_ВГО_new_AZ_v1 (draft)" xfId="12270"/>
    <cellStyle name="20% — акцент5" xfId="44" builtinId="46" hidden="1"/>
    <cellStyle name="20% — акцент5" xfId="82" builtinId="46" hidden="1"/>
    <cellStyle name="20% — акцент5" xfId="129" builtinId="46" hidden="1"/>
    <cellStyle name="20% — акцент5" xfId="168" builtinId="46" hidden="1"/>
    <cellStyle name="20% — акцент5" xfId="323" builtinId="46" hidden="1"/>
    <cellStyle name="20% — акцент5" xfId="361" builtinId="46" hidden="1"/>
    <cellStyle name="20% — акцент5" xfId="408" builtinId="46" hidden="1"/>
    <cellStyle name="20% — акцент5" xfId="447" builtinId="46" hidden="1"/>
    <cellStyle name="20% — акцент5" xfId="579" builtinId="46" hidden="1"/>
    <cellStyle name="20% — акцент5" xfId="617" builtinId="46" hidden="1"/>
    <cellStyle name="20% — акцент5" xfId="664" builtinId="46" hidden="1"/>
    <cellStyle name="20% — акцент5" xfId="703" builtinId="46" hidden="1"/>
    <cellStyle name="20% — акцент5" xfId="4182" builtinId="46" customBuiltin="1"/>
    <cellStyle name="20% - Акцент5 10" xfId="12272"/>
    <cellStyle name="20% - Акцент5 11" xfId="12273"/>
    <cellStyle name="20% - Акцент5 12" xfId="12274"/>
    <cellStyle name="20% - Акцент5 13" xfId="12275"/>
    <cellStyle name="20% - Акцент5 14" xfId="12276"/>
    <cellStyle name="20% - Акцент5 15" xfId="12277"/>
    <cellStyle name="20% - Акцент5 16" xfId="12278"/>
    <cellStyle name="20% - Акцент5 17" xfId="15760"/>
    <cellStyle name="20% - Акцент5 18" xfId="15667"/>
    <cellStyle name="20% - Акцент5 19" xfId="16989"/>
    <cellStyle name="20% - Акцент5 2" xfId="4215"/>
    <cellStyle name="20% - Акцент5 2 2" xfId="12280"/>
    <cellStyle name="20% - Акцент5 2 2 2" xfId="12281"/>
    <cellStyle name="20% - Акцент5 2 2_Список исправленных ошибок" xfId="12282"/>
    <cellStyle name="20% - Акцент5 2 3" xfId="12283"/>
    <cellStyle name="20% - Акцент5 2 4" xfId="12284"/>
    <cellStyle name="20% - Акцент5 2 5" xfId="12285"/>
    <cellStyle name="20% - Акцент5 2 6" xfId="12279"/>
    <cellStyle name="20% - Акцент5 2_ПСД_ВГО_new_AZ_v1 (draft)" xfId="12286"/>
    <cellStyle name="20% - Акцент5 20" xfId="17051"/>
    <cellStyle name="20% - Акцент5 21" xfId="17945"/>
    <cellStyle name="20% - Акцент5 22" xfId="36482"/>
    <cellStyle name="20% - Акцент5 23" xfId="12271"/>
    <cellStyle name="20% - Акцент5 3" xfId="12287"/>
    <cellStyle name="20% - Акцент5 3 2" xfId="12288"/>
    <cellStyle name="20% - Акцент5 3 3" xfId="12289"/>
    <cellStyle name="20% - Акцент5 3 4" xfId="12290"/>
    <cellStyle name="20% - Акцент5 3 5" xfId="12291"/>
    <cellStyle name="20% - Акцент5 3_ПСД_ВГО_new_AZ_v1 (draft)" xfId="12292"/>
    <cellStyle name="20% - Акцент5 4" xfId="12293"/>
    <cellStyle name="20% - Акцент5 4 2" xfId="12294"/>
    <cellStyle name="20% - Акцент5 4 3" xfId="12295"/>
    <cellStyle name="20% - Акцент5 4 4" xfId="12296"/>
    <cellStyle name="20% - Акцент5 4 5" xfId="12297"/>
    <cellStyle name="20% - Акцент5 4_ПСД_ВГО_new_AZ_v1 (draft)" xfId="12298"/>
    <cellStyle name="20% - Акцент5 5" xfId="12299"/>
    <cellStyle name="20% - Акцент5 5 2" xfId="12300"/>
    <cellStyle name="20% - Акцент5 5 3" xfId="12301"/>
    <cellStyle name="20% - Акцент5 5 4" xfId="12302"/>
    <cellStyle name="20% - Акцент5 5 5" xfId="12303"/>
    <cellStyle name="20% - Акцент5 5_ПСД_ВГО_new_AZ_v1 (draft)" xfId="12304"/>
    <cellStyle name="20% - Акцент5 6" xfId="12305"/>
    <cellStyle name="20% - Акцент5 6 2" xfId="12306"/>
    <cellStyle name="20% - Акцент5 6 3" xfId="12307"/>
    <cellStyle name="20% - Акцент5 6 4" xfId="12308"/>
    <cellStyle name="20% - Акцент5 6 5" xfId="12309"/>
    <cellStyle name="20% - Акцент5 6_ПСД_ВГО_new_AZ_v1 (draft)" xfId="12310"/>
    <cellStyle name="20% - Акцент5 7" xfId="12311"/>
    <cellStyle name="20% - Акцент5 7 2" xfId="12312"/>
    <cellStyle name="20% - Акцент5 7 3" xfId="12313"/>
    <cellStyle name="20% - Акцент5 7 4" xfId="12314"/>
    <cellStyle name="20% - Акцент5 7 5" xfId="12315"/>
    <cellStyle name="20% - Акцент5 7_ПСД_ВГО_new_AZ_v1 (draft)" xfId="12316"/>
    <cellStyle name="20% - Акцент5 8" xfId="12317"/>
    <cellStyle name="20% - Акцент5 8 2" xfId="12318"/>
    <cellStyle name="20% - Акцент5 8 3" xfId="12319"/>
    <cellStyle name="20% - Акцент5 8 4" xfId="12320"/>
    <cellStyle name="20% - Акцент5 8 5" xfId="12321"/>
    <cellStyle name="20% - Акцент5 8_ПСД_ВГО_new_AZ_v1 (draft)" xfId="12322"/>
    <cellStyle name="20% - Акцент5 9" xfId="12323"/>
    <cellStyle name="20% - Акцент5 9 2" xfId="12324"/>
    <cellStyle name="20% - Акцент5 9 3" xfId="12325"/>
    <cellStyle name="20% - Акцент5 9 4" xfId="12326"/>
    <cellStyle name="20% - Акцент5 9 5" xfId="12327"/>
    <cellStyle name="20% - Акцент5 9_ПСД_ВГО_new_AZ_v1 (draft)" xfId="12328"/>
    <cellStyle name="20% — акцент6" xfId="48" builtinId="50" hidden="1"/>
    <cellStyle name="20% — акцент6" xfId="86" builtinId="50" hidden="1"/>
    <cellStyle name="20% — акцент6" xfId="133" builtinId="50" hidden="1"/>
    <cellStyle name="20% — акцент6" xfId="172" builtinId="50" hidden="1"/>
    <cellStyle name="20% — акцент6" xfId="327" builtinId="50" hidden="1"/>
    <cellStyle name="20% — акцент6" xfId="365" builtinId="50" hidden="1"/>
    <cellStyle name="20% — акцент6" xfId="412" builtinId="50" hidden="1"/>
    <cellStyle name="20% — акцент6" xfId="451" builtinId="50" hidden="1"/>
    <cellStyle name="20% — акцент6" xfId="583" builtinId="50" hidden="1"/>
    <cellStyle name="20% — акцент6" xfId="621" builtinId="50" hidden="1"/>
    <cellStyle name="20% — акцент6" xfId="668" builtinId="50" hidden="1"/>
    <cellStyle name="20% — акцент6" xfId="707" builtinId="50" hidden="1"/>
    <cellStyle name="20% — акцент6" xfId="4186" builtinId="50" customBuiltin="1"/>
    <cellStyle name="20% - Акцент6 10" xfId="12330"/>
    <cellStyle name="20% - Акцент6 11" xfId="12331"/>
    <cellStyle name="20% - Акцент6 12" xfId="12332"/>
    <cellStyle name="20% - Акцент6 13" xfId="12333"/>
    <cellStyle name="20% - Акцент6 14" xfId="12334"/>
    <cellStyle name="20% - Акцент6 15" xfId="12335"/>
    <cellStyle name="20% - Акцент6 16" xfId="12336"/>
    <cellStyle name="20% - Акцент6 17" xfId="15761"/>
    <cellStyle name="20% - Акцент6 18" xfId="15668"/>
    <cellStyle name="20% - Акцент6 19" xfId="16990"/>
    <cellStyle name="20% - Акцент6 2" xfId="4218"/>
    <cellStyle name="20% - Акцент6 2 2" xfId="12338"/>
    <cellStyle name="20% - Акцент6 2 2 2" xfId="12339"/>
    <cellStyle name="20% - Акцент6 2 2_Список исправленных ошибок" xfId="12340"/>
    <cellStyle name="20% - Акцент6 2 3" xfId="12341"/>
    <cellStyle name="20% - Акцент6 2 4" xfId="12342"/>
    <cellStyle name="20% - Акцент6 2 5" xfId="12343"/>
    <cellStyle name="20% - Акцент6 2 6" xfId="12337"/>
    <cellStyle name="20% - Акцент6 2_ПСД_ВГО_new_AZ_v1 (draft)" xfId="12344"/>
    <cellStyle name="20% - Акцент6 20" xfId="17052"/>
    <cellStyle name="20% - Акцент6 21" xfId="17946"/>
    <cellStyle name="20% - Акцент6 22" xfId="36483"/>
    <cellStyle name="20% - Акцент6 23" xfId="12329"/>
    <cellStyle name="20% - Акцент6 3" xfId="12345"/>
    <cellStyle name="20% - Акцент6 3 2" xfId="12346"/>
    <cellStyle name="20% - Акцент6 3 3" xfId="12347"/>
    <cellStyle name="20% - Акцент6 3 4" xfId="12348"/>
    <cellStyle name="20% - Акцент6 3 5" xfId="12349"/>
    <cellStyle name="20% - Акцент6 3_ПСД_ВГО_new_AZ_v1 (draft)" xfId="12350"/>
    <cellStyle name="20% - Акцент6 4" xfId="12351"/>
    <cellStyle name="20% - Акцент6 4 2" xfId="12352"/>
    <cellStyle name="20% - Акцент6 4 3" xfId="12353"/>
    <cellStyle name="20% - Акцент6 4 4" xfId="12354"/>
    <cellStyle name="20% - Акцент6 4 5" xfId="12355"/>
    <cellStyle name="20% - Акцент6 4_ПСД_ВГО_new_AZ_v1 (draft)" xfId="12356"/>
    <cellStyle name="20% - Акцент6 5" xfId="12357"/>
    <cellStyle name="20% - Акцент6 5 2" xfId="12358"/>
    <cellStyle name="20% - Акцент6 5 3" xfId="12359"/>
    <cellStyle name="20% - Акцент6 5 4" xfId="12360"/>
    <cellStyle name="20% - Акцент6 5 5" xfId="12361"/>
    <cellStyle name="20% - Акцент6 5_ПСД_ВГО_new_AZ_v1 (draft)" xfId="12362"/>
    <cellStyle name="20% - Акцент6 6" xfId="12363"/>
    <cellStyle name="20% - Акцент6 6 2" xfId="12364"/>
    <cellStyle name="20% - Акцент6 6 3" xfId="12365"/>
    <cellStyle name="20% - Акцент6 6 4" xfId="12366"/>
    <cellStyle name="20% - Акцент6 6 5" xfId="12367"/>
    <cellStyle name="20% - Акцент6 6_ПСД_ВГО_new_AZ_v1 (draft)" xfId="12368"/>
    <cellStyle name="20% - Акцент6 7" xfId="12369"/>
    <cellStyle name="20% - Акцент6 7 2" xfId="12370"/>
    <cellStyle name="20% - Акцент6 7 3" xfId="12371"/>
    <cellStyle name="20% - Акцент6 7 4" xfId="12372"/>
    <cellStyle name="20% - Акцент6 7 5" xfId="12373"/>
    <cellStyle name="20% - Акцент6 7_ПСД_ВГО_new_AZ_v1 (draft)" xfId="12374"/>
    <cellStyle name="20% - Акцент6 8" xfId="12375"/>
    <cellStyle name="20% - Акцент6 8 2" xfId="12376"/>
    <cellStyle name="20% - Акцент6 8 3" xfId="12377"/>
    <cellStyle name="20% - Акцент6 8 4" xfId="12378"/>
    <cellStyle name="20% - Акцент6 8 5" xfId="12379"/>
    <cellStyle name="20% - Акцент6 8_ПСД_ВГО_new_AZ_v1 (draft)" xfId="12380"/>
    <cellStyle name="20% - Акцент6 9" xfId="12381"/>
    <cellStyle name="20% - Акцент6 9 2" xfId="12382"/>
    <cellStyle name="20% - Акцент6 9 3" xfId="12383"/>
    <cellStyle name="20% - Акцент6 9 4" xfId="12384"/>
    <cellStyle name="20% - Акцент6 9 5" xfId="12385"/>
    <cellStyle name="20% - Акцент6 9_ПСД_ВГО_new_AZ_v1 (draft)" xfId="12386"/>
    <cellStyle name="40% - Accent1" xfId="12387"/>
    <cellStyle name="40% - Accent1 10" xfId="12388"/>
    <cellStyle name="40% - Accent1 2" xfId="12389"/>
    <cellStyle name="40% - Accent1 3" xfId="12390"/>
    <cellStyle name="40% - Accent1 4" xfId="12391"/>
    <cellStyle name="40% - Accent1 6" xfId="12392"/>
    <cellStyle name="40% - Accent1 7" xfId="12393"/>
    <cellStyle name="40% - Accent1 8" xfId="12394"/>
    <cellStyle name="40% - Accent2" xfId="12395"/>
    <cellStyle name="40% - Accent2 10" xfId="12396"/>
    <cellStyle name="40% - Accent2 2" xfId="12397"/>
    <cellStyle name="40% - Accent2 3" xfId="12398"/>
    <cellStyle name="40% - Accent2 4" xfId="12399"/>
    <cellStyle name="40% - Accent2 6" xfId="12400"/>
    <cellStyle name="40% - Accent2 7" xfId="12401"/>
    <cellStyle name="40% - Accent2 8" xfId="12402"/>
    <cellStyle name="40% - Accent3" xfId="12403"/>
    <cellStyle name="40% - Accent3 10" xfId="12404"/>
    <cellStyle name="40% - Accent3 2" xfId="12405"/>
    <cellStyle name="40% - Accent3 3" xfId="12406"/>
    <cellStyle name="40% - Accent3 4" xfId="12407"/>
    <cellStyle name="40% - Accent3 6" xfId="12408"/>
    <cellStyle name="40% - Accent3 7" xfId="12409"/>
    <cellStyle name="40% - Accent3 8" xfId="12410"/>
    <cellStyle name="40% - Accent4" xfId="12411"/>
    <cellStyle name="40% - Accent4 10" xfId="12412"/>
    <cellStyle name="40% - Accent4 2" xfId="12413"/>
    <cellStyle name="40% - Accent4 3" xfId="12414"/>
    <cellStyle name="40% - Accent4 4" xfId="12415"/>
    <cellStyle name="40% - Accent4 6" xfId="12416"/>
    <cellStyle name="40% - Accent4 7" xfId="12417"/>
    <cellStyle name="40% - Accent4 8" xfId="12418"/>
    <cellStyle name="40% - Accent5" xfId="12419"/>
    <cellStyle name="40% - Accent5 10" xfId="12420"/>
    <cellStyle name="40% - Accent5 2" xfId="12421"/>
    <cellStyle name="40% - Accent5 3" xfId="12422"/>
    <cellStyle name="40% - Accent5 4" xfId="12423"/>
    <cellStyle name="40% - Accent5 6" xfId="12424"/>
    <cellStyle name="40% - Accent5 7" xfId="12425"/>
    <cellStyle name="40% - Accent5 8" xfId="12426"/>
    <cellStyle name="40% - Accent6" xfId="12427"/>
    <cellStyle name="40% - Accent6 10" xfId="12428"/>
    <cellStyle name="40% - Accent6 2" xfId="12429"/>
    <cellStyle name="40% - Accent6 3" xfId="12430"/>
    <cellStyle name="40% - Accent6 4" xfId="12431"/>
    <cellStyle name="40% - Accent6 6" xfId="12432"/>
    <cellStyle name="40% - Accent6 7" xfId="12433"/>
    <cellStyle name="40% - Accent6 8" xfId="12434"/>
    <cellStyle name="40% — акцент1" xfId="29" builtinId="31" hidden="1"/>
    <cellStyle name="40% — акцент1" xfId="67" builtinId="31" hidden="1"/>
    <cellStyle name="40% — акцент1" xfId="109" builtinId="31" hidden="1"/>
    <cellStyle name="40% — акцент1" xfId="153" builtinId="31" hidden="1"/>
    <cellStyle name="40% — акцент1" xfId="308" builtinId="31" hidden="1"/>
    <cellStyle name="40% — акцент1" xfId="346" builtinId="31" hidden="1"/>
    <cellStyle name="40% — акцент1" xfId="388" builtinId="31" hidden="1"/>
    <cellStyle name="40% — акцент1" xfId="432" builtinId="31" hidden="1"/>
    <cellStyle name="40% — акцент1" xfId="564" builtinId="31" hidden="1"/>
    <cellStyle name="40% — акцент1" xfId="602" builtinId="31" hidden="1"/>
    <cellStyle name="40% — акцент1" xfId="644" builtinId="31" hidden="1"/>
    <cellStyle name="40% — акцент1" xfId="688" builtinId="31" hidden="1"/>
    <cellStyle name="40% — акцент1" xfId="4167" builtinId="31" customBuiltin="1"/>
    <cellStyle name="40% - Акцент1 10" xfId="12436"/>
    <cellStyle name="40% - Акцент1 11" xfId="12437"/>
    <cellStyle name="40% - Акцент1 12" xfId="12438"/>
    <cellStyle name="40% - Акцент1 13" xfId="12439"/>
    <cellStyle name="40% - Акцент1 14" xfId="12440"/>
    <cellStyle name="40% - Акцент1 15" xfId="12441"/>
    <cellStyle name="40% - Акцент1 16" xfId="12442"/>
    <cellStyle name="40% - Акцент1 17" xfId="15762"/>
    <cellStyle name="40% - Акцент1 18" xfId="15669"/>
    <cellStyle name="40% - Акцент1 19" xfId="16991"/>
    <cellStyle name="40% - Акцент1 2" xfId="4208"/>
    <cellStyle name="40% - Акцент1 2 2" xfId="12444"/>
    <cellStyle name="40% - Акцент1 2 2 2" xfId="12445"/>
    <cellStyle name="40% - Акцент1 2 2_Список исправленных ошибок" xfId="12446"/>
    <cellStyle name="40% - Акцент1 2 3" xfId="12447"/>
    <cellStyle name="40% - Акцент1 2 4" xfId="12448"/>
    <cellStyle name="40% - Акцент1 2 5" xfId="12449"/>
    <cellStyle name="40% - Акцент1 2 6" xfId="12443"/>
    <cellStyle name="40% - Акцент1 2_ПСД_ВГО_new_AZ_v1 (draft)" xfId="12450"/>
    <cellStyle name="40% - Акцент1 20" xfId="17053"/>
    <cellStyle name="40% - Акцент1 21" xfId="17947"/>
    <cellStyle name="40% - Акцент1 22" xfId="36484"/>
    <cellStyle name="40% - Акцент1 23" xfId="12435"/>
    <cellStyle name="40% - Акцент1 3" xfId="12451"/>
    <cellStyle name="40% - Акцент1 3 2" xfId="12452"/>
    <cellStyle name="40% - Акцент1 3 3" xfId="12453"/>
    <cellStyle name="40% - Акцент1 3 4" xfId="12454"/>
    <cellStyle name="40% - Акцент1 3 5" xfId="12455"/>
    <cellStyle name="40% - Акцент1 3_ПСД_ВГО_new_AZ_v1 (draft)" xfId="12456"/>
    <cellStyle name="40% - Акцент1 4" xfId="12457"/>
    <cellStyle name="40% - Акцент1 4 2" xfId="12458"/>
    <cellStyle name="40% - Акцент1 4 3" xfId="12459"/>
    <cellStyle name="40% - Акцент1 4 4" xfId="12460"/>
    <cellStyle name="40% - Акцент1 4 5" xfId="12461"/>
    <cellStyle name="40% - Акцент1 4_ПСД_ВГО_new_AZ_v1 (draft)" xfId="12462"/>
    <cellStyle name="40% - Акцент1 5" xfId="12463"/>
    <cellStyle name="40% - Акцент1 5 2" xfId="12464"/>
    <cellStyle name="40% - Акцент1 5 3" xfId="12465"/>
    <cellStyle name="40% - Акцент1 5 4" xfId="12466"/>
    <cellStyle name="40% - Акцент1 5 5" xfId="12467"/>
    <cellStyle name="40% - Акцент1 5_ПСД_ВГО_new_AZ_v1 (draft)" xfId="12468"/>
    <cellStyle name="40% - Акцент1 6" xfId="12469"/>
    <cellStyle name="40% - Акцент1 6 2" xfId="12470"/>
    <cellStyle name="40% - Акцент1 6 3" xfId="12471"/>
    <cellStyle name="40% - Акцент1 6 4" xfId="12472"/>
    <cellStyle name="40% - Акцент1 6 5" xfId="12473"/>
    <cellStyle name="40% - Акцент1 6_ПСД_ВГО_new_AZ_v1 (draft)" xfId="12474"/>
    <cellStyle name="40% - Акцент1 7" xfId="12475"/>
    <cellStyle name="40% - Акцент1 7 2" xfId="12476"/>
    <cellStyle name="40% - Акцент1 7 3" xfId="12477"/>
    <cellStyle name="40% - Акцент1 7 4" xfId="12478"/>
    <cellStyle name="40% - Акцент1 7 5" xfId="12479"/>
    <cellStyle name="40% - Акцент1 7_ПСД_ВГО_new_AZ_v1 (draft)" xfId="12480"/>
    <cellStyle name="40% - Акцент1 8" xfId="12481"/>
    <cellStyle name="40% - Акцент1 8 2" xfId="12482"/>
    <cellStyle name="40% - Акцент1 8 3" xfId="12483"/>
    <cellStyle name="40% - Акцент1 8 4" xfId="12484"/>
    <cellStyle name="40% - Акцент1 8 5" xfId="12485"/>
    <cellStyle name="40% - Акцент1 8_ПСД_ВГО_new_AZ_v1 (draft)" xfId="12486"/>
    <cellStyle name="40% - Акцент1 9" xfId="12487"/>
    <cellStyle name="40% - Акцент1 9 2" xfId="12488"/>
    <cellStyle name="40% - Акцент1 9 3" xfId="12489"/>
    <cellStyle name="40% - Акцент1 9 4" xfId="12490"/>
    <cellStyle name="40% - Акцент1 9 5" xfId="12491"/>
    <cellStyle name="40% - Акцент1 9_ПСД_ВГО_new_AZ_v1 (draft)" xfId="12492"/>
    <cellStyle name="40% — акцент2" xfId="33" builtinId="35" hidden="1"/>
    <cellStyle name="40% — акцент2" xfId="71" builtinId="35" hidden="1"/>
    <cellStyle name="40% — акцент2" xfId="116" builtinId="35" hidden="1"/>
    <cellStyle name="40% — акцент2" xfId="157" builtinId="35" hidden="1"/>
    <cellStyle name="40% — акцент2" xfId="312" builtinId="35" hidden="1"/>
    <cellStyle name="40% — акцент2" xfId="350" builtinId="35" hidden="1"/>
    <cellStyle name="40% — акцент2" xfId="395" builtinId="35" hidden="1"/>
    <cellStyle name="40% — акцент2" xfId="436" builtinId="35" hidden="1"/>
    <cellStyle name="40% — акцент2" xfId="568" builtinId="35" hidden="1"/>
    <cellStyle name="40% — акцент2" xfId="606" builtinId="35" hidden="1"/>
    <cellStyle name="40% — акцент2" xfId="651" builtinId="35" hidden="1"/>
    <cellStyle name="40% — акцент2" xfId="692" builtinId="35" hidden="1"/>
    <cellStyle name="40% — акцент2" xfId="4171" builtinId="35" customBuiltin="1"/>
    <cellStyle name="40% - Акцент2 10" xfId="12494"/>
    <cellStyle name="40% - Акцент2 11" xfId="12495"/>
    <cellStyle name="40% - Акцент2 12" xfId="12496"/>
    <cellStyle name="40% - Акцент2 13" xfId="12497"/>
    <cellStyle name="40% - Акцент2 14" xfId="12498"/>
    <cellStyle name="40% - Акцент2 15" xfId="12499"/>
    <cellStyle name="40% - Акцент2 16" xfId="12500"/>
    <cellStyle name="40% - Акцент2 17" xfId="15763"/>
    <cellStyle name="40% - Акцент2 18" xfId="15670"/>
    <cellStyle name="40% - Акцент2 19" xfId="16992"/>
    <cellStyle name="40% - Акцент2 2" xfId="4210"/>
    <cellStyle name="40% - Акцент2 2 2" xfId="12502"/>
    <cellStyle name="40% - Акцент2 2 2 2" xfId="12503"/>
    <cellStyle name="40% - Акцент2 2 2_Список исправленных ошибок" xfId="12504"/>
    <cellStyle name="40% - Акцент2 2 3" xfId="12505"/>
    <cellStyle name="40% - Акцент2 2 4" xfId="12506"/>
    <cellStyle name="40% - Акцент2 2 5" xfId="12507"/>
    <cellStyle name="40% - Акцент2 2 6" xfId="12501"/>
    <cellStyle name="40% - Акцент2 2_ПСД_ВГО_new_AZ_v1 (draft)" xfId="12508"/>
    <cellStyle name="40% - Акцент2 20" xfId="17054"/>
    <cellStyle name="40% - Акцент2 21" xfId="17948"/>
    <cellStyle name="40% - Акцент2 22" xfId="36485"/>
    <cellStyle name="40% - Акцент2 23" xfId="12493"/>
    <cellStyle name="40% - Акцент2 3" xfId="12509"/>
    <cellStyle name="40% - Акцент2 3 2" xfId="12510"/>
    <cellStyle name="40% - Акцент2 3 3" xfId="12511"/>
    <cellStyle name="40% - Акцент2 3 4" xfId="12512"/>
    <cellStyle name="40% - Акцент2 3 5" xfId="12513"/>
    <cellStyle name="40% - Акцент2 3_ПСД_ВГО_new_AZ_v1 (draft)" xfId="12514"/>
    <cellStyle name="40% - Акцент2 4" xfId="12515"/>
    <cellStyle name="40% - Акцент2 4 2" xfId="12516"/>
    <cellStyle name="40% - Акцент2 4 3" xfId="12517"/>
    <cellStyle name="40% - Акцент2 4 4" xfId="12518"/>
    <cellStyle name="40% - Акцент2 4 5" xfId="12519"/>
    <cellStyle name="40% - Акцент2 4_ПСД_ВГО_new_AZ_v1 (draft)" xfId="12520"/>
    <cellStyle name="40% - Акцент2 5" xfId="12521"/>
    <cellStyle name="40% - Акцент2 5 2" xfId="12522"/>
    <cellStyle name="40% - Акцент2 5 3" xfId="12523"/>
    <cellStyle name="40% - Акцент2 5 4" xfId="12524"/>
    <cellStyle name="40% - Акцент2 5 5" xfId="12525"/>
    <cellStyle name="40% - Акцент2 5_ПСД_ВГО_new_AZ_v1 (draft)" xfId="12526"/>
    <cellStyle name="40% - Акцент2 6" xfId="12527"/>
    <cellStyle name="40% - Акцент2 6 2" xfId="12528"/>
    <cellStyle name="40% - Акцент2 6 3" xfId="12529"/>
    <cellStyle name="40% - Акцент2 6 4" xfId="12530"/>
    <cellStyle name="40% - Акцент2 6 5" xfId="12531"/>
    <cellStyle name="40% - Акцент2 6_ПСД_ВГО_new_AZ_v1 (draft)" xfId="12532"/>
    <cellStyle name="40% - Акцент2 7" xfId="12533"/>
    <cellStyle name="40% - Акцент2 7 2" xfId="12534"/>
    <cellStyle name="40% - Акцент2 7 3" xfId="12535"/>
    <cellStyle name="40% - Акцент2 7 4" xfId="12536"/>
    <cellStyle name="40% - Акцент2 7 5" xfId="12537"/>
    <cellStyle name="40% - Акцент2 7_ПСД_ВГО_new_AZ_v1 (draft)" xfId="12538"/>
    <cellStyle name="40% - Акцент2 8" xfId="12539"/>
    <cellStyle name="40% - Акцент2 8 2" xfId="12540"/>
    <cellStyle name="40% - Акцент2 8 3" xfId="12541"/>
    <cellStyle name="40% - Акцент2 8 4" xfId="12542"/>
    <cellStyle name="40% - Акцент2 8 5" xfId="12543"/>
    <cellStyle name="40% - Акцент2 8_ПСД_ВГО_new_AZ_v1 (draft)" xfId="12544"/>
    <cellStyle name="40% - Акцент2 9" xfId="12545"/>
    <cellStyle name="40% - Акцент2 9 2" xfId="12546"/>
    <cellStyle name="40% - Акцент2 9 3" xfId="12547"/>
    <cellStyle name="40% - Акцент2 9 4" xfId="12548"/>
    <cellStyle name="40% - Акцент2 9 5" xfId="12549"/>
    <cellStyle name="40% - Акцент2 9_ПСД_ВГО_new_AZ_v1 (draft)" xfId="12550"/>
    <cellStyle name="40% — акцент3" xfId="37" builtinId="39" hidden="1"/>
    <cellStyle name="40% — акцент3" xfId="75" builtinId="39" hidden="1"/>
    <cellStyle name="40% — акцент3" xfId="101" builtinId="39" hidden="1"/>
    <cellStyle name="40% — акцент3" xfId="161" builtinId="39" hidden="1"/>
    <cellStyle name="40% — акцент3" xfId="316" builtinId="39" hidden="1"/>
    <cellStyle name="40% — акцент3" xfId="354" builtinId="39" hidden="1"/>
    <cellStyle name="40% — акцент3" xfId="380" builtinId="39" hidden="1"/>
    <cellStyle name="40% — акцент3" xfId="440" builtinId="39" hidden="1"/>
    <cellStyle name="40% — акцент3" xfId="572" builtinId="39" hidden="1"/>
    <cellStyle name="40% — акцент3" xfId="610" builtinId="39" hidden="1"/>
    <cellStyle name="40% — акцент3" xfId="636" builtinId="39" hidden="1"/>
    <cellStyle name="40% — акцент3" xfId="696" builtinId="39" hidden="1"/>
    <cellStyle name="40% — акцент3" xfId="4175" builtinId="39" customBuiltin="1"/>
    <cellStyle name="40% - Акцент3 10" xfId="12552"/>
    <cellStyle name="40% - Акцент3 11" xfId="12553"/>
    <cellStyle name="40% - Акцент3 12" xfId="12554"/>
    <cellStyle name="40% - Акцент3 13" xfId="12555"/>
    <cellStyle name="40% - Акцент3 14" xfId="12556"/>
    <cellStyle name="40% - Акцент3 15" xfId="12557"/>
    <cellStyle name="40% - Акцент3 16" xfId="12558"/>
    <cellStyle name="40% - Акцент3 17" xfId="15764"/>
    <cellStyle name="40% - Акцент3 18" xfId="15671"/>
    <cellStyle name="40% - Акцент3 19" xfId="16993"/>
    <cellStyle name="40% - Акцент3 2" xfId="4212"/>
    <cellStyle name="40% - Акцент3 2 2" xfId="12560"/>
    <cellStyle name="40% - Акцент3 2 2 2" xfId="12561"/>
    <cellStyle name="40% - Акцент3 2 2_Список исправленных ошибок" xfId="12562"/>
    <cellStyle name="40% - Акцент3 2 3" xfId="12563"/>
    <cellStyle name="40% - Акцент3 2 4" xfId="12564"/>
    <cellStyle name="40% - Акцент3 2 5" xfId="12565"/>
    <cellStyle name="40% - Акцент3 2 6" xfId="12559"/>
    <cellStyle name="40% - Акцент3 2_ПСД_ВГО_new_AZ_v1 (draft)" xfId="12566"/>
    <cellStyle name="40% - Акцент3 20" xfId="17055"/>
    <cellStyle name="40% - Акцент3 21" xfId="17949"/>
    <cellStyle name="40% - Акцент3 22" xfId="36486"/>
    <cellStyle name="40% - Акцент3 23" xfId="12551"/>
    <cellStyle name="40% - Акцент3 3" xfId="12567"/>
    <cellStyle name="40% - Акцент3 3 2" xfId="12568"/>
    <cellStyle name="40% - Акцент3 3 3" xfId="12569"/>
    <cellStyle name="40% - Акцент3 3 4" xfId="12570"/>
    <cellStyle name="40% - Акцент3 3 5" xfId="12571"/>
    <cellStyle name="40% - Акцент3 3_ПСД_ВГО_new_AZ_v1 (draft)" xfId="12572"/>
    <cellStyle name="40% - Акцент3 4" xfId="12573"/>
    <cellStyle name="40% - Акцент3 4 2" xfId="12574"/>
    <cellStyle name="40% - Акцент3 4 3" xfId="12575"/>
    <cellStyle name="40% - Акцент3 4 4" xfId="12576"/>
    <cellStyle name="40% - Акцент3 4 5" xfId="12577"/>
    <cellStyle name="40% - Акцент3 4_ПСД_ВГО_new_AZ_v1 (draft)" xfId="12578"/>
    <cellStyle name="40% - Акцент3 5" xfId="12579"/>
    <cellStyle name="40% - Акцент3 5 2" xfId="12580"/>
    <cellStyle name="40% - Акцент3 5 3" xfId="12581"/>
    <cellStyle name="40% - Акцент3 5 4" xfId="12582"/>
    <cellStyle name="40% - Акцент3 5 5" xfId="12583"/>
    <cellStyle name="40% - Акцент3 5_ПСД_ВГО_new_AZ_v1 (draft)" xfId="12584"/>
    <cellStyle name="40% - Акцент3 6" xfId="12585"/>
    <cellStyle name="40% - Акцент3 6 2" xfId="12586"/>
    <cellStyle name="40% - Акцент3 6 3" xfId="12587"/>
    <cellStyle name="40% - Акцент3 6 4" xfId="12588"/>
    <cellStyle name="40% - Акцент3 6 5" xfId="12589"/>
    <cellStyle name="40% - Акцент3 6_ПСД_ВГО_new_AZ_v1 (draft)" xfId="12590"/>
    <cellStyle name="40% - Акцент3 7" xfId="12591"/>
    <cellStyle name="40% - Акцент3 7 2" xfId="12592"/>
    <cellStyle name="40% - Акцент3 7 3" xfId="12593"/>
    <cellStyle name="40% - Акцент3 7 4" xfId="12594"/>
    <cellStyle name="40% - Акцент3 7 5" xfId="12595"/>
    <cellStyle name="40% - Акцент3 7_ПСД_ВГО_new_AZ_v1 (draft)" xfId="12596"/>
    <cellStyle name="40% - Акцент3 8" xfId="12597"/>
    <cellStyle name="40% - Акцент3 8 2" xfId="12598"/>
    <cellStyle name="40% - Акцент3 8 3" xfId="12599"/>
    <cellStyle name="40% - Акцент3 8 4" xfId="12600"/>
    <cellStyle name="40% - Акцент3 8 5" xfId="12601"/>
    <cellStyle name="40% - Акцент3 8_ПСД_ВГО_new_AZ_v1 (draft)" xfId="12602"/>
    <cellStyle name="40% - Акцент3 9" xfId="12603"/>
    <cellStyle name="40% - Акцент3 9 2" xfId="12604"/>
    <cellStyle name="40% - Акцент3 9 3" xfId="12605"/>
    <cellStyle name="40% - Акцент3 9 4" xfId="12606"/>
    <cellStyle name="40% - Акцент3 9 5" xfId="12607"/>
    <cellStyle name="40% - Акцент3 9_ПСД_ВГО_new_AZ_v1 (draft)" xfId="12608"/>
    <cellStyle name="40% — акцент4" xfId="41" builtinId="43" hidden="1"/>
    <cellStyle name="40% — акцент4" xfId="79" builtinId="43" hidden="1"/>
    <cellStyle name="40% — акцент4" xfId="126" builtinId="43" hidden="1"/>
    <cellStyle name="40% — акцент4" xfId="165" builtinId="43" hidden="1"/>
    <cellStyle name="40% — акцент4" xfId="320" builtinId="43" hidden="1"/>
    <cellStyle name="40% — акцент4" xfId="358" builtinId="43" hidden="1"/>
    <cellStyle name="40% — акцент4" xfId="405" builtinId="43" hidden="1"/>
    <cellStyle name="40% — акцент4" xfId="444" builtinId="43" hidden="1"/>
    <cellStyle name="40% — акцент4" xfId="576" builtinId="43" hidden="1"/>
    <cellStyle name="40% — акцент4" xfId="614" builtinId="43" hidden="1"/>
    <cellStyle name="40% — акцент4" xfId="661" builtinId="43" hidden="1"/>
    <cellStyle name="40% — акцент4" xfId="700" builtinId="43" hidden="1"/>
    <cellStyle name="40% — акцент4" xfId="4179" builtinId="43" customBuiltin="1"/>
    <cellStyle name="40% - Акцент4 10" xfId="12610"/>
    <cellStyle name="40% - Акцент4 11" xfId="12611"/>
    <cellStyle name="40% - Акцент4 12" xfId="12612"/>
    <cellStyle name="40% - Акцент4 13" xfId="12613"/>
    <cellStyle name="40% - Акцент4 14" xfId="12614"/>
    <cellStyle name="40% - Акцент4 15" xfId="12615"/>
    <cellStyle name="40% - Акцент4 16" xfId="12616"/>
    <cellStyle name="40% - Акцент4 17" xfId="15765"/>
    <cellStyle name="40% - Акцент4 18" xfId="15672"/>
    <cellStyle name="40% - Акцент4 19" xfId="16994"/>
    <cellStyle name="40% - Акцент4 2" xfId="4214"/>
    <cellStyle name="40% - Акцент4 2 2" xfId="12618"/>
    <cellStyle name="40% - Акцент4 2 2 2" xfId="12619"/>
    <cellStyle name="40% - Акцент4 2 2_Список исправленных ошибок" xfId="12620"/>
    <cellStyle name="40% - Акцент4 2 3" xfId="12621"/>
    <cellStyle name="40% - Акцент4 2 4" xfId="12622"/>
    <cellStyle name="40% - Акцент4 2 5" xfId="12623"/>
    <cellStyle name="40% - Акцент4 2 6" xfId="12617"/>
    <cellStyle name="40% - Акцент4 2_ПСД_ВГО_new_AZ_v1 (draft)" xfId="12624"/>
    <cellStyle name="40% - Акцент4 20" xfId="17056"/>
    <cellStyle name="40% - Акцент4 21" xfId="17950"/>
    <cellStyle name="40% - Акцент4 22" xfId="36487"/>
    <cellStyle name="40% - Акцент4 23" xfId="12609"/>
    <cellStyle name="40% - Акцент4 3" xfId="12625"/>
    <cellStyle name="40% - Акцент4 3 2" xfId="12626"/>
    <cellStyle name="40% - Акцент4 3 3" xfId="12627"/>
    <cellStyle name="40% - Акцент4 3 4" xfId="12628"/>
    <cellStyle name="40% - Акцент4 3 5" xfId="12629"/>
    <cellStyle name="40% - Акцент4 3_ПСД_ВГО_new_AZ_v1 (draft)" xfId="12630"/>
    <cellStyle name="40% - Акцент4 4" xfId="12631"/>
    <cellStyle name="40% - Акцент4 4 2" xfId="12632"/>
    <cellStyle name="40% - Акцент4 4 3" xfId="12633"/>
    <cellStyle name="40% - Акцент4 4 4" xfId="12634"/>
    <cellStyle name="40% - Акцент4 4 5" xfId="12635"/>
    <cellStyle name="40% - Акцент4 4_ПСД_ВГО_new_AZ_v1 (draft)" xfId="12636"/>
    <cellStyle name="40% - Акцент4 5" xfId="12637"/>
    <cellStyle name="40% - Акцент4 5 2" xfId="12638"/>
    <cellStyle name="40% - Акцент4 5 3" xfId="12639"/>
    <cellStyle name="40% - Акцент4 5 4" xfId="12640"/>
    <cellStyle name="40% - Акцент4 5 5" xfId="12641"/>
    <cellStyle name="40% - Акцент4 5_ПСД_ВГО_new_AZ_v1 (draft)" xfId="12642"/>
    <cellStyle name="40% - Акцент4 6" xfId="12643"/>
    <cellStyle name="40% - Акцент4 6 2" xfId="12644"/>
    <cellStyle name="40% - Акцент4 6 3" xfId="12645"/>
    <cellStyle name="40% - Акцент4 6 4" xfId="12646"/>
    <cellStyle name="40% - Акцент4 6 5" xfId="12647"/>
    <cellStyle name="40% - Акцент4 6_ПСД_ВГО_new_AZ_v1 (draft)" xfId="12648"/>
    <cellStyle name="40% - Акцент4 7" xfId="12649"/>
    <cellStyle name="40% - Акцент4 7 2" xfId="12650"/>
    <cellStyle name="40% - Акцент4 7 3" xfId="12651"/>
    <cellStyle name="40% - Акцент4 7 4" xfId="12652"/>
    <cellStyle name="40% - Акцент4 7 5" xfId="12653"/>
    <cellStyle name="40% - Акцент4 7_ПСД_ВГО_new_AZ_v1 (draft)" xfId="12654"/>
    <cellStyle name="40% - Акцент4 8" xfId="12655"/>
    <cellStyle name="40% - Акцент4 8 2" xfId="12656"/>
    <cellStyle name="40% - Акцент4 8 3" xfId="12657"/>
    <cellStyle name="40% - Акцент4 8 4" xfId="12658"/>
    <cellStyle name="40% - Акцент4 8 5" xfId="12659"/>
    <cellStyle name="40% - Акцент4 8_ПСД_ВГО_new_AZ_v1 (draft)" xfId="12660"/>
    <cellStyle name="40% - Акцент4 9" xfId="12661"/>
    <cellStyle name="40% - Акцент4 9 2" xfId="12662"/>
    <cellStyle name="40% - Акцент4 9 3" xfId="12663"/>
    <cellStyle name="40% - Акцент4 9 4" xfId="12664"/>
    <cellStyle name="40% - Акцент4 9 5" xfId="12665"/>
    <cellStyle name="40% - Акцент4 9_ПСД_ВГО_new_AZ_v1 (draft)" xfId="12666"/>
    <cellStyle name="40% — акцент5" xfId="45" builtinId="47" hidden="1"/>
    <cellStyle name="40% — акцент5" xfId="83" builtinId="47" hidden="1"/>
    <cellStyle name="40% — акцент5" xfId="130" builtinId="47" hidden="1"/>
    <cellStyle name="40% — акцент5" xfId="169" builtinId="47" hidden="1"/>
    <cellStyle name="40% — акцент5" xfId="324" builtinId="47" hidden="1"/>
    <cellStyle name="40% — акцент5" xfId="362" builtinId="47" hidden="1"/>
    <cellStyle name="40% — акцент5" xfId="409" builtinId="47" hidden="1"/>
    <cellStyle name="40% — акцент5" xfId="448" builtinId="47" hidden="1"/>
    <cellStyle name="40% — акцент5" xfId="580" builtinId="47" hidden="1"/>
    <cellStyle name="40% — акцент5" xfId="618" builtinId="47" hidden="1"/>
    <cellStyle name="40% — акцент5" xfId="665" builtinId="47" hidden="1"/>
    <cellStyle name="40% — акцент5" xfId="704" builtinId="47" hidden="1"/>
    <cellStyle name="40% — акцент5" xfId="4183" builtinId="47" customBuiltin="1"/>
    <cellStyle name="40% - Акцент5 10" xfId="12668"/>
    <cellStyle name="40% - Акцент5 11" xfId="12669"/>
    <cellStyle name="40% - Акцент5 12" xfId="12670"/>
    <cellStyle name="40% - Акцент5 13" xfId="12671"/>
    <cellStyle name="40% - Акцент5 14" xfId="12672"/>
    <cellStyle name="40% - Акцент5 15" xfId="12673"/>
    <cellStyle name="40% - Акцент5 16" xfId="12674"/>
    <cellStyle name="40% - Акцент5 17" xfId="15766"/>
    <cellStyle name="40% - Акцент5 18" xfId="15673"/>
    <cellStyle name="40% - Акцент5 19" xfId="16995"/>
    <cellStyle name="40% - Акцент5 2" xfId="4216"/>
    <cellStyle name="40% - Акцент5 2 2" xfId="12676"/>
    <cellStyle name="40% - Акцент5 2 2 2" xfId="12677"/>
    <cellStyle name="40% - Акцент5 2 2_Список исправленных ошибок" xfId="12678"/>
    <cellStyle name="40% - Акцент5 2 3" xfId="12679"/>
    <cellStyle name="40% - Акцент5 2 4" xfId="12680"/>
    <cellStyle name="40% - Акцент5 2 5" xfId="12681"/>
    <cellStyle name="40% - Акцент5 2 6" xfId="12675"/>
    <cellStyle name="40% - Акцент5 2_ПСД_ВГО_new_AZ_v1 (draft)" xfId="12682"/>
    <cellStyle name="40% - Акцент5 20" xfId="17057"/>
    <cellStyle name="40% - Акцент5 21" xfId="17951"/>
    <cellStyle name="40% - Акцент5 22" xfId="36488"/>
    <cellStyle name="40% - Акцент5 23" xfId="12667"/>
    <cellStyle name="40% - Акцент5 3" xfId="12683"/>
    <cellStyle name="40% - Акцент5 3 2" xfId="12684"/>
    <cellStyle name="40% - Акцент5 3 3" xfId="12685"/>
    <cellStyle name="40% - Акцент5 3 4" xfId="12686"/>
    <cellStyle name="40% - Акцент5 3 5" xfId="12687"/>
    <cellStyle name="40% - Акцент5 3_ПСД_ВГО_new_AZ_v1 (draft)" xfId="12688"/>
    <cellStyle name="40% - Акцент5 4" xfId="12689"/>
    <cellStyle name="40% - Акцент5 4 2" xfId="12690"/>
    <cellStyle name="40% - Акцент5 4 3" xfId="12691"/>
    <cellStyle name="40% - Акцент5 4 4" xfId="12692"/>
    <cellStyle name="40% - Акцент5 4 5" xfId="12693"/>
    <cellStyle name="40% - Акцент5 4_ПСД_ВГО_new_AZ_v1 (draft)" xfId="12694"/>
    <cellStyle name="40% - Акцент5 5" xfId="12695"/>
    <cellStyle name="40% - Акцент5 5 2" xfId="12696"/>
    <cellStyle name="40% - Акцент5 5 3" xfId="12697"/>
    <cellStyle name="40% - Акцент5 5 4" xfId="12698"/>
    <cellStyle name="40% - Акцент5 5 5" xfId="12699"/>
    <cellStyle name="40% - Акцент5 5_ПСД_ВГО_new_AZ_v1 (draft)" xfId="12700"/>
    <cellStyle name="40% - Акцент5 6" xfId="12701"/>
    <cellStyle name="40% - Акцент5 6 2" xfId="12702"/>
    <cellStyle name="40% - Акцент5 6 3" xfId="12703"/>
    <cellStyle name="40% - Акцент5 6 4" xfId="12704"/>
    <cellStyle name="40% - Акцент5 6 5" xfId="12705"/>
    <cellStyle name="40% - Акцент5 6_ПСД_ВГО_new_AZ_v1 (draft)" xfId="12706"/>
    <cellStyle name="40% - Акцент5 7" xfId="12707"/>
    <cellStyle name="40% - Акцент5 7 2" xfId="12708"/>
    <cellStyle name="40% - Акцент5 7 3" xfId="12709"/>
    <cellStyle name="40% - Акцент5 7 4" xfId="12710"/>
    <cellStyle name="40% - Акцент5 7 5" xfId="12711"/>
    <cellStyle name="40% - Акцент5 7_ПСД_ВГО_new_AZ_v1 (draft)" xfId="12712"/>
    <cellStyle name="40% - Акцент5 8" xfId="12713"/>
    <cellStyle name="40% - Акцент5 8 2" xfId="12714"/>
    <cellStyle name="40% - Акцент5 8 3" xfId="12715"/>
    <cellStyle name="40% - Акцент5 8 4" xfId="12716"/>
    <cellStyle name="40% - Акцент5 8 5" xfId="12717"/>
    <cellStyle name="40% - Акцент5 8_ПСД_ВГО_new_AZ_v1 (draft)" xfId="12718"/>
    <cellStyle name="40% - Акцент5 9" xfId="12719"/>
    <cellStyle name="40% - Акцент5 9 2" xfId="12720"/>
    <cellStyle name="40% - Акцент5 9 3" xfId="12721"/>
    <cellStyle name="40% - Акцент5 9 4" xfId="12722"/>
    <cellStyle name="40% - Акцент5 9 5" xfId="12723"/>
    <cellStyle name="40% - Акцент5 9_ПСД_ВГО_new_AZ_v1 (draft)" xfId="12724"/>
    <cellStyle name="40% — акцент6" xfId="49" builtinId="51" hidden="1"/>
    <cellStyle name="40% — акцент6" xfId="87" builtinId="51" hidden="1"/>
    <cellStyle name="40% — акцент6" xfId="134" builtinId="51" hidden="1"/>
    <cellStyle name="40% — акцент6" xfId="173" builtinId="51" hidden="1"/>
    <cellStyle name="40% — акцент6" xfId="328" builtinId="51" hidden="1"/>
    <cellStyle name="40% — акцент6" xfId="366" builtinId="51" hidden="1"/>
    <cellStyle name="40% — акцент6" xfId="413" builtinId="51" hidden="1"/>
    <cellStyle name="40% — акцент6" xfId="452" builtinId="51" hidden="1"/>
    <cellStyle name="40% — акцент6" xfId="584" builtinId="51" hidden="1"/>
    <cellStyle name="40% — акцент6" xfId="622" builtinId="51" hidden="1"/>
    <cellStyle name="40% — акцент6" xfId="669" builtinId="51" hidden="1"/>
    <cellStyle name="40% — акцент6" xfId="708" builtinId="51" hidden="1"/>
    <cellStyle name="40% — акцент6" xfId="4187" builtinId="51" customBuiltin="1"/>
    <cellStyle name="40% - Акцент6 10" xfId="12726"/>
    <cellStyle name="40% - Акцент6 11" xfId="12727"/>
    <cellStyle name="40% - Акцент6 12" xfId="12728"/>
    <cellStyle name="40% - Акцент6 13" xfId="12729"/>
    <cellStyle name="40% - Акцент6 14" xfId="12730"/>
    <cellStyle name="40% - Акцент6 15" xfId="12731"/>
    <cellStyle name="40% - Акцент6 16" xfId="12732"/>
    <cellStyle name="40% - Акцент6 17" xfId="15767"/>
    <cellStyle name="40% - Акцент6 18" xfId="15674"/>
    <cellStyle name="40% - Акцент6 19" xfId="16996"/>
    <cellStyle name="40% - Акцент6 2" xfId="4219"/>
    <cellStyle name="40% - Акцент6 2 2" xfId="12734"/>
    <cellStyle name="40% - Акцент6 2 2 2" xfId="12735"/>
    <cellStyle name="40% - Акцент6 2 2_Список исправленных ошибок" xfId="12736"/>
    <cellStyle name="40% - Акцент6 2 3" xfId="12737"/>
    <cellStyle name="40% - Акцент6 2 4" xfId="12738"/>
    <cellStyle name="40% - Акцент6 2 5" xfId="12739"/>
    <cellStyle name="40% - Акцент6 2 6" xfId="12733"/>
    <cellStyle name="40% - Акцент6 2_ПСД_ВГО_new_AZ_v1 (draft)" xfId="12740"/>
    <cellStyle name="40% - Акцент6 20" xfId="17058"/>
    <cellStyle name="40% - Акцент6 21" xfId="17952"/>
    <cellStyle name="40% - Акцент6 22" xfId="36489"/>
    <cellStyle name="40% - Акцент6 23" xfId="12725"/>
    <cellStyle name="40% - Акцент6 3" xfId="12741"/>
    <cellStyle name="40% - Акцент6 3 2" xfId="12742"/>
    <cellStyle name="40% - Акцент6 3 3" xfId="12743"/>
    <cellStyle name="40% - Акцент6 3 4" xfId="12744"/>
    <cellStyle name="40% - Акцент6 3 5" xfId="12745"/>
    <cellStyle name="40% - Акцент6 3_ПСД_ВГО_new_AZ_v1 (draft)" xfId="12746"/>
    <cellStyle name="40% - Акцент6 4" xfId="12747"/>
    <cellStyle name="40% - Акцент6 4 2" xfId="12748"/>
    <cellStyle name="40% - Акцент6 4 3" xfId="12749"/>
    <cellStyle name="40% - Акцент6 4 4" xfId="12750"/>
    <cellStyle name="40% - Акцент6 4 5" xfId="12751"/>
    <cellStyle name="40% - Акцент6 4_ПСД_ВГО_new_AZ_v1 (draft)" xfId="12752"/>
    <cellStyle name="40% - Акцент6 5" xfId="12753"/>
    <cellStyle name="40% - Акцент6 5 2" xfId="12754"/>
    <cellStyle name="40% - Акцент6 5 3" xfId="12755"/>
    <cellStyle name="40% - Акцент6 5 4" xfId="12756"/>
    <cellStyle name="40% - Акцент6 5 5" xfId="12757"/>
    <cellStyle name="40% - Акцент6 5_ПСД_ВГО_new_AZ_v1 (draft)" xfId="12758"/>
    <cellStyle name="40% - Акцент6 6" xfId="12759"/>
    <cellStyle name="40% - Акцент6 6 2" xfId="12760"/>
    <cellStyle name="40% - Акцент6 6 3" xfId="12761"/>
    <cellStyle name="40% - Акцент6 6 4" xfId="12762"/>
    <cellStyle name="40% - Акцент6 6 5" xfId="12763"/>
    <cellStyle name="40% - Акцент6 6_ПСД_ВГО_new_AZ_v1 (draft)" xfId="12764"/>
    <cellStyle name="40% - Акцент6 7" xfId="12765"/>
    <cellStyle name="40% - Акцент6 7 2" xfId="12766"/>
    <cellStyle name="40% - Акцент6 7 3" xfId="12767"/>
    <cellStyle name="40% - Акцент6 7 4" xfId="12768"/>
    <cellStyle name="40% - Акцент6 7 5" xfId="12769"/>
    <cellStyle name="40% - Акцент6 7_ПСД_ВГО_new_AZ_v1 (draft)" xfId="12770"/>
    <cellStyle name="40% - Акцент6 8" xfId="12771"/>
    <cellStyle name="40% - Акцент6 8 2" xfId="12772"/>
    <cellStyle name="40% - Акцент6 8 3" xfId="12773"/>
    <cellStyle name="40% - Акцент6 8 4" xfId="12774"/>
    <cellStyle name="40% - Акцент6 8 5" xfId="12775"/>
    <cellStyle name="40% - Акцент6 8_ПСД_ВГО_new_AZ_v1 (draft)" xfId="12776"/>
    <cellStyle name="40% - Акцент6 9" xfId="12777"/>
    <cellStyle name="40% - Акцент6 9 2" xfId="12778"/>
    <cellStyle name="40% - Акцент6 9 3" xfId="12779"/>
    <cellStyle name="40% - Акцент6 9 4" xfId="12780"/>
    <cellStyle name="40% - Акцент6 9 5" xfId="12781"/>
    <cellStyle name="40% - Акцент6 9_ПСД_ВГО_new_AZ_v1 (draft)" xfId="12782"/>
    <cellStyle name="60% - Accent1" xfId="12783"/>
    <cellStyle name="60% - Accent1 10" xfId="12784"/>
    <cellStyle name="60% - Accent1 2" xfId="12785"/>
    <cellStyle name="60% - Accent1 3" xfId="12786"/>
    <cellStyle name="60% - Accent1 4" xfId="12787"/>
    <cellStyle name="60% - Accent1 6" xfId="12788"/>
    <cellStyle name="60% - Accent1 7" xfId="12789"/>
    <cellStyle name="60% - Accent1 8" xfId="12790"/>
    <cellStyle name="60% - Accent2" xfId="12791"/>
    <cellStyle name="60% - Accent2 10" xfId="12792"/>
    <cellStyle name="60% - Accent2 2" xfId="12793"/>
    <cellStyle name="60% - Accent2 3" xfId="12794"/>
    <cellStyle name="60% - Accent2 4" xfId="12795"/>
    <cellStyle name="60% - Accent2 6" xfId="12796"/>
    <cellStyle name="60% - Accent2 7" xfId="12797"/>
    <cellStyle name="60% - Accent2 8" xfId="12798"/>
    <cellStyle name="60% - Accent3" xfId="12799"/>
    <cellStyle name="60% - Accent3 10" xfId="12800"/>
    <cellStyle name="60% - Accent3 2" xfId="12801"/>
    <cellStyle name="60% - Accent3 3" xfId="12802"/>
    <cellStyle name="60% - Accent3 4" xfId="12803"/>
    <cellStyle name="60% - Accent3 6" xfId="12804"/>
    <cellStyle name="60% - Accent3 7" xfId="12805"/>
    <cellStyle name="60% - Accent3 8" xfId="12806"/>
    <cellStyle name="60% - Accent4" xfId="12807"/>
    <cellStyle name="60% - Accent4 10" xfId="12808"/>
    <cellStyle name="60% - Accent4 2" xfId="12809"/>
    <cellStyle name="60% - Accent4 3" xfId="12810"/>
    <cellStyle name="60% - Accent4 4" xfId="12811"/>
    <cellStyle name="60% - Accent4 6" xfId="12812"/>
    <cellStyle name="60% - Accent4 7" xfId="12813"/>
    <cellStyle name="60% - Accent4 8" xfId="12814"/>
    <cellStyle name="60% - Accent5" xfId="12815"/>
    <cellStyle name="60% - Accent5 10" xfId="12816"/>
    <cellStyle name="60% - Accent5 2" xfId="12817"/>
    <cellStyle name="60% - Accent5 3" xfId="12818"/>
    <cellStyle name="60% - Accent5 4" xfId="12819"/>
    <cellStyle name="60% - Accent5 6" xfId="12820"/>
    <cellStyle name="60% - Accent5 7" xfId="12821"/>
    <cellStyle name="60% - Accent5 8" xfId="12822"/>
    <cellStyle name="60% - Accent6" xfId="12823"/>
    <cellStyle name="60% - Accent6 10" xfId="12824"/>
    <cellStyle name="60% - Accent6 2" xfId="12825"/>
    <cellStyle name="60% - Accent6 3" xfId="12826"/>
    <cellStyle name="60% - Accent6 4" xfId="12827"/>
    <cellStyle name="60% - Accent6 6" xfId="12828"/>
    <cellStyle name="60% - Accent6 7" xfId="12829"/>
    <cellStyle name="60% - Accent6 8" xfId="12830"/>
    <cellStyle name="60% — акцент1" xfId="30" builtinId="32" hidden="1"/>
    <cellStyle name="60% — акцент1" xfId="68" builtinId="32" hidden="1"/>
    <cellStyle name="60% — акцент1" xfId="106" builtinId="32" hidden="1"/>
    <cellStyle name="60% — акцент1" xfId="154" builtinId="32" hidden="1"/>
    <cellStyle name="60% — акцент1" xfId="309" builtinId="32" hidden="1"/>
    <cellStyle name="60% — акцент1" xfId="347" builtinId="32" hidden="1"/>
    <cellStyle name="60% — акцент1" xfId="385" builtinId="32" hidden="1"/>
    <cellStyle name="60% — акцент1" xfId="433" builtinId="32" hidden="1"/>
    <cellStyle name="60% — акцент1" xfId="565" builtinId="32" hidden="1"/>
    <cellStyle name="60% — акцент1" xfId="603" builtinId="32" hidden="1"/>
    <cellStyle name="60% — акцент1" xfId="641" builtinId="32" hidden="1"/>
    <cellStyle name="60% — акцент1" xfId="689" builtinId="32" hidden="1"/>
    <cellStyle name="60% — акцент1" xfId="4168" builtinId="32" customBuiltin="1"/>
    <cellStyle name="60% - Акцент1 10" xfId="12832"/>
    <cellStyle name="60% - Акцент1 11" xfId="12833"/>
    <cellStyle name="60% - Акцент1 12" xfId="12834"/>
    <cellStyle name="60% - Акцент1 13" xfId="12835"/>
    <cellStyle name="60% - Акцент1 14" xfId="12836"/>
    <cellStyle name="60% - Акцент1 15" xfId="12837"/>
    <cellStyle name="60% - Акцент1 16" xfId="12838"/>
    <cellStyle name="60% - Акцент1 17" xfId="15768"/>
    <cellStyle name="60% - Акцент1 18" xfId="15675"/>
    <cellStyle name="60% - Акцент1 19" xfId="16997"/>
    <cellStyle name="60% - Акцент1 2" xfId="12839"/>
    <cellStyle name="60% - Акцент1 2 2" xfId="12840"/>
    <cellStyle name="60% - Акцент1 2 3" xfId="12841"/>
    <cellStyle name="60% - Акцент1 2_Список исправленных ошибок" xfId="12842"/>
    <cellStyle name="60% - Акцент1 20" xfId="17059"/>
    <cellStyle name="60% - Акцент1 21" xfId="17953"/>
    <cellStyle name="60% - Акцент1 22" xfId="36490"/>
    <cellStyle name="60% - Акцент1 23" xfId="12831"/>
    <cellStyle name="60% - Акцент1 3" xfId="12843"/>
    <cellStyle name="60% - Акцент1 3 2" xfId="12844"/>
    <cellStyle name="60% - Акцент1 3_Список исправленных ошибок" xfId="12845"/>
    <cellStyle name="60% - Акцент1 4" xfId="12846"/>
    <cellStyle name="60% - Акцент1 4 2" xfId="12847"/>
    <cellStyle name="60% - Акцент1 4_Список исправленных ошибок" xfId="12848"/>
    <cellStyle name="60% - Акцент1 5" xfId="12849"/>
    <cellStyle name="60% - Акцент1 5 2" xfId="12850"/>
    <cellStyle name="60% - Акцент1 5_Список исправленных ошибок" xfId="12851"/>
    <cellStyle name="60% - Акцент1 6" xfId="12852"/>
    <cellStyle name="60% - Акцент1 6 2" xfId="12853"/>
    <cellStyle name="60% - Акцент1 6_Список исправленных ошибок" xfId="12854"/>
    <cellStyle name="60% - Акцент1 7" xfId="12855"/>
    <cellStyle name="60% - Акцент1 7 2" xfId="12856"/>
    <cellStyle name="60% - Акцент1 7_Список исправленных ошибок" xfId="12857"/>
    <cellStyle name="60% - Акцент1 8" xfId="12858"/>
    <cellStyle name="60% - Акцент1 8 2" xfId="12859"/>
    <cellStyle name="60% - Акцент1 8_Список исправленных ошибок" xfId="12860"/>
    <cellStyle name="60% - Акцент1 9" xfId="12861"/>
    <cellStyle name="60% - Акцент1 9 2" xfId="12862"/>
    <cellStyle name="60% - Акцент1 9_Список исправленных ошибок" xfId="12863"/>
    <cellStyle name="60% — акцент2" xfId="34" builtinId="36" hidden="1"/>
    <cellStyle name="60% — акцент2" xfId="72" builtinId="36" hidden="1"/>
    <cellStyle name="60% — акцент2" xfId="112" builtinId="36" hidden="1"/>
    <cellStyle name="60% — акцент2" xfId="158" builtinId="36" hidden="1"/>
    <cellStyle name="60% — акцент2" xfId="313" builtinId="36" hidden="1"/>
    <cellStyle name="60% — акцент2" xfId="351" builtinId="36" hidden="1"/>
    <cellStyle name="60% — акцент2" xfId="391" builtinId="36" hidden="1"/>
    <cellStyle name="60% — акцент2" xfId="437" builtinId="36" hidden="1"/>
    <cellStyle name="60% — акцент2" xfId="569" builtinId="36" hidden="1"/>
    <cellStyle name="60% — акцент2" xfId="607" builtinId="36" hidden="1"/>
    <cellStyle name="60% — акцент2" xfId="647" builtinId="36" hidden="1"/>
    <cellStyle name="60% — акцент2" xfId="693" builtinId="36" hidden="1"/>
    <cellStyle name="60% — акцент2" xfId="4172" builtinId="36" customBuiltin="1"/>
    <cellStyle name="60% - Акцент2 10" xfId="12865"/>
    <cellStyle name="60% - Акцент2 11" xfId="12866"/>
    <cellStyle name="60% - Акцент2 12" xfId="12867"/>
    <cellStyle name="60% - Акцент2 13" xfId="12868"/>
    <cellStyle name="60% - Акцент2 14" xfId="12869"/>
    <cellStyle name="60% - Акцент2 15" xfId="12870"/>
    <cellStyle name="60% - Акцент2 16" xfId="12871"/>
    <cellStyle name="60% - Акцент2 17" xfId="15769"/>
    <cellStyle name="60% - Акцент2 18" xfId="15676"/>
    <cellStyle name="60% - Акцент2 19" xfId="16998"/>
    <cellStyle name="60% - Акцент2 2" xfId="12872"/>
    <cellStyle name="60% - Акцент2 2 2" xfId="12873"/>
    <cellStyle name="60% - Акцент2 2 3" xfId="12874"/>
    <cellStyle name="60% - Акцент2 2_Список исправленных ошибок" xfId="12875"/>
    <cellStyle name="60% - Акцент2 20" xfId="17060"/>
    <cellStyle name="60% - Акцент2 21" xfId="17954"/>
    <cellStyle name="60% - Акцент2 22" xfId="36491"/>
    <cellStyle name="60% - Акцент2 23" xfId="12864"/>
    <cellStyle name="60% - Акцент2 3" xfId="12876"/>
    <cellStyle name="60% - Акцент2 3 2" xfId="12877"/>
    <cellStyle name="60% - Акцент2 3_Список исправленных ошибок" xfId="12878"/>
    <cellStyle name="60% - Акцент2 4" xfId="12879"/>
    <cellStyle name="60% - Акцент2 4 2" xfId="12880"/>
    <cellStyle name="60% - Акцент2 4_Список исправленных ошибок" xfId="12881"/>
    <cellStyle name="60% - Акцент2 5" xfId="12882"/>
    <cellStyle name="60% - Акцент2 5 2" xfId="12883"/>
    <cellStyle name="60% - Акцент2 5_Список исправленных ошибок" xfId="12884"/>
    <cellStyle name="60% - Акцент2 6" xfId="12885"/>
    <cellStyle name="60% - Акцент2 6 2" xfId="12886"/>
    <cellStyle name="60% - Акцент2 6_Список исправленных ошибок" xfId="12887"/>
    <cellStyle name="60% - Акцент2 7" xfId="12888"/>
    <cellStyle name="60% - Акцент2 7 2" xfId="12889"/>
    <cellStyle name="60% - Акцент2 7_Список исправленных ошибок" xfId="12890"/>
    <cellStyle name="60% - Акцент2 8" xfId="12891"/>
    <cellStyle name="60% - Акцент2 8 2" xfId="12892"/>
    <cellStyle name="60% - Акцент2 8_Список исправленных ошибок" xfId="12893"/>
    <cellStyle name="60% - Акцент2 9" xfId="12894"/>
    <cellStyle name="60% - Акцент2 9 2" xfId="12895"/>
    <cellStyle name="60% - Акцент2 9_Список исправленных ошибок" xfId="12896"/>
    <cellStyle name="60% — акцент3" xfId="38" builtinId="40" hidden="1"/>
    <cellStyle name="60% — акцент3" xfId="76" builtinId="40" hidden="1"/>
    <cellStyle name="60% — акцент3" xfId="123" builtinId="40" hidden="1"/>
    <cellStyle name="60% — акцент3" xfId="162" builtinId="40" hidden="1"/>
    <cellStyle name="60% — акцент3" xfId="317" builtinId="40" hidden="1"/>
    <cellStyle name="60% — акцент3" xfId="355" builtinId="40" hidden="1"/>
    <cellStyle name="60% — акцент3" xfId="402" builtinId="40" hidden="1"/>
    <cellStyle name="60% — акцент3" xfId="441" builtinId="40" hidden="1"/>
    <cellStyle name="60% — акцент3" xfId="573" builtinId="40" hidden="1"/>
    <cellStyle name="60% — акцент3" xfId="611" builtinId="40" hidden="1"/>
    <cellStyle name="60% — акцент3" xfId="658" builtinId="40" hidden="1"/>
    <cellStyle name="60% — акцент3" xfId="697" builtinId="40" hidden="1"/>
    <cellStyle name="60% — акцент3" xfId="4176" builtinId="40" customBuiltin="1"/>
    <cellStyle name="60% - Акцент3 10" xfId="12898"/>
    <cellStyle name="60% - Акцент3 11" xfId="12899"/>
    <cellStyle name="60% - Акцент3 12" xfId="12900"/>
    <cellStyle name="60% - Акцент3 13" xfId="12901"/>
    <cellStyle name="60% - Акцент3 14" xfId="12902"/>
    <cellStyle name="60% - Акцент3 15" xfId="12903"/>
    <cellStyle name="60% - Акцент3 16" xfId="12904"/>
    <cellStyle name="60% - Акцент3 17" xfId="15770"/>
    <cellStyle name="60% - Акцент3 18" xfId="15677"/>
    <cellStyle name="60% - Акцент3 19" xfId="16999"/>
    <cellStyle name="60% - Акцент3 2" xfId="12905"/>
    <cellStyle name="60% - Акцент3 2 2" xfId="12906"/>
    <cellStyle name="60% - Акцент3 2 3" xfId="12907"/>
    <cellStyle name="60% - Акцент3 2_Список исправленных ошибок" xfId="12908"/>
    <cellStyle name="60% - Акцент3 20" xfId="17061"/>
    <cellStyle name="60% - Акцент3 21" xfId="17955"/>
    <cellStyle name="60% - Акцент3 22" xfId="36492"/>
    <cellStyle name="60% - Акцент3 23" xfId="12897"/>
    <cellStyle name="60% - Акцент3 3" xfId="12909"/>
    <cellStyle name="60% - Акцент3 3 2" xfId="12910"/>
    <cellStyle name="60% - Акцент3 3_Список исправленных ошибок" xfId="12911"/>
    <cellStyle name="60% - Акцент3 4" xfId="12912"/>
    <cellStyle name="60% - Акцент3 4 2" xfId="12913"/>
    <cellStyle name="60% - Акцент3 4_Список исправленных ошибок" xfId="12914"/>
    <cellStyle name="60% - Акцент3 5" xfId="12915"/>
    <cellStyle name="60% - Акцент3 5 2" xfId="12916"/>
    <cellStyle name="60% - Акцент3 5_Список исправленных ошибок" xfId="12917"/>
    <cellStyle name="60% - Акцент3 6" xfId="12918"/>
    <cellStyle name="60% - Акцент3 6 2" xfId="12919"/>
    <cellStyle name="60% - Акцент3 6_Список исправленных ошибок" xfId="12920"/>
    <cellStyle name="60% - Акцент3 7" xfId="12921"/>
    <cellStyle name="60% - Акцент3 7 2" xfId="12922"/>
    <cellStyle name="60% - Акцент3 7_Список исправленных ошибок" xfId="12923"/>
    <cellStyle name="60% - Акцент3 8" xfId="12924"/>
    <cellStyle name="60% - Акцент3 8 2" xfId="12925"/>
    <cellStyle name="60% - Акцент3 8_Список исправленных ошибок" xfId="12926"/>
    <cellStyle name="60% - Акцент3 9" xfId="12927"/>
    <cellStyle name="60% - Акцент3 9 2" xfId="12928"/>
    <cellStyle name="60% - Акцент3 9_Список исправленных ошибок" xfId="12929"/>
    <cellStyle name="60% — акцент4" xfId="42" builtinId="44" hidden="1"/>
    <cellStyle name="60% — акцент4" xfId="80" builtinId="44" hidden="1"/>
    <cellStyle name="60% — акцент4" xfId="127" builtinId="44" hidden="1"/>
    <cellStyle name="60% — акцент4" xfId="166" builtinId="44" hidden="1"/>
    <cellStyle name="60% — акцент4" xfId="321" builtinId="44" hidden="1"/>
    <cellStyle name="60% — акцент4" xfId="359" builtinId="44" hidden="1"/>
    <cellStyle name="60% — акцент4" xfId="406" builtinId="44" hidden="1"/>
    <cellStyle name="60% — акцент4" xfId="445" builtinId="44" hidden="1"/>
    <cellStyle name="60% — акцент4" xfId="577" builtinId="44" hidden="1"/>
    <cellStyle name="60% — акцент4" xfId="615" builtinId="44" hidden="1"/>
    <cellStyle name="60% — акцент4" xfId="662" builtinId="44" hidden="1"/>
    <cellStyle name="60% — акцент4" xfId="701" builtinId="44" hidden="1"/>
    <cellStyle name="60% — акцент4" xfId="4180" builtinId="44" customBuiltin="1"/>
    <cellStyle name="60% - Акцент4 10" xfId="12931"/>
    <cellStyle name="60% - Акцент4 11" xfId="12932"/>
    <cellStyle name="60% - Акцент4 12" xfId="12933"/>
    <cellStyle name="60% - Акцент4 13" xfId="12934"/>
    <cellStyle name="60% - Акцент4 14" xfId="12935"/>
    <cellStyle name="60% - Акцент4 15" xfId="12936"/>
    <cellStyle name="60% - Акцент4 16" xfId="12937"/>
    <cellStyle name="60% - Акцент4 17" xfId="15771"/>
    <cellStyle name="60% - Акцент4 18" xfId="15678"/>
    <cellStyle name="60% - Акцент4 19" xfId="17000"/>
    <cellStyle name="60% - Акцент4 2" xfId="12938"/>
    <cellStyle name="60% - Акцент4 2 2" xfId="12939"/>
    <cellStyle name="60% - Акцент4 2 3" xfId="12940"/>
    <cellStyle name="60% - Акцент4 2_Список исправленных ошибок" xfId="12941"/>
    <cellStyle name="60% - Акцент4 20" xfId="17062"/>
    <cellStyle name="60% - Акцент4 21" xfId="17956"/>
    <cellStyle name="60% - Акцент4 22" xfId="36493"/>
    <cellStyle name="60% - Акцент4 23" xfId="12930"/>
    <cellStyle name="60% - Акцент4 3" xfId="12942"/>
    <cellStyle name="60% - Акцент4 3 2" xfId="12943"/>
    <cellStyle name="60% - Акцент4 3_Список исправленных ошибок" xfId="12944"/>
    <cellStyle name="60% - Акцент4 4" xfId="12945"/>
    <cellStyle name="60% - Акцент4 4 2" xfId="12946"/>
    <cellStyle name="60% - Акцент4 4_Список исправленных ошибок" xfId="12947"/>
    <cellStyle name="60% - Акцент4 5" xfId="12948"/>
    <cellStyle name="60% - Акцент4 5 2" xfId="12949"/>
    <cellStyle name="60% - Акцент4 5_Список исправленных ошибок" xfId="12950"/>
    <cellStyle name="60% - Акцент4 6" xfId="12951"/>
    <cellStyle name="60% - Акцент4 6 2" xfId="12952"/>
    <cellStyle name="60% - Акцент4 6_Список исправленных ошибок" xfId="12953"/>
    <cellStyle name="60% - Акцент4 7" xfId="12954"/>
    <cellStyle name="60% - Акцент4 7 2" xfId="12955"/>
    <cellStyle name="60% - Акцент4 7_Список исправленных ошибок" xfId="12956"/>
    <cellStyle name="60% - Акцент4 8" xfId="12957"/>
    <cellStyle name="60% - Акцент4 8 2" xfId="12958"/>
    <cellStyle name="60% - Акцент4 8_Список исправленных ошибок" xfId="12959"/>
    <cellStyle name="60% - Акцент4 9" xfId="12960"/>
    <cellStyle name="60% - Акцент4 9 2" xfId="12961"/>
    <cellStyle name="60% - Акцент4 9_Список исправленных ошибок" xfId="12962"/>
    <cellStyle name="60% — акцент5" xfId="46" builtinId="48" hidden="1"/>
    <cellStyle name="60% — акцент5" xfId="84" builtinId="48" hidden="1"/>
    <cellStyle name="60% — акцент5" xfId="131" builtinId="48" hidden="1"/>
    <cellStyle name="60% — акцент5" xfId="170" builtinId="48" hidden="1"/>
    <cellStyle name="60% — акцент5" xfId="325" builtinId="48" hidden="1"/>
    <cellStyle name="60% — акцент5" xfId="363" builtinId="48" hidden="1"/>
    <cellStyle name="60% — акцент5" xfId="410" builtinId="48" hidden="1"/>
    <cellStyle name="60% — акцент5" xfId="449" builtinId="48" hidden="1"/>
    <cellStyle name="60% — акцент5" xfId="581" builtinId="48" hidden="1"/>
    <cellStyle name="60% — акцент5" xfId="619" builtinId="48" hidden="1"/>
    <cellStyle name="60% — акцент5" xfId="666" builtinId="48" hidden="1"/>
    <cellStyle name="60% — акцент5" xfId="705" builtinId="48" hidden="1"/>
    <cellStyle name="60% — акцент5" xfId="4184" builtinId="48" customBuiltin="1"/>
    <cellStyle name="60% - Акцент5 10" xfId="12964"/>
    <cellStyle name="60% - Акцент5 11" xfId="12965"/>
    <cellStyle name="60% - Акцент5 12" xfId="12966"/>
    <cellStyle name="60% - Акцент5 13" xfId="12967"/>
    <cellStyle name="60% - Акцент5 14" xfId="12968"/>
    <cellStyle name="60% - Акцент5 15" xfId="12969"/>
    <cellStyle name="60% - Акцент5 16" xfId="12970"/>
    <cellStyle name="60% - Акцент5 17" xfId="15772"/>
    <cellStyle name="60% - Акцент5 18" xfId="15679"/>
    <cellStyle name="60% - Акцент5 19" xfId="17001"/>
    <cellStyle name="60% - Акцент5 2" xfId="12971"/>
    <cellStyle name="60% - Акцент5 2 2" xfId="12972"/>
    <cellStyle name="60% - Акцент5 2 3" xfId="12973"/>
    <cellStyle name="60% - Акцент5 2_Список исправленных ошибок" xfId="12974"/>
    <cellStyle name="60% - Акцент5 20" xfId="17063"/>
    <cellStyle name="60% - Акцент5 21" xfId="17957"/>
    <cellStyle name="60% - Акцент5 22" xfId="36494"/>
    <cellStyle name="60% - Акцент5 23" xfId="12963"/>
    <cellStyle name="60% - Акцент5 3" xfId="12975"/>
    <cellStyle name="60% - Акцент5 3 2" xfId="12976"/>
    <cellStyle name="60% - Акцент5 3_Список исправленных ошибок" xfId="12977"/>
    <cellStyle name="60% - Акцент5 4" xfId="12978"/>
    <cellStyle name="60% - Акцент5 4 2" xfId="12979"/>
    <cellStyle name="60% - Акцент5 4_Список исправленных ошибок" xfId="12980"/>
    <cellStyle name="60% - Акцент5 5" xfId="12981"/>
    <cellStyle name="60% - Акцент5 5 2" xfId="12982"/>
    <cellStyle name="60% - Акцент5 5_Список исправленных ошибок" xfId="12983"/>
    <cellStyle name="60% - Акцент5 6" xfId="12984"/>
    <cellStyle name="60% - Акцент5 6 2" xfId="12985"/>
    <cellStyle name="60% - Акцент5 6_Список исправленных ошибок" xfId="12986"/>
    <cellStyle name="60% - Акцент5 7" xfId="12987"/>
    <cellStyle name="60% - Акцент5 7 2" xfId="12988"/>
    <cellStyle name="60% - Акцент5 7_Список исправленных ошибок" xfId="12989"/>
    <cellStyle name="60% - Акцент5 8" xfId="12990"/>
    <cellStyle name="60% - Акцент5 8 2" xfId="12991"/>
    <cellStyle name="60% - Акцент5 8_Список исправленных ошибок" xfId="12992"/>
    <cellStyle name="60% - Акцент5 9" xfId="12993"/>
    <cellStyle name="60% - Акцент5 9 2" xfId="12994"/>
    <cellStyle name="60% - Акцент5 9_Список исправленных ошибок" xfId="12995"/>
    <cellStyle name="60% — акцент6" xfId="50" builtinId="52" hidden="1"/>
    <cellStyle name="60% — акцент6" xfId="88" builtinId="52" hidden="1"/>
    <cellStyle name="60% — акцент6" xfId="135" builtinId="52" hidden="1"/>
    <cellStyle name="60% — акцент6" xfId="174" builtinId="52" hidden="1"/>
    <cellStyle name="60% — акцент6" xfId="329" builtinId="52" hidden="1"/>
    <cellStyle name="60% — акцент6" xfId="367" builtinId="52" hidden="1"/>
    <cellStyle name="60% — акцент6" xfId="414" builtinId="52" hidden="1"/>
    <cellStyle name="60% — акцент6" xfId="453" builtinId="52" hidden="1"/>
    <cellStyle name="60% — акцент6" xfId="585" builtinId="52" hidden="1"/>
    <cellStyle name="60% — акцент6" xfId="623" builtinId="52" hidden="1"/>
    <cellStyle name="60% — акцент6" xfId="670" builtinId="52" hidden="1"/>
    <cellStyle name="60% — акцент6" xfId="709" builtinId="52" hidden="1"/>
    <cellStyle name="60% — акцент6" xfId="4188" builtinId="52" customBuiltin="1"/>
    <cellStyle name="60% - Акцент6 10" xfId="12997"/>
    <cellStyle name="60% - Акцент6 11" xfId="12998"/>
    <cellStyle name="60% - Акцент6 12" xfId="12999"/>
    <cellStyle name="60% - Акцент6 13" xfId="13000"/>
    <cellStyle name="60% - Акцент6 14" xfId="13001"/>
    <cellStyle name="60% - Акцент6 15" xfId="13002"/>
    <cellStyle name="60% - Акцент6 16" xfId="13003"/>
    <cellStyle name="60% - Акцент6 17" xfId="15773"/>
    <cellStyle name="60% - Акцент6 18" xfId="15680"/>
    <cellStyle name="60% - Акцент6 19" xfId="17002"/>
    <cellStyle name="60% - Акцент6 2" xfId="13004"/>
    <cellStyle name="60% - Акцент6 2 2" xfId="13005"/>
    <cellStyle name="60% - Акцент6 2 3" xfId="13006"/>
    <cellStyle name="60% - Акцент6 2_Список исправленных ошибок" xfId="13007"/>
    <cellStyle name="60% - Акцент6 20" xfId="17064"/>
    <cellStyle name="60% - Акцент6 21" xfId="17958"/>
    <cellStyle name="60% - Акцент6 22" xfId="36495"/>
    <cellStyle name="60% - Акцент6 23" xfId="12996"/>
    <cellStyle name="60% - Акцент6 3" xfId="13008"/>
    <cellStyle name="60% - Акцент6 3 2" xfId="13009"/>
    <cellStyle name="60% - Акцент6 3_Список исправленных ошибок" xfId="13010"/>
    <cellStyle name="60% - Акцент6 4" xfId="13011"/>
    <cellStyle name="60% - Акцент6 4 2" xfId="13012"/>
    <cellStyle name="60% - Акцент6 4_Список исправленных ошибок" xfId="13013"/>
    <cellStyle name="60% - Акцент6 5" xfId="13014"/>
    <cellStyle name="60% - Акцент6 5 2" xfId="13015"/>
    <cellStyle name="60% - Акцент6 5_Список исправленных ошибок" xfId="13016"/>
    <cellStyle name="60% - Акцент6 6" xfId="13017"/>
    <cellStyle name="60% - Акцент6 6 2" xfId="13018"/>
    <cellStyle name="60% - Акцент6 6_Список исправленных ошибок" xfId="13019"/>
    <cellStyle name="60% - Акцент6 7" xfId="13020"/>
    <cellStyle name="60% - Акцент6 7 2" xfId="13021"/>
    <cellStyle name="60% - Акцент6 7_Список исправленных ошибок" xfId="13022"/>
    <cellStyle name="60% - Акцент6 8" xfId="13023"/>
    <cellStyle name="60% - Акцент6 8 2" xfId="13024"/>
    <cellStyle name="60% - Акцент6 8_Список исправленных ошибок" xfId="13025"/>
    <cellStyle name="60% - Акцент6 9" xfId="13026"/>
    <cellStyle name="60% - Акцент6 9 2" xfId="13027"/>
    <cellStyle name="60% - Акцент6 9_Список исправленных ошибок" xfId="13028"/>
    <cellStyle name="6Code" xfId="13029"/>
    <cellStyle name="6Code 10" xfId="13030"/>
    <cellStyle name="6Code 11" xfId="13031"/>
    <cellStyle name="6Code 12" xfId="13032"/>
    <cellStyle name="6Code 13" xfId="13033"/>
    <cellStyle name="6Code 14" xfId="13034"/>
    <cellStyle name="6Code 15" xfId="13035"/>
    <cellStyle name="6Code 16" xfId="13036"/>
    <cellStyle name="6Code 17" xfId="13037"/>
    <cellStyle name="6Code 2" xfId="13038"/>
    <cellStyle name="6Code 3" xfId="13039"/>
    <cellStyle name="6Code 4" xfId="13040"/>
    <cellStyle name="6Code 5" xfId="13041"/>
    <cellStyle name="6Code 6" xfId="13042"/>
    <cellStyle name="6Code 7" xfId="13043"/>
    <cellStyle name="6Code 8" xfId="13044"/>
    <cellStyle name="6Code 9" xfId="13045"/>
    <cellStyle name="6Code_2010_02_19_Выручка_Прочие_доходы_v5" xfId="13046"/>
    <cellStyle name="8pt" xfId="13047"/>
    <cellStyle name="8pt 2" xfId="13048"/>
    <cellStyle name="8pt 3" xfId="13049"/>
    <cellStyle name="8pt 4" xfId="13050"/>
    <cellStyle name="8pt 5" xfId="13051"/>
    <cellStyle name="8pt 6" xfId="13052"/>
    <cellStyle name="8pt 7" xfId="13053"/>
    <cellStyle name="8pt 8" xfId="13054"/>
    <cellStyle name="8pt_2010_02_19_Выручка_Прочие_доходы_v5" xfId="13055"/>
    <cellStyle name="Accent1" xfId="13056"/>
    <cellStyle name="Accent1 10" xfId="13057"/>
    <cellStyle name="Accent1 2" xfId="13058"/>
    <cellStyle name="Accent1 3" xfId="13059"/>
    <cellStyle name="Accent1 4" xfId="13060"/>
    <cellStyle name="Accent1 6" xfId="13061"/>
    <cellStyle name="Accent1 7" xfId="13062"/>
    <cellStyle name="Accent1 8" xfId="13063"/>
    <cellStyle name="Accent2" xfId="13064"/>
    <cellStyle name="Accent2 10" xfId="13065"/>
    <cellStyle name="Accent2 2" xfId="13066"/>
    <cellStyle name="Accent2 3" xfId="13067"/>
    <cellStyle name="Accent2 4" xfId="13068"/>
    <cellStyle name="Accent2 6" xfId="13069"/>
    <cellStyle name="Accent2 7" xfId="13070"/>
    <cellStyle name="Accent2 8" xfId="13071"/>
    <cellStyle name="Accent3" xfId="13072"/>
    <cellStyle name="Accent3 10" xfId="13073"/>
    <cellStyle name="Accent3 2" xfId="13074"/>
    <cellStyle name="Accent3 3" xfId="13075"/>
    <cellStyle name="Accent3 4" xfId="13076"/>
    <cellStyle name="Accent3 6" xfId="13077"/>
    <cellStyle name="Accent3 7" xfId="13078"/>
    <cellStyle name="Accent3 8" xfId="13079"/>
    <cellStyle name="Accent4" xfId="13080"/>
    <cellStyle name="Accent4 10" xfId="13081"/>
    <cellStyle name="Accent4 2" xfId="13082"/>
    <cellStyle name="Accent4 3" xfId="13083"/>
    <cellStyle name="Accent4 4" xfId="13084"/>
    <cellStyle name="Accent4 6" xfId="13085"/>
    <cellStyle name="Accent4 7" xfId="13086"/>
    <cellStyle name="Accent4 8" xfId="13087"/>
    <cellStyle name="Accent5" xfId="13088"/>
    <cellStyle name="Accent5 10" xfId="13089"/>
    <cellStyle name="Accent5 2" xfId="13090"/>
    <cellStyle name="Accent5 3" xfId="13091"/>
    <cellStyle name="Accent5 4" xfId="13092"/>
    <cellStyle name="Accent5 6" xfId="13093"/>
    <cellStyle name="Accent5 7" xfId="13094"/>
    <cellStyle name="Accent5 8" xfId="13095"/>
    <cellStyle name="Accent6" xfId="13096"/>
    <cellStyle name="Accent6 10" xfId="13097"/>
    <cellStyle name="Accent6 2" xfId="13098"/>
    <cellStyle name="Accent6 3" xfId="13099"/>
    <cellStyle name="Accent6 4" xfId="13100"/>
    <cellStyle name="Accent6 6" xfId="13101"/>
    <cellStyle name="Accent6 7" xfId="13102"/>
    <cellStyle name="Accent6 8" xfId="13103"/>
    <cellStyle name="Aeia?nnueea" xfId="13104"/>
    <cellStyle name="Aeia?nnueea 2" xfId="13105"/>
    <cellStyle name="Aeia?nnueea 3" xfId="13106"/>
    <cellStyle name="Aeia?nnueea 4" xfId="13107"/>
    <cellStyle name="Aeia?nnueea 5" xfId="13108"/>
    <cellStyle name="Aeia?nnueea 6" xfId="13109"/>
    <cellStyle name="Aeia?nnueea 7" xfId="13110"/>
    <cellStyle name="Aeia?nnueea 8" xfId="13111"/>
    <cellStyle name="Aeia?nnueea_Список исправленных ошибок" xfId="13112"/>
    <cellStyle name="Bad" xfId="13113"/>
    <cellStyle name="Bad 10" xfId="13114"/>
    <cellStyle name="Bad 2" xfId="13115"/>
    <cellStyle name="Bad 3" xfId="13116"/>
    <cellStyle name="Bad 4" xfId="13117"/>
    <cellStyle name="Bad 6" xfId="13118"/>
    <cellStyle name="Bad 7" xfId="13119"/>
    <cellStyle name="Bad 8" xfId="13120"/>
    <cellStyle name="border" xfId="13121"/>
    <cellStyle name="Calc Currency (0)" xfId="13122"/>
    <cellStyle name="Calculation" xfId="13123"/>
    <cellStyle name="Calculation 10" xfId="13124"/>
    <cellStyle name="Calculation 2" xfId="13125"/>
    <cellStyle name="Calculation 3" xfId="13126"/>
    <cellStyle name="Calculation 4" xfId="13127"/>
    <cellStyle name="Calculation 6" xfId="13128"/>
    <cellStyle name="Calculation 7" xfId="13129"/>
    <cellStyle name="Calculation 8" xfId="13130"/>
    <cellStyle name="Calculation_Список исправленных ошибок" xfId="13131"/>
    <cellStyle name="Centered Heading" xfId="13132"/>
    <cellStyle name="Centered Heading 2" xfId="13133"/>
    <cellStyle name="Centered Heading 3" xfId="13134"/>
    <cellStyle name="Centered Heading 4" xfId="13135"/>
    <cellStyle name="Centered Heading 5" xfId="13136"/>
    <cellStyle name="Centered Heading 6" xfId="13137"/>
    <cellStyle name="Centered Heading 7" xfId="13138"/>
    <cellStyle name="Centered Heading 8" xfId="13139"/>
    <cellStyle name="cf1" xfId="13140"/>
    <cellStyle name="Check" xfId="13141"/>
    <cellStyle name="Check 2" xfId="13142"/>
    <cellStyle name="Check Cell" xfId="13143"/>
    <cellStyle name="Check Cell 10" xfId="13144"/>
    <cellStyle name="Check Cell 2" xfId="13145"/>
    <cellStyle name="Check Cell 3" xfId="13146"/>
    <cellStyle name="Check Cell 4" xfId="13147"/>
    <cellStyle name="Check Cell 6" xfId="13148"/>
    <cellStyle name="Check Cell 7" xfId="13149"/>
    <cellStyle name="Check Cell 8" xfId="13150"/>
    <cellStyle name="Check Cell_Список исправленных ошибок" xfId="13151"/>
    <cellStyle name="Check_Список исправленных ошибок" xfId="13152"/>
    <cellStyle name="Code" xfId="13153"/>
    <cellStyle name="Code 10" xfId="13154"/>
    <cellStyle name="Code 10 2" xfId="13155"/>
    <cellStyle name="Code 10 3" xfId="13156"/>
    <cellStyle name="Code 10 4" xfId="13157"/>
    <cellStyle name="Code 10 5" xfId="13158"/>
    <cellStyle name="Code 10 6" xfId="13159"/>
    <cellStyle name="Code 10 7" xfId="13160"/>
    <cellStyle name="Code 10 8" xfId="13161"/>
    <cellStyle name="Code 10_2010_02_19_Выручка_Прочие_доходы_v5" xfId="13162"/>
    <cellStyle name="Code 11" xfId="13163"/>
    <cellStyle name="Code 12" xfId="13164"/>
    <cellStyle name="Code 13" xfId="13165"/>
    <cellStyle name="Code 14" xfId="13166"/>
    <cellStyle name="Code 15" xfId="13167"/>
    <cellStyle name="Code 16" xfId="13168"/>
    <cellStyle name="Code 17" xfId="13169"/>
    <cellStyle name="Code 18" xfId="13170"/>
    <cellStyle name="Code 19" xfId="13171"/>
    <cellStyle name="Code 2" xfId="13172"/>
    <cellStyle name="Code 2 10" xfId="13173"/>
    <cellStyle name="Code 2 11" xfId="13174"/>
    <cellStyle name="Code 2 12" xfId="13175"/>
    <cellStyle name="Code 2 13" xfId="13176"/>
    <cellStyle name="Code 2 14" xfId="13177"/>
    <cellStyle name="Code 2 15" xfId="13178"/>
    <cellStyle name="Code 2 16" xfId="13179"/>
    <cellStyle name="Code 2 17" xfId="13180"/>
    <cellStyle name="Code 2 2" xfId="13181"/>
    <cellStyle name="Code 2 3" xfId="13182"/>
    <cellStyle name="Code 2 4" xfId="13183"/>
    <cellStyle name="Code 2 5" xfId="13184"/>
    <cellStyle name="Code 2 6" xfId="13185"/>
    <cellStyle name="Code 2 7" xfId="13186"/>
    <cellStyle name="Code 2 8" xfId="13187"/>
    <cellStyle name="Code 2 9" xfId="13188"/>
    <cellStyle name="Code 2_2010_02_19_Выручка_Прочие_доходы_v5" xfId="13189"/>
    <cellStyle name="Code 20" xfId="13190"/>
    <cellStyle name="Code 21" xfId="13191"/>
    <cellStyle name="Code 22" xfId="13192"/>
    <cellStyle name="Code 23" xfId="13193"/>
    <cellStyle name="Code 24" xfId="13194"/>
    <cellStyle name="Code 25" xfId="13195"/>
    <cellStyle name="Code 26" xfId="13196"/>
    <cellStyle name="Code 27" xfId="15774"/>
    <cellStyle name="Code 28" xfId="18135"/>
    <cellStyle name="Code 29" xfId="18149"/>
    <cellStyle name="Code 3" xfId="13197"/>
    <cellStyle name="Code 3 10" xfId="13198"/>
    <cellStyle name="Code 3 11" xfId="13199"/>
    <cellStyle name="Code 3 12" xfId="13200"/>
    <cellStyle name="Code 3 13" xfId="13201"/>
    <cellStyle name="Code 3 14" xfId="13202"/>
    <cellStyle name="Code 3 15" xfId="13203"/>
    <cellStyle name="Code 3 16" xfId="13204"/>
    <cellStyle name="Code 3 17" xfId="13205"/>
    <cellStyle name="Code 3 2" xfId="13206"/>
    <cellStyle name="Code 3 3" xfId="13207"/>
    <cellStyle name="Code 3 4" xfId="13208"/>
    <cellStyle name="Code 3 5" xfId="13209"/>
    <cellStyle name="Code 3 6" xfId="13210"/>
    <cellStyle name="Code 3 7" xfId="13211"/>
    <cellStyle name="Code 3 8" xfId="13212"/>
    <cellStyle name="Code 3 9" xfId="13213"/>
    <cellStyle name="Code 3_2010_02_19_Выручка_Прочие_доходы_v5" xfId="13214"/>
    <cellStyle name="Code 30" xfId="18155"/>
    <cellStyle name="Code 4" xfId="13215"/>
    <cellStyle name="Code 4 2" xfId="13216"/>
    <cellStyle name="Code 4 3" xfId="13217"/>
    <cellStyle name="Code 4 4" xfId="13218"/>
    <cellStyle name="Code 4 5" xfId="13219"/>
    <cellStyle name="Code 4 6" xfId="13220"/>
    <cellStyle name="Code 4 7" xfId="13221"/>
    <cellStyle name="Code 4 8" xfId="13222"/>
    <cellStyle name="Code 4_2010_02_19_Выручка_Прочие_доходы_v5" xfId="13223"/>
    <cellStyle name="Code 5" xfId="13224"/>
    <cellStyle name="Code 5 2" xfId="13225"/>
    <cellStyle name="Code 5 3" xfId="13226"/>
    <cellStyle name="Code 5 4" xfId="13227"/>
    <cellStyle name="Code 5 5" xfId="13228"/>
    <cellStyle name="Code 5 6" xfId="13229"/>
    <cellStyle name="Code 5 7" xfId="13230"/>
    <cellStyle name="Code 5 8" xfId="13231"/>
    <cellStyle name="Code 5_2010_02_19_Выручка_Прочие_доходы_v5" xfId="13232"/>
    <cellStyle name="Code 6" xfId="13233"/>
    <cellStyle name="Code 6 2" xfId="13234"/>
    <cellStyle name="Code 6 3" xfId="13235"/>
    <cellStyle name="Code 6 4" xfId="13236"/>
    <cellStyle name="Code 6 5" xfId="13237"/>
    <cellStyle name="Code 6 6" xfId="13238"/>
    <cellStyle name="Code 6 7" xfId="13239"/>
    <cellStyle name="Code 6 8" xfId="13240"/>
    <cellStyle name="Code 6_2010_02_19_Выручка_Прочие_доходы_v5" xfId="13241"/>
    <cellStyle name="Code 7" xfId="13242"/>
    <cellStyle name="Code 7 2" xfId="13243"/>
    <cellStyle name="Code 7 3" xfId="13244"/>
    <cellStyle name="Code 7 4" xfId="13245"/>
    <cellStyle name="Code 7 5" xfId="13246"/>
    <cellStyle name="Code 7 6" xfId="13247"/>
    <cellStyle name="Code 7 7" xfId="13248"/>
    <cellStyle name="Code 7 8" xfId="13249"/>
    <cellStyle name="Code 7_2010_02_19_Выручка_Прочие_доходы_v5" xfId="13250"/>
    <cellStyle name="Code 8" xfId="13251"/>
    <cellStyle name="Code 8 2" xfId="13252"/>
    <cellStyle name="Code 8 3" xfId="13253"/>
    <cellStyle name="Code 8 4" xfId="13254"/>
    <cellStyle name="Code 8 5" xfId="13255"/>
    <cellStyle name="Code 8 6" xfId="13256"/>
    <cellStyle name="Code 8 7" xfId="13257"/>
    <cellStyle name="Code 8 8" xfId="13258"/>
    <cellStyle name="Code 8_2010_02_19_Выручка_Прочие_доходы_v5" xfId="13259"/>
    <cellStyle name="Code 9" xfId="13260"/>
    <cellStyle name="Code 9 2" xfId="13261"/>
    <cellStyle name="Code 9 3" xfId="13262"/>
    <cellStyle name="Code 9 4" xfId="13263"/>
    <cellStyle name="Code 9 5" xfId="13264"/>
    <cellStyle name="Code 9 6" xfId="13265"/>
    <cellStyle name="Code 9 7" xfId="13266"/>
    <cellStyle name="Code 9 8" xfId="13267"/>
    <cellStyle name="Code 9_2010_02_19_Выручка_Прочие_доходы_v5" xfId="13268"/>
    <cellStyle name="Code_091222_Росатом_ЕПС" xfId="13269"/>
    <cellStyle name="Comma" xfId="175"/>
    <cellStyle name="Comma 0.0" xfId="13270"/>
    <cellStyle name="Comma 0.0 10" xfId="13271"/>
    <cellStyle name="Comma 0.0 11" xfId="13272"/>
    <cellStyle name="Comma 0.0 12" xfId="13273"/>
    <cellStyle name="Comma 0.0 13" xfId="13274"/>
    <cellStyle name="Comma 0.0 14" xfId="13275"/>
    <cellStyle name="Comma 0.0 15" xfId="13276"/>
    <cellStyle name="Comma 0.0 16" xfId="13277"/>
    <cellStyle name="Comma 0.0 17" xfId="13278"/>
    <cellStyle name="Comma 0.0 2" xfId="13279"/>
    <cellStyle name="Comma 0.0 3" xfId="13280"/>
    <cellStyle name="Comma 0.0 4" xfId="13281"/>
    <cellStyle name="Comma 0.0 5" xfId="13282"/>
    <cellStyle name="Comma 0.0 6" xfId="13283"/>
    <cellStyle name="Comma 0.0 7" xfId="13284"/>
    <cellStyle name="Comma 0.0 8" xfId="13285"/>
    <cellStyle name="Comma 0.0 9" xfId="13286"/>
    <cellStyle name="Comma 0.0_2010_02_19_Выручка_Прочие_доходы_v5" xfId="13287"/>
    <cellStyle name="Comma 0.00" xfId="13288"/>
    <cellStyle name="Comma 0.00 10" xfId="13289"/>
    <cellStyle name="Comma 0.00 11" xfId="13290"/>
    <cellStyle name="Comma 0.00 12" xfId="13291"/>
    <cellStyle name="Comma 0.00 13" xfId="13292"/>
    <cellStyle name="Comma 0.00 14" xfId="13293"/>
    <cellStyle name="Comma 0.00 15" xfId="13294"/>
    <cellStyle name="Comma 0.00 16" xfId="13295"/>
    <cellStyle name="Comma 0.00 17" xfId="13296"/>
    <cellStyle name="Comma 0.00 2" xfId="13297"/>
    <cellStyle name="Comma 0.00 3" xfId="13298"/>
    <cellStyle name="Comma 0.00 4" xfId="13299"/>
    <cellStyle name="Comma 0.00 5" xfId="13300"/>
    <cellStyle name="Comma 0.00 6" xfId="13301"/>
    <cellStyle name="Comma 0.00 7" xfId="13302"/>
    <cellStyle name="Comma 0.00 8" xfId="13303"/>
    <cellStyle name="Comma 0.00 9" xfId="13304"/>
    <cellStyle name="Comma 0.00_2010_02_19_Выручка_Прочие_доходы_v5" xfId="13305"/>
    <cellStyle name="Comma 0.000" xfId="13306"/>
    <cellStyle name="Comma 0.000 10" xfId="13307"/>
    <cellStyle name="Comma 0.000 11" xfId="13308"/>
    <cellStyle name="Comma 0.000 12" xfId="13309"/>
    <cellStyle name="Comma 0.000 13" xfId="13310"/>
    <cellStyle name="Comma 0.000 14" xfId="13311"/>
    <cellStyle name="Comma 0.000 15" xfId="13312"/>
    <cellStyle name="Comma 0.000 16" xfId="13313"/>
    <cellStyle name="Comma 0.000 17" xfId="13314"/>
    <cellStyle name="Comma 0.000 2" xfId="13315"/>
    <cellStyle name="Comma 0.000 3" xfId="13316"/>
    <cellStyle name="Comma 0.000 4" xfId="13317"/>
    <cellStyle name="Comma 0.000 5" xfId="13318"/>
    <cellStyle name="Comma 0.000 6" xfId="13319"/>
    <cellStyle name="Comma 0.000 7" xfId="13320"/>
    <cellStyle name="Comma 0.000 8" xfId="13321"/>
    <cellStyle name="Comma 0.000 9" xfId="13322"/>
    <cellStyle name="Comma 0.000_2010_02_19_Выручка_Прочие_доходы_v5" xfId="13323"/>
    <cellStyle name="Comma 10" xfId="13324"/>
    <cellStyle name="Comma 11" xfId="13325"/>
    <cellStyle name="Comma 12" xfId="13326"/>
    <cellStyle name="Comma 13" xfId="13327"/>
    <cellStyle name="Comma 2" xfId="230"/>
    <cellStyle name="Comma 2 10" xfId="13328"/>
    <cellStyle name="Comma 2 11" xfId="13329"/>
    <cellStyle name="Comma 2 12" xfId="13330"/>
    <cellStyle name="Comma 2 13" xfId="13331"/>
    <cellStyle name="Comma 2 14" xfId="13332"/>
    <cellStyle name="Comma 2 2" xfId="13333"/>
    <cellStyle name="Comma 2 2 2" xfId="13334"/>
    <cellStyle name="Comma 2 2 3" xfId="13335"/>
    <cellStyle name="Comma 2 2_Список исправленных ошибок" xfId="13336"/>
    <cellStyle name="Comma 2 3" xfId="13337"/>
    <cellStyle name="Comma 2 3 2" xfId="13338"/>
    <cellStyle name="Comma 2 3 3" xfId="13339"/>
    <cellStyle name="Comma 2 3_Список исправленных ошибок" xfId="13340"/>
    <cellStyle name="Comma 2 4" xfId="13341"/>
    <cellStyle name="Comma 2 4 2" xfId="13342"/>
    <cellStyle name="Comma 2 4_Список исправленных ошибок" xfId="13343"/>
    <cellStyle name="Comma 2 5" xfId="13344"/>
    <cellStyle name="Comma 2 5 2" xfId="13345"/>
    <cellStyle name="Comma 2 5_Список исправленных ошибок" xfId="13346"/>
    <cellStyle name="Comma 2 6" xfId="13347"/>
    <cellStyle name="Comma 2 6 2" xfId="13348"/>
    <cellStyle name="Comma 2 6_Список исправленных ошибок" xfId="13349"/>
    <cellStyle name="Comma 2 7" xfId="13350"/>
    <cellStyle name="Comma 2 8" xfId="13351"/>
    <cellStyle name="Comma 2 9" xfId="13352"/>
    <cellStyle name="Comma 2_091222_Росатом_ЕПС" xfId="13353"/>
    <cellStyle name="Comma 3" xfId="13354"/>
    <cellStyle name="Comma 3 10" xfId="13355"/>
    <cellStyle name="Comma 3 11" xfId="13356"/>
    <cellStyle name="Comma 3 12" xfId="13357"/>
    <cellStyle name="Comma 3 13" xfId="13358"/>
    <cellStyle name="Comma 3 2" xfId="13359"/>
    <cellStyle name="Comma 3 2 10" xfId="13360"/>
    <cellStyle name="Comma 3 2 11" xfId="13361"/>
    <cellStyle name="Comma 3 2 12" xfId="13362"/>
    <cellStyle name="Comma 3 2 2" xfId="13363"/>
    <cellStyle name="Comma 3 2 3" xfId="13364"/>
    <cellStyle name="Comma 3 2 4" xfId="13365"/>
    <cellStyle name="Comma 3 2 5" xfId="13366"/>
    <cellStyle name="Comma 3 2 6" xfId="13367"/>
    <cellStyle name="Comma 3 2 7" xfId="13368"/>
    <cellStyle name="Comma 3 2 8" xfId="13369"/>
    <cellStyle name="Comma 3 2 9" xfId="13370"/>
    <cellStyle name="Comma 3 3" xfId="13371"/>
    <cellStyle name="Comma 3 4" xfId="13372"/>
    <cellStyle name="Comma 3 5" xfId="13373"/>
    <cellStyle name="Comma 3 6" xfId="13374"/>
    <cellStyle name="Comma 3 7" xfId="13375"/>
    <cellStyle name="Comma 3 8" xfId="13376"/>
    <cellStyle name="Comma 3 9" xfId="13377"/>
    <cellStyle name="Comma 3_091222_Росатом_ЕПС" xfId="13378"/>
    <cellStyle name="Comma 4" xfId="13379"/>
    <cellStyle name="Comma 4 10" xfId="13380"/>
    <cellStyle name="Comma 4 11" xfId="13381"/>
    <cellStyle name="Comma 4 12" xfId="13382"/>
    <cellStyle name="Comma 4 2" xfId="13383"/>
    <cellStyle name="Comma 4 3" xfId="13384"/>
    <cellStyle name="Comma 4 4" xfId="13385"/>
    <cellStyle name="Comma 4 5" xfId="13386"/>
    <cellStyle name="Comma 4 6" xfId="13387"/>
    <cellStyle name="Comma 4 7" xfId="13388"/>
    <cellStyle name="Comma 4 8" xfId="13389"/>
    <cellStyle name="Comma 4 9" xfId="13390"/>
    <cellStyle name="Comma 5" xfId="13391"/>
    <cellStyle name="Comma 5 2" xfId="13392"/>
    <cellStyle name="Comma 5 2 2" xfId="13393"/>
    <cellStyle name="Comma 5 3" xfId="13394"/>
    <cellStyle name="Comma 5 3 2" xfId="13395"/>
    <cellStyle name="Comma 5 4" xfId="13396"/>
    <cellStyle name="Comma 5_2010_02_12_Прочая информация_v_1" xfId="13397"/>
    <cellStyle name="Comma 6" xfId="13398"/>
    <cellStyle name="Comma 6 2" xfId="13399"/>
    <cellStyle name="Comma 7" xfId="13400"/>
    <cellStyle name="Comma 7 2" xfId="13401"/>
    <cellStyle name="Comma 8" xfId="13402"/>
    <cellStyle name="Comma 9" xfId="13403"/>
    <cellStyle name="Comma0" xfId="13404"/>
    <cellStyle name="Comma0 2" xfId="13405"/>
    <cellStyle name="Comma0 3" xfId="13406"/>
    <cellStyle name="Comma0 4" xfId="13407"/>
    <cellStyle name="Comma0 5" xfId="13408"/>
    <cellStyle name="Comma0 6" xfId="13409"/>
    <cellStyle name="Comma0 7" xfId="13410"/>
    <cellStyle name="Comma0 8" xfId="13411"/>
    <cellStyle name="Comma0_2010_02_19_Выручка_Прочие_доходы_v5" xfId="13412"/>
    <cellStyle name="Company Name" xfId="13413"/>
    <cellStyle name="Company Name 2" xfId="13414"/>
    <cellStyle name="Company Name 3" xfId="13415"/>
    <cellStyle name="Company Name 4" xfId="13416"/>
    <cellStyle name="Company Name 5" xfId="13417"/>
    <cellStyle name="Company Name 6" xfId="13418"/>
    <cellStyle name="Company Name 7" xfId="13419"/>
    <cellStyle name="Company Name 8" xfId="13420"/>
    <cellStyle name="Credit" xfId="13421"/>
    <cellStyle name="Credit 10" xfId="13422"/>
    <cellStyle name="Credit 11" xfId="13423"/>
    <cellStyle name="Credit 12" xfId="13424"/>
    <cellStyle name="Credit 13" xfId="13425"/>
    <cellStyle name="Credit 14" xfId="13426"/>
    <cellStyle name="Credit 15" xfId="13427"/>
    <cellStyle name="Credit 16" xfId="13428"/>
    <cellStyle name="Credit 17" xfId="13429"/>
    <cellStyle name="Credit 2" xfId="13430"/>
    <cellStyle name="Credit 3" xfId="13431"/>
    <cellStyle name="Credit 4" xfId="13432"/>
    <cellStyle name="Credit 5" xfId="13433"/>
    <cellStyle name="Credit 6" xfId="13434"/>
    <cellStyle name="Credit 7" xfId="13435"/>
    <cellStyle name="Credit 8" xfId="13436"/>
    <cellStyle name="Credit 9" xfId="13437"/>
    <cellStyle name="Credit subtotal" xfId="13438"/>
    <cellStyle name="Credit subtotal 10" xfId="13439"/>
    <cellStyle name="Credit subtotal 11" xfId="13440"/>
    <cellStyle name="Credit subtotal 12" xfId="13441"/>
    <cellStyle name="Credit subtotal 13" xfId="13442"/>
    <cellStyle name="Credit subtotal 14" xfId="13443"/>
    <cellStyle name="Credit subtotal 15" xfId="13444"/>
    <cellStyle name="Credit subtotal 16" xfId="13445"/>
    <cellStyle name="Credit subtotal 17" xfId="13446"/>
    <cellStyle name="Credit subtotal 2" xfId="13447"/>
    <cellStyle name="Credit subtotal 3" xfId="13448"/>
    <cellStyle name="Credit subtotal 4" xfId="13449"/>
    <cellStyle name="Credit subtotal 5" xfId="13450"/>
    <cellStyle name="Credit subtotal 6" xfId="13451"/>
    <cellStyle name="Credit subtotal 7" xfId="13452"/>
    <cellStyle name="Credit subtotal 8" xfId="13453"/>
    <cellStyle name="Credit subtotal 9" xfId="13454"/>
    <cellStyle name="Credit subtotal_Список исправленных ошибок" xfId="13455"/>
    <cellStyle name="Credit Total" xfId="13456"/>
    <cellStyle name="Credit Total 10" xfId="13457"/>
    <cellStyle name="Credit Total 11" xfId="13458"/>
    <cellStyle name="Credit Total 12" xfId="13459"/>
    <cellStyle name="Credit Total 13" xfId="13460"/>
    <cellStyle name="Credit Total 14" xfId="13461"/>
    <cellStyle name="Credit Total 15" xfId="13462"/>
    <cellStyle name="Credit Total 16" xfId="13463"/>
    <cellStyle name="Credit Total 17" xfId="13464"/>
    <cellStyle name="Credit Total 2" xfId="13465"/>
    <cellStyle name="Credit Total 3" xfId="13466"/>
    <cellStyle name="Credit Total 4" xfId="13467"/>
    <cellStyle name="Credit Total 5" xfId="13468"/>
    <cellStyle name="Credit Total 6" xfId="13469"/>
    <cellStyle name="Credit Total 7" xfId="13470"/>
    <cellStyle name="Credit Total 8" xfId="13471"/>
    <cellStyle name="Credit Total 9" xfId="13472"/>
    <cellStyle name="Credit Total_Список исправленных ошибок" xfId="13473"/>
    <cellStyle name="Credit_091222_Росатом_ЕПС" xfId="13474"/>
    <cellStyle name="Currency" xfId="176"/>
    <cellStyle name="Currency 0.0" xfId="13475"/>
    <cellStyle name="Currency 0.0 10" xfId="13476"/>
    <cellStyle name="Currency 0.0 11" xfId="13477"/>
    <cellStyle name="Currency 0.0 12" xfId="13478"/>
    <cellStyle name="Currency 0.0 13" xfId="13479"/>
    <cellStyle name="Currency 0.0 14" xfId="13480"/>
    <cellStyle name="Currency 0.0 15" xfId="13481"/>
    <cellStyle name="Currency 0.0 16" xfId="13482"/>
    <cellStyle name="Currency 0.0 17" xfId="13483"/>
    <cellStyle name="Currency 0.0 2" xfId="13484"/>
    <cellStyle name="Currency 0.0 3" xfId="13485"/>
    <cellStyle name="Currency 0.0 4" xfId="13486"/>
    <cellStyle name="Currency 0.0 5" xfId="13487"/>
    <cellStyle name="Currency 0.0 6" xfId="13488"/>
    <cellStyle name="Currency 0.0 7" xfId="13489"/>
    <cellStyle name="Currency 0.0 8" xfId="13490"/>
    <cellStyle name="Currency 0.0 9" xfId="13491"/>
    <cellStyle name="Currency 0.0_2010_02_19_Выручка_Прочие_доходы_v5" xfId="13492"/>
    <cellStyle name="Currency 0.00" xfId="13493"/>
    <cellStyle name="Currency 0.00 10" xfId="13494"/>
    <cellStyle name="Currency 0.00 11" xfId="13495"/>
    <cellStyle name="Currency 0.00 12" xfId="13496"/>
    <cellStyle name="Currency 0.00 13" xfId="13497"/>
    <cellStyle name="Currency 0.00 14" xfId="13498"/>
    <cellStyle name="Currency 0.00 15" xfId="13499"/>
    <cellStyle name="Currency 0.00 16" xfId="13500"/>
    <cellStyle name="Currency 0.00 17" xfId="13501"/>
    <cellStyle name="Currency 0.00 2" xfId="13502"/>
    <cellStyle name="Currency 0.00 3" xfId="13503"/>
    <cellStyle name="Currency 0.00 4" xfId="13504"/>
    <cellStyle name="Currency 0.00 5" xfId="13505"/>
    <cellStyle name="Currency 0.00 6" xfId="13506"/>
    <cellStyle name="Currency 0.00 7" xfId="13507"/>
    <cellStyle name="Currency 0.00 8" xfId="13508"/>
    <cellStyle name="Currency 0.00 9" xfId="13509"/>
    <cellStyle name="Currency 0.00_2010_02_19_Выручка_Прочие_доходы_v5" xfId="13510"/>
    <cellStyle name="Currency 0.000" xfId="13511"/>
    <cellStyle name="Currency 0.000 10" xfId="13512"/>
    <cellStyle name="Currency 0.000 11" xfId="13513"/>
    <cellStyle name="Currency 0.000 12" xfId="13514"/>
    <cellStyle name="Currency 0.000 13" xfId="13515"/>
    <cellStyle name="Currency 0.000 14" xfId="13516"/>
    <cellStyle name="Currency 0.000 15" xfId="13517"/>
    <cellStyle name="Currency 0.000 16" xfId="13518"/>
    <cellStyle name="Currency 0.000 17" xfId="13519"/>
    <cellStyle name="Currency 0.000 2" xfId="13520"/>
    <cellStyle name="Currency 0.000 3" xfId="13521"/>
    <cellStyle name="Currency 0.000 4" xfId="13522"/>
    <cellStyle name="Currency 0.000 5" xfId="13523"/>
    <cellStyle name="Currency 0.000 6" xfId="13524"/>
    <cellStyle name="Currency 0.000 7" xfId="13525"/>
    <cellStyle name="Currency 0.000 8" xfId="13526"/>
    <cellStyle name="Currency 0.000 9" xfId="13527"/>
    <cellStyle name="Currency 0.000_2010_02_19_Выручка_Прочие_доходы_v5" xfId="13528"/>
    <cellStyle name="Currency 10" xfId="13529"/>
    <cellStyle name="Currency 2" xfId="13530"/>
    <cellStyle name="Currency 2 2" xfId="13531"/>
    <cellStyle name="Currency 2_Список исправленных ошибок" xfId="13532"/>
    <cellStyle name="Currency 3" xfId="13533"/>
    <cellStyle name="Currency 3 2" xfId="13534"/>
    <cellStyle name="Currency 3_Список исправленных ошибок" xfId="13535"/>
    <cellStyle name="Currency 4" xfId="13536"/>
    <cellStyle name="Currency 5" xfId="13537"/>
    <cellStyle name="Currency 6" xfId="13538"/>
    <cellStyle name="Currency 7" xfId="13539"/>
    <cellStyle name="Currency 8" xfId="13540"/>
    <cellStyle name="Currency 9" xfId="13541"/>
    <cellStyle name="Currency EN" xfId="13542"/>
    <cellStyle name="Currency EN 2" xfId="13543"/>
    <cellStyle name="Currency EN 2 2" xfId="13544"/>
    <cellStyle name="Currency EN 2_Список исправленных ошибок" xfId="13545"/>
    <cellStyle name="Currency EN 3" xfId="13546"/>
    <cellStyle name="Currency EN 3 2" xfId="13547"/>
    <cellStyle name="Currency EN 3_Список исправленных ошибок" xfId="13548"/>
    <cellStyle name="Currency EN 4" xfId="13549"/>
    <cellStyle name="Currency EN 4 2" xfId="13550"/>
    <cellStyle name="Currency EN 4_Список исправленных ошибок" xfId="13551"/>
    <cellStyle name="Currency EN 5" xfId="13552"/>
    <cellStyle name="Currency EN 5 2" xfId="13553"/>
    <cellStyle name="Currency EN 5_Список исправленных ошибок" xfId="13554"/>
    <cellStyle name="Currency EN 6" xfId="13555"/>
    <cellStyle name="Currency EN 7" xfId="13556"/>
    <cellStyle name="Currency EN 8" xfId="13557"/>
    <cellStyle name="Currency EN_2010_02_19_Выручка_Прочие_доходы_v5" xfId="13558"/>
    <cellStyle name="Currency RU" xfId="13559"/>
    <cellStyle name="Currency RU 2" xfId="13560"/>
    <cellStyle name="Currency RU 3" xfId="13561"/>
    <cellStyle name="Currency RU 4" xfId="13562"/>
    <cellStyle name="Currency RU 5" xfId="13563"/>
    <cellStyle name="Currency RU 6" xfId="13564"/>
    <cellStyle name="Currency RU 7" xfId="13565"/>
    <cellStyle name="Currency RU 8" xfId="13566"/>
    <cellStyle name="Currency RU calc" xfId="13567"/>
    <cellStyle name="Currency RU calc 2" xfId="13568"/>
    <cellStyle name="Currency RU calc 3" xfId="13569"/>
    <cellStyle name="Currency RU calc 4" xfId="13570"/>
    <cellStyle name="Currency RU calc 5" xfId="13571"/>
    <cellStyle name="Currency RU calc 6" xfId="13572"/>
    <cellStyle name="Currency RU calc 7" xfId="13573"/>
    <cellStyle name="Currency RU calc 8" xfId="13574"/>
    <cellStyle name="Currency RU calc_Список исправленных ошибок" xfId="13575"/>
    <cellStyle name="Currency RU_2010_02_12_Прочая информация_v_1" xfId="13576"/>
    <cellStyle name="Currency0" xfId="13577"/>
    <cellStyle name="Currency0 2" xfId="13578"/>
    <cellStyle name="Currency0 3" xfId="13579"/>
    <cellStyle name="Currency0 3 2" xfId="4193"/>
    <cellStyle name="Currency0 4" xfId="13580"/>
    <cellStyle name="Currency0 4 2" xfId="15775"/>
    <cellStyle name="Currency0 5" xfId="13581"/>
    <cellStyle name="Currency0 5 2" xfId="15776"/>
    <cellStyle name="Currency0 6" xfId="13582"/>
    <cellStyle name="Currency0 6 2" xfId="15777"/>
    <cellStyle name="Currency0 7" xfId="13583"/>
    <cellStyle name="Currency0 7 2" xfId="15778"/>
    <cellStyle name="Currency0 8" xfId="13584"/>
    <cellStyle name="Currency0_2010_02_19_Выручка_Прочие_доходы_v5" xfId="13585"/>
    <cellStyle name="Currency1" xfId="182"/>
    <cellStyle name="Currency2" xfId="183"/>
    <cellStyle name="Date" xfId="13586"/>
    <cellStyle name="Date 10" xfId="13587"/>
    <cellStyle name="Date 10 2" xfId="15779"/>
    <cellStyle name="Date 11" xfId="13588"/>
    <cellStyle name="Date 11 2" xfId="15780"/>
    <cellStyle name="Date 12" xfId="13589"/>
    <cellStyle name="Date 12 2" xfId="15781"/>
    <cellStyle name="Date 13" xfId="13590"/>
    <cellStyle name="Date 13 2" xfId="15782"/>
    <cellStyle name="Date 14" xfId="13591"/>
    <cellStyle name="Date 14 2" xfId="15783"/>
    <cellStyle name="Date 15" xfId="13592"/>
    <cellStyle name="Date 15 2" xfId="15784"/>
    <cellStyle name="Date 16" xfId="13593"/>
    <cellStyle name="Date 16 2" xfId="15785"/>
    <cellStyle name="Date 17" xfId="13594"/>
    <cellStyle name="Date 2" xfId="13595"/>
    <cellStyle name="Date 2 2" xfId="15786"/>
    <cellStyle name="Date 3" xfId="13596"/>
    <cellStyle name="Date 3 2" xfId="15787"/>
    <cellStyle name="Date 4" xfId="13597"/>
    <cellStyle name="Date 4 2" xfId="15788"/>
    <cellStyle name="Date 5" xfId="13598"/>
    <cellStyle name="Date 5 2" xfId="15789"/>
    <cellStyle name="Date 6" xfId="13599"/>
    <cellStyle name="Date 6 2" xfId="15790"/>
    <cellStyle name="Date 7" xfId="13600"/>
    <cellStyle name="Date 7 2" xfId="15791"/>
    <cellStyle name="Date 8" xfId="13601"/>
    <cellStyle name="Date 8 2" xfId="15792"/>
    <cellStyle name="Date 9" xfId="13602"/>
    <cellStyle name="Date 9 2" xfId="15793"/>
    <cellStyle name="Date EN" xfId="13603"/>
    <cellStyle name="Date EN 10" xfId="13604"/>
    <cellStyle name="Date EN 10 2" xfId="15794"/>
    <cellStyle name="Date EN 11" xfId="13605"/>
    <cellStyle name="Date EN 11 2" xfId="15795"/>
    <cellStyle name="Date EN 12" xfId="13606"/>
    <cellStyle name="Date EN 12 2" xfId="15796"/>
    <cellStyle name="Date EN 13" xfId="13607"/>
    <cellStyle name="Date EN 13 2" xfId="15797"/>
    <cellStyle name="Date EN 14" xfId="13608"/>
    <cellStyle name="Date EN 14 2" xfId="15798"/>
    <cellStyle name="Date EN 15" xfId="13609"/>
    <cellStyle name="Date EN 15 2" xfId="15799"/>
    <cellStyle name="Date EN 16" xfId="13610"/>
    <cellStyle name="Date EN 16 2" xfId="15800"/>
    <cellStyle name="Date EN 17" xfId="13611"/>
    <cellStyle name="Date EN 2" xfId="13612"/>
    <cellStyle name="Date EN 2 2" xfId="15801"/>
    <cellStyle name="Date EN 3" xfId="13613"/>
    <cellStyle name="Date EN 3 2" xfId="15802"/>
    <cellStyle name="Date EN 4" xfId="13614"/>
    <cellStyle name="Date EN 4 2" xfId="15803"/>
    <cellStyle name="Date EN 5" xfId="13615"/>
    <cellStyle name="Date EN 5 2" xfId="15804"/>
    <cellStyle name="Date EN 6" xfId="13616"/>
    <cellStyle name="Date EN 6 2" xfId="15805"/>
    <cellStyle name="Date EN 7" xfId="13617"/>
    <cellStyle name="Date EN 7 2" xfId="15806"/>
    <cellStyle name="Date EN 8" xfId="13618"/>
    <cellStyle name="Date EN 8 2" xfId="15807"/>
    <cellStyle name="Date EN 9" xfId="13619"/>
    <cellStyle name="Date EN 9 2" xfId="15808"/>
    <cellStyle name="Date EN_2010_02_19_Выручка_Прочие_доходы_v5" xfId="13620"/>
    <cellStyle name="Date RU" xfId="13621"/>
    <cellStyle name="Date RU 10" xfId="13622"/>
    <cellStyle name="Date RU 10 2" xfId="15809"/>
    <cellStyle name="Date RU 11" xfId="13623"/>
    <cellStyle name="Date RU 11 2" xfId="15810"/>
    <cellStyle name="Date RU 12" xfId="234"/>
    <cellStyle name="Date RU 12 2" xfId="15811"/>
    <cellStyle name="Date RU 13" xfId="13624"/>
    <cellStyle name="Date RU 13 2" xfId="15812"/>
    <cellStyle name="Date RU 14" xfId="13625"/>
    <cellStyle name="Date RU 14 2" xfId="15813"/>
    <cellStyle name="Date RU 15" xfId="13626"/>
    <cellStyle name="Date RU 15 2" xfId="15814"/>
    <cellStyle name="Date RU 16" xfId="13627"/>
    <cellStyle name="Date RU 16 2" xfId="15815"/>
    <cellStyle name="Date RU 17" xfId="13628"/>
    <cellStyle name="Date RU 2" xfId="13629"/>
    <cellStyle name="Date RU 2 2" xfId="15816"/>
    <cellStyle name="Date RU 3" xfId="13630"/>
    <cellStyle name="Date RU 3 2" xfId="15817"/>
    <cellStyle name="Date RU 4" xfId="13631"/>
    <cellStyle name="Date RU 4 2" xfId="15818"/>
    <cellStyle name="Date RU 5" xfId="13632"/>
    <cellStyle name="Date RU 5 2" xfId="15819"/>
    <cellStyle name="Date RU 6" xfId="13633"/>
    <cellStyle name="Date RU 6 2" xfId="15820"/>
    <cellStyle name="Date RU 7" xfId="13634"/>
    <cellStyle name="Date RU 7 2" xfId="15821"/>
    <cellStyle name="Date RU 8" xfId="13635"/>
    <cellStyle name="Date RU 8 2" xfId="15822"/>
    <cellStyle name="Date RU 9" xfId="13636"/>
    <cellStyle name="Date RU 9 2" xfId="15823"/>
    <cellStyle name="Date RU_2010_02_19_Выручка_Прочие_доходы_v5" xfId="13637"/>
    <cellStyle name="Date_091222_Росатом_ЕПС" xfId="13638"/>
    <cellStyle name="Debit" xfId="13639"/>
    <cellStyle name="Debit 10" xfId="13640"/>
    <cellStyle name="Debit 10 2" xfId="15824"/>
    <cellStyle name="Debit 11" xfId="13641"/>
    <cellStyle name="Debit 11 2" xfId="15825"/>
    <cellStyle name="Debit 12" xfId="13642"/>
    <cellStyle name="Debit 12 2" xfId="15826"/>
    <cellStyle name="Debit 13" xfId="13643"/>
    <cellStyle name="Debit 13 2" xfId="15827"/>
    <cellStyle name="Debit 14" xfId="13644"/>
    <cellStyle name="Debit 14 2" xfId="15828"/>
    <cellStyle name="Debit 15" xfId="13645"/>
    <cellStyle name="Debit 15 2" xfId="15829"/>
    <cellStyle name="Debit 16" xfId="13646"/>
    <cellStyle name="Debit 16 2" xfId="15830"/>
    <cellStyle name="Debit 17" xfId="13647"/>
    <cellStyle name="Debit 2" xfId="13648"/>
    <cellStyle name="Debit 2 2" xfId="15831"/>
    <cellStyle name="Debit 3" xfId="13649"/>
    <cellStyle name="Debit 3 2" xfId="15832"/>
    <cellStyle name="Debit 4" xfId="13650"/>
    <cellStyle name="Debit 4 2" xfId="15833"/>
    <cellStyle name="Debit 5" xfId="13651"/>
    <cellStyle name="Debit 5 2" xfId="15834"/>
    <cellStyle name="Debit 6" xfId="13652"/>
    <cellStyle name="Debit 6 2" xfId="15835"/>
    <cellStyle name="Debit 7" xfId="13653"/>
    <cellStyle name="Debit 7 2" xfId="15836"/>
    <cellStyle name="Debit 8" xfId="13654"/>
    <cellStyle name="Debit 8 2" xfId="15837"/>
    <cellStyle name="Debit 9" xfId="13655"/>
    <cellStyle name="Debit 9 2" xfId="15838"/>
    <cellStyle name="Debit subtotal" xfId="13656"/>
    <cellStyle name="Debit subtotal 10" xfId="13657"/>
    <cellStyle name="Debit subtotal 10 2" xfId="15839"/>
    <cellStyle name="Debit subtotal 11" xfId="13658"/>
    <cellStyle name="Debit subtotal 11 2" xfId="15840"/>
    <cellStyle name="Debit subtotal 12" xfId="13659"/>
    <cellStyle name="Debit subtotal 12 2" xfId="15841"/>
    <cellStyle name="Debit subtotal 13" xfId="13660"/>
    <cellStyle name="Debit subtotal 13 2" xfId="15842"/>
    <cellStyle name="Debit subtotal 14" xfId="13661"/>
    <cellStyle name="Debit subtotal 14 2" xfId="15843"/>
    <cellStyle name="Debit subtotal 15" xfId="13662"/>
    <cellStyle name="Debit subtotal 15 2" xfId="15844"/>
    <cellStyle name="Debit subtotal 16" xfId="13663"/>
    <cellStyle name="Debit subtotal 16 2" xfId="15845"/>
    <cellStyle name="Debit subtotal 17" xfId="13664"/>
    <cellStyle name="Debit subtotal 2" xfId="13665"/>
    <cellStyle name="Debit subtotal 2 2" xfId="15846"/>
    <cellStyle name="Debit subtotal 3" xfId="13666"/>
    <cellStyle name="Debit subtotal 3 2" xfId="15847"/>
    <cellStyle name="Debit subtotal 4" xfId="13667"/>
    <cellStyle name="Debit subtotal 4 2" xfId="15848"/>
    <cellStyle name="Debit subtotal 5" xfId="13668"/>
    <cellStyle name="Debit subtotal 5 2" xfId="15849"/>
    <cellStyle name="Debit subtotal 6" xfId="13669"/>
    <cellStyle name="Debit subtotal 6 2" xfId="15850"/>
    <cellStyle name="Debit subtotal 7" xfId="13670"/>
    <cellStyle name="Debit subtotal 7 2" xfId="15851"/>
    <cellStyle name="Debit subtotal 8" xfId="13671"/>
    <cellStyle name="Debit subtotal 8 2" xfId="15852"/>
    <cellStyle name="Debit subtotal 9" xfId="13672"/>
    <cellStyle name="Debit subtotal 9 2" xfId="15853"/>
    <cellStyle name="Debit subtotal_Списки" xfId="14762"/>
    <cellStyle name="Debit Total" xfId="13673"/>
    <cellStyle name="Debit Total 10" xfId="13674"/>
    <cellStyle name="Debit Total 10 2" xfId="15854"/>
    <cellStyle name="Debit Total 11" xfId="13675"/>
    <cellStyle name="Debit Total 11 2" xfId="15855"/>
    <cellStyle name="Debit Total 12" xfId="13676"/>
    <cellStyle name="Debit Total 12 2" xfId="15856"/>
    <cellStyle name="Debit Total 13" xfId="13677"/>
    <cellStyle name="Debit Total 13 2" xfId="15857"/>
    <cellStyle name="Debit Total 14" xfId="13678"/>
    <cellStyle name="Debit Total 14 2" xfId="15858"/>
    <cellStyle name="Debit Total 15" xfId="13679"/>
    <cellStyle name="Debit Total 15 2" xfId="15859"/>
    <cellStyle name="Debit Total 16" xfId="13680"/>
    <cellStyle name="Debit Total 16 2" xfId="15860"/>
    <cellStyle name="Debit Total 17" xfId="13681"/>
    <cellStyle name="Debit Total 2" xfId="13682"/>
    <cellStyle name="Debit Total 2 2" xfId="15861"/>
    <cellStyle name="Debit Total 3" xfId="13683"/>
    <cellStyle name="Debit Total 3 2" xfId="15862"/>
    <cellStyle name="Debit Total 4" xfId="13684"/>
    <cellStyle name="Debit Total 4 2" xfId="15863"/>
    <cellStyle name="Debit Total 5" xfId="13685"/>
    <cellStyle name="Debit Total 5 2" xfId="15864"/>
    <cellStyle name="Debit Total 6" xfId="13686"/>
    <cellStyle name="Debit Total 6 2" xfId="15865"/>
    <cellStyle name="Debit Total 7" xfId="13687"/>
    <cellStyle name="Debit Total 7 2" xfId="15866"/>
    <cellStyle name="Debit Total 8" xfId="13688"/>
    <cellStyle name="Debit Total 8 2" xfId="15867"/>
    <cellStyle name="Debit Total 9" xfId="13689"/>
    <cellStyle name="Debit Total 9 2" xfId="15868"/>
    <cellStyle name="Debit Total_Списки" xfId="14763"/>
    <cellStyle name="Debit_091222_Росатом_ЕПС" xfId="13690"/>
    <cellStyle name="Dezimal__Utopia Index Index und Guidance (Deutsch)" xfId="13691"/>
    <cellStyle name="Euro" xfId="13692"/>
    <cellStyle name="Euro 2" xfId="13693"/>
    <cellStyle name="Euro 2 2" xfId="15869"/>
    <cellStyle name="Euro 3" xfId="13694"/>
    <cellStyle name="Euro_Sheet" xfId="13695"/>
    <cellStyle name="Explanatory Text" xfId="13696"/>
    <cellStyle name="Explanatory Text 10" xfId="13697"/>
    <cellStyle name="Explanatory Text 10 2" xfId="15870"/>
    <cellStyle name="Explanatory Text 2" xfId="13698"/>
    <cellStyle name="Explanatory Text 2 2" xfId="15871"/>
    <cellStyle name="Explanatory Text 3" xfId="13699"/>
    <cellStyle name="Explanatory Text 3 2" xfId="15872"/>
    <cellStyle name="Explanatory Text 6" xfId="13700"/>
    <cellStyle name="Explanatory Text 6 2" xfId="15873"/>
    <cellStyle name="Explanatory Text 7" xfId="13701"/>
    <cellStyle name="Explanatory Text 7 2" xfId="15874"/>
    <cellStyle name="Explanatory Text 8" xfId="13702"/>
    <cellStyle name="Explanatory Text 8 2" xfId="15875"/>
    <cellStyle name="F2" xfId="13703"/>
    <cellStyle name="F2 2" xfId="13704"/>
    <cellStyle name="F2_Список исправленных ошибок" xfId="13705"/>
    <cellStyle name="F3" xfId="13706"/>
    <cellStyle name="F3 2" xfId="13707"/>
    <cellStyle name="F3_Список исправленных ошибок" xfId="13708"/>
    <cellStyle name="F4" xfId="13709"/>
    <cellStyle name="F4 2" xfId="13710"/>
    <cellStyle name="F4_Список исправленных ошибок" xfId="13711"/>
    <cellStyle name="F5" xfId="13712"/>
    <cellStyle name="F5 2" xfId="13713"/>
    <cellStyle name="F5_Список исправленных ошибок" xfId="13714"/>
    <cellStyle name="F6" xfId="13715"/>
    <cellStyle name="F6 2" xfId="13716"/>
    <cellStyle name="F6_Список исправленных ошибок" xfId="13717"/>
    <cellStyle name="F7" xfId="13718"/>
    <cellStyle name="F7 2" xfId="13719"/>
    <cellStyle name="F7_Список исправленных ошибок" xfId="13720"/>
    <cellStyle name="F8" xfId="13721"/>
    <cellStyle name="F8 2" xfId="13722"/>
    <cellStyle name="F8_Список исправленных ошибок" xfId="13723"/>
    <cellStyle name="Fixed" xfId="13724"/>
    <cellStyle name="Fixed 2" xfId="13725"/>
    <cellStyle name="Fixed 2 2" xfId="15876"/>
    <cellStyle name="Fixed 3" xfId="13726"/>
    <cellStyle name="Fixed 3 2" xfId="15877"/>
    <cellStyle name="Fixed 4" xfId="13727"/>
    <cellStyle name="Fixed 4 2" xfId="15878"/>
    <cellStyle name="Fixed 5" xfId="13728"/>
    <cellStyle name="Fixed 5 2" xfId="15879"/>
    <cellStyle name="Fixed 6" xfId="13729"/>
    <cellStyle name="Fixed 6 2" xfId="15880"/>
    <cellStyle name="Fixed 7" xfId="13730"/>
    <cellStyle name="Fixed 7 2" xfId="15881"/>
    <cellStyle name="Fixed 8" xfId="13731"/>
    <cellStyle name="Fixed_2010_02_19_Выручка_Прочие_доходы_v5" xfId="13732"/>
    <cellStyle name="Followed Hyperlink" xfId="184"/>
    <cellStyle name="Followed Hyperlink 2" xfId="13733"/>
    <cellStyle name="Followed Hyperlink 2 2" xfId="15882"/>
    <cellStyle name="Footnotes" xfId="13734"/>
    <cellStyle name="Footnotes 2" xfId="13735"/>
    <cellStyle name="Footnotes 2 2" xfId="13736"/>
    <cellStyle name="Footnotes 2_Список исправленных ошибок" xfId="13737"/>
    <cellStyle name="Footnotes 3" xfId="13738"/>
    <cellStyle name="Footnotes 3 2" xfId="13739"/>
    <cellStyle name="Footnotes 3_Список исправленных ошибок" xfId="13740"/>
    <cellStyle name="Footnotes 4" xfId="13741"/>
    <cellStyle name="Footnotes_Списки" xfId="14764"/>
    <cellStyle name="For_B_column" xfId="13742"/>
    <cellStyle name="Good" xfId="13743"/>
    <cellStyle name="Good 10" xfId="13744"/>
    <cellStyle name="Good 10 2" xfId="15883"/>
    <cellStyle name="Good 2" xfId="13745"/>
    <cellStyle name="Good 2 2" xfId="15884"/>
    <cellStyle name="Good 3" xfId="13746"/>
    <cellStyle name="Good 3 2" xfId="15885"/>
    <cellStyle name="Good 6" xfId="13747"/>
    <cellStyle name="Good 6 2" xfId="15886"/>
    <cellStyle name="Good 7" xfId="13748"/>
    <cellStyle name="Good 7 2" xfId="15887"/>
    <cellStyle name="Good 8" xfId="13749"/>
    <cellStyle name="Good 8 2" xfId="15888"/>
    <cellStyle name="Grey" xfId="13750"/>
    <cellStyle name="Grey 2" xfId="13751"/>
    <cellStyle name="Grey 2 2" xfId="13752"/>
    <cellStyle name="Grey 2_Список исправленных ошибок" xfId="13753"/>
    <cellStyle name="Grey 3" xfId="13754"/>
    <cellStyle name="Grey 3 2" xfId="13755"/>
    <cellStyle name="Grey 3_Список исправленных ошибок" xfId="13756"/>
    <cellStyle name="Grey 4" xfId="13757"/>
    <cellStyle name="Grey_2010_02_17_Затраты_v1" xfId="13758"/>
    <cellStyle name="Header1" xfId="13759"/>
    <cellStyle name="Header1 2" xfId="13760"/>
    <cellStyle name="Header1 2 2" xfId="15889"/>
    <cellStyle name="Header1 3" xfId="13761"/>
    <cellStyle name="Header1 3 2" xfId="15890"/>
    <cellStyle name="Header1 4" xfId="13762"/>
    <cellStyle name="Header1 4 2" xfId="15891"/>
    <cellStyle name="Header1 5" xfId="13763"/>
    <cellStyle name="Header1 5 2" xfId="15892"/>
    <cellStyle name="Header1 6" xfId="13764"/>
    <cellStyle name="Header1 6 2" xfId="15893"/>
    <cellStyle name="Header1 7" xfId="13765"/>
    <cellStyle name="Header1 7 2" xfId="15894"/>
    <cellStyle name="Header1 8" xfId="13766"/>
    <cellStyle name="Header1_Списки" xfId="14765"/>
    <cellStyle name="Header2" xfId="13767"/>
    <cellStyle name="Header2 2" xfId="13768"/>
    <cellStyle name="Header2 2 2" xfId="15895"/>
    <cellStyle name="Header2 3" xfId="13769"/>
    <cellStyle name="Header2 3 2" xfId="15896"/>
    <cellStyle name="Header2 4" xfId="13770"/>
    <cellStyle name="Header2 4 2" xfId="15897"/>
    <cellStyle name="Header2 5" xfId="13771"/>
    <cellStyle name="Header2 5 2" xfId="15898"/>
    <cellStyle name="Header2 6" xfId="13772"/>
    <cellStyle name="Header2 6 2" xfId="15899"/>
    <cellStyle name="Header2 7" xfId="13773"/>
    <cellStyle name="Header2 7 2" xfId="15900"/>
    <cellStyle name="Header2 8" xfId="13774"/>
    <cellStyle name="Header2_Списки" xfId="14766"/>
    <cellStyle name="Heading" xfId="13775"/>
    <cellStyle name="Heading 1" xfId="13776"/>
    <cellStyle name="Heading 1 10" xfId="13777"/>
    <cellStyle name="Heading 1 10 2" xfId="15901"/>
    <cellStyle name="Heading 1 2" xfId="13778"/>
    <cellStyle name="Heading 1 2 2" xfId="15902"/>
    <cellStyle name="Heading 1 3" xfId="13779"/>
    <cellStyle name="Heading 1 3 2" xfId="15903"/>
    <cellStyle name="Heading 1 6" xfId="13780"/>
    <cellStyle name="Heading 1 6 2" xfId="15904"/>
    <cellStyle name="Heading 1 7" xfId="13781"/>
    <cellStyle name="Heading 1 7 2" xfId="15905"/>
    <cellStyle name="Heading 1 8" xfId="13782"/>
    <cellStyle name="Heading 1 8 2" xfId="15906"/>
    <cellStyle name="Heading 1_Список исправленных ошибок" xfId="13783"/>
    <cellStyle name="Heading 10" xfId="13784"/>
    <cellStyle name="Heading 10 2" xfId="15907"/>
    <cellStyle name="Heading 2" xfId="13785"/>
    <cellStyle name="Heading 2 10" xfId="13786"/>
    <cellStyle name="Heading 2 10 2" xfId="15908"/>
    <cellStyle name="Heading 2 2" xfId="13787"/>
    <cellStyle name="Heading 2 2 2" xfId="15909"/>
    <cellStyle name="Heading 2 3" xfId="13788"/>
    <cellStyle name="Heading 2 3 2" xfId="15910"/>
    <cellStyle name="Heading 2 4" xfId="13789"/>
    <cellStyle name="Heading 2 6" xfId="13790"/>
    <cellStyle name="Heading 2 6 2" xfId="15911"/>
    <cellStyle name="Heading 2 7" xfId="13791"/>
    <cellStyle name="Heading 2 7 2" xfId="15912"/>
    <cellStyle name="Heading 2 8" xfId="13792"/>
    <cellStyle name="Heading 2 8 2" xfId="15913"/>
    <cellStyle name="Heading 2_Список исправленных ошибок" xfId="13793"/>
    <cellStyle name="Heading 3" xfId="13794"/>
    <cellStyle name="Heading 3 10" xfId="13795"/>
    <cellStyle name="Heading 3 10 2" xfId="15914"/>
    <cellStyle name="Heading 3 2" xfId="13796"/>
    <cellStyle name="Heading 3 2 2" xfId="15915"/>
    <cellStyle name="Heading 3 3" xfId="13797"/>
    <cellStyle name="Heading 3 3 2" xfId="15916"/>
    <cellStyle name="Heading 3 6" xfId="13798"/>
    <cellStyle name="Heading 3 6 2" xfId="15917"/>
    <cellStyle name="Heading 3 7" xfId="13799"/>
    <cellStyle name="Heading 3 7 2" xfId="15918"/>
    <cellStyle name="Heading 3 8" xfId="13800"/>
    <cellStyle name="Heading 3 8 2" xfId="15919"/>
    <cellStyle name="Heading 3_Список исправленных ошибок" xfId="13801"/>
    <cellStyle name="Heading 4" xfId="13802"/>
    <cellStyle name="Heading 4 10" xfId="13803"/>
    <cellStyle name="Heading 4 10 2" xfId="15920"/>
    <cellStyle name="Heading 4 2" xfId="13804"/>
    <cellStyle name="Heading 4 2 2" xfId="15921"/>
    <cellStyle name="Heading 4 3" xfId="13805"/>
    <cellStyle name="Heading 4 3 2" xfId="15922"/>
    <cellStyle name="Heading 4 6" xfId="13806"/>
    <cellStyle name="Heading 4 6 2" xfId="15923"/>
    <cellStyle name="Heading 4 7" xfId="13807"/>
    <cellStyle name="Heading 4 7 2" xfId="15924"/>
    <cellStyle name="Heading 4 8" xfId="13808"/>
    <cellStyle name="Heading 4 8 2" xfId="15925"/>
    <cellStyle name="Heading 5" xfId="13809"/>
    <cellStyle name="Heading 5 2" xfId="15926"/>
    <cellStyle name="Heading 6" xfId="13810"/>
    <cellStyle name="Heading 6 2" xfId="15927"/>
    <cellStyle name="Heading 7" xfId="13811"/>
    <cellStyle name="Heading 7 2" xfId="15928"/>
    <cellStyle name="Heading 8" xfId="13812"/>
    <cellStyle name="Heading 8 2" xfId="15929"/>
    <cellStyle name="Heading 9" xfId="13813"/>
    <cellStyle name="Heading 9 2" xfId="15930"/>
    <cellStyle name="Heading No Underline" xfId="13814"/>
    <cellStyle name="Heading No Underline 2" xfId="13815"/>
    <cellStyle name="Heading No Underline 2 2" xfId="15931"/>
    <cellStyle name="Heading No Underline 3" xfId="13816"/>
    <cellStyle name="Heading No Underline 3 2" xfId="15932"/>
    <cellStyle name="Heading No Underline 4" xfId="13817"/>
    <cellStyle name="Heading No Underline 4 2" xfId="15933"/>
    <cellStyle name="Heading No Underline 5" xfId="13818"/>
    <cellStyle name="Heading No Underline 5 2" xfId="15934"/>
    <cellStyle name="Heading No Underline 6" xfId="13819"/>
    <cellStyle name="Heading No Underline 6 2" xfId="15935"/>
    <cellStyle name="Heading No Underline 7" xfId="13820"/>
    <cellStyle name="Heading No Underline 7 2" xfId="15936"/>
    <cellStyle name="Heading No Underline 8" xfId="13821"/>
    <cellStyle name="Heading No Underline_Списки" xfId="14767"/>
    <cellStyle name="Heading With Underline" xfId="13822"/>
    <cellStyle name="Heading With Underline 2" xfId="13823"/>
    <cellStyle name="Heading With Underline 2 2" xfId="15937"/>
    <cellStyle name="Heading With Underline 3" xfId="13824"/>
    <cellStyle name="Heading With Underline 3 2" xfId="15938"/>
    <cellStyle name="Heading With Underline 4" xfId="13825"/>
    <cellStyle name="Heading With Underline 4 2" xfId="15939"/>
    <cellStyle name="Heading With Underline 5" xfId="13826"/>
    <cellStyle name="Heading With Underline 5 2" xfId="15940"/>
    <cellStyle name="Heading With Underline 6" xfId="13827"/>
    <cellStyle name="Heading With Underline 6 2" xfId="15941"/>
    <cellStyle name="Heading With Underline 7" xfId="13828"/>
    <cellStyle name="Heading With Underline 7 2" xfId="13829"/>
    <cellStyle name="Heading With Underline 7_Список исправленных ошибок" xfId="13830"/>
    <cellStyle name="Heading With Underline 8" xfId="13831"/>
    <cellStyle name="Heading With Underline_Списки" xfId="14768"/>
    <cellStyle name="Heading_Списки" xfId="14769"/>
    <cellStyle name="Hidden" xfId="13832"/>
    <cellStyle name="Hidden 2" xfId="13833"/>
    <cellStyle name="Hidden_Список исправленных ошибок" xfId="13834"/>
    <cellStyle name="Hyperlink" xfId="177"/>
    <cellStyle name="Hyperlink 14" xfId="13835"/>
    <cellStyle name="Hyperlink 14 2" xfId="15942"/>
    <cellStyle name="Hyperlink 2" xfId="13836"/>
    <cellStyle name="Hyperlink 2 10" xfId="13837"/>
    <cellStyle name="Hyperlink 2 10 2" xfId="15943"/>
    <cellStyle name="Hyperlink 2 11" xfId="13838"/>
    <cellStyle name="Hyperlink 2 11 2" xfId="15944"/>
    <cellStyle name="Hyperlink 2 12" xfId="13839"/>
    <cellStyle name="Hyperlink 2 12 2" xfId="15945"/>
    <cellStyle name="Hyperlink 2 13" xfId="13840"/>
    <cellStyle name="Hyperlink 2 13 2" xfId="15946"/>
    <cellStyle name="Hyperlink 2 14" xfId="13841"/>
    <cellStyle name="Hyperlink 2 2" xfId="13842"/>
    <cellStyle name="Hyperlink 2 2 2" xfId="13843"/>
    <cellStyle name="Hyperlink 2 2_Список исправленных ошибок" xfId="13844"/>
    <cellStyle name="Hyperlink 2 3" xfId="13845"/>
    <cellStyle name="Hyperlink 2 3 2" xfId="15947"/>
    <cellStyle name="Hyperlink 2 4" xfId="13846"/>
    <cellStyle name="Hyperlink 2 4 2" xfId="15948"/>
    <cellStyle name="Hyperlink 2 5" xfId="13847"/>
    <cellStyle name="Hyperlink 2 5 2" xfId="15949"/>
    <cellStyle name="Hyperlink 2 6" xfId="13848"/>
    <cellStyle name="Hyperlink 2 6 2" xfId="15950"/>
    <cellStyle name="Hyperlink 2 7" xfId="13849"/>
    <cellStyle name="Hyperlink 2 7 2" xfId="15951"/>
    <cellStyle name="Hyperlink 2 8" xfId="13850"/>
    <cellStyle name="Hyperlink 2 8 2" xfId="15952"/>
    <cellStyle name="Hyperlink 2 9" xfId="13851"/>
    <cellStyle name="Hyperlink 2 9 2" xfId="15953"/>
    <cellStyle name="Hyperlink 2_091222_Росатом_ЕПС" xfId="13852"/>
    <cellStyle name="Hyperlink 3" xfId="13853"/>
    <cellStyle name="Hyperlink 3 10" xfId="13854"/>
    <cellStyle name="Hyperlink 3 10 2" xfId="15954"/>
    <cellStyle name="Hyperlink 3 11" xfId="13855"/>
    <cellStyle name="Hyperlink 3 11 2" xfId="15955"/>
    <cellStyle name="Hyperlink 3 12" xfId="13856"/>
    <cellStyle name="Hyperlink 3 12 2" xfId="15956"/>
    <cellStyle name="Hyperlink 3 13" xfId="13857"/>
    <cellStyle name="Hyperlink 3 2" xfId="13858"/>
    <cellStyle name="Hyperlink 3 2 2" xfId="15957"/>
    <cellStyle name="Hyperlink 3 3" xfId="13859"/>
    <cellStyle name="Hyperlink 3 3 2" xfId="15958"/>
    <cellStyle name="Hyperlink 3 4" xfId="13860"/>
    <cellStyle name="Hyperlink 3 4 2" xfId="15959"/>
    <cellStyle name="Hyperlink 3 5" xfId="13861"/>
    <cellStyle name="Hyperlink 3 5 2" xfId="15960"/>
    <cellStyle name="Hyperlink 3 6" xfId="13862"/>
    <cellStyle name="Hyperlink 3 6 2" xfId="15961"/>
    <cellStyle name="Hyperlink 3 7" xfId="13863"/>
    <cellStyle name="Hyperlink 3 7 2" xfId="15962"/>
    <cellStyle name="Hyperlink 3 8" xfId="13864"/>
    <cellStyle name="Hyperlink 3 8 2" xfId="15963"/>
    <cellStyle name="Hyperlink 3 9" xfId="13865"/>
    <cellStyle name="Hyperlink 3 9 2" xfId="15964"/>
    <cellStyle name="Hyperlink 3_091222_Росатом_ЕПС" xfId="13866"/>
    <cellStyle name="Hyperlink 4" xfId="13867"/>
    <cellStyle name="Hyperlink 4 10" xfId="13868"/>
    <cellStyle name="Hyperlink 4 10 2" xfId="15965"/>
    <cellStyle name="Hyperlink 4 11" xfId="13869"/>
    <cellStyle name="Hyperlink 4 11 2" xfId="15966"/>
    <cellStyle name="Hyperlink 4 12" xfId="13870"/>
    <cellStyle name="Hyperlink 4 12 2" xfId="15967"/>
    <cellStyle name="Hyperlink 4 13" xfId="13871"/>
    <cellStyle name="Hyperlink 4 2" xfId="13872"/>
    <cellStyle name="Hyperlink 4 2 2" xfId="15968"/>
    <cellStyle name="Hyperlink 4 3" xfId="13873"/>
    <cellStyle name="Hyperlink 4 3 2" xfId="15969"/>
    <cellStyle name="Hyperlink 4 4" xfId="13874"/>
    <cellStyle name="Hyperlink 4 4 2" xfId="15970"/>
    <cellStyle name="Hyperlink 4 5" xfId="13875"/>
    <cellStyle name="Hyperlink 4 5 2" xfId="15971"/>
    <cellStyle name="Hyperlink 4 6" xfId="13876"/>
    <cellStyle name="Hyperlink 4 6 2" xfId="15972"/>
    <cellStyle name="Hyperlink 4 7" xfId="13877"/>
    <cellStyle name="Hyperlink 4 7 2" xfId="15973"/>
    <cellStyle name="Hyperlink 4 8" xfId="13878"/>
    <cellStyle name="Hyperlink 4 8 2" xfId="15974"/>
    <cellStyle name="Hyperlink 4 9" xfId="13879"/>
    <cellStyle name="Hyperlink 4 9 2" xfId="15975"/>
    <cellStyle name="Hyperlink 4_Списки" xfId="14770"/>
    <cellStyle name="Hyperlink 5" xfId="13880"/>
    <cellStyle name="Hyperlink 5 2" xfId="13881"/>
    <cellStyle name="Hyperlink 5 2 2" xfId="15976"/>
    <cellStyle name="Hyperlink 5 3" xfId="13882"/>
    <cellStyle name="Hyperlink 5 3 2" xfId="15977"/>
    <cellStyle name="Hyperlink 5 4" xfId="13883"/>
    <cellStyle name="Hyperlink 5 4 2" xfId="15978"/>
    <cellStyle name="Hyperlink 5 5" xfId="13884"/>
    <cellStyle name="Hyperlink 5 5 2" xfId="15979"/>
    <cellStyle name="Hyperlink 5 6" xfId="13885"/>
    <cellStyle name="Hyperlink 5 6 2" xfId="15980"/>
    <cellStyle name="Hyperlink 5 7" xfId="13886"/>
    <cellStyle name="Hyperlink 5_Списки" xfId="14771"/>
    <cellStyle name="Hyperlink1" xfId="4"/>
    <cellStyle name="Hyperlink1 2" xfId="13887"/>
    <cellStyle name="Hyperlink1_Список исправленных ошибок" xfId="13888"/>
    <cellStyle name="Hyperlink2" xfId="5"/>
    <cellStyle name="Hyperlink2 2" xfId="13889"/>
    <cellStyle name="Hyperlink2_Список исправленных ошибок" xfId="13890"/>
    <cellStyle name="Hyperlink3" xfId="6"/>
    <cellStyle name="Hyperlink3 2" xfId="13891"/>
    <cellStyle name="Hyperlink3_Список исправленных ошибок" xfId="13892"/>
    <cellStyle name="Iau?iue_NotesFA" xfId="13893"/>
    <cellStyle name="Input" xfId="13894"/>
    <cellStyle name="Input 10" xfId="13895"/>
    <cellStyle name="Input 10 2" xfId="15981"/>
    <cellStyle name="Input 2" xfId="13896"/>
    <cellStyle name="Input 2 2" xfId="15982"/>
    <cellStyle name="Input 3" xfId="13897"/>
    <cellStyle name="Input 3 2" xfId="15983"/>
    <cellStyle name="Input 6" xfId="13898"/>
    <cellStyle name="Input 6 2" xfId="15984"/>
    <cellStyle name="Input 7" xfId="13899"/>
    <cellStyle name="Input 7 2" xfId="15985"/>
    <cellStyle name="Input 8" xfId="13900"/>
    <cellStyle name="Input 8 2" xfId="15986"/>
    <cellStyle name="Input_Список исправленных ошибок" xfId="13901"/>
    <cellStyle name="InputBlueFont_Valuation " xfId="185"/>
    <cellStyle name="Ioe?uaaaoayny aeia?nnueea" xfId="13902"/>
    <cellStyle name="Ioe?uaaaoayny aeia?nnueea 2" xfId="13903"/>
    <cellStyle name="Ioe?uaaaoayny aeia?nnueea 2 2" xfId="15987"/>
    <cellStyle name="Ioe?uaaaoayny aeia?nnueea 3" xfId="13904"/>
    <cellStyle name="Ioe?uaaaoayny aeia?nnueea 3 2" xfId="15988"/>
    <cellStyle name="Ioe?uaaaoayny aeia?nnueea 4" xfId="13905"/>
    <cellStyle name="Ioe?uaaaoayny aeia?nnueea 4 2" xfId="15989"/>
    <cellStyle name="Ioe?uaaaoayny aeia?nnueea 5" xfId="13906"/>
    <cellStyle name="Ioe?uaaaoayny aeia?nnueea 5 2" xfId="15990"/>
    <cellStyle name="Ioe?uaaaoayny aeia?nnueea 6" xfId="13907"/>
    <cellStyle name="Ioe?uaaaoayny aeia?nnueea 6 2" xfId="15991"/>
    <cellStyle name="Ioe?uaaaoayny aeia?nnueea 7" xfId="13908"/>
    <cellStyle name="Ioe?uaaaoayny aeia?nnueea 7 2" xfId="15992"/>
    <cellStyle name="Ioe?uaaaoayny aeia?nnueea 8" xfId="13909"/>
    <cellStyle name="Ioe?uaaaoayny aeia?nnueea_Списки" xfId="14772"/>
    <cellStyle name="ISO" xfId="13910"/>
    <cellStyle name="ISO 2" xfId="13911"/>
    <cellStyle name="ISO_Список исправленных ошибок" xfId="13912"/>
    <cellStyle name="LeftTitle" xfId="13913"/>
    <cellStyle name="LeftTitle 2" xfId="13914"/>
    <cellStyle name="LeftTitle_Список исправленных ошибок" xfId="13915"/>
    <cellStyle name="Linked Cell" xfId="13916"/>
    <cellStyle name="Linked Cell 10" xfId="13917"/>
    <cellStyle name="Linked Cell 10 2" xfId="15993"/>
    <cellStyle name="Linked Cell 2" xfId="13918"/>
    <cellStyle name="Linked Cell 2 2" xfId="15994"/>
    <cellStyle name="Linked Cell 3" xfId="13919"/>
    <cellStyle name="Linked Cell 3 2" xfId="15995"/>
    <cellStyle name="Linked Cell 6" xfId="13920"/>
    <cellStyle name="Linked Cell 6 2" xfId="15996"/>
    <cellStyle name="Linked Cell 7" xfId="13921"/>
    <cellStyle name="Linked Cell 7 2" xfId="15997"/>
    <cellStyle name="Linked Cell 8" xfId="13922"/>
    <cellStyle name="Linked Cell 8 2" xfId="15998"/>
    <cellStyle name="Linked Cell_Список исправленных ошибок" xfId="13923"/>
    <cellStyle name="Millares [0]_CARAT SAPIC" xfId="13924"/>
    <cellStyle name="Millares_CARAT SAPIC" xfId="13925"/>
    <cellStyle name="Milliers [0]_B.S.96" xfId="13926"/>
    <cellStyle name="Milliers_B.S.96" xfId="13927"/>
    <cellStyle name="Moneda [0]_CARAT SAPIC" xfId="13928"/>
    <cellStyle name="Moneda_CARAT SAPIC" xfId="13929"/>
    <cellStyle name="Monйtaire [0]_B.S.96" xfId="13930"/>
    <cellStyle name="Monйtaire_B.S.96" xfId="13931"/>
    <cellStyle name="Neutral" xfId="13932"/>
    <cellStyle name="Neutral 10" xfId="13933"/>
    <cellStyle name="Neutral 10 2" xfId="15999"/>
    <cellStyle name="Neutral 2" xfId="13934"/>
    <cellStyle name="Neutral 2 2" xfId="16000"/>
    <cellStyle name="Neutral 3" xfId="13935"/>
    <cellStyle name="Neutral 3 2" xfId="16001"/>
    <cellStyle name="Neutral 6" xfId="13936"/>
    <cellStyle name="Neutral 6 2" xfId="16002"/>
    <cellStyle name="Neutral 7" xfId="13937"/>
    <cellStyle name="Neutral 7 2" xfId="16003"/>
    <cellStyle name="Neutral 8" xfId="13938"/>
    <cellStyle name="Neutral 8 2" xfId="16004"/>
    <cellStyle name="No_Input" xfId="13939"/>
    <cellStyle name="Norma11l" xfId="13940"/>
    <cellStyle name="Norma11l 2" xfId="13941"/>
    <cellStyle name="Norma11l 2 2" xfId="16005"/>
    <cellStyle name="Norma11l 3" xfId="13942"/>
    <cellStyle name="Norma11l 3 2" xfId="16006"/>
    <cellStyle name="Norma11l 4" xfId="13943"/>
    <cellStyle name="Norma11l 4 2" xfId="16007"/>
    <cellStyle name="Norma11l 5" xfId="13944"/>
    <cellStyle name="Norma11l 5 2" xfId="16008"/>
    <cellStyle name="Norma11l 6" xfId="13945"/>
    <cellStyle name="Norma11l 6 2" xfId="16009"/>
    <cellStyle name="Norma11l 7" xfId="13946"/>
    <cellStyle name="Norma11l 7 2" xfId="16010"/>
    <cellStyle name="Norma11l_Списки" xfId="14773"/>
    <cellStyle name="Normal - Style1" xfId="13947"/>
    <cellStyle name="Normal - Style1 10" xfId="14774"/>
    <cellStyle name="Normal - Style1 10 2" xfId="16011"/>
    <cellStyle name="Normal - Style1 11" xfId="14775"/>
    <cellStyle name="Normal - Style1 11 2" xfId="16012"/>
    <cellStyle name="Normal - Style1 12" xfId="14776"/>
    <cellStyle name="Normal - Style1 12 2" xfId="16013"/>
    <cellStyle name="Normal - Style1 2" xfId="14777"/>
    <cellStyle name="Normal - Style1 2 2" xfId="16014"/>
    <cellStyle name="Normal - Style1 3" xfId="14778"/>
    <cellStyle name="Normal - Style1 3 2" xfId="16015"/>
    <cellStyle name="Normal - Style1 4" xfId="14779"/>
    <cellStyle name="Normal - Style1 4 2" xfId="16016"/>
    <cellStyle name="Normal - Style1 5" xfId="14780"/>
    <cellStyle name="Normal - Style1 5 2" xfId="16017"/>
    <cellStyle name="Normal - Style1 6" xfId="14781"/>
    <cellStyle name="Normal - Style1 6 2" xfId="16018"/>
    <cellStyle name="Normal - Style1 7" xfId="14782"/>
    <cellStyle name="Normal - Style1 7 2" xfId="16019"/>
    <cellStyle name="Normal - Style1 8" xfId="14783"/>
    <cellStyle name="Normal - Style1 8 2" xfId="16020"/>
    <cellStyle name="Normal - Style1 9" xfId="14784"/>
    <cellStyle name="Normal - Style1 9 2" xfId="16021"/>
    <cellStyle name="Normal - Style1_Списки" xfId="14785"/>
    <cellStyle name="Normal 10" xfId="13948"/>
    <cellStyle name="Normal 10 2" xfId="14786"/>
    <cellStyle name="Normal 10 2 2" xfId="16022"/>
    <cellStyle name="Normal 10 3" xfId="14787"/>
    <cellStyle name="Normal 10 3 2" xfId="16023"/>
    <cellStyle name="Normal 10 4" xfId="14788"/>
    <cellStyle name="Normal 10 4 2" xfId="16024"/>
    <cellStyle name="Normal 10 5" xfId="14789"/>
    <cellStyle name="Normal 10 5 2" xfId="16025"/>
    <cellStyle name="Normal 10 6" xfId="14790"/>
    <cellStyle name="Normal 10 6 2" xfId="16026"/>
    <cellStyle name="Normal 10_Списки" xfId="14791"/>
    <cellStyle name="Normal 11" xfId="13949"/>
    <cellStyle name="Normal 12" xfId="14792"/>
    <cellStyle name="Normal 12 2" xfId="13950"/>
    <cellStyle name="Normal 12 2 2" xfId="16028"/>
    <cellStyle name="Normal 12 3" xfId="16027"/>
    <cellStyle name="Normal 13" xfId="14793"/>
    <cellStyle name="Normal 13 2" xfId="16029"/>
    <cellStyle name="Normal 14" xfId="14794"/>
    <cellStyle name="Normal 14 2" xfId="16030"/>
    <cellStyle name="Normal 15" xfId="14795"/>
    <cellStyle name="Normal 15 2" xfId="16031"/>
    <cellStyle name="Normal 16" xfId="14796"/>
    <cellStyle name="Normal 16 2" xfId="16032"/>
    <cellStyle name="Normal 17" xfId="14797"/>
    <cellStyle name="Normal 17 2" xfId="16033"/>
    <cellStyle name="Normal 18" xfId="14798"/>
    <cellStyle name="Normal 18 2" xfId="16034"/>
    <cellStyle name="Normal 2" xfId="4189"/>
    <cellStyle name="Normal 2 10" xfId="14799"/>
    <cellStyle name="Normal 2 10 2" xfId="16035"/>
    <cellStyle name="Normal 2 10 2 2" xfId="18831"/>
    <cellStyle name="Normal 2 10 2 2 2" xfId="20710"/>
    <cellStyle name="Normal 2 10 2 2 2 2" xfId="28036"/>
    <cellStyle name="Normal 2 10 2 2 2 2 2" xfId="35347"/>
    <cellStyle name="Normal 2 10 2 2 2 2 2 2" xfId="50167"/>
    <cellStyle name="Normal 2 10 2 2 2 2 3" xfId="42875"/>
    <cellStyle name="Normal 2 10 2 2 2 3" xfId="31693"/>
    <cellStyle name="Normal 2 10 2 2 2 3 2" xfId="46516"/>
    <cellStyle name="Normal 2 10 2 2 2 4" xfId="39191"/>
    <cellStyle name="Normal 2 10 2 2 2 5" xfId="24378"/>
    <cellStyle name="Normal 2 10 2 2 3" xfId="26210"/>
    <cellStyle name="Normal 2 10 2 2 3 2" xfId="33521"/>
    <cellStyle name="Normal 2 10 2 2 3 2 2" xfId="48341"/>
    <cellStyle name="Normal 2 10 2 2 3 3" xfId="41054"/>
    <cellStyle name="Normal 2 10 2 2 4" xfId="29867"/>
    <cellStyle name="Normal 2 10 2 2 4 2" xfId="44691"/>
    <cellStyle name="Normal 2 10 2 2 5" xfId="37468"/>
    <cellStyle name="Normal 2 10 2 2 6" xfId="22549"/>
    <cellStyle name="Normal 2 10 2 3" xfId="20020"/>
    <cellStyle name="Normal 2 10 2 4" xfId="19761"/>
    <cellStyle name="Normal 2 10 2 4 2" xfId="27130"/>
    <cellStyle name="Normal 2 10 2 4 2 2" xfId="34441"/>
    <cellStyle name="Normal 2 10 2 4 2 2 2" xfId="49261"/>
    <cellStyle name="Normal 2 10 2 4 2 3" xfId="41970"/>
    <cellStyle name="Normal 2 10 2 4 3" xfId="30787"/>
    <cellStyle name="Normal 2 10 2 4 3 2" xfId="45610"/>
    <cellStyle name="Normal 2 10 2 4 4" xfId="38284"/>
    <cellStyle name="Normal 2 10 2 4 5" xfId="23472"/>
    <cellStyle name="Normal 2 10 2 5" xfId="25289"/>
    <cellStyle name="Normal 2 10 2 5 2" xfId="32600"/>
    <cellStyle name="Normal 2 10 2 5 2 2" xfId="47423"/>
    <cellStyle name="Normal 2 10 2 5 3" xfId="40181"/>
    <cellStyle name="Normal 2 10 2 5 4" xfId="36595"/>
    <cellStyle name="Normal 2 10 2 6" xfId="28946"/>
    <cellStyle name="Normal 2 10 2 6 2" xfId="43783"/>
    <cellStyle name="Normal 2 10 2 7" xfId="36038"/>
    <cellStyle name="Normal 2 10 2 8" xfId="21628"/>
    <cellStyle name="Normal 2 10 3" xfId="17717"/>
    <cellStyle name="Normal 2 10 3 2" xfId="18178"/>
    <cellStyle name="Normal 2 10 3 2 2" xfId="27386"/>
    <cellStyle name="Normal 2 10 3 2 2 2" xfId="34697"/>
    <cellStyle name="Normal 2 10 3 2 2 2 2" xfId="49517"/>
    <cellStyle name="Normal 2 10 3 2 2 3" xfId="42225"/>
    <cellStyle name="Normal 2 10 3 2 3" xfId="31043"/>
    <cellStyle name="Normal 2 10 3 2 3 2" xfId="45866"/>
    <cellStyle name="Normal 2 10 3 2 4" xfId="36818"/>
    <cellStyle name="Normal 2 10 3 2 5" xfId="23728"/>
    <cellStyle name="Normal 2 10 3 3" xfId="20060"/>
    <cellStyle name="Normal 2 10 3 3 2" xfId="32871"/>
    <cellStyle name="Normal 2 10 3 3 2 2" xfId="47691"/>
    <cellStyle name="Normal 2 10 3 3 3" xfId="38541"/>
    <cellStyle name="Normal 2 10 3 3 4" xfId="25560"/>
    <cellStyle name="Normal 2 10 3 4" xfId="29217"/>
    <cellStyle name="Normal 2 10 3 4 2" xfId="44041"/>
    <cellStyle name="Normal 2 10 3 5" xfId="36684"/>
    <cellStyle name="Normal 2 10 3 6" xfId="21899"/>
    <cellStyle name="Normal 2 10 4" xfId="18041"/>
    <cellStyle name="Normal 2 10 5" xfId="19310"/>
    <cellStyle name="Normal 2 10 5 2" xfId="26680"/>
    <cellStyle name="Normal 2 10 5 2 2" xfId="33991"/>
    <cellStyle name="Normal 2 10 5 2 2 2" xfId="48811"/>
    <cellStyle name="Normal 2 10 5 2 3" xfId="41520"/>
    <cellStyle name="Normal 2 10 5 3" xfId="30337"/>
    <cellStyle name="Normal 2 10 5 3 2" xfId="45160"/>
    <cellStyle name="Normal 2 10 5 4" xfId="37834"/>
    <cellStyle name="Normal 2 10 5 5" xfId="23022"/>
    <cellStyle name="Normal 2 10 6" xfId="24839"/>
    <cellStyle name="Normal 2 10 6 2" xfId="32150"/>
    <cellStyle name="Normal 2 10 6 2 2" xfId="46973"/>
    <cellStyle name="Normal 2 10 6 3" xfId="39738"/>
    <cellStyle name="Normal 2 10 6 4" xfId="36581"/>
    <cellStyle name="Normal 2 10 7" xfId="28496"/>
    <cellStyle name="Normal 2 10 7 2" xfId="43333"/>
    <cellStyle name="Normal 2 10 8" xfId="35589"/>
    <cellStyle name="Normal 2 10 9" xfId="21178"/>
    <cellStyle name="Normal 2 11" xfId="14800"/>
    <cellStyle name="Normal 2 11 2" xfId="16036"/>
    <cellStyle name="Normal 2 11 2 2" xfId="19054"/>
    <cellStyle name="Normal 2 11 2 2 2" xfId="20933"/>
    <cellStyle name="Normal 2 11 2 2 2 2" xfId="28259"/>
    <cellStyle name="Normal 2 11 2 2 2 2 2" xfId="35570"/>
    <cellStyle name="Normal 2 11 2 2 2 2 2 2" xfId="50390"/>
    <cellStyle name="Normal 2 11 2 2 2 2 3" xfId="43098"/>
    <cellStyle name="Normal 2 11 2 2 2 3" xfId="31916"/>
    <cellStyle name="Normal 2 11 2 2 2 3 2" xfId="46739"/>
    <cellStyle name="Normal 2 11 2 2 2 4" xfId="39414"/>
    <cellStyle name="Normal 2 11 2 2 2 5" xfId="24601"/>
    <cellStyle name="Normal 2 11 2 2 3" xfId="26433"/>
    <cellStyle name="Normal 2 11 2 2 3 2" xfId="33744"/>
    <cellStyle name="Normal 2 11 2 2 3 2 2" xfId="48564"/>
    <cellStyle name="Normal 2 11 2 2 3 3" xfId="41277"/>
    <cellStyle name="Normal 2 11 2 2 4" xfId="30090"/>
    <cellStyle name="Normal 2 11 2 2 4 2" xfId="44914"/>
    <cellStyle name="Normal 2 11 2 2 5" xfId="37587"/>
    <cellStyle name="Normal 2 11 2 2 6" xfId="22772"/>
    <cellStyle name="Normal 2 11 2 3" xfId="20021"/>
    <cellStyle name="Normal 2 11 2 4" xfId="19984"/>
    <cellStyle name="Normal 2 11 2 4 2" xfId="27353"/>
    <cellStyle name="Normal 2 11 2 4 2 2" xfId="34664"/>
    <cellStyle name="Normal 2 11 2 4 2 2 2" xfId="49484"/>
    <cellStyle name="Normal 2 11 2 4 2 3" xfId="42193"/>
    <cellStyle name="Normal 2 11 2 4 3" xfId="31010"/>
    <cellStyle name="Normal 2 11 2 4 3 2" xfId="45833"/>
    <cellStyle name="Normal 2 11 2 4 4" xfId="38507"/>
    <cellStyle name="Normal 2 11 2 4 5" xfId="23695"/>
    <cellStyle name="Normal 2 11 2 5" xfId="25512"/>
    <cellStyle name="Normal 2 11 2 5 2" xfId="32823"/>
    <cellStyle name="Normal 2 11 2 5 2 2" xfId="47646"/>
    <cellStyle name="Normal 2 11 2 5 3" xfId="40400"/>
    <cellStyle name="Normal 2 11 2 6" xfId="29169"/>
    <cellStyle name="Normal 2 11 2 6 2" xfId="44006"/>
    <cellStyle name="Normal 2 11 2 7" xfId="21851"/>
    <cellStyle name="Normal 2 11 3" xfId="18603"/>
    <cellStyle name="Normal 2 11 3 2" xfId="20483"/>
    <cellStyle name="Normal 2 11 3 2 2" xfId="27809"/>
    <cellStyle name="Normal 2 11 3 2 2 2" xfId="35120"/>
    <cellStyle name="Normal 2 11 3 2 2 2 2" xfId="49940"/>
    <cellStyle name="Normal 2 11 3 2 2 3" xfId="42648"/>
    <cellStyle name="Normal 2 11 3 2 3" xfId="31466"/>
    <cellStyle name="Normal 2 11 3 2 3 2" xfId="46289"/>
    <cellStyle name="Normal 2 11 3 2 4" xfId="38964"/>
    <cellStyle name="Normal 2 11 3 2 5" xfId="24151"/>
    <cellStyle name="Normal 2 11 3 3" xfId="25983"/>
    <cellStyle name="Normal 2 11 3 3 2" xfId="33294"/>
    <cellStyle name="Normal 2 11 3 3 2 2" xfId="48114"/>
    <cellStyle name="Normal 2 11 3 3 3" xfId="40827"/>
    <cellStyle name="Normal 2 11 3 4" xfId="29640"/>
    <cellStyle name="Normal 2 11 3 4 2" xfId="44464"/>
    <cellStyle name="Normal 2 11 3 5" xfId="37241"/>
    <cellStyle name="Normal 2 11 3 6" xfId="22322"/>
    <cellStyle name="Normal 2 11 4" xfId="19995"/>
    <cellStyle name="Normal 2 11 5" xfId="19533"/>
    <cellStyle name="Normal 2 11 5 2" xfId="26903"/>
    <cellStyle name="Normal 2 11 5 2 2" xfId="34214"/>
    <cellStyle name="Normal 2 11 5 2 2 2" xfId="49034"/>
    <cellStyle name="Normal 2 11 5 2 3" xfId="41743"/>
    <cellStyle name="Normal 2 11 5 3" xfId="30560"/>
    <cellStyle name="Normal 2 11 5 3 2" xfId="45383"/>
    <cellStyle name="Normal 2 11 5 4" xfId="38057"/>
    <cellStyle name="Normal 2 11 5 5" xfId="23245"/>
    <cellStyle name="Normal 2 11 6" xfId="25062"/>
    <cellStyle name="Normal 2 11 6 2" xfId="32373"/>
    <cellStyle name="Normal 2 11 6 2 2" xfId="47196"/>
    <cellStyle name="Normal 2 11 6 3" xfId="39957"/>
    <cellStyle name="Normal 2 11 6 4" xfId="36582"/>
    <cellStyle name="Normal 2 11 7" xfId="28719"/>
    <cellStyle name="Normal 2 11 7 2" xfId="43556"/>
    <cellStyle name="Normal 2 11 8" xfId="36031"/>
    <cellStyle name="Normal 2 11 9" xfId="21401"/>
    <cellStyle name="Normal 2 12" xfId="14801"/>
    <cellStyle name="Normal 2 12 2" xfId="16037"/>
    <cellStyle name="Normal 2 12 3" xfId="18606"/>
    <cellStyle name="Normal 2 12 3 2" xfId="20486"/>
    <cellStyle name="Normal 2 12 3 2 2" xfId="27812"/>
    <cellStyle name="Normal 2 12 3 2 2 2" xfId="35123"/>
    <cellStyle name="Normal 2 12 3 2 2 2 2" xfId="49943"/>
    <cellStyle name="Normal 2 12 3 2 2 3" xfId="42651"/>
    <cellStyle name="Normal 2 12 3 2 3" xfId="31469"/>
    <cellStyle name="Normal 2 12 3 2 3 2" xfId="46292"/>
    <cellStyle name="Normal 2 12 3 2 4" xfId="38967"/>
    <cellStyle name="Normal 2 12 3 2 5" xfId="24154"/>
    <cellStyle name="Normal 2 12 3 3" xfId="25986"/>
    <cellStyle name="Normal 2 12 3 3 2" xfId="33297"/>
    <cellStyle name="Normal 2 12 3 3 2 2" xfId="48117"/>
    <cellStyle name="Normal 2 12 3 3 3" xfId="40830"/>
    <cellStyle name="Normal 2 12 3 4" xfId="29643"/>
    <cellStyle name="Normal 2 12 3 4 2" xfId="44467"/>
    <cellStyle name="Normal 2 12 3 5" xfId="37244"/>
    <cellStyle name="Normal 2 12 3 6" xfId="22325"/>
    <cellStyle name="Normal 2 12 4" xfId="19996"/>
    <cellStyle name="Normal 2 12 5" xfId="19536"/>
    <cellStyle name="Normal 2 12 5 2" xfId="26906"/>
    <cellStyle name="Normal 2 12 5 2 2" xfId="34217"/>
    <cellStyle name="Normal 2 12 5 2 2 2" xfId="49037"/>
    <cellStyle name="Normal 2 12 5 2 3" xfId="41746"/>
    <cellStyle name="Normal 2 12 5 3" xfId="30563"/>
    <cellStyle name="Normal 2 12 5 3 2" xfId="45386"/>
    <cellStyle name="Normal 2 12 5 4" xfId="38060"/>
    <cellStyle name="Normal 2 12 5 5" xfId="23248"/>
    <cellStyle name="Normal 2 12 6" xfId="25065"/>
    <cellStyle name="Normal 2 12 6 2" xfId="32376"/>
    <cellStyle name="Normal 2 12 6 2 2" xfId="47199"/>
    <cellStyle name="Normal 2 12 6 3" xfId="39960"/>
    <cellStyle name="Normal 2 12 7" xfId="28722"/>
    <cellStyle name="Normal 2 12 7 2" xfId="43559"/>
    <cellStyle name="Normal 2 12 8" xfId="21404"/>
    <cellStyle name="Normal 2 13" xfId="14802"/>
    <cellStyle name="Normal 2 13 2" xfId="16038"/>
    <cellStyle name="Normal 2 13 3" xfId="19057"/>
    <cellStyle name="Normal 2 13 3 2" xfId="20936"/>
    <cellStyle name="Normal 2 13 3 2 2" xfId="28262"/>
    <cellStyle name="Normal 2 13 3 2 2 2" xfId="35573"/>
    <cellStyle name="Normal 2 13 3 2 2 2 2" xfId="50393"/>
    <cellStyle name="Normal 2 13 3 2 2 3" xfId="43101"/>
    <cellStyle name="Normal 2 13 3 2 3" xfId="31919"/>
    <cellStyle name="Normal 2 13 3 2 3 2" xfId="46742"/>
    <cellStyle name="Normal 2 13 3 2 4" xfId="39417"/>
    <cellStyle name="Normal 2 13 3 2 5" xfId="24604"/>
    <cellStyle name="Normal 2 13 3 3" xfId="26436"/>
    <cellStyle name="Normal 2 13 3 3 2" xfId="33747"/>
    <cellStyle name="Normal 2 13 3 3 2 2" xfId="48567"/>
    <cellStyle name="Normal 2 13 3 3 3" xfId="41280"/>
    <cellStyle name="Normal 2 13 3 4" xfId="30093"/>
    <cellStyle name="Normal 2 13 3 4 2" xfId="44917"/>
    <cellStyle name="Normal 2 13 3 5" xfId="37590"/>
    <cellStyle name="Normal 2 13 3 6" xfId="22775"/>
    <cellStyle name="Normal 2 13 4" xfId="19997"/>
    <cellStyle name="Normal 2 13 5" xfId="19987"/>
    <cellStyle name="Normal 2 13 5 2" xfId="27356"/>
    <cellStyle name="Normal 2 13 5 2 2" xfId="34667"/>
    <cellStyle name="Normal 2 13 5 2 2 2" xfId="49487"/>
    <cellStyle name="Normal 2 13 5 2 3" xfId="42196"/>
    <cellStyle name="Normal 2 13 5 3" xfId="31013"/>
    <cellStyle name="Normal 2 13 5 3 2" xfId="45836"/>
    <cellStyle name="Normal 2 13 5 4" xfId="38510"/>
    <cellStyle name="Normal 2 13 5 5" xfId="23698"/>
    <cellStyle name="Normal 2 13 6" xfId="25515"/>
    <cellStyle name="Normal 2 13 6 2" xfId="32826"/>
    <cellStyle name="Normal 2 13 6 2 2" xfId="47649"/>
    <cellStyle name="Normal 2 13 6 3" xfId="40403"/>
    <cellStyle name="Normal 2 13 7" xfId="29172"/>
    <cellStyle name="Normal 2 13 7 2" xfId="44009"/>
    <cellStyle name="Normal 2 13 8" xfId="21854"/>
    <cellStyle name="Normal 2 14" xfId="14803"/>
    <cellStyle name="Normal 2 14 2" xfId="16039"/>
    <cellStyle name="Normal 2 15" xfId="14804"/>
    <cellStyle name="Normal 2 15 2" xfId="16040"/>
    <cellStyle name="Normal 2 16" xfId="14805"/>
    <cellStyle name="Normal 2 16 2" xfId="16041"/>
    <cellStyle name="Normal 2 17" xfId="14806"/>
    <cellStyle name="Normal 2 17 2" xfId="16042"/>
    <cellStyle name="Normal 2 18" xfId="14807"/>
    <cellStyle name="Normal 2 18 2" xfId="16043"/>
    <cellStyle name="Normal 2 19" xfId="14808"/>
    <cellStyle name="Normal 2 19 2" xfId="16044"/>
    <cellStyle name="Normal 2 2" xfId="13951"/>
    <cellStyle name="Normal 2 2 10" xfId="14809"/>
    <cellStyle name="Normal 2 2 10 2" xfId="4192"/>
    <cellStyle name="Normal 2 2 11" xfId="14810"/>
    <cellStyle name="Normal 2 2 11 2" xfId="16046"/>
    <cellStyle name="Normal 2 2 12" xfId="14811"/>
    <cellStyle name="Normal 2 2 12 2" xfId="16047"/>
    <cellStyle name="Normal 2 2 13" xfId="14812"/>
    <cellStyle name="Normal 2 2 13 2" xfId="16048"/>
    <cellStyle name="Normal 2 2 14" xfId="14813"/>
    <cellStyle name="Normal 2 2 14 2" xfId="16049"/>
    <cellStyle name="Normal 2 2 15" xfId="14814"/>
    <cellStyle name="Normal 2 2 15 2" xfId="16050"/>
    <cellStyle name="Normal 2 2 16" xfId="14815"/>
    <cellStyle name="Normal 2 2 16 2" xfId="16051"/>
    <cellStyle name="Normal 2 2 17" xfId="14816"/>
    <cellStyle name="Normal 2 2 17 2" xfId="16052"/>
    <cellStyle name="Normal 2 2 18" xfId="14817"/>
    <cellStyle name="Normal 2 2 18 2" xfId="16053"/>
    <cellStyle name="Normal 2 2 19" xfId="14818"/>
    <cellStyle name="Normal 2 2 19 2" xfId="16054"/>
    <cellStyle name="Normal 2 2 2" xfId="4196"/>
    <cellStyle name="Normal 2 2 20" xfId="14819"/>
    <cellStyle name="Normal 2 2 20 2" xfId="16055"/>
    <cellStyle name="Normal 2 2 21" xfId="14820"/>
    <cellStyle name="Normal 2 2 21 2" xfId="16056"/>
    <cellStyle name="Normal 2 2 22" xfId="14821"/>
    <cellStyle name="Normal 2 2 22 2" xfId="16057"/>
    <cellStyle name="Normal 2 2 23" xfId="14822"/>
    <cellStyle name="Normal 2 2 23 2" xfId="16058"/>
    <cellStyle name="Normal 2 2 24" xfId="14823"/>
    <cellStyle name="Normal 2 2 24 2" xfId="16059"/>
    <cellStyle name="Normal 2 2 25" xfId="16045"/>
    <cellStyle name="Normal 2 2 3" xfId="14824"/>
    <cellStyle name="Normal 2 2 3 2" xfId="16060"/>
    <cellStyle name="Normal 2 2 4" xfId="14825"/>
    <cellStyle name="Normal 2 2 4 2" xfId="16061"/>
    <cellStyle name="Normal 2 2 5" xfId="14826"/>
    <cellStyle name="Normal 2 2 5 2" xfId="16062"/>
    <cellStyle name="Normal 2 2 6" xfId="14827"/>
    <cellStyle name="Normal 2 2 6 2" xfId="16063"/>
    <cellStyle name="Normal 2 2 7" xfId="14828"/>
    <cellStyle name="Normal 2 2 7 2" xfId="16064"/>
    <cellStyle name="Normal 2 2 8" xfId="14829"/>
    <cellStyle name="Normal 2 2 8 2" xfId="16065"/>
    <cellStyle name="Normal 2 2 9" xfId="14830"/>
    <cellStyle name="Normal 2 2 9 2" xfId="16066"/>
    <cellStyle name="Normal 2 2_091222_Росатом_ЕПС" xfId="13952"/>
    <cellStyle name="Normal 2 20" xfId="14831"/>
    <cellStyle name="Normal 2 20 2" xfId="16067"/>
    <cellStyle name="Normal 2 21" xfId="14832"/>
    <cellStyle name="Normal 2 21 2" xfId="16068"/>
    <cellStyle name="Normal 2 22" xfId="14833"/>
    <cellStyle name="Normal 2 22 2" xfId="16069"/>
    <cellStyle name="Normal 2 23" xfId="14834"/>
    <cellStyle name="Normal 2 23 2" xfId="16070"/>
    <cellStyle name="Normal 2 24" xfId="14835"/>
    <cellStyle name="Normal 2 24 2" xfId="16071"/>
    <cellStyle name="Normal 2 25" xfId="14836"/>
    <cellStyle name="Normal 2 25 2" xfId="16072"/>
    <cellStyle name="Normal 2 26" xfId="14837"/>
    <cellStyle name="Normal 2 26 2" xfId="16073"/>
    <cellStyle name="Normal 2 27" xfId="14838"/>
    <cellStyle name="Normal 2 27 2" xfId="16074"/>
    <cellStyle name="Normal 2 28" xfId="14839"/>
    <cellStyle name="Normal 2 28 2" xfId="16075"/>
    <cellStyle name="Normal 2 29" xfId="14840"/>
    <cellStyle name="Normal 2 29 2" xfId="16076"/>
    <cellStyle name="Normal 2 3" xfId="13953"/>
    <cellStyle name="Normal 2 3 10" xfId="24618"/>
    <cellStyle name="Normal 2 3 10 2" xfId="31929"/>
    <cellStyle name="Normal 2 3 10 2 2" xfId="46752"/>
    <cellStyle name="Normal 2 3 10 3" xfId="39540"/>
    <cellStyle name="Normal 2 3 10 4" xfId="36497"/>
    <cellStyle name="Normal 2 3 11" xfId="28275"/>
    <cellStyle name="Normal 2 3 11 2" xfId="43112"/>
    <cellStyle name="Normal 2 3 12" xfId="35585"/>
    <cellStyle name="Normal 2 3 13" xfId="20957"/>
    <cellStyle name="Normal 2 3 2" xfId="14841"/>
    <cellStyle name="Normal 2 3 2 10" xfId="19105"/>
    <cellStyle name="Normal 2 3 2 10 2" xfId="26482"/>
    <cellStyle name="Normal 2 3 2 10 2 2" xfId="33793"/>
    <cellStyle name="Normal 2 3 2 10 2 2 2" xfId="48613"/>
    <cellStyle name="Normal 2 3 2 10 2 3" xfId="41322"/>
    <cellStyle name="Normal 2 3 2 10 3" xfId="30139"/>
    <cellStyle name="Normal 2 3 2 10 3 2" xfId="44962"/>
    <cellStyle name="Normal 2 3 2 10 4" xfId="37636"/>
    <cellStyle name="Normal 2 3 2 10 5" xfId="22824"/>
    <cellStyle name="Normal 2 3 2 11" xfId="24625"/>
    <cellStyle name="Normal 2 3 2 11 2" xfId="31936"/>
    <cellStyle name="Normal 2 3 2 11 2 2" xfId="46759"/>
    <cellStyle name="Normal 2 3 2 11 3" xfId="39547"/>
    <cellStyle name="Normal 2 3 2 11 4" xfId="36583"/>
    <cellStyle name="Normal 2 3 2 12" xfId="28282"/>
    <cellStyle name="Normal 2 3 2 12 2" xfId="43119"/>
    <cellStyle name="Normal 2 3 2 13" xfId="35590"/>
    <cellStyle name="Normal 2 3 2 14" xfId="20964"/>
    <cellStyle name="Normal 2 3 2 2" xfId="16077"/>
    <cellStyle name="Normal 2 3 2 2 10" xfId="24639"/>
    <cellStyle name="Normal 2 3 2 2 10 2" xfId="31950"/>
    <cellStyle name="Normal 2 3 2 2 10 2 2" xfId="46773"/>
    <cellStyle name="Normal 2 3 2 2 10 3" xfId="39561"/>
    <cellStyle name="Normal 2 3 2 2 10 4" xfId="36596"/>
    <cellStyle name="Normal 2 3 2 2 11" xfId="28296"/>
    <cellStyle name="Normal 2 3 2 2 11 2" xfId="43133"/>
    <cellStyle name="Normal 2 3 2 2 12" xfId="35591"/>
    <cellStyle name="Normal 2 3 2 2 13" xfId="20978"/>
    <cellStyle name="Normal 2 3 2 2 2" xfId="17215"/>
    <cellStyle name="Normal 2 3 2 2 2 10" xfId="35592"/>
    <cellStyle name="Normal 2 3 2 2 2 11" xfId="21006"/>
    <cellStyle name="Normal 2 3 2 2 2 2" xfId="17372"/>
    <cellStyle name="Normal 2 3 2 2 2 2 10" xfId="21062"/>
    <cellStyle name="Normal 2 3 2 2 2 2 2" xfId="17487"/>
    <cellStyle name="Normal 2 3 2 2 2 2 2 2" xfId="17937"/>
    <cellStyle name="Normal 2 3 2 2 2 2 2 2 2" xfId="19051"/>
    <cellStyle name="Normal 2 3 2 2 2 2 2 2 2 2" xfId="20930"/>
    <cellStyle name="Normal 2 3 2 2 2 2 2 2 2 2 2" xfId="24598"/>
    <cellStyle name="Normal 2 3 2 2 2 2 2 2 2 2 2 2" xfId="28256"/>
    <cellStyle name="Normal 2 3 2 2 2 2 2 2 2 2 2 2 2" xfId="35567"/>
    <cellStyle name="Normal 2 3 2 2 2 2 2 2 2 2 2 2 2 2" xfId="50387"/>
    <cellStyle name="Normal 2 3 2 2 2 2 2 2 2 2 2 2 3" xfId="43095"/>
    <cellStyle name="Normal 2 3 2 2 2 2 2 2 2 2 2 3" xfId="31913"/>
    <cellStyle name="Normal 2 3 2 2 2 2 2 2 2 2 2 3 2" xfId="46736"/>
    <cellStyle name="Normal 2 3 2 2 2 2 2 2 2 2 2 4" xfId="39530"/>
    <cellStyle name="Normal 2 3 2 2 2 2 2 2 2 2 3" xfId="26430"/>
    <cellStyle name="Normal 2 3 2 2 2 2 2 2 2 2 3 2" xfId="33741"/>
    <cellStyle name="Normal 2 3 2 2 2 2 2 2 2 2 3 2 2" xfId="48561"/>
    <cellStyle name="Normal 2 3 2 2 2 2 2 2 2 2 3 3" xfId="41274"/>
    <cellStyle name="Normal 2 3 2 2 2 2 2 2 2 2 4" xfId="30087"/>
    <cellStyle name="Normal 2 3 2 2 2 2 2 2 2 2 4 2" xfId="44911"/>
    <cellStyle name="Normal 2 3 2 2 2 2 2 2 2 2 5" xfId="39411"/>
    <cellStyle name="Normal 2 3 2 2 2 2 2 2 2 2 6" xfId="22769"/>
    <cellStyle name="Normal 2 3 2 2 2 2 2 2 2 3" xfId="19981"/>
    <cellStyle name="Normal 2 3 2 2 2 2 2 2 2 3 2" xfId="27350"/>
    <cellStyle name="Normal 2 3 2 2 2 2 2 2 2 3 2 2" xfId="34661"/>
    <cellStyle name="Normal 2 3 2 2 2 2 2 2 2 3 2 2 2" xfId="49481"/>
    <cellStyle name="Normal 2 3 2 2 2 2 2 2 2 3 2 3" xfId="42190"/>
    <cellStyle name="Normal 2 3 2 2 2 2 2 2 2 3 3" xfId="31007"/>
    <cellStyle name="Normal 2 3 2 2 2 2 2 2 2 3 3 2" xfId="45830"/>
    <cellStyle name="Normal 2 3 2 2 2 2 2 2 2 3 4" xfId="38504"/>
    <cellStyle name="Normal 2 3 2 2 2 2 2 2 2 3 5" xfId="23692"/>
    <cellStyle name="Normal 2 3 2 2 2 2 2 2 2 4" xfId="25509"/>
    <cellStyle name="Normal 2 3 2 2 2 2 2 2 2 4 2" xfId="32820"/>
    <cellStyle name="Normal 2 3 2 2 2 2 2 2 2 4 2 2" xfId="47643"/>
    <cellStyle name="Normal 2 3 2 2 2 2 2 2 2 4 3" xfId="40397"/>
    <cellStyle name="Normal 2 3 2 2 2 2 2 2 2 5" xfId="29166"/>
    <cellStyle name="Normal 2 3 2 2 2 2 2 2 2 5 2" xfId="44003"/>
    <cellStyle name="Normal 2 3 2 2 2 2 2 2 2 6" xfId="36044"/>
    <cellStyle name="Normal 2 3 2 2 2 2 2 2 2 7" xfId="21848"/>
    <cellStyle name="Normal 2 3 2 2 2 2 2 2 3" xfId="18184"/>
    <cellStyle name="Normal 2 3 2 2 2 2 2 2 3 2" xfId="20066"/>
    <cellStyle name="Normal 2 3 2 2 2 2 2 2 3 2 2" xfId="27392"/>
    <cellStyle name="Normal 2 3 2 2 2 2 2 2 3 2 2 2" xfId="34703"/>
    <cellStyle name="Normal 2 3 2 2 2 2 2 2 3 2 2 2 2" xfId="49523"/>
    <cellStyle name="Normal 2 3 2 2 2 2 2 2 3 2 2 3" xfId="42231"/>
    <cellStyle name="Normal 2 3 2 2 2 2 2 2 3 2 3" xfId="31049"/>
    <cellStyle name="Normal 2 3 2 2 2 2 2 2 3 2 3 2" xfId="45872"/>
    <cellStyle name="Normal 2 3 2 2 2 2 2 2 3 2 4" xfId="38547"/>
    <cellStyle name="Normal 2 3 2 2 2 2 2 2 3 2 5" xfId="23734"/>
    <cellStyle name="Normal 2 3 2 2 2 2 2 2 3 3" xfId="25566"/>
    <cellStyle name="Normal 2 3 2 2 2 2 2 2 3 3 2" xfId="32877"/>
    <cellStyle name="Normal 2 3 2 2 2 2 2 2 3 3 2 2" xfId="47697"/>
    <cellStyle name="Normal 2 3 2 2 2 2 2 2 3 3 3" xfId="40434"/>
    <cellStyle name="Normal 2 3 2 2 2 2 2 2 3 4" xfId="29223"/>
    <cellStyle name="Normal 2 3 2 2 2 2 2 2 3 4 2" xfId="44047"/>
    <cellStyle name="Normal 2 3 2 2 2 2 2 2 3 5" xfId="36824"/>
    <cellStyle name="Normal 2 3 2 2 2 2 2 2 3 6" xfId="21905"/>
    <cellStyle name="Normal 2 3 2 2 2 2 2 2 4" xfId="19530"/>
    <cellStyle name="Normal 2 3 2 2 2 2 2 2 4 2" xfId="26900"/>
    <cellStyle name="Normal 2 3 2 2 2 2 2 2 4 2 2" xfId="34211"/>
    <cellStyle name="Normal 2 3 2 2 2 2 2 2 4 2 2 2" xfId="49031"/>
    <cellStyle name="Normal 2 3 2 2 2 2 2 2 4 2 3" xfId="41740"/>
    <cellStyle name="Normal 2 3 2 2 2 2 2 2 4 3" xfId="30557"/>
    <cellStyle name="Normal 2 3 2 2 2 2 2 2 4 3 2" xfId="45380"/>
    <cellStyle name="Normal 2 3 2 2 2 2 2 2 4 4" xfId="38054"/>
    <cellStyle name="Normal 2 3 2 2 2 2 2 2 4 5" xfId="23242"/>
    <cellStyle name="Normal 2 3 2 2 2 2 2 2 5" xfId="25059"/>
    <cellStyle name="Normal 2 3 2 2 2 2 2 2 5 2" xfId="32370"/>
    <cellStyle name="Normal 2 3 2 2 2 2 2 2 5 2 2" xfId="47193"/>
    <cellStyle name="Normal 2 3 2 2 2 2 2 2 5 3" xfId="39954"/>
    <cellStyle name="Normal 2 3 2 2 2 2 2 2 6" xfId="28716"/>
    <cellStyle name="Normal 2 3 2 2 2 2 2 2 6 2" xfId="43553"/>
    <cellStyle name="Normal 2 3 2 2 2 2 2 2 7" xfId="35595"/>
    <cellStyle name="Normal 2 3 2 2 2 2 2 2 8" xfId="21398"/>
    <cellStyle name="Normal 2 3 2 2 2 2 2 3" xfId="17713"/>
    <cellStyle name="Normal 2 3 2 2 2 2 2 3 2" xfId="18827"/>
    <cellStyle name="Normal 2 3 2 2 2 2 2 3 2 2" xfId="20706"/>
    <cellStyle name="Normal 2 3 2 2 2 2 2 3 2 2 2" xfId="28032"/>
    <cellStyle name="Normal 2 3 2 2 2 2 2 3 2 2 2 2" xfId="35343"/>
    <cellStyle name="Normal 2 3 2 2 2 2 2 3 2 2 2 2 2" xfId="50163"/>
    <cellStyle name="Normal 2 3 2 2 2 2 2 3 2 2 2 3" xfId="42871"/>
    <cellStyle name="Normal 2 3 2 2 2 2 2 3 2 2 3" xfId="31689"/>
    <cellStyle name="Normal 2 3 2 2 2 2 2 3 2 2 3 2" xfId="46512"/>
    <cellStyle name="Normal 2 3 2 2 2 2 2 3 2 2 4" xfId="39187"/>
    <cellStyle name="Normal 2 3 2 2 2 2 2 3 2 2 5" xfId="24374"/>
    <cellStyle name="Normal 2 3 2 2 2 2 2 3 2 3" xfId="26206"/>
    <cellStyle name="Normal 2 3 2 2 2 2 2 3 2 3 2" xfId="33517"/>
    <cellStyle name="Normal 2 3 2 2 2 2 2 3 2 3 2 2" xfId="48337"/>
    <cellStyle name="Normal 2 3 2 2 2 2 2 3 2 3 3" xfId="41050"/>
    <cellStyle name="Normal 2 3 2 2 2 2 2 3 2 4" xfId="29863"/>
    <cellStyle name="Normal 2 3 2 2 2 2 2 3 2 4 2" xfId="44687"/>
    <cellStyle name="Normal 2 3 2 2 2 2 2 3 2 5" xfId="37464"/>
    <cellStyle name="Normal 2 3 2 2 2 2 2 3 2 6" xfId="22545"/>
    <cellStyle name="Normal 2 3 2 2 2 2 2 3 3" xfId="19757"/>
    <cellStyle name="Normal 2 3 2 2 2 2 2 3 3 2" xfId="27126"/>
    <cellStyle name="Normal 2 3 2 2 2 2 2 3 3 2 2" xfId="34437"/>
    <cellStyle name="Normal 2 3 2 2 2 2 2 3 3 2 2 2" xfId="49257"/>
    <cellStyle name="Normal 2 3 2 2 2 2 2 3 3 2 3" xfId="41966"/>
    <cellStyle name="Normal 2 3 2 2 2 2 2 3 3 3" xfId="30783"/>
    <cellStyle name="Normal 2 3 2 2 2 2 2 3 3 3 2" xfId="45606"/>
    <cellStyle name="Normal 2 3 2 2 2 2 2 3 3 4" xfId="38280"/>
    <cellStyle name="Normal 2 3 2 2 2 2 2 3 3 5" xfId="23468"/>
    <cellStyle name="Normal 2 3 2 2 2 2 2 3 4" xfId="25285"/>
    <cellStyle name="Normal 2 3 2 2 2 2 2 3 4 2" xfId="32596"/>
    <cellStyle name="Normal 2 3 2 2 2 2 2 3 4 2 2" xfId="47419"/>
    <cellStyle name="Normal 2 3 2 2 2 2 2 3 4 3" xfId="40177"/>
    <cellStyle name="Normal 2 3 2 2 2 2 2 3 5" xfId="28942"/>
    <cellStyle name="Normal 2 3 2 2 2 2 2 3 5 2" xfId="43779"/>
    <cellStyle name="Normal 2 3 2 2 2 2 2 3 6" xfId="36043"/>
    <cellStyle name="Normal 2 3 2 2 2 2 2 3 7" xfId="21624"/>
    <cellStyle name="Normal 2 3 2 2 2 2 2 4" xfId="18183"/>
    <cellStyle name="Normal 2 3 2 2 2 2 2 4 2" xfId="20065"/>
    <cellStyle name="Normal 2 3 2 2 2 2 2 4 2 2" xfId="27391"/>
    <cellStyle name="Normal 2 3 2 2 2 2 2 4 2 2 2" xfId="34702"/>
    <cellStyle name="Normal 2 3 2 2 2 2 2 4 2 2 2 2" xfId="49522"/>
    <cellStyle name="Normal 2 3 2 2 2 2 2 4 2 2 3" xfId="42230"/>
    <cellStyle name="Normal 2 3 2 2 2 2 2 4 2 3" xfId="31048"/>
    <cellStyle name="Normal 2 3 2 2 2 2 2 4 2 3 2" xfId="45871"/>
    <cellStyle name="Normal 2 3 2 2 2 2 2 4 2 4" xfId="38546"/>
    <cellStyle name="Normal 2 3 2 2 2 2 2 4 2 5" xfId="23733"/>
    <cellStyle name="Normal 2 3 2 2 2 2 2 4 3" xfId="25565"/>
    <cellStyle name="Normal 2 3 2 2 2 2 2 4 3 2" xfId="32876"/>
    <cellStyle name="Normal 2 3 2 2 2 2 2 4 3 2 2" xfId="47696"/>
    <cellStyle name="Normal 2 3 2 2 2 2 2 4 3 3" xfId="40433"/>
    <cellStyle name="Normal 2 3 2 2 2 2 2 4 4" xfId="29222"/>
    <cellStyle name="Normal 2 3 2 2 2 2 2 4 4 2" xfId="44046"/>
    <cellStyle name="Normal 2 3 2 2 2 2 2 4 5" xfId="36823"/>
    <cellStyle name="Normal 2 3 2 2 2 2 2 4 6" xfId="21904"/>
    <cellStyle name="Normal 2 3 2 2 2 2 2 5" xfId="19306"/>
    <cellStyle name="Normal 2 3 2 2 2 2 2 5 2" xfId="26676"/>
    <cellStyle name="Normal 2 3 2 2 2 2 2 5 2 2" xfId="33987"/>
    <cellStyle name="Normal 2 3 2 2 2 2 2 5 2 2 2" xfId="48807"/>
    <cellStyle name="Normal 2 3 2 2 2 2 2 5 2 3" xfId="41516"/>
    <cellStyle name="Normal 2 3 2 2 2 2 2 5 3" xfId="30333"/>
    <cellStyle name="Normal 2 3 2 2 2 2 2 5 3 2" xfId="45156"/>
    <cellStyle name="Normal 2 3 2 2 2 2 2 5 4" xfId="37830"/>
    <cellStyle name="Normal 2 3 2 2 2 2 2 5 5" xfId="23018"/>
    <cellStyle name="Normal 2 3 2 2 2 2 2 6" xfId="24835"/>
    <cellStyle name="Normal 2 3 2 2 2 2 2 6 2" xfId="32146"/>
    <cellStyle name="Normal 2 3 2 2 2 2 2 6 2 2" xfId="46969"/>
    <cellStyle name="Normal 2 3 2 2 2 2 2 6 3" xfId="39734"/>
    <cellStyle name="Normal 2 3 2 2 2 2 2 7" xfId="28492"/>
    <cellStyle name="Normal 2 3 2 2 2 2 2 7 2" xfId="43329"/>
    <cellStyle name="Normal 2 3 2 2 2 2 2 8" xfId="35594"/>
    <cellStyle name="Normal 2 3 2 2 2 2 2 9" xfId="21174"/>
    <cellStyle name="Normal 2 3 2 2 2 2 3" xfId="17825"/>
    <cellStyle name="Normal 2 3 2 2 2 2 3 2" xfId="18939"/>
    <cellStyle name="Normal 2 3 2 2 2 2 3 2 2" xfId="20818"/>
    <cellStyle name="Normal 2 3 2 2 2 2 3 2 2 2" xfId="24486"/>
    <cellStyle name="Normal 2 3 2 2 2 2 3 2 2 2 2" xfId="28144"/>
    <cellStyle name="Normal 2 3 2 2 2 2 3 2 2 2 2 2" xfId="35455"/>
    <cellStyle name="Normal 2 3 2 2 2 2 3 2 2 2 2 2 2" xfId="50275"/>
    <cellStyle name="Normal 2 3 2 2 2 2 3 2 2 2 2 3" xfId="42983"/>
    <cellStyle name="Normal 2 3 2 2 2 2 3 2 2 2 3" xfId="31801"/>
    <cellStyle name="Normal 2 3 2 2 2 2 3 2 2 2 3 2" xfId="46624"/>
    <cellStyle name="Normal 2 3 2 2 2 2 3 2 2 2 4" xfId="39446"/>
    <cellStyle name="Normal 2 3 2 2 2 2 3 2 2 3" xfId="26318"/>
    <cellStyle name="Normal 2 3 2 2 2 2 3 2 2 3 2" xfId="33629"/>
    <cellStyle name="Normal 2 3 2 2 2 2 3 2 2 3 2 2" xfId="48449"/>
    <cellStyle name="Normal 2 3 2 2 2 2 3 2 2 3 3" xfId="41162"/>
    <cellStyle name="Normal 2 3 2 2 2 2 3 2 2 4" xfId="29975"/>
    <cellStyle name="Normal 2 3 2 2 2 2 3 2 2 4 2" xfId="44799"/>
    <cellStyle name="Normal 2 3 2 2 2 2 3 2 2 5" xfId="39299"/>
    <cellStyle name="Normal 2 3 2 2 2 2 3 2 2 6" xfId="22657"/>
    <cellStyle name="Normal 2 3 2 2 2 2 3 2 3" xfId="19869"/>
    <cellStyle name="Normal 2 3 2 2 2 2 3 2 3 2" xfId="27238"/>
    <cellStyle name="Normal 2 3 2 2 2 2 3 2 3 2 2" xfId="34549"/>
    <cellStyle name="Normal 2 3 2 2 2 2 3 2 3 2 2 2" xfId="49369"/>
    <cellStyle name="Normal 2 3 2 2 2 2 3 2 3 2 3" xfId="42078"/>
    <cellStyle name="Normal 2 3 2 2 2 2 3 2 3 3" xfId="30895"/>
    <cellStyle name="Normal 2 3 2 2 2 2 3 2 3 3 2" xfId="45718"/>
    <cellStyle name="Normal 2 3 2 2 2 2 3 2 3 4" xfId="38392"/>
    <cellStyle name="Normal 2 3 2 2 2 2 3 2 3 5" xfId="23580"/>
    <cellStyle name="Normal 2 3 2 2 2 2 3 2 4" xfId="25397"/>
    <cellStyle name="Normal 2 3 2 2 2 2 3 2 4 2" xfId="32708"/>
    <cellStyle name="Normal 2 3 2 2 2 2 3 2 4 2 2" xfId="47531"/>
    <cellStyle name="Normal 2 3 2 2 2 2 3 2 4 3" xfId="40285"/>
    <cellStyle name="Normal 2 3 2 2 2 2 3 2 5" xfId="29054"/>
    <cellStyle name="Normal 2 3 2 2 2 2 3 2 5 2" xfId="43891"/>
    <cellStyle name="Normal 2 3 2 2 2 2 3 2 6" xfId="36045"/>
    <cellStyle name="Normal 2 3 2 2 2 2 3 2 7" xfId="21736"/>
    <cellStyle name="Normal 2 3 2 2 2 2 3 3" xfId="18185"/>
    <cellStyle name="Normal 2 3 2 2 2 2 3 3 2" xfId="20067"/>
    <cellStyle name="Normal 2 3 2 2 2 2 3 3 2 2" xfId="27393"/>
    <cellStyle name="Normal 2 3 2 2 2 2 3 3 2 2 2" xfId="34704"/>
    <cellStyle name="Normal 2 3 2 2 2 2 3 3 2 2 2 2" xfId="49524"/>
    <cellStyle name="Normal 2 3 2 2 2 2 3 3 2 2 3" xfId="42232"/>
    <cellStyle name="Normal 2 3 2 2 2 2 3 3 2 3" xfId="31050"/>
    <cellStyle name="Normal 2 3 2 2 2 2 3 3 2 3 2" xfId="45873"/>
    <cellStyle name="Normal 2 3 2 2 2 2 3 3 2 4" xfId="38548"/>
    <cellStyle name="Normal 2 3 2 2 2 2 3 3 2 5" xfId="23735"/>
    <cellStyle name="Normal 2 3 2 2 2 2 3 3 3" xfId="25567"/>
    <cellStyle name="Normal 2 3 2 2 2 2 3 3 3 2" xfId="32878"/>
    <cellStyle name="Normal 2 3 2 2 2 2 3 3 3 2 2" xfId="47698"/>
    <cellStyle name="Normal 2 3 2 2 2 2 3 3 3 3" xfId="40435"/>
    <cellStyle name="Normal 2 3 2 2 2 2 3 3 4" xfId="29224"/>
    <cellStyle name="Normal 2 3 2 2 2 2 3 3 4 2" xfId="44048"/>
    <cellStyle name="Normal 2 3 2 2 2 2 3 3 5" xfId="36825"/>
    <cellStyle name="Normal 2 3 2 2 2 2 3 3 6" xfId="21906"/>
    <cellStyle name="Normal 2 3 2 2 2 2 3 4" xfId="19418"/>
    <cellStyle name="Normal 2 3 2 2 2 2 3 4 2" xfId="26788"/>
    <cellStyle name="Normal 2 3 2 2 2 2 3 4 2 2" xfId="34099"/>
    <cellStyle name="Normal 2 3 2 2 2 2 3 4 2 2 2" xfId="48919"/>
    <cellStyle name="Normal 2 3 2 2 2 2 3 4 2 3" xfId="41628"/>
    <cellStyle name="Normal 2 3 2 2 2 2 3 4 3" xfId="30445"/>
    <cellStyle name="Normal 2 3 2 2 2 2 3 4 3 2" xfId="45268"/>
    <cellStyle name="Normal 2 3 2 2 2 2 3 4 4" xfId="37942"/>
    <cellStyle name="Normal 2 3 2 2 2 2 3 4 5" xfId="23130"/>
    <cellStyle name="Normal 2 3 2 2 2 2 3 5" xfId="24947"/>
    <cellStyle name="Normal 2 3 2 2 2 2 3 5 2" xfId="32258"/>
    <cellStyle name="Normal 2 3 2 2 2 2 3 5 2 2" xfId="47081"/>
    <cellStyle name="Normal 2 3 2 2 2 2 3 5 3" xfId="39842"/>
    <cellStyle name="Normal 2 3 2 2 2 2 3 6" xfId="28604"/>
    <cellStyle name="Normal 2 3 2 2 2 2 3 6 2" xfId="43441"/>
    <cellStyle name="Normal 2 3 2 2 2 2 3 7" xfId="35596"/>
    <cellStyle name="Normal 2 3 2 2 2 2 3 8" xfId="21286"/>
    <cellStyle name="Normal 2 3 2 2 2 2 4" xfId="17601"/>
    <cellStyle name="Normal 2 3 2 2 2 2 4 2" xfId="18715"/>
    <cellStyle name="Normal 2 3 2 2 2 2 4 2 2" xfId="20594"/>
    <cellStyle name="Normal 2 3 2 2 2 2 4 2 2 2" xfId="27920"/>
    <cellStyle name="Normal 2 3 2 2 2 2 4 2 2 2 2" xfId="35231"/>
    <cellStyle name="Normal 2 3 2 2 2 2 4 2 2 2 2 2" xfId="50051"/>
    <cellStyle name="Normal 2 3 2 2 2 2 4 2 2 2 3" xfId="42759"/>
    <cellStyle name="Normal 2 3 2 2 2 2 4 2 2 3" xfId="31577"/>
    <cellStyle name="Normal 2 3 2 2 2 2 4 2 2 3 2" xfId="46400"/>
    <cellStyle name="Normal 2 3 2 2 2 2 4 2 2 4" xfId="39075"/>
    <cellStyle name="Normal 2 3 2 2 2 2 4 2 2 5" xfId="24262"/>
    <cellStyle name="Normal 2 3 2 2 2 2 4 2 3" xfId="26094"/>
    <cellStyle name="Normal 2 3 2 2 2 2 4 2 3 2" xfId="33405"/>
    <cellStyle name="Normal 2 3 2 2 2 2 4 2 3 2 2" xfId="48225"/>
    <cellStyle name="Normal 2 3 2 2 2 2 4 2 3 3" xfId="40938"/>
    <cellStyle name="Normal 2 3 2 2 2 2 4 2 4" xfId="29751"/>
    <cellStyle name="Normal 2 3 2 2 2 2 4 2 4 2" xfId="44575"/>
    <cellStyle name="Normal 2 3 2 2 2 2 4 2 5" xfId="37352"/>
    <cellStyle name="Normal 2 3 2 2 2 2 4 2 6" xfId="22433"/>
    <cellStyle name="Normal 2 3 2 2 2 2 4 3" xfId="19645"/>
    <cellStyle name="Normal 2 3 2 2 2 2 4 3 2" xfId="27014"/>
    <cellStyle name="Normal 2 3 2 2 2 2 4 3 2 2" xfId="34325"/>
    <cellStyle name="Normal 2 3 2 2 2 2 4 3 2 2 2" xfId="49145"/>
    <cellStyle name="Normal 2 3 2 2 2 2 4 3 2 3" xfId="41854"/>
    <cellStyle name="Normal 2 3 2 2 2 2 4 3 3" xfId="30671"/>
    <cellStyle name="Normal 2 3 2 2 2 2 4 3 3 2" xfId="45494"/>
    <cellStyle name="Normal 2 3 2 2 2 2 4 3 4" xfId="38168"/>
    <cellStyle name="Normal 2 3 2 2 2 2 4 3 5" xfId="23356"/>
    <cellStyle name="Normal 2 3 2 2 2 2 4 4" xfId="25173"/>
    <cellStyle name="Normal 2 3 2 2 2 2 4 4 2" xfId="32484"/>
    <cellStyle name="Normal 2 3 2 2 2 2 4 4 2 2" xfId="47307"/>
    <cellStyle name="Normal 2 3 2 2 2 2 4 4 3" xfId="40067"/>
    <cellStyle name="Normal 2 3 2 2 2 2 4 5" xfId="28830"/>
    <cellStyle name="Normal 2 3 2 2 2 2 4 5 2" xfId="43667"/>
    <cellStyle name="Normal 2 3 2 2 2 2 4 6" xfId="36042"/>
    <cellStyle name="Normal 2 3 2 2 2 2 4 7" xfId="21512"/>
    <cellStyle name="Normal 2 3 2 2 2 2 5" xfId="18182"/>
    <cellStyle name="Normal 2 3 2 2 2 2 5 2" xfId="20064"/>
    <cellStyle name="Normal 2 3 2 2 2 2 5 2 2" xfId="27390"/>
    <cellStyle name="Normal 2 3 2 2 2 2 5 2 2 2" xfId="34701"/>
    <cellStyle name="Normal 2 3 2 2 2 2 5 2 2 2 2" xfId="49521"/>
    <cellStyle name="Normal 2 3 2 2 2 2 5 2 2 3" xfId="42229"/>
    <cellStyle name="Normal 2 3 2 2 2 2 5 2 3" xfId="31047"/>
    <cellStyle name="Normal 2 3 2 2 2 2 5 2 3 2" xfId="45870"/>
    <cellStyle name="Normal 2 3 2 2 2 2 5 2 4" xfId="38545"/>
    <cellStyle name="Normal 2 3 2 2 2 2 5 2 5" xfId="23732"/>
    <cellStyle name="Normal 2 3 2 2 2 2 5 3" xfId="25564"/>
    <cellStyle name="Normal 2 3 2 2 2 2 5 3 2" xfId="32875"/>
    <cellStyle name="Normal 2 3 2 2 2 2 5 3 2 2" xfId="47695"/>
    <cellStyle name="Normal 2 3 2 2 2 2 5 3 3" xfId="40432"/>
    <cellStyle name="Normal 2 3 2 2 2 2 5 4" xfId="29221"/>
    <cellStyle name="Normal 2 3 2 2 2 2 5 4 2" xfId="44045"/>
    <cellStyle name="Normal 2 3 2 2 2 2 5 5" xfId="36822"/>
    <cellStyle name="Normal 2 3 2 2 2 2 5 6" xfId="21903"/>
    <cellStyle name="Normal 2 3 2 2 2 2 6" xfId="19195"/>
    <cellStyle name="Normal 2 3 2 2 2 2 6 2" xfId="26566"/>
    <cellStyle name="Normal 2 3 2 2 2 2 6 2 2" xfId="33877"/>
    <cellStyle name="Normal 2 3 2 2 2 2 6 2 2 2" xfId="48697"/>
    <cellStyle name="Normal 2 3 2 2 2 2 6 2 3" xfId="41406"/>
    <cellStyle name="Normal 2 3 2 2 2 2 6 3" xfId="30223"/>
    <cellStyle name="Normal 2 3 2 2 2 2 6 3 2" xfId="45046"/>
    <cellStyle name="Normal 2 3 2 2 2 2 6 4" xfId="37720"/>
    <cellStyle name="Normal 2 3 2 2 2 2 6 5" xfId="22908"/>
    <cellStyle name="Normal 2 3 2 2 2 2 7" xfId="24723"/>
    <cellStyle name="Normal 2 3 2 2 2 2 7 2" xfId="32034"/>
    <cellStyle name="Normal 2 3 2 2 2 2 7 2 2" xfId="46857"/>
    <cellStyle name="Normal 2 3 2 2 2 2 7 3" xfId="39627"/>
    <cellStyle name="Normal 2 3 2 2 2 2 8" xfId="28380"/>
    <cellStyle name="Normal 2 3 2 2 2 2 8 2" xfId="43217"/>
    <cellStyle name="Normal 2 3 2 2 2 2 9" xfId="35593"/>
    <cellStyle name="Normal 2 3 2 2 2 3" xfId="17431"/>
    <cellStyle name="Normal 2 3 2 2 2 3 2" xfId="17881"/>
    <cellStyle name="Normal 2 3 2 2 2 3 2 2" xfId="18995"/>
    <cellStyle name="Normal 2 3 2 2 2 3 2 2 2" xfId="20874"/>
    <cellStyle name="Normal 2 3 2 2 2 3 2 2 2 2" xfId="24542"/>
    <cellStyle name="Normal 2 3 2 2 2 3 2 2 2 2 2" xfId="28200"/>
    <cellStyle name="Normal 2 3 2 2 2 3 2 2 2 2 2 2" xfId="35511"/>
    <cellStyle name="Normal 2 3 2 2 2 3 2 2 2 2 2 2 2" xfId="50331"/>
    <cellStyle name="Normal 2 3 2 2 2 3 2 2 2 2 2 3" xfId="43039"/>
    <cellStyle name="Normal 2 3 2 2 2 3 2 2 2 2 3" xfId="31857"/>
    <cellStyle name="Normal 2 3 2 2 2 3 2 2 2 2 3 2" xfId="46680"/>
    <cellStyle name="Normal 2 3 2 2 2 3 2 2 2 2 4" xfId="39478"/>
    <cellStyle name="Normal 2 3 2 2 2 3 2 2 2 3" xfId="26374"/>
    <cellStyle name="Normal 2 3 2 2 2 3 2 2 2 3 2" xfId="33685"/>
    <cellStyle name="Normal 2 3 2 2 2 3 2 2 2 3 2 2" xfId="48505"/>
    <cellStyle name="Normal 2 3 2 2 2 3 2 2 2 3 3" xfId="41218"/>
    <cellStyle name="Normal 2 3 2 2 2 3 2 2 2 4" xfId="30031"/>
    <cellStyle name="Normal 2 3 2 2 2 3 2 2 2 4 2" xfId="44855"/>
    <cellStyle name="Normal 2 3 2 2 2 3 2 2 2 5" xfId="39355"/>
    <cellStyle name="Normal 2 3 2 2 2 3 2 2 2 6" xfId="22713"/>
    <cellStyle name="Normal 2 3 2 2 2 3 2 2 3" xfId="19925"/>
    <cellStyle name="Normal 2 3 2 2 2 3 2 2 3 2" xfId="27294"/>
    <cellStyle name="Normal 2 3 2 2 2 3 2 2 3 2 2" xfId="34605"/>
    <cellStyle name="Normal 2 3 2 2 2 3 2 2 3 2 2 2" xfId="49425"/>
    <cellStyle name="Normal 2 3 2 2 2 3 2 2 3 2 3" xfId="42134"/>
    <cellStyle name="Normal 2 3 2 2 2 3 2 2 3 3" xfId="30951"/>
    <cellStyle name="Normal 2 3 2 2 2 3 2 2 3 3 2" xfId="45774"/>
    <cellStyle name="Normal 2 3 2 2 2 3 2 2 3 4" xfId="38448"/>
    <cellStyle name="Normal 2 3 2 2 2 3 2 2 3 5" xfId="23636"/>
    <cellStyle name="Normal 2 3 2 2 2 3 2 2 4" xfId="25453"/>
    <cellStyle name="Normal 2 3 2 2 2 3 2 2 4 2" xfId="32764"/>
    <cellStyle name="Normal 2 3 2 2 2 3 2 2 4 2 2" xfId="47587"/>
    <cellStyle name="Normal 2 3 2 2 2 3 2 2 4 3" xfId="40341"/>
    <cellStyle name="Normal 2 3 2 2 2 3 2 2 5" xfId="29110"/>
    <cellStyle name="Normal 2 3 2 2 2 3 2 2 5 2" xfId="43947"/>
    <cellStyle name="Normal 2 3 2 2 2 3 2 2 6" xfId="36047"/>
    <cellStyle name="Normal 2 3 2 2 2 3 2 2 7" xfId="21792"/>
    <cellStyle name="Normal 2 3 2 2 2 3 2 3" xfId="18187"/>
    <cellStyle name="Normal 2 3 2 2 2 3 2 3 2" xfId="20069"/>
    <cellStyle name="Normal 2 3 2 2 2 3 2 3 2 2" xfId="27395"/>
    <cellStyle name="Normal 2 3 2 2 2 3 2 3 2 2 2" xfId="34706"/>
    <cellStyle name="Normal 2 3 2 2 2 3 2 3 2 2 2 2" xfId="49526"/>
    <cellStyle name="Normal 2 3 2 2 2 3 2 3 2 2 3" xfId="42234"/>
    <cellStyle name="Normal 2 3 2 2 2 3 2 3 2 3" xfId="31052"/>
    <cellStyle name="Normal 2 3 2 2 2 3 2 3 2 3 2" xfId="45875"/>
    <cellStyle name="Normal 2 3 2 2 2 3 2 3 2 4" xfId="38550"/>
    <cellStyle name="Normal 2 3 2 2 2 3 2 3 2 5" xfId="23737"/>
    <cellStyle name="Normal 2 3 2 2 2 3 2 3 3" xfId="25569"/>
    <cellStyle name="Normal 2 3 2 2 2 3 2 3 3 2" xfId="32880"/>
    <cellStyle name="Normal 2 3 2 2 2 3 2 3 3 2 2" xfId="47700"/>
    <cellStyle name="Normal 2 3 2 2 2 3 2 3 3 3" xfId="40437"/>
    <cellStyle name="Normal 2 3 2 2 2 3 2 3 4" xfId="29226"/>
    <cellStyle name="Normal 2 3 2 2 2 3 2 3 4 2" xfId="44050"/>
    <cellStyle name="Normal 2 3 2 2 2 3 2 3 5" xfId="36827"/>
    <cellStyle name="Normal 2 3 2 2 2 3 2 3 6" xfId="21908"/>
    <cellStyle name="Normal 2 3 2 2 2 3 2 4" xfId="19474"/>
    <cellStyle name="Normal 2 3 2 2 2 3 2 4 2" xfId="26844"/>
    <cellStyle name="Normal 2 3 2 2 2 3 2 4 2 2" xfId="34155"/>
    <cellStyle name="Normal 2 3 2 2 2 3 2 4 2 2 2" xfId="48975"/>
    <cellStyle name="Normal 2 3 2 2 2 3 2 4 2 3" xfId="41684"/>
    <cellStyle name="Normal 2 3 2 2 2 3 2 4 3" xfId="30501"/>
    <cellStyle name="Normal 2 3 2 2 2 3 2 4 3 2" xfId="45324"/>
    <cellStyle name="Normal 2 3 2 2 2 3 2 4 4" xfId="37998"/>
    <cellStyle name="Normal 2 3 2 2 2 3 2 4 5" xfId="23186"/>
    <cellStyle name="Normal 2 3 2 2 2 3 2 5" xfId="25003"/>
    <cellStyle name="Normal 2 3 2 2 2 3 2 5 2" xfId="32314"/>
    <cellStyle name="Normal 2 3 2 2 2 3 2 5 2 2" xfId="47137"/>
    <cellStyle name="Normal 2 3 2 2 2 3 2 5 3" xfId="39898"/>
    <cellStyle name="Normal 2 3 2 2 2 3 2 6" xfId="28660"/>
    <cellStyle name="Normal 2 3 2 2 2 3 2 6 2" xfId="43497"/>
    <cellStyle name="Normal 2 3 2 2 2 3 2 7" xfId="35598"/>
    <cellStyle name="Normal 2 3 2 2 2 3 2 8" xfId="21342"/>
    <cellStyle name="Normal 2 3 2 2 2 3 3" xfId="17657"/>
    <cellStyle name="Normal 2 3 2 2 2 3 3 2" xfId="18771"/>
    <cellStyle name="Normal 2 3 2 2 2 3 3 2 2" xfId="20650"/>
    <cellStyle name="Normal 2 3 2 2 2 3 3 2 2 2" xfId="27976"/>
    <cellStyle name="Normal 2 3 2 2 2 3 3 2 2 2 2" xfId="35287"/>
    <cellStyle name="Normal 2 3 2 2 2 3 3 2 2 2 2 2" xfId="50107"/>
    <cellStyle name="Normal 2 3 2 2 2 3 3 2 2 2 3" xfId="42815"/>
    <cellStyle name="Normal 2 3 2 2 2 3 3 2 2 3" xfId="31633"/>
    <cellStyle name="Normal 2 3 2 2 2 3 3 2 2 3 2" xfId="46456"/>
    <cellStyle name="Normal 2 3 2 2 2 3 3 2 2 4" xfId="39131"/>
    <cellStyle name="Normal 2 3 2 2 2 3 3 2 2 5" xfId="24318"/>
    <cellStyle name="Normal 2 3 2 2 2 3 3 2 3" xfId="26150"/>
    <cellStyle name="Normal 2 3 2 2 2 3 3 2 3 2" xfId="33461"/>
    <cellStyle name="Normal 2 3 2 2 2 3 3 2 3 2 2" xfId="48281"/>
    <cellStyle name="Normal 2 3 2 2 2 3 3 2 3 3" xfId="40994"/>
    <cellStyle name="Normal 2 3 2 2 2 3 3 2 4" xfId="29807"/>
    <cellStyle name="Normal 2 3 2 2 2 3 3 2 4 2" xfId="44631"/>
    <cellStyle name="Normal 2 3 2 2 2 3 3 2 5" xfId="37408"/>
    <cellStyle name="Normal 2 3 2 2 2 3 3 2 6" xfId="22489"/>
    <cellStyle name="Normal 2 3 2 2 2 3 3 3" xfId="19701"/>
    <cellStyle name="Normal 2 3 2 2 2 3 3 3 2" xfId="27070"/>
    <cellStyle name="Normal 2 3 2 2 2 3 3 3 2 2" xfId="34381"/>
    <cellStyle name="Normal 2 3 2 2 2 3 3 3 2 2 2" xfId="49201"/>
    <cellStyle name="Normal 2 3 2 2 2 3 3 3 2 3" xfId="41910"/>
    <cellStyle name="Normal 2 3 2 2 2 3 3 3 3" xfId="30727"/>
    <cellStyle name="Normal 2 3 2 2 2 3 3 3 3 2" xfId="45550"/>
    <cellStyle name="Normal 2 3 2 2 2 3 3 3 4" xfId="38224"/>
    <cellStyle name="Normal 2 3 2 2 2 3 3 3 5" xfId="23412"/>
    <cellStyle name="Normal 2 3 2 2 2 3 3 4" xfId="25229"/>
    <cellStyle name="Normal 2 3 2 2 2 3 3 4 2" xfId="32540"/>
    <cellStyle name="Normal 2 3 2 2 2 3 3 4 2 2" xfId="47363"/>
    <cellStyle name="Normal 2 3 2 2 2 3 3 4 3" xfId="40121"/>
    <cellStyle name="Normal 2 3 2 2 2 3 3 5" xfId="28886"/>
    <cellStyle name="Normal 2 3 2 2 2 3 3 5 2" xfId="43723"/>
    <cellStyle name="Normal 2 3 2 2 2 3 3 6" xfId="36046"/>
    <cellStyle name="Normal 2 3 2 2 2 3 3 7" xfId="21568"/>
    <cellStyle name="Normal 2 3 2 2 2 3 4" xfId="18186"/>
    <cellStyle name="Normal 2 3 2 2 2 3 4 2" xfId="20068"/>
    <cellStyle name="Normal 2 3 2 2 2 3 4 2 2" xfId="27394"/>
    <cellStyle name="Normal 2 3 2 2 2 3 4 2 2 2" xfId="34705"/>
    <cellStyle name="Normal 2 3 2 2 2 3 4 2 2 2 2" xfId="49525"/>
    <cellStyle name="Normal 2 3 2 2 2 3 4 2 2 3" xfId="42233"/>
    <cellStyle name="Normal 2 3 2 2 2 3 4 2 3" xfId="31051"/>
    <cellStyle name="Normal 2 3 2 2 2 3 4 2 3 2" xfId="45874"/>
    <cellStyle name="Normal 2 3 2 2 2 3 4 2 4" xfId="38549"/>
    <cellStyle name="Normal 2 3 2 2 2 3 4 2 5" xfId="23736"/>
    <cellStyle name="Normal 2 3 2 2 2 3 4 3" xfId="25568"/>
    <cellStyle name="Normal 2 3 2 2 2 3 4 3 2" xfId="32879"/>
    <cellStyle name="Normal 2 3 2 2 2 3 4 3 2 2" xfId="47699"/>
    <cellStyle name="Normal 2 3 2 2 2 3 4 3 3" xfId="40436"/>
    <cellStyle name="Normal 2 3 2 2 2 3 4 4" xfId="29225"/>
    <cellStyle name="Normal 2 3 2 2 2 3 4 4 2" xfId="44049"/>
    <cellStyle name="Normal 2 3 2 2 2 3 4 5" xfId="36826"/>
    <cellStyle name="Normal 2 3 2 2 2 3 4 6" xfId="21907"/>
    <cellStyle name="Normal 2 3 2 2 2 3 5" xfId="19251"/>
    <cellStyle name="Normal 2 3 2 2 2 3 5 2" xfId="26621"/>
    <cellStyle name="Normal 2 3 2 2 2 3 5 2 2" xfId="33932"/>
    <cellStyle name="Normal 2 3 2 2 2 3 5 2 2 2" xfId="48752"/>
    <cellStyle name="Normal 2 3 2 2 2 3 5 2 3" xfId="41461"/>
    <cellStyle name="Normal 2 3 2 2 2 3 5 3" xfId="30278"/>
    <cellStyle name="Normal 2 3 2 2 2 3 5 3 2" xfId="45101"/>
    <cellStyle name="Normal 2 3 2 2 2 3 5 4" xfId="37775"/>
    <cellStyle name="Normal 2 3 2 2 2 3 5 5" xfId="22963"/>
    <cellStyle name="Normal 2 3 2 2 2 3 6" xfId="24779"/>
    <cellStyle name="Normal 2 3 2 2 2 3 6 2" xfId="32090"/>
    <cellStyle name="Normal 2 3 2 2 2 3 6 2 2" xfId="46913"/>
    <cellStyle name="Normal 2 3 2 2 2 3 6 3" xfId="39680"/>
    <cellStyle name="Normal 2 3 2 2 2 3 7" xfId="28436"/>
    <cellStyle name="Normal 2 3 2 2 2 3 7 2" xfId="43273"/>
    <cellStyle name="Normal 2 3 2 2 2 3 8" xfId="35597"/>
    <cellStyle name="Normal 2 3 2 2 2 3 9" xfId="21118"/>
    <cellStyle name="Normal 2 3 2 2 2 4" xfId="17314"/>
    <cellStyle name="Normal 2 3 2 2 2 4 2" xfId="17769"/>
    <cellStyle name="Normal 2 3 2 2 2 4 2 2" xfId="18883"/>
    <cellStyle name="Normal 2 3 2 2 2 4 2 2 2" xfId="20762"/>
    <cellStyle name="Normal 2 3 2 2 2 4 2 2 2 2" xfId="28088"/>
    <cellStyle name="Normal 2 3 2 2 2 4 2 2 2 2 2" xfId="35399"/>
    <cellStyle name="Normal 2 3 2 2 2 4 2 2 2 2 2 2" xfId="50219"/>
    <cellStyle name="Normal 2 3 2 2 2 4 2 2 2 2 3" xfId="42927"/>
    <cellStyle name="Normal 2 3 2 2 2 4 2 2 2 3" xfId="31745"/>
    <cellStyle name="Normal 2 3 2 2 2 4 2 2 2 3 2" xfId="46568"/>
    <cellStyle name="Normal 2 3 2 2 2 4 2 2 2 4" xfId="39243"/>
    <cellStyle name="Normal 2 3 2 2 2 4 2 2 2 5" xfId="24430"/>
    <cellStyle name="Normal 2 3 2 2 2 4 2 2 3" xfId="26262"/>
    <cellStyle name="Normal 2 3 2 2 2 4 2 2 3 2" xfId="33573"/>
    <cellStyle name="Normal 2 3 2 2 2 4 2 2 3 2 2" xfId="48393"/>
    <cellStyle name="Normal 2 3 2 2 2 4 2 2 3 3" xfId="41106"/>
    <cellStyle name="Normal 2 3 2 2 2 4 2 2 4" xfId="29919"/>
    <cellStyle name="Normal 2 3 2 2 2 4 2 2 4 2" xfId="44743"/>
    <cellStyle name="Normal 2 3 2 2 2 4 2 2 5" xfId="37519"/>
    <cellStyle name="Normal 2 3 2 2 2 4 2 2 6" xfId="22601"/>
    <cellStyle name="Normal 2 3 2 2 2 4 2 3" xfId="19813"/>
    <cellStyle name="Normal 2 3 2 2 2 4 2 3 2" xfId="27182"/>
    <cellStyle name="Normal 2 3 2 2 2 4 2 3 2 2" xfId="34493"/>
    <cellStyle name="Normal 2 3 2 2 2 4 2 3 2 2 2" xfId="49313"/>
    <cellStyle name="Normal 2 3 2 2 2 4 2 3 2 3" xfId="42022"/>
    <cellStyle name="Normal 2 3 2 2 2 4 2 3 3" xfId="30839"/>
    <cellStyle name="Normal 2 3 2 2 2 4 2 3 3 2" xfId="45662"/>
    <cellStyle name="Normal 2 3 2 2 2 4 2 3 4" xfId="38336"/>
    <cellStyle name="Normal 2 3 2 2 2 4 2 3 5" xfId="23524"/>
    <cellStyle name="Normal 2 3 2 2 2 4 2 4" xfId="25341"/>
    <cellStyle name="Normal 2 3 2 2 2 4 2 4 2" xfId="32652"/>
    <cellStyle name="Normal 2 3 2 2 2 4 2 4 2 2" xfId="47475"/>
    <cellStyle name="Normal 2 3 2 2 2 4 2 4 3" xfId="40229"/>
    <cellStyle name="Normal 2 3 2 2 2 4 2 5" xfId="28998"/>
    <cellStyle name="Normal 2 3 2 2 2 4 2 5 2" xfId="43835"/>
    <cellStyle name="Normal 2 3 2 2 2 4 2 6" xfId="36048"/>
    <cellStyle name="Normal 2 3 2 2 2 4 2 7" xfId="21680"/>
    <cellStyle name="Normal 2 3 2 2 2 4 3" xfId="18188"/>
    <cellStyle name="Normal 2 3 2 2 2 4 3 2" xfId="20070"/>
    <cellStyle name="Normal 2 3 2 2 2 4 3 2 2" xfId="27396"/>
    <cellStyle name="Normal 2 3 2 2 2 4 3 2 2 2" xfId="34707"/>
    <cellStyle name="Normal 2 3 2 2 2 4 3 2 2 2 2" xfId="49527"/>
    <cellStyle name="Normal 2 3 2 2 2 4 3 2 2 3" xfId="42235"/>
    <cellStyle name="Normal 2 3 2 2 2 4 3 2 3" xfId="31053"/>
    <cellStyle name="Normal 2 3 2 2 2 4 3 2 3 2" xfId="45876"/>
    <cellStyle name="Normal 2 3 2 2 2 4 3 2 4" xfId="38551"/>
    <cellStyle name="Normal 2 3 2 2 2 4 3 2 5" xfId="23738"/>
    <cellStyle name="Normal 2 3 2 2 2 4 3 3" xfId="25570"/>
    <cellStyle name="Normal 2 3 2 2 2 4 3 3 2" xfId="32881"/>
    <cellStyle name="Normal 2 3 2 2 2 4 3 3 2 2" xfId="47701"/>
    <cellStyle name="Normal 2 3 2 2 2 4 3 3 3" xfId="40438"/>
    <cellStyle name="Normal 2 3 2 2 2 4 3 4" xfId="29227"/>
    <cellStyle name="Normal 2 3 2 2 2 4 3 4 2" xfId="44051"/>
    <cellStyle name="Normal 2 3 2 2 2 4 3 5" xfId="36828"/>
    <cellStyle name="Normal 2 3 2 2 2 4 3 6" xfId="21909"/>
    <cellStyle name="Normal 2 3 2 2 2 4 4" xfId="19362"/>
    <cellStyle name="Normal 2 3 2 2 2 4 4 2" xfId="26732"/>
    <cellStyle name="Normal 2 3 2 2 2 4 4 2 2" xfId="34043"/>
    <cellStyle name="Normal 2 3 2 2 2 4 4 2 2 2" xfId="48863"/>
    <cellStyle name="Normal 2 3 2 2 2 4 4 2 3" xfId="41572"/>
    <cellStyle name="Normal 2 3 2 2 2 4 4 3" xfId="30389"/>
    <cellStyle name="Normal 2 3 2 2 2 4 4 3 2" xfId="45212"/>
    <cellStyle name="Normal 2 3 2 2 2 4 4 4" xfId="37886"/>
    <cellStyle name="Normal 2 3 2 2 2 4 4 5" xfId="23074"/>
    <cellStyle name="Normal 2 3 2 2 2 4 5" xfId="24891"/>
    <cellStyle name="Normal 2 3 2 2 2 4 5 2" xfId="32202"/>
    <cellStyle name="Normal 2 3 2 2 2 4 5 2 2" xfId="47025"/>
    <cellStyle name="Normal 2 3 2 2 2 4 5 3" xfId="39786"/>
    <cellStyle name="Normal 2 3 2 2 2 4 6" xfId="28548"/>
    <cellStyle name="Normal 2 3 2 2 2 4 6 2" xfId="43385"/>
    <cellStyle name="Normal 2 3 2 2 2 4 7" xfId="35599"/>
    <cellStyle name="Normal 2 3 2 2 2 4 8" xfId="21230"/>
    <cellStyle name="Normal 2 3 2 2 2 5" xfId="17545"/>
    <cellStyle name="Normal 2 3 2 2 2 5 2" xfId="18659"/>
    <cellStyle name="Normal 2 3 2 2 2 5 2 2" xfId="20538"/>
    <cellStyle name="Normal 2 3 2 2 2 5 2 2 2" xfId="27864"/>
    <cellStyle name="Normal 2 3 2 2 2 5 2 2 2 2" xfId="35175"/>
    <cellStyle name="Normal 2 3 2 2 2 5 2 2 2 2 2" xfId="49995"/>
    <cellStyle name="Normal 2 3 2 2 2 5 2 2 2 3" xfId="42703"/>
    <cellStyle name="Normal 2 3 2 2 2 5 2 2 3" xfId="31521"/>
    <cellStyle name="Normal 2 3 2 2 2 5 2 2 3 2" xfId="46344"/>
    <cellStyle name="Normal 2 3 2 2 2 5 2 2 4" xfId="39019"/>
    <cellStyle name="Normal 2 3 2 2 2 5 2 2 5" xfId="24206"/>
    <cellStyle name="Normal 2 3 2 2 2 5 2 3" xfId="26038"/>
    <cellStyle name="Normal 2 3 2 2 2 5 2 3 2" xfId="33349"/>
    <cellStyle name="Normal 2 3 2 2 2 5 2 3 2 2" xfId="48169"/>
    <cellStyle name="Normal 2 3 2 2 2 5 2 3 3" xfId="40882"/>
    <cellStyle name="Normal 2 3 2 2 2 5 2 4" xfId="29695"/>
    <cellStyle name="Normal 2 3 2 2 2 5 2 4 2" xfId="44519"/>
    <cellStyle name="Normal 2 3 2 2 2 5 2 5" xfId="37296"/>
    <cellStyle name="Normal 2 3 2 2 2 5 2 6" xfId="22377"/>
    <cellStyle name="Normal 2 3 2 2 2 5 3" xfId="19589"/>
    <cellStyle name="Normal 2 3 2 2 2 5 3 2" xfId="26958"/>
    <cellStyle name="Normal 2 3 2 2 2 5 3 2 2" xfId="34269"/>
    <cellStyle name="Normal 2 3 2 2 2 5 3 2 2 2" xfId="49089"/>
    <cellStyle name="Normal 2 3 2 2 2 5 3 2 3" xfId="41798"/>
    <cellStyle name="Normal 2 3 2 2 2 5 3 3" xfId="30615"/>
    <cellStyle name="Normal 2 3 2 2 2 5 3 3 2" xfId="45438"/>
    <cellStyle name="Normal 2 3 2 2 2 5 3 4" xfId="38112"/>
    <cellStyle name="Normal 2 3 2 2 2 5 3 5" xfId="23300"/>
    <cellStyle name="Normal 2 3 2 2 2 5 4" xfId="25117"/>
    <cellStyle name="Normal 2 3 2 2 2 5 4 2" xfId="32428"/>
    <cellStyle name="Normal 2 3 2 2 2 5 4 2 2" xfId="47251"/>
    <cellStyle name="Normal 2 3 2 2 2 5 4 3" xfId="40011"/>
    <cellStyle name="Normal 2 3 2 2 2 5 5" xfId="28774"/>
    <cellStyle name="Normal 2 3 2 2 2 5 5 2" xfId="43611"/>
    <cellStyle name="Normal 2 3 2 2 2 5 6" xfId="36041"/>
    <cellStyle name="Normal 2 3 2 2 2 5 7" xfId="21456"/>
    <cellStyle name="Normal 2 3 2 2 2 6" xfId="18181"/>
    <cellStyle name="Normal 2 3 2 2 2 6 2" xfId="20063"/>
    <cellStyle name="Normal 2 3 2 2 2 6 2 2" xfId="27389"/>
    <cellStyle name="Normal 2 3 2 2 2 6 2 2 2" xfId="34700"/>
    <cellStyle name="Normal 2 3 2 2 2 6 2 2 2 2" xfId="49520"/>
    <cellStyle name="Normal 2 3 2 2 2 6 2 2 3" xfId="42228"/>
    <cellStyle name="Normal 2 3 2 2 2 6 2 3" xfId="31046"/>
    <cellStyle name="Normal 2 3 2 2 2 6 2 3 2" xfId="45869"/>
    <cellStyle name="Normal 2 3 2 2 2 6 2 4" xfId="38544"/>
    <cellStyle name="Normal 2 3 2 2 2 6 2 5" xfId="23731"/>
    <cellStyle name="Normal 2 3 2 2 2 6 3" xfId="25563"/>
    <cellStyle name="Normal 2 3 2 2 2 6 3 2" xfId="32874"/>
    <cellStyle name="Normal 2 3 2 2 2 6 3 2 2" xfId="47694"/>
    <cellStyle name="Normal 2 3 2 2 2 6 3 3" xfId="40431"/>
    <cellStyle name="Normal 2 3 2 2 2 6 4" xfId="29220"/>
    <cellStyle name="Normal 2 3 2 2 2 6 4 2" xfId="44044"/>
    <cellStyle name="Normal 2 3 2 2 2 6 5" xfId="36821"/>
    <cellStyle name="Normal 2 3 2 2 2 6 6" xfId="21902"/>
    <cellStyle name="Normal 2 3 2 2 2 7" xfId="19141"/>
    <cellStyle name="Normal 2 3 2 2 2 7 2" xfId="26513"/>
    <cellStyle name="Normal 2 3 2 2 2 7 2 2" xfId="33824"/>
    <cellStyle name="Normal 2 3 2 2 2 7 2 2 2" xfId="48644"/>
    <cellStyle name="Normal 2 3 2 2 2 7 2 3" xfId="41353"/>
    <cellStyle name="Normal 2 3 2 2 2 7 3" xfId="30170"/>
    <cellStyle name="Normal 2 3 2 2 2 7 3 2" xfId="44993"/>
    <cellStyle name="Normal 2 3 2 2 2 7 4" xfId="37667"/>
    <cellStyle name="Normal 2 3 2 2 2 7 5" xfId="22855"/>
    <cellStyle name="Normal 2 3 2 2 2 8" xfId="24667"/>
    <cellStyle name="Normal 2 3 2 2 2 8 2" xfId="31978"/>
    <cellStyle name="Normal 2 3 2 2 2 8 2 2" xfId="46801"/>
    <cellStyle name="Normal 2 3 2 2 2 8 3" xfId="39587"/>
    <cellStyle name="Normal 2 3 2 2 2 9" xfId="28324"/>
    <cellStyle name="Normal 2 3 2 2 2 9 2" xfId="43161"/>
    <cellStyle name="Normal 2 3 2 2 3" xfId="17237"/>
    <cellStyle name="Normal 2 3 2 2 3 10" xfId="21034"/>
    <cellStyle name="Normal 2 3 2 2 3 2" xfId="17459"/>
    <cellStyle name="Normal 2 3 2 2 3 2 2" xfId="17909"/>
    <cellStyle name="Normal 2 3 2 2 3 2 2 2" xfId="19023"/>
    <cellStyle name="Normal 2 3 2 2 3 2 2 2 2" xfId="20902"/>
    <cellStyle name="Normal 2 3 2 2 3 2 2 2 2 2" xfId="24570"/>
    <cellStyle name="Normal 2 3 2 2 3 2 2 2 2 2 2" xfId="28228"/>
    <cellStyle name="Normal 2 3 2 2 3 2 2 2 2 2 2 2" xfId="35539"/>
    <cellStyle name="Normal 2 3 2 2 3 2 2 2 2 2 2 2 2" xfId="50359"/>
    <cellStyle name="Normal 2 3 2 2 3 2 2 2 2 2 2 3" xfId="43067"/>
    <cellStyle name="Normal 2 3 2 2 3 2 2 2 2 2 3" xfId="31885"/>
    <cellStyle name="Normal 2 3 2 2 3 2 2 2 2 2 3 2" xfId="46708"/>
    <cellStyle name="Normal 2 3 2 2 3 2 2 2 2 2 4" xfId="39503"/>
    <cellStyle name="Normal 2 3 2 2 3 2 2 2 2 3" xfId="26402"/>
    <cellStyle name="Normal 2 3 2 2 3 2 2 2 2 3 2" xfId="33713"/>
    <cellStyle name="Normal 2 3 2 2 3 2 2 2 2 3 2 2" xfId="48533"/>
    <cellStyle name="Normal 2 3 2 2 3 2 2 2 2 3 3" xfId="41246"/>
    <cellStyle name="Normal 2 3 2 2 3 2 2 2 2 4" xfId="30059"/>
    <cellStyle name="Normal 2 3 2 2 3 2 2 2 2 4 2" xfId="44883"/>
    <cellStyle name="Normal 2 3 2 2 3 2 2 2 2 5" xfId="39383"/>
    <cellStyle name="Normal 2 3 2 2 3 2 2 2 2 6" xfId="22741"/>
    <cellStyle name="Normal 2 3 2 2 3 2 2 2 3" xfId="19953"/>
    <cellStyle name="Normal 2 3 2 2 3 2 2 2 3 2" xfId="27322"/>
    <cellStyle name="Normal 2 3 2 2 3 2 2 2 3 2 2" xfId="34633"/>
    <cellStyle name="Normal 2 3 2 2 3 2 2 2 3 2 2 2" xfId="49453"/>
    <cellStyle name="Normal 2 3 2 2 3 2 2 2 3 2 3" xfId="42162"/>
    <cellStyle name="Normal 2 3 2 2 3 2 2 2 3 3" xfId="30979"/>
    <cellStyle name="Normal 2 3 2 2 3 2 2 2 3 3 2" xfId="45802"/>
    <cellStyle name="Normal 2 3 2 2 3 2 2 2 3 4" xfId="38476"/>
    <cellStyle name="Normal 2 3 2 2 3 2 2 2 3 5" xfId="23664"/>
    <cellStyle name="Normal 2 3 2 2 3 2 2 2 4" xfId="25481"/>
    <cellStyle name="Normal 2 3 2 2 3 2 2 2 4 2" xfId="32792"/>
    <cellStyle name="Normal 2 3 2 2 3 2 2 2 4 2 2" xfId="47615"/>
    <cellStyle name="Normal 2 3 2 2 3 2 2 2 4 3" xfId="40369"/>
    <cellStyle name="Normal 2 3 2 2 3 2 2 2 5" xfId="29138"/>
    <cellStyle name="Normal 2 3 2 2 3 2 2 2 5 2" xfId="43975"/>
    <cellStyle name="Normal 2 3 2 2 3 2 2 2 6" xfId="36051"/>
    <cellStyle name="Normal 2 3 2 2 3 2 2 2 7" xfId="21820"/>
    <cellStyle name="Normal 2 3 2 2 3 2 2 3" xfId="18191"/>
    <cellStyle name="Normal 2 3 2 2 3 2 2 3 2" xfId="20073"/>
    <cellStyle name="Normal 2 3 2 2 3 2 2 3 2 2" xfId="27399"/>
    <cellStyle name="Normal 2 3 2 2 3 2 2 3 2 2 2" xfId="34710"/>
    <cellStyle name="Normal 2 3 2 2 3 2 2 3 2 2 2 2" xfId="49530"/>
    <cellStyle name="Normal 2 3 2 2 3 2 2 3 2 2 3" xfId="42238"/>
    <cellStyle name="Normal 2 3 2 2 3 2 2 3 2 3" xfId="31056"/>
    <cellStyle name="Normal 2 3 2 2 3 2 2 3 2 3 2" xfId="45879"/>
    <cellStyle name="Normal 2 3 2 2 3 2 2 3 2 4" xfId="38554"/>
    <cellStyle name="Normal 2 3 2 2 3 2 2 3 2 5" xfId="23741"/>
    <cellStyle name="Normal 2 3 2 2 3 2 2 3 3" xfId="25573"/>
    <cellStyle name="Normal 2 3 2 2 3 2 2 3 3 2" xfId="32884"/>
    <cellStyle name="Normal 2 3 2 2 3 2 2 3 3 2 2" xfId="47704"/>
    <cellStyle name="Normal 2 3 2 2 3 2 2 3 3 3" xfId="40441"/>
    <cellStyle name="Normal 2 3 2 2 3 2 2 3 4" xfId="29230"/>
    <cellStyle name="Normal 2 3 2 2 3 2 2 3 4 2" xfId="44054"/>
    <cellStyle name="Normal 2 3 2 2 3 2 2 3 5" xfId="36831"/>
    <cellStyle name="Normal 2 3 2 2 3 2 2 3 6" xfId="21912"/>
    <cellStyle name="Normal 2 3 2 2 3 2 2 4" xfId="19502"/>
    <cellStyle name="Normal 2 3 2 2 3 2 2 4 2" xfId="26872"/>
    <cellStyle name="Normal 2 3 2 2 3 2 2 4 2 2" xfId="34183"/>
    <cellStyle name="Normal 2 3 2 2 3 2 2 4 2 2 2" xfId="49003"/>
    <cellStyle name="Normal 2 3 2 2 3 2 2 4 2 3" xfId="41712"/>
    <cellStyle name="Normal 2 3 2 2 3 2 2 4 3" xfId="30529"/>
    <cellStyle name="Normal 2 3 2 2 3 2 2 4 3 2" xfId="45352"/>
    <cellStyle name="Normal 2 3 2 2 3 2 2 4 4" xfId="38026"/>
    <cellStyle name="Normal 2 3 2 2 3 2 2 4 5" xfId="23214"/>
    <cellStyle name="Normal 2 3 2 2 3 2 2 5" xfId="25031"/>
    <cellStyle name="Normal 2 3 2 2 3 2 2 5 2" xfId="32342"/>
    <cellStyle name="Normal 2 3 2 2 3 2 2 5 2 2" xfId="47165"/>
    <cellStyle name="Normal 2 3 2 2 3 2 2 5 3" xfId="39926"/>
    <cellStyle name="Normal 2 3 2 2 3 2 2 6" xfId="28688"/>
    <cellStyle name="Normal 2 3 2 2 3 2 2 6 2" xfId="43525"/>
    <cellStyle name="Normal 2 3 2 2 3 2 2 7" xfId="35602"/>
    <cellStyle name="Normal 2 3 2 2 3 2 2 8" xfId="21370"/>
    <cellStyle name="Normal 2 3 2 2 3 2 3" xfId="17685"/>
    <cellStyle name="Normal 2 3 2 2 3 2 3 2" xfId="18799"/>
    <cellStyle name="Normal 2 3 2 2 3 2 3 2 2" xfId="20678"/>
    <cellStyle name="Normal 2 3 2 2 3 2 3 2 2 2" xfId="28004"/>
    <cellStyle name="Normal 2 3 2 2 3 2 3 2 2 2 2" xfId="35315"/>
    <cellStyle name="Normal 2 3 2 2 3 2 3 2 2 2 2 2" xfId="50135"/>
    <cellStyle name="Normal 2 3 2 2 3 2 3 2 2 2 3" xfId="42843"/>
    <cellStyle name="Normal 2 3 2 2 3 2 3 2 2 3" xfId="31661"/>
    <cellStyle name="Normal 2 3 2 2 3 2 3 2 2 3 2" xfId="46484"/>
    <cellStyle name="Normal 2 3 2 2 3 2 3 2 2 4" xfId="39159"/>
    <cellStyle name="Normal 2 3 2 2 3 2 3 2 2 5" xfId="24346"/>
    <cellStyle name="Normal 2 3 2 2 3 2 3 2 3" xfId="26178"/>
    <cellStyle name="Normal 2 3 2 2 3 2 3 2 3 2" xfId="33489"/>
    <cellStyle name="Normal 2 3 2 2 3 2 3 2 3 2 2" xfId="48309"/>
    <cellStyle name="Normal 2 3 2 2 3 2 3 2 3 3" xfId="41022"/>
    <cellStyle name="Normal 2 3 2 2 3 2 3 2 4" xfId="29835"/>
    <cellStyle name="Normal 2 3 2 2 3 2 3 2 4 2" xfId="44659"/>
    <cellStyle name="Normal 2 3 2 2 3 2 3 2 5" xfId="37436"/>
    <cellStyle name="Normal 2 3 2 2 3 2 3 2 6" xfId="22517"/>
    <cellStyle name="Normal 2 3 2 2 3 2 3 3" xfId="19729"/>
    <cellStyle name="Normal 2 3 2 2 3 2 3 3 2" xfId="27098"/>
    <cellStyle name="Normal 2 3 2 2 3 2 3 3 2 2" xfId="34409"/>
    <cellStyle name="Normal 2 3 2 2 3 2 3 3 2 2 2" xfId="49229"/>
    <cellStyle name="Normal 2 3 2 2 3 2 3 3 2 3" xfId="41938"/>
    <cellStyle name="Normal 2 3 2 2 3 2 3 3 3" xfId="30755"/>
    <cellStyle name="Normal 2 3 2 2 3 2 3 3 3 2" xfId="45578"/>
    <cellStyle name="Normal 2 3 2 2 3 2 3 3 4" xfId="38252"/>
    <cellStyle name="Normal 2 3 2 2 3 2 3 3 5" xfId="23440"/>
    <cellStyle name="Normal 2 3 2 2 3 2 3 4" xfId="25257"/>
    <cellStyle name="Normal 2 3 2 2 3 2 3 4 2" xfId="32568"/>
    <cellStyle name="Normal 2 3 2 2 3 2 3 4 2 2" xfId="47391"/>
    <cellStyle name="Normal 2 3 2 2 3 2 3 4 3" xfId="40149"/>
    <cellStyle name="Normal 2 3 2 2 3 2 3 5" xfId="28914"/>
    <cellStyle name="Normal 2 3 2 2 3 2 3 5 2" xfId="43751"/>
    <cellStyle name="Normal 2 3 2 2 3 2 3 6" xfId="36050"/>
    <cellStyle name="Normal 2 3 2 2 3 2 3 7" xfId="21596"/>
    <cellStyle name="Normal 2 3 2 2 3 2 4" xfId="18190"/>
    <cellStyle name="Normal 2 3 2 2 3 2 4 2" xfId="20072"/>
    <cellStyle name="Normal 2 3 2 2 3 2 4 2 2" xfId="27398"/>
    <cellStyle name="Normal 2 3 2 2 3 2 4 2 2 2" xfId="34709"/>
    <cellStyle name="Normal 2 3 2 2 3 2 4 2 2 2 2" xfId="49529"/>
    <cellStyle name="Normal 2 3 2 2 3 2 4 2 2 3" xfId="42237"/>
    <cellStyle name="Normal 2 3 2 2 3 2 4 2 3" xfId="31055"/>
    <cellStyle name="Normal 2 3 2 2 3 2 4 2 3 2" xfId="45878"/>
    <cellStyle name="Normal 2 3 2 2 3 2 4 2 4" xfId="38553"/>
    <cellStyle name="Normal 2 3 2 2 3 2 4 2 5" xfId="23740"/>
    <cellStyle name="Normal 2 3 2 2 3 2 4 3" xfId="25572"/>
    <cellStyle name="Normal 2 3 2 2 3 2 4 3 2" xfId="32883"/>
    <cellStyle name="Normal 2 3 2 2 3 2 4 3 2 2" xfId="47703"/>
    <cellStyle name="Normal 2 3 2 2 3 2 4 3 3" xfId="40440"/>
    <cellStyle name="Normal 2 3 2 2 3 2 4 4" xfId="29229"/>
    <cellStyle name="Normal 2 3 2 2 3 2 4 4 2" xfId="44053"/>
    <cellStyle name="Normal 2 3 2 2 3 2 4 5" xfId="36830"/>
    <cellStyle name="Normal 2 3 2 2 3 2 4 6" xfId="21911"/>
    <cellStyle name="Normal 2 3 2 2 3 2 5" xfId="19279"/>
    <cellStyle name="Normal 2 3 2 2 3 2 5 2" xfId="26649"/>
    <cellStyle name="Normal 2 3 2 2 3 2 5 2 2" xfId="33960"/>
    <cellStyle name="Normal 2 3 2 2 3 2 5 2 2 2" xfId="48780"/>
    <cellStyle name="Normal 2 3 2 2 3 2 5 2 3" xfId="41489"/>
    <cellStyle name="Normal 2 3 2 2 3 2 5 3" xfId="30306"/>
    <cellStyle name="Normal 2 3 2 2 3 2 5 3 2" xfId="45129"/>
    <cellStyle name="Normal 2 3 2 2 3 2 5 4" xfId="37803"/>
    <cellStyle name="Normal 2 3 2 2 3 2 5 5" xfId="22991"/>
    <cellStyle name="Normal 2 3 2 2 3 2 6" xfId="24807"/>
    <cellStyle name="Normal 2 3 2 2 3 2 6 2" xfId="32118"/>
    <cellStyle name="Normal 2 3 2 2 3 2 6 2 2" xfId="46941"/>
    <cellStyle name="Normal 2 3 2 2 3 2 6 3" xfId="39706"/>
    <cellStyle name="Normal 2 3 2 2 3 2 7" xfId="28464"/>
    <cellStyle name="Normal 2 3 2 2 3 2 7 2" xfId="43301"/>
    <cellStyle name="Normal 2 3 2 2 3 2 8" xfId="35601"/>
    <cellStyle name="Normal 2 3 2 2 3 2 9" xfId="21146"/>
    <cellStyle name="Normal 2 3 2 2 3 3" xfId="17344"/>
    <cellStyle name="Normal 2 3 2 2 3 3 2" xfId="17797"/>
    <cellStyle name="Normal 2 3 2 2 3 3 2 2" xfId="18911"/>
    <cellStyle name="Normal 2 3 2 2 3 3 2 2 2" xfId="20790"/>
    <cellStyle name="Normal 2 3 2 2 3 3 2 2 2 2" xfId="28116"/>
    <cellStyle name="Normal 2 3 2 2 3 3 2 2 2 2 2" xfId="35427"/>
    <cellStyle name="Normal 2 3 2 2 3 3 2 2 2 2 2 2" xfId="50247"/>
    <cellStyle name="Normal 2 3 2 2 3 3 2 2 2 2 3" xfId="42955"/>
    <cellStyle name="Normal 2 3 2 2 3 3 2 2 2 3" xfId="31773"/>
    <cellStyle name="Normal 2 3 2 2 3 3 2 2 2 3 2" xfId="46596"/>
    <cellStyle name="Normal 2 3 2 2 3 3 2 2 2 4" xfId="39271"/>
    <cellStyle name="Normal 2 3 2 2 3 3 2 2 2 5" xfId="24458"/>
    <cellStyle name="Normal 2 3 2 2 3 3 2 2 3" xfId="26290"/>
    <cellStyle name="Normal 2 3 2 2 3 3 2 2 3 2" xfId="33601"/>
    <cellStyle name="Normal 2 3 2 2 3 3 2 2 3 2 2" xfId="48421"/>
    <cellStyle name="Normal 2 3 2 2 3 3 2 2 3 3" xfId="41134"/>
    <cellStyle name="Normal 2 3 2 2 3 3 2 2 4" xfId="29947"/>
    <cellStyle name="Normal 2 3 2 2 3 3 2 2 4 2" xfId="44771"/>
    <cellStyle name="Normal 2 3 2 2 3 3 2 2 5" xfId="37547"/>
    <cellStyle name="Normal 2 3 2 2 3 3 2 2 6" xfId="22629"/>
    <cellStyle name="Normal 2 3 2 2 3 3 2 3" xfId="19841"/>
    <cellStyle name="Normal 2 3 2 2 3 3 2 3 2" xfId="27210"/>
    <cellStyle name="Normal 2 3 2 2 3 3 2 3 2 2" xfId="34521"/>
    <cellStyle name="Normal 2 3 2 2 3 3 2 3 2 2 2" xfId="49341"/>
    <cellStyle name="Normal 2 3 2 2 3 3 2 3 2 3" xfId="42050"/>
    <cellStyle name="Normal 2 3 2 2 3 3 2 3 3" xfId="30867"/>
    <cellStyle name="Normal 2 3 2 2 3 3 2 3 3 2" xfId="45690"/>
    <cellStyle name="Normal 2 3 2 2 3 3 2 3 4" xfId="38364"/>
    <cellStyle name="Normal 2 3 2 2 3 3 2 3 5" xfId="23552"/>
    <cellStyle name="Normal 2 3 2 2 3 3 2 4" xfId="25369"/>
    <cellStyle name="Normal 2 3 2 2 3 3 2 4 2" xfId="32680"/>
    <cellStyle name="Normal 2 3 2 2 3 3 2 4 2 2" xfId="47503"/>
    <cellStyle name="Normal 2 3 2 2 3 3 2 4 3" xfId="40257"/>
    <cellStyle name="Normal 2 3 2 2 3 3 2 5" xfId="29026"/>
    <cellStyle name="Normal 2 3 2 2 3 3 2 5 2" xfId="43863"/>
    <cellStyle name="Normal 2 3 2 2 3 3 2 6" xfId="36052"/>
    <cellStyle name="Normal 2 3 2 2 3 3 2 7" xfId="21708"/>
    <cellStyle name="Normal 2 3 2 2 3 3 3" xfId="18192"/>
    <cellStyle name="Normal 2 3 2 2 3 3 3 2" xfId="20074"/>
    <cellStyle name="Normal 2 3 2 2 3 3 3 2 2" xfId="27400"/>
    <cellStyle name="Normal 2 3 2 2 3 3 3 2 2 2" xfId="34711"/>
    <cellStyle name="Normal 2 3 2 2 3 3 3 2 2 2 2" xfId="49531"/>
    <cellStyle name="Normal 2 3 2 2 3 3 3 2 2 3" xfId="42239"/>
    <cellStyle name="Normal 2 3 2 2 3 3 3 2 3" xfId="31057"/>
    <cellStyle name="Normal 2 3 2 2 3 3 3 2 3 2" xfId="45880"/>
    <cellStyle name="Normal 2 3 2 2 3 3 3 2 4" xfId="38555"/>
    <cellStyle name="Normal 2 3 2 2 3 3 3 2 5" xfId="23742"/>
    <cellStyle name="Normal 2 3 2 2 3 3 3 3" xfId="25574"/>
    <cellStyle name="Normal 2 3 2 2 3 3 3 3 2" xfId="32885"/>
    <cellStyle name="Normal 2 3 2 2 3 3 3 3 2 2" xfId="47705"/>
    <cellStyle name="Normal 2 3 2 2 3 3 3 3 3" xfId="40442"/>
    <cellStyle name="Normal 2 3 2 2 3 3 3 4" xfId="29231"/>
    <cellStyle name="Normal 2 3 2 2 3 3 3 4 2" xfId="44055"/>
    <cellStyle name="Normal 2 3 2 2 3 3 3 5" xfId="36832"/>
    <cellStyle name="Normal 2 3 2 2 3 3 3 6" xfId="21913"/>
    <cellStyle name="Normal 2 3 2 2 3 3 4" xfId="19390"/>
    <cellStyle name="Normal 2 3 2 2 3 3 4 2" xfId="26760"/>
    <cellStyle name="Normal 2 3 2 2 3 3 4 2 2" xfId="34071"/>
    <cellStyle name="Normal 2 3 2 2 3 3 4 2 2 2" xfId="48891"/>
    <cellStyle name="Normal 2 3 2 2 3 3 4 2 3" xfId="41600"/>
    <cellStyle name="Normal 2 3 2 2 3 3 4 3" xfId="30417"/>
    <cellStyle name="Normal 2 3 2 2 3 3 4 3 2" xfId="45240"/>
    <cellStyle name="Normal 2 3 2 2 3 3 4 4" xfId="37914"/>
    <cellStyle name="Normal 2 3 2 2 3 3 4 5" xfId="23102"/>
    <cellStyle name="Normal 2 3 2 2 3 3 5" xfId="24919"/>
    <cellStyle name="Normal 2 3 2 2 3 3 5 2" xfId="32230"/>
    <cellStyle name="Normal 2 3 2 2 3 3 5 2 2" xfId="47053"/>
    <cellStyle name="Normal 2 3 2 2 3 3 5 3" xfId="39814"/>
    <cellStyle name="Normal 2 3 2 2 3 3 6" xfId="28576"/>
    <cellStyle name="Normal 2 3 2 2 3 3 6 2" xfId="43413"/>
    <cellStyle name="Normal 2 3 2 2 3 3 7" xfId="35603"/>
    <cellStyle name="Normal 2 3 2 2 3 3 8" xfId="21258"/>
    <cellStyle name="Normal 2 3 2 2 3 4" xfId="17573"/>
    <cellStyle name="Normal 2 3 2 2 3 4 2" xfId="18687"/>
    <cellStyle name="Normal 2 3 2 2 3 4 2 2" xfId="20566"/>
    <cellStyle name="Normal 2 3 2 2 3 4 2 2 2" xfId="27892"/>
    <cellStyle name="Normal 2 3 2 2 3 4 2 2 2 2" xfId="35203"/>
    <cellStyle name="Normal 2 3 2 2 3 4 2 2 2 2 2" xfId="50023"/>
    <cellStyle name="Normal 2 3 2 2 3 4 2 2 2 3" xfId="42731"/>
    <cellStyle name="Normal 2 3 2 2 3 4 2 2 3" xfId="31549"/>
    <cellStyle name="Normal 2 3 2 2 3 4 2 2 3 2" xfId="46372"/>
    <cellStyle name="Normal 2 3 2 2 3 4 2 2 4" xfId="39047"/>
    <cellStyle name="Normal 2 3 2 2 3 4 2 2 5" xfId="24234"/>
    <cellStyle name="Normal 2 3 2 2 3 4 2 3" xfId="26066"/>
    <cellStyle name="Normal 2 3 2 2 3 4 2 3 2" xfId="33377"/>
    <cellStyle name="Normal 2 3 2 2 3 4 2 3 2 2" xfId="48197"/>
    <cellStyle name="Normal 2 3 2 2 3 4 2 3 3" xfId="40910"/>
    <cellStyle name="Normal 2 3 2 2 3 4 2 4" xfId="29723"/>
    <cellStyle name="Normal 2 3 2 2 3 4 2 4 2" xfId="44547"/>
    <cellStyle name="Normal 2 3 2 2 3 4 2 5" xfId="37324"/>
    <cellStyle name="Normal 2 3 2 2 3 4 2 6" xfId="22405"/>
    <cellStyle name="Normal 2 3 2 2 3 4 3" xfId="19617"/>
    <cellStyle name="Normal 2 3 2 2 3 4 3 2" xfId="26986"/>
    <cellStyle name="Normal 2 3 2 2 3 4 3 2 2" xfId="34297"/>
    <cellStyle name="Normal 2 3 2 2 3 4 3 2 2 2" xfId="49117"/>
    <cellStyle name="Normal 2 3 2 2 3 4 3 2 3" xfId="41826"/>
    <cellStyle name="Normal 2 3 2 2 3 4 3 3" xfId="30643"/>
    <cellStyle name="Normal 2 3 2 2 3 4 3 3 2" xfId="45466"/>
    <cellStyle name="Normal 2 3 2 2 3 4 3 4" xfId="38140"/>
    <cellStyle name="Normal 2 3 2 2 3 4 3 5" xfId="23328"/>
    <cellStyle name="Normal 2 3 2 2 3 4 4" xfId="25145"/>
    <cellStyle name="Normal 2 3 2 2 3 4 4 2" xfId="32456"/>
    <cellStyle name="Normal 2 3 2 2 3 4 4 2 2" xfId="47279"/>
    <cellStyle name="Normal 2 3 2 2 3 4 4 3" xfId="40039"/>
    <cellStyle name="Normal 2 3 2 2 3 4 5" xfId="28802"/>
    <cellStyle name="Normal 2 3 2 2 3 4 5 2" xfId="43639"/>
    <cellStyle name="Normal 2 3 2 2 3 4 6" xfId="36049"/>
    <cellStyle name="Normal 2 3 2 2 3 4 7" xfId="21484"/>
    <cellStyle name="Normal 2 3 2 2 3 5" xfId="18102"/>
    <cellStyle name="Normal 2 3 2 2 3 5 2" xfId="20071"/>
    <cellStyle name="Normal 2 3 2 2 3 5 2 2" xfId="27397"/>
    <cellStyle name="Normal 2 3 2 2 3 5 2 2 2" xfId="34708"/>
    <cellStyle name="Normal 2 3 2 2 3 5 2 2 2 2" xfId="49528"/>
    <cellStyle name="Normal 2 3 2 2 3 5 2 2 3" xfId="42236"/>
    <cellStyle name="Normal 2 3 2 2 3 5 2 3" xfId="31054"/>
    <cellStyle name="Normal 2 3 2 2 3 5 2 3 2" xfId="45877"/>
    <cellStyle name="Normal 2 3 2 2 3 5 2 4" xfId="38552"/>
    <cellStyle name="Normal 2 3 2 2 3 5 2 5" xfId="23739"/>
    <cellStyle name="Normal 2 3 2 2 3 5 3" xfId="25571"/>
    <cellStyle name="Normal 2 3 2 2 3 5 3 2" xfId="32882"/>
    <cellStyle name="Normal 2 3 2 2 3 5 3 2 2" xfId="47702"/>
    <cellStyle name="Normal 2 3 2 2 3 5 3 3" xfId="40439"/>
    <cellStyle name="Normal 2 3 2 2 3 5 4" xfId="29228"/>
    <cellStyle name="Normal 2 3 2 2 3 5 4 2" xfId="44052"/>
    <cellStyle name="Normal 2 3 2 2 3 5 5" xfId="36758"/>
    <cellStyle name="Normal 2 3 2 2 3 5 6" xfId="21910"/>
    <cellStyle name="Normal 2 3 2 2 3 6" xfId="18189"/>
    <cellStyle name="Normal 2 3 2 2 3 6 2" xfId="26540"/>
    <cellStyle name="Normal 2 3 2 2 3 6 2 2" xfId="33851"/>
    <cellStyle name="Normal 2 3 2 2 3 6 2 2 2" xfId="48671"/>
    <cellStyle name="Normal 2 3 2 2 3 6 2 3" xfId="41380"/>
    <cellStyle name="Normal 2 3 2 2 3 6 3" xfId="30197"/>
    <cellStyle name="Normal 2 3 2 2 3 6 3 2" xfId="45020"/>
    <cellStyle name="Normal 2 3 2 2 3 6 4" xfId="36829"/>
    <cellStyle name="Normal 2 3 2 2 3 6 5" xfId="22882"/>
    <cellStyle name="Normal 2 3 2 2 3 7" xfId="19169"/>
    <cellStyle name="Normal 2 3 2 2 3 7 2" xfId="32006"/>
    <cellStyle name="Normal 2 3 2 2 3 7 2 2" xfId="46829"/>
    <cellStyle name="Normal 2 3 2 2 3 7 3" xfId="37694"/>
    <cellStyle name="Normal 2 3 2 2 3 7 4" xfId="24695"/>
    <cellStyle name="Normal 2 3 2 2 3 8" xfId="28352"/>
    <cellStyle name="Normal 2 3 2 2 3 8 2" xfId="43189"/>
    <cellStyle name="Normal 2 3 2 2 3 8 3" xfId="36660"/>
    <cellStyle name="Normal 2 3 2 2 3 9" xfId="35600"/>
    <cellStyle name="Normal 2 3 2 2 4" xfId="17184"/>
    <cellStyle name="Normal 2 3 2 2 4 2" xfId="17403"/>
    <cellStyle name="Normal 2 3 2 2 4 2 2" xfId="17853"/>
    <cellStyle name="Normal 2 3 2 2 4 2 2 2" xfId="18967"/>
    <cellStyle name="Normal 2 3 2 2 4 2 2 2 2" xfId="20846"/>
    <cellStyle name="Normal 2 3 2 2 4 2 2 2 2 2" xfId="28172"/>
    <cellStyle name="Normal 2 3 2 2 4 2 2 2 2 2 2" xfId="35483"/>
    <cellStyle name="Normal 2 3 2 2 4 2 2 2 2 2 2 2" xfId="50303"/>
    <cellStyle name="Normal 2 3 2 2 4 2 2 2 2 2 3" xfId="43011"/>
    <cellStyle name="Normal 2 3 2 2 4 2 2 2 2 3" xfId="31829"/>
    <cellStyle name="Normal 2 3 2 2 4 2 2 2 2 3 2" xfId="46652"/>
    <cellStyle name="Normal 2 3 2 2 4 2 2 2 2 4" xfId="39327"/>
    <cellStyle name="Normal 2 3 2 2 4 2 2 2 2 5" xfId="24514"/>
    <cellStyle name="Normal 2 3 2 2 4 2 2 2 3" xfId="26346"/>
    <cellStyle name="Normal 2 3 2 2 4 2 2 2 3 2" xfId="33657"/>
    <cellStyle name="Normal 2 3 2 2 4 2 2 2 3 2 2" xfId="48477"/>
    <cellStyle name="Normal 2 3 2 2 4 2 2 2 3 3" xfId="41190"/>
    <cellStyle name="Normal 2 3 2 2 4 2 2 2 4" xfId="30003"/>
    <cellStyle name="Normal 2 3 2 2 4 2 2 2 4 2" xfId="44827"/>
    <cellStyle name="Normal 2 3 2 2 4 2 2 2 5" xfId="37574"/>
    <cellStyle name="Normal 2 3 2 2 4 2 2 2 6" xfId="22685"/>
    <cellStyle name="Normal 2 3 2 2 4 2 2 3" xfId="19897"/>
    <cellStyle name="Normal 2 3 2 2 4 2 2 3 2" xfId="27266"/>
    <cellStyle name="Normal 2 3 2 2 4 2 2 3 2 2" xfId="34577"/>
    <cellStyle name="Normal 2 3 2 2 4 2 2 3 2 2 2" xfId="49397"/>
    <cellStyle name="Normal 2 3 2 2 4 2 2 3 2 3" xfId="42106"/>
    <cellStyle name="Normal 2 3 2 2 4 2 2 3 3" xfId="30923"/>
    <cellStyle name="Normal 2 3 2 2 4 2 2 3 3 2" xfId="45746"/>
    <cellStyle name="Normal 2 3 2 2 4 2 2 3 4" xfId="38420"/>
    <cellStyle name="Normal 2 3 2 2 4 2 2 3 5" xfId="23608"/>
    <cellStyle name="Normal 2 3 2 2 4 2 2 4" xfId="25425"/>
    <cellStyle name="Normal 2 3 2 2 4 2 2 4 2" xfId="32736"/>
    <cellStyle name="Normal 2 3 2 2 4 2 2 4 2 2" xfId="47559"/>
    <cellStyle name="Normal 2 3 2 2 4 2 2 4 3" xfId="40313"/>
    <cellStyle name="Normal 2 3 2 2 4 2 2 5" xfId="29082"/>
    <cellStyle name="Normal 2 3 2 2 4 2 2 5 2" xfId="43919"/>
    <cellStyle name="Normal 2 3 2 2 4 2 2 6" xfId="36054"/>
    <cellStyle name="Normal 2 3 2 2 4 2 2 7" xfId="21764"/>
    <cellStyle name="Normal 2 3 2 2 4 2 3" xfId="18194"/>
    <cellStyle name="Normal 2 3 2 2 4 2 3 2" xfId="20076"/>
    <cellStyle name="Normal 2 3 2 2 4 2 3 2 2" xfId="27402"/>
    <cellStyle name="Normal 2 3 2 2 4 2 3 2 2 2" xfId="34713"/>
    <cellStyle name="Normal 2 3 2 2 4 2 3 2 2 2 2" xfId="49533"/>
    <cellStyle name="Normal 2 3 2 2 4 2 3 2 2 3" xfId="42241"/>
    <cellStyle name="Normal 2 3 2 2 4 2 3 2 3" xfId="31059"/>
    <cellStyle name="Normal 2 3 2 2 4 2 3 2 3 2" xfId="45882"/>
    <cellStyle name="Normal 2 3 2 2 4 2 3 2 4" xfId="38557"/>
    <cellStyle name="Normal 2 3 2 2 4 2 3 2 5" xfId="23744"/>
    <cellStyle name="Normal 2 3 2 2 4 2 3 3" xfId="25576"/>
    <cellStyle name="Normal 2 3 2 2 4 2 3 3 2" xfId="32887"/>
    <cellStyle name="Normal 2 3 2 2 4 2 3 3 2 2" xfId="47707"/>
    <cellStyle name="Normal 2 3 2 2 4 2 3 3 3" xfId="40444"/>
    <cellStyle name="Normal 2 3 2 2 4 2 3 4" xfId="29233"/>
    <cellStyle name="Normal 2 3 2 2 4 2 3 4 2" xfId="44057"/>
    <cellStyle name="Normal 2 3 2 2 4 2 3 5" xfId="36834"/>
    <cellStyle name="Normal 2 3 2 2 4 2 3 6" xfId="21915"/>
    <cellStyle name="Normal 2 3 2 2 4 2 4" xfId="19446"/>
    <cellStyle name="Normal 2 3 2 2 4 2 4 2" xfId="26816"/>
    <cellStyle name="Normal 2 3 2 2 4 2 4 2 2" xfId="34127"/>
    <cellStyle name="Normal 2 3 2 2 4 2 4 2 2 2" xfId="48947"/>
    <cellStyle name="Normal 2 3 2 2 4 2 4 2 3" xfId="41656"/>
    <cellStyle name="Normal 2 3 2 2 4 2 4 3" xfId="30473"/>
    <cellStyle name="Normal 2 3 2 2 4 2 4 3 2" xfId="45296"/>
    <cellStyle name="Normal 2 3 2 2 4 2 4 4" xfId="37970"/>
    <cellStyle name="Normal 2 3 2 2 4 2 4 5" xfId="23158"/>
    <cellStyle name="Normal 2 3 2 2 4 2 5" xfId="24975"/>
    <cellStyle name="Normal 2 3 2 2 4 2 5 2" xfId="32286"/>
    <cellStyle name="Normal 2 3 2 2 4 2 5 2 2" xfId="47109"/>
    <cellStyle name="Normal 2 3 2 2 4 2 5 3" xfId="39870"/>
    <cellStyle name="Normal 2 3 2 2 4 2 6" xfId="28632"/>
    <cellStyle name="Normal 2 3 2 2 4 2 6 2" xfId="43469"/>
    <cellStyle name="Normal 2 3 2 2 4 2 7" xfId="35605"/>
    <cellStyle name="Normal 2 3 2 2 4 2 8" xfId="21314"/>
    <cellStyle name="Normal 2 3 2 2 4 3" xfId="17629"/>
    <cellStyle name="Normal 2 3 2 2 4 3 2" xfId="18743"/>
    <cellStyle name="Normal 2 3 2 2 4 3 2 2" xfId="20622"/>
    <cellStyle name="Normal 2 3 2 2 4 3 2 2 2" xfId="27948"/>
    <cellStyle name="Normal 2 3 2 2 4 3 2 2 2 2" xfId="35259"/>
    <cellStyle name="Normal 2 3 2 2 4 3 2 2 2 2 2" xfId="50079"/>
    <cellStyle name="Normal 2 3 2 2 4 3 2 2 2 3" xfId="42787"/>
    <cellStyle name="Normal 2 3 2 2 4 3 2 2 3" xfId="31605"/>
    <cellStyle name="Normal 2 3 2 2 4 3 2 2 3 2" xfId="46428"/>
    <cellStyle name="Normal 2 3 2 2 4 3 2 2 4" xfId="39103"/>
    <cellStyle name="Normal 2 3 2 2 4 3 2 2 5" xfId="24290"/>
    <cellStyle name="Normal 2 3 2 2 4 3 2 3" xfId="26122"/>
    <cellStyle name="Normal 2 3 2 2 4 3 2 3 2" xfId="33433"/>
    <cellStyle name="Normal 2 3 2 2 4 3 2 3 2 2" xfId="48253"/>
    <cellStyle name="Normal 2 3 2 2 4 3 2 3 3" xfId="40966"/>
    <cellStyle name="Normal 2 3 2 2 4 3 2 4" xfId="29779"/>
    <cellStyle name="Normal 2 3 2 2 4 3 2 4 2" xfId="44603"/>
    <cellStyle name="Normal 2 3 2 2 4 3 2 5" xfId="37380"/>
    <cellStyle name="Normal 2 3 2 2 4 3 2 6" xfId="22461"/>
    <cellStyle name="Normal 2 3 2 2 4 3 3" xfId="19673"/>
    <cellStyle name="Normal 2 3 2 2 4 3 3 2" xfId="27042"/>
    <cellStyle name="Normal 2 3 2 2 4 3 3 2 2" xfId="34353"/>
    <cellStyle name="Normal 2 3 2 2 4 3 3 2 2 2" xfId="49173"/>
    <cellStyle name="Normal 2 3 2 2 4 3 3 2 3" xfId="41882"/>
    <cellStyle name="Normal 2 3 2 2 4 3 3 3" xfId="30699"/>
    <cellStyle name="Normal 2 3 2 2 4 3 3 3 2" xfId="45522"/>
    <cellStyle name="Normal 2 3 2 2 4 3 3 4" xfId="38196"/>
    <cellStyle name="Normal 2 3 2 2 4 3 3 5" xfId="23384"/>
    <cellStyle name="Normal 2 3 2 2 4 3 4" xfId="25201"/>
    <cellStyle name="Normal 2 3 2 2 4 3 4 2" xfId="32512"/>
    <cellStyle name="Normal 2 3 2 2 4 3 4 2 2" xfId="47335"/>
    <cellStyle name="Normal 2 3 2 2 4 3 4 3" xfId="40093"/>
    <cellStyle name="Normal 2 3 2 2 4 3 5" xfId="28858"/>
    <cellStyle name="Normal 2 3 2 2 4 3 5 2" xfId="43695"/>
    <cellStyle name="Normal 2 3 2 2 4 3 6" xfId="36053"/>
    <cellStyle name="Normal 2 3 2 2 4 3 7" xfId="21540"/>
    <cellStyle name="Normal 2 3 2 2 4 4" xfId="18193"/>
    <cellStyle name="Normal 2 3 2 2 4 4 2" xfId="20075"/>
    <cellStyle name="Normal 2 3 2 2 4 4 2 2" xfId="27401"/>
    <cellStyle name="Normal 2 3 2 2 4 4 2 2 2" xfId="34712"/>
    <cellStyle name="Normal 2 3 2 2 4 4 2 2 2 2" xfId="49532"/>
    <cellStyle name="Normal 2 3 2 2 4 4 2 2 3" xfId="42240"/>
    <cellStyle name="Normal 2 3 2 2 4 4 2 3" xfId="31058"/>
    <cellStyle name="Normal 2 3 2 2 4 4 2 3 2" xfId="45881"/>
    <cellStyle name="Normal 2 3 2 2 4 4 2 4" xfId="38556"/>
    <cellStyle name="Normal 2 3 2 2 4 4 2 5" xfId="23743"/>
    <cellStyle name="Normal 2 3 2 2 4 4 3" xfId="25575"/>
    <cellStyle name="Normal 2 3 2 2 4 4 3 2" xfId="32886"/>
    <cellStyle name="Normal 2 3 2 2 4 4 3 2 2" xfId="47706"/>
    <cellStyle name="Normal 2 3 2 2 4 4 3 3" xfId="40443"/>
    <cellStyle name="Normal 2 3 2 2 4 4 4" xfId="29232"/>
    <cellStyle name="Normal 2 3 2 2 4 4 4 2" xfId="44056"/>
    <cellStyle name="Normal 2 3 2 2 4 4 5" xfId="36833"/>
    <cellStyle name="Normal 2 3 2 2 4 4 6" xfId="21914"/>
    <cellStyle name="Normal 2 3 2 2 4 5" xfId="19224"/>
    <cellStyle name="Normal 2 3 2 2 4 5 2" xfId="26594"/>
    <cellStyle name="Normal 2 3 2 2 4 5 2 2" xfId="33905"/>
    <cellStyle name="Normal 2 3 2 2 4 5 2 2 2" xfId="48725"/>
    <cellStyle name="Normal 2 3 2 2 4 5 2 3" xfId="41434"/>
    <cellStyle name="Normal 2 3 2 2 4 5 3" xfId="30251"/>
    <cellStyle name="Normal 2 3 2 2 4 5 3 2" xfId="45074"/>
    <cellStyle name="Normal 2 3 2 2 4 5 4" xfId="37748"/>
    <cellStyle name="Normal 2 3 2 2 4 5 5" xfId="22936"/>
    <cellStyle name="Normal 2 3 2 2 4 6" xfId="24751"/>
    <cellStyle name="Normal 2 3 2 2 4 6 2" xfId="32062"/>
    <cellStyle name="Normal 2 3 2 2 4 6 2 2" xfId="46885"/>
    <cellStyle name="Normal 2 3 2 2 4 6 3" xfId="39653"/>
    <cellStyle name="Normal 2 3 2 2 4 7" xfId="28408"/>
    <cellStyle name="Normal 2 3 2 2 4 7 2" xfId="43245"/>
    <cellStyle name="Normal 2 3 2 2 4 8" xfId="35604"/>
    <cellStyle name="Normal 2 3 2 2 4 9" xfId="21090"/>
    <cellStyle name="Normal 2 3 2 2 5" xfId="17285"/>
    <cellStyle name="Normal 2 3 2 2 5 2" xfId="17741"/>
    <cellStyle name="Normal 2 3 2 2 5 2 2" xfId="18855"/>
    <cellStyle name="Normal 2 3 2 2 5 2 2 2" xfId="20734"/>
    <cellStyle name="Normal 2 3 2 2 5 2 2 2 2" xfId="28060"/>
    <cellStyle name="Normal 2 3 2 2 5 2 2 2 2 2" xfId="35371"/>
    <cellStyle name="Normal 2 3 2 2 5 2 2 2 2 2 2" xfId="50191"/>
    <cellStyle name="Normal 2 3 2 2 5 2 2 2 2 3" xfId="42899"/>
    <cellStyle name="Normal 2 3 2 2 5 2 2 2 3" xfId="31717"/>
    <cellStyle name="Normal 2 3 2 2 5 2 2 2 3 2" xfId="46540"/>
    <cellStyle name="Normal 2 3 2 2 5 2 2 2 4" xfId="39215"/>
    <cellStyle name="Normal 2 3 2 2 5 2 2 2 5" xfId="24402"/>
    <cellStyle name="Normal 2 3 2 2 5 2 2 3" xfId="26234"/>
    <cellStyle name="Normal 2 3 2 2 5 2 2 3 2" xfId="33545"/>
    <cellStyle name="Normal 2 3 2 2 5 2 2 3 2 2" xfId="48365"/>
    <cellStyle name="Normal 2 3 2 2 5 2 2 3 3" xfId="41078"/>
    <cellStyle name="Normal 2 3 2 2 5 2 2 4" xfId="29891"/>
    <cellStyle name="Normal 2 3 2 2 5 2 2 4 2" xfId="44715"/>
    <cellStyle name="Normal 2 3 2 2 5 2 2 5" xfId="37491"/>
    <cellStyle name="Normal 2 3 2 2 5 2 2 6" xfId="22573"/>
    <cellStyle name="Normal 2 3 2 2 5 2 3" xfId="19785"/>
    <cellStyle name="Normal 2 3 2 2 5 2 3 2" xfId="27154"/>
    <cellStyle name="Normal 2 3 2 2 5 2 3 2 2" xfId="34465"/>
    <cellStyle name="Normal 2 3 2 2 5 2 3 2 2 2" xfId="49285"/>
    <cellStyle name="Normal 2 3 2 2 5 2 3 2 3" xfId="41994"/>
    <cellStyle name="Normal 2 3 2 2 5 2 3 3" xfId="30811"/>
    <cellStyle name="Normal 2 3 2 2 5 2 3 3 2" xfId="45634"/>
    <cellStyle name="Normal 2 3 2 2 5 2 3 4" xfId="38308"/>
    <cellStyle name="Normal 2 3 2 2 5 2 3 5" xfId="23496"/>
    <cellStyle name="Normal 2 3 2 2 5 2 4" xfId="25313"/>
    <cellStyle name="Normal 2 3 2 2 5 2 4 2" xfId="32624"/>
    <cellStyle name="Normal 2 3 2 2 5 2 4 2 2" xfId="47447"/>
    <cellStyle name="Normal 2 3 2 2 5 2 4 3" xfId="40202"/>
    <cellStyle name="Normal 2 3 2 2 5 2 5" xfId="28970"/>
    <cellStyle name="Normal 2 3 2 2 5 2 5 2" xfId="43807"/>
    <cellStyle name="Normal 2 3 2 2 5 2 6" xfId="36055"/>
    <cellStyle name="Normal 2 3 2 2 5 2 7" xfId="21652"/>
    <cellStyle name="Normal 2 3 2 2 5 3" xfId="18195"/>
    <cellStyle name="Normal 2 3 2 2 5 3 2" xfId="20077"/>
    <cellStyle name="Normal 2 3 2 2 5 3 2 2" xfId="27403"/>
    <cellStyle name="Normal 2 3 2 2 5 3 2 2 2" xfId="34714"/>
    <cellStyle name="Normal 2 3 2 2 5 3 2 2 2 2" xfId="49534"/>
    <cellStyle name="Normal 2 3 2 2 5 3 2 2 3" xfId="42242"/>
    <cellStyle name="Normal 2 3 2 2 5 3 2 3" xfId="31060"/>
    <cellStyle name="Normal 2 3 2 2 5 3 2 3 2" xfId="45883"/>
    <cellStyle name="Normal 2 3 2 2 5 3 2 4" xfId="38558"/>
    <cellStyle name="Normal 2 3 2 2 5 3 2 5" xfId="23745"/>
    <cellStyle name="Normal 2 3 2 2 5 3 3" xfId="25577"/>
    <cellStyle name="Normal 2 3 2 2 5 3 3 2" xfId="32888"/>
    <cellStyle name="Normal 2 3 2 2 5 3 3 2 2" xfId="47708"/>
    <cellStyle name="Normal 2 3 2 2 5 3 3 3" xfId="40445"/>
    <cellStyle name="Normal 2 3 2 2 5 3 4" xfId="29234"/>
    <cellStyle name="Normal 2 3 2 2 5 3 4 2" xfId="44058"/>
    <cellStyle name="Normal 2 3 2 2 5 3 5" xfId="36835"/>
    <cellStyle name="Normal 2 3 2 2 5 3 6" xfId="21916"/>
    <cellStyle name="Normal 2 3 2 2 5 4" xfId="19334"/>
    <cellStyle name="Normal 2 3 2 2 5 4 2" xfId="26704"/>
    <cellStyle name="Normal 2 3 2 2 5 4 2 2" xfId="34015"/>
    <cellStyle name="Normal 2 3 2 2 5 4 2 2 2" xfId="48835"/>
    <cellStyle name="Normal 2 3 2 2 5 4 2 3" xfId="41544"/>
    <cellStyle name="Normal 2 3 2 2 5 4 3" xfId="30361"/>
    <cellStyle name="Normal 2 3 2 2 5 4 3 2" xfId="45184"/>
    <cellStyle name="Normal 2 3 2 2 5 4 4" xfId="37858"/>
    <cellStyle name="Normal 2 3 2 2 5 4 5" xfId="23046"/>
    <cellStyle name="Normal 2 3 2 2 5 5" xfId="24863"/>
    <cellStyle name="Normal 2 3 2 2 5 5 2" xfId="32174"/>
    <cellStyle name="Normal 2 3 2 2 5 5 2 2" xfId="46997"/>
    <cellStyle name="Normal 2 3 2 2 5 5 3" xfId="39759"/>
    <cellStyle name="Normal 2 3 2 2 5 6" xfId="28520"/>
    <cellStyle name="Normal 2 3 2 2 5 6 2" xfId="43357"/>
    <cellStyle name="Normal 2 3 2 2 5 7" xfId="35606"/>
    <cellStyle name="Normal 2 3 2 2 5 8" xfId="21202"/>
    <cellStyle name="Normal 2 3 2 2 6" xfId="17517"/>
    <cellStyle name="Normal 2 3 2 2 6 2" xfId="18631"/>
    <cellStyle name="Normal 2 3 2 2 6 2 2" xfId="20510"/>
    <cellStyle name="Normal 2 3 2 2 6 2 2 2" xfId="27836"/>
    <cellStyle name="Normal 2 3 2 2 6 2 2 2 2" xfId="35147"/>
    <cellStyle name="Normal 2 3 2 2 6 2 2 2 2 2" xfId="49967"/>
    <cellStyle name="Normal 2 3 2 2 6 2 2 2 3" xfId="42675"/>
    <cellStyle name="Normal 2 3 2 2 6 2 2 3" xfId="31493"/>
    <cellStyle name="Normal 2 3 2 2 6 2 2 3 2" xfId="46316"/>
    <cellStyle name="Normal 2 3 2 2 6 2 2 4" xfId="38991"/>
    <cellStyle name="Normal 2 3 2 2 6 2 2 5" xfId="24178"/>
    <cellStyle name="Normal 2 3 2 2 6 2 3" xfId="26010"/>
    <cellStyle name="Normal 2 3 2 2 6 2 3 2" xfId="33321"/>
    <cellStyle name="Normal 2 3 2 2 6 2 3 2 2" xfId="48141"/>
    <cellStyle name="Normal 2 3 2 2 6 2 3 3" xfId="40854"/>
    <cellStyle name="Normal 2 3 2 2 6 2 4" xfId="29667"/>
    <cellStyle name="Normal 2 3 2 2 6 2 4 2" xfId="44491"/>
    <cellStyle name="Normal 2 3 2 2 6 2 5" xfId="37268"/>
    <cellStyle name="Normal 2 3 2 2 6 2 6" xfId="22349"/>
    <cellStyle name="Normal 2 3 2 2 6 3" xfId="19561"/>
    <cellStyle name="Normal 2 3 2 2 6 3 2" xfId="26930"/>
    <cellStyle name="Normal 2 3 2 2 6 3 2 2" xfId="34241"/>
    <cellStyle name="Normal 2 3 2 2 6 3 2 2 2" xfId="49061"/>
    <cellStyle name="Normal 2 3 2 2 6 3 2 3" xfId="41770"/>
    <cellStyle name="Normal 2 3 2 2 6 3 3" xfId="30587"/>
    <cellStyle name="Normal 2 3 2 2 6 3 3 2" xfId="45410"/>
    <cellStyle name="Normal 2 3 2 2 6 3 4" xfId="38084"/>
    <cellStyle name="Normal 2 3 2 2 6 3 5" xfId="23272"/>
    <cellStyle name="Normal 2 3 2 2 6 4" xfId="25089"/>
    <cellStyle name="Normal 2 3 2 2 6 4 2" xfId="32400"/>
    <cellStyle name="Normal 2 3 2 2 6 4 2 2" xfId="47223"/>
    <cellStyle name="Normal 2 3 2 2 6 4 3" xfId="39984"/>
    <cellStyle name="Normal 2 3 2 2 6 5" xfId="28746"/>
    <cellStyle name="Normal 2 3 2 2 6 5 2" xfId="43583"/>
    <cellStyle name="Normal 2 3 2 2 6 6" xfId="36040"/>
    <cellStyle name="Normal 2 3 2 2 6 7" xfId="21428"/>
    <cellStyle name="Normal 2 3 2 2 7" xfId="18054"/>
    <cellStyle name="Normal 2 3 2 2 7 2" xfId="18180"/>
    <cellStyle name="Normal 2 3 2 2 7 2 2" xfId="27388"/>
    <cellStyle name="Normal 2 3 2 2 7 2 2 2" xfId="34699"/>
    <cellStyle name="Normal 2 3 2 2 7 2 2 2 2" xfId="49519"/>
    <cellStyle name="Normal 2 3 2 2 7 2 2 3" xfId="42227"/>
    <cellStyle name="Normal 2 3 2 2 7 2 3" xfId="31045"/>
    <cellStyle name="Normal 2 3 2 2 7 2 3 2" xfId="45868"/>
    <cellStyle name="Normal 2 3 2 2 7 2 4" xfId="36820"/>
    <cellStyle name="Normal 2 3 2 2 7 2 5" xfId="23730"/>
    <cellStyle name="Normal 2 3 2 2 7 3" xfId="20062"/>
    <cellStyle name="Normal 2 3 2 2 7 3 2" xfId="32873"/>
    <cellStyle name="Normal 2 3 2 2 7 3 2 2" xfId="47693"/>
    <cellStyle name="Normal 2 3 2 2 7 3 3" xfId="38543"/>
    <cellStyle name="Normal 2 3 2 2 7 3 4" xfId="25562"/>
    <cellStyle name="Normal 2 3 2 2 7 4" xfId="29219"/>
    <cellStyle name="Normal 2 3 2 2 7 4 2" xfId="44043"/>
    <cellStyle name="Normal 2 3 2 2 7 5" xfId="36711"/>
    <cellStyle name="Normal 2 3 2 2 7 6" xfId="21901"/>
    <cellStyle name="Normal 2 3 2 2 8" xfId="20022"/>
    <cellStyle name="Normal 2 3 2 2 9" xfId="19115"/>
    <cellStyle name="Normal 2 3 2 2 9 2" xfId="26489"/>
    <cellStyle name="Normal 2 3 2 2 9 2 2" xfId="33800"/>
    <cellStyle name="Normal 2 3 2 2 9 2 2 2" xfId="48620"/>
    <cellStyle name="Normal 2 3 2 2 9 2 3" xfId="41329"/>
    <cellStyle name="Normal 2 3 2 2 9 3" xfId="30146"/>
    <cellStyle name="Normal 2 3 2 2 9 3 2" xfId="44969"/>
    <cellStyle name="Normal 2 3 2 2 9 4" xfId="37643"/>
    <cellStyle name="Normal 2 3 2 2 9 5" xfId="22831"/>
    <cellStyle name="Normal 2 3 2 3" xfId="17201"/>
    <cellStyle name="Normal 2 3 2 3 10" xfId="35607"/>
    <cellStyle name="Normal 2 3 2 3 11" xfId="20992"/>
    <cellStyle name="Normal 2 3 2 3 2" xfId="17358"/>
    <cellStyle name="Normal 2 3 2 3 2 10" xfId="21048"/>
    <cellStyle name="Normal 2 3 2 3 2 2" xfId="17473"/>
    <cellStyle name="Normal 2 3 2 3 2 2 2" xfId="17923"/>
    <cellStyle name="Normal 2 3 2 3 2 2 2 2" xfId="19037"/>
    <cellStyle name="Normal 2 3 2 3 2 2 2 2 2" xfId="20916"/>
    <cellStyle name="Normal 2 3 2 3 2 2 2 2 2 2" xfId="24584"/>
    <cellStyle name="Normal 2 3 2 3 2 2 2 2 2 2 2" xfId="28242"/>
    <cellStyle name="Normal 2 3 2 3 2 2 2 2 2 2 2 2" xfId="35553"/>
    <cellStyle name="Normal 2 3 2 3 2 2 2 2 2 2 2 2 2" xfId="50373"/>
    <cellStyle name="Normal 2 3 2 3 2 2 2 2 2 2 2 3" xfId="43081"/>
    <cellStyle name="Normal 2 3 2 3 2 2 2 2 2 2 3" xfId="31899"/>
    <cellStyle name="Normal 2 3 2 3 2 2 2 2 2 2 3 2" xfId="46722"/>
    <cellStyle name="Normal 2 3 2 3 2 2 2 2 2 2 4" xfId="39516"/>
    <cellStyle name="Normal 2 3 2 3 2 2 2 2 2 3" xfId="26416"/>
    <cellStyle name="Normal 2 3 2 3 2 2 2 2 2 3 2" xfId="33727"/>
    <cellStyle name="Normal 2 3 2 3 2 2 2 2 2 3 2 2" xfId="48547"/>
    <cellStyle name="Normal 2 3 2 3 2 2 2 2 2 3 3" xfId="41260"/>
    <cellStyle name="Normal 2 3 2 3 2 2 2 2 2 4" xfId="30073"/>
    <cellStyle name="Normal 2 3 2 3 2 2 2 2 2 4 2" xfId="44897"/>
    <cellStyle name="Normal 2 3 2 3 2 2 2 2 2 5" xfId="39397"/>
    <cellStyle name="Normal 2 3 2 3 2 2 2 2 2 6" xfId="22755"/>
    <cellStyle name="Normal 2 3 2 3 2 2 2 2 3" xfId="19967"/>
    <cellStyle name="Normal 2 3 2 3 2 2 2 2 3 2" xfId="27336"/>
    <cellStyle name="Normal 2 3 2 3 2 2 2 2 3 2 2" xfId="34647"/>
    <cellStyle name="Normal 2 3 2 3 2 2 2 2 3 2 2 2" xfId="49467"/>
    <cellStyle name="Normal 2 3 2 3 2 2 2 2 3 2 3" xfId="42176"/>
    <cellStyle name="Normal 2 3 2 3 2 2 2 2 3 3" xfId="30993"/>
    <cellStyle name="Normal 2 3 2 3 2 2 2 2 3 3 2" xfId="45816"/>
    <cellStyle name="Normal 2 3 2 3 2 2 2 2 3 4" xfId="38490"/>
    <cellStyle name="Normal 2 3 2 3 2 2 2 2 3 5" xfId="23678"/>
    <cellStyle name="Normal 2 3 2 3 2 2 2 2 4" xfId="25495"/>
    <cellStyle name="Normal 2 3 2 3 2 2 2 2 4 2" xfId="32806"/>
    <cellStyle name="Normal 2 3 2 3 2 2 2 2 4 2 2" xfId="47629"/>
    <cellStyle name="Normal 2 3 2 3 2 2 2 2 4 3" xfId="40383"/>
    <cellStyle name="Normal 2 3 2 3 2 2 2 2 5" xfId="29152"/>
    <cellStyle name="Normal 2 3 2 3 2 2 2 2 5 2" xfId="43989"/>
    <cellStyle name="Normal 2 3 2 3 2 2 2 2 6" xfId="36059"/>
    <cellStyle name="Normal 2 3 2 3 2 2 2 2 7" xfId="21834"/>
    <cellStyle name="Normal 2 3 2 3 2 2 2 3" xfId="18199"/>
    <cellStyle name="Normal 2 3 2 3 2 2 2 3 2" xfId="20081"/>
    <cellStyle name="Normal 2 3 2 3 2 2 2 3 2 2" xfId="27407"/>
    <cellStyle name="Normal 2 3 2 3 2 2 2 3 2 2 2" xfId="34718"/>
    <cellStyle name="Normal 2 3 2 3 2 2 2 3 2 2 2 2" xfId="49538"/>
    <cellStyle name="Normal 2 3 2 3 2 2 2 3 2 2 3" xfId="42246"/>
    <cellStyle name="Normal 2 3 2 3 2 2 2 3 2 3" xfId="31064"/>
    <cellStyle name="Normal 2 3 2 3 2 2 2 3 2 3 2" xfId="45887"/>
    <cellStyle name="Normal 2 3 2 3 2 2 2 3 2 4" xfId="38562"/>
    <cellStyle name="Normal 2 3 2 3 2 2 2 3 2 5" xfId="23749"/>
    <cellStyle name="Normal 2 3 2 3 2 2 2 3 3" xfId="25581"/>
    <cellStyle name="Normal 2 3 2 3 2 2 2 3 3 2" xfId="32892"/>
    <cellStyle name="Normal 2 3 2 3 2 2 2 3 3 2 2" xfId="47712"/>
    <cellStyle name="Normal 2 3 2 3 2 2 2 3 3 3" xfId="40449"/>
    <cellStyle name="Normal 2 3 2 3 2 2 2 3 4" xfId="29238"/>
    <cellStyle name="Normal 2 3 2 3 2 2 2 3 4 2" xfId="44062"/>
    <cellStyle name="Normal 2 3 2 3 2 2 2 3 5" xfId="36839"/>
    <cellStyle name="Normal 2 3 2 3 2 2 2 3 6" xfId="21920"/>
    <cellStyle name="Normal 2 3 2 3 2 2 2 4" xfId="19516"/>
    <cellStyle name="Normal 2 3 2 3 2 2 2 4 2" xfId="26886"/>
    <cellStyle name="Normal 2 3 2 3 2 2 2 4 2 2" xfId="34197"/>
    <cellStyle name="Normal 2 3 2 3 2 2 2 4 2 2 2" xfId="49017"/>
    <cellStyle name="Normal 2 3 2 3 2 2 2 4 2 3" xfId="41726"/>
    <cellStyle name="Normal 2 3 2 3 2 2 2 4 3" xfId="30543"/>
    <cellStyle name="Normal 2 3 2 3 2 2 2 4 3 2" xfId="45366"/>
    <cellStyle name="Normal 2 3 2 3 2 2 2 4 4" xfId="38040"/>
    <cellStyle name="Normal 2 3 2 3 2 2 2 4 5" xfId="23228"/>
    <cellStyle name="Normal 2 3 2 3 2 2 2 5" xfId="25045"/>
    <cellStyle name="Normal 2 3 2 3 2 2 2 5 2" xfId="32356"/>
    <cellStyle name="Normal 2 3 2 3 2 2 2 5 2 2" xfId="47179"/>
    <cellStyle name="Normal 2 3 2 3 2 2 2 5 3" xfId="39940"/>
    <cellStyle name="Normal 2 3 2 3 2 2 2 6" xfId="28702"/>
    <cellStyle name="Normal 2 3 2 3 2 2 2 6 2" xfId="43539"/>
    <cellStyle name="Normal 2 3 2 3 2 2 2 7" xfId="35610"/>
    <cellStyle name="Normal 2 3 2 3 2 2 2 8" xfId="21384"/>
    <cellStyle name="Normal 2 3 2 3 2 2 3" xfId="17699"/>
    <cellStyle name="Normal 2 3 2 3 2 2 3 2" xfId="18813"/>
    <cellStyle name="Normal 2 3 2 3 2 2 3 2 2" xfId="20692"/>
    <cellStyle name="Normal 2 3 2 3 2 2 3 2 2 2" xfId="28018"/>
    <cellStyle name="Normal 2 3 2 3 2 2 3 2 2 2 2" xfId="35329"/>
    <cellStyle name="Normal 2 3 2 3 2 2 3 2 2 2 2 2" xfId="50149"/>
    <cellStyle name="Normal 2 3 2 3 2 2 3 2 2 2 3" xfId="42857"/>
    <cellStyle name="Normal 2 3 2 3 2 2 3 2 2 3" xfId="31675"/>
    <cellStyle name="Normal 2 3 2 3 2 2 3 2 2 3 2" xfId="46498"/>
    <cellStyle name="Normal 2 3 2 3 2 2 3 2 2 4" xfId="39173"/>
    <cellStyle name="Normal 2 3 2 3 2 2 3 2 2 5" xfId="24360"/>
    <cellStyle name="Normal 2 3 2 3 2 2 3 2 3" xfId="26192"/>
    <cellStyle name="Normal 2 3 2 3 2 2 3 2 3 2" xfId="33503"/>
    <cellStyle name="Normal 2 3 2 3 2 2 3 2 3 2 2" xfId="48323"/>
    <cellStyle name="Normal 2 3 2 3 2 2 3 2 3 3" xfId="41036"/>
    <cellStyle name="Normal 2 3 2 3 2 2 3 2 4" xfId="29849"/>
    <cellStyle name="Normal 2 3 2 3 2 2 3 2 4 2" xfId="44673"/>
    <cellStyle name="Normal 2 3 2 3 2 2 3 2 5" xfId="37450"/>
    <cellStyle name="Normal 2 3 2 3 2 2 3 2 6" xfId="22531"/>
    <cellStyle name="Normal 2 3 2 3 2 2 3 3" xfId="19743"/>
    <cellStyle name="Normal 2 3 2 3 2 2 3 3 2" xfId="27112"/>
    <cellStyle name="Normal 2 3 2 3 2 2 3 3 2 2" xfId="34423"/>
    <cellStyle name="Normal 2 3 2 3 2 2 3 3 2 2 2" xfId="49243"/>
    <cellStyle name="Normal 2 3 2 3 2 2 3 3 2 3" xfId="41952"/>
    <cellStyle name="Normal 2 3 2 3 2 2 3 3 3" xfId="30769"/>
    <cellStyle name="Normal 2 3 2 3 2 2 3 3 3 2" xfId="45592"/>
    <cellStyle name="Normal 2 3 2 3 2 2 3 3 4" xfId="38266"/>
    <cellStyle name="Normal 2 3 2 3 2 2 3 3 5" xfId="23454"/>
    <cellStyle name="Normal 2 3 2 3 2 2 3 4" xfId="25271"/>
    <cellStyle name="Normal 2 3 2 3 2 2 3 4 2" xfId="32582"/>
    <cellStyle name="Normal 2 3 2 3 2 2 3 4 2 2" xfId="47405"/>
    <cellStyle name="Normal 2 3 2 3 2 2 3 4 3" xfId="40163"/>
    <cellStyle name="Normal 2 3 2 3 2 2 3 5" xfId="28928"/>
    <cellStyle name="Normal 2 3 2 3 2 2 3 5 2" xfId="43765"/>
    <cellStyle name="Normal 2 3 2 3 2 2 3 6" xfId="36058"/>
    <cellStyle name="Normal 2 3 2 3 2 2 3 7" xfId="21610"/>
    <cellStyle name="Normal 2 3 2 3 2 2 4" xfId="18198"/>
    <cellStyle name="Normal 2 3 2 3 2 2 4 2" xfId="20080"/>
    <cellStyle name="Normal 2 3 2 3 2 2 4 2 2" xfId="27406"/>
    <cellStyle name="Normal 2 3 2 3 2 2 4 2 2 2" xfId="34717"/>
    <cellStyle name="Normal 2 3 2 3 2 2 4 2 2 2 2" xfId="49537"/>
    <cellStyle name="Normal 2 3 2 3 2 2 4 2 2 3" xfId="42245"/>
    <cellStyle name="Normal 2 3 2 3 2 2 4 2 3" xfId="31063"/>
    <cellStyle name="Normal 2 3 2 3 2 2 4 2 3 2" xfId="45886"/>
    <cellStyle name="Normal 2 3 2 3 2 2 4 2 4" xfId="38561"/>
    <cellStyle name="Normal 2 3 2 3 2 2 4 2 5" xfId="23748"/>
    <cellStyle name="Normal 2 3 2 3 2 2 4 3" xfId="25580"/>
    <cellStyle name="Normal 2 3 2 3 2 2 4 3 2" xfId="32891"/>
    <cellStyle name="Normal 2 3 2 3 2 2 4 3 2 2" xfId="47711"/>
    <cellStyle name="Normal 2 3 2 3 2 2 4 3 3" xfId="40448"/>
    <cellStyle name="Normal 2 3 2 3 2 2 4 4" xfId="29237"/>
    <cellStyle name="Normal 2 3 2 3 2 2 4 4 2" xfId="44061"/>
    <cellStyle name="Normal 2 3 2 3 2 2 4 5" xfId="36838"/>
    <cellStyle name="Normal 2 3 2 3 2 2 4 6" xfId="21919"/>
    <cellStyle name="Normal 2 3 2 3 2 2 5" xfId="19292"/>
    <cellStyle name="Normal 2 3 2 3 2 2 5 2" xfId="26662"/>
    <cellStyle name="Normal 2 3 2 3 2 2 5 2 2" xfId="33973"/>
    <cellStyle name="Normal 2 3 2 3 2 2 5 2 2 2" xfId="48793"/>
    <cellStyle name="Normal 2 3 2 3 2 2 5 2 3" xfId="41502"/>
    <cellStyle name="Normal 2 3 2 3 2 2 5 3" xfId="30319"/>
    <cellStyle name="Normal 2 3 2 3 2 2 5 3 2" xfId="45142"/>
    <cellStyle name="Normal 2 3 2 3 2 2 5 4" xfId="37816"/>
    <cellStyle name="Normal 2 3 2 3 2 2 5 5" xfId="23004"/>
    <cellStyle name="Normal 2 3 2 3 2 2 6" xfId="24821"/>
    <cellStyle name="Normal 2 3 2 3 2 2 6 2" xfId="32132"/>
    <cellStyle name="Normal 2 3 2 3 2 2 6 2 2" xfId="46955"/>
    <cellStyle name="Normal 2 3 2 3 2 2 6 3" xfId="39720"/>
    <cellStyle name="Normal 2 3 2 3 2 2 7" xfId="28478"/>
    <cellStyle name="Normal 2 3 2 3 2 2 7 2" xfId="43315"/>
    <cellStyle name="Normal 2 3 2 3 2 2 8" xfId="35609"/>
    <cellStyle name="Normal 2 3 2 3 2 2 9" xfId="21160"/>
    <cellStyle name="Normal 2 3 2 3 2 3" xfId="17811"/>
    <cellStyle name="Normal 2 3 2 3 2 3 2" xfId="18925"/>
    <cellStyle name="Normal 2 3 2 3 2 3 2 2" xfId="20804"/>
    <cellStyle name="Normal 2 3 2 3 2 3 2 2 2" xfId="24472"/>
    <cellStyle name="Normal 2 3 2 3 2 3 2 2 2 2" xfId="28130"/>
    <cellStyle name="Normal 2 3 2 3 2 3 2 2 2 2 2" xfId="35441"/>
    <cellStyle name="Normal 2 3 2 3 2 3 2 2 2 2 2 2" xfId="50261"/>
    <cellStyle name="Normal 2 3 2 3 2 3 2 2 2 2 3" xfId="42969"/>
    <cellStyle name="Normal 2 3 2 3 2 3 2 2 2 3" xfId="31787"/>
    <cellStyle name="Normal 2 3 2 3 2 3 2 2 2 3 2" xfId="46610"/>
    <cellStyle name="Normal 2 3 2 3 2 3 2 2 2 4" xfId="39436"/>
    <cellStyle name="Normal 2 3 2 3 2 3 2 2 3" xfId="26304"/>
    <cellStyle name="Normal 2 3 2 3 2 3 2 2 3 2" xfId="33615"/>
    <cellStyle name="Normal 2 3 2 3 2 3 2 2 3 2 2" xfId="48435"/>
    <cellStyle name="Normal 2 3 2 3 2 3 2 2 3 3" xfId="41148"/>
    <cellStyle name="Normal 2 3 2 3 2 3 2 2 4" xfId="29961"/>
    <cellStyle name="Normal 2 3 2 3 2 3 2 2 4 2" xfId="44785"/>
    <cellStyle name="Normal 2 3 2 3 2 3 2 2 5" xfId="39285"/>
    <cellStyle name="Normal 2 3 2 3 2 3 2 2 6" xfId="22643"/>
    <cellStyle name="Normal 2 3 2 3 2 3 2 3" xfId="19855"/>
    <cellStyle name="Normal 2 3 2 3 2 3 2 3 2" xfId="27224"/>
    <cellStyle name="Normal 2 3 2 3 2 3 2 3 2 2" xfId="34535"/>
    <cellStyle name="Normal 2 3 2 3 2 3 2 3 2 2 2" xfId="49355"/>
    <cellStyle name="Normal 2 3 2 3 2 3 2 3 2 3" xfId="42064"/>
    <cellStyle name="Normal 2 3 2 3 2 3 2 3 3" xfId="30881"/>
    <cellStyle name="Normal 2 3 2 3 2 3 2 3 3 2" xfId="45704"/>
    <cellStyle name="Normal 2 3 2 3 2 3 2 3 4" xfId="38378"/>
    <cellStyle name="Normal 2 3 2 3 2 3 2 3 5" xfId="23566"/>
    <cellStyle name="Normal 2 3 2 3 2 3 2 4" xfId="25383"/>
    <cellStyle name="Normal 2 3 2 3 2 3 2 4 2" xfId="32694"/>
    <cellStyle name="Normal 2 3 2 3 2 3 2 4 2 2" xfId="47517"/>
    <cellStyle name="Normal 2 3 2 3 2 3 2 4 3" xfId="40271"/>
    <cellStyle name="Normal 2 3 2 3 2 3 2 5" xfId="29040"/>
    <cellStyle name="Normal 2 3 2 3 2 3 2 5 2" xfId="43877"/>
    <cellStyle name="Normal 2 3 2 3 2 3 2 6" xfId="36060"/>
    <cellStyle name="Normal 2 3 2 3 2 3 2 7" xfId="21722"/>
    <cellStyle name="Normal 2 3 2 3 2 3 3" xfId="18200"/>
    <cellStyle name="Normal 2 3 2 3 2 3 3 2" xfId="20082"/>
    <cellStyle name="Normal 2 3 2 3 2 3 3 2 2" xfId="27408"/>
    <cellStyle name="Normal 2 3 2 3 2 3 3 2 2 2" xfId="34719"/>
    <cellStyle name="Normal 2 3 2 3 2 3 3 2 2 2 2" xfId="49539"/>
    <cellStyle name="Normal 2 3 2 3 2 3 3 2 2 3" xfId="42247"/>
    <cellStyle name="Normal 2 3 2 3 2 3 3 2 3" xfId="31065"/>
    <cellStyle name="Normal 2 3 2 3 2 3 3 2 3 2" xfId="45888"/>
    <cellStyle name="Normal 2 3 2 3 2 3 3 2 4" xfId="38563"/>
    <cellStyle name="Normal 2 3 2 3 2 3 3 2 5" xfId="23750"/>
    <cellStyle name="Normal 2 3 2 3 2 3 3 3" xfId="25582"/>
    <cellStyle name="Normal 2 3 2 3 2 3 3 3 2" xfId="32893"/>
    <cellStyle name="Normal 2 3 2 3 2 3 3 3 2 2" xfId="47713"/>
    <cellStyle name="Normal 2 3 2 3 2 3 3 3 3" xfId="40450"/>
    <cellStyle name="Normal 2 3 2 3 2 3 3 4" xfId="29239"/>
    <cellStyle name="Normal 2 3 2 3 2 3 3 4 2" xfId="44063"/>
    <cellStyle name="Normal 2 3 2 3 2 3 3 5" xfId="36840"/>
    <cellStyle name="Normal 2 3 2 3 2 3 3 6" xfId="21921"/>
    <cellStyle name="Normal 2 3 2 3 2 3 4" xfId="19404"/>
    <cellStyle name="Normal 2 3 2 3 2 3 4 2" xfId="26774"/>
    <cellStyle name="Normal 2 3 2 3 2 3 4 2 2" xfId="34085"/>
    <cellStyle name="Normal 2 3 2 3 2 3 4 2 2 2" xfId="48905"/>
    <cellStyle name="Normal 2 3 2 3 2 3 4 2 3" xfId="41614"/>
    <cellStyle name="Normal 2 3 2 3 2 3 4 3" xfId="30431"/>
    <cellStyle name="Normal 2 3 2 3 2 3 4 3 2" xfId="45254"/>
    <cellStyle name="Normal 2 3 2 3 2 3 4 4" xfId="37928"/>
    <cellStyle name="Normal 2 3 2 3 2 3 4 5" xfId="23116"/>
    <cellStyle name="Normal 2 3 2 3 2 3 5" xfId="24933"/>
    <cellStyle name="Normal 2 3 2 3 2 3 5 2" xfId="32244"/>
    <cellStyle name="Normal 2 3 2 3 2 3 5 2 2" xfId="47067"/>
    <cellStyle name="Normal 2 3 2 3 2 3 5 3" xfId="39828"/>
    <cellStyle name="Normal 2 3 2 3 2 3 6" xfId="28590"/>
    <cellStyle name="Normal 2 3 2 3 2 3 6 2" xfId="43427"/>
    <cellStyle name="Normal 2 3 2 3 2 3 7" xfId="35611"/>
    <cellStyle name="Normal 2 3 2 3 2 3 8" xfId="21272"/>
    <cellStyle name="Normal 2 3 2 3 2 4" xfId="17587"/>
    <cellStyle name="Normal 2 3 2 3 2 4 2" xfId="18701"/>
    <cellStyle name="Normal 2 3 2 3 2 4 2 2" xfId="20580"/>
    <cellStyle name="Normal 2 3 2 3 2 4 2 2 2" xfId="27906"/>
    <cellStyle name="Normal 2 3 2 3 2 4 2 2 2 2" xfId="35217"/>
    <cellStyle name="Normal 2 3 2 3 2 4 2 2 2 2 2" xfId="50037"/>
    <cellStyle name="Normal 2 3 2 3 2 4 2 2 2 3" xfId="42745"/>
    <cellStyle name="Normal 2 3 2 3 2 4 2 2 3" xfId="31563"/>
    <cellStyle name="Normal 2 3 2 3 2 4 2 2 3 2" xfId="46386"/>
    <cellStyle name="Normal 2 3 2 3 2 4 2 2 4" xfId="39061"/>
    <cellStyle name="Normal 2 3 2 3 2 4 2 2 5" xfId="24248"/>
    <cellStyle name="Normal 2 3 2 3 2 4 2 3" xfId="26080"/>
    <cellStyle name="Normal 2 3 2 3 2 4 2 3 2" xfId="33391"/>
    <cellStyle name="Normal 2 3 2 3 2 4 2 3 2 2" xfId="48211"/>
    <cellStyle name="Normal 2 3 2 3 2 4 2 3 3" xfId="40924"/>
    <cellStyle name="Normal 2 3 2 3 2 4 2 4" xfId="29737"/>
    <cellStyle name="Normal 2 3 2 3 2 4 2 4 2" xfId="44561"/>
    <cellStyle name="Normal 2 3 2 3 2 4 2 5" xfId="37338"/>
    <cellStyle name="Normal 2 3 2 3 2 4 2 6" xfId="22419"/>
    <cellStyle name="Normal 2 3 2 3 2 4 3" xfId="19631"/>
    <cellStyle name="Normal 2 3 2 3 2 4 3 2" xfId="27000"/>
    <cellStyle name="Normal 2 3 2 3 2 4 3 2 2" xfId="34311"/>
    <cellStyle name="Normal 2 3 2 3 2 4 3 2 2 2" xfId="49131"/>
    <cellStyle name="Normal 2 3 2 3 2 4 3 2 3" xfId="41840"/>
    <cellStyle name="Normal 2 3 2 3 2 4 3 3" xfId="30657"/>
    <cellStyle name="Normal 2 3 2 3 2 4 3 3 2" xfId="45480"/>
    <cellStyle name="Normal 2 3 2 3 2 4 3 4" xfId="38154"/>
    <cellStyle name="Normal 2 3 2 3 2 4 3 5" xfId="23342"/>
    <cellStyle name="Normal 2 3 2 3 2 4 4" xfId="25159"/>
    <cellStyle name="Normal 2 3 2 3 2 4 4 2" xfId="32470"/>
    <cellStyle name="Normal 2 3 2 3 2 4 4 2 2" xfId="47293"/>
    <cellStyle name="Normal 2 3 2 3 2 4 4 3" xfId="40053"/>
    <cellStyle name="Normal 2 3 2 3 2 4 5" xfId="28816"/>
    <cellStyle name="Normal 2 3 2 3 2 4 5 2" xfId="43653"/>
    <cellStyle name="Normal 2 3 2 3 2 4 6" xfId="36057"/>
    <cellStyle name="Normal 2 3 2 3 2 4 7" xfId="21498"/>
    <cellStyle name="Normal 2 3 2 3 2 5" xfId="18197"/>
    <cellStyle name="Normal 2 3 2 3 2 5 2" xfId="20079"/>
    <cellStyle name="Normal 2 3 2 3 2 5 2 2" xfId="27405"/>
    <cellStyle name="Normal 2 3 2 3 2 5 2 2 2" xfId="34716"/>
    <cellStyle name="Normal 2 3 2 3 2 5 2 2 2 2" xfId="49536"/>
    <cellStyle name="Normal 2 3 2 3 2 5 2 2 3" xfId="42244"/>
    <cellStyle name="Normal 2 3 2 3 2 5 2 3" xfId="31062"/>
    <cellStyle name="Normal 2 3 2 3 2 5 2 3 2" xfId="45885"/>
    <cellStyle name="Normal 2 3 2 3 2 5 2 4" xfId="38560"/>
    <cellStyle name="Normal 2 3 2 3 2 5 2 5" xfId="23747"/>
    <cellStyle name="Normal 2 3 2 3 2 5 3" xfId="25579"/>
    <cellStyle name="Normal 2 3 2 3 2 5 3 2" xfId="32890"/>
    <cellStyle name="Normal 2 3 2 3 2 5 3 2 2" xfId="47710"/>
    <cellStyle name="Normal 2 3 2 3 2 5 3 3" xfId="40447"/>
    <cellStyle name="Normal 2 3 2 3 2 5 4" xfId="29236"/>
    <cellStyle name="Normal 2 3 2 3 2 5 4 2" xfId="44060"/>
    <cellStyle name="Normal 2 3 2 3 2 5 5" xfId="36837"/>
    <cellStyle name="Normal 2 3 2 3 2 5 6" xfId="21918"/>
    <cellStyle name="Normal 2 3 2 3 2 6" xfId="19182"/>
    <cellStyle name="Normal 2 3 2 3 2 6 2" xfId="26553"/>
    <cellStyle name="Normal 2 3 2 3 2 6 2 2" xfId="33864"/>
    <cellStyle name="Normal 2 3 2 3 2 6 2 2 2" xfId="48684"/>
    <cellStyle name="Normal 2 3 2 3 2 6 2 3" xfId="41393"/>
    <cellStyle name="Normal 2 3 2 3 2 6 3" xfId="30210"/>
    <cellStyle name="Normal 2 3 2 3 2 6 3 2" xfId="45033"/>
    <cellStyle name="Normal 2 3 2 3 2 6 4" xfId="37707"/>
    <cellStyle name="Normal 2 3 2 3 2 6 5" xfId="22895"/>
    <cellStyle name="Normal 2 3 2 3 2 7" xfId="24709"/>
    <cellStyle name="Normal 2 3 2 3 2 7 2" xfId="32020"/>
    <cellStyle name="Normal 2 3 2 3 2 7 2 2" xfId="46843"/>
    <cellStyle name="Normal 2 3 2 3 2 7 3" xfId="39615"/>
    <cellStyle name="Normal 2 3 2 3 2 8" xfId="28366"/>
    <cellStyle name="Normal 2 3 2 3 2 8 2" xfId="43203"/>
    <cellStyle name="Normal 2 3 2 3 2 9" xfId="35608"/>
    <cellStyle name="Normal 2 3 2 3 3" xfId="17417"/>
    <cellStyle name="Normal 2 3 2 3 3 2" xfId="17867"/>
    <cellStyle name="Normal 2 3 2 3 3 2 2" xfId="18981"/>
    <cellStyle name="Normal 2 3 2 3 3 2 2 2" xfId="20860"/>
    <cellStyle name="Normal 2 3 2 3 3 2 2 2 2" xfId="24528"/>
    <cellStyle name="Normal 2 3 2 3 3 2 2 2 2 2" xfId="28186"/>
    <cellStyle name="Normal 2 3 2 3 3 2 2 2 2 2 2" xfId="35497"/>
    <cellStyle name="Normal 2 3 2 3 3 2 2 2 2 2 2 2" xfId="50317"/>
    <cellStyle name="Normal 2 3 2 3 3 2 2 2 2 2 3" xfId="43025"/>
    <cellStyle name="Normal 2 3 2 3 3 2 2 2 2 3" xfId="31843"/>
    <cellStyle name="Normal 2 3 2 3 3 2 2 2 2 3 2" xfId="46666"/>
    <cellStyle name="Normal 2 3 2 3 3 2 2 2 2 4" xfId="39468"/>
    <cellStyle name="Normal 2 3 2 3 3 2 2 2 3" xfId="26360"/>
    <cellStyle name="Normal 2 3 2 3 3 2 2 2 3 2" xfId="33671"/>
    <cellStyle name="Normal 2 3 2 3 3 2 2 2 3 2 2" xfId="48491"/>
    <cellStyle name="Normal 2 3 2 3 3 2 2 2 3 3" xfId="41204"/>
    <cellStyle name="Normal 2 3 2 3 3 2 2 2 4" xfId="30017"/>
    <cellStyle name="Normal 2 3 2 3 3 2 2 2 4 2" xfId="44841"/>
    <cellStyle name="Normal 2 3 2 3 3 2 2 2 5" xfId="39341"/>
    <cellStyle name="Normal 2 3 2 3 3 2 2 2 6" xfId="22699"/>
    <cellStyle name="Normal 2 3 2 3 3 2 2 3" xfId="19911"/>
    <cellStyle name="Normal 2 3 2 3 3 2 2 3 2" xfId="27280"/>
    <cellStyle name="Normal 2 3 2 3 3 2 2 3 2 2" xfId="34591"/>
    <cellStyle name="Normal 2 3 2 3 3 2 2 3 2 2 2" xfId="49411"/>
    <cellStyle name="Normal 2 3 2 3 3 2 2 3 2 3" xfId="42120"/>
    <cellStyle name="Normal 2 3 2 3 3 2 2 3 3" xfId="30937"/>
    <cellStyle name="Normal 2 3 2 3 3 2 2 3 3 2" xfId="45760"/>
    <cellStyle name="Normal 2 3 2 3 3 2 2 3 4" xfId="38434"/>
    <cellStyle name="Normal 2 3 2 3 3 2 2 3 5" xfId="23622"/>
    <cellStyle name="Normal 2 3 2 3 3 2 2 4" xfId="25439"/>
    <cellStyle name="Normal 2 3 2 3 3 2 2 4 2" xfId="32750"/>
    <cellStyle name="Normal 2 3 2 3 3 2 2 4 2 2" xfId="47573"/>
    <cellStyle name="Normal 2 3 2 3 3 2 2 4 3" xfId="40327"/>
    <cellStyle name="Normal 2 3 2 3 3 2 2 5" xfId="29096"/>
    <cellStyle name="Normal 2 3 2 3 3 2 2 5 2" xfId="43933"/>
    <cellStyle name="Normal 2 3 2 3 3 2 2 6" xfId="36062"/>
    <cellStyle name="Normal 2 3 2 3 3 2 2 7" xfId="21778"/>
    <cellStyle name="Normal 2 3 2 3 3 2 3" xfId="18202"/>
    <cellStyle name="Normal 2 3 2 3 3 2 3 2" xfId="20084"/>
    <cellStyle name="Normal 2 3 2 3 3 2 3 2 2" xfId="27410"/>
    <cellStyle name="Normal 2 3 2 3 3 2 3 2 2 2" xfId="34721"/>
    <cellStyle name="Normal 2 3 2 3 3 2 3 2 2 2 2" xfId="49541"/>
    <cellStyle name="Normal 2 3 2 3 3 2 3 2 2 3" xfId="42249"/>
    <cellStyle name="Normal 2 3 2 3 3 2 3 2 3" xfId="31067"/>
    <cellStyle name="Normal 2 3 2 3 3 2 3 2 3 2" xfId="45890"/>
    <cellStyle name="Normal 2 3 2 3 3 2 3 2 4" xfId="38565"/>
    <cellStyle name="Normal 2 3 2 3 3 2 3 2 5" xfId="23752"/>
    <cellStyle name="Normal 2 3 2 3 3 2 3 3" xfId="25584"/>
    <cellStyle name="Normal 2 3 2 3 3 2 3 3 2" xfId="32895"/>
    <cellStyle name="Normal 2 3 2 3 3 2 3 3 2 2" xfId="47715"/>
    <cellStyle name="Normal 2 3 2 3 3 2 3 3 3" xfId="40452"/>
    <cellStyle name="Normal 2 3 2 3 3 2 3 4" xfId="29241"/>
    <cellStyle name="Normal 2 3 2 3 3 2 3 4 2" xfId="44065"/>
    <cellStyle name="Normal 2 3 2 3 3 2 3 5" xfId="36842"/>
    <cellStyle name="Normal 2 3 2 3 3 2 3 6" xfId="21923"/>
    <cellStyle name="Normal 2 3 2 3 3 2 4" xfId="19460"/>
    <cellStyle name="Normal 2 3 2 3 3 2 4 2" xfId="26830"/>
    <cellStyle name="Normal 2 3 2 3 3 2 4 2 2" xfId="34141"/>
    <cellStyle name="Normal 2 3 2 3 3 2 4 2 2 2" xfId="48961"/>
    <cellStyle name="Normal 2 3 2 3 3 2 4 2 3" xfId="41670"/>
    <cellStyle name="Normal 2 3 2 3 3 2 4 3" xfId="30487"/>
    <cellStyle name="Normal 2 3 2 3 3 2 4 3 2" xfId="45310"/>
    <cellStyle name="Normal 2 3 2 3 3 2 4 4" xfId="37984"/>
    <cellStyle name="Normal 2 3 2 3 3 2 4 5" xfId="23172"/>
    <cellStyle name="Normal 2 3 2 3 3 2 5" xfId="24989"/>
    <cellStyle name="Normal 2 3 2 3 3 2 5 2" xfId="32300"/>
    <cellStyle name="Normal 2 3 2 3 3 2 5 2 2" xfId="47123"/>
    <cellStyle name="Normal 2 3 2 3 3 2 5 3" xfId="39884"/>
    <cellStyle name="Normal 2 3 2 3 3 2 6" xfId="28646"/>
    <cellStyle name="Normal 2 3 2 3 3 2 6 2" xfId="43483"/>
    <cellStyle name="Normal 2 3 2 3 3 2 7" xfId="35613"/>
    <cellStyle name="Normal 2 3 2 3 3 2 8" xfId="21328"/>
    <cellStyle name="Normal 2 3 2 3 3 3" xfId="17643"/>
    <cellStyle name="Normal 2 3 2 3 3 3 2" xfId="18757"/>
    <cellStyle name="Normal 2 3 2 3 3 3 2 2" xfId="20636"/>
    <cellStyle name="Normal 2 3 2 3 3 3 2 2 2" xfId="27962"/>
    <cellStyle name="Normal 2 3 2 3 3 3 2 2 2 2" xfId="35273"/>
    <cellStyle name="Normal 2 3 2 3 3 3 2 2 2 2 2" xfId="50093"/>
    <cellStyle name="Normal 2 3 2 3 3 3 2 2 2 3" xfId="42801"/>
    <cellStyle name="Normal 2 3 2 3 3 3 2 2 3" xfId="31619"/>
    <cellStyle name="Normal 2 3 2 3 3 3 2 2 3 2" xfId="46442"/>
    <cellStyle name="Normal 2 3 2 3 3 3 2 2 4" xfId="39117"/>
    <cellStyle name="Normal 2 3 2 3 3 3 2 2 5" xfId="24304"/>
    <cellStyle name="Normal 2 3 2 3 3 3 2 3" xfId="26136"/>
    <cellStyle name="Normal 2 3 2 3 3 3 2 3 2" xfId="33447"/>
    <cellStyle name="Normal 2 3 2 3 3 3 2 3 2 2" xfId="48267"/>
    <cellStyle name="Normal 2 3 2 3 3 3 2 3 3" xfId="40980"/>
    <cellStyle name="Normal 2 3 2 3 3 3 2 4" xfId="29793"/>
    <cellStyle name="Normal 2 3 2 3 3 3 2 4 2" xfId="44617"/>
    <cellStyle name="Normal 2 3 2 3 3 3 2 5" xfId="37394"/>
    <cellStyle name="Normal 2 3 2 3 3 3 2 6" xfId="22475"/>
    <cellStyle name="Normal 2 3 2 3 3 3 3" xfId="19687"/>
    <cellStyle name="Normal 2 3 2 3 3 3 3 2" xfId="27056"/>
    <cellStyle name="Normal 2 3 2 3 3 3 3 2 2" xfId="34367"/>
    <cellStyle name="Normal 2 3 2 3 3 3 3 2 2 2" xfId="49187"/>
    <cellStyle name="Normal 2 3 2 3 3 3 3 2 3" xfId="41896"/>
    <cellStyle name="Normal 2 3 2 3 3 3 3 3" xfId="30713"/>
    <cellStyle name="Normal 2 3 2 3 3 3 3 3 2" xfId="45536"/>
    <cellStyle name="Normal 2 3 2 3 3 3 3 4" xfId="38210"/>
    <cellStyle name="Normal 2 3 2 3 3 3 3 5" xfId="23398"/>
    <cellStyle name="Normal 2 3 2 3 3 3 4" xfId="25215"/>
    <cellStyle name="Normal 2 3 2 3 3 3 4 2" xfId="32526"/>
    <cellStyle name="Normal 2 3 2 3 3 3 4 2 2" xfId="47349"/>
    <cellStyle name="Normal 2 3 2 3 3 3 4 3" xfId="40107"/>
    <cellStyle name="Normal 2 3 2 3 3 3 5" xfId="28872"/>
    <cellStyle name="Normal 2 3 2 3 3 3 5 2" xfId="43709"/>
    <cellStyle name="Normal 2 3 2 3 3 3 6" xfId="36061"/>
    <cellStyle name="Normal 2 3 2 3 3 3 7" xfId="21554"/>
    <cellStyle name="Normal 2 3 2 3 3 4" xfId="18201"/>
    <cellStyle name="Normal 2 3 2 3 3 4 2" xfId="20083"/>
    <cellStyle name="Normal 2 3 2 3 3 4 2 2" xfId="27409"/>
    <cellStyle name="Normal 2 3 2 3 3 4 2 2 2" xfId="34720"/>
    <cellStyle name="Normal 2 3 2 3 3 4 2 2 2 2" xfId="49540"/>
    <cellStyle name="Normal 2 3 2 3 3 4 2 2 3" xfId="42248"/>
    <cellStyle name="Normal 2 3 2 3 3 4 2 3" xfId="31066"/>
    <cellStyle name="Normal 2 3 2 3 3 4 2 3 2" xfId="45889"/>
    <cellStyle name="Normal 2 3 2 3 3 4 2 4" xfId="38564"/>
    <cellStyle name="Normal 2 3 2 3 3 4 2 5" xfId="23751"/>
    <cellStyle name="Normal 2 3 2 3 3 4 3" xfId="25583"/>
    <cellStyle name="Normal 2 3 2 3 3 4 3 2" xfId="32894"/>
    <cellStyle name="Normal 2 3 2 3 3 4 3 2 2" xfId="47714"/>
    <cellStyle name="Normal 2 3 2 3 3 4 3 3" xfId="40451"/>
    <cellStyle name="Normal 2 3 2 3 3 4 4" xfId="29240"/>
    <cellStyle name="Normal 2 3 2 3 3 4 4 2" xfId="44064"/>
    <cellStyle name="Normal 2 3 2 3 3 4 5" xfId="36841"/>
    <cellStyle name="Normal 2 3 2 3 3 4 6" xfId="21922"/>
    <cellStyle name="Normal 2 3 2 3 3 5" xfId="19237"/>
    <cellStyle name="Normal 2 3 2 3 3 5 2" xfId="26607"/>
    <cellStyle name="Normal 2 3 2 3 3 5 2 2" xfId="33918"/>
    <cellStyle name="Normal 2 3 2 3 3 5 2 2 2" xfId="48738"/>
    <cellStyle name="Normal 2 3 2 3 3 5 2 3" xfId="41447"/>
    <cellStyle name="Normal 2 3 2 3 3 5 3" xfId="30264"/>
    <cellStyle name="Normal 2 3 2 3 3 5 3 2" xfId="45087"/>
    <cellStyle name="Normal 2 3 2 3 3 5 4" xfId="37761"/>
    <cellStyle name="Normal 2 3 2 3 3 5 5" xfId="22949"/>
    <cellStyle name="Normal 2 3 2 3 3 6" xfId="24765"/>
    <cellStyle name="Normal 2 3 2 3 3 6 2" xfId="32076"/>
    <cellStyle name="Normal 2 3 2 3 3 6 2 2" xfId="46899"/>
    <cellStyle name="Normal 2 3 2 3 3 6 3" xfId="39667"/>
    <cellStyle name="Normal 2 3 2 3 3 7" xfId="28422"/>
    <cellStyle name="Normal 2 3 2 3 3 7 2" xfId="43259"/>
    <cellStyle name="Normal 2 3 2 3 3 8" xfId="35612"/>
    <cellStyle name="Normal 2 3 2 3 3 9" xfId="21104"/>
    <cellStyle name="Normal 2 3 2 3 4" xfId="17300"/>
    <cellStyle name="Normal 2 3 2 3 4 2" xfId="17755"/>
    <cellStyle name="Normal 2 3 2 3 4 2 2" xfId="18869"/>
    <cellStyle name="Normal 2 3 2 3 4 2 2 2" xfId="20748"/>
    <cellStyle name="Normal 2 3 2 3 4 2 2 2 2" xfId="28074"/>
    <cellStyle name="Normal 2 3 2 3 4 2 2 2 2 2" xfId="35385"/>
    <cellStyle name="Normal 2 3 2 3 4 2 2 2 2 2 2" xfId="50205"/>
    <cellStyle name="Normal 2 3 2 3 4 2 2 2 2 3" xfId="42913"/>
    <cellStyle name="Normal 2 3 2 3 4 2 2 2 3" xfId="31731"/>
    <cellStyle name="Normal 2 3 2 3 4 2 2 2 3 2" xfId="46554"/>
    <cellStyle name="Normal 2 3 2 3 4 2 2 2 4" xfId="39229"/>
    <cellStyle name="Normal 2 3 2 3 4 2 2 2 5" xfId="24416"/>
    <cellStyle name="Normal 2 3 2 3 4 2 2 3" xfId="26248"/>
    <cellStyle name="Normal 2 3 2 3 4 2 2 3 2" xfId="33559"/>
    <cellStyle name="Normal 2 3 2 3 4 2 2 3 2 2" xfId="48379"/>
    <cellStyle name="Normal 2 3 2 3 4 2 2 3 3" xfId="41092"/>
    <cellStyle name="Normal 2 3 2 3 4 2 2 4" xfId="29905"/>
    <cellStyle name="Normal 2 3 2 3 4 2 2 4 2" xfId="44729"/>
    <cellStyle name="Normal 2 3 2 3 4 2 2 5" xfId="37505"/>
    <cellStyle name="Normal 2 3 2 3 4 2 2 6" xfId="22587"/>
    <cellStyle name="Normal 2 3 2 3 4 2 3" xfId="19799"/>
    <cellStyle name="Normal 2 3 2 3 4 2 3 2" xfId="27168"/>
    <cellStyle name="Normal 2 3 2 3 4 2 3 2 2" xfId="34479"/>
    <cellStyle name="Normal 2 3 2 3 4 2 3 2 2 2" xfId="49299"/>
    <cellStyle name="Normal 2 3 2 3 4 2 3 2 3" xfId="42008"/>
    <cellStyle name="Normal 2 3 2 3 4 2 3 3" xfId="30825"/>
    <cellStyle name="Normal 2 3 2 3 4 2 3 3 2" xfId="45648"/>
    <cellStyle name="Normal 2 3 2 3 4 2 3 4" xfId="38322"/>
    <cellStyle name="Normal 2 3 2 3 4 2 3 5" xfId="23510"/>
    <cellStyle name="Normal 2 3 2 3 4 2 4" xfId="25327"/>
    <cellStyle name="Normal 2 3 2 3 4 2 4 2" xfId="32638"/>
    <cellStyle name="Normal 2 3 2 3 4 2 4 2 2" xfId="47461"/>
    <cellStyle name="Normal 2 3 2 3 4 2 4 3" xfId="40216"/>
    <cellStyle name="Normal 2 3 2 3 4 2 5" xfId="28984"/>
    <cellStyle name="Normal 2 3 2 3 4 2 5 2" xfId="43821"/>
    <cellStyle name="Normal 2 3 2 3 4 2 6" xfId="36063"/>
    <cellStyle name="Normal 2 3 2 3 4 2 7" xfId="21666"/>
    <cellStyle name="Normal 2 3 2 3 4 3" xfId="18203"/>
    <cellStyle name="Normal 2 3 2 3 4 3 2" xfId="20085"/>
    <cellStyle name="Normal 2 3 2 3 4 3 2 2" xfId="27411"/>
    <cellStyle name="Normal 2 3 2 3 4 3 2 2 2" xfId="34722"/>
    <cellStyle name="Normal 2 3 2 3 4 3 2 2 2 2" xfId="49542"/>
    <cellStyle name="Normal 2 3 2 3 4 3 2 2 3" xfId="42250"/>
    <cellStyle name="Normal 2 3 2 3 4 3 2 3" xfId="31068"/>
    <cellStyle name="Normal 2 3 2 3 4 3 2 3 2" xfId="45891"/>
    <cellStyle name="Normal 2 3 2 3 4 3 2 4" xfId="38566"/>
    <cellStyle name="Normal 2 3 2 3 4 3 2 5" xfId="23753"/>
    <cellStyle name="Normal 2 3 2 3 4 3 3" xfId="25585"/>
    <cellStyle name="Normal 2 3 2 3 4 3 3 2" xfId="32896"/>
    <cellStyle name="Normal 2 3 2 3 4 3 3 2 2" xfId="47716"/>
    <cellStyle name="Normal 2 3 2 3 4 3 3 3" xfId="40453"/>
    <cellStyle name="Normal 2 3 2 3 4 3 4" xfId="29242"/>
    <cellStyle name="Normal 2 3 2 3 4 3 4 2" xfId="44066"/>
    <cellStyle name="Normal 2 3 2 3 4 3 5" xfId="36843"/>
    <cellStyle name="Normal 2 3 2 3 4 3 6" xfId="21924"/>
    <cellStyle name="Normal 2 3 2 3 4 4" xfId="19348"/>
    <cellStyle name="Normal 2 3 2 3 4 4 2" xfId="26718"/>
    <cellStyle name="Normal 2 3 2 3 4 4 2 2" xfId="34029"/>
    <cellStyle name="Normal 2 3 2 3 4 4 2 2 2" xfId="48849"/>
    <cellStyle name="Normal 2 3 2 3 4 4 2 3" xfId="41558"/>
    <cellStyle name="Normal 2 3 2 3 4 4 3" xfId="30375"/>
    <cellStyle name="Normal 2 3 2 3 4 4 3 2" xfId="45198"/>
    <cellStyle name="Normal 2 3 2 3 4 4 4" xfId="37872"/>
    <cellStyle name="Normal 2 3 2 3 4 4 5" xfId="23060"/>
    <cellStyle name="Normal 2 3 2 3 4 5" xfId="24877"/>
    <cellStyle name="Normal 2 3 2 3 4 5 2" xfId="32188"/>
    <cellStyle name="Normal 2 3 2 3 4 5 2 2" xfId="47011"/>
    <cellStyle name="Normal 2 3 2 3 4 5 3" xfId="39773"/>
    <cellStyle name="Normal 2 3 2 3 4 6" xfId="28534"/>
    <cellStyle name="Normal 2 3 2 3 4 6 2" xfId="43371"/>
    <cellStyle name="Normal 2 3 2 3 4 7" xfId="35614"/>
    <cellStyle name="Normal 2 3 2 3 4 8" xfId="21216"/>
    <cellStyle name="Normal 2 3 2 3 5" xfId="17531"/>
    <cellStyle name="Normal 2 3 2 3 5 2" xfId="18645"/>
    <cellStyle name="Normal 2 3 2 3 5 2 2" xfId="20524"/>
    <cellStyle name="Normal 2 3 2 3 5 2 2 2" xfId="27850"/>
    <cellStyle name="Normal 2 3 2 3 5 2 2 2 2" xfId="35161"/>
    <cellStyle name="Normal 2 3 2 3 5 2 2 2 2 2" xfId="49981"/>
    <cellStyle name="Normal 2 3 2 3 5 2 2 2 3" xfId="42689"/>
    <cellStyle name="Normal 2 3 2 3 5 2 2 3" xfId="31507"/>
    <cellStyle name="Normal 2 3 2 3 5 2 2 3 2" xfId="46330"/>
    <cellStyle name="Normal 2 3 2 3 5 2 2 4" xfId="39005"/>
    <cellStyle name="Normal 2 3 2 3 5 2 2 5" xfId="24192"/>
    <cellStyle name="Normal 2 3 2 3 5 2 3" xfId="26024"/>
    <cellStyle name="Normal 2 3 2 3 5 2 3 2" xfId="33335"/>
    <cellStyle name="Normal 2 3 2 3 5 2 3 2 2" xfId="48155"/>
    <cellStyle name="Normal 2 3 2 3 5 2 3 3" xfId="40868"/>
    <cellStyle name="Normal 2 3 2 3 5 2 4" xfId="29681"/>
    <cellStyle name="Normal 2 3 2 3 5 2 4 2" xfId="44505"/>
    <cellStyle name="Normal 2 3 2 3 5 2 5" xfId="37282"/>
    <cellStyle name="Normal 2 3 2 3 5 2 6" xfId="22363"/>
    <cellStyle name="Normal 2 3 2 3 5 3" xfId="19575"/>
    <cellStyle name="Normal 2 3 2 3 5 3 2" xfId="26944"/>
    <cellStyle name="Normal 2 3 2 3 5 3 2 2" xfId="34255"/>
    <cellStyle name="Normal 2 3 2 3 5 3 2 2 2" xfId="49075"/>
    <cellStyle name="Normal 2 3 2 3 5 3 2 3" xfId="41784"/>
    <cellStyle name="Normal 2 3 2 3 5 3 3" xfId="30601"/>
    <cellStyle name="Normal 2 3 2 3 5 3 3 2" xfId="45424"/>
    <cellStyle name="Normal 2 3 2 3 5 3 4" xfId="38098"/>
    <cellStyle name="Normal 2 3 2 3 5 3 5" xfId="23286"/>
    <cellStyle name="Normal 2 3 2 3 5 4" xfId="25103"/>
    <cellStyle name="Normal 2 3 2 3 5 4 2" xfId="32414"/>
    <cellStyle name="Normal 2 3 2 3 5 4 2 2" xfId="47237"/>
    <cellStyle name="Normal 2 3 2 3 5 4 3" xfId="39997"/>
    <cellStyle name="Normal 2 3 2 3 5 5" xfId="28760"/>
    <cellStyle name="Normal 2 3 2 3 5 5 2" xfId="43597"/>
    <cellStyle name="Normal 2 3 2 3 5 6" xfId="36056"/>
    <cellStyle name="Normal 2 3 2 3 5 7" xfId="21442"/>
    <cellStyle name="Normal 2 3 2 3 6" xfId="18196"/>
    <cellStyle name="Normal 2 3 2 3 6 2" xfId="20078"/>
    <cellStyle name="Normal 2 3 2 3 6 2 2" xfId="27404"/>
    <cellStyle name="Normal 2 3 2 3 6 2 2 2" xfId="34715"/>
    <cellStyle name="Normal 2 3 2 3 6 2 2 2 2" xfId="49535"/>
    <cellStyle name="Normal 2 3 2 3 6 2 2 3" xfId="42243"/>
    <cellStyle name="Normal 2 3 2 3 6 2 3" xfId="31061"/>
    <cellStyle name="Normal 2 3 2 3 6 2 3 2" xfId="45884"/>
    <cellStyle name="Normal 2 3 2 3 6 2 4" xfId="38559"/>
    <cellStyle name="Normal 2 3 2 3 6 2 5" xfId="23746"/>
    <cellStyle name="Normal 2 3 2 3 6 3" xfId="25578"/>
    <cellStyle name="Normal 2 3 2 3 6 3 2" xfId="32889"/>
    <cellStyle name="Normal 2 3 2 3 6 3 2 2" xfId="47709"/>
    <cellStyle name="Normal 2 3 2 3 6 3 3" xfId="40446"/>
    <cellStyle name="Normal 2 3 2 3 6 4" xfId="29235"/>
    <cellStyle name="Normal 2 3 2 3 6 4 2" xfId="44059"/>
    <cellStyle name="Normal 2 3 2 3 6 5" xfId="36836"/>
    <cellStyle name="Normal 2 3 2 3 6 6" xfId="21917"/>
    <cellStyle name="Normal 2 3 2 3 7" xfId="19128"/>
    <cellStyle name="Normal 2 3 2 3 7 2" xfId="26500"/>
    <cellStyle name="Normal 2 3 2 3 7 2 2" xfId="33811"/>
    <cellStyle name="Normal 2 3 2 3 7 2 2 2" xfId="48631"/>
    <cellStyle name="Normal 2 3 2 3 7 2 3" xfId="41340"/>
    <cellStyle name="Normal 2 3 2 3 7 3" xfId="30157"/>
    <cellStyle name="Normal 2 3 2 3 7 3 2" xfId="44980"/>
    <cellStyle name="Normal 2 3 2 3 7 4" xfId="37654"/>
    <cellStyle name="Normal 2 3 2 3 7 5" xfId="22842"/>
    <cellStyle name="Normal 2 3 2 3 8" xfId="24653"/>
    <cellStyle name="Normal 2 3 2 3 8 2" xfId="31964"/>
    <cellStyle name="Normal 2 3 2 3 8 2 2" xfId="46787"/>
    <cellStyle name="Normal 2 3 2 3 8 3" xfId="39573"/>
    <cellStyle name="Normal 2 3 2 3 9" xfId="28310"/>
    <cellStyle name="Normal 2 3 2 3 9 2" xfId="43147"/>
    <cellStyle name="Normal 2 3 2 4" xfId="17220"/>
    <cellStyle name="Normal 2 3 2 4 10" xfId="21020"/>
    <cellStyle name="Normal 2 3 2 4 2" xfId="17445"/>
    <cellStyle name="Normal 2 3 2 4 2 2" xfId="17895"/>
    <cellStyle name="Normal 2 3 2 4 2 2 2" xfId="19009"/>
    <cellStyle name="Normal 2 3 2 4 2 2 2 2" xfId="20888"/>
    <cellStyle name="Normal 2 3 2 4 2 2 2 2 2" xfId="24556"/>
    <cellStyle name="Normal 2 3 2 4 2 2 2 2 2 2" xfId="28214"/>
    <cellStyle name="Normal 2 3 2 4 2 2 2 2 2 2 2" xfId="35525"/>
    <cellStyle name="Normal 2 3 2 4 2 2 2 2 2 2 2 2" xfId="50345"/>
    <cellStyle name="Normal 2 3 2 4 2 2 2 2 2 2 3" xfId="43053"/>
    <cellStyle name="Normal 2 3 2 4 2 2 2 2 2 3" xfId="31871"/>
    <cellStyle name="Normal 2 3 2 4 2 2 2 2 2 3 2" xfId="46694"/>
    <cellStyle name="Normal 2 3 2 4 2 2 2 2 2 4" xfId="39489"/>
    <cellStyle name="Normal 2 3 2 4 2 2 2 2 3" xfId="26388"/>
    <cellStyle name="Normal 2 3 2 4 2 2 2 2 3 2" xfId="33699"/>
    <cellStyle name="Normal 2 3 2 4 2 2 2 2 3 2 2" xfId="48519"/>
    <cellStyle name="Normal 2 3 2 4 2 2 2 2 3 3" xfId="41232"/>
    <cellStyle name="Normal 2 3 2 4 2 2 2 2 4" xfId="30045"/>
    <cellStyle name="Normal 2 3 2 4 2 2 2 2 4 2" xfId="44869"/>
    <cellStyle name="Normal 2 3 2 4 2 2 2 2 5" xfId="39369"/>
    <cellStyle name="Normal 2 3 2 4 2 2 2 2 6" xfId="22727"/>
    <cellStyle name="Normal 2 3 2 4 2 2 2 3" xfId="19939"/>
    <cellStyle name="Normal 2 3 2 4 2 2 2 3 2" xfId="27308"/>
    <cellStyle name="Normal 2 3 2 4 2 2 2 3 2 2" xfId="34619"/>
    <cellStyle name="Normal 2 3 2 4 2 2 2 3 2 2 2" xfId="49439"/>
    <cellStyle name="Normal 2 3 2 4 2 2 2 3 2 3" xfId="42148"/>
    <cellStyle name="Normal 2 3 2 4 2 2 2 3 3" xfId="30965"/>
    <cellStyle name="Normal 2 3 2 4 2 2 2 3 3 2" xfId="45788"/>
    <cellStyle name="Normal 2 3 2 4 2 2 2 3 4" xfId="38462"/>
    <cellStyle name="Normal 2 3 2 4 2 2 2 3 5" xfId="23650"/>
    <cellStyle name="Normal 2 3 2 4 2 2 2 4" xfId="25467"/>
    <cellStyle name="Normal 2 3 2 4 2 2 2 4 2" xfId="32778"/>
    <cellStyle name="Normal 2 3 2 4 2 2 2 4 2 2" xfId="47601"/>
    <cellStyle name="Normal 2 3 2 4 2 2 2 4 3" xfId="40355"/>
    <cellStyle name="Normal 2 3 2 4 2 2 2 5" xfId="29124"/>
    <cellStyle name="Normal 2 3 2 4 2 2 2 5 2" xfId="43961"/>
    <cellStyle name="Normal 2 3 2 4 2 2 2 6" xfId="36066"/>
    <cellStyle name="Normal 2 3 2 4 2 2 2 7" xfId="21806"/>
    <cellStyle name="Normal 2 3 2 4 2 2 3" xfId="18206"/>
    <cellStyle name="Normal 2 3 2 4 2 2 3 2" xfId="20088"/>
    <cellStyle name="Normal 2 3 2 4 2 2 3 2 2" xfId="27414"/>
    <cellStyle name="Normal 2 3 2 4 2 2 3 2 2 2" xfId="34725"/>
    <cellStyle name="Normal 2 3 2 4 2 2 3 2 2 2 2" xfId="49545"/>
    <cellStyle name="Normal 2 3 2 4 2 2 3 2 2 3" xfId="42253"/>
    <cellStyle name="Normal 2 3 2 4 2 2 3 2 3" xfId="31071"/>
    <cellStyle name="Normal 2 3 2 4 2 2 3 2 3 2" xfId="45894"/>
    <cellStyle name="Normal 2 3 2 4 2 2 3 2 4" xfId="38569"/>
    <cellStyle name="Normal 2 3 2 4 2 2 3 2 5" xfId="23756"/>
    <cellStyle name="Normal 2 3 2 4 2 2 3 3" xfId="25588"/>
    <cellStyle name="Normal 2 3 2 4 2 2 3 3 2" xfId="32899"/>
    <cellStyle name="Normal 2 3 2 4 2 2 3 3 2 2" xfId="47719"/>
    <cellStyle name="Normal 2 3 2 4 2 2 3 3 3" xfId="40456"/>
    <cellStyle name="Normal 2 3 2 4 2 2 3 4" xfId="29245"/>
    <cellStyle name="Normal 2 3 2 4 2 2 3 4 2" xfId="44069"/>
    <cellStyle name="Normal 2 3 2 4 2 2 3 5" xfId="36846"/>
    <cellStyle name="Normal 2 3 2 4 2 2 3 6" xfId="21927"/>
    <cellStyle name="Normal 2 3 2 4 2 2 4" xfId="19488"/>
    <cellStyle name="Normal 2 3 2 4 2 2 4 2" xfId="26858"/>
    <cellStyle name="Normal 2 3 2 4 2 2 4 2 2" xfId="34169"/>
    <cellStyle name="Normal 2 3 2 4 2 2 4 2 2 2" xfId="48989"/>
    <cellStyle name="Normal 2 3 2 4 2 2 4 2 3" xfId="41698"/>
    <cellStyle name="Normal 2 3 2 4 2 2 4 3" xfId="30515"/>
    <cellStyle name="Normal 2 3 2 4 2 2 4 3 2" xfId="45338"/>
    <cellStyle name="Normal 2 3 2 4 2 2 4 4" xfId="38012"/>
    <cellStyle name="Normal 2 3 2 4 2 2 4 5" xfId="23200"/>
    <cellStyle name="Normal 2 3 2 4 2 2 5" xfId="25017"/>
    <cellStyle name="Normal 2 3 2 4 2 2 5 2" xfId="32328"/>
    <cellStyle name="Normal 2 3 2 4 2 2 5 2 2" xfId="47151"/>
    <cellStyle name="Normal 2 3 2 4 2 2 5 3" xfId="39912"/>
    <cellStyle name="Normal 2 3 2 4 2 2 6" xfId="28674"/>
    <cellStyle name="Normal 2 3 2 4 2 2 6 2" xfId="43511"/>
    <cellStyle name="Normal 2 3 2 4 2 2 7" xfId="35617"/>
    <cellStyle name="Normal 2 3 2 4 2 2 8" xfId="21356"/>
    <cellStyle name="Normal 2 3 2 4 2 3" xfId="17671"/>
    <cellStyle name="Normal 2 3 2 4 2 3 2" xfId="18785"/>
    <cellStyle name="Normal 2 3 2 4 2 3 2 2" xfId="20664"/>
    <cellStyle name="Normal 2 3 2 4 2 3 2 2 2" xfId="27990"/>
    <cellStyle name="Normal 2 3 2 4 2 3 2 2 2 2" xfId="35301"/>
    <cellStyle name="Normal 2 3 2 4 2 3 2 2 2 2 2" xfId="50121"/>
    <cellStyle name="Normal 2 3 2 4 2 3 2 2 2 3" xfId="42829"/>
    <cellStyle name="Normal 2 3 2 4 2 3 2 2 3" xfId="31647"/>
    <cellStyle name="Normal 2 3 2 4 2 3 2 2 3 2" xfId="46470"/>
    <cellStyle name="Normal 2 3 2 4 2 3 2 2 4" xfId="39145"/>
    <cellStyle name="Normal 2 3 2 4 2 3 2 2 5" xfId="24332"/>
    <cellStyle name="Normal 2 3 2 4 2 3 2 3" xfId="26164"/>
    <cellStyle name="Normal 2 3 2 4 2 3 2 3 2" xfId="33475"/>
    <cellStyle name="Normal 2 3 2 4 2 3 2 3 2 2" xfId="48295"/>
    <cellStyle name="Normal 2 3 2 4 2 3 2 3 3" xfId="41008"/>
    <cellStyle name="Normal 2 3 2 4 2 3 2 4" xfId="29821"/>
    <cellStyle name="Normal 2 3 2 4 2 3 2 4 2" xfId="44645"/>
    <cellStyle name="Normal 2 3 2 4 2 3 2 5" xfId="37422"/>
    <cellStyle name="Normal 2 3 2 4 2 3 2 6" xfId="22503"/>
    <cellStyle name="Normal 2 3 2 4 2 3 3" xfId="19715"/>
    <cellStyle name="Normal 2 3 2 4 2 3 3 2" xfId="27084"/>
    <cellStyle name="Normal 2 3 2 4 2 3 3 2 2" xfId="34395"/>
    <cellStyle name="Normal 2 3 2 4 2 3 3 2 2 2" xfId="49215"/>
    <cellStyle name="Normal 2 3 2 4 2 3 3 2 3" xfId="41924"/>
    <cellStyle name="Normal 2 3 2 4 2 3 3 3" xfId="30741"/>
    <cellStyle name="Normal 2 3 2 4 2 3 3 3 2" xfId="45564"/>
    <cellStyle name="Normal 2 3 2 4 2 3 3 4" xfId="38238"/>
    <cellStyle name="Normal 2 3 2 4 2 3 3 5" xfId="23426"/>
    <cellStyle name="Normal 2 3 2 4 2 3 4" xfId="25243"/>
    <cellStyle name="Normal 2 3 2 4 2 3 4 2" xfId="32554"/>
    <cellStyle name="Normal 2 3 2 4 2 3 4 2 2" xfId="47377"/>
    <cellStyle name="Normal 2 3 2 4 2 3 4 3" xfId="40135"/>
    <cellStyle name="Normal 2 3 2 4 2 3 5" xfId="28900"/>
    <cellStyle name="Normal 2 3 2 4 2 3 5 2" xfId="43737"/>
    <cellStyle name="Normal 2 3 2 4 2 3 6" xfId="36065"/>
    <cellStyle name="Normal 2 3 2 4 2 3 7" xfId="21582"/>
    <cellStyle name="Normal 2 3 2 4 2 4" xfId="18205"/>
    <cellStyle name="Normal 2 3 2 4 2 4 2" xfId="20087"/>
    <cellStyle name="Normal 2 3 2 4 2 4 2 2" xfId="27413"/>
    <cellStyle name="Normal 2 3 2 4 2 4 2 2 2" xfId="34724"/>
    <cellStyle name="Normal 2 3 2 4 2 4 2 2 2 2" xfId="49544"/>
    <cellStyle name="Normal 2 3 2 4 2 4 2 2 3" xfId="42252"/>
    <cellStyle name="Normal 2 3 2 4 2 4 2 3" xfId="31070"/>
    <cellStyle name="Normal 2 3 2 4 2 4 2 3 2" xfId="45893"/>
    <cellStyle name="Normal 2 3 2 4 2 4 2 4" xfId="38568"/>
    <cellStyle name="Normal 2 3 2 4 2 4 2 5" xfId="23755"/>
    <cellStyle name="Normal 2 3 2 4 2 4 3" xfId="25587"/>
    <cellStyle name="Normal 2 3 2 4 2 4 3 2" xfId="32898"/>
    <cellStyle name="Normal 2 3 2 4 2 4 3 2 2" xfId="47718"/>
    <cellStyle name="Normal 2 3 2 4 2 4 3 3" xfId="40455"/>
    <cellStyle name="Normal 2 3 2 4 2 4 4" xfId="29244"/>
    <cellStyle name="Normal 2 3 2 4 2 4 4 2" xfId="44068"/>
    <cellStyle name="Normal 2 3 2 4 2 4 5" xfId="36845"/>
    <cellStyle name="Normal 2 3 2 4 2 4 6" xfId="21926"/>
    <cellStyle name="Normal 2 3 2 4 2 5" xfId="19265"/>
    <cellStyle name="Normal 2 3 2 4 2 5 2" xfId="26635"/>
    <cellStyle name="Normal 2 3 2 4 2 5 2 2" xfId="33946"/>
    <cellStyle name="Normal 2 3 2 4 2 5 2 2 2" xfId="48766"/>
    <cellStyle name="Normal 2 3 2 4 2 5 2 3" xfId="41475"/>
    <cellStyle name="Normal 2 3 2 4 2 5 3" xfId="30292"/>
    <cellStyle name="Normal 2 3 2 4 2 5 3 2" xfId="45115"/>
    <cellStyle name="Normal 2 3 2 4 2 5 4" xfId="37789"/>
    <cellStyle name="Normal 2 3 2 4 2 5 5" xfId="22977"/>
    <cellStyle name="Normal 2 3 2 4 2 6" xfId="24793"/>
    <cellStyle name="Normal 2 3 2 4 2 6 2" xfId="32104"/>
    <cellStyle name="Normal 2 3 2 4 2 6 2 2" xfId="46927"/>
    <cellStyle name="Normal 2 3 2 4 2 6 3" xfId="39692"/>
    <cellStyle name="Normal 2 3 2 4 2 7" xfId="28450"/>
    <cellStyle name="Normal 2 3 2 4 2 7 2" xfId="43287"/>
    <cellStyle name="Normal 2 3 2 4 2 8" xfId="35616"/>
    <cellStyle name="Normal 2 3 2 4 2 9" xfId="21132"/>
    <cellStyle name="Normal 2 3 2 4 3" xfId="17330"/>
    <cellStyle name="Normal 2 3 2 4 3 2" xfId="17783"/>
    <cellStyle name="Normal 2 3 2 4 3 2 2" xfId="18897"/>
    <cellStyle name="Normal 2 3 2 4 3 2 2 2" xfId="20776"/>
    <cellStyle name="Normal 2 3 2 4 3 2 2 2 2" xfId="28102"/>
    <cellStyle name="Normal 2 3 2 4 3 2 2 2 2 2" xfId="35413"/>
    <cellStyle name="Normal 2 3 2 4 3 2 2 2 2 2 2" xfId="50233"/>
    <cellStyle name="Normal 2 3 2 4 3 2 2 2 2 3" xfId="42941"/>
    <cellStyle name="Normal 2 3 2 4 3 2 2 2 3" xfId="31759"/>
    <cellStyle name="Normal 2 3 2 4 3 2 2 2 3 2" xfId="46582"/>
    <cellStyle name="Normal 2 3 2 4 3 2 2 2 4" xfId="39257"/>
    <cellStyle name="Normal 2 3 2 4 3 2 2 2 5" xfId="24444"/>
    <cellStyle name="Normal 2 3 2 4 3 2 2 3" xfId="26276"/>
    <cellStyle name="Normal 2 3 2 4 3 2 2 3 2" xfId="33587"/>
    <cellStyle name="Normal 2 3 2 4 3 2 2 3 2 2" xfId="48407"/>
    <cellStyle name="Normal 2 3 2 4 3 2 2 3 3" xfId="41120"/>
    <cellStyle name="Normal 2 3 2 4 3 2 2 4" xfId="29933"/>
    <cellStyle name="Normal 2 3 2 4 3 2 2 4 2" xfId="44757"/>
    <cellStyle name="Normal 2 3 2 4 3 2 2 5" xfId="37533"/>
    <cellStyle name="Normal 2 3 2 4 3 2 2 6" xfId="22615"/>
    <cellStyle name="Normal 2 3 2 4 3 2 3" xfId="19827"/>
    <cellStyle name="Normal 2 3 2 4 3 2 3 2" xfId="27196"/>
    <cellStyle name="Normal 2 3 2 4 3 2 3 2 2" xfId="34507"/>
    <cellStyle name="Normal 2 3 2 4 3 2 3 2 2 2" xfId="49327"/>
    <cellStyle name="Normal 2 3 2 4 3 2 3 2 3" xfId="42036"/>
    <cellStyle name="Normal 2 3 2 4 3 2 3 3" xfId="30853"/>
    <cellStyle name="Normal 2 3 2 4 3 2 3 3 2" xfId="45676"/>
    <cellStyle name="Normal 2 3 2 4 3 2 3 4" xfId="38350"/>
    <cellStyle name="Normal 2 3 2 4 3 2 3 5" xfId="23538"/>
    <cellStyle name="Normal 2 3 2 4 3 2 4" xfId="25355"/>
    <cellStyle name="Normal 2 3 2 4 3 2 4 2" xfId="32666"/>
    <cellStyle name="Normal 2 3 2 4 3 2 4 2 2" xfId="47489"/>
    <cellStyle name="Normal 2 3 2 4 3 2 4 3" xfId="40243"/>
    <cellStyle name="Normal 2 3 2 4 3 2 5" xfId="29012"/>
    <cellStyle name="Normal 2 3 2 4 3 2 5 2" xfId="43849"/>
    <cellStyle name="Normal 2 3 2 4 3 2 6" xfId="36067"/>
    <cellStyle name="Normal 2 3 2 4 3 2 7" xfId="21694"/>
    <cellStyle name="Normal 2 3 2 4 3 3" xfId="18207"/>
    <cellStyle name="Normal 2 3 2 4 3 3 2" xfId="20089"/>
    <cellStyle name="Normal 2 3 2 4 3 3 2 2" xfId="27415"/>
    <cellStyle name="Normal 2 3 2 4 3 3 2 2 2" xfId="34726"/>
    <cellStyle name="Normal 2 3 2 4 3 3 2 2 2 2" xfId="49546"/>
    <cellStyle name="Normal 2 3 2 4 3 3 2 2 3" xfId="42254"/>
    <cellStyle name="Normal 2 3 2 4 3 3 2 3" xfId="31072"/>
    <cellStyle name="Normal 2 3 2 4 3 3 2 3 2" xfId="45895"/>
    <cellStyle name="Normal 2 3 2 4 3 3 2 4" xfId="38570"/>
    <cellStyle name="Normal 2 3 2 4 3 3 2 5" xfId="23757"/>
    <cellStyle name="Normal 2 3 2 4 3 3 3" xfId="25589"/>
    <cellStyle name="Normal 2 3 2 4 3 3 3 2" xfId="32900"/>
    <cellStyle name="Normal 2 3 2 4 3 3 3 2 2" xfId="47720"/>
    <cellStyle name="Normal 2 3 2 4 3 3 3 3" xfId="40457"/>
    <cellStyle name="Normal 2 3 2 4 3 3 4" xfId="29246"/>
    <cellStyle name="Normal 2 3 2 4 3 3 4 2" xfId="44070"/>
    <cellStyle name="Normal 2 3 2 4 3 3 5" xfId="36847"/>
    <cellStyle name="Normal 2 3 2 4 3 3 6" xfId="21928"/>
    <cellStyle name="Normal 2 3 2 4 3 4" xfId="19376"/>
    <cellStyle name="Normal 2 3 2 4 3 4 2" xfId="26746"/>
    <cellStyle name="Normal 2 3 2 4 3 4 2 2" xfId="34057"/>
    <cellStyle name="Normal 2 3 2 4 3 4 2 2 2" xfId="48877"/>
    <cellStyle name="Normal 2 3 2 4 3 4 2 3" xfId="41586"/>
    <cellStyle name="Normal 2 3 2 4 3 4 3" xfId="30403"/>
    <cellStyle name="Normal 2 3 2 4 3 4 3 2" xfId="45226"/>
    <cellStyle name="Normal 2 3 2 4 3 4 4" xfId="37900"/>
    <cellStyle name="Normal 2 3 2 4 3 4 5" xfId="23088"/>
    <cellStyle name="Normal 2 3 2 4 3 5" xfId="24905"/>
    <cellStyle name="Normal 2 3 2 4 3 5 2" xfId="32216"/>
    <cellStyle name="Normal 2 3 2 4 3 5 2 2" xfId="47039"/>
    <cellStyle name="Normal 2 3 2 4 3 5 3" xfId="39800"/>
    <cellStyle name="Normal 2 3 2 4 3 6" xfId="28562"/>
    <cellStyle name="Normal 2 3 2 4 3 6 2" xfId="43399"/>
    <cellStyle name="Normal 2 3 2 4 3 7" xfId="35618"/>
    <cellStyle name="Normal 2 3 2 4 3 8" xfId="21244"/>
    <cellStyle name="Normal 2 3 2 4 4" xfId="17559"/>
    <cellStyle name="Normal 2 3 2 4 4 2" xfId="18673"/>
    <cellStyle name="Normal 2 3 2 4 4 2 2" xfId="20552"/>
    <cellStyle name="Normal 2 3 2 4 4 2 2 2" xfId="27878"/>
    <cellStyle name="Normal 2 3 2 4 4 2 2 2 2" xfId="35189"/>
    <cellStyle name="Normal 2 3 2 4 4 2 2 2 2 2" xfId="50009"/>
    <cellStyle name="Normal 2 3 2 4 4 2 2 2 3" xfId="42717"/>
    <cellStyle name="Normal 2 3 2 4 4 2 2 3" xfId="31535"/>
    <cellStyle name="Normal 2 3 2 4 4 2 2 3 2" xfId="46358"/>
    <cellStyle name="Normal 2 3 2 4 4 2 2 4" xfId="39033"/>
    <cellStyle name="Normal 2 3 2 4 4 2 2 5" xfId="24220"/>
    <cellStyle name="Normal 2 3 2 4 4 2 3" xfId="26052"/>
    <cellStyle name="Normal 2 3 2 4 4 2 3 2" xfId="33363"/>
    <cellStyle name="Normal 2 3 2 4 4 2 3 2 2" xfId="48183"/>
    <cellStyle name="Normal 2 3 2 4 4 2 3 3" xfId="40896"/>
    <cellStyle name="Normal 2 3 2 4 4 2 4" xfId="29709"/>
    <cellStyle name="Normal 2 3 2 4 4 2 4 2" xfId="44533"/>
    <cellStyle name="Normal 2 3 2 4 4 2 5" xfId="37310"/>
    <cellStyle name="Normal 2 3 2 4 4 2 6" xfId="22391"/>
    <cellStyle name="Normal 2 3 2 4 4 3" xfId="19603"/>
    <cellStyle name="Normal 2 3 2 4 4 3 2" xfId="26972"/>
    <cellStyle name="Normal 2 3 2 4 4 3 2 2" xfId="34283"/>
    <cellStyle name="Normal 2 3 2 4 4 3 2 2 2" xfId="49103"/>
    <cellStyle name="Normal 2 3 2 4 4 3 2 3" xfId="41812"/>
    <cellStyle name="Normal 2 3 2 4 4 3 3" xfId="30629"/>
    <cellStyle name="Normal 2 3 2 4 4 3 3 2" xfId="45452"/>
    <cellStyle name="Normal 2 3 2 4 4 3 4" xfId="38126"/>
    <cellStyle name="Normal 2 3 2 4 4 3 5" xfId="23314"/>
    <cellStyle name="Normal 2 3 2 4 4 4" xfId="25131"/>
    <cellStyle name="Normal 2 3 2 4 4 4 2" xfId="32442"/>
    <cellStyle name="Normal 2 3 2 4 4 4 2 2" xfId="47265"/>
    <cellStyle name="Normal 2 3 2 4 4 4 3" xfId="40025"/>
    <cellStyle name="Normal 2 3 2 4 4 5" xfId="28788"/>
    <cellStyle name="Normal 2 3 2 4 4 5 2" xfId="43625"/>
    <cellStyle name="Normal 2 3 2 4 4 6" xfId="36064"/>
    <cellStyle name="Normal 2 3 2 4 4 7" xfId="21470"/>
    <cellStyle name="Normal 2 3 2 4 5" xfId="18089"/>
    <cellStyle name="Normal 2 3 2 4 5 2" xfId="20086"/>
    <cellStyle name="Normal 2 3 2 4 5 2 2" xfId="27412"/>
    <cellStyle name="Normal 2 3 2 4 5 2 2 2" xfId="34723"/>
    <cellStyle name="Normal 2 3 2 4 5 2 2 2 2" xfId="49543"/>
    <cellStyle name="Normal 2 3 2 4 5 2 2 3" xfId="42251"/>
    <cellStyle name="Normal 2 3 2 4 5 2 3" xfId="31069"/>
    <cellStyle name="Normal 2 3 2 4 5 2 3 2" xfId="45892"/>
    <cellStyle name="Normal 2 3 2 4 5 2 4" xfId="38567"/>
    <cellStyle name="Normal 2 3 2 4 5 2 5" xfId="23754"/>
    <cellStyle name="Normal 2 3 2 4 5 3" xfId="25586"/>
    <cellStyle name="Normal 2 3 2 4 5 3 2" xfId="32897"/>
    <cellStyle name="Normal 2 3 2 4 5 3 2 2" xfId="47717"/>
    <cellStyle name="Normal 2 3 2 4 5 3 3" xfId="40454"/>
    <cellStyle name="Normal 2 3 2 4 5 4" xfId="29243"/>
    <cellStyle name="Normal 2 3 2 4 5 4 2" xfId="44067"/>
    <cellStyle name="Normal 2 3 2 4 5 5" xfId="36745"/>
    <cellStyle name="Normal 2 3 2 4 5 6" xfId="21925"/>
    <cellStyle name="Normal 2 3 2 4 6" xfId="18204"/>
    <cellStyle name="Normal 2 3 2 4 6 2" xfId="26527"/>
    <cellStyle name="Normal 2 3 2 4 6 2 2" xfId="33838"/>
    <cellStyle name="Normal 2 3 2 4 6 2 2 2" xfId="48658"/>
    <cellStyle name="Normal 2 3 2 4 6 2 3" xfId="41367"/>
    <cellStyle name="Normal 2 3 2 4 6 3" xfId="30184"/>
    <cellStyle name="Normal 2 3 2 4 6 3 2" xfId="45007"/>
    <cellStyle name="Normal 2 3 2 4 6 4" xfId="36844"/>
    <cellStyle name="Normal 2 3 2 4 6 5" xfId="22869"/>
    <cellStyle name="Normal 2 3 2 4 7" xfId="19156"/>
    <cellStyle name="Normal 2 3 2 4 7 2" xfId="31992"/>
    <cellStyle name="Normal 2 3 2 4 7 2 2" xfId="46815"/>
    <cellStyle name="Normal 2 3 2 4 7 3" xfId="37681"/>
    <cellStyle name="Normal 2 3 2 4 7 4" xfId="24681"/>
    <cellStyle name="Normal 2 3 2 4 8" xfId="28338"/>
    <cellStyle name="Normal 2 3 2 4 8 2" xfId="43175"/>
    <cellStyle name="Normal 2 3 2 4 8 3" xfId="36644"/>
    <cellStyle name="Normal 2 3 2 4 9" xfId="35615"/>
    <cellStyle name="Normal 2 3 2 5" xfId="17166"/>
    <cellStyle name="Normal 2 3 2 5 2" xfId="17389"/>
    <cellStyle name="Normal 2 3 2 5 2 2" xfId="17839"/>
    <cellStyle name="Normal 2 3 2 5 2 2 2" xfId="18953"/>
    <cellStyle name="Normal 2 3 2 5 2 2 2 2" xfId="20832"/>
    <cellStyle name="Normal 2 3 2 5 2 2 2 2 2" xfId="28158"/>
    <cellStyle name="Normal 2 3 2 5 2 2 2 2 2 2" xfId="35469"/>
    <cellStyle name="Normal 2 3 2 5 2 2 2 2 2 2 2" xfId="50289"/>
    <cellStyle name="Normal 2 3 2 5 2 2 2 2 2 3" xfId="42997"/>
    <cellStyle name="Normal 2 3 2 5 2 2 2 2 3" xfId="31815"/>
    <cellStyle name="Normal 2 3 2 5 2 2 2 2 3 2" xfId="46638"/>
    <cellStyle name="Normal 2 3 2 5 2 2 2 2 4" xfId="39313"/>
    <cellStyle name="Normal 2 3 2 5 2 2 2 2 5" xfId="24500"/>
    <cellStyle name="Normal 2 3 2 5 2 2 2 3" xfId="26332"/>
    <cellStyle name="Normal 2 3 2 5 2 2 2 3 2" xfId="33643"/>
    <cellStyle name="Normal 2 3 2 5 2 2 2 3 2 2" xfId="48463"/>
    <cellStyle name="Normal 2 3 2 5 2 2 2 3 3" xfId="41176"/>
    <cellStyle name="Normal 2 3 2 5 2 2 2 4" xfId="29989"/>
    <cellStyle name="Normal 2 3 2 5 2 2 2 4 2" xfId="44813"/>
    <cellStyle name="Normal 2 3 2 5 2 2 2 5" xfId="37566"/>
    <cellStyle name="Normal 2 3 2 5 2 2 2 6" xfId="22671"/>
    <cellStyle name="Normal 2 3 2 5 2 2 3" xfId="19883"/>
    <cellStyle name="Normal 2 3 2 5 2 2 3 2" xfId="27252"/>
    <cellStyle name="Normal 2 3 2 5 2 2 3 2 2" xfId="34563"/>
    <cellStyle name="Normal 2 3 2 5 2 2 3 2 2 2" xfId="49383"/>
    <cellStyle name="Normal 2 3 2 5 2 2 3 2 3" xfId="42092"/>
    <cellStyle name="Normal 2 3 2 5 2 2 3 3" xfId="30909"/>
    <cellStyle name="Normal 2 3 2 5 2 2 3 3 2" xfId="45732"/>
    <cellStyle name="Normal 2 3 2 5 2 2 3 4" xfId="38406"/>
    <cellStyle name="Normal 2 3 2 5 2 2 3 5" xfId="23594"/>
    <cellStyle name="Normal 2 3 2 5 2 2 4" xfId="25411"/>
    <cellStyle name="Normal 2 3 2 5 2 2 4 2" xfId="32722"/>
    <cellStyle name="Normal 2 3 2 5 2 2 4 2 2" xfId="47545"/>
    <cellStyle name="Normal 2 3 2 5 2 2 4 3" xfId="40299"/>
    <cellStyle name="Normal 2 3 2 5 2 2 5" xfId="29068"/>
    <cellStyle name="Normal 2 3 2 5 2 2 5 2" xfId="43905"/>
    <cellStyle name="Normal 2 3 2 5 2 2 6" xfId="36069"/>
    <cellStyle name="Normal 2 3 2 5 2 2 7" xfId="21750"/>
    <cellStyle name="Normal 2 3 2 5 2 3" xfId="18209"/>
    <cellStyle name="Normal 2 3 2 5 2 3 2" xfId="20091"/>
    <cellStyle name="Normal 2 3 2 5 2 3 2 2" xfId="27417"/>
    <cellStyle name="Normal 2 3 2 5 2 3 2 2 2" xfId="34728"/>
    <cellStyle name="Normal 2 3 2 5 2 3 2 2 2 2" xfId="49548"/>
    <cellStyle name="Normal 2 3 2 5 2 3 2 2 3" xfId="42256"/>
    <cellStyle name="Normal 2 3 2 5 2 3 2 3" xfId="31074"/>
    <cellStyle name="Normal 2 3 2 5 2 3 2 3 2" xfId="45897"/>
    <cellStyle name="Normal 2 3 2 5 2 3 2 4" xfId="38572"/>
    <cellStyle name="Normal 2 3 2 5 2 3 2 5" xfId="23759"/>
    <cellStyle name="Normal 2 3 2 5 2 3 3" xfId="25591"/>
    <cellStyle name="Normal 2 3 2 5 2 3 3 2" xfId="32902"/>
    <cellStyle name="Normal 2 3 2 5 2 3 3 2 2" xfId="47722"/>
    <cellStyle name="Normal 2 3 2 5 2 3 3 3" xfId="40459"/>
    <cellStyle name="Normal 2 3 2 5 2 3 4" xfId="29248"/>
    <cellStyle name="Normal 2 3 2 5 2 3 4 2" xfId="44072"/>
    <cellStyle name="Normal 2 3 2 5 2 3 5" xfId="36849"/>
    <cellStyle name="Normal 2 3 2 5 2 3 6" xfId="21930"/>
    <cellStyle name="Normal 2 3 2 5 2 4" xfId="19432"/>
    <cellStyle name="Normal 2 3 2 5 2 4 2" xfId="26802"/>
    <cellStyle name="Normal 2 3 2 5 2 4 2 2" xfId="34113"/>
    <cellStyle name="Normal 2 3 2 5 2 4 2 2 2" xfId="48933"/>
    <cellStyle name="Normal 2 3 2 5 2 4 2 3" xfId="41642"/>
    <cellStyle name="Normal 2 3 2 5 2 4 3" xfId="30459"/>
    <cellStyle name="Normal 2 3 2 5 2 4 3 2" xfId="45282"/>
    <cellStyle name="Normal 2 3 2 5 2 4 4" xfId="37956"/>
    <cellStyle name="Normal 2 3 2 5 2 4 5" xfId="23144"/>
    <cellStyle name="Normal 2 3 2 5 2 5" xfId="24961"/>
    <cellStyle name="Normal 2 3 2 5 2 5 2" xfId="32272"/>
    <cellStyle name="Normal 2 3 2 5 2 5 2 2" xfId="47095"/>
    <cellStyle name="Normal 2 3 2 5 2 5 3" xfId="39856"/>
    <cellStyle name="Normal 2 3 2 5 2 6" xfId="28618"/>
    <cellStyle name="Normal 2 3 2 5 2 6 2" xfId="43455"/>
    <cellStyle name="Normal 2 3 2 5 2 7" xfId="35620"/>
    <cellStyle name="Normal 2 3 2 5 2 8" xfId="21300"/>
    <cellStyle name="Normal 2 3 2 5 3" xfId="17615"/>
    <cellStyle name="Normal 2 3 2 5 3 2" xfId="18729"/>
    <cellStyle name="Normal 2 3 2 5 3 2 2" xfId="20608"/>
    <cellStyle name="Normal 2 3 2 5 3 2 2 2" xfId="27934"/>
    <cellStyle name="Normal 2 3 2 5 3 2 2 2 2" xfId="35245"/>
    <cellStyle name="Normal 2 3 2 5 3 2 2 2 2 2" xfId="50065"/>
    <cellStyle name="Normal 2 3 2 5 3 2 2 2 3" xfId="42773"/>
    <cellStyle name="Normal 2 3 2 5 3 2 2 3" xfId="31591"/>
    <cellStyle name="Normal 2 3 2 5 3 2 2 3 2" xfId="46414"/>
    <cellStyle name="Normal 2 3 2 5 3 2 2 4" xfId="39089"/>
    <cellStyle name="Normal 2 3 2 5 3 2 2 5" xfId="24276"/>
    <cellStyle name="Normal 2 3 2 5 3 2 3" xfId="26108"/>
    <cellStyle name="Normal 2 3 2 5 3 2 3 2" xfId="33419"/>
    <cellStyle name="Normal 2 3 2 5 3 2 3 2 2" xfId="48239"/>
    <cellStyle name="Normal 2 3 2 5 3 2 3 3" xfId="40952"/>
    <cellStyle name="Normal 2 3 2 5 3 2 4" xfId="29765"/>
    <cellStyle name="Normal 2 3 2 5 3 2 4 2" xfId="44589"/>
    <cellStyle name="Normal 2 3 2 5 3 2 5" xfId="37366"/>
    <cellStyle name="Normal 2 3 2 5 3 2 6" xfId="22447"/>
    <cellStyle name="Normal 2 3 2 5 3 3" xfId="19659"/>
    <cellStyle name="Normal 2 3 2 5 3 3 2" xfId="27028"/>
    <cellStyle name="Normal 2 3 2 5 3 3 2 2" xfId="34339"/>
    <cellStyle name="Normal 2 3 2 5 3 3 2 2 2" xfId="49159"/>
    <cellStyle name="Normal 2 3 2 5 3 3 2 3" xfId="41868"/>
    <cellStyle name="Normal 2 3 2 5 3 3 3" xfId="30685"/>
    <cellStyle name="Normal 2 3 2 5 3 3 3 2" xfId="45508"/>
    <cellStyle name="Normal 2 3 2 5 3 3 4" xfId="38182"/>
    <cellStyle name="Normal 2 3 2 5 3 3 5" xfId="23370"/>
    <cellStyle name="Normal 2 3 2 5 3 4" xfId="25187"/>
    <cellStyle name="Normal 2 3 2 5 3 4 2" xfId="32498"/>
    <cellStyle name="Normal 2 3 2 5 3 4 2 2" xfId="47321"/>
    <cellStyle name="Normal 2 3 2 5 3 4 3" xfId="40079"/>
    <cellStyle name="Normal 2 3 2 5 3 5" xfId="28844"/>
    <cellStyle name="Normal 2 3 2 5 3 5 2" xfId="43681"/>
    <cellStyle name="Normal 2 3 2 5 3 6" xfId="36068"/>
    <cellStyle name="Normal 2 3 2 5 3 7" xfId="21526"/>
    <cellStyle name="Normal 2 3 2 5 4" xfId="18208"/>
    <cellStyle name="Normal 2 3 2 5 4 2" xfId="20090"/>
    <cellStyle name="Normal 2 3 2 5 4 2 2" xfId="27416"/>
    <cellStyle name="Normal 2 3 2 5 4 2 2 2" xfId="34727"/>
    <cellStyle name="Normal 2 3 2 5 4 2 2 2 2" xfId="49547"/>
    <cellStyle name="Normal 2 3 2 5 4 2 2 3" xfId="42255"/>
    <cellStyle name="Normal 2 3 2 5 4 2 3" xfId="31073"/>
    <cellStyle name="Normal 2 3 2 5 4 2 3 2" xfId="45896"/>
    <cellStyle name="Normal 2 3 2 5 4 2 4" xfId="38571"/>
    <cellStyle name="Normal 2 3 2 5 4 2 5" xfId="23758"/>
    <cellStyle name="Normal 2 3 2 5 4 3" xfId="25590"/>
    <cellStyle name="Normal 2 3 2 5 4 3 2" xfId="32901"/>
    <cellStyle name="Normal 2 3 2 5 4 3 2 2" xfId="47721"/>
    <cellStyle name="Normal 2 3 2 5 4 3 3" xfId="40458"/>
    <cellStyle name="Normal 2 3 2 5 4 4" xfId="29247"/>
    <cellStyle name="Normal 2 3 2 5 4 4 2" xfId="44071"/>
    <cellStyle name="Normal 2 3 2 5 4 5" xfId="36848"/>
    <cellStyle name="Normal 2 3 2 5 4 6" xfId="21929"/>
    <cellStyle name="Normal 2 3 2 5 5" xfId="19210"/>
    <cellStyle name="Normal 2 3 2 5 5 2" xfId="26580"/>
    <cellStyle name="Normal 2 3 2 5 5 2 2" xfId="33891"/>
    <cellStyle name="Normal 2 3 2 5 5 2 2 2" xfId="48711"/>
    <cellStyle name="Normal 2 3 2 5 5 2 3" xfId="41420"/>
    <cellStyle name="Normal 2 3 2 5 5 3" xfId="30237"/>
    <cellStyle name="Normal 2 3 2 5 5 3 2" xfId="45060"/>
    <cellStyle name="Normal 2 3 2 5 5 4" xfId="37734"/>
    <cellStyle name="Normal 2 3 2 5 5 5" xfId="22922"/>
    <cellStyle name="Normal 2 3 2 5 6" xfId="24737"/>
    <cellStyle name="Normal 2 3 2 5 6 2" xfId="32048"/>
    <cellStyle name="Normal 2 3 2 5 6 2 2" xfId="46871"/>
    <cellStyle name="Normal 2 3 2 5 6 3" xfId="39640"/>
    <cellStyle name="Normal 2 3 2 5 7" xfId="28394"/>
    <cellStyle name="Normal 2 3 2 5 7 2" xfId="43231"/>
    <cellStyle name="Normal 2 3 2 5 8" xfId="35619"/>
    <cellStyle name="Normal 2 3 2 5 9" xfId="21076"/>
    <cellStyle name="Normal 2 3 2 6" xfId="17269"/>
    <cellStyle name="Normal 2 3 2 6 2" xfId="17727"/>
    <cellStyle name="Normal 2 3 2 6 2 2" xfId="18841"/>
    <cellStyle name="Normal 2 3 2 6 2 2 2" xfId="20720"/>
    <cellStyle name="Normal 2 3 2 6 2 2 2 2" xfId="28046"/>
    <cellStyle name="Normal 2 3 2 6 2 2 2 2 2" xfId="35357"/>
    <cellStyle name="Normal 2 3 2 6 2 2 2 2 2 2" xfId="50177"/>
    <cellStyle name="Normal 2 3 2 6 2 2 2 2 3" xfId="42885"/>
    <cellStyle name="Normal 2 3 2 6 2 2 2 3" xfId="31703"/>
    <cellStyle name="Normal 2 3 2 6 2 2 2 3 2" xfId="46526"/>
    <cellStyle name="Normal 2 3 2 6 2 2 2 4" xfId="39201"/>
    <cellStyle name="Normal 2 3 2 6 2 2 2 5" xfId="24388"/>
    <cellStyle name="Normal 2 3 2 6 2 2 3" xfId="26220"/>
    <cellStyle name="Normal 2 3 2 6 2 2 3 2" xfId="33531"/>
    <cellStyle name="Normal 2 3 2 6 2 2 3 2 2" xfId="48351"/>
    <cellStyle name="Normal 2 3 2 6 2 2 3 3" xfId="41064"/>
    <cellStyle name="Normal 2 3 2 6 2 2 4" xfId="29877"/>
    <cellStyle name="Normal 2 3 2 6 2 2 4 2" xfId="44701"/>
    <cellStyle name="Normal 2 3 2 6 2 2 5" xfId="37477"/>
    <cellStyle name="Normal 2 3 2 6 2 2 6" xfId="22559"/>
    <cellStyle name="Normal 2 3 2 6 2 3" xfId="19771"/>
    <cellStyle name="Normal 2 3 2 6 2 3 2" xfId="27140"/>
    <cellStyle name="Normal 2 3 2 6 2 3 2 2" xfId="34451"/>
    <cellStyle name="Normal 2 3 2 6 2 3 2 2 2" xfId="49271"/>
    <cellStyle name="Normal 2 3 2 6 2 3 2 3" xfId="41980"/>
    <cellStyle name="Normal 2 3 2 6 2 3 3" xfId="30797"/>
    <cellStyle name="Normal 2 3 2 6 2 3 3 2" xfId="45620"/>
    <cellStyle name="Normal 2 3 2 6 2 3 4" xfId="38294"/>
    <cellStyle name="Normal 2 3 2 6 2 3 5" xfId="23482"/>
    <cellStyle name="Normal 2 3 2 6 2 4" xfId="25299"/>
    <cellStyle name="Normal 2 3 2 6 2 4 2" xfId="32610"/>
    <cellStyle name="Normal 2 3 2 6 2 4 2 2" xfId="47433"/>
    <cellStyle name="Normal 2 3 2 6 2 4 3" xfId="40190"/>
    <cellStyle name="Normal 2 3 2 6 2 5" xfId="28956"/>
    <cellStyle name="Normal 2 3 2 6 2 5 2" xfId="43793"/>
    <cellStyle name="Normal 2 3 2 6 2 6" xfId="36070"/>
    <cellStyle name="Normal 2 3 2 6 2 7" xfId="21638"/>
    <cellStyle name="Normal 2 3 2 6 3" xfId="18210"/>
    <cellStyle name="Normal 2 3 2 6 3 2" xfId="20092"/>
    <cellStyle name="Normal 2 3 2 6 3 2 2" xfId="27418"/>
    <cellStyle name="Normal 2 3 2 6 3 2 2 2" xfId="34729"/>
    <cellStyle name="Normal 2 3 2 6 3 2 2 2 2" xfId="49549"/>
    <cellStyle name="Normal 2 3 2 6 3 2 2 3" xfId="42257"/>
    <cellStyle name="Normal 2 3 2 6 3 2 3" xfId="31075"/>
    <cellStyle name="Normal 2 3 2 6 3 2 3 2" xfId="45898"/>
    <cellStyle name="Normal 2 3 2 6 3 2 4" xfId="38573"/>
    <cellStyle name="Normal 2 3 2 6 3 2 5" xfId="23760"/>
    <cellStyle name="Normal 2 3 2 6 3 3" xfId="25592"/>
    <cellStyle name="Normal 2 3 2 6 3 3 2" xfId="32903"/>
    <cellStyle name="Normal 2 3 2 6 3 3 2 2" xfId="47723"/>
    <cellStyle name="Normal 2 3 2 6 3 3 3" xfId="40460"/>
    <cellStyle name="Normal 2 3 2 6 3 4" xfId="29249"/>
    <cellStyle name="Normal 2 3 2 6 3 4 2" xfId="44073"/>
    <cellStyle name="Normal 2 3 2 6 3 5" xfId="36850"/>
    <cellStyle name="Normal 2 3 2 6 3 6" xfId="21931"/>
    <cellStyle name="Normal 2 3 2 6 4" xfId="19320"/>
    <cellStyle name="Normal 2 3 2 6 4 2" xfId="26690"/>
    <cellStyle name="Normal 2 3 2 6 4 2 2" xfId="34001"/>
    <cellStyle name="Normal 2 3 2 6 4 2 2 2" xfId="48821"/>
    <cellStyle name="Normal 2 3 2 6 4 2 3" xfId="41530"/>
    <cellStyle name="Normal 2 3 2 6 4 3" xfId="30347"/>
    <cellStyle name="Normal 2 3 2 6 4 3 2" xfId="45170"/>
    <cellStyle name="Normal 2 3 2 6 4 4" xfId="37844"/>
    <cellStyle name="Normal 2 3 2 6 4 5" xfId="23032"/>
    <cellStyle name="Normal 2 3 2 6 5" xfId="24849"/>
    <cellStyle name="Normal 2 3 2 6 5 2" xfId="32160"/>
    <cellStyle name="Normal 2 3 2 6 5 2 2" xfId="46983"/>
    <cellStyle name="Normal 2 3 2 6 5 3" xfId="39747"/>
    <cellStyle name="Normal 2 3 2 6 6" xfId="28506"/>
    <cellStyle name="Normal 2 3 2 6 6 2" xfId="43343"/>
    <cellStyle name="Normal 2 3 2 6 7" xfId="35621"/>
    <cellStyle name="Normal 2 3 2 6 8" xfId="21188"/>
    <cellStyle name="Normal 2 3 2 7" xfId="17503"/>
    <cellStyle name="Normal 2 3 2 7 2" xfId="18617"/>
    <cellStyle name="Normal 2 3 2 7 2 2" xfId="20496"/>
    <cellStyle name="Normal 2 3 2 7 2 2 2" xfId="27822"/>
    <cellStyle name="Normal 2 3 2 7 2 2 2 2" xfId="35133"/>
    <cellStyle name="Normal 2 3 2 7 2 2 2 2 2" xfId="49953"/>
    <cellStyle name="Normal 2 3 2 7 2 2 2 3" xfId="42661"/>
    <cellStyle name="Normal 2 3 2 7 2 2 3" xfId="31479"/>
    <cellStyle name="Normal 2 3 2 7 2 2 3 2" xfId="46302"/>
    <cellStyle name="Normal 2 3 2 7 2 2 4" xfId="38977"/>
    <cellStyle name="Normal 2 3 2 7 2 2 5" xfId="24164"/>
    <cellStyle name="Normal 2 3 2 7 2 3" xfId="25996"/>
    <cellStyle name="Normal 2 3 2 7 2 3 2" xfId="33307"/>
    <cellStyle name="Normal 2 3 2 7 2 3 2 2" xfId="48127"/>
    <cellStyle name="Normal 2 3 2 7 2 3 3" xfId="40840"/>
    <cellStyle name="Normal 2 3 2 7 2 4" xfId="29653"/>
    <cellStyle name="Normal 2 3 2 7 2 4 2" xfId="44477"/>
    <cellStyle name="Normal 2 3 2 7 2 5" xfId="37254"/>
    <cellStyle name="Normal 2 3 2 7 2 6" xfId="22335"/>
    <cellStyle name="Normal 2 3 2 7 3" xfId="19547"/>
    <cellStyle name="Normal 2 3 2 7 3 2" xfId="26916"/>
    <cellStyle name="Normal 2 3 2 7 3 2 2" xfId="34227"/>
    <cellStyle name="Normal 2 3 2 7 3 2 2 2" xfId="49047"/>
    <cellStyle name="Normal 2 3 2 7 3 2 3" xfId="41756"/>
    <cellStyle name="Normal 2 3 2 7 3 3" xfId="30573"/>
    <cellStyle name="Normal 2 3 2 7 3 3 2" xfId="45396"/>
    <cellStyle name="Normal 2 3 2 7 3 4" xfId="38070"/>
    <cellStyle name="Normal 2 3 2 7 3 5" xfId="23258"/>
    <cellStyle name="Normal 2 3 2 7 4" xfId="25075"/>
    <cellStyle name="Normal 2 3 2 7 4 2" xfId="32386"/>
    <cellStyle name="Normal 2 3 2 7 4 2 2" xfId="47209"/>
    <cellStyle name="Normal 2 3 2 7 4 3" xfId="39970"/>
    <cellStyle name="Normal 2 3 2 7 5" xfId="28732"/>
    <cellStyle name="Normal 2 3 2 7 5 2" xfId="43569"/>
    <cellStyle name="Normal 2 3 2 7 6" xfId="36039"/>
    <cellStyle name="Normal 2 3 2 7 7" xfId="21414"/>
    <cellStyle name="Normal 2 3 2 8" xfId="18042"/>
    <cellStyle name="Normal 2 3 2 8 2" xfId="18179"/>
    <cellStyle name="Normal 2 3 2 8 2 2" xfId="27387"/>
    <cellStyle name="Normal 2 3 2 8 2 2 2" xfId="34698"/>
    <cellStyle name="Normal 2 3 2 8 2 2 2 2" xfId="49518"/>
    <cellStyle name="Normal 2 3 2 8 2 2 3" xfId="42226"/>
    <cellStyle name="Normal 2 3 2 8 2 3" xfId="31044"/>
    <cellStyle name="Normal 2 3 2 8 2 3 2" xfId="45867"/>
    <cellStyle name="Normal 2 3 2 8 2 4" xfId="36819"/>
    <cellStyle name="Normal 2 3 2 8 2 5" xfId="23729"/>
    <cellStyle name="Normal 2 3 2 8 3" xfId="20061"/>
    <cellStyle name="Normal 2 3 2 8 3 2" xfId="32872"/>
    <cellStyle name="Normal 2 3 2 8 3 2 2" xfId="47692"/>
    <cellStyle name="Normal 2 3 2 8 3 3" xfId="38542"/>
    <cellStyle name="Normal 2 3 2 8 3 4" xfId="25561"/>
    <cellStyle name="Normal 2 3 2 8 4" xfId="29218"/>
    <cellStyle name="Normal 2 3 2 8 4 2" xfId="44042"/>
    <cellStyle name="Normal 2 3 2 8 5" xfId="36705"/>
    <cellStyle name="Normal 2 3 2 8 6" xfId="21900"/>
    <cellStyle name="Normal 2 3 2 9" xfId="19998"/>
    <cellStyle name="Normal 2 3 3" xfId="16978"/>
    <cellStyle name="Normal 2 3 3 10" xfId="28289"/>
    <cellStyle name="Normal 2 3 3 10 2" xfId="43126"/>
    <cellStyle name="Normal 2 3 3 11" xfId="35622"/>
    <cellStyle name="Normal 2 3 3 12" xfId="20971"/>
    <cellStyle name="Normal 2 3 3 2" xfId="17031"/>
    <cellStyle name="Normal 2 3 3 2 10" xfId="35623"/>
    <cellStyle name="Normal 2 3 3 2 11" xfId="20999"/>
    <cellStyle name="Normal 2 3 3 2 2" xfId="17149"/>
    <cellStyle name="Normal 2 3 3 2 2 10" xfId="21055"/>
    <cellStyle name="Normal 2 3 3 2 2 2" xfId="17480"/>
    <cellStyle name="Normal 2 3 3 2 2 2 2" xfId="17930"/>
    <cellStyle name="Normal 2 3 3 2 2 2 2 2" xfId="19044"/>
    <cellStyle name="Normal 2 3 3 2 2 2 2 2 2" xfId="20923"/>
    <cellStyle name="Normal 2 3 3 2 2 2 2 2 2 2" xfId="24591"/>
    <cellStyle name="Normal 2 3 3 2 2 2 2 2 2 2 2" xfId="28249"/>
    <cellStyle name="Normal 2 3 3 2 2 2 2 2 2 2 2 2" xfId="35560"/>
    <cellStyle name="Normal 2 3 3 2 2 2 2 2 2 2 2 2 2" xfId="50380"/>
    <cellStyle name="Normal 2 3 3 2 2 2 2 2 2 2 2 3" xfId="43088"/>
    <cellStyle name="Normal 2 3 3 2 2 2 2 2 2 2 3" xfId="31906"/>
    <cellStyle name="Normal 2 3 3 2 2 2 2 2 2 2 3 2" xfId="46729"/>
    <cellStyle name="Normal 2 3 3 2 2 2 2 2 2 2 4" xfId="39523"/>
    <cellStyle name="Normal 2 3 3 2 2 2 2 2 2 3" xfId="26423"/>
    <cellStyle name="Normal 2 3 3 2 2 2 2 2 2 3 2" xfId="33734"/>
    <cellStyle name="Normal 2 3 3 2 2 2 2 2 2 3 2 2" xfId="48554"/>
    <cellStyle name="Normal 2 3 3 2 2 2 2 2 2 3 3" xfId="41267"/>
    <cellStyle name="Normal 2 3 3 2 2 2 2 2 2 4" xfId="30080"/>
    <cellStyle name="Normal 2 3 3 2 2 2 2 2 2 4 2" xfId="44904"/>
    <cellStyle name="Normal 2 3 3 2 2 2 2 2 2 5" xfId="39404"/>
    <cellStyle name="Normal 2 3 3 2 2 2 2 2 2 6" xfId="22762"/>
    <cellStyle name="Normal 2 3 3 2 2 2 2 2 3" xfId="19974"/>
    <cellStyle name="Normal 2 3 3 2 2 2 2 2 3 2" xfId="27343"/>
    <cellStyle name="Normal 2 3 3 2 2 2 2 2 3 2 2" xfId="34654"/>
    <cellStyle name="Normal 2 3 3 2 2 2 2 2 3 2 2 2" xfId="49474"/>
    <cellStyle name="Normal 2 3 3 2 2 2 2 2 3 2 3" xfId="42183"/>
    <cellStyle name="Normal 2 3 3 2 2 2 2 2 3 3" xfId="31000"/>
    <cellStyle name="Normal 2 3 3 2 2 2 2 2 3 3 2" xfId="45823"/>
    <cellStyle name="Normal 2 3 3 2 2 2 2 2 3 4" xfId="38497"/>
    <cellStyle name="Normal 2 3 3 2 2 2 2 2 3 5" xfId="23685"/>
    <cellStyle name="Normal 2 3 3 2 2 2 2 2 4" xfId="25502"/>
    <cellStyle name="Normal 2 3 3 2 2 2 2 2 4 2" xfId="32813"/>
    <cellStyle name="Normal 2 3 3 2 2 2 2 2 4 2 2" xfId="47636"/>
    <cellStyle name="Normal 2 3 3 2 2 2 2 2 4 3" xfId="40390"/>
    <cellStyle name="Normal 2 3 3 2 2 2 2 2 5" xfId="29159"/>
    <cellStyle name="Normal 2 3 3 2 2 2 2 2 5 2" xfId="43996"/>
    <cellStyle name="Normal 2 3 3 2 2 2 2 2 6" xfId="36075"/>
    <cellStyle name="Normal 2 3 3 2 2 2 2 2 7" xfId="21841"/>
    <cellStyle name="Normal 2 3 3 2 2 2 2 3" xfId="18212"/>
    <cellStyle name="Normal 2 3 3 2 2 2 2 3 2" xfId="20094"/>
    <cellStyle name="Normal 2 3 3 2 2 2 2 3 2 2" xfId="27420"/>
    <cellStyle name="Normal 2 3 3 2 2 2 2 3 2 2 2" xfId="34731"/>
    <cellStyle name="Normal 2 3 3 2 2 2 2 3 2 2 2 2" xfId="49551"/>
    <cellStyle name="Normal 2 3 3 2 2 2 2 3 2 2 3" xfId="42259"/>
    <cellStyle name="Normal 2 3 3 2 2 2 2 3 2 3" xfId="31077"/>
    <cellStyle name="Normal 2 3 3 2 2 2 2 3 2 3 2" xfId="45900"/>
    <cellStyle name="Normal 2 3 3 2 2 2 2 3 2 4" xfId="38575"/>
    <cellStyle name="Normal 2 3 3 2 2 2 2 3 2 5" xfId="23762"/>
    <cellStyle name="Normal 2 3 3 2 2 2 2 3 3" xfId="25594"/>
    <cellStyle name="Normal 2 3 3 2 2 2 2 3 3 2" xfId="32905"/>
    <cellStyle name="Normal 2 3 3 2 2 2 2 3 3 2 2" xfId="47725"/>
    <cellStyle name="Normal 2 3 3 2 2 2 2 3 3 3" xfId="40462"/>
    <cellStyle name="Normal 2 3 3 2 2 2 2 3 4" xfId="29251"/>
    <cellStyle name="Normal 2 3 3 2 2 2 2 3 4 2" xfId="44075"/>
    <cellStyle name="Normal 2 3 3 2 2 2 2 3 5" xfId="36852"/>
    <cellStyle name="Normal 2 3 3 2 2 2 2 3 6" xfId="21933"/>
    <cellStyle name="Normal 2 3 3 2 2 2 2 4" xfId="19523"/>
    <cellStyle name="Normal 2 3 3 2 2 2 2 4 2" xfId="26893"/>
    <cellStyle name="Normal 2 3 3 2 2 2 2 4 2 2" xfId="34204"/>
    <cellStyle name="Normal 2 3 3 2 2 2 2 4 2 2 2" xfId="49024"/>
    <cellStyle name="Normal 2 3 3 2 2 2 2 4 2 3" xfId="41733"/>
    <cellStyle name="Normal 2 3 3 2 2 2 2 4 3" xfId="30550"/>
    <cellStyle name="Normal 2 3 3 2 2 2 2 4 3 2" xfId="45373"/>
    <cellStyle name="Normal 2 3 3 2 2 2 2 4 4" xfId="38047"/>
    <cellStyle name="Normal 2 3 3 2 2 2 2 4 5" xfId="23235"/>
    <cellStyle name="Normal 2 3 3 2 2 2 2 5" xfId="25052"/>
    <cellStyle name="Normal 2 3 3 2 2 2 2 5 2" xfId="32363"/>
    <cellStyle name="Normal 2 3 3 2 2 2 2 5 2 2" xfId="47186"/>
    <cellStyle name="Normal 2 3 3 2 2 2 2 5 3" xfId="39947"/>
    <cellStyle name="Normal 2 3 3 2 2 2 2 6" xfId="28709"/>
    <cellStyle name="Normal 2 3 3 2 2 2 2 6 2" xfId="43546"/>
    <cellStyle name="Normal 2 3 3 2 2 2 2 7" xfId="35626"/>
    <cellStyle name="Normal 2 3 3 2 2 2 2 8" xfId="21391"/>
    <cellStyle name="Normal 2 3 3 2 2 2 3" xfId="17706"/>
    <cellStyle name="Normal 2 3 3 2 2 2 3 2" xfId="18820"/>
    <cellStyle name="Normal 2 3 3 2 2 2 3 2 2" xfId="20699"/>
    <cellStyle name="Normal 2 3 3 2 2 2 3 2 2 2" xfId="28025"/>
    <cellStyle name="Normal 2 3 3 2 2 2 3 2 2 2 2" xfId="35336"/>
    <cellStyle name="Normal 2 3 3 2 2 2 3 2 2 2 2 2" xfId="50156"/>
    <cellStyle name="Normal 2 3 3 2 2 2 3 2 2 2 3" xfId="42864"/>
    <cellStyle name="Normal 2 3 3 2 2 2 3 2 2 3" xfId="31682"/>
    <cellStyle name="Normal 2 3 3 2 2 2 3 2 2 3 2" xfId="46505"/>
    <cellStyle name="Normal 2 3 3 2 2 2 3 2 2 4" xfId="39180"/>
    <cellStyle name="Normal 2 3 3 2 2 2 3 2 2 5" xfId="24367"/>
    <cellStyle name="Normal 2 3 3 2 2 2 3 2 3" xfId="26199"/>
    <cellStyle name="Normal 2 3 3 2 2 2 3 2 3 2" xfId="33510"/>
    <cellStyle name="Normal 2 3 3 2 2 2 3 2 3 2 2" xfId="48330"/>
    <cellStyle name="Normal 2 3 3 2 2 2 3 2 3 3" xfId="41043"/>
    <cellStyle name="Normal 2 3 3 2 2 2 3 2 4" xfId="29856"/>
    <cellStyle name="Normal 2 3 3 2 2 2 3 2 4 2" xfId="44680"/>
    <cellStyle name="Normal 2 3 3 2 2 2 3 2 5" xfId="37457"/>
    <cellStyle name="Normal 2 3 3 2 2 2 3 2 6" xfId="22538"/>
    <cellStyle name="Normal 2 3 3 2 2 2 3 3" xfId="19750"/>
    <cellStyle name="Normal 2 3 3 2 2 2 3 3 2" xfId="27119"/>
    <cellStyle name="Normal 2 3 3 2 2 2 3 3 2 2" xfId="34430"/>
    <cellStyle name="Normal 2 3 3 2 2 2 3 3 2 2 2" xfId="49250"/>
    <cellStyle name="Normal 2 3 3 2 2 2 3 3 2 3" xfId="41959"/>
    <cellStyle name="Normal 2 3 3 2 2 2 3 3 3" xfId="30776"/>
    <cellStyle name="Normal 2 3 3 2 2 2 3 3 3 2" xfId="45599"/>
    <cellStyle name="Normal 2 3 3 2 2 2 3 3 4" xfId="38273"/>
    <cellStyle name="Normal 2 3 3 2 2 2 3 3 5" xfId="23461"/>
    <cellStyle name="Normal 2 3 3 2 2 2 3 4" xfId="25278"/>
    <cellStyle name="Normal 2 3 3 2 2 2 3 4 2" xfId="32589"/>
    <cellStyle name="Normal 2 3 3 2 2 2 3 4 2 2" xfId="47412"/>
    <cellStyle name="Normal 2 3 3 2 2 2 3 4 3" xfId="40170"/>
    <cellStyle name="Normal 2 3 3 2 2 2 3 5" xfId="28935"/>
    <cellStyle name="Normal 2 3 3 2 2 2 3 5 2" xfId="43772"/>
    <cellStyle name="Normal 2 3 3 2 2 2 3 6" xfId="36074"/>
    <cellStyle name="Normal 2 3 3 2 2 2 3 7" xfId="21617"/>
    <cellStyle name="Normal 2 3 3 2 2 2 4" xfId="18211"/>
    <cellStyle name="Normal 2 3 3 2 2 2 4 2" xfId="20093"/>
    <cellStyle name="Normal 2 3 3 2 2 2 4 2 2" xfId="27419"/>
    <cellStyle name="Normal 2 3 3 2 2 2 4 2 2 2" xfId="34730"/>
    <cellStyle name="Normal 2 3 3 2 2 2 4 2 2 2 2" xfId="49550"/>
    <cellStyle name="Normal 2 3 3 2 2 2 4 2 2 3" xfId="42258"/>
    <cellStyle name="Normal 2 3 3 2 2 2 4 2 3" xfId="31076"/>
    <cellStyle name="Normal 2 3 3 2 2 2 4 2 3 2" xfId="45899"/>
    <cellStyle name="Normal 2 3 3 2 2 2 4 2 4" xfId="38574"/>
    <cellStyle name="Normal 2 3 3 2 2 2 4 2 5" xfId="23761"/>
    <cellStyle name="Normal 2 3 3 2 2 2 4 3" xfId="25593"/>
    <cellStyle name="Normal 2 3 3 2 2 2 4 3 2" xfId="32904"/>
    <cellStyle name="Normal 2 3 3 2 2 2 4 3 2 2" xfId="47724"/>
    <cellStyle name="Normal 2 3 3 2 2 2 4 3 3" xfId="40461"/>
    <cellStyle name="Normal 2 3 3 2 2 2 4 4" xfId="29250"/>
    <cellStyle name="Normal 2 3 3 2 2 2 4 4 2" xfId="44074"/>
    <cellStyle name="Normal 2 3 3 2 2 2 4 5" xfId="36851"/>
    <cellStyle name="Normal 2 3 3 2 2 2 4 6" xfId="21932"/>
    <cellStyle name="Normal 2 3 3 2 2 2 5" xfId="19299"/>
    <cellStyle name="Normal 2 3 3 2 2 2 5 2" xfId="26669"/>
    <cellStyle name="Normal 2 3 3 2 2 2 5 2 2" xfId="33980"/>
    <cellStyle name="Normal 2 3 3 2 2 2 5 2 2 2" xfId="48800"/>
    <cellStyle name="Normal 2 3 3 2 2 2 5 2 3" xfId="41509"/>
    <cellStyle name="Normal 2 3 3 2 2 2 5 3" xfId="30326"/>
    <cellStyle name="Normal 2 3 3 2 2 2 5 3 2" xfId="45149"/>
    <cellStyle name="Normal 2 3 3 2 2 2 5 4" xfId="37823"/>
    <cellStyle name="Normal 2 3 3 2 2 2 5 5" xfId="23011"/>
    <cellStyle name="Normal 2 3 3 2 2 2 6" xfId="24828"/>
    <cellStyle name="Normal 2 3 3 2 2 2 6 2" xfId="32139"/>
    <cellStyle name="Normal 2 3 3 2 2 2 6 2 2" xfId="46962"/>
    <cellStyle name="Normal 2 3 3 2 2 2 6 3" xfId="39727"/>
    <cellStyle name="Normal 2 3 3 2 2 2 7" xfId="28485"/>
    <cellStyle name="Normal 2 3 3 2 2 2 7 2" xfId="43322"/>
    <cellStyle name="Normal 2 3 3 2 2 2 8" xfId="35625"/>
    <cellStyle name="Normal 2 3 3 2 2 2 9" xfId="21167"/>
    <cellStyle name="Normal 2 3 3 2 2 3" xfId="17365"/>
    <cellStyle name="Normal 2 3 3 2 2 3 2" xfId="17818"/>
    <cellStyle name="Normal 2 3 3 2 2 3 2 2" xfId="18932"/>
    <cellStyle name="Normal 2 3 3 2 2 3 2 2 2" xfId="20811"/>
    <cellStyle name="Normal 2 3 3 2 2 3 2 2 2 2" xfId="28137"/>
    <cellStyle name="Normal 2 3 3 2 2 3 2 2 2 2 2" xfId="35448"/>
    <cellStyle name="Normal 2 3 3 2 2 3 2 2 2 2 2 2" xfId="50268"/>
    <cellStyle name="Normal 2 3 3 2 2 3 2 2 2 2 3" xfId="42976"/>
    <cellStyle name="Normal 2 3 3 2 2 3 2 2 2 3" xfId="31794"/>
    <cellStyle name="Normal 2 3 3 2 2 3 2 2 2 3 2" xfId="46617"/>
    <cellStyle name="Normal 2 3 3 2 2 3 2 2 2 4" xfId="39292"/>
    <cellStyle name="Normal 2 3 3 2 2 3 2 2 2 5" xfId="24479"/>
    <cellStyle name="Normal 2 3 3 2 2 3 2 2 3" xfId="26311"/>
    <cellStyle name="Normal 2 3 3 2 2 3 2 2 3 2" xfId="33622"/>
    <cellStyle name="Normal 2 3 3 2 2 3 2 2 3 2 2" xfId="48442"/>
    <cellStyle name="Normal 2 3 3 2 2 3 2 2 3 3" xfId="41155"/>
    <cellStyle name="Normal 2 3 3 2 2 3 2 2 4" xfId="29968"/>
    <cellStyle name="Normal 2 3 3 2 2 3 2 2 4 2" xfId="44792"/>
    <cellStyle name="Normal 2 3 3 2 2 3 2 2 5" xfId="37556"/>
    <cellStyle name="Normal 2 3 3 2 2 3 2 2 6" xfId="22650"/>
    <cellStyle name="Normal 2 3 3 2 2 3 2 3" xfId="19862"/>
    <cellStyle name="Normal 2 3 3 2 2 3 2 3 2" xfId="27231"/>
    <cellStyle name="Normal 2 3 3 2 2 3 2 3 2 2" xfId="34542"/>
    <cellStyle name="Normal 2 3 3 2 2 3 2 3 2 2 2" xfId="49362"/>
    <cellStyle name="Normal 2 3 3 2 2 3 2 3 2 3" xfId="42071"/>
    <cellStyle name="Normal 2 3 3 2 2 3 2 3 3" xfId="30888"/>
    <cellStyle name="Normal 2 3 3 2 2 3 2 3 3 2" xfId="45711"/>
    <cellStyle name="Normal 2 3 3 2 2 3 2 3 4" xfId="38385"/>
    <cellStyle name="Normal 2 3 3 2 2 3 2 3 5" xfId="23573"/>
    <cellStyle name="Normal 2 3 3 2 2 3 2 4" xfId="25390"/>
    <cellStyle name="Normal 2 3 3 2 2 3 2 4 2" xfId="32701"/>
    <cellStyle name="Normal 2 3 3 2 2 3 2 4 2 2" xfId="47524"/>
    <cellStyle name="Normal 2 3 3 2 2 3 2 4 3" xfId="40278"/>
    <cellStyle name="Normal 2 3 3 2 2 3 2 5" xfId="29047"/>
    <cellStyle name="Normal 2 3 3 2 2 3 2 5 2" xfId="43884"/>
    <cellStyle name="Normal 2 3 3 2 2 3 2 6" xfId="36076"/>
    <cellStyle name="Normal 2 3 3 2 2 3 2 7" xfId="21729"/>
    <cellStyle name="Normal 2 3 3 2 2 3 3" xfId="18213"/>
    <cellStyle name="Normal 2 3 3 2 2 3 3 2" xfId="20095"/>
    <cellStyle name="Normal 2 3 3 2 2 3 3 2 2" xfId="27421"/>
    <cellStyle name="Normal 2 3 3 2 2 3 3 2 2 2" xfId="34732"/>
    <cellStyle name="Normal 2 3 3 2 2 3 3 2 2 2 2" xfId="49552"/>
    <cellStyle name="Normal 2 3 3 2 2 3 3 2 2 3" xfId="42260"/>
    <cellStyle name="Normal 2 3 3 2 2 3 3 2 3" xfId="31078"/>
    <cellStyle name="Normal 2 3 3 2 2 3 3 2 3 2" xfId="45901"/>
    <cellStyle name="Normal 2 3 3 2 2 3 3 2 4" xfId="38576"/>
    <cellStyle name="Normal 2 3 3 2 2 3 3 2 5" xfId="23763"/>
    <cellStyle name="Normal 2 3 3 2 2 3 3 3" xfId="25595"/>
    <cellStyle name="Normal 2 3 3 2 2 3 3 3 2" xfId="32906"/>
    <cellStyle name="Normal 2 3 3 2 2 3 3 3 2 2" xfId="47726"/>
    <cellStyle name="Normal 2 3 3 2 2 3 3 3 3" xfId="40463"/>
    <cellStyle name="Normal 2 3 3 2 2 3 3 4" xfId="29252"/>
    <cellStyle name="Normal 2 3 3 2 2 3 3 4 2" xfId="44076"/>
    <cellStyle name="Normal 2 3 3 2 2 3 3 5" xfId="36853"/>
    <cellStyle name="Normal 2 3 3 2 2 3 3 6" xfId="21934"/>
    <cellStyle name="Normal 2 3 3 2 2 3 4" xfId="19411"/>
    <cellStyle name="Normal 2 3 3 2 2 3 4 2" xfId="26781"/>
    <cellStyle name="Normal 2 3 3 2 2 3 4 2 2" xfId="34092"/>
    <cellStyle name="Normal 2 3 3 2 2 3 4 2 2 2" xfId="48912"/>
    <cellStyle name="Normal 2 3 3 2 2 3 4 2 3" xfId="41621"/>
    <cellStyle name="Normal 2 3 3 2 2 3 4 3" xfId="30438"/>
    <cellStyle name="Normal 2 3 3 2 2 3 4 3 2" xfId="45261"/>
    <cellStyle name="Normal 2 3 3 2 2 3 4 4" xfId="37935"/>
    <cellStyle name="Normal 2 3 3 2 2 3 4 5" xfId="23123"/>
    <cellStyle name="Normal 2 3 3 2 2 3 5" xfId="24940"/>
    <cellStyle name="Normal 2 3 3 2 2 3 5 2" xfId="32251"/>
    <cellStyle name="Normal 2 3 3 2 2 3 5 2 2" xfId="47074"/>
    <cellStyle name="Normal 2 3 3 2 2 3 5 3" xfId="39835"/>
    <cellStyle name="Normal 2 3 3 2 2 3 6" xfId="28597"/>
    <cellStyle name="Normal 2 3 3 2 2 3 6 2" xfId="43434"/>
    <cellStyle name="Normal 2 3 3 2 2 3 7" xfId="35627"/>
    <cellStyle name="Normal 2 3 3 2 2 3 8" xfId="21279"/>
    <cellStyle name="Normal 2 3 3 2 2 4" xfId="17594"/>
    <cellStyle name="Normal 2 3 3 2 2 4 2" xfId="18708"/>
    <cellStyle name="Normal 2 3 3 2 2 4 2 2" xfId="20587"/>
    <cellStyle name="Normal 2 3 3 2 2 4 2 2 2" xfId="27913"/>
    <cellStyle name="Normal 2 3 3 2 2 4 2 2 2 2" xfId="35224"/>
    <cellStyle name="Normal 2 3 3 2 2 4 2 2 2 2 2" xfId="50044"/>
    <cellStyle name="Normal 2 3 3 2 2 4 2 2 2 3" xfId="42752"/>
    <cellStyle name="Normal 2 3 3 2 2 4 2 2 3" xfId="31570"/>
    <cellStyle name="Normal 2 3 3 2 2 4 2 2 3 2" xfId="46393"/>
    <cellStyle name="Normal 2 3 3 2 2 4 2 2 4" xfId="39068"/>
    <cellStyle name="Normal 2 3 3 2 2 4 2 2 5" xfId="24255"/>
    <cellStyle name="Normal 2 3 3 2 2 4 2 3" xfId="26087"/>
    <cellStyle name="Normal 2 3 3 2 2 4 2 3 2" xfId="33398"/>
    <cellStyle name="Normal 2 3 3 2 2 4 2 3 2 2" xfId="48218"/>
    <cellStyle name="Normal 2 3 3 2 2 4 2 3 3" xfId="40931"/>
    <cellStyle name="Normal 2 3 3 2 2 4 2 4" xfId="29744"/>
    <cellStyle name="Normal 2 3 3 2 2 4 2 4 2" xfId="44568"/>
    <cellStyle name="Normal 2 3 3 2 2 4 2 5" xfId="37345"/>
    <cellStyle name="Normal 2 3 3 2 2 4 2 6" xfId="22426"/>
    <cellStyle name="Normal 2 3 3 2 2 4 3" xfId="19638"/>
    <cellStyle name="Normal 2 3 3 2 2 4 3 2" xfId="27007"/>
    <cellStyle name="Normal 2 3 3 2 2 4 3 2 2" xfId="34318"/>
    <cellStyle name="Normal 2 3 3 2 2 4 3 2 2 2" xfId="49138"/>
    <cellStyle name="Normal 2 3 3 2 2 4 3 2 3" xfId="41847"/>
    <cellStyle name="Normal 2 3 3 2 2 4 3 3" xfId="30664"/>
    <cellStyle name="Normal 2 3 3 2 2 4 3 3 2" xfId="45487"/>
    <cellStyle name="Normal 2 3 3 2 2 4 3 4" xfId="38161"/>
    <cellStyle name="Normal 2 3 3 2 2 4 3 5" xfId="23349"/>
    <cellStyle name="Normal 2 3 3 2 2 4 4" xfId="25166"/>
    <cellStyle name="Normal 2 3 3 2 2 4 4 2" xfId="32477"/>
    <cellStyle name="Normal 2 3 3 2 2 4 4 2 2" xfId="47300"/>
    <cellStyle name="Normal 2 3 3 2 2 4 4 3" xfId="40060"/>
    <cellStyle name="Normal 2 3 3 2 2 4 5" xfId="28823"/>
    <cellStyle name="Normal 2 3 3 2 2 4 5 2" xfId="43660"/>
    <cellStyle name="Normal 2 3 3 2 2 4 6" xfId="36073"/>
    <cellStyle name="Normal 2 3 3 2 2 4 7" xfId="21505"/>
    <cellStyle name="Normal 2 3 3 2 2 5" xfId="18168"/>
    <cellStyle name="Normal 2 3 3 2 2 5 2" xfId="20055"/>
    <cellStyle name="Normal 2 3 3 2 2 5 2 2" xfId="27381"/>
    <cellStyle name="Normal 2 3 3 2 2 5 2 2 2" xfId="34692"/>
    <cellStyle name="Normal 2 3 3 2 2 5 2 2 2 2" xfId="49512"/>
    <cellStyle name="Normal 2 3 3 2 2 5 2 2 3" xfId="42221"/>
    <cellStyle name="Normal 2 3 3 2 2 5 2 3" xfId="31038"/>
    <cellStyle name="Normal 2 3 3 2 2 5 2 3 2" xfId="45861"/>
    <cellStyle name="Normal 2 3 3 2 2 5 2 4" xfId="38536"/>
    <cellStyle name="Normal 2 3 3 2 2 5 2 5" xfId="23723"/>
    <cellStyle name="Normal 2 3 3 2 2 5 3" xfId="25554"/>
    <cellStyle name="Normal 2 3 3 2 2 5 3 2" xfId="32865"/>
    <cellStyle name="Normal 2 3 3 2 2 5 3 2 2" xfId="47685"/>
    <cellStyle name="Normal 2 3 3 2 2 5 3 3" xfId="40428"/>
    <cellStyle name="Normal 2 3 3 2 2 5 4" xfId="29211"/>
    <cellStyle name="Normal 2 3 3 2 2 5 4 2" xfId="44037"/>
    <cellStyle name="Normal 2 3 3 2 2 5 5" xfId="36812"/>
    <cellStyle name="Normal 2 3 3 2 2 5 6" xfId="21893"/>
    <cellStyle name="Normal 2 3 3 2 2 6" xfId="19095"/>
    <cellStyle name="Normal 2 3 3 2 2 6 2" xfId="26474"/>
    <cellStyle name="Normal 2 3 3 2 2 6 2 2" xfId="33785"/>
    <cellStyle name="Normal 2 3 3 2 2 6 2 2 2" xfId="48605"/>
    <cellStyle name="Normal 2 3 3 2 2 6 2 3" xfId="41315"/>
    <cellStyle name="Normal 2 3 3 2 2 6 3" xfId="30131"/>
    <cellStyle name="Normal 2 3 3 2 2 6 3 2" xfId="44955"/>
    <cellStyle name="Normal 2 3 3 2 2 6 4" xfId="37628"/>
    <cellStyle name="Normal 2 3 3 2 2 6 5" xfId="22816"/>
    <cellStyle name="Normal 2 3 3 2 2 7" xfId="24716"/>
    <cellStyle name="Normal 2 3 3 2 2 7 2" xfId="32027"/>
    <cellStyle name="Normal 2 3 3 2 2 7 2 2" xfId="46850"/>
    <cellStyle name="Normal 2 3 3 2 2 7 3" xfId="39621"/>
    <cellStyle name="Normal 2 3 3 2 2 8" xfId="28373"/>
    <cellStyle name="Normal 2 3 3 2 2 8 2" xfId="43210"/>
    <cellStyle name="Normal 2 3 3 2 2 9" xfId="35624"/>
    <cellStyle name="Normal 2 3 3 2 3" xfId="17208"/>
    <cellStyle name="Normal 2 3 3 2 3 2" xfId="17424"/>
    <cellStyle name="Normal 2 3 3 2 3 2 2" xfId="17874"/>
    <cellStyle name="Normal 2 3 3 2 3 2 2 2" xfId="18988"/>
    <cellStyle name="Normal 2 3 3 2 3 2 2 2 2" xfId="20867"/>
    <cellStyle name="Normal 2 3 3 2 3 2 2 2 2 2" xfId="28193"/>
    <cellStyle name="Normal 2 3 3 2 3 2 2 2 2 2 2" xfId="35504"/>
    <cellStyle name="Normal 2 3 3 2 3 2 2 2 2 2 2 2" xfId="50324"/>
    <cellStyle name="Normal 2 3 3 2 3 2 2 2 2 2 3" xfId="43032"/>
    <cellStyle name="Normal 2 3 3 2 3 2 2 2 2 3" xfId="31850"/>
    <cellStyle name="Normal 2 3 3 2 3 2 2 2 2 3 2" xfId="46673"/>
    <cellStyle name="Normal 2 3 3 2 3 2 2 2 2 4" xfId="39348"/>
    <cellStyle name="Normal 2 3 3 2 3 2 2 2 2 5" xfId="24535"/>
    <cellStyle name="Normal 2 3 3 2 3 2 2 2 3" xfId="26367"/>
    <cellStyle name="Normal 2 3 3 2 3 2 2 2 3 2" xfId="33678"/>
    <cellStyle name="Normal 2 3 3 2 3 2 2 2 3 2 2" xfId="48498"/>
    <cellStyle name="Normal 2 3 3 2 3 2 2 2 3 3" xfId="41211"/>
    <cellStyle name="Normal 2 3 3 2 3 2 2 2 4" xfId="30024"/>
    <cellStyle name="Normal 2 3 3 2 3 2 2 2 4 2" xfId="44848"/>
    <cellStyle name="Normal 2 3 3 2 3 2 2 2 5" xfId="37580"/>
    <cellStyle name="Normal 2 3 3 2 3 2 2 2 6" xfId="22706"/>
    <cellStyle name="Normal 2 3 3 2 3 2 2 3" xfId="19918"/>
    <cellStyle name="Normal 2 3 3 2 3 2 2 3 2" xfId="27287"/>
    <cellStyle name="Normal 2 3 3 2 3 2 2 3 2 2" xfId="34598"/>
    <cellStyle name="Normal 2 3 3 2 3 2 2 3 2 2 2" xfId="49418"/>
    <cellStyle name="Normal 2 3 3 2 3 2 2 3 2 3" xfId="42127"/>
    <cellStyle name="Normal 2 3 3 2 3 2 2 3 3" xfId="30944"/>
    <cellStyle name="Normal 2 3 3 2 3 2 2 3 3 2" xfId="45767"/>
    <cellStyle name="Normal 2 3 3 2 3 2 2 3 4" xfId="38441"/>
    <cellStyle name="Normal 2 3 3 2 3 2 2 3 5" xfId="23629"/>
    <cellStyle name="Normal 2 3 3 2 3 2 2 4" xfId="25446"/>
    <cellStyle name="Normal 2 3 3 2 3 2 2 4 2" xfId="32757"/>
    <cellStyle name="Normal 2 3 3 2 3 2 2 4 2 2" xfId="47580"/>
    <cellStyle name="Normal 2 3 3 2 3 2 2 4 3" xfId="40334"/>
    <cellStyle name="Normal 2 3 3 2 3 2 2 5" xfId="29103"/>
    <cellStyle name="Normal 2 3 3 2 3 2 2 5 2" xfId="43940"/>
    <cellStyle name="Normal 2 3 3 2 3 2 2 6" xfId="36078"/>
    <cellStyle name="Normal 2 3 3 2 3 2 2 7" xfId="21785"/>
    <cellStyle name="Normal 2 3 3 2 3 2 3" xfId="18215"/>
    <cellStyle name="Normal 2 3 3 2 3 2 3 2" xfId="20097"/>
    <cellStyle name="Normal 2 3 3 2 3 2 3 2 2" xfId="27423"/>
    <cellStyle name="Normal 2 3 3 2 3 2 3 2 2 2" xfId="34734"/>
    <cellStyle name="Normal 2 3 3 2 3 2 3 2 2 2 2" xfId="49554"/>
    <cellStyle name="Normal 2 3 3 2 3 2 3 2 2 3" xfId="42262"/>
    <cellStyle name="Normal 2 3 3 2 3 2 3 2 3" xfId="31080"/>
    <cellStyle name="Normal 2 3 3 2 3 2 3 2 3 2" xfId="45903"/>
    <cellStyle name="Normal 2 3 3 2 3 2 3 2 4" xfId="38578"/>
    <cellStyle name="Normal 2 3 3 2 3 2 3 2 5" xfId="23765"/>
    <cellStyle name="Normal 2 3 3 2 3 2 3 3" xfId="25597"/>
    <cellStyle name="Normal 2 3 3 2 3 2 3 3 2" xfId="32908"/>
    <cellStyle name="Normal 2 3 3 2 3 2 3 3 2 2" xfId="47728"/>
    <cellStyle name="Normal 2 3 3 2 3 2 3 3 3" xfId="40465"/>
    <cellStyle name="Normal 2 3 3 2 3 2 3 4" xfId="29254"/>
    <cellStyle name="Normal 2 3 3 2 3 2 3 4 2" xfId="44078"/>
    <cellStyle name="Normal 2 3 3 2 3 2 3 5" xfId="36855"/>
    <cellStyle name="Normal 2 3 3 2 3 2 3 6" xfId="21936"/>
    <cellStyle name="Normal 2 3 3 2 3 2 4" xfId="19467"/>
    <cellStyle name="Normal 2 3 3 2 3 2 4 2" xfId="26837"/>
    <cellStyle name="Normal 2 3 3 2 3 2 4 2 2" xfId="34148"/>
    <cellStyle name="Normal 2 3 3 2 3 2 4 2 2 2" xfId="48968"/>
    <cellStyle name="Normal 2 3 3 2 3 2 4 2 3" xfId="41677"/>
    <cellStyle name="Normal 2 3 3 2 3 2 4 3" xfId="30494"/>
    <cellStyle name="Normal 2 3 3 2 3 2 4 3 2" xfId="45317"/>
    <cellStyle name="Normal 2 3 3 2 3 2 4 4" xfId="37991"/>
    <cellStyle name="Normal 2 3 3 2 3 2 4 5" xfId="23179"/>
    <cellStyle name="Normal 2 3 3 2 3 2 5" xfId="24996"/>
    <cellStyle name="Normal 2 3 3 2 3 2 5 2" xfId="32307"/>
    <cellStyle name="Normal 2 3 3 2 3 2 5 2 2" xfId="47130"/>
    <cellStyle name="Normal 2 3 3 2 3 2 5 3" xfId="39891"/>
    <cellStyle name="Normal 2 3 3 2 3 2 6" xfId="28653"/>
    <cellStyle name="Normal 2 3 3 2 3 2 6 2" xfId="43490"/>
    <cellStyle name="Normal 2 3 3 2 3 2 7" xfId="35629"/>
    <cellStyle name="Normal 2 3 3 2 3 2 8" xfId="21335"/>
    <cellStyle name="Normal 2 3 3 2 3 3" xfId="17650"/>
    <cellStyle name="Normal 2 3 3 2 3 3 2" xfId="18764"/>
    <cellStyle name="Normal 2 3 3 2 3 3 2 2" xfId="20643"/>
    <cellStyle name="Normal 2 3 3 2 3 3 2 2 2" xfId="27969"/>
    <cellStyle name="Normal 2 3 3 2 3 3 2 2 2 2" xfId="35280"/>
    <cellStyle name="Normal 2 3 3 2 3 3 2 2 2 2 2" xfId="50100"/>
    <cellStyle name="Normal 2 3 3 2 3 3 2 2 2 3" xfId="42808"/>
    <cellStyle name="Normal 2 3 3 2 3 3 2 2 3" xfId="31626"/>
    <cellStyle name="Normal 2 3 3 2 3 3 2 2 3 2" xfId="46449"/>
    <cellStyle name="Normal 2 3 3 2 3 3 2 2 4" xfId="39124"/>
    <cellStyle name="Normal 2 3 3 2 3 3 2 2 5" xfId="24311"/>
    <cellStyle name="Normal 2 3 3 2 3 3 2 3" xfId="26143"/>
    <cellStyle name="Normal 2 3 3 2 3 3 2 3 2" xfId="33454"/>
    <cellStyle name="Normal 2 3 3 2 3 3 2 3 2 2" xfId="48274"/>
    <cellStyle name="Normal 2 3 3 2 3 3 2 3 3" xfId="40987"/>
    <cellStyle name="Normal 2 3 3 2 3 3 2 4" xfId="29800"/>
    <cellStyle name="Normal 2 3 3 2 3 3 2 4 2" xfId="44624"/>
    <cellStyle name="Normal 2 3 3 2 3 3 2 5" xfId="37401"/>
    <cellStyle name="Normal 2 3 3 2 3 3 2 6" xfId="22482"/>
    <cellStyle name="Normal 2 3 3 2 3 3 3" xfId="19694"/>
    <cellStyle name="Normal 2 3 3 2 3 3 3 2" xfId="27063"/>
    <cellStyle name="Normal 2 3 3 2 3 3 3 2 2" xfId="34374"/>
    <cellStyle name="Normal 2 3 3 2 3 3 3 2 2 2" xfId="49194"/>
    <cellStyle name="Normal 2 3 3 2 3 3 3 2 3" xfId="41903"/>
    <cellStyle name="Normal 2 3 3 2 3 3 3 3" xfId="30720"/>
    <cellStyle name="Normal 2 3 3 2 3 3 3 3 2" xfId="45543"/>
    <cellStyle name="Normal 2 3 3 2 3 3 3 4" xfId="38217"/>
    <cellStyle name="Normal 2 3 3 2 3 3 3 5" xfId="23405"/>
    <cellStyle name="Normal 2 3 3 2 3 3 4" xfId="25222"/>
    <cellStyle name="Normal 2 3 3 2 3 3 4 2" xfId="32533"/>
    <cellStyle name="Normal 2 3 3 2 3 3 4 2 2" xfId="47356"/>
    <cellStyle name="Normal 2 3 3 2 3 3 4 3" xfId="40114"/>
    <cellStyle name="Normal 2 3 3 2 3 3 5" xfId="28879"/>
    <cellStyle name="Normal 2 3 3 2 3 3 5 2" xfId="43716"/>
    <cellStyle name="Normal 2 3 3 2 3 3 6" xfId="36077"/>
    <cellStyle name="Normal 2 3 3 2 3 3 7" xfId="21561"/>
    <cellStyle name="Normal 2 3 3 2 3 4" xfId="18214"/>
    <cellStyle name="Normal 2 3 3 2 3 4 2" xfId="20096"/>
    <cellStyle name="Normal 2 3 3 2 3 4 2 2" xfId="27422"/>
    <cellStyle name="Normal 2 3 3 2 3 4 2 2 2" xfId="34733"/>
    <cellStyle name="Normal 2 3 3 2 3 4 2 2 2 2" xfId="49553"/>
    <cellStyle name="Normal 2 3 3 2 3 4 2 2 3" xfId="42261"/>
    <cellStyle name="Normal 2 3 3 2 3 4 2 3" xfId="31079"/>
    <cellStyle name="Normal 2 3 3 2 3 4 2 3 2" xfId="45902"/>
    <cellStyle name="Normal 2 3 3 2 3 4 2 4" xfId="38577"/>
    <cellStyle name="Normal 2 3 3 2 3 4 2 5" xfId="23764"/>
    <cellStyle name="Normal 2 3 3 2 3 4 3" xfId="25596"/>
    <cellStyle name="Normal 2 3 3 2 3 4 3 2" xfId="32907"/>
    <cellStyle name="Normal 2 3 3 2 3 4 3 2 2" xfId="47727"/>
    <cellStyle name="Normal 2 3 3 2 3 4 3 3" xfId="40464"/>
    <cellStyle name="Normal 2 3 3 2 3 4 4" xfId="29253"/>
    <cellStyle name="Normal 2 3 3 2 3 4 4 2" xfId="44077"/>
    <cellStyle name="Normal 2 3 3 2 3 4 5" xfId="36854"/>
    <cellStyle name="Normal 2 3 3 2 3 4 6" xfId="21935"/>
    <cellStyle name="Normal 2 3 3 2 3 5" xfId="19244"/>
    <cellStyle name="Normal 2 3 3 2 3 5 2" xfId="26614"/>
    <cellStyle name="Normal 2 3 3 2 3 5 2 2" xfId="33925"/>
    <cellStyle name="Normal 2 3 3 2 3 5 2 2 2" xfId="48745"/>
    <cellStyle name="Normal 2 3 3 2 3 5 2 3" xfId="41454"/>
    <cellStyle name="Normal 2 3 3 2 3 5 3" xfId="30271"/>
    <cellStyle name="Normal 2 3 3 2 3 5 3 2" xfId="45094"/>
    <cellStyle name="Normal 2 3 3 2 3 5 4" xfId="37768"/>
    <cellStyle name="Normal 2 3 3 2 3 5 5" xfId="22956"/>
    <cellStyle name="Normal 2 3 3 2 3 6" xfId="24772"/>
    <cellStyle name="Normal 2 3 3 2 3 6 2" xfId="32083"/>
    <cellStyle name="Normal 2 3 3 2 3 6 2 2" xfId="46906"/>
    <cellStyle name="Normal 2 3 3 2 3 6 3" xfId="39674"/>
    <cellStyle name="Normal 2 3 3 2 3 7" xfId="28429"/>
    <cellStyle name="Normal 2 3 3 2 3 7 2" xfId="43266"/>
    <cellStyle name="Normal 2 3 3 2 3 8" xfId="35628"/>
    <cellStyle name="Normal 2 3 3 2 3 9" xfId="21111"/>
    <cellStyle name="Normal 2 3 3 2 4" xfId="17307"/>
    <cellStyle name="Normal 2 3 3 2 4 2" xfId="17762"/>
    <cellStyle name="Normal 2 3 3 2 4 2 2" xfId="18876"/>
    <cellStyle name="Normal 2 3 3 2 4 2 2 2" xfId="20755"/>
    <cellStyle name="Normal 2 3 3 2 4 2 2 2 2" xfId="28081"/>
    <cellStyle name="Normal 2 3 3 2 4 2 2 2 2 2" xfId="35392"/>
    <cellStyle name="Normal 2 3 3 2 4 2 2 2 2 2 2" xfId="50212"/>
    <cellStyle name="Normal 2 3 3 2 4 2 2 2 2 3" xfId="42920"/>
    <cellStyle name="Normal 2 3 3 2 4 2 2 2 3" xfId="31738"/>
    <cellStyle name="Normal 2 3 3 2 4 2 2 2 3 2" xfId="46561"/>
    <cellStyle name="Normal 2 3 3 2 4 2 2 2 4" xfId="39236"/>
    <cellStyle name="Normal 2 3 3 2 4 2 2 2 5" xfId="24423"/>
    <cellStyle name="Normal 2 3 3 2 4 2 2 3" xfId="26255"/>
    <cellStyle name="Normal 2 3 3 2 4 2 2 3 2" xfId="33566"/>
    <cellStyle name="Normal 2 3 3 2 4 2 2 3 2 2" xfId="48386"/>
    <cellStyle name="Normal 2 3 3 2 4 2 2 3 3" xfId="41099"/>
    <cellStyle name="Normal 2 3 3 2 4 2 2 4" xfId="29912"/>
    <cellStyle name="Normal 2 3 3 2 4 2 2 4 2" xfId="44736"/>
    <cellStyle name="Normal 2 3 3 2 4 2 2 5" xfId="37512"/>
    <cellStyle name="Normal 2 3 3 2 4 2 2 6" xfId="22594"/>
    <cellStyle name="Normal 2 3 3 2 4 2 3" xfId="19806"/>
    <cellStyle name="Normal 2 3 3 2 4 2 3 2" xfId="27175"/>
    <cellStyle name="Normal 2 3 3 2 4 2 3 2 2" xfId="34486"/>
    <cellStyle name="Normal 2 3 3 2 4 2 3 2 2 2" xfId="49306"/>
    <cellStyle name="Normal 2 3 3 2 4 2 3 2 3" xfId="42015"/>
    <cellStyle name="Normal 2 3 3 2 4 2 3 3" xfId="30832"/>
    <cellStyle name="Normal 2 3 3 2 4 2 3 3 2" xfId="45655"/>
    <cellStyle name="Normal 2 3 3 2 4 2 3 4" xfId="38329"/>
    <cellStyle name="Normal 2 3 3 2 4 2 3 5" xfId="23517"/>
    <cellStyle name="Normal 2 3 3 2 4 2 4" xfId="25334"/>
    <cellStyle name="Normal 2 3 3 2 4 2 4 2" xfId="32645"/>
    <cellStyle name="Normal 2 3 3 2 4 2 4 2 2" xfId="47468"/>
    <cellStyle name="Normal 2 3 3 2 4 2 4 3" xfId="40223"/>
    <cellStyle name="Normal 2 3 3 2 4 2 5" xfId="28991"/>
    <cellStyle name="Normal 2 3 3 2 4 2 5 2" xfId="43828"/>
    <cellStyle name="Normal 2 3 3 2 4 2 6" xfId="36079"/>
    <cellStyle name="Normal 2 3 3 2 4 2 7" xfId="21673"/>
    <cellStyle name="Normal 2 3 3 2 4 3" xfId="18216"/>
    <cellStyle name="Normal 2 3 3 2 4 3 2" xfId="20098"/>
    <cellStyle name="Normal 2 3 3 2 4 3 2 2" xfId="27424"/>
    <cellStyle name="Normal 2 3 3 2 4 3 2 2 2" xfId="34735"/>
    <cellStyle name="Normal 2 3 3 2 4 3 2 2 2 2" xfId="49555"/>
    <cellStyle name="Normal 2 3 3 2 4 3 2 2 3" xfId="42263"/>
    <cellStyle name="Normal 2 3 3 2 4 3 2 3" xfId="31081"/>
    <cellStyle name="Normal 2 3 3 2 4 3 2 3 2" xfId="45904"/>
    <cellStyle name="Normal 2 3 3 2 4 3 2 4" xfId="38579"/>
    <cellStyle name="Normal 2 3 3 2 4 3 2 5" xfId="23766"/>
    <cellStyle name="Normal 2 3 3 2 4 3 3" xfId="25598"/>
    <cellStyle name="Normal 2 3 3 2 4 3 3 2" xfId="32909"/>
    <cellStyle name="Normal 2 3 3 2 4 3 3 2 2" xfId="47729"/>
    <cellStyle name="Normal 2 3 3 2 4 3 3 3" xfId="40466"/>
    <cellStyle name="Normal 2 3 3 2 4 3 4" xfId="29255"/>
    <cellStyle name="Normal 2 3 3 2 4 3 4 2" xfId="44079"/>
    <cellStyle name="Normal 2 3 3 2 4 3 5" xfId="36856"/>
    <cellStyle name="Normal 2 3 3 2 4 3 6" xfId="21937"/>
    <cellStyle name="Normal 2 3 3 2 4 4" xfId="19355"/>
    <cellStyle name="Normal 2 3 3 2 4 4 2" xfId="26725"/>
    <cellStyle name="Normal 2 3 3 2 4 4 2 2" xfId="34036"/>
    <cellStyle name="Normal 2 3 3 2 4 4 2 2 2" xfId="48856"/>
    <cellStyle name="Normal 2 3 3 2 4 4 2 3" xfId="41565"/>
    <cellStyle name="Normal 2 3 3 2 4 4 3" xfId="30382"/>
    <cellStyle name="Normal 2 3 3 2 4 4 3 2" xfId="45205"/>
    <cellStyle name="Normal 2 3 3 2 4 4 4" xfId="37879"/>
    <cellStyle name="Normal 2 3 3 2 4 4 5" xfId="23067"/>
    <cellStyle name="Normal 2 3 3 2 4 5" xfId="24884"/>
    <cellStyle name="Normal 2 3 3 2 4 5 2" xfId="32195"/>
    <cellStyle name="Normal 2 3 3 2 4 5 2 2" xfId="47018"/>
    <cellStyle name="Normal 2 3 3 2 4 5 3" xfId="39780"/>
    <cellStyle name="Normal 2 3 3 2 4 6" xfId="28541"/>
    <cellStyle name="Normal 2 3 3 2 4 6 2" xfId="43378"/>
    <cellStyle name="Normal 2 3 3 2 4 7" xfId="35630"/>
    <cellStyle name="Normal 2 3 3 2 4 8" xfId="21223"/>
    <cellStyle name="Normal 2 3 3 2 5" xfId="17538"/>
    <cellStyle name="Normal 2 3 3 2 5 2" xfId="18652"/>
    <cellStyle name="Normal 2 3 3 2 5 2 2" xfId="20531"/>
    <cellStyle name="Normal 2 3 3 2 5 2 2 2" xfId="27857"/>
    <cellStyle name="Normal 2 3 3 2 5 2 2 2 2" xfId="35168"/>
    <cellStyle name="Normal 2 3 3 2 5 2 2 2 2 2" xfId="49988"/>
    <cellStyle name="Normal 2 3 3 2 5 2 2 2 3" xfId="42696"/>
    <cellStyle name="Normal 2 3 3 2 5 2 2 3" xfId="31514"/>
    <cellStyle name="Normal 2 3 3 2 5 2 2 3 2" xfId="46337"/>
    <cellStyle name="Normal 2 3 3 2 5 2 2 4" xfId="39012"/>
    <cellStyle name="Normal 2 3 3 2 5 2 2 5" xfId="24199"/>
    <cellStyle name="Normal 2 3 3 2 5 2 3" xfId="26031"/>
    <cellStyle name="Normal 2 3 3 2 5 2 3 2" xfId="33342"/>
    <cellStyle name="Normal 2 3 3 2 5 2 3 2 2" xfId="48162"/>
    <cellStyle name="Normal 2 3 3 2 5 2 3 3" xfId="40875"/>
    <cellStyle name="Normal 2 3 3 2 5 2 4" xfId="29688"/>
    <cellStyle name="Normal 2 3 3 2 5 2 4 2" xfId="44512"/>
    <cellStyle name="Normal 2 3 3 2 5 2 5" xfId="37289"/>
    <cellStyle name="Normal 2 3 3 2 5 2 6" xfId="22370"/>
    <cellStyle name="Normal 2 3 3 2 5 3" xfId="19582"/>
    <cellStyle name="Normal 2 3 3 2 5 3 2" xfId="26951"/>
    <cellStyle name="Normal 2 3 3 2 5 3 2 2" xfId="34262"/>
    <cellStyle name="Normal 2 3 3 2 5 3 2 2 2" xfId="49082"/>
    <cellStyle name="Normal 2 3 3 2 5 3 2 3" xfId="41791"/>
    <cellStyle name="Normal 2 3 3 2 5 3 3" xfId="30608"/>
    <cellStyle name="Normal 2 3 3 2 5 3 3 2" xfId="45431"/>
    <cellStyle name="Normal 2 3 3 2 5 3 4" xfId="38105"/>
    <cellStyle name="Normal 2 3 3 2 5 3 5" xfId="23293"/>
    <cellStyle name="Normal 2 3 3 2 5 4" xfId="25110"/>
    <cellStyle name="Normal 2 3 3 2 5 4 2" xfId="32421"/>
    <cellStyle name="Normal 2 3 3 2 5 4 2 2" xfId="47244"/>
    <cellStyle name="Normal 2 3 3 2 5 4 3" xfId="40004"/>
    <cellStyle name="Normal 2 3 3 2 5 5" xfId="28767"/>
    <cellStyle name="Normal 2 3 3 2 5 5 2" xfId="43604"/>
    <cellStyle name="Normal 2 3 3 2 5 6" xfId="36072"/>
    <cellStyle name="Normal 2 3 3 2 5 7" xfId="21449"/>
    <cellStyle name="Normal 2 3 3 2 6" xfId="18142"/>
    <cellStyle name="Normal 2 3 3 2 6 2" xfId="20044"/>
    <cellStyle name="Normal 2 3 3 2 6 2 2" xfId="27370"/>
    <cellStyle name="Normal 2 3 3 2 6 2 2 2" xfId="34681"/>
    <cellStyle name="Normal 2 3 3 2 6 2 2 2 2" xfId="49501"/>
    <cellStyle name="Normal 2 3 3 2 6 2 2 3" xfId="42210"/>
    <cellStyle name="Normal 2 3 3 2 6 2 3" xfId="31027"/>
    <cellStyle name="Normal 2 3 3 2 6 2 3 2" xfId="45850"/>
    <cellStyle name="Normal 2 3 3 2 6 2 4" xfId="38525"/>
    <cellStyle name="Normal 2 3 3 2 6 2 5" xfId="23712"/>
    <cellStyle name="Normal 2 3 3 2 6 3" xfId="25536"/>
    <cellStyle name="Normal 2 3 3 2 6 3 2" xfId="32847"/>
    <cellStyle name="Normal 2 3 3 2 6 3 2 2" xfId="47667"/>
    <cellStyle name="Normal 2 3 3 2 6 3 3" xfId="40417"/>
    <cellStyle name="Normal 2 3 3 2 6 4" xfId="29193"/>
    <cellStyle name="Normal 2 3 3 2 6 4 2" xfId="44025"/>
    <cellStyle name="Normal 2 3 3 2 6 5" xfId="36794"/>
    <cellStyle name="Normal 2 3 3 2 6 6" xfId="21875"/>
    <cellStyle name="Normal 2 3 3 2 7" xfId="19077"/>
    <cellStyle name="Normal 2 3 3 2 7 2" xfId="26456"/>
    <cellStyle name="Normal 2 3 3 2 7 2 2" xfId="33767"/>
    <cellStyle name="Normal 2 3 3 2 7 2 2 2" xfId="48587"/>
    <cellStyle name="Normal 2 3 3 2 7 2 3" xfId="41297"/>
    <cellStyle name="Normal 2 3 3 2 7 3" xfId="30113"/>
    <cellStyle name="Normal 2 3 3 2 7 3 2" xfId="44937"/>
    <cellStyle name="Normal 2 3 3 2 7 4" xfId="37610"/>
    <cellStyle name="Normal 2 3 3 2 7 5" xfId="22798"/>
    <cellStyle name="Normal 2 3 3 2 8" xfId="24660"/>
    <cellStyle name="Normal 2 3 3 2 8 2" xfId="31971"/>
    <cellStyle name="Normal 2 3 3 2 8 2 2" xfId="46794"/>
    <cellStyle name="Normal 2 3 3 2 8 3" xfId="39580"/>
    <cellStyle name="Normal 2 3 3 2 9" xfId="28317"/>
    <cellStyle name="Normal 2 3 3 2 9 2" xfId="43154"/>
    <cellStyle name="Normal 2 3 3 3" xfId="17142"/>
    <cellStyle name="Normal 2 3 3 3 10" xfId="21027"/>
    <cellStyle name="Normal 2 3 3 3 2" xfId="17452"/>
    <cellStyle name="Normal 2 3 3 3 2 2" xfId="17902"/>
    <cellStyle name="Normal 2 3 3 3 2 2 2" xfId="19016"/>
    <cellStyle name="Normal 2 3 3 3 2 2 2 2" xfId="20895"/>
    <cellStyle name="Normal 2 3 3 3 2 2 2 2 2" xfId="24563"/>
    <cellStyle name="Normal 2 3 3 3 2 2 2 2 2 2" xfId="28221"/>
    <cellStyle name="Normal 2 3 3 3 2 2 2 2 2 2 2" xfId="35532"/>
    <cellStyle name="Normal 2 3 3 3 2 2 2 2 2 2 2 2" xfId="50352"/>
    <cellStyle name="Normal 2 3 3 3 2 2 2 2 2 2 3" xfId="43060"/>
    <cellStyle name="Normal 2 3 3 3 2 2 2 2 2 3" xfId="31878"/>
    <cellStyle name="Normal 2 3 3 3 2 2 2 2 2 3 2" xfId="46701"/>
    <cellStyle name="Normal 2 3 3 3 2 2 2 2 2 4" xfId="39496"/>
    <cellStyle name="Normal 2 3 3 3 2 2 2 2 3" xfId="26395"/>
    <cellStyle name="Normal 2 3 3 3 2 2 2 2 3 2" xfId="33706"/>
    <cellStyle name="Normal 2 3 3 3 2 2 2 2 3 2 2" xfId="48526"/>
    <cellStyle name="Normal 2 3 3 3 2 2 2 2 3 3" xfId="41239"/>
    <cellStyle name="Normal 2 3 3 3 2 2 2 2 4" xfId="30052"/>
    <cellStyle name="Normal 2 3 3 3 2 2 2 2 4 2" xfId="44876"/>
    <cellStyle name="Normal 2 3 3 3 2 2 2 2 5" xfId="39376"/>
    <cellStyle name="Normal 2 3 3 3 2 2 2 2 6" xfId="22734"/>
    <cellStyle name="Normal 2 3 3 3 2 2 2 3" xfId="19946"/>
    <cellStyle name="Normal 2 3 3 3 2 2 2 3 2" xfId="27315"/>
    <cellStyle name="Normal 2 3 3 3 2 2 2 3 2 2" xfId="34626"/>
    <cellStyle name="Normal 2 3 3 3 2 2 2 3 2 2 2" xfId="49446"/>
    <cellStyle name="Normal 2 3 3 3 2 2 2 3 2 3" xfId="42155"/>
    <cellStyle name="Normal 2 3 3 3 2 2 2 3 3" xfId="30972"/>
    <cellStyle name="Normal 2 3 3 3 2 2 2 3 3 2" xfId="45795"/>
    <cellStyle name="Normal 2 3 3 3 2 2 2 3 4" xfId="38469"/>
    <cellStyle name="Normal 2 3 3 3 2 2 2 3 5" xfId="23657"/>
    <cellStyle name="Normal 2 3 3 3 2 2 2 4" xfId="25474"/>
    <cellStyle name="Normal 2 3 3 3 2 2 2 4 2" xfId="32785"/>
    <cellStyle name="Normal 2 3 3 3 2 2 2 4 2 2" xfId="47608"/>
    <cellStyle name="Normal 2 3 3 3 2 2 2 4 3" xfId="40362"/>
    <cellStyle name="Normal 2 3 3 3 2 2 2 5" xfId="29131"/>
    <cellStyle name="Normal 2 3 3 3 2 2 2 5 2" xfId="43968"/>
    <cellStyle name="Normal 2 3 3 3 2 2 2 6" xfId="36082"/>
    <cellStyle name="Normal 2 3 3 3 2 2 2 7" xfId="21813"/>
    <cellStyle name="Normal 2 3 3 3 2 2 3" xfId="18218"/>
    <cellStyle name="Normal 2 3 3 3 2 2 3 2" xfId="20100"/>
    <cellStyle name="Normal 2 3 3 3 2 2 3 2 2" xfId="27426"/>
    <cellStyle name="Normal 2 3 3 3 2 2 3 2 2 2" xfId="34737"/>
    <cellStyle name="Normal 2 3 3 3 2 2 3 2 2 2 2" xfId="49557"/>
    <cellStyle name="Normal 2 3 3 3 2 2 3 2 2 3" xfId="42265"/>
    <cellStyle name="Normal 2 3 3 3 2 2 3 2 3" xfId="31083"/>
    <cellStyle name="Normal 2 3 3 3 2 2 3 2 3 2" xfId="45906"/>
    <cellStyle name="Normal 2 3 3 3 2 2 3 2 4" xfId="38581"/>
    <cellStyle name="Normal 2 3 3 3 2 2 3 2 5" xfId="23768"/>
    <cellStyle name="Normal 2 3 3 3 2 2 3 3" xfId="25600"/>
    <cellStyle name="Normal 2 3 3 3 2 2 3 3 2" xfId="32911"/>
    <cellStyle name="Normal 2 3 3 3 2 2 3 3 2 2" xfId="47731"/>
    <cellStyle name="Normal 2 3 3 3 2 2 3 3 3" xfId="40468"/>
    <cellStyle name="Normal 2 3 3 3 2 2 3 4" xfId="29257"/>
    <cellStyle name="Normal 2 3 3 3 2 2 3 4 2" xfId="44081"/>
    <cellStyle name="Normal 2 3 3 3 2 2 3 5" xfId="36858"/>
    <cellStyle name="Normal 2 3 3 3 2 2 3 6" xfId="21939"/>
    <cellStyle name="Normal 2 3 3 3 2 2 4" xfId="19495"/>
    <cellStyle name="Normal 2 3 3 3 2 2 4 2" xfId="26865"/>
    <cellStyle name="Normal 2 3 3 3 2 2 4 2 2" xfId="34176"/>
    <cellStyle name="Normal 2 3 3 3 2 2 4 2 2 2" xfId="48996"/>
    <cellStyle name="Normal 2 3 3 3 2 2 4 2 3" xfId="41705"/>
    <cellStyle name="Normal 2 3 3 3 2 2 4 3" xfId="30522"/>
    <cellStyle name="Normal 2 3 3 3 2 2 4 3 2" xfId="45345"/>
    <cellStyle name="Normal 2 3 3 3 2 2 4 4" xfId="38019"/>
    <cellStyle name="Normal 2 3 3 3 2 2 4 5" xfId="23207"/>
    <cellStyle name="Normal 2 3 3 3 2 2 5" xfId="25024"/>
    <cellStyle name="Normal 2 3 3 3 2 2 5 2" xfId="32335"/>
    <cellStyle name="Normal 2 3 3 3 2 2 5 2 2" xfId="47158"/>
    <cellStyle name="Normal 2 3 3 3 2 2 5 3" xfId="39919"/>
    <cellStyle name="Normal 2 3 3 3 2 2 6" xfId="28681"/>
    <cellStyle name="Normal 2 3 3 3 2 2 6 2" xfId="43518"/>
    <cellStyle name="Normal 2 3 3 3 2 2 7" xfId="35633"/>
    <cellStyle name="Normal 2 3 3 3 2 2 8" xfId="21363"/>
    <cellStyle name="Normal 2 3 3 3 2 3" xfId="17678"/>
    <cellStyle name="Normal 2 3 3 3 2 3 2" xfId="18792"/>
    <cellStyle name="Normal 2 3 3 3 2 3 2 2" xfId="20671"/>
    <cellStyle name="Normal 2 3 3 3 2 3 2 2 2" xfId="27997"/>
    <cellStyle name="Normal 2 3 3 3 2 3 2 2 2 2" xfId="35308"/>
    <cellStyle name="Normal 2 3 3 3 2 3 2 2 2 2 2" xfId="50128"/>
    <cellStyle name="Normal 2 3 3 3 2 3 2 2 2 3" xfId="42836"/>
    <cellStyle name="Normal 2 3 3 3 2 3 2 2 3" xfId="31654"/>
    <cellStyle name="Normal 2 3 3 3 2 3 2 2 3 2" xfId="46477"/>
    <cellStyle name="Normal 2 3 3 3 2 3 2 2 4" xfId="39152"/>
    <cellStyle name="Normal 2 3 3 3 2 3 2 2 5" xfId="24339"/>
    <cellStyle name="Normal 2 3 3 3 2 3 2 3" xfId="26171"/>
    <cellStyle name="Normal 2 3 3 3 2 3 2 3 2" xfId="33482"/>
    <cellStyle name="Normal 2 3 3 3 2 3 2 3 2 2" xfId="48302"/>
    <cellStyle name="Normal 2 3 3 3 2 3 2 3 3" xfId="41015"/>
    <cellStyle name="Normal 2 3 3 3 2 3 2 4" xfId="29828"/>
    <cellStyle name="Normal 2 3 3 3 2 3 2 4 2" xfId="44652"/>
    <cellStyle name="Normal 2 3 3 3 2 3 2 5" xfId="37429"/>
    <cellStyle name="Normal 2 3 3 3 2 3 2 6" xfId="22510"/>
    <cellStyle name="Normal 2 3 3 3 2 3 3" xfId="19722"/>
    <cellStyle name="Normal 2 3 3 3 2 3 3 2" xfId="27091"/>
    <cellStyle name="Normal 2 3 3 3 2 3 3 2 2" xfId="34402"/>
    <cellStyle name="Normal 2 3 3 3 2 3 3 2 2 2" xfId="49222"/>
    <cellStyle name="Normal 2 3 3 3 2 3 3 2 3" xfId="41931"/>
    <cellStyle name="Normal 2 3 3 3 2 3 3 3" xfId="30748"/>
    <cellStyle name="Normal 2 3 3 3 2 3 3 3 2" xfId="45571"/>
    <cellStyle name="Normal 2 3 3 3 2 3 3 4" xfId="38245"/>
    <cellStyle name="Normal 2 3 3 3 2 3 3 5" xfId="23433"/>
    <cellStyle name="Normal 2 3 3 3 2 3 4" xfId="25250"/>
    <cellStyle name="Normal 2 3 3 3 2 3 4 2" xfId="32561"/>
    <cellStyle name="Normal 2 3 3 3 2 3 4 2 2" xfId="47384"/>
    <cellStyle name="Normal 2 3 3 3 2 3 4 3" xfId="40142"/>
    <cellStyle name="Normal 2 3 3 3 2 3 5" xfId="28907"/>
    <cellStyle name="Normal 2 3 3 3 2 3 5 2" xfId="43744"/>
    <cellStyle name="Normal 2 3 3 3 2 3 6" xfId="36081"/>
    <cellStyle name="Normal 2 3 3 3 2 3 7" xfId="21589"/>
    <cellStyle name="Normal 2 3 3 3 2 4" xfId="18217"/>
    <cellStyle name="Normal 2 3 3 3 2 4 2" xfId="20099"/>
    <cellStyle name="Normal 2 3 3 3 2 4 2 2" xfId="27425"/>
    <cellStyle name="Normal 2 3 3 3 2 4 2 2 2" xfId="34736"/>
    <cellStyle name="Normal 2 3 3 3 2 4 2 2 2 2" xfId="49556"/>
    <cellStyle name="Normal 2 3 3 3 2 4 2 2 3" xfId="42264"/>
    <cellStyle name="Normal 2 3 3 3 2 4 2 3" xfId="31082"/>
    <cellStyle name="Normal 2 3 3 3 2 4 2 3 2" xfId="45905"/>
    <cellStyle name="Normal 2 3 3 3 2 4 2 4" xfId="38580"/>
    <cellStyle name="Normal 2 3 3 3 2 4 2 5" xfId="23767"/>
    <cellStyle name="Normal 2 3 3 3 2 4 3" xfId="25599"/>
    <cellStyle name="Normal 2 3 3 3 2 4 3 2" xfId="32910"/>
    <cellStyle name="Normal 2 3 3 3 2 4 3 2 2" xfId="47730"/>
    <cellStyle name="Normal 2 3 3 3 2 4 3 3" xfId="40467"/>
    <cellStyle name="Normal 2 3 3 3 2 4 4" xfId="29256"/>
    <cellStyle name="Normal 2 3 3 3 2 4 4 2" xfId="44080"/>
    <cellStyle name="Normal 2 3 3 3 2 4 5" xfId="36857"/>
    <cellStyle name="Normal 2 3 3 3 2 4 6" xfId="21938"/>
    <cellStyle name="Normal 2 3 3 3 2 5" xfId="19272"/>
    <cellStyle name="Normal 2 3 3 3 2 5 2" xfId="26642"/>
    <cellStyle name="Normal 2 3 3 3 2 5 2 2" xfId="33953"/>
    <cellStyle name="Normal 2 3 3 3 2 5 2 2 2" xfId="48773"/>
    <cellStyle name="Normal 2 3 3 3 2 5 2 3" xfId="41482"/>
    <cellStyle name="Normal 2 3 3 3 2 5 3" xfId="30299"/>
    <cellStyle name="Normal 2 3 3 3 2 5 3 2" xfId="45122"/>
    <cellStyle name="Normal 2 3 3 3 2 5 4" xfId="37796"/>
    <cellStyle name="Normal 2 3 3 3 2 5 5" xfId="22984"/>
    <cellStyle name="Normal 2 3 3 3 2 6" xfId="24800"/>
    <cellStyle name="Normal 2 3 3 3 2 6 2" xfId="32111"/>
    <cellStyle name="Normal 2 3 3 3 2 6 2 2" xfId="46934"/>
    <cellStyle name="Normal 2 3 3 3 2 6 3" xfId="39699"/>
    <cellStyle name="Normal 2 3 3 3 2 7" xfId="28457"/>
    <cellStyle name="Normal 2 3 3 3 2 7 2" xfId="43294"/>
    <cellStyle name="Normal 2 3 3 3 2 8" xfId="35632"/>
    <cellStyle name="Normal 2 3 3 3 2 9" xfId="21139"/>
    <cellStyle name="Normal 2 3 3 3 3" xfId="17337"/>
    <cellStyle name="Normal 2 3 3 3 3 2" xfId="17790"/>
    <cellStyle name="Normal 2 3 3 3 3 2 2" xfId="18904"/>
    <cellStyle name="Normal 2 3 3 3 3 2 2 2" xfId="20783"/>
    <cellStyle name="Normal 2 3 3 3 3 2 2 2 2" xfId="28109"/>
    <cellStyle name="Normal 2 3 3 3 3 2 2 2 2 2" xfId="35420"/>
    <cellStyle name="Normal 2 3 3 3 3 2 2 2 2 2 2" xfId="50240"/>
    <cellStyle name="Normal 2 3 3 3 3 2 2 2 2 3" xfId="42948"/>
    <cellStyle name="Normal 2 3 3 3 3 2 2 2 3" xfId="31766"/>
    <cellStyle name="Normal 2 3 3 3 3 2 2 2 3 2" xfId="46589"/>
    <cellStyle name="Normal 2 3 3 3 3 2 2 2 4" xfId="39264"/>
    <cellStyle name="Normal 2 3 3 3 3 2 2 2 5" xfId="24451"/>
    <cellStyle name="Normal 2 3 3 3 3 2 2 3" xfId="26283"/>
    <cellStyle name="Normal 2 3 3 3 3 2 2 3 2" xfId="33594"/>
    <cellStyle name="Normal 2 3 3 3 3 2 2 3 2 2" xfId="48414"/>
    <cellStyle name="Normal 2 3 3 3 3 2 2 3 3" xfId="41127"/>
    <cellStyle name="Normal 2 3 3 3 3 2 2 4" xfId="29940"/>
    <cellStyle name="Normal 2 3 3 3 3 2 2 4 2" xfId="44764"/>
    <cellStyle name="Normal 2 3 3 3 3 2 2 5" xfId="37540"/>
    <cellStyle name="Normal 2 3 3 3 3 2 2 6" xfId="22622"/>
    <cellStyle name="Normal 2 3 3 3 3 2 3" xfId="19834"/>
    <cellStyle name="Normal 2 3 3 3 3 2 3 2" xfId="27203"/>
    <cellStyle name="Normal 2 3 3 3 3 2 3 2 2" xfId="34514"/>
    <cellStyle name="Normal 2 3 3 3 3 2 3 2 2 2" xfId="49334"/>
    <cellStyle name="Normal 2 3 3 3 3 2 3 2 3" xfId="42043"/>
    <cellStyle name="Normal 2 3 3 3 3 2 3 3" xfId="30860"/>
    <cellStyle name="Normal 2 3 3 3 3 2 3 3 2" xfId="45683"/>
    <cellStyle name="Normal 2 3 3 3 3 2 3 4" xfId="38357"/>
    <cellStyle name="Normal 2 3 3 3 3 2 3 5" xfId="23545"/>
    <cellStyle name="Normal 2 3 3 3 3 2 4" xfId="25362"/>
    <cellStyle name="Normal 2 3 3 3 3 2 4 2" xfId="32673"/>
    <cellStyle name="Normal 2 3 3 3 3 2 4 2 2" xfId="47496"/>
    <cellStyle name="Normal 2 3 3 3 3 2 4 3" xfId="40250"/>
    <cellStyle name="Normal 2 3 3 3 3 2 5" xfId="29019"/>
    <cellStyle name="Normal 2 3 3 3 3 2 5 2" xfId="43856"/>
    <cellStyle name="Normal 2 3 3 3 3 2 6" xfId="36083"/>
    <cellStyle name="Normal 2 3 3 3 3 2 7" xfId="21701"/>
    <cellStyle name="Normal 2 3 3 3 3 3" xfId="18219"/>
    <cellStyle name="Normal 2 3 3 3 3 3 2" xfId="20101"/>
    <cellStyle name="Normal 2 3 3 3 3 3 2 2" xfId="27427"/>
    <cellStyle name="Normal 2 3 3 3 3 3 2 2 2" xfId="34738"/>
    <cellStyle name="Normal 2 3 3 3 3 3 2 2 2 2" xfId="49558"/>
    <cellStyle name="Normal 2 3 3 3 3 3 2 2 3" xfId="42266"/>
    <cellStyle name="Normal 2 3 3 3 3 3 2 3" xfId="31084"/>
    <cellStyle name="Normal 2 3 3 3 3 3 2 3 2" xfId="45907"/>
    <cellStyle name="Normal 2 3 3 3 3 3 2 4" xfId="38582"/>
    <cellStyle name="Normal 2 3 3 3 3 3 2 5" xfId="23769"/>
    <cellStyle name="Normal 2 3 3 3 3 3 3" xfId="25601"/>
    <cellStyle name="Normal 2 3 3 3 3 3 3 2" xfId="32912"/>
    <cellStyle name="Normal 2 3 3 3 3 3 3 2 2" xfId="47732"/>
    <cellStyle name="Normal 2 3 3 3 3 3 3 3" xfId="40469"/>
    <cellStyle name="Normal 2 3 3 3 3 3 4" xfId="29258"/>
    <cellStyle name="Normal 2 3 3 3 3 3 4 2" xfId="44082"/>
    <cellStyle name="Normal 2 3 3 3 3 3 5" xfId="36859"/>
    <cellStyle name="Normal 2 3 3 3 3 3 6" xfId="21940"/>
    <cellStyle name="Normal 2 3 3 3 3 4" xfId="19383"/>
    <cellStyle name="Normal 2 3 3 3 3 4 2" xfId="26753"/>
    <cellStyle name="Normal 2 3 3 3 3 4 2 2" xfId="34064"/>
    <cellStyle name="Normal 2 3 3 3 3 4 2 2 2" xfId="48884"/>
    <cellStyle name="Normal 2 3 3 3 3 4 2 3" xfId="41593"/>
    <cellStyle name="Normal 2 3 3 3 3 4 3" xfId="30410"/>
    <cellStyle name="Normal 2 3 3 3 3 4 3 2" xfId="45233"/>
    <cellStyle name="Normal 2 3 3 3 3 4 4" xfId="37907"/>
    <cellStyle name="Normal 2 3 3 3 3 4 5" xfId="23095"/>
    <cellStyle name="Normal 2 3 3 3 3 5" xfId="24912"/>
    <cellStyle name="Normal 2 3 3 3 3 5 2" xfId="32223"/>
    <cellStyle name="Normal 2 3 3 3 3 5 2 2" xfId="47046"/>
    <cellStyle name="Normal 2 3 3 3 3 5 3" xfId="39807"/>
    <cellStyle name="Normal 2 3 3 3 3 6" xfId="28569"/>
    <cellStyle name="Normal 2 3 3 3 3 6 2" xfId="43406"/>
    <cellStyle name="Normal 2 3 3 3 3 7" xfId="35634"/>
    <cellStyle name="Normal 2 3 3 3 3 8" xfId="21251"/>
    <cellStyle name="Normal 2 3 3 3 4" xfId="17566"/>
    <cellStyle name="Normal 2 3 3 3 4 2" xfId="18680"/>
    <cellStyle name="Normal 2 3 3 3 4 2 2" xfId="20559"/>
    <cellStyle name="Normal 2 3 3 3 4 2 2 2" xfId="27885"/>
    <cellStyle name="Normal 2 3 3 3 4 2 2 2 2" xfId="35196"/>
    <cellStyle name="Normal 2 3 3 3 4 2 2 2 2 2" xfId="50016"/>
    <cellStyle name="Normal 2 3 3 3 4 2 2 2 3" xfId="42724"/>
    <cellStyle name="Normal 2 3 3 3 4 2 2 3" xfId="31542"/>
    <cellStyle name="Normal 2 3 3 3 4 2 2 3 2" xfId="46365"/>
    <cellStyle name="Normal 2 3 3 3 4 2 2 4" xfId="39040"/>
    <cellStyle name="Normal 2 3 3 3 4 2 2 5" xfId="24227"/>
    <cellStyle name="Normal 2 3 3 3 4 2 3" xfId="26059"/>
    <cellStyle name="Normal 2 3 3 3 4 2 3 2" xfId="33370"/>
    <cellStyle name="Normal 2 3 3 3 4 2 3 2 2" xfId="48190"/>
    <cellStyle name="Normal 2 3 3 3 4 2 3 3" xfId="40903"/>
    <cellStyle name="Normal 2 3 3 3 4 2 4" xfId="29716"/>
    <cellStyle name="Normal 2 3 3 3 4 2 4 2" xfId="44540"/>
    <cellStyle name="Normal 2 3 3 3 4 2 5" xfId="37317"/>
    <cellStyle name="Normal 2 3 3 3 4 2 6" xfId="22398"/>
    <cellStyle name="Normal 2 3 3 3 4 3" xfId="19610"/>
    <cellStyle name="Normal 2 3 3 3 4 3 2" xfId="26979"/>
    <cellStyle name="Normal 2 3 3 3 4 3 2 2" xfId="34290"/>
    <cellStyle name="Normal 2 3 3 3 4 3 2 2 2" xfId="49110"/>
    <cellStyle name="Normal 2 3 3 3 4 3 2 3" xfId="41819"/>
    <cellStyle name="Normal 2 3 3 3 4 3 3" xfId="30636"/>
    <cellStyle name="Normal 2 3 3 3 4 3 3 2" xfId="45459"/>
    <cellStyle name="Normal 2 3 3 3 4 3 4" xfId="38133"/>
    <cellStyle name="Normal 2 3 3 3 4 3 5" xfId="23321"/>
    <cellStyle name="Normal 2 3 3 3 4 4" xfId="25138"/>
    <cellStyle name="Normal 2 3 3 3 4 4 2" xfId="32449"/>
    <cellStyle name="Normal 2 3 3 3 4 4 2 2" xfId="47272"/>
    <cellStyle name="Normal 2 3 3 3 4 4 3" xfId="40032"/>
    <cellStyle name="Normal 2 3 3 3 4 5" xfId="28795"/>
    <cellStyle name="Normal 2 3 3 3 4 5 2" xfId="43632"/>
    <cellStyle name="Normal 2 3 3 3 4 6" xfId="36080"/>
    <cellStyle name="Normal 2 3 3 3 4 7" xfId="21477"/>
    <cellStyle name="Normal 2 3 3 3 5" xfId="18159"/>
    <cellStyle name="Normal 2 3 3 3 5 2" xfId="20050"/>
    <cellStyle name="Normal 2 3 3 3 5 2 2" xfId="27376"/>
    <cellStyle name="Normal 2 3 3 3 5 2 2 2" xfId="34687"/>
    <cellStyle name="Normal 2 3 3 3 5 2 2 2 2" xfId="49507"/>
    <cellStyle name="Normal 2 3 3 3 5 2 2 3" xfId="42216"/>
    <cellStyle name="Normal 2 3 3 3 5 2 3" xfId="31033"/>
    <cellStyle name="Normal 2 3 3 3 5 2 3 2" xfId="45856"/>
    <cellStyle name="Normal 2 3 3 3 5 2 4" xfId="38531"/>
    <cellStyle name="Normal 2 3 3 3 5 2 5" xfId="23718"/>
    <cellStyle name="Normal 2 3 3 3 5 3" xfId="25545"/>
    <cellStyle name="Normal 2 3 3 3 5 3 2" xfId="32856"/>
    <cellStyle name="Normal 2 3 3 3 5 3 2 2" xfId="47676"/>
    <cellStyle name="Normal 2 3 3 3 5 3 3" xfId="40423"/>
    <cellStyle name="Normal 2 3 3 3 5 4" xfId="29202"/>
    <cellStyle name="Normal 2 3 3 3 5 4 2" xfId="44031"/>
    <cellStyle name="Normal 2 3 3 3 5 5" xfId="36803"/>
    <cellStyle name="Normal 2 3 3 3 5 6" xfId="21884"/>
    <cellStyle name="Normal 2 3 3 3 6" xfId="19086"/>
    <cellStyle name="Normal 2 3 3 3 6 2" xfId="26465"/>
    <cellStyle name="Normal 2 3 3 3 6 2 2" xfId="33776"/>
    <cellStyle name="Normal 2 3 3 3 6 2 2 2" xfId="48596"/>
    <cellStyle name="Normal 2 3 3 3 6 2 3" xfId="41306"/>
    <cellStyle name="Normal 2 3 3 3 6 3" xfId="30122"/>
    <cellStyle name="Normal 2 3 3 3 6 3 2" xfId="44946"/>
    <cellStyle name="Normal 2 3 3 3 6 4" xfId="37619"/>
    <cellStyle name="Normal 2 3 3 3 6 5" xfId="22807"/>
    <cellStyle name="Normal 2 3 3 3 7" xfId="24688"/>
    <cellStyle name="Normal 2 3 3 3 7 2" xfId="31999"/>
    <cellStyle name="Normal 2 3 3 3 7 2 2" xfId="46822"/>
    <cellStyle name="Normal 2 3 3 3 7 3" xfId="39600"/>
    <cellStyle name="Normal 2 3 3 3 8" xfId="28345"/>
    <cellStyle name="Normal 2 3 3 3 8 2" xfId="43182"/>
    <cellStyle name="Normal 2 3 3 3 9" xfId="35631"/>
    <cellStyle name="Normal 2 3 3 4" xfId="17177"/>
    <cellStyle name="Normal 2 3 3 4 2" xfId="17396"/>
    <cellStyle name="Normal 2 3 3 4 2 2" xfId="17846"/>
    <cellStyle name="Normal 2 3 3 4 2 2 2" xfId="18960"/>
    <cellStyle name="Normal 2 3 3 4 2 2 2 2" xfId="20839"/>
    <cellStyle name="Normal 2 3 3 4 2 2 2 2 2" xfId="28165"/>
    <cellStyle name="Normal 2 3 3 4 2 2 2 2 2 2" xfId="35476"/>
    <cellStyle name="Normal 2 3 3 4 2 2 2 2 2 2 2" xfId="50296"/>
    <cellStyle name="Normal 2 3 3 4 2 2 2 2 2 3" xfId="43004"/>
    <cellStyle name="Normal 2 3 3 4 2 2 2 2 3" xfId="31822"/>
    <cellStyle name="Normal 2 3 3 4 2 2 2 2 3 2" xfId="46645"/>
    <cellStyle name="Normal 2 3 3 4 2 2 2 2 4" xfId="39320"/>
    <cellStyle name="Normal 2 3 3 4 2 2 2 2 5" xfId="24507"/>
    <cellStyle name="Normal 2 3 3 4 2 2 2 3" xfId="26339"/>
    <cellStyle name="Normal 2 3 3 4 2 2 2 3 2" xfId="33650"/>
    <cellStyle name="Normal 2 3 3 4 2 2 2 3 2 2" xfId="48470"/>
    <cellStyle name="Normal 2 3 3 4 2 2 2 3 3" xfId="41183"/>
    <cellStyle name="Normal 2 3 3 4 2 2 2 4" xfId="29996"/>
    <cellStyle name="Normal 2 3 3 4 2 2 2 4 2" xfId="44820"/>
    <cellStyle name="Normal 2 3 3 4 2 2 2 5" xfId="37570"/>
    <cellStyle name="Normal 2 3 3 4 2 2 2 6" xfId="22678"/>
    <cellStyle name="Normal 2 3 3 4 2 2 3" xfId="19890"/>
    <cellStyle name="Normal 2 3 3 4 2 2 3 2" xfId="27259"/>
    <cellStyle name="Normal 2 3 3 4 2 2 3 2 2" xfId="34570"/>
    <cellStyle name="Normal 2 3 3 4 2 2 3 2 2 2" xfId="49390"/>
    <cellStyle name="Normal 2 3 3 4 2 2 3 2 3" xfId="42099"/>
    <cellStyle name="Normal 2 3 3 4 2 2 3 3" xfId="30916"/>
    <cellStyle name="Normal 2 3 3 4 2 2 3 3 2" xfId="45739"/>
    <cellStyle name="Normal 2 3 3 4 2 2 3 4" xfId="38413"/>
    <cellStyle name="Normal 2 3 3 4 2 2 3 5" xfId="23601"/>
    <cellStyle name="Normal 2 3 3 4 2 2 4" xfId="25418"/>
    <cellStyle name="Normal 2 3 3 4 2 2 4 2" xfId="32729"/>
    <cellStyle name="Normal 2 3 3 4 2 2 4 2 2" xfId="47552"/>
    <cellStyle name="Normal 2 3 3 4 2 2 4 3" xfId="40306"/>
    <cellStyle name="Normal 2 3 3 4 2 2 5" xfId="29075"/>
    <cellStyle name="Normal 2 3 3 4 2 2 5 2" xfId="43912"/>
    <cellStyle name="Normal 2 3 3 4 2 2 6" xfId="36085"/>
    <cellStyle name="Normal 2 3 3 4 2 2 7" xfId="21757"/>
    <cellStyle name="Normal 2 3 3 4 2 3" xfId="18221"/>
    <cellStyle name="Normal 2 3 3 4 2 3 2" xfId="20103"/>
    <cellStyle name="Normal 2 3 3 4 2 3 2 2" xfId="27429"/>
    <cellStyle name="Normal 2 3 3 4 2 3 2 2 2" xfId="34740"/>
    <cellStyle name="Normal 2 3 3 4 2 3 2 2 2 2" xfId="49560"/>
    <cellStyle name="Normal 2 3 3 4 2 3 2 2 3" xfId="42268"/>
    <cellStyle name="Normal 2 3 3 4 2 3 2 3" xfId="31086"/>
    <cellStyle name="Normal 2 3 3 4 2 3 2 3 2" xfId="45909"/>
    <cellStyle name="Normal 2 3 3 4 2 3 2 4" xfId="38584"/>
    <cellStyle name="Normal 2 3 3 4 2 3 2 5" xfId="23771"/>
    <cellStyle name="Normal 2 3 3 4 2 3 3" xfId="25603"/>
    <cellStyle name="Normal 2 3 3 4 2 3 3 2" xfId="32914"/>
    <cellStyle name="Normal 2 3 3 4 2 3 3 2 2" xfId="47734"/>
    <cellStyle name="Normal 2 3 3 4 2 3 3 3" xfId="40471"/>
    <cellStyle name="Normal 2 3 3 4 2 3 4" xfId="29260"/>
    <cellStyle name="Normal 2 3 3 4 2 3 4 2" xfId="44084"/>
    <cellStyle name="Normal 2 3 3 4 2 3 5" xfId="36861"/>
    <cellStyle name="Normal 2 3 3 4 2 3 6" xfId="21942"/>
    <cellStyle name="Normal 2 3 3 4 2 4" xfId="19439"/>
    <cellStyle name="Normal 2 3 3 4 2 4 2" xfId="26809"/>
    <cellStyle name="Normal 2 3 3 4 2 4 2 2" xfId="34120"/>
    <cellStyle name="Normal 2 3 3 4 2 4 2 2 2" xfId="48940"/>
    <cellStyle name="Normal 2 3 3 4 2 4 2 3" xfId="41649"/>
    <cellStyle name="Normal 2 3 3 4 2 4 3" xfId="30466"/>
    <cellStyle name="Normal 2 3 3 4 2 4 3 2" xfId="45289"/>
    <cellStyle name="Normal 2 3 3 4 2 4 4" xfId="37963"/>
    <cellStyle name="Normal 2 3 3 4 2 4 5" xfId="23151"/>
    <cellStyle name="Normal 2 3 3 4 2 5" xfId="24968"/>
    <cellStyle name="Normal 2 3 3 4 2 5 2" xfId="32279"/>
    <cellStyle name="Normal 2 3 3 4 2 5 2 2" xfId="47102"/>
    <cellStyle name="Normal 2 3 3 4 2 5 3" xfId="39863"/>
    <cellStyle name="Normal 2 3 3 4 2 6" xfId="28625"/>
    <cellStyle name="Normal 2 3 3 4 2 6 2" xfId="43462"/>
    <cellStyle name="Normal 2 3 3 4 2 7" xfId="35636"/>
    <cellStyle name="Normal 2 3 3 4 2 8" xfId="21307"/>
    <cellStyle name="Normal 2 3 3 4 3" xfId="17622"/>
    <cellStyle name="Normal 2 3 3 4 3 2" xfId="18736"/>
    <cellStyle name="Normal 2 3 3 4 3 2 2" xfId="20615"/>
    <cellStyle name="Normal 2 3 3 4 3 2 2 2" xfId="27941"/>
    <cellStyle name="Normal 2 3 3 4 3 2 2 2 2" xfId="35252"/>
    <cellStyle name="Normal 2 3 3 4 3 2 2 2 2 2" xfId="50072"/>
    <cellStyle name="Normal 2 3 3 4 3 2 2 2 3" xfId="42780"/>
    <cellStyle name="Normal 2 3 3 4 3 2 2 3" xfId="31598"/>
    <cellStyle name="Normal 2 3 3 4 3 2 2 3 2" xfId="46421"/>
    <cellStyle name="Normal 2 3 3 4 3 2 2 4" xfId="39096"/>
    <cellStyle name="Normal 2 3 3 4 3 2 2 5" xfId="24283"/>
    <cellStyle name="Normal 2 3 3 4 3 2 3" xfId="26115"/>
    <cellStyle name="Normal 2 3 3 4 3 2 3 2" xfId="33426"/>
    <cellStyle name="Normal 2 3 3 4 3 2 3 2 2" xfId="48246"/>
    <cellStyle name="Normal 2 3 3 4 3 2 3 3" xfId="40959"/>
    <cellStyle name="Normal 2 3 3 4 3 2 4" xfId="29772"/>
    <cellStyle name="Normal 2 3 3 4 3 2 4 2" xfId="44596"/>
    <cellStyle name="Normal 2 3 3 4 3 2 5" xfId="37373"/>
    <cellStyle name="Normal 2 3 3 4 3 2 6" xfId="22454"/>
    <cellStyle name="Normal 2 3 3 4 3 3" xfId="19666"/>
    <cellStyle name="Normal 2 3 3 4 3 3 2" xfId="27035"/>
    <cellStyle name="Normal 2 3 3 4 3 3 2 2" xfId="34346"/>
    <cellStyle name="Normal 2 3 3 4 3 3 2 2 2" xfId="49166"/>
    <cellStyle name="Normal 2 3 3 4 3 3 2 3" xfId="41875"/>
    <cellStyle name="Normal 2 3 3 4 3 3 3" xfId="30692"/>
    <cellStyle name="Normal 2 3 3 4 3 3 3 2" xfId="45515"/>
    <cellStyle name="Normal 2 3 3 4 3 3 4" xfId="38189"/>
    <cellStyle name="Normal 2 3 3 4 3 3 5" xfId="23377"/>
    <cellStyle name="Normal 2 3 3 4 3 4" xfId="25194"/>
    <cellStyle name="Normal 2 3 3 4 3 4 2" xfId="32505"/>
    <cellStyle name="Normal 2 3 3 4 3 4 2 2" xfId="47328"/>
    <cellStyle name="Normal 2 3 3 4 3 4 3" xfId="40086"/>
    <cellStyle name="Normal 2 3 3 4 3 5" xfId="28851"/>
    <cellStyle name="Normal 2 3 3 4 3 5 2" xfId="43688"/>
    <cellStyle name="Normal 2 3 3 4 3 6" xfId="36084"/>
    <cellStyle name="Normal 2 3 3 4 3 7" xfId="21533"/>
    <cellStyle name="Normal 2 3 3 4 4" xfId="18220"/>
    <cellStyle name="Normal 2 3 3 4 4 2" xfId="20102"/>
    <cellStyle name="Normal 2 3 3 4 4 2 2" xfId="27428"/>
    <cellStyle name="Normal 2 3 3 4 4 2 2 2" xfId="34739"/>
    <cellStyle name="Normal 2 3 3 4 4 2 2 2 2" xfId="49559"/>
    <cellStyle name="Normal 2 3 3 4 4 2 2 3" xfId="42267"/>
    <cellStyle name="Normal 2 3 3 4 4 2 3" xfId="31085"/>
    <cellStyle name="Normal 2 3 3 4 4 2 3 2" xfId="45908"/>
    <cellStyle name="Normal 2 3 3 4 4 2 4" xfId="38583"/>
    <cellStyle name="Normal 2 3 3 4 4 2 5" xfId="23770"/>
    <cellStyle name="Normal 2 3 3 4 4 3" xfId="25602"/>
    <cellStyle name="Normal 2 3 3 4 4 3 2" xfId="32913"/>
    <cellStyle name="Normal 2 3 3 4 4 3 2 2" xfId="47733"/>
    <cellStyle name="Normal 2 3 3 4 4 3 3" xfId="40470"/>
    <cellStyle name="Normal 2 3 3 4 4 4" xfId="29259"/>
    <cellStyle name="Normal 2 3 3 4 4 4 2" xfId="44083"/>
    <cellStyle name="Normal 2 3 3 4 4 5" xfId="36860"/>
    <cellStyle name="Normal 2 3 3 4 4 6" xfId="21941"/>
    <cellStyle name="Normal 2 3 3 4 5" xfId="19217"/>
    <cellStyle name="Normal 2 3 3 4 5 2" xfId="26587"/>
    <cellStyle name="Normal 2 3 3 4 5 2 2" xfId="33898"/>
    <cellStyle name="Normal 2 3 3 4 5 2 2 2" xfId="48718"/>
    <cellStyle name="Normal 2 3 3 4 5 2 3" xfId="41427"/>
    <cellStyle name="Normal 2 3 3 4 5 3" xfId="30244"/>
    <cellStyle name="Normal 2 3 3 4 5 3 2" xfId="45067"/>
    <cellStyle name="Normal 2 3 3 4 5 4" xfId="37741"/>
    <cellStyle name="Normal 2 3 3 4 5 5" xfId="22929"/>
    <cellStyle name="Normal 2 3 3 4 6" xfId="24744"/>
    <cellStyle name="Normal 2 3 3 4 6 2" xfId="32055"/>
    <cellStyle name="Normal 2 3 3 4 6 2 2" xfId="46878"/>
    <cellStyle name="Normal 2 3 3 4 6 3" xfId="39647"/>
    <cellStyle name="Normal 2 3 3 4 7" xfId="28401"/>
    <cellStyle name="Normal 2 3 3 4 7 2" xfId="43238"/>
    <cellStyle name="Normal 2 3 3 4 8" xfId="35635"/>
    <cellStyle name="Normal 2 3 3 4 9" xfId="21083"/>
    <cellStyle name="Normal 2 3 3 5" xfId="17256"/>
    <cellStyle name="Normal 2 3 3 5 2" xfId="17734"/>
    <cellStyle name="Normal 2 3 3 5 2 2" xfId="18848"/>
    <cellStyle name="Normal 2 3 3 5 2 2 2" xfId="20727"/>
    <cellStyle name="Normal 2 3 3 5 2 2 2 2" xfId="28053"/>
    <cellStyle name="Normal 2 3 3 5 2 2 2 2 2" xfId="35364"/>
    <cellStyle name="Normal 2 3 3 5 2 2 2 2 2 2" xfId="50184"/>
    <cellStyle name="Normal 2 3 3 5 2 2 2 2 3" xfId="42892"/>
    <cellStyle name="Normal 2 3 3 5 2 2 2 3" xfId="31710"/>
    <cellStyle name="Normal 2 3 3 5 2 2 2 3 2" xfId="46533"/>
    <cellStyle name="Normal 2 3 3 5 2 2 2 4" xfId="39208"/>
    <cellStyle name="Normal 2 3 3 5 2 2 2 5" xfId="24395"/>
    <cellStyle name="Normal 2 3 3 5 2 2 3" xfId="26227"/>
    <cellStyle name="Normal 2 3 3 5 2 2 3 2" xfId="33538"/>
    <cellStyle name="Normal 2 3 3 5 2 2 3 2 2" xfId="48358"/>
    <cellStyle name="Normal 2 3 3 5 2 2 3 3" xfId="41071"/>
    <cellStyle name="Normal 2 3 3 5 2 2 4" xfId="29884"/>
    <cellStyle name="Normal 2 3 3 5 2 2 4 2" xfId="44708"/>
    <cellStyle name="Normal 2 3 3 5 2 2 5" xfId="37484"/>
    <cellStyle name="Normal 2 3 3 5 2 2 6" xfId="22566"/>
    <cellStyle name="Normal 2 3 3 5 2 3" xfId="19778"/>
    <cellStyle name="Normal 2 3 3 5 2 3 2" xfId="27147"/>
    <cellStyle name="Normal 2 3 3 5 2 3 2 2" xfId="34458"/>
    <cellStyle name="Normal 2 3 3 5 2 3 2 2 2" xfId="49278"/>
    <cellStyle name="Normal 2 3 3 5 2 3 2 3" xfId="41987"/>
    <cellStyle name="Normal 2 3 3 5 2 3 3" xfId="30804"/>
    <cellStyle name="Normal 2 3 3 5 2 3 3 2" xfId="45627"/>
    <cellStyle name="Normal 2 3 3 5 2 3 4" xfId="38301"/>
    <cellStyle name="Normal 2 3 3 5 2 3 5" xfId="23489"/>
    <cellStyle name="Normal 2 3 3 5 2 4" xfId="25306"/>
    <cellStyle name="Normal 2 3 3 5 2 4 2" xfId="32617"/>
    <cellStyle name="Normal 2 3 3 5 2 4 2 2" xfId="47440"/>
    <cellStyle name="Normal 2 3 3 5 2 4 3" xfId="40196"/>
    <cellStyle name="Normal 2 3 3 5 2 5" xfId="28963"/>
    <cellStyle name="Normal 2 3 3 5 2 5 2" xfId="43800"/>
    <cellStyle name="Normal 2 3 3 5 2 6" xfId="36086"/>
    <cellStyle name="Normal 2 3 3 5 2 7" xfId="21645"/>
    <cellStyle name="Normal 2 3 3 5 3" xfId="18222"/>
    <cellStyle name="Normal 2 3 3 5 3 2" xfId="20104"/>
    <cellStyle name="Normal 2 3 3 5 3 2 2" xfId="27430"/>
    <cellStyle name="Normal 2 3 3 5 3 2 2 2" xfId="34741"/>
    <cellStyle name="Normal 2 3 3 5 3 2 2 2 2" xfId="49561"/>
    <cellStyle name="Normal 2 3 3 5 3 2 2 3" xfId="42269"/>
    <cellStyle name="Normal 2 3 3 5 3 2 3" xfId="31087"/>
    <cellStyle name="Normal 2 3 3 5 3 2 3 2" xfId="45910"/>
    <cellStyle name="Normal 2 3 3 5 3 2 4" xfId="38585"/>
    <cellStyle name="Normal 2 3 3 5 3 2 5" xfId="23772"/>
    <cellStyle name="Normal 2 3 3 5 3 3" xfId="25604"/>
    <cellStyle name="Normal 2 3 3 5 3 3 2" xfId="32915"/>
    <cellStyle name="Normal 2 3 3 5 3 3 2 2" xfId="47735"/>
    <cellStyle name="Normal 2 3 3 5 3 3 3" xfId="40472"/>
    <cellStyle name="Normal 2 3 3 5 3 4" xfId="29261"/>
    <cellStyle name="Normal 2 3 3 5 3 4 2" xfId="44085"/>
    <cellStyle name="Normal 2 3 3 5 3 5" xfId="36862"/>
    <cellStyle name="Normal 2 3 3 5 3 6" xfId="21943"/>
    <cellStyle name="Normal 2 3 3 5 4" xfId="19327"/>
    <cellStyle name="Normal 2 3 3 5 4 2" xfId="26697"/>
    <cellStyle name="Normal 2 3 3 5 4 2 2" xfId="34008"/>
    <cellStyle name="Normal 2 3 3 5 4 2 2 2" xfId="48828"/>
    <cellStyle name="Normal 2 3 3 5 4 2 3" xfId="41537"/>
    <cellStyle name="Normal 2 3 3 5 4 3" xfId="30354"/>
    <cellStyle name="Normal 2 3 3 5 4 3 2" xfId="45177"/>
    <cellStyle name="Normal 2 3 3 5 4 4" xfId="37851"/>
    <cellStyle name="Normal 2 3 3 5 4 5" xfId="23039"/>
    <cellStyle name="Normal 2 3 3 5 5" xfId="24856"/>
    <cellStyle name="Normal 2 3 3 5 5 2" xfId="32167"/>
    <cellStyle name="Normal 2 3 3 5 5 2 2" xfId="46990"/>
    <cellStyle name="Normal 2 3 3 5 5 3" xfId="39753"/>
    <cellStyle name="Normal 2 3 3 5 6" xfId="28513"/>
    <cellStyle name="Normal 2 3 3 5 6 2" xfId="43350"/>
    <cellStyle name="Normal 2 3 3 5 7" xfId="35637"/>
    <cellStyle name="Normal 2 3 3 5 8" xfId="21195"/>
    <cellStyle name="Normal 2 3 3 6" xfId="17510"/>
    <cellStyle name="Normal 2 3 3 6 2" xfId="18624"/>
    <cellStyle name="Normal 2 3 3 6 2 2" xfId="20503"/>
    <cellStyle name="Normal 2 3 3 6 2 2 2" xfId="27829"/>
    <cellStyle name="Normal 2 3 3 6 2 2 2 2" xfId="35140"/>
    <cellStyle name="Normal 2 3 3 6 2 2 2 2 2" xfId="49960"/>
    <cellStyle name="Normal 2 3 3 6 2 2 2 3" xfId="42668"/>
    <cellStyle name="Normal 2 3 3 6 2 2 3" xfId="31486"/>
    <cellStyle name="Normal 2 3 3 6 2 2 3 2" xfId="46309"/>
    <cellStyle name="Normal 2 3 3 6 2 2 4" xfId="38984"/>
    <cellStyle name="Normal 2 3 3 6 2 2 5" xfId="24171"/>
    <cellStyle name="Normal 2 3 3 6 2 3" xfId="26003"/>
    <cellStyle name="Normal 2 3 3 6 2 3 2" xfId="33314"/>
    <cellStyle name="Normal 2 3 3 6 2 3 2 2" xfId="48134"/>
    <cellStyle name="Normal 2 3 3 6 2 3 3" xfId="40847"/>
    <cellStyle name="Normal 2 3 3 6 2 4" xfId="29660"/>
    <cellStyle name="Normal 2 3 3 6 2 4 2" xfId="44484"/>
    <cellStyle name="Normal 2 3 3 6 2 5" xfId="37261"/>
    <cellStyle name="Normal 2 3 3 6 2 6" xfId="22342"/>
    <cellStyle name="Normal 2 3 3 6 3" xfId="19554"/>
    <cellStyle name="Normal 2 3 3 6 3 2" xfId="26923"/>
    <cellStyle name="Normal 2 3 3 6 3 2 2" xfId="34234"/>
    <cellStyle name="Normal 2 3 3 6 3 2 2 2" xfId="49054"/>
    <cellStyle name="Normal 2 3 3 6 3 2 3" xfId="41763"/>
    <cellStyle name="Normal 2 3 3 6 3 3" xfId="30580"/>
    <cellStyle name="Normal 2 3 3 6 3 3 2" xfId="45403"/>
    <cellStyle name="Normal 2 3 3 6 3 4" xfId="38077"/>
    <cellStyle name="Normal 2 3 3 6 3 5" xfId="23265"/>
    <cellStyle name="Normal 2 3 3 6 4" xfId="25082"/>
    <cellStyle name="Normal 2 3 3 6 4 2" xfId="32393"/>
    <cellStyle name="Normal 2 3 3 6 4 2 2" xfId="47216"/>
    <cellStyle name="Normal 2 3 3 6 4 3" xfId="39977"/>
    <cellStyle name="Normal 2 3 3 6 5" xfId="28739"/>
    <cellStyle name="Normal 2 3 3 6 5 2" xfId="43576"/>
    <cellStyle name="Normal 2 3 3 6 6" xfId="36071"/>
    <cellStyle name="Normal 2 3 3 6 7" xfId="21421"/>
    <cellStyle name="Normal 2 3 3 7" xfId="18130"/>
    <cellStyle name="Normal 2 3 3 7 2" xfId="20037"/>
    <cellStyle name="Normal 2 3 3 7 2 2" xfId="27365"/>
    <cellStyle name="Normal 2 3 3 7 2 2 2" xfId="34676"/>
    <cellStyle name="Normal 2 3 3 7 2 2 2 2" xfId="49496"/>
    <cellStyle name="Normal 2 3 3 7 2 2 3" xfId="42205"/>
    <cellStyle name="Normal 2 3 3 7 2 3" xfId="31022"/>
    <cellStyle name="Normal 2 3 3 7 2 3 2" xfId="45845"/>
    <cellStyle name="Normal 2 3 3 7 2 4" xfId="38520"/>
    <cellStyle name="Normal 2 3 3 7 2 5" xfId="23707"/>
    <cellStyle name="Normal 2 3 3 7 3" xfId="25527"/>
    <cellStyle name="Normal 2 3 3 7 3 2" xfId="32838"/>
    <cellStyle name="Normal 2 3 3 7 3 2 2" xfId="47659"/>
    <cellStyle name="Normal 2 3 3 7 3 3" xfId="40412"/>
    <cellStyle name="Normal 2 3 3 7 4" xfId="29184"/>
    <cellStyle name="Normal 2 3 3 7 4 2" xfId="44019"/>
    <cellStyle name="Normal 2 3 3 7 5" xfId="36785"/>
    <cellStyle name="Normal 2 3 3 7 6" xfId="21866"/>
    <cellStyle name="Normal 2 3 3 8" xfId="19068"/>
    <cellStyle name="Normal 2 3 3 8 2" xfId="26447"/>
    <cellStyle name="Normal 2 3 3 8 2 2" xfId="33758"/>
    <cellStyle name="Normal 2 3 3 8 2 2 2" xfId="48578"/>
    <cellStyle name="Normal 2 3 3 8 2 3" xfId="41289"/>
    <cellStyle name="Normal 2 3 3 8 3" xfId="30104"/>
    <cellStyle name="Normal 2 3 3 8 3 2" xfId="44928"/>
    <cellStyle name="Normal 2 3 3 8 4" xfId="37601"/>
    <cellStyle name="Normal 2 3 3 8 5" xfId="22789"/>
    <cellStyle name="Normal 2 3 3 9" xfId="24632"/>
    <cellStyle name="Normal 2 3 3 9 2" xfId="31943"/>
    <cellStyle name="Normal 2 3 3 9 2 2" xfId="46766"/>
    <cellStyle name="Normal 2 3 3 9 3" xfId="39554"/>
    <cellStyle name="Normal 2 3 4" xfId="17066"/>
    <cellStyle name="Normal 2 3 4 10" xfId="35638"/>
    <cellStyle name="Normal 2 3 4 11" xfId="20985"/>
    <cellStyle name="Normal 2 3 4 2" xfId="17194"/>
    <cellStyle name="Normal 2 3 4 2 10" xfId="21041"/>
    <cellStyle name="Normal 2 3 4 2 2" xfId="17466"/>
    <cellStyle name="Normal 2 3 4 2 2 2" xfId="17916"/>
    <cellStyle name="Normal 2 3 4 2 2 2 2" xfId="19030"/>
    <cellStyle name="Normal 2 3 4 2 2 2 2 2" xfId="20909"/>
    <cellStyle name="Normal 2 3 4 2 2 2 2 2 2" xfId="24577"/>
    <cellStyle name="Normal 2 3 4 2 2 2 2 2 2 2" xfId="28235"/>
    <cellStyle name="Normal 2 3 4 2 2 2 2 2 2 2 2" xfId="35546"/>
    <cellStyle name="Normal 2 3 4 2 2 2 2 2 2 2 2 2" xfId="50366"/>
    <cellStyle name="Normal 2 3 4 2 2 2 2 2 2 2 3" xfId="43074"/>
    <cellStyle name="Normal 2 3 4 2 2 2 2 2 2 3" xfId="31892"/>
    <cellStyle name="Normal 2 3 4 2 2 2 2 2 2 3 2" xfId="46715"/>
    <cellStyle name="Normal 2 3 4 2 2 2 2 2 2 4" xfId="39509"/>
    <cellStyle name="Normal 2 3 4 2 2 2 2 2 3" xfId="26409"/>
    <cellStyle name="Normal 2 3 4 2 2 2 2 2 3 2" xfId="33720"/>
    <cellStyle name="Normal 2 3 4 2 2 2 2 2 3 2 2" xfId="48540"/>
    <cellStyle name="Normal 2 3 4 2 2 2 2 2 3 3" xfId="41253"/>
    <cellStyle name="Normal 2 3 4 2 2 2 2 2 4" xfId="30066"/>
    <cellStyle name="Normal 2 3 4 2 2 2 2 2 4 2" xfId="44890"/>
    <cellStyle name="Normal 2 3 4 2 2 2 2 2 5" xfId="39390"/>
    <cellStyle name="Normal 2 3 4 2 2 2 2 2 6" xfId="22748"/>
    <cellStyle name="Normal 2 3 4 2 2 2 2 3" xfId="19960"/>
    <cellStyle name="Normal 2 3 4 2 2 2 2 3 2" xfId="27329"/>
    <cellStyle name="Normal 2 3 4 2 2 2 2 3 2 2" xfId="34640"/>
    <cellStyle name="Normal 2 3 4 2 2 2 2 3 2 2 2" xfId="49460"/>
    <cellStyle name="Normal 2 3 4 2 2 2 2 3 2 3" xfId="42169"/>
    <cellStyle name="Normal 2 3 4 2 2 2 2 3 3" xfId="30986"/>
    <cellStyle name="Normal 2 3 4 2 2 2 2 3 3 2" xfId="45809"/>
    <cellStyle name="Normal 2 3 4 2 2 2 2 3 4" xfId="38483"/>
    <cellStyle name="Normal 2 3 4 2 2 2 2 3 5" xfId="23671"/>
    <cellStyle name="Normal 2 3 4 2 2 2 2 4" xfId="25488"/>
    <cellStyle name="Normal 2 3 4 2 2 2 2 4 2" xfId="32799"/>
    <cellStyle name="Normal 2 3 4 2 2 2 2 4 2 2" xfId="47622"/>
    <cellStyle name="Normal 2 3 4 2 2 2 2 4 3" xfId="40376"/>
    <cellStyle name="Normal 2 3 4 2 2 2 2 5" xfId="29145"/>
    <cellStyle name="Normal 2 3 4 2 2 2 2 5 2" xfId="43982"/>
    <cellStyle name="Normal 2 3 4 2 2 2 2 6" xfId="36090"/>
    <cellStyle name="Normal 2 3 4 2 2 2 2 7" xfId="21827"/>
    <cellStyle name="Normal 2 3 4 2 2 2 3" xfId="18226"/>
    <cellStyle name="Normal 2 3 4 2 2 2 3 2" xfId="20108"/>
    <cellStyle name="Normal 2 3 4 2 2 2 3 2 2" xfId="27434"/>
    <cellStyle name="Normal 2 3 4 2 2 2 3 2 2 2" xfId="34745"/>
    <cellStyle name="Normal 2 3 4 2 2 2 3 2 2 2 2" xfId="49565"/>
    <cellStyle name="Normal 2 3 4 2 2 2 3 2 2 3" xfId="42273"/>
    <cellStyle name="Normal 2 3 4 2 2 2 3 2 3" xfId="31091"/>
    <cellStyle name="Normal 2 3 4 2 2 2 3 2 3 2" xfId="45914"/>
    <cellStyle name="Normal 2 3 4 2 2 2 3 2 4" xfId="38589"/>
    <cellStyle name="Normal 2 3 4 2 2 2 3 2 5" xfId="23776"/>
    <cellStyle name="Normal 2 3 4 2 2 2 3 3" xfId="25608"/>
    <cellStyle name="Normal 2 3 4 2 2 2 3 3 2" xfId="32919"/>
    <cellStyle name="Normal 2 3 4 2 2 2 3 3 2 2" xfId="47739"/>
    <cellStyle name="Normal 2 3 4 2 2 2 3 3 3" xfId="40476"/>
    <cellStyle name="Normal 2 3 4 2 2 2 3 4" xfId="29265"/>
    <cellStyle name="Normal 2 3 4 2 2 2 3 4 2" xfId="44089"/>
    <cellStyle name="Normal 2 3 4 2 2 2 3 5" xfId="36866"/>
    <cellStyle name="Normal 2 3 4 2 2 2 3 6" xfId="21947"/>
    <cellStyle name="Normal 2 3 4 2 2 2 4" xfId="19509"/>
    <cellStyle name="Normal 2 3 4 2 2 2 4 2" xfId="26879"/>
    <cellStyle name="Normal 2 3 4 2 2 2 4 2 2" xfId="34190"/>
    <cellStyle name="Normal 2 3 4 2 2 2 4 2 2 2" xfId="49010"/>
    <cellStyle name="Normal 2 3 4 2 2 2 4 2 3" xfId="41719"/>
    <cellStyle name="Normal 2 3 4 2 2 2 4 3" xfId="30536"/>
    <cellStyle name="Normal 2 3 4 2 2 2 4 3 2" xfId="45359"/>
    <cellStyle name="Normal 2 3 4 2 2 2 4 4" xfId="38033"/>
    <cellStyle name="Normal 2 3 4 2 2 2 4 5" xfId="23221"/>
    <cellStyle name="Normal 2 3 4 2 2 2 5" xfId="25038"/>
    <cellStyle name="Normal 2 3 4 2 2 2 5 2" xfId="32349"/>
    <cellStyle name="Normal 2 3 4 2 2 2 5 2 2" xfId="47172"/>
    <cellStyle name="Normal 2 3 4 2 2 2 5 3" xfId="39933"/>
    <cellStyle name="Normal 2 3 4 2 2 2 6" xfId="28695"/>
    <cellStyle name="Normal 2 3 4 2 2 2 6 2" xfId="43532"/>
    <cellStyle name="Normal 2 3 4 2 2 2 7" xfId="35641"/>
    <cellStyle name="Normal 2 3 4 2 2 2 8" xfId="21377"/>
    <cellStyle name="Normal 2 3 4 2 2 3" xfId="17692"/>
    <cellStyle name="Normal 2 3 4 2 2 3 2" xfId="18806"/>
    <cellStyle name="Normal 2 3 4 2 2 3 2 2" xfId="20685"/>
    <cellStyle name="Normal 2 3 4 2 2 3 2 2 2" xfId="28011"/>
    <cellStyle name="Normal 2 3 4 2 2 3 2 2 2 2" xfId="35322"/>
    <cellStyle name="Normal 2 3 4 2 2 3 2 2 2 2 2" xfId="50142"/>
    <cellStyle name="Normal 2 3 4 2 2 3 2 2 2 3" xfId="42850"/>
    <cellStyle name="Normal 2 3 4 2 2 3 2 2 3" xfId="31668"/>
    <cellStyle name="Normal 2 3 4 2 2 3 2 2 3 2" xfId="46491"/>
    <cellStyle name="Normal 2 3 4 2 2 3 2 2 4" xfId="39166"/>
    <cellStyle name="Normal 2 3 4 2 2 3 2 2 5" xfId="24353"/>
    <cellStyle name="Normal 2 3 4 2 2 3 2 3" xfId="26185"/>
    <cellStyle name="Normal 2 3 4 2 2 3 2 3 2" xfId="33496"/>
    <cellStyle name="Normal 2 3 4 2 2 3 2 3 2 2" xfId="48316"/>
    <cellStyle name="Normal 2 3 4 2 2 3 2 3 3" xfId="41029"/>
    <cellStyle name="Normal 2 3 4 2 2 3 2 4" xfId="29842"/>
    <cellStyle name="Normal 2 3 4 2 2 3 2 4 2" xfId="44666"/>
    <cellStyle name="Normal 2 3 4 2 2 3 2 5" xfId="37443"/>
    <cellStyle name="Normal 2 3 4 2 2 3 2 6" xfId="22524"/>
    <cellStyle name="Normal 2 3 4 2 2 3 3" xfId="19736"/>
    <cellStyle name="Normal 2 3 4 2 2 3 3 2" xfId="27105"/>
    <cellStyle name="Normal 2 3 4 2 2 3 3 2 2" xfId="34416"/>
    <cellStyle name="Normal 2 3 4 2 2 3 3 2 2 2" xfId="49236"/>
    <cellStyle name="Normal 2 3 4 2 2 3 3 2 3" xfId="41945"/>
    <cellStyle name="Normal 2 3 4 2 2 3 3 3" xfId="30762"/>
    <cellStyle name="Normal 2 3 4 2 2 3 3 3 2" xfId="45585"/>
    <cellStyle name="Normal 2 3 4 2 2 3 3 4" xfId="38259"/>
    <cellStyle name="Normal 2 3 4 2 2 3 3 5" xfId="23447"/>
    <cellStyle name="Normal 2 3 4 2 2 3 4" xfId="25264"/>
    <cellStyle name="Normal 2 3 4 2 2 3 4 2" xfId="32575"/>
    <cellStyle name="Normal 2 3 4 2 2 3 4 2 2" xfId="47398"/>
    <cellStyle name="Normal 2 3 4 2 2 3 4 3" xfId="40156"/>
    <cellStyle name="Normal 2 3 4 2 2 3 5" xfId="28921"/>
    <cellStyle name="Normal 2 3 4 2 2 3 5 2" xfId="43758"/>
    <cellStyle name="Normal 2 3 4 2 2 3 6" xfId="36089"/>
    <cellStyle name="Normal 2 3 4 2 2 3 7" xfId="21603"/>
    <cellStyle name="Normal 2 3 4 2 2 4" xfId="18225"/>
    <cellStyle name="Normal 2 3 4 2 2 4 2" xfId="20107"/>
    <cellStyle name="Normal 2 3 4 2 2 4 2 2" xfId="27433"/>
    <cellStyle name="Normal 2 3 4 2 2 4 2 2 2" xfId="34744"/>
    <cellStyle name="Normal 2 3 4 2 2 4 2 2 2 2" xfId="49564"/>
    <cellStyle name="Normal 2 3 4 2 2 4 2 2 3" xfId="42272"/>
    <cellStyle name="Normal 2 3 4 2 2 4 2 3" xfId="31090"/>
    <cellStyle name="Normal 2 3 4 2 2 4 2 3 2" xfId="45913"/>
    <cellStyle name="Normal 2 3 4 2 2 4 2 4" xfId="38588"/>
    <cellStyle name="Normal 2 3 4 2 2 4 2 5" xfId="23775"/>
    <cellStyle name="Normal 2 3 4 2 2 4 3" xfId="25607"/>
    <cellStyle name="Normal 2 3 4 2 2 4 3 2" xfId="32918"/>
    <cellStyle name="Normal 2 3 4 2 2 4 3 2 2" xfId="47738"/>
    <cellStyle name="Normal 2 3 4 2 2 4 3 3" xfId="40475"/>
    <cellStyle name="Normal 2 3 4 2 2 4 4" xfId="29264"/>
    <cellStyle name="Normal 2 3 4 2 2 4 4 2" xfId="44088"/>
    <cellStyle name="Normal 2 3 4 2 2 4 5" xfId="36865"/>
    <cellStyle name="Normal 2 3 4 2 2 4 6" xfId="21946"/>
    <cellStyle name="Normal 2 3 4 2 2 5" xfId="19285"/>
    <cellStyle name="Normal 2 3 4 2 2 5 2" xfId="26655"/>
    <cellStyle name="Normal 2 3 4 2 2 5 2 2" xfId="33966"/>
    <cellStyle name="Normal 2 3 4 2 2 5 2 2 2" xfId="48786"/>
    <cellStyle name="Normal 2 3 4 2 2 5 2 3" xfId="41495"/>
    <cellStyle name="Normal 2 3 4 2 2 5 3" xfId="30312"/>
    <cellStyle name="Normal 2 3 4 2 2 5 3 2" xfId="45135"/>
    <cellStyle name="Normal 2 3 4 2 2 5 4" xfId="37809"/>
    <cellStyle name="Normal 2 3 4 2 2 5 5" xfId="22997"/>
    <cellStyle name="Normal 2 3 4 2 2 6" xfId="24814"/>
    <cellStyle name="Normal 2 3 4 2 2 6 2" xfId="32125"/>
    <cellStyle name="Normal 2 3 4 2 2 6 2 2" xfId="46948"/>
    <cellStyle name="Normal 2 3 4 2 2 6 3" xfId="39713"/>
    <cellStyle name="Normal 2 3 4 2 2 7" xfId="28471"/>
    <cellStyle name="Normal 2 3 4 2 2 7 2" xfId="43308"/>
    <cellStyle name="Normal 2 3 4 2 2 8" xfId="35640"/>
    <cellStyle name="Normal 2 3 4 2 2 9" xfId="21153"/>
    <cellStyle name="Normal 2 3 4 2 3" xfId="17351"/>
    <cellStyle name="Normal 2 3 4 2 3 2" xfId="17804"/>
    <cellStyle name="Normal 2 3 4 2 3 2 2" xfId="18918"/>
    <cellStyle name="Normal 2 3 4 2 3 2 2 2" xfId="20797"/>
    <cellStyle name="Normal 2 3 4 2 3 2 2 2 2" xfId="28123"/>
    <cellStyle name="Normal 2 3 4 2 3 2 2 2 2 2" xfId="35434"/>
    <cellStyle name="Normal 2 3 4 2 3 2 2 2 2 2 2" xfId="50254"/>
    <cellStyle name="Normal 2 3 4 2 3 2 2 2 2 3" xfId="42962"/>
    <cellStyle name="Normal 2 3 4 2 3 2 2 2 3" xfId="31780"/>
    <cellStyle name="Normal 2 3 4 2 3 2 2 2 3 2" xfId="46603"/>
    <cellStyle name="Normal 2 3 4 2 3 2 2 2 4" xfId="39278"/>
    <cellStyle name="Normal 2 3 4 2 3 2 2 2 5" xfId="24465"/>
    <cellStyle name="Normal 2 3 4 2 3 2 2 3" xfId="26297"/>
    <cellStyle name="Normal 2 3 4 2 3 2 2 3 2" xfId="33608"/>
    <cellStyle name="Normal 2 3 4 2 3 2 2 3 2 2" xfId="48428"/>
    <cellStyle name="Normal 2 3 4 2 3 2 2 3 3" xfId="41141"/>
    <cellStyle name="Normal 2 3 4 2 3 2 2 4" xfId="29954"/>
    <cellStyle name="Normal 2 3 4 2 3 2 2 4 2" xfId="44778"/>
    <cellStyle name="Normal 2 3 4 2 3 2 2 5" xfId="37553"/>
    <cellStyle name="Normal 2 3 4 2 3 2 2 6" xfId="22636"/>
    <cellStyle name="Normal 2 3 4 2 3 2 3" xfId="19848"/>
    <cellStyle name="Normal 2 3 4 2 3 2 3 2" xfId="27217"/>
    <cellStyle name="Normal 2 3 4 2 3 2 3 2 2" xfId="34528"/>
    <cellStyle name="Normal 2 3 4 2 3 2 3 2 2 2" xfId="49348"/>
    <cellStyle name="Normal 2 3 4 2 3 2 3 2 3" xfId="42057"/>
    <cellStyle name="Normal 2 3 4 2 3 2 3 3" xfId="30874"/>
    <cellStyle name="Normal 2 3 4 2 3 2 3 3 2" xfId="45697"/>
    <cellStyle name="Normal 2 3 4 2 3 2 3 4" xfId="38371"/>
    <cellStyle name="Normal 2 3 4 2 3 2 3 5" xfId="23559"/>
    <cellStyle name="Normal 2 3 4 2 3 2 4" xfId="25376"/>
    <cellStyle name="Normal 2 3 4 2 3 2 4 2" xfId="32687"/>
    <cellStyle name="Normal 2 3 4 2 3 2 4 2 2" xfId="47510"/>
    <cellStyle name="Normal 2 3 4 2 3 2 4 3" xfId="40264"/>
    <cellStyle name="Normal 2 3 4 2 3 2 5" xfId="29033"/>
    <cellStyle name="Normal 2 3 4 2 3 2 5 2" xfId="43870"/>
    <cellStyle name="Normal 2 3 4 2 3 2 6" xfId="36091"/>
    <cellStyle name="Normal 2 3 4 2 3 2 7" xfId="21715"/>
    <cellStyle name="Normal 2 3 4 2 3 3" xfId="18227"/>
    <cellStyle name="Normal 2 3 4 2 3 3 2" xfId="20109"/>
    <cellStyle name="Normal 2 3 4 2 3 3 2 2" xfId="27435"/>
    <cellStyle name="Normal 2 3 4 2 3 3 2 2 2" xfId="34746"/>
    <cellStyle name="Normal 2 3 4 2 3 3 2 2 2 2" xfId="49566"/>
    <cellStyle name="Normal 2 3 4 2 3 3 2 2 3" xfId="42274"/>
    <cellStyle name="Normal 2 3 4 2 3 3 2 3" xfId="31092"/>
    <cellStyle name="Normal 2 3 4 2 3 3 2 3 2" xfId="45915"/>
    <cellStyle name="Normal 2 3 4 2 3 3 2 4" xfId="38590"/>
    <cellStyle name="Normal 2 3 4 2 3 3 2 5" xfId="23777"/>
    <cellStyle name="Normal 2 3 4 2 3 3 3" xfId="25609"/>
    <cellStyle name="Normal 2 3 4 2 3 3 3 2" xfId="32920"/>
    <cellStyle name="Normal 2 3 4 2 3 3 3 2 2" xfId="47740"/>
    <cellStyle name="Normal 2 3 4 2 3 3 3 3" xfId="40477"/>
    <cellStyle name="Normal 2 3 4 2 3 3 4" xfId="29266"/>
    <cellStyle name="Normal 2 3 4 2 3 3 4 2" xfId="44090"/>
    <cellStyle name="Normal 2 3 4 2 3 3 5" xfId="36867"/>
    <cellStyle name="Normal 2 3 4 2 3 3 6" xfId="21948"/>
    <cellStyle name="Normal 2 3 4 2 3 4" xfId="19397"/>
    <cellStyle name="Normal 2 3 4 2 3 4 2" xfId="26767"/>
    <cellStyle name="Normal 2 3 4 2 3 4 2 2" xfId="34078"/>
    <cellStyle name="Normal 2 3 4 2 3 4 2 2 2" xfId="48898"/>
    <cellStyle name="Normal 2 3 4 2 3 4 2 3" xfId="41607"/>
    <cellStyle name="Normal 2 3 4 2 3 4 3" xfId="30424"/>
    <cellStyle name="Normal 2 3 4 2 3 4 3 2" xfId="45247"/>
    <cellStyle name="Normal 2 3 4 2 3 4 4" xfId="37921"/>
    <cellStyle name="Normal 2 3 4 2 3 4 5" xfId="23109"/>
    <cellStyle name="Normal 2 3 4 2 3 5" xfId="24926"/>
    <cellStyle name="Normal 2 3 4 2 3 5 2" xfId="32237"/>
    <cellStyle name="Normal 2 3 4 2 3 5 2 2" xfId="47060"/>
    <cellStyle name="Normal 2 3 4 2 3 5 3" xfId="39821"/>
    <cellStyle name="Normal 2 3 4 2 3 6" xfId="28583"/>
    <cellStyle name="Normal 2 3 4 2 3 6 2" xfId="43420"/>
    <cellStyle name="Normal 2 3 4 2 3 7" xfId="35642"/>
    <cellStyle name="Normal 2 3 4 2 3 8" xfId="21265"/>
    <cellStyle name="Normal 2 3 4 2 4" xfId="17580"/>
    <cellStyle name="Normal 2 3 4 2 4 2" xfId="18694"/>
    <cellStyle name="Normal 2 3 4 2 4 2 2" xfId="20573"/>
    <cellStyle name="Normal 2 3 4 2 4 2 2 2" xfId="27899"/>
    <cellStyle name="Normal 2 3 4 2 4 2 2 2 2" xfId="35210"/>
    <cellStyle name="Normal 2 3 4 2 4 2 2 2 2 2" xfId="50030"/>
    <cellStyle name="Normal 2 3 4 2 4 2 2 2 3" xfId="42738"/>
    <cellStyle name="Normal 2 3 4 2 4 2 2 3" xfId="31556"/>
    <cellStyle name="Normal 2 3 4 2 4 2 2 3 2" xfId="46379"/>
    <cellStyle name="Normal 2 3 4 2 4 2 2 4" xfId="39054"/>
    <cellStyle name="Normal 2 3 4 2 4 2 2 5" xfId="24241"/>
    <cellStyle name="Normal 2 3 4 2 4 2 3" xfId="26073"/>
    <cellStyle name="Normal 2 3 4 2 4 2 3 2" xfId="33384"/>
    <cellStyle name="Normal 2 3 4 2 4 2 3 2 2" xfId="48204"/>
    <cellStyle name="Normal 2 3 4 2 4 2 3 3" xfId="40917"/>
    <cellStyle name="Normal 2 3 4 2 4 2 4" xfId="29730"/>
    <cellStyle name="Normal 2 3 4 2 4 2 4 2" xfId="44554"/>
    <cellStyle name="Normal 2 3 4 2 4 2 5" xfId="37331"/>
    <cellStyle name="Normal 2 3 4 2 4 2 6" xfId="22412"/>
    <cellStyle name="Normal 2 3 4 2 4 3" xfId="19624"/>
    <cellStyle name="Normal 2 3 4 2 4 3 2" xfId="26993"/>
    <cellStyle name="Normal 2 3 4 2 4 3 2 2" xfId="34304"/>
    <cellStyle name="Normal 2 3 4 2 4 3 2 2 2" xfId="49124"/>
    <cellStyle name="Normal 2 3 4 2 4 3 2 3" xfId="41833"/>
    <cellStyle name="Normal 2 3 4 2 4 3 3" xfId="30650"/>
    <cellStyle name="Normal 2 3 4 2 4 3 3 2" xfId="45473"/>
    <cellStyle name="Normal 2 3 4 2 4 3 4" xfId="38147"/>
    <cellStyle name="Normal 2 3 4 2 4 3 5" xfId="23335"/>
    <cellStyle name="Normal 2 3 4 2 4 4" xfId="25152"/>
    <cellStyle name="Normal 2 3 4 2 4 4 2" xfId="32463"/>
    <cellStyle name="Normal 2 3 4 2 4 4 2 2" xfId="47286"/>
    <cellStyle name="Normal 2 3 4 2 4 4 3" xfId="40046"/>
    <cellStyle name="Normal 2 3 4 2 4 5" xfId="28809"/>
    <cellStyle name="Normal 2 3 4 2 4 5 2" xfId="43646"/>
    <cellStyle name="Normal 2 3 4 2 4 6" xfId="36088"/>
    <cellStyle name="Normal 2 3 4 2 4 7" xfId="21491"/>
    <cellStyle name="Normal 2 3 4 2 5" xfId="18224"/>
    <cellStyle name="Normal 2 3 4 2 5 2" xfId="20106"/>
    <cellStyle name="Normal 2 3 4 2 5 2 2" xfId="27432"/>
    <cellStyle name="Normal 2 3 4 2 5 2 2 2" xfId="34743"/>
    <cellStyle name="Normal 2 3 4 2 5 2 2 2 2" xfId="49563"/>
    <cellStyle name="Normal 2 3 4 2 5 2 2 3" xfId="42271"/>
    <cellStyle name="Normal 2 3 4 2 5 2 3" xfId="31089"/>
    <cellStyle name="Normal 2 3 4 2 5 2 3 2" xfId="45912"/>
    <cellStyle name="Normal 2 3 4 2 5 2 4" xfId="38587"/>
    <cellStyle name="Normal 2 3 4 2 5 2 5" xfId="23774"/>
    <cellStyle name="Normal 2 3 4 2 5 3" xfId="25606"/>
    <cellStyle name="Normal 2 3 4 2 5 3 2" xfId="32917"/>
    <cellStyle name="Normal 2 3 4 2 5 3 2 2" xfId="47737"/>
    <cellStyle name="Normal 2 3 4 2 5 3 3" xfId="40474"/>
    <cellStyle name="Normal 2 3 4 2 5 4" xfId="29263"/>
    <cellStyle name="Normal 2 3 4 2 5 4 2" xfId="44087"/>
    <cellStyle name="Normal 2 3 4 2 5 5" xfId="36864"/>
    <cellStyle name="Normal 2 3 4 2 5 6" xfId="21945"/>
    <cellStyle name="Normal 2 3 4 2 6" xfId="19175"/>
    <cellStyle name="Normal 2 3 4 2 6 2" xfId="26546"/>
    <cellStyle name="Normal 2 3 4 2 6 2 2" xfId="33857"/>
    <cellStyle name="Normal 2 3 4 2 6 2 2 2" xfId="48677"/>
    <cellStyle name="Normal 2 3 4 2 6 2 3" xfId="41386"/>
    <cellStyle name="Normal 2 3 4 2 6 3" xfId="30203"/>
    <cellStyle name="Normal 2 3 4 2 6 3 2" xfId="45026"/>
    <cellStyle name="Normal 2 3 4 2 6 4" xfId="37700"/>
    <cellStyle name="Normal 2 3 4 2 6 5" xfId="22888"/>
    <cellStyle name="Normal 2 3 4 2 7" xfId="24702"/>
    <cellStyle name="Normal 2 3 4 2 7 2" xfId="32013"/>
    <cellStyle name="Normal 2 3 4 2 7 2 2" xfId="46836"/>
    <cellStyle name="Normal 2 3 4 2 7 3" xfId="39609"/>
    <cellStyle name="Normal 2 3 4 2 8" xfId="28359"/>
    <cellStyle name="Normal 2 3 4 2 8 2" xfId="43196"/>
    <cellStyle name="Normal 2 3 4 2 9" xfId="35639"/>
    <cellStyle name="Normal 2 3 4 3" xfId="17410"/>
    <cellStyle name="Normal 2 3 4 3 2" xfId="17860"/>
    <cellStyle name="Normal 2 3 4 3 2 2" xfId="18974"/>
    <cellStyle name="Normal 2 3 4 3 2 2 2" xfId="20853"/>
    <cellStyle name="Normal 2 3 4 3 2 2 2 2" xfId="24521"/>
    <cellStyle name="Normal 2 3 4 3 2 2 2 2 2" xfId="28179"/>
    <cellStyle name="Normal 2 3 4 3 2 2 2 2 2 2" xfId="35490"/>
    <cellStyle name="Normal 2 3 4 3 2 2 2 2 2 2 2" xfId="50310"/>
    <cellStyle name="Normal 2 3 4 3 2 2 2 2 2 3" xfId="43018"/>
    <cellStyle name="Normal 2 3 4 3 2 2 2 2 3" xfId="31836"/>
    <cellStyle name="Normal 2 3 4 3 2 2 2 2 3 2" xfId="46659"/>
    <cellStyle name="Normal 2 3 4 3 2 2 2 2 4" xfId="39462"/>
    <cellStyle name="Normal 2 3 4 3 2 2 2 3" xfId="26353"/>
    <cellStyle name="Normal 2 3 4 3 2 2 2 3 2" xfId="33664"/>
    <cellStyle name="Normal 2 3 4 3 2 2 2 3 2 2" xfId="48484"/>
    <cellStyle name="Normal 2 3 4 3 2 2 2 3 3" xfId="41197"/>
    <cellStyle name="Normal 2 3 4 3 2 2 2 4" xfId="30010"/>
    <cellStyle name="Normal 2 3 4 3 2 2 2 4 2" xfId="44834"/>
    <cellStyle name="Normal 2 3 4 3 2 2 2 5" xfId="39334"/>
    <cellStyle name="Normal 2 3 4 3 2 2 2 6" xfId="22692"/>
    <cellStyle name="Normal 2 3 4 3 2 2 3" xfId="19904"/>
    <cellStyle name="Normal 2 3 4 3 2 2 3 2" xfId="27273"/>
    <cellStyle name="Normal 2 3 4 3 2 2 3 2 2" xfId="34584"/>
    <cellStyle name="Normal 2 3 4 3 2 2 3 2 2 2" xfId="49404"/>
    <cellStyle name="Normal 2 3 4 3 2 2 3 2 3" xfId="42113"/>
    <cellStyle name="Normal 2 3 4 3 2 2 3 3" xfId="30930"/>
    <cellStyle name="Normal 2 3 4 3 2 2 3 3 2" xfId="45753"/>
    <cellStyle name="Normal 2 3 4 3 2 2 3 4" xfId="38427"/>
    <cellStyle name="Normal 2 3 4 3 2 2 3 5" xfId="23615"/>
    <cellStyle name="Normal 2 3 4 3 2 2 4" xfId="25432"/>
    <cellStyle name="Normal 2 3 4 3 2 2 4 2" xfId="32743"/>
    <cellStyle name="Normal 2 3 4 3 2 2 4 2 2" xfId="47566"/>
    <cellStyle name="Normal 2 3 4 3 2 2 4 3" xfId="40320"/>
    <cellStyle name="Normal 2 3 4 3 2 2 5" xfId="29089"/>
    <cellStyle name="Normal 2 3 4 3 2 2 5 2" xfId="43926"/>
    <cellStyle name="Normal 2 3 4 3 2 2 6" xfId="36093"/>
    <cellStyle name="Normal 2 3 4 3 2 2 7" xfId="21771"/>
    <cellStyle name="Normal 2 3 4 3 2 3" xfId="18229"/>
    <cellStyle name="Normal 2 3 4 3 2 3 2" xfId="20111"/>
    <cellStyle name="Normal 2 3 4 3 2 3 2 2" xfId="27437"/>
    <cellStyle name="Normal 2 3 4 3 2 3 2 2 2" xfId="34748"/>
    <cellStyle name="Normal 2 3 4 3 2 3 2 2 2 2" xfId="49568"/>
    <cellStyle name="Normal 2 3 4 3 2 3 2 2 3" xfId="42276"/>
    <cellStyle name="Normal 2 3 4 3 2 3 2 3" xfId="31094"/>
    <cellStyle name="Normal 2 3 4 3 2 3 2 3 2" xfId="45917"/>
    <cellStyle name="Normal 2 3 4 3 2 3 2 4" xfId="38592"/>
    <cellStyle name="Normal 2 3 4 3 2 3 2 5" xfId="23779"/>
    <cellStyle name="Normal 2 3 4 3 2 3 3" xfId="25611"/>
    <cellStyle name="Normal 2 3 4 3 2 3 3 2" xfId="32922"/>
    <cellStyle name="Normal 2 3 4 3 2 3 3 2 2" xfId="47742"/>
    <cellStyle name="Normal 2 3 4 3 2 3 3 3" xfId="40479"/>
    <cellStyle name="Normal 2 3 4 3 2 3 4" xfId="29268"/>
    <cellStyle name="Normal 2 3 4 3 2 3 4 2" xfId="44092"/>
    <cellStyle name="Normal 2 3 4 3 2 3 5" xfId="36869"/>
    <cellStyle name="Normal 2 3 4 3 2 3 6" xfId="21950"/>
    <cellStyle name="Normal 2 3 4 3 2 4" xfId="19453"/>
    <cellStyle name="Normal 2 3 4 3 2 4 2" xfId="26823"/>
    <cellStyle name="Normal 2 3 4 3 2 4 2 2" xfId="34134"/>
    <cellStyle name="Normal 2 3 4 3 2 4 2 2 2" xfId="48954"/>
    <cellStyle name="Normal 2 3 4 3 2 4 2 3" xfId="41663"/>
    <cellStyle name="Normal 2 3 4 3 2 4 3" xfId="30480"/>
    <cellStyle name="Normal 2 3 4 3 2 4 3 2" xfId="45303"/>
    <cellStyle name="Normal 2 3 4 3 2 4 4" xfId="37977"/>
    <cellStyle name="Normal 2 3 4 3 2 4 5" xfId="23165"/>
    <cellStyle name="Normal 2 3 4 3 2 5" xfId="24982"/>
    <cellStyle name="Normal 2 3 4 3 2 5 2" xfId="32293"/>
    <cellStyle name="Normal 2 3 4 3 2 5 2 2" xfId="47116"/>
    <cellStyle name="Normal 2 3 4 3 2 5 3" xfId="39877"/>
    <cellStyle name="Normal 2 3 4 3 2 6" xfId="28639"/>
    <cellStyle name="Normal 2 3 4 3 2 6 2" xfId="43476"/>
    <cellStyle name="Normal 2 3 4 3 2 7" xfId="35644"/>
    <cellStyle name="Normal 2 3 4 3 2 8" xfId="21321"/>
    <cellStyle name="Normal 2 3 4 3 3" xfId="17636"/>
    <cellStyle name="Normal 2 3 4 3 3 2" xfId="18750"/>
    <cellStyle name="Normal 2 3 4 3 3 2 2" xfId="20629"/>
    <cellStyle name="Normal 2 3 4 3 3 2 2 2" xfId="27955"/>
    <cellStyle name="Normal 2 3 4 3 3 2 2 2 2" xfId="35266"/>
    <cellStyle name="Normal 2 3 4 3 3 2 2 2 2 2" xfId="50086"/>
    <cellStyle name="Normal 2 3 4 3 3 2 2 2 3" xfId="42794"/>
    <cellStyle name="Normal 2 3 4 3 3 2 2 3" xfId="31612"/>
    <cellStyle name="Normal 2 3 4 3 3 2 2 3 2" xfId="46435"/>
    <cellStyle name="Normal 2 3 4 3 3 2 2 4" xfId="39110"/>
    <cellStyle name="Normal 2 3 4 3 3 2 2 5" xfId="24297"/>
    <cellStyle name="Normal 2 3 4 3 3 2 3" xfId="26129"/>
    <cellStyle name="Normal 2 3 4 3 3 2 3 2" xfId="33440"/>
    <cellStyle name="Normal 2 3 4 3 3 2 3 2 2" xfId="48260"/>
    <cellStyle name="Normal 2 3 4 3 3 2 3 3" xfId="40973"/>
    <cellStyle name="Normal 2 3 4 3 3 2 4" xfId="29786"/>
    <cellStyle name="Normal 2 3 4 3 3 2 4 2" xfId="44610"/>
    <cellStyle name="Normal 2 3 4 3 3 2 5" xfId="37387"/>
    <cellStyle name="Normal 2 3 4 3 3 2 6" xfId="22468"/>
    <cellStyle name="Normal 2 3 4 3 3 3" xfId="19680"/>
    <cellStyle name="Normal 2 3 4 3 3 3 2" xfId="27049"/>
    <cellStyle name="Normal 2 3 4 3 3 3 2 2" xfId="34360"/>
    <cellStyle name="Normal 2 3 4 3 3 3 2 2 2" xfId="49180"/>
    <cellStyle name="Normal 2 3 4 3 3 3 2 3" xfId="41889"/>
    <cellStyle name="Normal 2 3 4 3 3 3 3" xfId="30706"/>
    <cellStyle name="Normal 2 3 4 3 3 3 3 2" xfId="45529"/>
    <cellStyle name="Normal 2 3 4 3 3 3 4" xfId="38203"/>
    <cellStyle name="Normal 2 3 4 3 3 3 5" xfId="23391"/>
    <cellStyle name="Normal 2 3 4 3 3 4" xfId="25208"/>
    <cellStyle name="Normal 2 3 4 3 3 4 2" xfId="32519"/>
    <cellStyle name="Normal 2 3 4 3 3 4 2 2" xfId="47342"/>
    <cellStyle name="Normal 2 3 4 3 3 4 3" xfId="40100"/>
    <cellStyle name="Normal 2 3 4 3 3 5" xfId="28865"/>
    <cellStyle name="Normal 2 3 4 3 3 5 2" xfId="43702"/>
    <cellStyle name="Normal 2 3 4 3 3 6" xfId="36092"/>
    <cellStyle name="Normal 2 3 4 3 3 7" xfId="21547"/>
    <cellStyle name="Normal 2 3 4 3 4" xfId="18228"/>
    <cellStyle name="Normal 2 3 4 3 4 2" xfId="20110"/>
    <cellStyle name="Normal 2 3 4 3 4 2 2" xfId="27436"/>
    <cellStyle name="Normal 2 3 4 3 4 2 2 2" xfId="34747"/>
    <cellStyle name="Normal 2 3 4 3 4 2 2 2 2" xfId="49567"/>
    <cellStyle name="Normal 2 3 4 3 4 2 2 3" xfId="42275"/>
    <cellStyle name="Normal 2 3 4 3 4 2 3" xfId="31093"/>
    <cellStyle name="Normal 2 3 4 3 4 2 3 2" xfId="45916"/>
    <cellStyle name="Normal 2 3 4 3 4 2 4" xfId="38591"/>
    <cellStyle name="Normal 2 3 4 3 4 2 5" xfId="23778"/>
    <cellStyle name="Normal 2 3 4 3 4 3" xfId="25610"/>
    <cellStyle name="Normal 2 3 4 3 4 3 2" xfId="32921"/>
    <cellStyle name="Normal 2 3 4 3 4 3 2 2" xfId="47741"/>
    <cellStyle name="Normal 2 3 4 3 4 3 3" xfId="40478"/>
    <cellStyle name="Normal 2 3 4 3 4 4" xfId="29267"/>
    <cellStyle name="Normal 2 3 4 3 4 4 2" xfId="44091"/>
    <cellStyle name="Normal 2 3 4 3 4 5" xfId="36868"/>
    <cellStyle name="Normal 2 3 4 3 4 6" xfId="21949"/>
    <cellStyle name="Normal 2 3 4 3 5" xfId="19230"/>
    <cellStyle name="Normal 2 3 4 3 5 2" xfId="26600"/>
    <cellStyle name="Normal 2 3 4 3 5 2 2" xfId="33911"/>
    <cellStyle name="Normal 2 3 4 3 5 2 2 2" xfId="48731"/>
    <cellStyle name="Normal 2 3 4 3 5 2 3" xfId="41440"/>
    <cellStyle name="Normal 2 3 4 3 5 3" xfId="30257"/>
    <cellStyle name="Normal 2 3 4 3 5 3 2" xfId="45080"/>
    <cellStyle name="Normal 2 3 4 3 5 4" xfId="37754"/>
    <cellStyle name="Normal 2 3 4 3 5 5" xfId="22942"/>
    <cellStyle name="Normal 2 3 4 3 6" xfId="24758"/>
    <cellStyle name="Normal 2 3 4 3 6 2" xfId="32069"/>
    <cellStyle name="Normal 2 3 4 3 6 2 2" xfId="46892"/>
    <cellStyle name="Normal 2 3 4 3 6 3" xfId="39660"/>
    <cellStyle name="Normal 2 3 4 3 7" xfId="28415"/>
    <cellStyle name="Normal 2 3 4 3 7 2" xfId="43252"/>
    <cellStyle name="Normal 2 3 4 3 8" xfId="35643"/>
    <cellStyle name="Normal 2 3 4 3 9" xfId="21097"/>
    <cellStyle name="Normal 2 3 4 4" xfId="17293"/>
    <cellStyle name="Normal 2 3 4 4 2" xfId="17748"/>
    <cellStyle name="Normal 2 3 4 4 2 2" xfId="18862"/>
    <cellStyle name="Normal 2 3 4 4 2 2 2" xfId="20741"/>
    <cellStyle name="Normal 2 3 4 4 2 2 2 2" xfId="28067"/>
    <cellStyle name="Normal 2 3 4 4 2 2 2 2 2" xfId="35378"/>
    <cellStyle name="Normal 2 3 4 4 2 2 2 2 2 2" xfId="50198"/>
    <cellStyle name="Normal 2 3 4 4 2 2 2 2 3" xfId="42906"/>
    <cellStyle name="Normal 2 3 4 4 2 2 2 3" xfId="31724"/>
    <cellStyle name="Normal 2 3 4 4 2 2 2 3 2" xfId="46547"/>
    <cellStyle name="Normal 2 3 4 4 2 2 2 4" xfId="39222"/>
    <cellStyle name="Normal 2 3 4 4 2 2 2 5" xfId="24409"/>
    <cellStyle name="Normal 2 3 4 4 2 2 3" xfId="26241"/>
    <cellStyle name="Normal 2 3 4 4 2 2 3 2" xfId="33552"/>
    <cellStyle name="Normal 2 3 4 4 2 2 3 2 2" xfId="48372"/>
    <cellStyle name="Normal 2 3 4 4 2 2 3 3" xfId="41085"/>
    <cellStyle name="Normal 2 3 4 4 2 2 4" xfId="29898"/>
    <cellStyle name="Normal 2 3 4 4 2 2 4 2" xfId="44722"/>
    <cellStyle name="Normal 2 3 4 4 2 2 5" xfId="37498"/>
    <cellStyle name="Normal 2 3 4 4 2 2 6" xfId="22580"/>
    <cellStyle name="Normal 2 3 4 4 2 3" xfId="19792"/>
    <cellStyle name="Normal 2 3 4 4 2 3 2" xfId="27161"/>
    <cellStyle name="Normal 2 3 4 4 2 3 2 2" xfId="34472"/>
    <cellStyle name="Normal 2 3 4 4 2 3 2 2 2" xfId="49292"/>
    <cellStyle name="Normal 2 3 4 4 2 3 2 3" xfId="42001"/>
    <cellStyle name="Normal 2 3 4 4 2 3 3" xfId="30818"/>
    <cellStyle name="Normal 2 3 4 4 2 3 3 2" xfId="45641"/>
    <cellStyle name="Normal 2 3 4 4 2 3 4" xfId="38315"/>
    <cellStyle name="Normal 2 3 4 4 2 3 5" xfId="23503"/>
    <cellStyle name="Normal 2 3 4 4 2 4" xfId="25320"/>
    <cellStyle name="Normal 2 3 4 4 2 4 2" xfId="32631"/>
    <cellStyle name="Normal 2 3 4 4 2 4 2 2" xfId="47454"/>
    <cellStyle name="Normal 2 3 4 4 2 4 3" xfId="40209"/>
    <cellStyle name="Normal 2 3 4 4 2 5" xfId="28977"/>
    <cellStyle name="Normal 2 3 4 4 2 5 2" xfId="43814"/>
    <cellStyle name="Normal 2 3 4 4 2 6" xfId="36094"/>
    <cellStyle name="Normal 2 3 4 4 2 7" xfId="21659"/>
    <cellStyle name="Normal 2 3 4 4 3" xfId="18230"/>
    <cellStyle name="Normal 2 3 4 4 3 2" xfId="20112"/>
    <cellStyle name="Normal 2 3 4 4 3 2 2" xfId="27438"/>
    <cellStyle name="Normal 2 3 4 4 3 2 2 2" xfId="34749"/>
    <cellStyle name="Normal 2 3 4 4 3 2 2 2 2" xfId="49569"/>
    <cellStyle name="Normal 2 3 4 4 3 2 2 3" xfId="42277"/>
    <cellStyle name="Normal 2 3 4 4 3 2 3" xfId="31095"/>
    <cellStyle name="Normal 2 3 4 4 3 2 3 2" xfId="45918"/>
    <cellStyle name="Normal 2 3 4 4 3 2 4" xfId="38593"/>
    <cellStyle name="Normal 2 3 4 4 3 2 5" xfId="23780"/>
    <cellStyle name="Normal 2 3 4 4 3 3" xfId="25612"/>
    <cellStyle name="Normal 2 3 4 4 3 3 2" xfId="32923"/>
    <cellStyle name="Normal 2 3 4 4 3 3 2 2" xfId="47743"/>
    <cellStyle name="Normal 2 3 4 4 3 3 3" xfId="40480"/>
    <cellStyle name="Normal 2 3 4 4 3 4" xfId="29269"/>
    <cellStyle name="Normal 2 3 4 4 3 4 2" xfId="44093"/>
    <cellStyle name="Normal 2 3 4 4 3 5" xfId="36870"/>
    <cellStyle name="Normal 2 3 4 4 3 6" xfId="21951"/>
    <cellStyle name="Normal 2 3 4 4 4" xfId="19341"/>
    <cellStyle name="Normal 2 3 4 4 4 2" xfId="26711"/>
    <cellStyle name="Normal 2 3 4 4 4 2 2" xfId="34022"/>
    <cellStyle name="Normal 2 3 4 4 4 2 2 2" xfId="48842"/>
    <cellStyle name="Normal 2 3 4 4 4 2 3" xfId="41551"/>
    <cellStyle name="Normal 2 3 4 4 4 3" xfId="30368"/>
    <cellStyle name="Normal 2 3 4 4 4 3 2" xfId="45191"/>
    <cellStyle name="Normal 2 3 4 4 4 4" xfId="37865"/>
    <cellStyle name="Normal 2 3 4 4 4 5" xfId="23053"/>
    <cellStyle name="Normal 2 3 4 4 5" xfId="24870"/>
    <cellStyle name="Normal 2 3 4 4 5 2" xfId="32181"/>
    <cellStyle name="Normal 2 3 4 4 5 2 2" xfId="47004"/>
    <cellStyle name="Normal 2 3 4 4 5 3" xfId="39766"/>
    <cellStyle name="Normal 2 3 4 4 6" xfId="28527"/>
    <cellStyle name="Normal 2 3 4 4 6 2" xfId="43364"/>
    <cellStyle name="Normal 2 3 4 4 7" xfId="35645"/>
    <cellStyle name="Normal 2 3 4 4 8" xfId="21209"/>
    <cellStyle name="Normal 2 3 4 5" xfId="17524"/>
    <cellStyle name="Normal 2 3 4 5 2" xfId="18638"/>
    <cellStyle name="Normal 2 3 4 5 2 2" xfId="20517"/>
    <cellStyle name="Normal 2 3 4 5 2 2 2" xfId="27843"/>
    <cellStyle name="Normal 2 3 4 5 2 2 2 2" xfId="35154"/>
    <cellStyle name="Normal 2 3 4 5 2 2 2 2 2" xfId="49974"/>
    <cellStyle name="Normal 2 3 4 5 2 2 2 3" xfId="42682"/>
    <cellStyle name="Normal 2 3 4 5 2 2 3" xfId="31500"/>
    <cellStyle name="Normal 2 3 4 5 2 2 3 2" xfId="46323"/>
    <cellStyle name="Normal 2 3 4 5 2 2 4" xfId="38998"/>
    <cellStyle name="Normal 2 3 4 5 2 2 5" xfId="24185"/>
    <cellStyle name="Normal 2 3 4 5 2 3" xfId="26017"/>
    <cellStyle name="Normal 2 3 4 5 2 3 2" xfId="33328"/>
    <cellStyle name="Normal 2 3 4 5 2 3 2 2" xfId="48148"/>
    <cellStyle name="Normal 2 3 4 5 2 3 3" xfId="40861"/>
    <cellStyle name="Normal 2 3 4 5 2 4" xfId="29674"/>
    <cellStyle name="Normal 2 3 4 5 2 4 2" xfId="44498"/>
    <cellStyle name="Normal 2 3 4 5 2 5" xfId="37275"/>
    <cellStyle name="Normal 2 3 4 5 2 6" xfId="22356"/>
    <cellStyle name="Normal 2 3 4 5 3" xfId="19568"/>
    <cellStyle name="Normal 2 3 4 5 3 2" xfId="26937"/>
    <cellStyle name="Normal 2 3 4 5 3 2 2" xfId="34248"/>
    <cellStyle name="Normal 2 3 4 5 3 2 2 2" xfId="49068"/>
    <cellStyle name="Normal 2 3 4 5 3 2 3" xfId="41777"/>
    <cellStyle name="Normal 2 3 4 5 3 3" xfId="30594"/>
    <cellStyle name="Normal 2 3 4 5 3 3 2" xfId="45417"/>
    <cellStyle name="Normal 2 3 4 5 3 4" xfId="38091"/>
    <cellStyle name="Normal 2 3 4 5 3 5" xfId="23279"/>
    <cellStyle name="Normal 2 3 4 5 4" xfId="25096"/>
    <cellStyle name="Normal 2 3 4 5 4 2" xfId="32407"/>
    <cellStyle name="Normal 2 3 4 5 4 2 2" xfId="47230"/>
    <cellStyle name="Normal 2 3 4 5 4 3" xfId="39990"/>
    <cellStyle name="Normal 2 3 4 5 5" xfId="28753"/>
    <cellStyle name="Normal 2 3 4 5 5 2" xfId="43590"/>
    <cellStyle name="Normal 2 3 4 5 6" xfId="36087"/>
    <cellStyle name="Normal 2 3 4 5 7" xfId="21435"/>
    <cellStyle name="Normal 2 3 4 6" xfId="18074"/>
    <cellStyle name="Normal 2 3 4 6 2" xfId="20105"/>
    <cellStyle name="Normal 2 3 4 6 2 2" xfId="27431"/>
    <cellStyle name="Normal 2 3 4 6 2 2 2" xfId="34742"/>
    <cellStyle name="Normal 2 3 4 6 2 2 2 2" xfId="49562"/>
    <cellStyle name="Normal 2 3 4 6 2 2 3" xfId="42270"/>
    <cellStyle name="Normal 2 3 4 6 2 3" xfId="31088"/>
    <cellStyle name="Normal 2 3 4 6 2 3 2" xfId="45911"/>
    <cellStyle name="Normal 2 3 4 6 2 4" xfId="38586"/>
    <cellStyle name="Normal 2 3 4 6 2 5" xfId="23773"/>
    <cellStyle name="Normal 2 3 4 6 3" xfId="25605"/>
    <cellStyle name="Normal 2 3 4 6 3 2" xfId="32916"/>
    <cellStyle name="Normal 2 3 4 6 3 2 2" xfId="47736"/>
    <cellStyle name="Normal 2 3 4 6 3 3" xfId="40473"/>
    <cellStyle name="Normal 2 3 4 6 4" xfId="29262"/>
    <cellStyle name="Normal 2 3 4 6 4 2" xfId="44086"/>
    <cellStyle name="Normal 2 3 4 6 5" xfId="36730"/>
    <cellStyle name="Normal 2 3 4 6 6" xfId="21944"/>
    <cellStyle name="Normal 2 3 4 7" xfId="18223"/>
    <cellStyle name="Normal 2 3 4 7 2" xfId="26493"/>
    <cellStyle name="Normal 2 3 4 7 2 2" xfId="33804"/>
    <cellStyle name="Normal 2 3 4 7 2 2 2" xfId="48624"/>
    <cellStyle name="Normal 2 3 4 7 2 3" xfId="41333"/>
    <cellStyle name="Normal 2 3 4 7 3" xfId="30150"/>
    <cellStyle name="Normal 2 3 4 7 3 2" xfId="44973"/>
    <cellStyle name="Normal 2 3 4 7 4" xfId="36863"/>
    <cellStyle name="Normal 2 3 4 7 5" xfId="22835"/>
    <cellStyle name="Normal 2 3 4 8" xfId="19121"/>
    <cellStyle name="Normal 2 3 4 8 2" xfId="31957"/>
    <cellStyle name="Normal 2 3 4 8 2 2" xfId="46780"/>
    <cellStyle name="Normal 2 3 4 8 3" xfId="37647"/>
    <cellStyle name="Normal 2 3 4 8 4" xfId="24646"/>
    <cellStyle name="Normal 2 3 4 9" xfId="28303"/>
    <cellStyle name="Normal 2 3 4 9 2" xfId="43140"/>
    <cellStyle name="Normal 2 3 4 9 3" xfId="36621"/>
    <cellStyle name="Normal 2 3 5" xfId="17041"/>
    <cellStyle name="Normal 2 3 5 10" xfId="21013"/>
    <cellStyle name="Normal 2 3 5 2" xfId="17219"/>
    <cellStyle name="Normal 2 3 5 2 2" xfId="17438"/>
    <cellStyle name="Normal 2 3 5 2 2 2" xfId="17888"/>
    <cellStyle name="Normal 2 3 5 2 2 2 2" xfId="19002"/>
    <cellStyle name="Normal 2 3 5 2 2 2 2 2" xfId="20881"/>
    <cellStyle name="Normal 2 3 5 2 2 2 2 2 2" xfId="28207"/>
    <cellStyle name="Normal 2 3 5 2 2 2 2 2 2 2" xfId="35518"/>
    <cellStyle name="Normal 2 3 5 2 2 2 2 2 2 2 2" xfId="50338"/>
    <cellStyle name="Normal 2 3 5 2 2 2 2 2 2 3" xfId="43046"/>
    <cellStyle name="Normal 2 3 5 2 2 2 2 2 3" xfId="31864"/>
    <cellStyle name="Normal 2 3 5 2 2 2 2 2 3 2" xfId="46687"/>
    <cellStyle name="Normal 2 3 5 2 2 2 2 2 4" xfId="39362"/>
    <cellStyle name="Normal 2 3 5 2 2 2 2 2 5" xfId="24549"/>
    <cellStyle name="Normal 2 3 5 2 2 2 2 3" xfId="26381"/>
    <cellStyle name="Normal 2 3 5 2 2 2 2 3 2" xfId="33692"/>
    <cellStyle name="Normal 2 3 5 2 2 2 2 3 2 2" xfId="48512"/>
    <cellStyle name="Normal 2 3 5 2 2 2 2 3 3" xfId="41225"/>
    <cellStyle name="Normal 2 3 5 2 2 2 2 4" xfId="30038"/>
    <cellStyle name="Normal 2 3 5 2 2 2 2 4 2" xfId="44862"/>
    <cellStyle name="Normal 2 3 5 2 2 2 2 5" xfId="37584"/>
    <cellStyle name="Normal 2 3 5 2 2 2 2 6" xfId="22720"/>
    <cellStyle name="Normal 2 3 5 2 2 2 3" xfId="19932"/>
    <cellStyle name="Normal 2 3 5 2 2 2 3 2" xfId="27301"/>
    <cellStyle name="Normal 2 3 5 2 2 2 3 2 2" xfId="34612"/>
    <cellStyle name="Normal 2 3 5 2 2 2 3 2 2 2" xfId="49432"/>
    <cellStyle name="Normal 2 3 5 2 2 2 3 2 3" xfId="42141"/>
    <cellStyle name="Normal 2 3 5 2 2 2 3 3" xfId="30958"/>
    <cellStyle name="Normal 2 3 5 2 2 2 3 3 2" xfId="45781"/>
    <cellStyle name="Normal 2 3 5 2 2 2 3 4" xfId="38455"/>
    <cellStyle name="Normal 2 3 5 2 2 2 3 5" xfId="23643"/>
    <cellStyle name="Normal 2 3 5 2 2 2 4" xfId="25460"/>
    <cellStyle name="Normal 2 3 5 2 2 2 4 2" xfId="32771"/>
    <cellStyle name="Normal 2 3 5 2 2 2 4 2 2" xfId="47594"/>
    <cellStyle name="Normal 2 3 5 2 2 2 4 3" xfId="40348"/>
    <cellStyle name="Normal 2 3 5 2 2 2 5" xfId="29117"/>
    <cellStyle name="Normal 2 3 5 2 2 2 5 2" xfId="43954"/>
    <cellStyle name="Normal 2 3 5 2 2 2 6" xfId="36097"/>
    <cellStyle name="Normal 2 3 5 2 2 2 7" xfId="21799"/>
    <cellStyle name="Normal 2 3 5 2 2 3" xfId="18233"/>
    <cellStyle name="Normal 2 3 5 2 2 3 2" xfId="20115"/>
    <cellStyle name="Normal 2 3 5 2 2 3 2 2" xfId="27441"/>
    <cellStyle name="Normal 2 3 5 2 2 3 2 2 2" xfId="34752"/>
    <cellStyle name="Normal 2 3 5 2 2 3 2 2 2 2" xfId="49572"/>
    <cellStyle name="Normal 2 3 5 2 2 3 2 2 3" xfId="42280"/>
    <cellStyle name="Normal 2 3 5 2 2 3 2 3" xfId="31098"/>
    <cellStyle name="Normal 2 3 5 2 2 3 2 3 2" xfId="45921"/>
    <cellStyle name="Normal 2 3 5 2 2 3 2 4" xfId="38596"/>
    <cellStyle name="Normal 2 3 5 2 2 3 2 5" xfId="23783"/>
    <cellStyle name="Normal 2 3 5 2 2 3 3" xfId="25615"/>
    <cellStyle name="Normal 2 3 5 2 2 3 3 2" xfId="32926"/>
    <cellStyle name="Normal 2 3 5 2 2 3 3 2 2" xfId="47746"/>
    <cellStyle name="Normal 2 3 5 2 2 3 3 3" xfId="40483"/>
    <cellStyle name="Normal 2 3 5 2 2 3 4" xfId="29272"/>
    <cellStyle name="Normal 2 3 5 2 2 3 4 2" xfId="44096"/>
    <cellStyle name="Normal 2 3 5 2 2 3 5" xfId="36873"/>
    <cellStyle name="Normal 2 3 5 2 2 3 6" xfId="21954"/>
    <cellStyle name="Normal 2 3 5 2 2 4" xfId="19481"/>
    <cellStyle name="Normal 2 3 5 2 2 4 2" xfId="26851"/>
    <cellStyle name="Normal 2 3 5 2 2 4 2 2" xfId="34162"/>
    <cellStyle name="Normal 2 3 5 2 2 4 2 2 2" xfId="48982"/>
    <cellStyle name="Normal 2 3 5 2 2 4 2 3" xfId="41691"/>
    <cellStyle name="Normal 2 3 5 2 2 4 3" xfId="30508"/>
    <cellStyle name="Normal 2 3 5 2 2 4 3 2" xfId="45331"/>
    <cellStyle name="Normal 2 3 5 2 2 4 4" xfId="38005"/>
    <cellStyle name="Normal 2 3 5 2 2 4 5" xfId="23193"/>
    <cellStyle name="Normal 2 3 5 2 2 5" xfId="25010"/>
    <cellStyle name="Normal 2 3 5 2 2 5 2" xfId="32321"/>
    <cellStyle name="Normal 2 3 5 2 2 5 2 2" xfId="47144"/>
    <cellStyle name="Normal 2 3 5 2 2 5 3" xfId="39905"/>
    <cellStyle name="Normal 2 3 5 2 2 6" xfId="28667"/>
    <cellStyle name="Normal 2 3 5 2 2 6 2" xfId="43504"/>
    <cellStyle name="Normal 2 3 5 2 2 7" xfId="35648"/>
    <cellStyle name="Normal 2 3 5 2 2 8" xfId="21349"/>
    <cellStyle name="Normal 2 3 5 2 3" xfId="17664"/>
    <cellStyle name="Normal 2 3 5 2 3 2" xfId="18778"/>
    <cellStyle name="Normal 2 3 5 2 3 2 2" xfId="20657"/>
    <cellStyle name="Normal 2 3 5 2 3 2 2 2" xfId="27983"/>
    <cellStyle name="Normal 2 3 5 2 3 2 2 2 2" xfId="35294"/>
    <cellStyle name="Normal 2 3 5 2 3 2 2 2 2 2" xfId="50114"/>
    <cellStyle name="Normal 2 3 5 2 3 2 2 2 3" xfId="42822"/>
    <cellStyle name="Normal 2 3 5 2 3 2 2 3" xfId="31640"/>
    <cellStyle name="Normal 2 3 5 2 3 2 2 3 2" xfId="46463"/>
    <cellStyle name="Normal 2 3 5 2 3 2 2 4" xfId="39138"/>
    <cellStyle name="Normal 2 3 5 2 3 2 2 5" xfId="24325"/>
    <cellStyle name="Normal 2 3 5 2 3 2 3" xfId="26157"/>
    <cellStyle name="Normal 2 3 5 2 3 2 3 2" xfId="33468"/>
    <cellStyle name="Normal 2 3 5 2 3 2 3 2 2" xfId="48288"/>
    <cellStyle name="Normal 2 3 5 2 3 2 3 3" xfId="41001"/>
    <cellStyle name="Normal 2 3 5 2 3 2 4" xfId="29814"/>
    <cellStyle name="Normal 2 3 5 2 3 2 4 2" xfId="44638"/>
    <cellStyle name="Normal 2 3 5 2 3 2 5" xfId="37415"/>
    <cellStyle name="Normal 2 3 5 2 3 2 6" xfId="22496"/>
    <cellStyle name="Normal 2 3 5 2 3 3" xfId="19708"/>
    <cellStyle name="Normal 2 3 5 2 3 3 2" xfId="27077"/>
    <cellStyle name="Normal 2 3 5 2 3 3 2 2" xfId="34388"/>
    <cellStyle name="Normal 2 3 5 2 3 3 2 2 2" xfId="49208"/>
    <cellStyle name="Normal 2 3 5 2 3 3 2 3" xfId="41917"/>
    <cellStyle name="Normal 2 3 5 2 3 3 3" xfId="30734"/>
    <cellStyle name="Normal 2 3 5 2 3 3 3 2" xfId="45557"/>
    <cellStyle name="Normal 2 3 5 2 3 3 4" xfId="38231"/>
    <cellStyle name="Normal 2 3 5 2 3 3 5" xfId="23419"/>
    <cellStyle name="Normal 2 3 5 2 3 4" xfId="25236"/>
    <cellStyle name="Normal 2 3 5 2 3 4 2" xfId="32547"/>
    <cellStyle name="Normal 2 3 5 2 3 4 2 2" xfId="47370"/>
    <cellStyle name="Normal 2 3 5 2 3 4 3" xfId="40128"/>
    <cellStyle name="Normal 2 3 5 2 3 5" xfId="28893"/>
    <cellStyle name="Normal 2 3 5 2 3 5 2" xfId="43730"/>
    <cellStyle name="Normal 2 3 5 2 3 6" xfId="36096"/>
    <cellStyle name="Normal 2 3 5 2 3 7" xfId="21575"/>
    <cellStyle name="Normal 2 3 5 2 4" xfId="18088"/>
    <cellStyle name="Normal 2 3 5 2 4 2" xfId="20114"/>
    <cellStyle name="Normal 2 3 5 2 4 2 2" xfId="27440"/>
    <cellStyle name="Normal 2 3 5 2 4 2 2 2" xfId="34751"/>
    <cellStyle name="Normal 2 3 5 2 4 2 2 2 2" xfId="49571"/>
    <cellStyle name="Normal 2 3 5 2 4 2 2 3" xfId="42279"/>
    <cellStyle name="Normal 2 3 5 2 4 2 3" xfId="31097"/>
    <cellStyle name="Normal 2 3 5 2 4 2 3 2" xfId="45920"/>
    <cellStyle name="Normal 2 3 5 2 4 2 4" xfId="38595"/>
    <cellStyle name="Normal 2 3 5 2 4 2 5" xfId="23782"/>
    <cellStyle name="Normal 2 3 5 2 4 3" xfId="25614"/>
    <cellStyle name="Normal 2 3 5 2 4 3 2" xfId="32925"/>
    <cellStyle name="Normal 2 3 5 2 4 3 2 2" xfId="47745"/>
    <cellStyle name="Normal 2 3 5 2 4 3 3" xfId="40482"/>
    <cellStyle name="Normal 2 3 5 2 4 4" xfId="29271"/>
    <cellStyle name="Normal 2 3 5 2 4 4 2" xfId="44095"/>
    <cellStyle name="Normal 2 3 5 2 4 5" xfId="36744"/>
    <cellStyle name="Normal 2 3 5 2 4 6" xfId="21953"/>
    <cellStyle name="Normal 2 3 5 2 5" xfId="18232"/>
    <cellStyle name="Normal 2 3 5 2 5 2" xfId="26628"/>
    <cellStyle name="Normal 2 3 5 2 5 2 2" xfId="33939"/>
    <cellStyle name="Normal 2 3 5 2 5 2 2 2" xfId="48759"/>
    <cellStyle name="Normal 2 3 5 2 5 2 3" xfId="41468"/>
    <cellStyle name="Normal 2 3 5 2 5 3" xfId="30285"/>
    <cellStyle name="Normal 2 3 5 2 5 3 2" xfId="45108"/>
    <cellStyle name="Normal 2 3 5 2 5 4" xfId="36872"/>
    <cellStyle name="Normal 2 3 5 2 5 5" xfId="22970"/>
    <cellStyle name="Normal 2 3 5 2 6" xfId="19258"/>
    <cellStyle name="Normal 2 3 5 2 6 2" xfId="32097"/>
    <cellStyle name="Normal 2 3 5 2 6 2 2" xfId="46920"/>
    <cellStyle name="Normal 2 3 5 2 6 3" xfId="37782"/>
    <cellStyle name="Normal 2 3 5 2 6 4" xfId="24786"/>
    <cellStyle name="Normal 2 3 5 2 7" xfId="28443"/>
    <cellStyle name="Normal 2 3 5 2 7 2" xfId="43280"/>
    <cellStyle name="Normal 2 3 5 2 7 3" xfId="36643"/>
    <cellStyle name="Normal 2 3 5 2 8" xfId="35647"/>
    <cellStyle name="Normal 2 3 5 2 9" xfId="21125"/>
    <cellStyle name="Normal 2 3 5 3" xfId="17323"/>
    <cellStyle name="Normal 2 3 5 3 2" xfId="17776"/>
    <cellStyle name="Normal 2 3 5 3 2 2" xfId="18890"/>
    <cellStyle name="Normal 2 3 5 3 2 2 2" xfId="20769"/>
    <cellStyle name="Normal 2 3 5 3 2 2 2 2" xfId="28095"/>
    <cellStyle name="Normal 2 3 5 3 2 2 2 2 2" xfId="35406"/>
    <cellStyle name="Normal 2 3 5 3 2 2 2 2 2 2" xfId="50226"/>
    <cellStyle name="Normal 2 3 5 3 2 2 2 2 3" xfId="42934"/>
    <cellStyle name="Normal 2 3 5 3 2 2 2 3" xfId="31752"/>
    <cellStyle name="Normal 2 3 5 3 2 2 2 3 2" xfId="46575"/>
    <cellStyle name="Normal 2 3 5 3 2 2 2 4" xfId="39250"/>
    <cellStyle name="Normal 2 3 5 3 2 2 2 5" xfId="24437"/>
    <cellStyle name="Normal 2 3 5 3 2 2 3" xfId="26269"/>
    <cellStyle name="Normal 2 3 5 3 2 2 3 2" xfId="33580"/>
    <cellStyle name="Normal 2 3 5 3 2 2 3 2 2" xfId="48400"/>
    <cellStyle name="Normal 2 3 5 3 2 2 3 3" xfId="41113"/>
    <cellStyle name="Normal 2 3 5 3 2 2 4" xfId="29926"/>
    <cellStyle name="Normal 2 3 5 3 2 2 4 2" xfId="44750"/>
    <cellStyle name="Normal 2 3 5 3 2 2 5" xfId="37526"/>
    <cellStyle name="Normal 2 3 5 3 2 2 6" xfId="22608"/>
    <cellStyle name="Normal 2 3 5 3 2 3" xfId="19820"/>
    <cellStyle name="Normal 2 3 5 3 2 3 2" xfId="27189"/>
    <cellStyle name="Normal 2 3 5 3 2 3 2 2" xfId="34500"/>
    <cellStyle name="Normal 2 3 5 3 2 3 2 2 2" xfId="49320"/>
    <cellStyle name="Normal 2 3 5 3 2 3 2 3" xfId="42029"/>
    <cellStyle name="Normal 2 3 5 3 2 3 3" xfId="30846"/>
    <cellStyle name="Normal 2 3 5 3 2 3 3 2" xfId="45669"/>
    <cellStyle name="Normal 2 3 5 3 2 3 4" xfId="38343"/>
    <cellStyle name="Normal 2 3 5 3 2 3 5" xfId="23531"/>
    <cellStyle name="Normal 2 3 5 3 2 4" xfId="25348"/>
    <cellStyle name="Normal 2 3 5 3 2 4 2" xfId="32659"/>
    <cellStyle name="Normal 2 3 5 3 2 4 2 2" xfId="47482"/>
    <cellStyle name="Normal 2 3 5 3 2 4 3" xfId="40236"/>
    <cellStyle name="Normal 2 3 5 3 2 5" xfId="29005"/>
    <cellStyle name="Normal 2 3 5 3 2 5 2" xfId="43842"/>
    <cellStyle name="Normal 2 3 5 3 2 6" xfId="36098"/>
    <cellStyle name="Normal 2 3 5 3 2 7" xfId="21687"/>
    <cellStyle name="Normal 2 3 5 3 3" xfId="18234"/>
    <cellStyle name="Normal 2 3 5 3 3 2" xfId="20116"/>
    <cellStyle name="Normal 2 3 5 3 3 2 2" xfId="27442"/>
    <cellStyle name="Normal 2 3 5 3 3 2 2 2" xfId="34753"/>
    <cellStyle name="Normal 2 3 5 3 3 2 2 2 2" xfId="49573"/>
    <cellStyle name="Normal 2 3 5 3 3 2 2 3" xfId="42281"/>
    <cellStyle name="Normal 2 3 5 3 3 2 3" xfId="31099"/>
    <cellStyle name="Normal 2 3 5 3 3 2 3 2" xfId="45922"/>
    <cellStyle name="Normal 2 3 5 3 3 2 4" xfId="38597"/>
    <cellStyle name="Normal 2 3 5 3 3 2 5" xfId="23784"/>
    <cellStyle name="Normal 2 3 5 3 3 3" xfId="25616"/>
    <cellStyle name="Normal 2 3 5 3 3 3 2" xfId="32927"/>
    <cellStyle name="Normal 2 3 5 3 3 3 2 2" xfId="47747"/>
    <cellStyle name="Normal 2 3 5 3 3 3 3" xfId="40484"/>
    <cellStyle name="Normal 2 3 5 3 3 4" xfId="29273"/>
    <cellStyle name="Normal 2 3 5 3 3 4 2" xfId="44097"/>
    <cellStyle name="Normal 2 3 5 3 3 5" xfId="36874"/>
    <cellStyle name="Normal 2 3 5 3 3 6" xfId="21955"/>
    <cellStyle name="Normal 2 3 5 3 4" xfId="19369"/>
    <cellStyle name="Normal 2 3 5 3 4 2" xfId="26739"/>
    <cellStyle name="Normal 2 3 5 3 4 2 2" xfId="34050"/>
    <cellStyle name="Normal 2 3 5 3 4 2 2 2" xfId="48870"/>
    <cellStyle name="Normal 2 3 5 3 4 2 3" xfId="41579"/>
    <cellStyle name="Normal 2 3 5 3 4 3" xfId="30396"/>
    <cellStyle name="Normal 2 3 5 3 4 3 2" xfId="45219"/>
    <cellStyle name="Normal 2 3 5 3 4 4" xfId="37893"/>
    <cellStyle name="Normal 2 3 5 3 4 5" xfId="23081"/>
    <cellStyle name="Normal 2 3 5 3 5" xfId="24898"/>
    <cellStyle name="Normal 2 3 5 3 5 2" xfId="32209"/>
    <cellStyle name="Normal 2 3 5 3 5 2 2" xfId="47032"/>
    <cellStyle name="Normal 2 3 5 3 5 3" xfId="39793"/>
    <cellStyle name="Normal 2 3 5 3 6" xfId="28555"/>
    <cellStyle name="Normal 2 3 5 3 6 2" xfId="43392"/>
    <cellStyle name="Normal 2 3 5 3 7" xfId="35649"/>
    <cellStyle name="Normal 2 3 5 3 8" xfId="21237"/>
    <cellStyle name="Normal 2 3 5 4" xfId="17552"/>
    <cellStyle name="Normal 2 3 5 4 2" xfId="18666"/>
    <cellStyle name="Normal 2 3 5 4 2 2" xfId="20545"/>
    <cellStyle name="Normal 2 3 5 4 2 2 2" xfId="27871"/>
    <cellStyle name="Normal 2 3 5 4 2 2 2 2" xfId="35182"/>
    <cellStyle name="Normal 2 3 5 4 2 2 2 2 2" xfId="50002"/>
    <cellStyle name="Normal 2 3 5 4 2 2 2 3" xfId="42710"/>
    <cellStyle name="Normal 2 3 5 4 2 2 3" xfId="31528"/>
    <cellStyle name="Normal 2 3 5 4 2 2 3 2" xfId="46351"/>
    <cellStyle name="Normal 2 3 5 4 2 2 4" xfId="39026"/>
    <cellStyle name="Normal 2 3 5 4 2 2 5" xfId="24213"/>
    <cellStyle name="Normal 2 3 5 4 2 3" xfId="26045"/>
    <cellStyle name="Normal 2 3 5 4 2 3 2" xfId="33356"/>
    <cellStyle name="Normal 2 3 5 4 2 3 2 2" xfId="48176"/>
    <cellStyle name="Normal 2 3 5 4 2 3 3" xfId="40889"/>
    <cellStyle name="Normal 2 3 5 4 2 4" xfId="29702"/>
    <cellStyle name="Normal 2 3 5 4 2 4 2" xfId="44526"/>
    <cellStyle name="Normal 2 3 5 4 2 5" xfId="37303"/>
    <cellStyle name="Normal 2 3 5 4 2 6" xfId="22384"/>
    <cellStyle name="Normal 2 3 5 4 3" xfId="19596"/>
    <cellStyle name="Normal 2 3 5 4 3 2" xfId="26965"/>
    <cellStyle name="Normal 2 3 5 4 3 2 2" xfId="34276"/>
    <cellStyle name="Normal 2 3 5 4 3 2 2 2" xfId="49096"/>
    <cellStyle name="Normal 2 3 5 4 3 2 3" xfId="41805"/>
    <cellStyle name="Normal 2 3 5 4 3 3" xfId="30622"/>
    <cellStyle name="Normal 2 3 5 4 3 3 2" xfId="45445"/>
    <cellStyle name="Normal 2 3 5 4 3 4" xfId="38119"/>
    <cellStyle name="Normal 2 3 5 4 3 5" xfId="23307"/>
    <cellStyle name="Normal 2 3 5 4 4" xfId="25124"/>
    <cellStyle name="Normal 2 3 5 4 4 2" xfId="32435"/>
    <cellStyle name="Normal 2 3 5 4 4 2 2" xfId="47258"/>
    <cellStyle name="Normal 2 3 5 4 4 3" xfId="40018"/>
    <cellStyle name="Normal 2 3 5 4 5" xfId="28781"/>
    <cellStyle name="Normal 2 3 5 4 5 2" xfId="43618"/>
    <cellStyle name="Normal 2 3 5 4 6" xfId="36095"/>
    <cellStyle name="Normal 2 3 5 4 7" xfId="21463"/>
    <cellStyle name="Normal 2 3 5 5" xfId="18231"/>
    <cellStyle name="Normal 2 3 5 5 2" xfId="20113"/>
    <cellStyle name="Normal 2 3 5 5 2 2" xfId="27439"/>
    <cellStyle name="Normal 2 3 5 5 2 2 2" xfId="34750"/>
    <cellStyle name="Normal 2 3 5 5 2 2 2 2" xfId="49570"/>
    <cellStyle name="Normal 2 3 5 5 2 2 3" xfId="42278"/>
    <cellStyle name="Normal 2 3 5 5 2 3" xfId="31096"/>
    <cellStyle name="Normal 2 3 5 5 2 3 2" xfId="45919"/>
    <cellStyle name="Normal 2 3 5 5 2 4" xfId="38594"/>
    <cellStyle name="Normal 2 3 5 5 2 5" xfId="23781"/>
    <cellStyle name="Normal 2 3 5 5 3" xfId="25613"/>
    <cellStyle name="Normal 2 3 5 5 3 2" xfId="32924"/>
    <cellStyle name="Normal 2 3 5 5 3 2 2" xfId="47744"/>
    <cellStyle name="Normal 2 3 5 5 3 3" xfId="40481"/>
    <cellStyle name="Normal 2 3 5 5 4" xfId="29270"/>
    <cellStyle name="Normal 2 3 5 5 4 2" xfId="44094"/>
    <cellStyle name="Normal 2 3 5 5 5" xfId="36871"/>
    <cellStyle name="Normal 2 3 5 5 6" xfId="21952"/>
    <cellStyle name="Normal 2 3 5 6" xfId="19149"/>
    <cellStyle name="Normal 2 3 5 6 2" xfId="26520"/>
    <cellStyle name="Normal 2 3 5 6 2 2" xfId="33831"/>
    <cellStyle name="Normal 2 3 5 6 2 2 2" xfId="48651"/>
    <cellStyle name="Normal 2 3 5 6 2 3" xfId="41360"/>
    <cellStyle name="Normal 2 3 5 6 3" xfId="30177"/>
    <cellStyle name="Normal 2 3 5 6 3 2" xfId="45000"/>
    <cellStyle name="Normal 2 3 5 6 4" xfId="37674"/>
    <cellStyle name="Normal 2 3 5 6 5" xfId="22862"/>
    <cellStyle name="Normal 2 3 5 7" xfId="24674"/>
    <cellStyle name="Normal 2 3 5 7 2" xfId="31985"/>
    <cellStyle name="Normal 2 3 5 7 2 2" xfId="46808"/>
    <cellStyle name="Normal 2 3 5 7 3" xfId="39593"/>
    <cellStyle name="Normal 2 3 5 8" xfId="28331"/>
    <cellStyle name="Normal 2 3 5 8 2" xfId="43168"/>
    <cellStyle name="Normal 2 3 5 9" xfId="35646"/>
    <cellStyle name="Normal 2 3 6" xfId="17159"/>
    <cellStyle name="Normal 2 3 6 2" xfId="17382"/>
    <cellStyle name="Normal 2 3 6 2 2" xfId="17832"/>
    <cellStyle name="Normal 2 3 6 2 2 2" xfId="18946"/>
    <cellStyle name="Normal 2 3 6 2 2 2 2" xfId="20825"/>
    <cellStyle name="Normal 2 3 6 2 2 2 2 2" xfId="28151"/>
    <cellStyle name="Normal 2 3 6 2 2 2 2 2 2" xfId="35462"/>
    <cellStyle name="Normal 2 3 6 2 2 2 2 2 2 2" xfId="50282"/>
    <cellStyle name="Normal 2 3 6 2 2 2 2 2 3" xfId="42990"/>
    <cellStyle name="Normal 2 3 6 2 2 2 2 3" xfId="31808"/>
    <cellStyle name="Normal 2 3 6 2 2 2 2 3 2" xfId="46631"/>
    <cellStyle name="Normal 2 3 6 2 2 2 2 4" xfId="39306"/>
    <cellStyle name="Normal 2 3 6 2 2 2 2 5" xfId="24493"/>
    <cellStyle name="Normal 2 3 6 2 2 2 3" xfId="26325"/>
    <cellStyle name="Normal 2 3 6 2 2 2 3 2" xfId="33636"/>
    <cellStyle name="Normal 2 3 6 2 2 2 3 2 2" xfId="48456"/>
    <cellStyle name="Normal 2 3 6 2 2 2 3 3" xfId="41169"/>
    <cellStyle name="Normal 2 3 6 2 2 2 4" xfId="29982"/>
    <cellStyle name="Normal 2 3 6 2 2 2 4 2" xfId="44806"/>
    <cellStyle name="Normal 2 3 6 2 2 2 5" xfId="37562"/>
    <cellStyle name="Normal 2 3 6 2 2 2 6" xfId="22664"/>
    <cellStyle name="Normal 2 3 6 2 2 3" xfId="19876"/>
    <cellStyle name="Normal 2 3 6 2 2 3 2" xfId="27245"/>
    <cellStyle name="Normal 2 3 6 2 2 3 2 2" xfId="34556"/>
    <cellStyle name="Normal 2 3 6 2 2 3 2 2 2" xfId="49376"/>
    <cellStyle name="Normal 2 3 6 2 2 3 2 3" xfId="42085"/>
    <cellStyle name="Normal 2 3 6 2 2 3 3" xfId="30902"/>
    <cellStyle name="Normal 2 3 6 2 2 3 3 2" xfId="45725"/>
    <cellStyle name="Normal 2 3 6 2 2 3 4" xfId="38399"/>
    <cellStyle name="Normal 2 3 6 2 2 3 5" xfId="23587"/>
    <cellStyle name="Normal 2 3 6 2 2 4" xfId="25404"/>
    <cellStyle name="Normal 2 3 6 2 2 4 2" xfId="32715"/>
    <cellStyle name="Normal 2 3 6 2 2 4 2 2" xfId="47538"/>
    <cellStyle name="Normal 2 3 6 2 2 4 3" xfId="40292"/>
    <cellStyle name="Normal 2 3 6 2 2 5" xfId="29061"/>
    <cellStyle name="Normal 2 3 6 2 2 5 2" xfId="43898"/>
    <cellStyle name="Normal 2 3 6 2 2 6" xfId="36100"/>
    <cellStyle name="Normal 2 3 6 2 2 7" xfId="21743"/>
    <cellStyle name="Normal 2 3 6 2 3" xfId="18236"/>
    <cellStyle name="Normal 2 3 6 2 3 2" xfId="20118"/>
    <cellStyle name="Normal 2 3 6 2 3 2 2" xfId="27444"/>
    <cellStyle name="Normal 2 3 6 2 3 2 2 2" xfId="34755"/>
    <cellStyle name="Normal 2 3 6 2 3 2 2 2 2" xfId="49575"/>
    <cellStyle name="Normal 2 3 6 2 3 2 2 3" xfId="42283"/>
    <cellStyle name="Normal 2 3 6 2 3 2 3" xfId="31101"/>
    <cellStyle name="Normal 2 3 6 2 3 2 3 2" xfId="45924"/>
    <cellStyle name="Normal 2 3 6 2 3 2 4" xfId="38599"/>
    <cellStyle name="Normal 2 3 6 2 3 2 5" xfId="23786"/>
    <cellStyle name="Normal 2 3 6 2 3 3" xfId="25618"/>
    <cellStyle name="Normal 2 3 6 2 3 3 2" xfId="32929"/>
    <cellStyle name="Normal 2 3 6 2 3 3 2 2" xfId="47749"/>
    <cellStyle name="Normal 2 3 6 2 3 3 3" xfId="40486"/>
    <cellStyle name="Normal 2 3 6 2 3 4" xfId="29275"/>
    <cellStyle name="Normal 2 3 6 2 3 4 2" xfId="44099"/>
    <cellStyle name="Normal 2 3 6 2 3 5" xfId="36876"/>
    <cellStyle name="Normal 2 3 6 2 3 6" xfId="21957"/>
    <cellStyle name="Normal 2 3 6 2 4" xfId="19425"/>
    <cellStyle name="Normal 2 3 6 2 4 2" xfId="26795"/>
    <cellStyle name="Normal 2 3 6 2 4 2 2" xfId="34106"/>
    <cellStyle name="Normal 2 3 6 2 4 2 2 2" xfId="48926"/>
    <cellStyle name="Normal 2 3 6 2 4 2 3" xfId="41635"/>
    <cellStyle name="Normal 2 3 6 2 4 3" xfId="30452"/>
    <cellStyle name="Normal 2 3 6 2 4 3 2" xfId="45275"/>
    <cellStyle name="Normal 2 3 6 2 4 4" xfId="37949"/>
    <cellStyle name="Normal 2 3 6 2 4 5" xfId="23137"/>
    <cellStyle name="Normal 2 3 6 2 5" xfId="24954"/>
    <cellStyle name="Normal 2 3 6 2 5 2" xfId="32265"/>
    <cellStyle name="Normal 2 3 6 2 5 2 2" xfId="47088"/>
    <cellStyle name="Normal 2 3 6 2 5 3" xfId="39849"/>
    <cellStyle name="Normal 2 3 6 2 6" xfId="28611"/>
    <cellStyle name="Normal 2 3 6 2 6 2" xfId="43448"/>
    <cellStyle name="Normal 2 3 6 2 7" xfId="35651"/>
    <cellStyle name="Normal 2 3 6 2 8" xfId="21293"/>
    <cellStyle name="Normal 2 3 6 3" xfId="17608"/>
    <cellStyle name="Normal 2 3 6 3 2" xfId="18722"/>
    <cellStyle name="Normal 2 3 6 3 2 2" xfId="20601"/>
    <cellStyle name="Normal 2 3 6 3 2 2 2" xfId="27927"/>
    <cellStyle name="Normal 2 3 6 3 2 2 2 2" xfId="35238"/>
    <cellStyle name="Normal 2 3 6 3 2 2 2 2 2" xfId="50058"/>
    <cellStyle name="Normal 2 3 6 3 2 2 2 3" xfId="42766"/>
    <cellStyle name="Normal 2 3 6 3 2 2 3" xfId="31584"/>
    <cellStyle name="Normal 2 3 6 3 2 2 3 2" xfId="46407"/>
    <cellStyle name="Normal 2 3 6 3 2 2 4" xfId="39082"/>
    <cellStyle name="Normal 2 3 6 3 2 2 5" xfId="24269"/>
    <cellStyle name="Normal 2 3 6 3 2 3" xfId="26101"/>
    <cellStyle name="Normal 2 3 6 3 2 3 2" xfId="33412"/>
    <cellStyle name="Normal 2 3 6 3 2 3 2 2" xfId="48232"/>
    <cellStyle name="Normal 2 3 6 3 2 3 3" xfId="40945"/>
    <cellStyle name="Normal 2 3 6 3 2 4" xfId="29758"/>
    <cellStyle name="Normal 2 3 6 3 2 4 2" xfId="44582"/>
    <cellStyle name="Normal 2 3 6 3 2 5" xfId="37359"/>
    <cellStyle name="Normal 2 3 6 3 2 6" xfId="22440"/>
    <cellStyle name="Normal 2 3 6 3 3" xfId="19652"/>
    <cellStyle name="Normal 2 3 6 3 3 2" xfId="27021"/>
    <cellStyle name="Normal 2 3 6 3 3 2 2" xfId="34332"/>
    <cellStyle name="Normal 2 3 6 3 3 2 2 2" xfId="49152"/>
    <cellStyle name="Normal 2 3 6 3 3 2 3" xfId="41861"/>
    <cellStyle name="Normal 2 3 6 3 3 3" xfId="30678"/>
    <cellStyle name="Normal 2 3 6 3 3 3 2" xfId="45501"/>
    <cellStyle name="Normal 2 3 6 3 3 4" xfId="38175"/>
    <cellStyle name="Normal 2 3 6 3 3 5" xfId="23363"/>
    <cellStyle name="Normal 2 3 6 3 4" xfId="25180"/>
    <cellStyle name="Normal 2 3 6 3 4 2" xfId="32491"/>
    <cellStyle name="Normal 2 3 6 3 4 2 2" xfId="47314"/>
    <cellStyle name="Normal 2 3 6 3 4 3" xfId="40072"/>
    <cellStyle name="Normal 2 3 6 3 5" xfId="28837"/>
    <cellStyle name="Normal 2 3 6 3 5 2" xfId="43674"/>
    <cellStyle name="Normal 2 3 6 3 6" xfId="36099"/>
    <cellStyle name="Normal 2 3 6 3 7" xfId="21519"/>
    <cellStyle name="Normal 2 3 6 4" xfId="18235"/>
    <cellStyle name="Normal 2 3 6 4 2" xfId="20117"/>
    <cellStyle name="Normal 2 3 6 4 2 2" xfId="27443"/>
    <cellStyle name="Normal 2 3 6 4 2 2 2" xfId="34754"/>
    <cellStyle name="Normal 2 3 6 4 2 2 2 2" xfId="49574"/>
    <cellStyle name="Normal 2 3 6 4 2 2 3" xfId="42282"/>
    <cellStyle name="Normal 2 3 6 4 2 3" xfId="31100"/>
    <cellStyle name="Normal 2 3 6 4 2 3 2" xfId="45923"/>
    <cellStyle name="Normal 2 3 6 4 2 4" xfId="38598"/>
    <cellStyle name="Normal 2 3 6 4 2 5" xfId="23785"/>
    <cellStyle name="Normal 2 3 6 4 3" xfId="25617"/>
    <cellStyle name="Normal 2 3 6 4 3 2" xfId="32928"/>
    <cellStyle name="Normal 2 3 6 4 3 2 2" xfId="47748"/>
    <cellStyle name="Normal 2 3 6 4 3 3" xfId="40485"/>
    <cellStyle name="Normal 2 3 6 4 4" xfId="29274"/>
    <cellStyle name="Normal 2 3 6 4 4 2" xfId="44098"/>
    <cellStyle name="Normal 2 3 6 4 5" xfId="36875"/>
    <cellStyle name="Normal 2 3 6 4 6" xfId="21956"/>
    <cellStyle name="Normal 2 3 6 5" xfId="19203"/>
    <cellStyle name="Normal 2 3 6 5 2" xfId="26573"/>
    <cellStyle name="Normal 2 3 6 5 2 2" xfId="33884"/>
    <cellStyle name="Normal 2 3 6 5 2 2 2" xfId="48704"/>
    <cellStyle name="Normal 2 3 6 5 2 3" xfId="41413"/>
    <cellStyle name="Normal 2 3 6 5 3" xfId="30230"/>
    <cellStyle name="Normal 2 3 6 5 3 2" xfId="45053"/>
    <cellStyle name="Normal 2 3 6 5 4" xfId="37727"/>
    <cellStyle name="Normal 2 3 6 5 5" xfId="22915"/>
    <cellStyle name="Normal 2 3 6 6" xfId="24730"/>
    <cellStyle name="Normal 2 3 6 6 2" xfId="32041"/>
    <cellStyle name="Normal 2 3 6 6 2 2" xfId="46864"/>
    <cellStyle name="Normal 2 3 6 6 3" xfId="39634"/>
    <cellStyle name="Normal 2 3 6 7" xfId="28387"/>
    <cellStyle name="Normal 2 3 6 7 2" xfId="43224"/>
    <cellStyle name="Normal 2 3 6 8" xfId="35650"/>
    <cellStyle name="Normal 2 3 6 9" xfId="21069"/>
    <cellStyle name="Normal 2 3 7" xfId="17720"/>
    <cellStyle name="Normal 2 3 7 2" xfId="18834"/>
    <cellStyle name="Normal 2 3 7 2 2" xfId="20713"/>
    <cellStyle name="Normal 2 3 7 2 2 2" xfId="24381"/>
    <cellStyle name="Normal 2 3 7 2 2 2 2" xfId="28039"/>
    <cellStyle name="Normal 2 3 7 2 2 2 2 2" xfId="35350"/>
    <cellStyle name="Normal 2 3 7 2 2 2 2 2 2" xfId="50170"/>
    <cellStyle name="Normal 2 3 7 2 2 2 2 3" xfId="42878"/>
    <cellStyle name="Normal 2 3 7 2 2 2 3" xfId="31696"/>
    <cellStyle name="Normal 2 3 7 2 2 2 3 2" xfId="46519"/>
    <cellStyle name="Normal 2 3 7 2 2 2 4" xfId="39429"/>
    <cellStyle name="Normal 2 3 7 2 2 3" xfId="26213"/>
    <cellStyle name="Normal 2 3 7 2 2 3 2" xfId="33524"/>
    <cellStyle name="Normal 2 3 7 2 2 3 2 2" xfId="48344"/>
    <cellStyle name="Normal 2 3 7 2 2 3 3" xfId="41057"/>
    <cellStyle name="Normal 2 3 7 2 2 4" xfId="29870"/>
    <cellStyle name="Normal 2 3 7 2 2 4 2" xfId="44694"/>
    <cellStyle name="Normal 2 3 7 2 2 5" xfId="39194"/>
    <cellStyle name="Normal 2 3 7 2 2 6" xfId="22552"/>
    <cellStyle name="Normal 2 3 7 2 3" xfId="19764"/>
    <cellStyle name="Normal 2 3 7 2 3 2" xfId="27133"/>
    <cellStyle name="Normal 2 3 7 2 3 2 2" xfId="34444"/>
    <cellStyle name="Normal 2 3 7 2 3 2 2 2" xfId="49264"/>
    <cellStyle name="Normal 2 3 7 2 3 2 3" xfId="41973"/>
    <cellStyle name="Normal 2 3 7 2 3 3" xfId="30790"/>
    <cellStyle name="Normal 2 3 7 2 3 3 2" xfId="45613"/>
    <cellStyle name="Normal 2 3 7 2 3 4" xfId="38287"/>
    <cellStyle name="Normal 2 3 7 2 3 5" xfId="23475"/>
    <cellStyle name="Normal 2 3 7 2 4" xfId="25292"/>
    <cellStyle name="Normal 2 3 7 2 4 2" xfId="32603"/>
    <cellStyle name="Normal 2 3 7 2 4 2 2" xfId="47426"/>
    <cellStyle name="Normal 2 3 7 2 4 3" xfId="40184"/>
    <cellStyle name="Normal 2 3 7 2 5" xfId="28949"/>
    <cellStyle name="Normal 2 3 7 2 5 2" xfId="43786"/>
    <cellStyle name="Normal 2 3 7 2 6" xfId="36101"/>
    <cellStyle name="Normal 2 3 7 2 7" xfId="21631"/>
    <cellStyle name="Normal 2 3 7 3" xfId="18237"/>
    <cellStyle name="Normal 2 3 7 3 2" xfId="20119"/>
    <cellStyle name="Normal 2 3 7 3 2 2" xfId="27445"/>
    <cellStyle name="Normal 2 3 7 3 2 2 2" xfId="34756"/>
    <cellStyle name="Normal 2 3 7 3 2 2 2 2" xfId="49576"/>
    <cellStyle name="Normal 2 3 7 3 2 2 3" xfId="42284"/>
    <cellStyle name="Normal 2 3 7 3 2 3" xfId="31102"/>
    <cellStyle name="Normal 2 3 7 3 2 3 2" xfId="45925"/>
    <cellStyle name="Normal 2 3 7 3 2 4" xfId="38600"/>
    <cellStyle name="Normal 2 3 7 3 2 5" xfId="23787"/>
    <cellStyle name="Normal 2 3 7 3 3" xfId="25619"/>
    <cellStyle name="Normal 2 3 7 3 3 2" xfId="32930"/>
    <cellStyle name="Normal 2 3 7 3 3 2 2" xfId="47750"/>
    <cellStyle name="Normal 2 3 7 3 3 3" xfId="40487"/>
    <cellStyle name="Normal 2 3 7 3 4" xfId="29276"/>
    <cellStyle name="Normal 2 3 7 3 4 2" xfId="44100"/>
    <cellStyle name="Normal 2 3 7 3 5" xfId="36877"/>
    <cellStyle name="Normal 2 3 7 3 6" xfId="21958"/>
    <cellStyle name="Normal 2 3 7 4" xfId="19313"/>
    <cellStyle name="Normal 2 3 7 4 2" xfId="26683"/>
    <cellStyle name="Normal 2 3 7 4 2 2" xfId="33994"/>
    <cellStyle name="Normal 2 3 7 4 2 2 2" xfId="48814"/>
    <cellStyle name="Normal 2 3 7 4 2 3" xfId="41523"/>
    <cellStyle name="Normal 2 3 7 4 3" xfId="30340"/>
    <cellStyle name="Normal 2 3 7 4 3 2" xfId="45163"/>
    <cellStyle name="Normal 2 3 7 4 4" xfId="37837"/>
    <cellStyle name="Normal 2 3 7 4 5" xfId="23025"/>
    <cellStyle name="Normal 2 3 7 5" xfId="24842"/>
    <cellStyle name="Normal 2 3 7 5 2" xfId="32153"/>
    <cellStyle name="Normal 2 3 7 5 2 2" xfId="46976"/>
    <cellStyle name="Normal 2 3 7 5 3" xfId="39741"/>
    <cellStyle name="Normal 2 3 7 6" xfId="28499"/>
    <cellStyle name="Normal 2 3 7 6 2" xfId="43336"/>
    <cellStyle name="Normal 2 3 7 7" xfId="35652"/>
    <cellStyle name="Normal 2 3 7 8" xfId="21181"/>
    <cellStyle name="Normal 2 3 8" xfId="17496"/>
    <cellStyle name="Normal 2 3 8 2" xfId="18611"/>
    <cellStyle name="Normal 2 3 8 2 2" xfId="20490"/>
    <cellStyle name="Normal 2 3 8 2 2 2" xfId="27816"/>
    <cellStyle name="Normal 2 3 8 2 2 2 2" xfId="35127"/>
    <cellStyle name="Normal 2 3 8 2 2 2 2 2" xfId="49947"/>
    <cellStyle name="Normal 2 3 8 2 2 2 3" xfId="42655"/>
    <cellStyle name="Normal 2 3 8 2 2 3" xfId="31473"/>
    <cellStyle name="Normal 2 3 8 2 2 3 2" xfId="46296"/>
    <cellStyle name="Normal 2 3 8 2 2 4" xfId="38971"/>
    <cellStyle name="Normal 2 3 8 2 2 5" xfId="24158"/>
    <cellStyle name="Normal 2 3 8 2 3" xfId="25990"/>
    <cellStyle name="Normal 2 3 8 2 3 2" xfId="33301"/>
    <cellStyle name="Normal 2 3 8 2 3 2 2" xfId="48121"/>
    <cellStyle name="Normal 2 3 8 2 3 3" xfId="40834"/>
    <cellStyle name="Normal 2 3 8 2 4" xfId="29647"/>
    <cellStyle name="Normal 2 3 8 2 4 2" xfId="44471"/>
    <cellStyle name="Normal 2 3 8 2 5" xfId="37248"/>
    <cellStyle name="Normal 2 3 8 2 6" xfId="22329"/>
    <cellStyle name="Normal 2 3 8 3" xfId="19541"/>
    <cellStyle name="Normal 2 3 8 3 2" xfId="26910"/>
    <cellStyle name="Normal 2 3 8 3 2 2" xfId="34221"/>
    <cellStyle name="Normal 2 3 8 3 2 2 2" xfId="49041"/>
    <cellStyle name="Normal 2 3 8 3 2 3" xfId="41750"/>
    <cellStyle name="Normal 2 3 8 3 3" xfId="30567"/>
    <cellStyle name="Normal 2 3 8 3 3 2" xfId="45390"/>
    <cellStyle name="Normal 2 3 8 3 4" xfId="38064"/>
    <cellStyle name="Normal 2 3 8 3 5" xfId="23252"/>
    <cellStyle name="Normal 2 3 8 4" xfId="25069"/>
    <cellStyle name="Normal 2 3 8 4 2" xfId="32380"/>
    <cellStyle name="Normal 2 3 8 4 2 2" xfId="47203"/>
    <cellStyle name="Normal 2 3 8 4 3" xfId="39964"/>
    <cellStyle name="Normal 2 3 8 5" xfId="28726"/>
    <cellStyle name="Normal 2 3 8 5 2" xfId="43563"/>
    <cellStyle name="Normal 2 3 8 6" xfId="36034"/>
    <cellStyle name="Normal 2 3 8 7" xfId="21408"/>
    <cellStyle name="Normal 2 3 9" xfId="17960"/>
    <cellStyle name="Normal 2 3_2010_02_17_Затраты_v1" xfId="14842"/>
    <cellStyle name="Normal 2 30" xfId="16906"/>
    <cellStyle name="Normal 2 30 10" xfId="21863"/>
    <cellStyle name="Normal 2 30 2" xfId="17028"/>
    <cellStyle name="Normal 2 30 2 2" xfId="17146"/>
    <cellStyle name="Normal 2 30 2 2 2" xfId="18085"/>
    <cellStyle name="Normal 2 30 2 2 2 2" xfId="26471"/>
    <cellStyle name="Normal 2 30 2 2 2 2 2" xfId="33782"/>
    <cellStyle name="Normal 2 30 2 2 2 2 2 2" xfId="48602"/>
    <cellStyle name="Normal 2 30 2 2 2 2 3" xfId="41312"/>
    <cellStyle name="Normal 2 30 2 2 2 3" xfId="30128"/>
    <cellStyle name="Normal 2 30 2 2 2 3 2" xfId="44952"/>
    <cellStyle name="Normal 2 30 2 2 2 4" xfId="36741"/>
    <cellStyle name="Normal 2 30 2 2 2 5" xfId="22813"/>
    <cellStyle name="Normal 2 30 2 2 3" xfId="18165"/>
    <cellStyle name="Normal 2 30 2 2 3 2" xfId="32862"/>
    <cellStyle name="Normal 2 30 2 2 3 2 2" xfId="47682"/>
    <cellStyle name="Normal 2 30 2 2 3 3" xfId="36809"/>
    <cellStyle name="Normal 2 30 2 2 3 4" xfId="25551"/>
    <cellStyle name="Normal 2 30 2 2 4" xfId="19092"/>
    <cellStyle name="Normal 2 30 2 2 4 2" xfId="37625"/>
    <cellStyle name="Normal 2 30 2 2 4 3" xfId="29208"/>
    <cellStyle name="Normal 2 30 2 2 5" xfId="36635"/>
    <cellStyle name="Normal 2 30 2 2 6" xfId="21890"/>
    <cellStyle name="Normal 2 30 2 3" xfId="18070"/>
    <cellStyle name="Normal 2 30 2 3 2" xfId="26453"/>
    <cellStyle name="Normal 2 30 2 3 2 2" xfId="33764"/>
    <cellStyle name="Normal 2 30 2 3 2 2 2" xfId="48584"/>
    <cellStyle name="Normal 2 30 2 3 2 3" xfId="41294"/>
    <cellStyle name="Normal 2 30 2 3 3" xfId="30110"/>
    <cellStyle name="Normal 2 30 2 3 3 2" xfId="44934"/>
    <cellStyle name="Normal 2 30 2 3 4" xfId="36726"/>
    <cellStyle name="Normal 2 30 2 3 5" xfId="22795"/>
    <cellStyle name="Normal 2 30 2 4" xfId="18139"/>
    <cellStyle name="Normal 2 30 2 4 2" xfId="32844"/>
    <cellStyle name="Normal 2 30 2 4 2 2" xfId="47664"/>
    <cellStyle name="Normal 2 30 2 4 3" xfId="36791"/>
    <cellStyle name="Normal 2 30 2 4 4" xfId="25533"/>
    <cellStyle name="Normal 2 30 2 5" xfId="19074"/>
    <cellStyle name="Normal 2 30 2 5 2" xfId="37607"/>
    <cellStyle name="Normal 2 30 2 5 3" xfId="29190"/>
    <cellStyle name="Normal 2 30 2 6" xfId="36613"/>
    <cellStyle name="Normal 2 30 2 7" xfId="21872"/>
    <cellStyle name="Normal 2 30 3" xfId="17140"/>
    <cellStyle name="Normal 2 30 3 2" xfId="18081"/>
    <cellStyle name="Normal 2 30 3 2 2" xfId="26462"/>
    <cellStyle name="Normal 2 30 3 2 2 2" xfId="33773"/>
    <cellStyle name="Normal 2 30 3 2 2 2 2" xfId="48593"/>
    <cellStyle name="Normal 2 30 3 2 2 3" xfId="41303"/>
    <cellStyle name="Normal 2 30 3 2 3" xfId="30119"/>
    <cellStyle name="Normal 2 30 3 2 3 2" xfId="44943"/>
    <cellStyle name="Normal 2 30 3 2 4" xfId="36737"/>
    <cellStyle name="Normal 2 30 3 2 5" xfId="22804"/>
    <cellStyle name="Normal 2 30 3 3" xfId="18156"/>
    <cellStyle name="Normal 2 30 3 3 2" xfId="32853"/>
    <cellStyle name="Normal 2 30 3 3 2 2" xfId="47673"/>
    <cellStyle name="Normal 2 30 3 3 3" xfId="36800"/>
    <cellStyle name="Normal 2 30 3 3 4" xfId="25542"/>
    <cellStyle name="Normal 2 30 3 4" xfId="19083"/>
    <cellStyle name="Normal 2 30 3 4 2" xfId="37616"/>
    <cellStyle name="Normal 2 30 3 4 3" xfId="29199"/>
    <cellStyle name="Normal 2 30 3 5" xfId="36631"/>
    <cellStyle name="Normal 2 30 3 6" xfId="21881"/>
    <cellStyle name="Normal 2 30 4" xfId="17243"/>
    <cellStyle name="Normal 2 30 4 2" xfId="18107"/>
    <cellStyle name="Normal 2 30 4 2 2" xfId="33755"/>
    <cellStyle name="Normal 2 30 4 2 2 2" xfId="48575"/>
    <cellStyle name="Normal 2 30 4 2 3" xfId="36763"/>
    <cellStyle name="Normal 2 30 4 2 4" xfId="26444"/>
    <cellStyle name="Normal 2 30 4 3" xfId="30101"/>
    <cellStyle name="Normal 2 30 4 3 2" xfId="44925"/>
    <cellStyle name="Normal 2 30 4 4" xfId="36666"/>
    <cellStyle name="Normal 2 30 4 5" xfId="22786"/>
    <cellStyle name="Normal 2 30 5" xfId="17253"/>
    <cellStyle name="Normal 2 30 5 2" xfId="18112"/>
    <cellStyle name="Normal 2 30 5 2 2" xfId="36768"/>
    <cellStyle name="Normal 2 30 5 2 3" xfId="32835"/>
    <cellStyle name="Normal 2 30 5 3" xfId="36672"/>
    <cellStyle name="Normal 2 30 5 4" xfId="25524"/>
    <cellStyle name="Normal 2 30 6" xfId="18066"/>
    <cellStyle name="Normal 2 30 6 2" xfId="36722"/>
    <cellStyle name="Normal 2 30 6 3" xfId="29181"/>
    <cellStyle name="Normal 2 30 7" xfId="18127"/>
    <cellStyle name="Normal 2 30 7 2" xfId="36782"/>
    <cellStyle name="Normal 2 30 8" xfId="19065"/>
    <cellStyle name="Normal 2 30 8 2" xfId="37598"/>
    <cellStyle name="Normal 2 30 9" xfId="36609"/>
    <cellStyle name="Normal 2 31" xfId="17065"/>
    <cellStyle name="Normal 2 31 2" xfId="17260"/>
    <cellStyle name="Normal 2 31 2 2" xfId="18115"/>
    <cellStyle name="Normal 2 31 2 2 2" xfId="34695"/>
    <cellStyle name="Normal 2 31 2 2 2 2" xfId="49515"/>
    <cellStyle name="Normal 2 31 2 2 3" xfId="36771"/>
    <cellStyle name="Normal 2 31 2 2 4" xfId="27384"/>
    <cellStyle name="Normal 2 31 2 3" xfId="31041"/>
    <cellStyle name="Normal 2 31 2 3 2" xfId="45864"/>
    <cellStyle name="Normal 2 31 2 4" xfId="36674"/>
    <cellStyle name="Normal 2 31 2 5" xfId="23726"/>
    <cellStyle name="Normal 2 31 3" xfId="18174"/>
    <cellStyle name="Normal 2 31 3 2" xfId="32869"/>
    <cellStyle name="Normal 2 31 3 2 2" xfId="47689"/>
    <cellStyle name="Normal 2 31 3 3" xfId="36816"/>
    <cellStyle name="Normal 2 31 3 4" xfId="25558"/>
    <cellStyle name="Normal 2 31 4" xfId="20058"/>
    <cellStyle name="Normal 2 31 4 2" xfId="38539"/>
    <cellStyle name="Normal 2 31 4 3" xfId="29215"/>
    <cellStyle name="Normal 2 31 5" xfId="36620"/>
    <cellStyle name="Normal 2 31 6" xfId="21897"/>
    <cellStyle name="Normal 2 32" xfId="17036"/>
    <cellStyle name="Normal 2 32 2" xfId="17247"/>
    <cellStyle name="Normal 2 32 3" xfId="17263"/>
    <cellStyle name="Normal 2 32 3 2" xfId="18117"/>
    <cellStyle name="Normal 2 32 3 2 2" xfId="36773"/>
    <cellStyle name="Normal 2 32 3 3" xfId="36676"/>
    <cellStyle name="Normal 2 32 4" xfId="18072"/>
    <cellStyle name="Normal 2 32 4 2" xfId="36728"/>
    <cellStyle name="Normal 2 32 5" xfId="36615"/>
    <cellStyle name="Normal 2 33" xfId="17130"/>
    <cellStyle name="Normal 2 33 2" xfId="17262"/>
    <cellStyle name="Normal 2 33 2 2" xfId="18116"/>
    <cellStyle name="Normal 2 33 2 2 2" xfId="36772"/>
    <cellStyle name="Normal 2 33 2 3" xfId="36675"/>
    <cellStyle name="Normal 2 33 3" xfId="18077"/>
    <cellStyle name="Normal 2 33 3 2" xfId="36733"/>
    <cellStyle name="Normal 2 33 4" xfId="20942"/>
    <cellStyle name="Normal 2 33 5" xfId="36626"/>
    <cellStyle name="Normal 2 34" xfId="17137"/>
    <cellStyle name="Normal 2 34 2" xfId="18079"/>
    <cellStyle name="Normal 2 34 2 2" xfId="33789"/>
    <cellStyle name="Normal 2 34 2 2 2" xfId="48609"/>
    <cellStyle name="Normal 2 34 2 3" xfId="36735"/>
    <cellStyle name="Normal 2 34 2 4" xfId="26478"/>
    <cellStyle name="Normal 2 34 3" xfId="19099"/>
    <cellStyle name="Normal 2 34 3 2" xfId="37632"/>
    <cellStyle name="Normal 2 34 3 3" xfId="30135"/>
    <cellStyle name="Normal 2 34 4" xfId="36628"/>
    <cellStyle name="Normal 2 34 5" xfId="22820"/>
    <cellStyle name="Normal 2 35" xfId="17154"/>
    <cellStyle name="Normal 2 35 2" xfId="18087"/>
    <cellStyle name="Normal 2 35 2 2" xfId="36743"/>
    <cellStyle name="Normal 2 35 3" xfId="39425"/>
    <cellStyle name="Normal 2 35 4" xfId="36637"/>
    <cellStyle name="Normal 2 35 5" xfId="22782"/>
    <cellStyle name="Normal 2 36" xfId="17235"/>
    <cellStyle name="Normal 2 36 2" xfId="18100"/>
    <cellStyle name="Normal 2 36 2 2" xfId="36756"/>
    <cellStyle name="Normal 2 36 3" xfId="39426"/>
    <cellStyle name="Normal 2 36 4" xfId="36658"/>
    <cellStyle name="Normal 2 36 5" xfId="22785"/>
    <cellStyle name="Normal 2 37" xfId="17493"/>
    <cellStyle name="Normal 2 37 2" xfId="31926"/>
    <cellStyle name="Normal 2 37 2 2" xfId="46749"/>
    <cellStyle name="Normal 2 37 3" xfId="36679"/>
    <cellStyle name="Normal 2 37 4" xfId="24612"/>
    <cellStyle name="Normal 2 38" xfId="17959"/>
    <cellStyle name="Normal 2 38 2" xfId="43109"/>
    <cellStyle name="Normal 2 38 3" xfId="36689"/>
    <cellStyle name="Normal 2 38 4" xfId="28270"/>
    <cellStyle name="Normal 2 39" xfId="36496"/>
    <cellStyle name="Normal 2 4" xfId="13954"/>
    <cellStyle name="Normal 2 4 10" xfId="14843"/>
    <cellStyle name="Normal 2 4 10 2" xfId="16078"/>
    <cellStyle name="Normal 2 4 11" xfId="14844"/>
    <cellStyle name="Normal 2 4 11 2" xfId="16079"/>
    <cellStyle name="Normal 2 4 12" xfId="14845"/>
    <cellStyle name="Normal 2 4 12 2" xfId="16080"/>
    <cellStyle name="Normal 2 4 13" xfId="17067"/>
    <cellStyle name="Normal 2 4 14" xfId="17961"/>
    <cellStyle name="Normal 2 4 15" xfId="36498"/>
    <cellStyle name="Normal 2 4 2" xfId="14846"/>
    <cellStyle name="Normal 2 4 2 2" xfId="16081"/>
    <cellStyle name="Normal 2 4 3" xfId="14847"/>
    <cellStyle name="Normal 2 4 3 2" xfId="16082"/>
    <cellStyle name="Normal 2 4 4" xfId="14848"/>
    <cellStyle name="Normal 2 4 4 2" xfId="16083"/>
    <cellStyle name="Normal 2 4 5" xfId="14849"/>
    <cellStyle name="Normal 2 4 5 2" xfId="16084"/>
    <cellStyle name="Normal 2 4 6" xfId="14850"/>
    <cellStyle name="Normal 2 4 6 2" xfId="16085"/>
    <cellStyle name="Normal 2 4 7" xfId="14851"/>
    <cellStyle name="Normal 2 4 7 2" xfId="16086"/>
    <cellStyle name="Normal 2 4 8" xfId="14852"/>
    <cellStyle name="Normal 2 4 8 2" xfId="16087"/>
    <cellStyle name="Normal 2 4 9" xfId="14853"/>
    <cellStyle name="Normal 2 4 9 2" xfId="16088"/>
    <cellStyle name="Normal 2 4_2010_03_04_Прочая информация_v_8" xfId="14854"/>
    <cellStyle name="Normal 2 40" xfId="35582"/>
    <cellStyle name="Normal 2 41" xfId="50401"/>
    <cellStyle name="Normal 2 42" xfId="20952"/>
    <cellStyle name="Normal 2 5" xfId="13955"/>
    <cellStyle name="Normal 2 5 10" xfId="20943"/>
    <cellStyle name="Normal 2 5 11" xfId="19102"/>
    <cellStyle name="Normal 2 5 11 2" xfId="26480"/>
    <cellStyle name="Normal 2 5 11 2 2" xfId="33791"/>
    <cellStyle name="Normal 2 5 11 2 2 2" xfId="48611"/>
    <cellStyle name="Normal 2 5 11 2 3" xfId="41320"/>
    <cellStyle name="Normal 2 5 11 3" xfId="30137"/>
    <cellStyle name="Normal 2 5 11 3 2" xfId="44960"/>
    <cellStyle name="Normal 2 5 11 4" xfId="37634"/>
    <cellStyle name="Normal 2 5 11 5" xfId="22822"/>
    <cellStyle name="Normal 2 5 12" xfId="24622"/>
    <cellStyle name="Normal 2 5 12 2" xfId="31933"/>
    <cellStyle name="Normal 2 5 12 2 2" xfId="46756"/>
    <cellStyle name="Normal 2 5 12 3" xfId="39544"/>
    <cellStyle name="Normal 2 5 12 4" xfId="36499"/>
    <cellStyle name="Normal 2 5 13" xfId="28279"/>
    <cellStyle name="Normal 2 5 13 2" xfId="43116"/>
    <cellStyle name="Normal 2 5 14" xfId="35653"/>
    <cellStyle name="Normal 2 5 15" xfId="20961"/>
    <cellStyle name="Normal 2 5 2" xfId="14855"/>
    <cellStyle name="Normal 2 5 2 10" xfId="24636"/>
    <cellStyle name="Normal 2 5 2 10 2" xfId="31947"/>
    <cellStyle name="Normal 2 5 2 10 2 2" xfId="46770"/>
    <cellStyle name="Normal 2 5 2 10 3" xfId="39558"/>
    <cellStyle name="Normal 2 5 2 10 4" xfId="36584"/>
    <cellStyle name="Normal 2 5 2 11" xfId="28293"/>
    <cellStyle name="Normal 2 5 2 11 2" xfId="43130"/>
    <cellStyle name="Normal 2 5 2 12" xfId="35654"/>
    <cellStyle name="Normal 2 5 2 13" xfId="20975"/>
    <cellStyle name="Normal 2 5 2 2" xfId="14856"/>
    <cellStyle name="Normal 2 5 2 2 10" xfId="28321"/>
    <cellStyle name="Normal 2 5 2 2 10 2" xfId="43158"/>
    <cellStyle name="Normal 2 5 2 2 11" xfId="35655"/>
    <cellStyle name="Normal 2 5 2 2 12" xfId="21003"/>
    <cellStyle name="Normal 2 5 2 2 2" xfId="16090"/>
    <cellStyle name="Normal 2 5 2 2 2 10" xfId="35656"/>
    <cellStyle name="Normal 2 5 2 2 2 11" xfId="21059"/>
    <cellStyle name="Normal 2 5 2 2 2 2" xfId="17484"/>
    <cellStyle name="Normal 2 5 2 2 2 2 2" xfId="17934"/>
    <cellStyle name="Normal 2 5 2 2 2 2 2 2" xfId="19048"/>
    <cellStyle name="Normal 2 5 2 2 2 2 2 2 2" xfId="20927"/>
    <cellStyle name="Normal 2 5 2 2 2 2 2 2 2 2" xfId="24595"/>
    <cellStyle name="Normal 2 5 2 2 2 2 2 2 2 2 2" xfId="28253"/>
    <cellStyle name="Normal 2 5 2 2 2 2 2 2 2 2 2 2" xfId="35564"/>
    <cellStyle name="Normal 2 5 2 2 2 2 2 2 2 2 2 2 2" xfId="50384"/>
    <cellStyle name="Normal 2 5 2 2 2 2 2 2 2 2 2 3" xfId="43092"/>
    <cellStyle name="Normal 2 5 2 2 2 2 2 2 2 2 3" xfId="31910"/>
    <cellStyle name="Normal 2 5 2 2 2 2 2 2 2 2 3 2" xfId="46733"/>
    <cellStyle name="Normal 2 5 2 2 2 2 2 2 2 2 4" xfId="39527"/>
    <cellStyle name="Normal 2 5 2 2 2 2 2 2 2 3" xfId="26427"/>
    <cellStyle name="Normal 2 5 2 2 2 2 2 2 2 3 2" xfId="33738"/>
    <cellStyle name="Normal 2 5 2 2 2 2 2 2 2 3 2 2" xfId="48558"/>
    <cellStyle name="Normal 2 5 2 2 2 2 2 2 2 3 3" xfId="41271"/>
    <cellStyle name="Normal 2 5 2 2 2 2 2 2 2 4" xfId="30084"/>
    <cellStyle name="Normal 2 5 2 2 2 2 2 2 2 4 2" xfId="44908"/>
    <cellStyle name="Normal 2 5 2 2 2 2 2 2 2 5" xfId="39408"/>
    <cellStyle name="Normal 2 5 2 2 2 2 2 2 2 6" xfId="22766"/>
    <cellStyle name="Normal 2 5 2 2 2 2 2 2 3" xfId="19978"/>
    <cellStyle name="Normal 2 5 2 2 2 2 2 2 3 2" xfId="27347"/>
    <cellStyle name="Normal 2 5 2 2 2 2 2 2 3 2 2" xfId="34658"/>
    <cellStyle name="Normal 2 5 2 2 2 2 2 2 3 2 2 2" xfId="49478"/>
    <cellStyle name="Normal 2 5 2 2 2 2 2 2 3 2 3" xfId="42187"/>
    <cellStyle name="Normal 2 5 2 2 2 2 2 2 3 3" xfId="31004"/>
    <cellStyle name="Normal 2 5 2 2 2 2 2 2 3 3 2" xfId="45827"/>
    <cellStyle name="Normal 2 5 2 2 2 2 2 2 3 4" xfId="38501"/>
    <cellStyle name="Normal 2 5 2 2 2 2 2 2 3 5" xfId="23689"/>
    <cellStyle name="Normal 2 5 2 2 2 2 2 2 4" xfId="25506"/>
    <cellStyle name="Normal 2 5 2 2 2 2 2 2 4 2" xfId="32817"/>
    <cellStyle name="Normal 2 5 2 2 2 2 2 2 4 2 2" xfId="47640"/>
    <cellStyle name="Normal 2 5 2 2 2 2 2 2 4 3" xfId="40394"/>
    <cellStyle name="Normal 2 5 2 2 2 2 2 2 5" xfId="29163"/>
    <cellStyle name="Normal 2 5 2 2 2 2 2 2 5 2" xfId="44000"/>
    <cellStyle name="Normal 2 5 2 2 2 2 2 2 6" xfId="36107"/>
    <cellStyle name="Normal 2 5 2 2 2 2 2 2 7" xfId="21845"/>
    <cellStyle name="Normal 2 5 2 2 2 2 2 3" xfId="18243"/>
    <cellStyle name="Normal 2 5 2 2 2 2 2 3 2" xfId="20125"/>
    <cellStyle name="Normal 2 5 2 2 2 2 2 3 2 2" xfId="27451"/>
    <cellStyle name="Normal 2 5 2 2 2 2 2 3 2 2 2" xfId="34762"/>
    <cellStyle name="Normal 2 5 2 2 2 2 2 3 2 2 2 2" xfId="49582"/>
    <cellStyle name="Normal 2 5 2 2 2 2 2 3 2 2 3" xfId="42290"/>
    <cellStyle name="Normal 2 5 2 2 2 2 2 3 2 3" xfId="31108"/>
    <cellStyle name="Normal 2 5 2 2 2 2 2 3 2 3 2" xfId="45931"/>
    <cellStyle name="Normal 2 5 2 2 2 2 2 3 2 4" xfId="38606"/>
    <cellStyle name="Normal 2 5 2 2 2 2 2 3 2 5" xfId="23793"/>
    <cellStyle name="Normal 2 5 2 2 2 2 2 3 3" xfId="25625"/>
    <cellStyle name="Normal 2 5 2 2 2 2 2 3 3 2" xfId="32936"/>
    <cellStyle name="Normal 2 5 2 2 2 2 2 3 3 2 2" xfId="47756"/>
    <cellStyle name="Normal 2 5 2 2 2 2 2 3 3 3" xfId="40489"/>
    <cellStyle name="Normal 2 5 2 2 2 2 2 3 4" xfId="29282"/>
    <cellStyle name="Normal 2 5 2 2 2 2 2 3 4 2" xfId="44106"/>
    <cellStyle name="Normal 2 5 2 2 2 2 2 3 5" xfId="36883"/>
    <cellStyle name="Normal 2 5 2 2 2 2 2 3 6" xfId="21964"/>
    <cellStyle name="Normal 2 5 2 2 2 2 2 4" xfId="19527"/>
    <cellStyle name="Normal 2 5 2 2 2 2 2 4 2" xfId="26897"/>
    <cellStyle name="Normal 2 5 2 2 2 2 2 4 2 2" xfId="34208"/>
    <cellStyle name="Normal 2 5 2 2 2 2 2 4 2 2 2" xfId="49028"/>
    <cellStyle name="Normal 2 5 2 2 2 2 2 4 2 3" xfId="41737"/>
    <cellStyle name="Normal 2 5 2 2 2 2 2 4 3" xfId="30554"/>
    <cellStyle name="Normal 2 5 2 2 2 2 2 4 3 2" xfId="45377"/>
    <cellStyle name="Normal 2 5 2 2 2 2 2 4 4" xfId="38051"/>
    <cellStyle name="Normal 2 5 2 2 2 2 2 4 5" xfId="23239"/>
    <cellStyle name="Normal 2 5 2 2 2 2 2 5" xfId="25056"/>
    <cellStyle name="Normal 2 5 2 2 2 2 2 5 2" xfId="32367"/>
    <cellStyle name="Normal 2 5 2 2 2 2 2 5 2 2" xfId="47190"/>
    <cellStyle name="Normal 2 5 2 2 2 2 2 5 3" xfId="39951"/>
    <cellStyle name="Normal 2 5 2 2 2 2 2 6" xfId="28713"/>
    <cellStyle name="Normal 2 5 2 2 2 2 2 6 2" xfId="43550"/>
    <cellStyle name="Normal 2 5 2 2 2 2 2 7" xfId="35658"/>
    <cellStyle name="Normal 2 5 2 2 2 2 2 8" xfId="21395"/>
    <cellStyle name="Normal 2 5 2 2 2 2 3" xfId="17710"/>
    <cellStyle name="Normal 2 5 2 2 2 2 3 2" xfId="18824"/>
    <cellStyle name="Normal 2 5 2 2 2 2 3 2 2" xfId="20703"/>
    <cellStyle name="Normal 2 5 2 2 2 2 3 2 2 2" xfId="28029"/>
    <cellStyle name="Normal 2 5 2 2 2 2 3 2 2 2 2" xfId="35340"/>
    <cellStyle name="Normal 2 5 2 2 2 2 3 2 2 2 2 2" xfId="50160"/>
    <cellStyle name="Normal 2 5 2 2 2 2 3 2 2 2 3" xfId="42868"/>
    <cellStyle name="Normal 2 5 2 2 2 2 3 2 2 3" xfId="31686"/>
    <cellStyle name="Normal 2 5 2 2 2 2 3 2 2 3 2" xfId="46509"/>
    <cellStyle name="Normal 2 5 2 2 2 2 3 2 2 4" xfId="39184"/>
    <cellStyle name="Normal 2 5 2 2 2 2 3 2 2 5" xfId="24371"/>
    <cellStyle name="Normal 2 5 2 2 2 2 3 2 3" xfId="26203"/>
    <cellStyle name="Normal 2 5 2 2 2 2 3 2 3 2" xfId="33514"/>
    <cellStyle name="Normal 2 5 2 2 2 2 3 2 3 2 2" xfId="48334"/>
    <cellStyle name="Normal 2 5 2 2 2 2 3 2 3 3" xfId="41047"/>
    <cellStyle name="Normal 2 5 2 2 2 2 3 2 4" xfId="29860"/>
    <cellStyle name="Normal 2 5 2 2 2 2 3 2 4 2" xfId="44684"/>
    <cellStyle name="Normal 2 5 2 2 2 2 3 2 5" xfId="37461"/>
    <cellStyle name="Normal 2 5 2 2 2 2 3 2 6" xfId="22542"/>
    <cellStyle name="Normal 2 5 2 2 2 2 3 3" xfId="19754"/>
    <cellStyle name="Normal 2 5 2 2 2 2 3 3 2" xfId="27123"/>
    <cellStyle name="Normal 2 5 2 2 2 2 3 3 2 2" xfId="34434"/>
    <cellStyle name="Normal 2 5 2 2 2 2 3 3 2 2 2" xfId="49254"/>
    <cellStyle name="Normal 2 5 2 2 2 2 3 3 2 3" xfId="41963"/>
    <cellStyle name="Normal 2 5 2 2 2 2 3 3 3" xfId="30780"/>
    <cellStyle name="Normal 2 5 2 2 2 2 3 3 3 2" xfId="45603"/>
    <cellStyle name="Normal 2 5 2 2 2 2 3 3 4" xfId="38277"/>
    <cellStyle name="Normal 2 5 2 2 2 2 3 3 5" xfId="23465"/>
    <cellStyle name="Normal 2 5 2 2 2 2 3 4" xfId="25282"/>
    <cellStyle name="Normal 2 5 2 2 2 2 3 4 2" xfId="32593"/>
    <cellStyle name="Normal 2 5 2 2 2 2 3 4 2 2" xfId="47416"/>
    <cellStyle name="Normal 2 5 2 2 2 2 3 4 3" xfId="40174"/>
    <cellStyle name="Normal 2 5 2 2 2 2 3 5" xfId="28939"/>
    <cellStyle name="Normal 2 5 2 2 2 2 3 5 2" xfId="43776"/>
    <cellStyle name="Normal 2 5 2 2 2 2 3 6" xfId="36106"/>
    <cellStyle name="Normal 2 5 2 2 2 2 3 7" xfId="21621"/>
    <cellStyle name="Normal 2 5 2 2 2 2 4" xfId="18242"/>
    <cellStyle name="Normal 2 5 2 2 2 2 4 2" xfId="20124"/>
    <cellStyle name="Normal 2 5 2 2 2 2 4 2 2" xfId="27450"/>
    <cellStyle name="Normal 2 5 2 2 2 2 4 2 2 2" xfId="34761"/>
    <cellStyle name="Normal 2 5 2 2 2 2 4 2 2 2 2" xfId="49581"/>
    <cellStyle name="Normal 2 5 2 2 2 2 4 2 2 3" xfId="42289"/>
    <cellStyle name="Normal 2 5 2 2 2 2 4 2 3" xfId="31107"/>
    <cellStyle name="Normal 2 5 2 2 2 2 4 2 3 2" xfId="45930"/>
    <cellStyle name="Normal 2 5 2 2 2 2 4 2 4" xfId="38605"/>
    <cellStyle name="Normal 2 5 2 2 2 2 4 2 5" xfId="23792"/>
    <cellStyle name="Normal 2 5 2 2 2 2 4 3" xfId="25624"/>
    <cellStyle name="Normal 2 5 2 2 2 2 4 3 2" xfId="32935"/>
    <cellStyle name="Normal 2 5 2 2 2 2 4 3 2 2" xfId="47755"/>
    <cellStyle name="Normal 2 5 2 2 2 2 4 3 3" xfId="40488"/>
    <cellStyle name="Normal 2 5 2 2 2 2 4 4" xfId="29281"/>
    <cellStyle name="Normal 2 5 2 2 2 2 4 4 2" xfId="44105"/>
    <cellStyle name="Normal 2 5 2 2 2 2 4 5" xfId="36882"/>
    <cellStyle name="Normal 2 5 2 2 2 2 4 6" xfId="21963"/>
    <cellStyle name="Normal 2 5 2 2 2 2 5" xfId="19303"/>
    <cellStyle name="Normal 2 5 2 2 2 2 5 2" xfId="26673"/>
    <cellStyle name="Normal 2 5 2 2 2 2 5 2 2" xfId="33984"/>
    <cellStyle name="Normal 2 5 2 2 2 2 5 2 2 2" xfId="48804"/>
    <cellStyle name="Normal 2 5 2 2 2 2 5 2 3" xfId="41513"/>
    <cellStyle name="Normal 2 5 2 2 2 2 5 3" xfId="30330"/>
    <cellStyle name="Normal 2 5 2 2 2 2 5 3 2" xfId="45153"/>
    <cellStyle name="Normal 2 5 2 2 2 2 5 4" xfId="37827"/>
    <cellStyle name="Normal 2 5 2 2 2 2 5 5" xfId="23015"/>
    <cellStyle name="Normal 2 5 2 2 2 2 6" xfId="24832"/>
    <cellStyle name="Normal 2 5 2 2 2 2 6 2" xfId="32143"/>
    <cellStyle name="Normal 2 5 2 2 2 2 6 2 2" xfId="46966"/>
    <cellStyle name="Normal 2 5 2 2 2 2 6 3" xfId="39731"/>
    <cellStyle name="Normal 2 5 2 2 2 2 7" xfId="28489"/>
    <cellStyle name="Normal 2 5 2 2 2 2 7 2" xfId="43326"/>
    <cellStyle name="Normal 2 5 2 2 2 2 8" xfId="35657"/>
    <cellStyle name="Normal 2 5 2 2 2 2 9" xfId="21171"/>
    <cellStyle name="Normal 2 5 2 2 2 3" xfId="17369"/>
    <cellStyle name="Normal 2 5 2 2 2 3 2" xfId="17822"/>
    <cellStyle name="Normal 2 5 2 2 2 3 2 2" xfId="18936"/>
    <cellStyle name="Normal 2 5 2 2 2 3 2 2 2" xfId="20815"/>
    <cellStyle name="Normal 2 5 2 2 2 3 2 2 2 2" xfId="28141"/>
    <cellStyle name="Normal 2 5 2 2 2 3 2 2 2 2 2" xfId="35452"/>
    <cellStyle name="Normal 2 5 2 2 2 3 2 2 2 2 2 2" xfId="50272"/>
    <cellStyle name="Normal 2 5 2 2 2 3 2 2 2 2 3" xfId="42980"/>
    <cellStyle name="Normal 2 5 2 2 2 3 2 2 2 3" xfId="31798"/>
    <cellStyle name="Normal 2 5 2 2 2 3 2 2 2 3 2" xfId="46621"/>
    <cellStyle name="Normal 2 5 2 2 2 3 2 2 2 4" xfId="39296"/>
    <cellStyle name="Normal 2 5 2 2 2 3 2 2 2 5" xfId="24483"/>
    <cellStyle name="Normal 2 5 2 2 2 3 2 2 3" xfId="26315"/>
    <cellStyle name="Normal 2 5 2 2 2 3 2 2 3 2" xfId="33626"/>
    <cellStyle name="Normal 2 5 2 2 2 3 2 2 3 2 2" xfId="48446"/>
    <cellStyle name="Normal 2 5 2 2 2 3 2 2 3 3" xfId="41159"/>
    <cellStyle name="Normal 2 5 2 2 2 3 2 2 4" xfId="29972"/>
    <cellStyle name="Normal 2 5 2 2 2 3 2 2 4 2" xfId="44796"/>
    <cellStyle name="Normal 2 5 2 2 2 3 2 2 5" xfId="37558"/>
    <cellStyle name="Normal 2 5 2 2 2 3 2 2 6" xfId="22654"/>
    <cellStyle name="Normal 2 5 2 2 2 3 2 3" xfId="19866"/>
    <cellStyle name="Normal 2 5 2 2 2 3 2 3 2" xfId="27235"/>
    <cellStyle name="Normal 2 5 2 2 2 3 2 3 2 2" xfId="34546"/>
    <cellStyle name="Normal 2 5 2 2 2 3 2 3 2 2 2" xfId="49366"/>
    <cellStyle name="Normal 2 5 2 2 2 3 2 3 2 3" xfId="42075"/>
    <cellStyle name="Normal 2 5 2 2 2 3 2 3 3" xfId="30892"/>
    <cellStyle name="Normal 2 5 2 2 2 3 2 3 3 2" xfId="45715"/>
    <cellStyle name="Normal 2 5 2 2 2 3 2 3 4" xfId="38389"/>
    <cellStyle name="Normal 2 5 2 2 2 3 2 3 5" xfId="23577"/>
    <cellStyle name="Normal 2 5 2 2 2 3 2 4" xfId="25394"/>
    <cellStyle name="Normal 2 5 2 2 2 3 2 4 2" xfId="32705"/>
    <cellStyle name="Normal 2 5 2 2 2 3 2 4 2 2" xfId="47528"/>
    <cellStyle name="Normal 2 5 2 2 2 3 2 4 3" xfId="40282"/>
    <cellStyle name="Normal 2 5 2 2 2 3 2 5" xfId="29051"/>
    <cellStyle name="Normal 2 5 2 2 2 3 2 5 2" xfId="43888"/>
    <cellStyle name="Normal 2 5 2 2 2 3 2 6" xfId="36108"/>
    <cellStyle name="Normal 2 5 2 2 2 3 2 7" xfId="21733"/>
    <cellStyle name="Normal 2 5 2 2 2 3 3" xfId="18244"/>
    <cellStyle name="Normal 2 5 2 2 2 3 3 2" xfId="20126"/>
    <cellStyle name="Normal 2 5 2 2 2 3 3 2 2" xfId="27452"/>
    <cellStyle name="Normal 2 5 2 2 2 3 3 2 2 2" xfId="34763"/>
    <cellStyle name="Normal 2 5 2 2 2 3 3 2 2 2 2" xfId="49583"/>
    <cellStyle name="Normal 2 5 2 2 2 3 3 2 2 3" xfId="42291"/>
    <cellStyle name="Normal 2 5 2 2 2 3 3 2 3" xfId="31109"/>
    <cellStyle name="Normal 2 5 2 2 2 3 3 2 3 2" xfId="45932"/>
    <cellStyle name="Normal 2 5 2 2 2 3 3 2 4" xfId="38607"/>
    <cellStyle name="Normal 2 5 2 2 2 3 3 2 5" xfId="23794"/>
    <cellStyle name="Normal 2 5 2 2 2 3 3 3" xfId="25626"/>
    <cellStyle name="Normal 2 5 2 2 2 3 3 3 2" xfId="32937"/>
    <cellStyle name="Normal 2 5 2 2 2 3 3 3 2 2" xfId="47757"/>
    <cellStyle name="Normal 2 5 2 2 2 3 3 3 3" xfId="40490"/>
    <cellStyle name="Normal 2 5 2 2 2 3 3 4" xfId="29283"/>
    <cellStyle name="Normal 2 5 2 2 2 3 3 4 2" xfId="44107"/>
    <cellStyle name="Normal 2 5 2 2 2 3 3 5" xfId="36884"/>
    <cellStyle name="Normal 2 5 2 2 2 3 3 6" xfId="21965"/>
    <cellStyle name="Normal 2 5 2 2 2 3 4" xfId="19415"/>
    <cellStyle name="Normal 2 5 2 2 2 3 4 2" xfId="26785"/>
    <cellStyle name="Normal 2 5 2 2 2 3 4 2 2" xfId="34096"/>
    <cellStyle name="Normal 2 5 2 2 2 3 4 2 2 2" xfId="48916"/>
    <cellStyle name="Normal 2 5 2 2 2 3 4 2 3" xfId="41625"/>
    <cellStyle name="Normal 2 5 2 2 2 3 4 3" xfId="30442"/>
    <cellStyle name="Normal 2 5 2 2 2 3 4 3 2" xfId="45265"/>
    <cellStyle name="Normal 2 5 2 2 2 3 4 4" xfId="37939"/>
    <cellStyle name="Normal 2 5 2 2 2 3 4 5" xfId="23127"/>
    <cellStyle name="Normal 2 5 2 2 2 3 5" xfId="24944"/>
    <cellStyle name="Normal 2 5 2 2 2 3 5 2" xfId="32255"/>
    <cellStyle name="Normal 2 5 2 2 2 3 5 2 2" xfId="47078"/>
    <cellStyle name="Normal 2 5 2 2 2 3 5 3" xfId="39839"/>
    <cellStyle name="Normal 2 5 2 2 2 3 6" xfId="28601"/>
    <cellStyle name="Normal 2 5 2 2 2 3 6 2" xfId="43438"/>
    <cellStyle name="Normal 2 5 2 2 2 3 7" xfId="35659"/>
    <cellStyle name="Normal 2 5 2 2 2 3 8" xfId="21283"/>
    <cellStyle name="Normal 2 5 2 2 2 4" xfId="17598"/>
    <cellStyle name="Normal 2 5 2 2 2 4 2" xfId="18712"/>
    <cellStyle name="Normal 2 5 2 2 2 4 2 2" xfId="20591"/>
    <cellStyle name="Normal 2 5 2 2 2 4 2 2 2" xfId="27917"/>
    <cellStyle name="Normal 2 5 2 2 2 4 2 2 2 2" xfId="35228"/>
    <cellStyle name="Normal 2 5 2 2 2 4 2 2 2 2 2" xfId="50048"/>
    <cellStyle name="Normal 2 5 2 2 2 4 2 2 2 3" xfId="42756"/>
    <cellStyle name="Normal 2 5 2 2 2 4 2 2 3" xfId="31574"/>
    <cellStyle name="Normal 2 5 2 2 2 4 2 2 3 2" xfId="46397"/>
    <cellStyle name="Normal 2 5 2 2 2 4 2 2 4" xfId="39072"/>
    <cellStyle name="Normal 2 5 2 2 2 4 2 2 5" xfId="24259"/>
    <cellStyle name="Normal 2 5 2 2 2 4 2 3" xfId="26091"/>
    <cellStyle name="Normal 2 5 2 2 2 4 2 3 2" xfId="33402"/>
    <cellStyle name="Normal 2 5 2 2 2 4 2 3 2 2" xfId="48222"/>
    <cellStyle name="Normal 2 5 2 2 2 4 2 3 3" xfId="40935"/>
    <cellStyle name="Normal 2 5 2 2 2 4 2 4" xfId="29748"/>
    <cellStyle name="Normal 2 5 2 2 2 4 2 4 2" xfId="44572"/>
    <cellStyle name="Normal 2 5 2 2 2 4 2 5" xfId="37349"/>
    <cellStyle name="Normal 2 5 2 2 2 4 2 6" xfId="22430"/>
    <cellStyle name="Normal 2 5 2 2 2 4 3" xfId="19642"/>
    <cellStyle name="Normal 2 5 2 2 2 4 3 2" xfId="27011"/>
    <cellStyle name="Normal 2 5 2 2 2 4 3 2 2" xfId="34322"/>
    <cellStyle name="Normal 2 5 2 2 2 4 3 2 2 2" xfId="49142"/>
    <cellStyle name="Normal 2 5 2 2 2 4 3 2 3" xfId="41851"/>
    <cellStyle name="Normal 2 5 2 2 2 4 3 3" xfId="30668"/>
    <cellStyle name="Normal 2 5 2 2 2 4 3 3 2" xfId="45491"/>
    <cellStyle name="Normal 2 5 2 2 2 4 3 4" xfId="38165"/>
    <cellStyle name="Normal 2 5 2 2 2 4 3 5" xfId="23353"/>
    <cellStyle name="Normal 2 5 2 2 2 4 4" xfId="25170"/>
    <cellStyle name="Normal 2 5 2 2 2 4 4 2" xfId="32481"/>
    <cellStyle name="Normal 2 5 2 2 2 4 4 2 2" xfId="47304"/>
    <cellStyle name="Normal 2 5 2 2 2 4 4 3" xfId="40064"/>
    <cellStyle name="Normal 2 5 2 2 2 4 5" xfId="28827"/>
    <cellStyle name="Normal 2 5 2 2 2 4 5 2" xfId="43664"/>
    <cellStyle name="Normal 2 5 2 2 2 4 6" xfId="36105"/>
    <cellStyle name="Normal 2 5 2 2 2 4 7" xfId="21509"/>
    <cellStyle name="Normal 2 5 2 2 2 5" xfId="18056"/>
    <cellStyle name="Normal 2 5 2 2 2 5 2" xfId="18241"/>
    <cellStyle name="Normal 2 5 2 2 2 5 2 2" xfId="27449"/>
    <cellStyle name="Normal 2 5 2 2 2 5 2 2 2" xfId="34760"/>
    <cellStyle name="Normal 2 5 2 2 2 5 2 2 2 2" xfId="49580"/>
    <cellStyle name="Normal 2 5 2 2 2 5 2 2 3" xfId="42288"/>
    <cellStyle name="Normal 2 5 2 2 2 5 2 3" xfId="31106"/>
    <cellStyle name="Normal 2 5 2 2 2 5 2 3 2" xfId="45929"/>
    <cellStyle name="Normal 2 5 2 2 2 5 2 4" xfId="36881"/>
    <cellStyle name="Normal 2 5 2 2 2 5 2 5" xfId="23791"/>
    <cellStyle name="Normal 2 5 2 2 2 5 3" xfId="20123"/>
    <cellStyle name="Normal 2 5 2 2 2 5 3 2" xfId="32934"/>
    <cellStyle name="Normal 2 5 2 2 2 5 3 2 2" xfId="47754"/>
    <cellStyle name="Normal 2 5 2 2 2 5 3 3" xfId="38604"/>
    <cellStyle name="Normal 2 5 2 2 2 5 3 4" xfId="25623"/>
    <cellStyle name="Normal 2 5 2 2 2 5 4" xfId="29280"/>
    <cellStyle name="Normal 2 5 2 2 2 5 4 2" xfId="44104"/>
    <cellStyle name="Normal 2 5 2 2 2 5 5" xfId="36713"/>
    <cellStyle name="Normal 2 5 2 2 2 5 6" xfId="21962"/>
    <cellStyle name="Normal 2 5 2 2 2 6" xfId="20024"/>
    <cellStyle name="Normal 2 5 2 2 2 7" xfId="19192"/>
    <cellStyle name="Normal 2 5 2 2 2 7 2" xfId="26563"/>
    <cellStyle name="Normal 2 5 2 2 2 7 2 2" xfId="33874"/>
    <cellStyle name="Normal 2 5 2 2 2 7 2 2 2" xfId="48694"/>
    <cellStyle name="Normal 2 5 2 2 2 7 2 3" xfId="41403"/>
    <cellStyle name="Normal 2 5 2 2 2 7 3" xfId="30220"/>
    <cellStyle name="Normal 2 5 2 2 2 7 3 2" xfId="45043"/>
    <cellStyle name="Normal 2 5 2 2 2 7 4" xfId="37717"/>
    <cellStyle name="Normal 2 5 2 2 2 7 5" xfId="22905"/>
    <cellStyle name="Normal 2 5 2 2 2 8" xfId="24720"/>
    <cellStyle name="Normal 2 5 2 2 2 8 2" xfId="32031"/>
    <cellStyle name="Normal 2 5 2 2 2 8 2 2" xfId="46854"/>
    <cellStyle name="Normal 2 5 2 2 2 8 3" xfId="39624"/>
    <cellStyle name="Normal 2 5 2 2 2 8 4" xfId="36598"/>
    <cellStyle name="Normal 2 5 2 2 2 9" xfId="28377"/>
    <cellStyle name="Normal 2 5 2 2 2 9 2" xfId="43214"/>
    <cellStyle name="Normal 2 5 2 2 3" xfId="17223"/>
    <cellStyle name="Normal 2 5 2 2 3 2" xfId="17428"/>
    <cellStyle name="Normal 2 5 2 2 3 2 2" xfId="17878"/>
    <cellStyle name="Normal 2 5 2 2 3 2 2 2" xfId="18992"/>
    <cellStyle name="Normal 2 5 2 2 3 2 2 2 2" xfId="20871"/>
    <cellStyle name="Normal 2 5 2 2 3 2 2 2 2 2" xfId="28197"/>
    <cellStyle name="Normal 2 5 2 2 3 2 2 2 2 2 2" xfId="35508"/>
    <cellStyle name="Normal 2 5 2 2 3 2 2 2 2 2 2 2" xfId="50328"/>
    <cellStyle name="Normal 2 5 2 2 3 2 2 2 2 2 3" xfId="43036"/>
    <cellStyle name="Normal 2 5 2 2 3 2 2 2 2 3" xfId="31854"/>
    <cellStyle name="Normal 2 5 2 2 3 2 2 2 2 3 2" xfId="46677"/>
    <cellStyle name="Normal 2 5 2 2 3 2 2 2 2 4" xfId="39352"/>
    <cellStyle name="Normal 2 5 2 2 3 2 2 2 2 5" xfId="24539"/>
    <cellStyle name="Normal 2 5 2 2 3 2 2 2 3" xfId="26371"/>
    <cellStyle name="Normal 2 5 2 2 3 2 2 2 3 2" xfId="33682"/>
    <cellStyle name="Normal 2 5 2 2 3 2 2 2 3 2 2" xfId="48502"/>
    <cellStyle name="Normal 2 5 2 2 3 2 2 2 3 3" xfId="41215"/>
    <cellStyle name="Normal 2 5 2 2 3 2 2 2 4" xfId="30028"/>
    <cellStyle name="Normal 2 5 2 2 3 2 2 2 4 2" xfId="44852"/>
    <cellStyle name="Normal 2 5 2 2 3 2 2 2 5" xfId="37582"/>
    <cellStyle name="Normal 2 5 2 2 3 2 2 2 6" xfId="22710"/>
    <cellStyle name="Normal 2 5 2 2 3 2 2 3" xfId="19922"/>
    <cellStyle name="Normal 2 5 2 2 3 2 2 3 2" xfId="27291"/>
    <cellStyle name="Normal 2 5 2 2 3 2 2 3 2 2" xfId="34602"/>
    <cellStyle name="Normal 2 5 2 2 3 2 2 3 2 2 2" xfId="49422"/>
    <cellStyle name="Normal 2 5 2 2 3 2 2 3 2 3" xfId="42131"/>
    <cellStyle name="Normal 2 5 2 2 3 2 2 3 3" xfId="30948"/>
    <cellStyle name="Normal 2 5 2 2 3 2 2 3 3 2" xfId="45771"/>
    <cellStyle name="Normal 2 5 2 2 3 2 2 3 4" xfId="38445"/>
    <cellStyle name="Normal 2 5 2 2 3 2 2 3 5" xfId="23633"/>
    <cellStyle name="Normal 2 5 2 2 3 2 2 4" xfId="25450"/>
    <cellStyle name="Normal 2 5 2 2 3 2 2 4 2" xfId="32761"/>
    <cellStyle name="Normal 2 5 2 2 3 2 2 4 2 2" xfId="47584"/>
    <cellStyle name="Normal 2 5 2 2 3 2 2 4 3" xfId="40338"/>
    <cellStyle name="Normal 2 5 2 2 3 2 2 5" xfId="29107"/>
    <cellStyle name="Normal 2 5 2 2 3 2 2 5 2" xfId="43944"/>
    <cellStyle name="Normal 2 5 2 2 3 2 2 6" xfId="36110"/>
    <cellStyle name="Normal 2 5 2 2 3 2 2 7" xfId="21789"/>
    <cellStyle name="Normal 2 5 2 2 3 2 3" xfId="18246"/>
    <cellStyle name="Normal 2 5 2 2 3 2 3 2" xfId="20128"/>
    <cellStyle name="Normal 2 5 2 2 3 2 3 2 2" xfId="27454"/>
    <cellStyle name="Normal 2 5 2 2 3 2 3 2 2 2" xfId="34765"/>
    <cellStyle name="Normal 2 5 2 2 3 2 3 2 2 2 2" xfId="49585"/>
    <cellStyle name="Normal 2 5 2 2 3 2 3 2 2 3" xfId="42293"/>
    <cellStyle name="Normal 2 5 2 2 3 2 3 2 3" xfId="31111"/>
    <cellStyle name="Normal 2 5 2 2 3 2 3 2 3 2" xfId="45934"/>
    <cellStyle name="Normal 2 5 2 2 3 2 3 2 4" xfId="38609"/>
    <cellStyle name="Normal 2 5 2 2 3 2 3 2 5" xfId="23796"/>
    <cellStyle name="Normal 2 5 2 2 3 2 3 3" xfId="25628"/>
    <cellStyle name="Normal 2 5 2 2 3 2 3 3 2" xfId="32939"/>
    <cellStyle name="Normal 2 5 2 2 3 2 3 3 2 2" xfId="47759"/>
    <cellStyle name="Normal 2 5 2 2 3 2 3 3 3" xfId="40492"/>
    <cellStyle name="Normal 2 5 2 2 3 2 3 4" xfId="29285"/>
    <cellStyle name="Normal 2 5 2 2 3 2 3 4 2" xfId="44109"/>
    <cellStyle name="Normal 2 5 2 2 3 2 3 5" xfId="36886"/>
    <cellStyle name="Normal 2 5 2 2 3 2 3 6" xfId="21967"/>
    <cellStyle name="Normal 2 5 2 2 3 2 4" xfId="19471"/>
    <cellStyle name="Normal 2 5 2 2 3 2 4 2" xfId="26841"/>
    <cellStyle name="Normal 2 5 2 2 3 2 4 2 2" xfId="34152"/>
    <cellStyle name="Normal 2 5 2 2 3 2 4 2 2 2" xfId="48972"/>
    <cellStyle name="Normal 2 5 2 2 3 2 4 2 3" xfId="41681"/>
    <cellStyle name="Normal 2 5 2 2 3 2 4 3" xfId="30498"/>
    <cellStyle name="Normal 2 5 2 2 3 2 4 3 2" xfId="45321"/>
    <cellStyle name="Normal 2 5 2 2 3 2 4 4" xfId="37995"/>
    <cellStyle name="Normal 2 5 2 2 3 2 4 5" xfId="23183"/>
    <cellStyle name="Normal 2 5 2 2 3 2 5" xfId="25000"/>
    <cellStyle name="Normal 2 5 2 2 3 2 5 2" xfId="32311"/>
    <cellStyle name="Normal 2 5 2 2 3 2 5 2 2" xfId="47134"/>
    <cellStyle name="Normal 2 5 2 2 3 2 5 3" xfId="39895"/>
    <cellStyle name="Normal 2 5 2 2 3 2 6" xfId="28657"/>
    <cellStyle name="Normal 2 5 2 2 3 2 6 2" xfId="43494"/>
    <cellStyle name="Normal 2 5 2 2 3 2 7" xfId="35661"/>
    <cellStyle name="Normal 2 5 2 2 3 2 8" xfId="21339"/>
    <cellStyle name="Normal 2 5 2 2 3 3" xfId="17654"/>
    <cellStyle name="Normal 2 5 2 2 3 3 2" xfId="18768"/>
    <cellStyle name="Normal 2 5 2 2 3 3 2 2" xfId="20647"/>
    <cellStyle name="Normal 2 5 2 2 3 3 2 2 2" xfId="27973"/>
    <cellStyle name="Normal 2 5 2 2 3 3 2 2 2 2" xfId="35284"/>
    <cellStyle name="Normal 2 5 2 2 3 3 2 2 2 2 2" xfId="50104"/>
    <cellStyle name="Normal 2 5 2 2 3 3 2 2 2 3" xfId="42812"/>
    <cellStyle name="Normal 2 5 2 2 3 3 2 2 3" xfId="31630"/>
    <cellStyle name="Normal 2 5 2 2 3 3 2 2 3 2" xfId="46453"/>
    <cellStyle name="Normal 2 5 2 2 3 3 2 2 4" xfId="39128"/>
    <cellStyle name="Normal 2 5 2 2 3 3 2 2 5" xfId="24315"/>
    <cellStyle name="Normal 2 5 2 2 3 3 2 3" xfId="26147"/>
    <cellStyle name="Normal 2 5 2 2 3 3 2 3 2" xfId="33458"/>
    <cellStyle name="Normal 2 5 2 2 3 3 2 3 2 2" xfId="48278"/>
    <cellStyle name="Normal 2 5 2 2 3 3 2 3 3" xfId="40991"/>
    <cellStyle name="Normal 2 5 2 2 3 3 2 4" xfId="29804"/>
    <cellStyle name="Normal 2 5 2 2 3 3 2 4 2" xfId="44628"/>
    <cellStyle name="Normal 2 5 2 2 3 3 2 5" xfId="37405"/>
    <cellStyle name="Normal 2 5 2 2 3 3 2 6" xfId="22486"/>
    <cellStyle name="Normal 2 5 2 2 3 3 3" xfId="19698"/>
    <cellStyle name="Normal 2 5 2 2 3 3 3 2" xfId="27067"/>
    <cellStyle name="Normal 2 5 2 2 3 3 3 2 2" xfId="34378"/>
    <cellStyle name="Normal 2 5 2 2 3 3 3 2 2 2" xfId="49198"/>
    <cellStyle name="Normal 2 5 2 2 3 3 3 2 3" xfId="41907"/>
    <cellStyle name="Normal 2 5 2 2 3 3 3 3" xfId="30724"/>
    <cellStyle name="Normal 2 5 2 2 3 3 3 3 2" xfId="45547"/>
    <cellStyle name="Normal 2 5 2 2 3 3 3 4" xfId="38221"/>
    <cellStyle name="Normal 2 5 2 2 3 3 3 5" xfId="23409"/>
    <cellStyle name="Normal 2 5 2 2 3 3 4" xfId="25226"/>
    <cellStyle name="Normal 2 5 2 2 3 3 4 2" xfId="32537"/>
    <cellStyle name="Normal 2 5 2 2 3 3 4 2 2" xfId="47360"/>
    <cellStyle name="Normal 2 5 2 2 3 3 4 3" xfId="40118"/>
    <cellStyle name="Normal 2 5 2 2 3 3 5" xfId="28883"/>
    <cellStyle name="Normal 2 5 2 2 3 3 5 2" xfId="43720"/>
    <cellStyle name="Normal 2 5 2 2 3 3 6" xfId="36109"/>
    <cellStyle name="Normal 2 5 2 2 3 3 7" xfId="21565"/>
    <cellStyle name="Normal 2 5 2 2 3 4" xfId="18092"/>
    <cellStyle name="Normal 2 5 2 2 3 4 2" xfId="20127"/>
    <cellStyle name="Normal 2 5 2 2 3 4 2 2" xfId="27453"/>
    <cellStyle name="Normal 2 5 2 2 3 4 2 2 2" xfId="34764"/>
    <cellStyle name="Normal 2 5 2 2 3 4 2 2 2 2" xfId="49584"/>
    <cellStyle name="Normal 2 5 2 2 3 4 2 2 3" xfId="42292"/>
    <cellStyle name="Normal 2 5 2 2 3 4 2 3" xfId="31110"/>
    <cellStyle name="Normal 2 5 2 2 3 4 2 3 2" xfId="45933"/>
    <cellStyle name="Normal 2 5 2 2 3 4 2 4" xfId="38608"/>
    <cellStyle name="Normal 2 5 2 2 3 4 2 5" xfId="23795"/>
    <cellStyle name="Normal 2 5 2 2 3 4 3" xfId="25627"/>
    <cellStyle name="Normal 2 5 2 2 3 4 3 2" xfId="32938"/>
    <cellStyle name="Normal 2 5 2 2 3 4 3 2 2" xfId="47758"/>
    <cellStyle name="Normal 2 5 2 2 3 4 3 3" xfId="40491"/>
    <cellStyle name="Normal 2 5 2 2 3 4 4" xfId="29284"/>
    <cellStyle name="Normal 2 5 2 2 3 4 4 2" xfId="44108"/>
    <cellStyle name="Normal 2 5 2 2 3 4 5" xfId="36748"/>
    <cellStyle name="Normal 2 5 2 2 3 4 6" xfId="21966"/>
    <cellStyle name="Normal 2 5 2 2 3 5" xfId="18245"/>
    <cellStyle name="Normal 2 5 2 2 3 5 2" xfId="26618"/>
    <cellStyle name="Normal 2 5 2 2 3 5 2 2" xfId="33929"/>
    <cellStyle name="Normal 2 5 2 2 3 5 2 2 2" xfId="48749"/>
    <cellStyle name="Normal 2 5 2 2 3 5 2 3" xfId="41458"/>
    <cellStyle name="Normal 2 5 2 2 3 5 3" xfId="30275"/>
    <cellStyle name="Normal 2 5 2 2 3 5 3 2" xfId="45098"/>
    <cellStyle name="Normal 2 5 2 2 3 5 4" xfId="36885"/>
    <cellStyle name="Normal 2 5 2 2 3 5 5" xfId="22960"/>
    <cellStyle name="Normal 2 5 2 2 3 6" xfId="19248"/>
    <cellStyle name="Normal 2 5 2 2 3 6 2" xfId="32087"/>
    <cellStyle name="Normal 2 5 2 2 3 6 2 2" xfId="46910"/>
    <cellStyle name="Normal 2 5 2 2 3 6 3" xfId="37772"/>
    <cellStyle name="Normal 2 5 2 2 3 6 4" xfId="24776"/>
    <cellStyle name="Normal 2 5 2 2 3 7" xfId="28433"/>
    <cellStyle name="Normal 2 5 2 2 3 7 2" xfId="43270"/>
    <cellStyle name="Normal 2 5 2 2 3 7 3" xfId="36647"/>
    <cellStyle name="Normal 2 5 2 2 3 8" xfId="35660"/>
    <cellStyle name="Normal 2 5 2 2 3 9" xfId="21115"/>
    <cellStyle name="Normal 2 5 2 2 4" xfId="17212"/>
    <cellStyle name="Normal 2 5 2 2 4 2" xfId="17311"/>
    <cellStyle name="Normal 2 5 2 2 4 2 2" xfId="18121"/>
    <cellStyle name="Normal 2 5 2 2 4 2 2 2" xfId="20759"/>
    <cellStyle name="Normal 2 5 2 2 4 2 2 2 2" xfId="28085"/>
    <cellStyle name="Normal 2 5 2 2 4 2 2 2 2 2" xfId="35396"/>
    <cellStyle name="Normal 2 5 2 2 4 2 2 2 2 2 2" xfId="50216"/>
    <cellStyle name="Normal 2 5 2 2 4 2 2 2 2 3" xfId="42924"/>
    <cellStyle name="Normal 2 5 2 2 4 2 2 2 3" xfId="31742"/>
    <cellStyle name="Normal 2 5 2 2 4 2 2 2 3 2" xfId="46565"/>
    <cellStyle name="Normal 2 5 2 2 4 2 2 2 4" xfId="39240"/>
    <cellStyle name="Normal 2 5 2 2 4 2 2 2 5" xfId="24427"/>
    <cellStyle name="Normal 2 5 2 2 4 2 2 3" xfId="26259"/>
    <cellStyle name="Normal 2 5 2 2 4 2 2 3 2" xfId="33570"/>
    <cellStyle name="Normal 2 5 2 2 4 2 2 3 2 2" xfId="48390"/>
    <cellStyle name="Normal 2 5 2 2 4 2 2 3 3" xfId="41103"/>
    <cellStyle name="Normal 2 5 2 2 4 2 2 4" xfId="29916"/>
    <cellStyle name="Normal 2 5 2 2 4 2 2 4 2" xfId="44740"/>
    <cellStyle name="Normal 2 5 2 2 4 2 2 5" xfId="36777"/>
    <cellStyle name="Normal 2 5 2 2 4 2 2 6" xfId="22598"/>
    <cellStyle name="Normal 2 5 2 2 4 2 3" xfId="18880"/>
    <cellStyle name="Normal 2 5 2 2 4 2 3 2" xfId="27179"/>
    <cellStyle name="Normal 2 5 2 2 4 2 3 2 2" xfId="34490"/>
    <cellStyle name="Normal 2 5 2 2 4 2 3 2 2 2" xfId="49310"/>
    <cellStyle name="Normal 2 5 2 2 4 2 3 2 3" xfId="42019"/>
    <cellStyle name="Normal 2 5 2 2 4 2 3 3" xfId="30836"/>
    <cellStyle name="Normal 2 5 2 2 4 2 3 3 2" xfId="45659"/>
    <cellStyle name="Normal 2 5 2 2 4 2 3 4" xfId="37516"/>
    <cellStyle name="Normal 2 5 2 2 4 2 3 5" xfId="23521"/>
    <cellStyle name="Normal 2 5 2 2 4 2 4" xfId="19810"/>
    <cellStyle name="Normal 2 5 2 2 4 2 4 2" xfId="32649"/>
    <cellStyle name="Normal 2 5 2 2 4 2 4 2 2" xfId="47472"/>
    <cellStyle name="Normal 2 5 2 2 4 2 4 3" xfId="38333"/>
    <cellStyle name="Normal 2 5 2 2 4 2 4 4" xfId="25338"/>
    <cellStyle name="Normal 2 5 2 2 4 2 5" xfId="28995"/>
    <cellStyle name="Normal 2 5 2 2 4 2 5 2" xfId="43832"/>
    <cellStyle name="Normal 2 5 2 2 4 2 6" xfId="36111"/>
    <cellStyle name="Normal 2 5 2 2 4 2 7" xfId="21677"/>
    <cellStyle name="Normal 2 5 2 2 4 3" xfId="17766"/>
    <cellStyle name="Normal 2 5 2 2 4 3 2" xfId="20129"/>
    <cellStyle name="Normal 2 5 2 2 4 3 2 2" xfId="27455"/>
    <cellStyle name="Normal 2 5 2 2 4 3 2 2 2" xfId="34766"/>
    <cellStyle name="Normal 2 5 2 2 4 3 2 2 2 2" xfId="49586"/>
    <cellStyle name="Normal 2 5 2 2 4 3 2 2 3" xfId="42294"/>
    <cellStyle name="Normal 2 5 2 2 4 3 2 3" xfId="31112"/>
    <cellStyle name="Normal 2 5 2 2 4 3 2 3 2" xfId="45935"/>
    <cellStyle name="Normal 2 5 2 2 4 3 2 4" xfId="38610"/>
    <cellStyle name="Normal 2 5 2 2 4 3 2 5" xfId="23797"/>
    <cellStyle name="Normal 2 5 2 2 4 3 3" xfId="25629"/>
    <cellStyle name="Normal 2 5 2 2 4 3 3 2" xfId="32940"/>
    <cellStyle name="Normal 2 5 2 2 4 3 3 2 2" xfId="47760"/>
    <cellStyle name="Normal 2 5 2 2 4 3 3 3" xfId="40493"/>
    <cellStyle name="Normal 2 5 2 2 4 3 4" xfId="29286"/>
    <cellStyle name="Normal 2 5 2 2 4 3 4 2" xfId="44110"/>
    <cellStyle name="Normal 2 5 2 2 4 3 5" xfId="36688"/>
    <cellStyle name="Normal 2 5 2 2 4 3 6" xfId="21968"/>
    <cellStyle name="Normal 2 5 2 2 4 4" xfId="18247"/>
    <cellStyle name="Normal 2 5 2 2 4 4 2" xfId="26729"/>
    <cellStyle name="Normal 2 5 2 2 4 4 2 2" xfId="34040"/>
    <cellStyle name="Normal 2 5 2 2 4 4 2 2 2" xfId="48860"/>
    <cellStyle name="Normal 2 5 2 2 4 4 2 3" xfId="41569"/>
    <cellStyle name="Normal 2 5 2 2 4 4 3" xfId="30386"/>
    <cellStyle name="Normal 2 5 2 2 4 4 3 2" xfId="45209"/>
    <cellStyle name="Normal 2 5 2 2 4 4 4" xfId="36887"/>
    <cellStyle name="Normal 2 5 2 2 4 4 5" xfId="23071"/>
    <cellStyle name="Normal 2 5 2 2 4 5" xfId="19359"/>
    <cellStyle name="Normal 2 5 2 2 4 5 2" xfId="32199"/>
    <cellStyle name="Normal 2 5 2 2 4 5 2 2" xfId="47022"/>
    <cellStyle name="Normal 2 5 2 2 4 5 3" xfId="37883"/>
    <cellStyle name="Normal 2 5 2 2 4 5 4" xfId="24888"/>
    <cellStyle name="Normal 2 5 2 2 4 6" xfId="28545"/>
    <cellStyle name="Normal 2 5 2 2 4 6 2" xfId="43382"/>
    <cellStyle name="Normal 2 5 2 2 4 7" xfId="35662"/>
    <cellStyle name="Normal 2 5 2 2 4 8" xfId="21227"/>
    <cellStyle name="Normal 2 5 2 2 5" xfId="17542"/>
    <cellStyle name="Normal 2 5 2 2 5 2" xfId="18656"/>
    <cellStyle name="Normal 2 5 2 2 5 2 2" xfId="20535"/>
    <cellStyle name="Normal 2 5 2 2 5 2 2 2" xfId="27861"/>
    <cellStyle name="Normal 2 5 2 2 5 2 2 2 2" xfId="35172"/>
    <cellStyle name="Normal 2 5 2 2 5 2 2 2 2 2" xfId="49992"/>
    <cellStyle name="Normal 2 5 2 2 5 2 2 2 3" xfId="42700"/>
    <cellStyle name="Normal 2 5 2 2 5 2 2 3" xfId="31518"/>
    <cellStyle name="Normal 2 5 2 2 5 2 2 3 2" xfId="46341"/>
    <cellStyle name="Normal 2 5 2 2 5 2 2 4" xfId="39016"/>
    <cellStyle name="Normal 2 5 2 2 5 2 2 5" xfId="24203"/>
    <cellStyle name="Normal 2 5 2 2 5 2 3" xfId="26035"/>
    <cellStyle name="Normal 2 5 2 2 5 2 3 2" xfId="33346"/>
    <cellStyle name="Normal 2 5 2 2 5 2 3 2 2" xfId="48166"/>
    <cellStyle name="Normal 2 5 2 2 5 2 3 3" xfId="40879"/>
    <cellStyle name="Normal 2 5 2 2 5 2 4" xfId="29692"/>
    <cellStyle name="Normal 2 5 2 2 5 2 4 2" xfId="44516"/>
    <cellStyle name="Normal 2 5 2 2 5 2 5" xfId="37293"/>
    <cellStyle name="Normal 2 5 2 2 5 2 6" xfId="22374"/>
    <cellStyle name="Normal 2 5 2 2 5 3" xfId="19586"/>
    <cellStyle name="Normal 2 5 2 2 5 3 2" xfId="26955"/>
    <cellStyle name="Normal 2 5 2 2 5 3 2 2" xfId="34266"/>
    <cellStyle name="Normal 2 5 2 2 5 3 2 2 2" xfId="49086"/>
    <cellStyle name="Normal 2 5 2 2 5 3 2 3" xfId="41795"/>
    <cellStyle name="Normal 2 5 2 2 5 3 3" xfId="30612"/>
    <cellStyle name="Normal 2 5 2 2 5 3 3 2" xfId="45435"/>
    <cellStyle name="Normal 2 5 2 2 5 3 4" xfId="38109"/>
    <cellStyle name="Normal 2 5 2 2 5 3 5" xfId="23297"/>
    <cellStyle name="Normal 2 5 2 2 5 4" xfId="25114"/>
    <cellStyle name="Normal 2 5 2 2 5 4 2" xfId="32425"/>
    <cellStyle name="Normal 2 5 2 2 5 4 2 2" xfId="47248"/>
    <cellStyle name="Normal 2 5 2 2 5 4 3" xfId="40008"/>
    <cellStyle name="Normal 2 5 2 2 5 5" xfId="28771"/>
    <cellStyle name="Normal 2 5 2 2 5 5 2" xfId="43608"/>
    <cellStyle name="Normal 2 5 2 2 5 6" xfId="36104"/>
    <cellStyle name="Normal 2 5 2 2 5 7" xfId="21453"/>
    <cellStyle name="Normal 2 5 2 2 6" xfId="18044"/>
    <cellStyle name="Normal 2 5 2 2 6 2" xfId="18240"/>
    <cellStyle name="Normal 2 5 2 2 6 2 2" xfId="27448"/>
    <cellStyle name="Normal 2 5 2 2 6 2 2 2" xfId="34759"/>
    <cellStyle name="Normal 2 5 2 2 6 2 2 2 2" xfId="49579"/>
    <cellStyle name="Normal 2 5 2 2 6 2 2 3" xfId="42287"/>
    <cellStyle name="Normal 2 5 2 2 6 2 3" xfId="31105"/>
    <cellStyle name="Normal 2 5 2 2 6 2 3 2" xfId="45928"/>
    <cellStyle name="Normal 2 5 2 2 6 2 4" xfId="36880"/>
    <cellStyle name="Normal 2 5 2 2 6 2 5" xfId="23790"/>
    <cellStyle name="Normal 2 5 2 2 6 3" xfId="20122"/>
    <cellStyle name="Normal 2 5 2 2 6 3 2" xfId="32933"/>
    <cellStyle name="Normal 2 5 2 2 6 3 2 2" xfId="47753"/>
    <cellStyle name="Normal 2 5 2 2 6 3 3" xfId="38603"/>
    <cellStyle name="Normal 2 5 2 2 6 3 4" xfId="25622"/>
    <cellStyle name="Normal 2 5 2 2 6 4" xfId="29279"/>
    <cellStyle name="Normal 2 5 2 2 6 4 2" xfId="44103"/>
    <cellStyle name="Normal 2 5 2 2 6 5" xfId="36707"/>
    <cellStyle name="Normal 2 5 2 2 6 6" xfId="21961"/>
    <cellStyle name="Normal 2 5 2 2 7" xfId="20001"/>
    <cellStyle name="Normal 2 5 2 2 8" xfId="19138"/>
    <cellStyle name="Normal 2 5 2 2 8 2" xfId="26510"/>
    <cellStyle name="Normal 2 5 2 2 8 2 2" xfId="33821"/>
    <cellStyle name="Normal 2 5 2 2 8 2 2 2" xfId="48641"/>
    <cellStyle name="Normal 2 5 2 2 8 2 3" xfId="41350"/>
    <cellStyle name="Normal 2 5 2 2 8 3" xfId="30167"/>
    <cellStyle name="Normal 2 5 2 2 8 3 2" xfId="44990"/>
    <cellStyle name="Normal 2 5 2 2 8 4" xfId="37664"/>
    <cellStyle name="Normal 2 5 2 2 8 5" xfId="22852"/>
    <cellStyle name="Normal 2 5 2 2 9" xfId="24664"/>
    <cellStyle name="Normal 2 5 2 2 9 2" xfId="31975"/>
    <cellStyle name="Normal 2 5 2 2 9 2 2" xfId="46798"/>
    <cellStyle name="Normal 2 5 2 2 9 3" xfId="39584"/>
    <cellStyle name="Normal 2 5 2 2 9 4" xfId="36585"/>
    <cellStyle name="Normal 2 5 2 3" xfId="16089"/>
    <cellStyle name="Normal 2 5 2 3 10" xfId="35663"/>
    <cellStyle name="Normal 2 5 2 3 11" xfId="21031"/>
    <cellStyle name="Normal 2 5 2 3 2" xfId="17456"/>
    <cellStyle name="Normal 2 5 2 3 2 2" xfId="17906"/>
    <cellStyle name="Normal 2 5 2 3 2 2 2" xfId="19020"/>
    <cellStyle name="Normal 2 5 2 3 2 2 2 2" xfId="20899"/>
    <cellStyle name="Normal 2 5 2 3 2 2 2 2 2" xfId="24567"/>
    <cellStyle name="Normal 2 5 2 3 2 2 2 2 2 2" xfId="28225"/>
    <cellStyle name="Normal 2 5 2 3 2 2 2 2 2 2 2" xfId="35536"/>
    <cellStyle name="Normal 2 5 2 3 2 2 2 2 2 2 2 2" xfId="50356"/>
    <cellStyle name="Normal 2 5 2 3 2 2 2 2 2 2 3" xfId="43064"/>
    <cellStyle name="Normal 2 5 2 3 2 2 2 2 2 3" xfId="31882"/>
    <cellStyle name="Normal 2 5 2 3 2 2 2 2 2 3 2" xfId="46705"/>
    <cellStyle name="Normal 2 5 2 3 2 2 2 2 2 4" xfId="39500"/>
    <cellStyle name="Normal 2 5 2 3 2 2 2 2 3" xfId="26399"/>
    <cellStyle name="Normal 2 5 2 3 2 2 2 2 3 2" xfId="33710"/>
    <cellStyle name="Normal 2 5 2 3 2 2 2 2 3 2 2" xfId="48530"/>
    <cellStyle name="Normal 2 5 2 3 2 2 2 2 3 3" xfId="41243"/>
    <cellStyle name="Normal 2 5 2 3 2 2 2 2 4" xfId="30056"/>
    <cellStyle name="Normal 2 5 2 3 2 2 2 2 4 2" xfId="44880"/>
    <cellStyle name="Normal 2 5 2 3 2 2 2 2 5" xfId="39380"/>
    <cellStyle name="Normal 2 5 2 3 2 2 2 2 6" xfId="22738"/>
    <cellStyle name="Normal 2 5 2 3 2 2 2 3" xfId="19950"/>
    <cellStyle name="Normal 2 5 2 3 2 2 2 3 2" xfId="27319"/>
    <cellStyle name="Normal 2 5 2 3 2 2 2 3 2 2" xfId="34630"/>
    <cellStyle name="Normal 2 5 2 3 2 2 2 3 2 2 2" xfId="49450"/>
    <cellStyle name="Normal 2 5 2 3 2 2 2 3 2 3" xfId="42159"/>
    <cellStyle name="Normal 2 5 2 3 2 2 2 3 3" xfId="30976"/>
    <cellStyle name="Normal 2 5 2 3 2 2 2 3 3 2" xfId="45799"/>
    <cellStyle name="Normal 2 5 2 3 2 2 2 3 4" xfId="38473"/>
    <cellStyle name="Normal 2 5 2 3 2 2 2 3 5" xfId="23661"/>
    <cellStyle name="Normal 2 5 2 3 2 2 2 4" xfId="25478"/>
    <cellStyle name="Normal 2 5 2 3 2 2 2 4 2" xfId="32789"/>
    <cellStyle name="Normal 2 5 2 3 2 2 2 4 2 2" xfId="47612"/>
    <cellStyle name="Normal 2 5 2 3 2 2 2 4 3" xfId="40366"/>
    <cellStyle name="Normal 2 5 2 3 2 2 2 5" xfId="29135"/>
    <cellStyle name="Normal 2 5 2 3 2 2 2 5 2" xfId="43972"/>
    <cellStyle name="Normal 2 5 2 3 2 2 2 6" xfId="36114"/>
    <cellStyle name="Normal 2 5 2 3 2 2 2 7" xfId="21817"/>
    <cellStyle name="Normal 2 5 2 3 2 2 3" xfId="18250"/>
    <cellStyle name="Normal 2 5 2 3 2 2 3 2" xfId="20132"/>
    <cellStyle name="Normal 2 5 2 3 2 2 3 2 2" xfId="27458"/>
    <cellStyle name="Normal 2 5 2 3 2 2 3 2 2 2" xfId="34769"/>
    <cellStyle name="Normal 2 5 2 3 2 2 3 2 2 2 2" xfId="49589"/>
    <cellStyle name="Normal 2 5 2 3 2 2 3 2 2 3" xfId="42297"/>
    <cellStyle name="Normal 2 5 2 3 2 2 3 2 3" xfId="31115"/>
    <cellStyle name="Normal 2 5 2 3 2 2 3 2 3 2" xfId="45938"/>
    <cellStyle name="Normal 2 5 2 3 2 2 3 2 4" xfId="38613"/>
    <cellStyle name="Normal 2 5 2 3 2 2 3 2 5" xfId="23800"/>
    <cellStyle name="Normal 2 5 2 3 2 2 3 3" xfId="25632"/>
    <cellStyle name="Normal 2 5 2 3 2 2 3 3 2" xfId="32943"/>
    <cellStyle name="Normal 2 5 2 3 2 2 3 3 2 2" xfId="47763"/>
    <cellStyle name="Normal 2 5 2 3 2 2 3 3 3" xfId="40495"/>
    <cellStyle name="Normal 2 5 2 3 2 2 3 4" xfId="29289"/>
    <cellStyle name="Normal 2 5 2 3 2 2 3 4 2" xfId="44113"/>
    <cellStyle name="Normal 2 5 2 3 2 2 3 5" xfId="36890"/>
    <cellStyle name="Normal 2 5 2 3 2 2 3 6" xfId="21971"/>
    <cellStyle name="Normal 2 5 2 3 2 2 4" xfId="19499"/>
    <cellStyle name="Normal 2 5 2 3 2 2 4 2" xfId="26869"/>
    <cellStyle name="Normal 2 5 2 3 2 2 4 2 2" xfId="34180"/>
    <cellStyle name="Normal 2 5 2 3 2 2 4 2 2 2" xfId="49000"/>
    <cellStyle name="Normal 2 5 2 3 2 2 4 2 3" xfId="41709"/>
    <cellStyle name="Normal 2 5 2 3 2 2 4 3" xfId="30526"/>
    <cellStyle name="Normal 2 5 2 3 2 2 4 3 2" xfId="45349"/>
    <cellStyle name="Normal 2 5 2 3 2 2 4 4" xfId="38023"/>
    <cellStyle name="Normal 2 5 2 3 2 2 4 5" xfId="23211"/>
    <cellStyle name="Normal 2 5 2 3 2 2 5" xfId="25028"/>
    <cellStyle name="Normal 2 5 2 3 2 2 5 2" xfId="32339"/>
    <cellStyle name="Normal 2 5 2 3 2 2 5 2 2" xfId="47162"/>
    <cellStyle name="Normal 2 5 2 3 2 2 5 3" xfId="39923"/>
    <cellStyle name="Normal 2 5 2 3 2 2 6" xfId="28685"/>
    <cellStyle name="Normal 2 5 2 3 2 2 6 2" xfId="43522"/>
    <cellStyle name="Normal 2 5 2 3 2 2 7" xfId="35665"/>
    <cellStyle name="Normal 2 5 2 3 2 2 8" xfId="21367"/>
    <cellStyle name="Normal 2 5 2 3 2 3" xfId="17682"/>
    <cellStyle name="Normal 2 5 2 3 2 3 2" xfId="18796"/>
    <cellStyle name="Normal 2 5 2 3 2 3 2 2" xfId="20675"/>
    <cellStyle name="Normal 2 5 2 3 2 3 2 2 2" xfId="28001"/>
    <cellStyle name="Normal 2 5 2 3 2 3 2 2 2 2" xfId="35312"/>
    <cellStyle name="Normal 2 5 2 3 2 3 2 2 2 2 2" xfId="50132"/>
    <cellStyle name="Normal 2 5 2 3 2 3 2 2 2 3" xfId="42840"/>
    <cellStyle name="Normal 2 5 2 3 2 3 2 2 3" xfId="31658"/>
    <cellStyle name="Normal 2 5 2 3 2 3 2 2 3 2" xfId="46481"/>
    <cellStyle name="Normal 2 5 2 3 2 3 2 2 4" xfId="39156"/>
    <cellStyle name="Normal 2 5 2 3 2 3 2 2 5" xfId="24343"/>
    <cellStyle name="Normal 2 5 2 3 2 3 2 3" xfId="26175"/>
    <cellStyle name="Normal 2 5 2 3 2 3 2 3 2" xfId="33486"/>
    <cellStyle name="Normal 2 5 2 3 2 3 2 3 2 2" xfId="48306"/>
    <cellStyle name="Normal 2 5 2 3 2 3 2 3 3" xfId="41019"/>
    <cellStyle name="Normal 2 5 2 3 2 3 2 4" xfId="29832"/>
    <cellStyle name="Normal 2 5 2 3 2 3 2 4 2" xfId="44656"/>
    <cellStyle name="Normal 2 5 2 3 2 3 2 5" xfId="37433"/>
    <cellStyle name="Normal 2 5 2 3 2 3 2 6" xfId="22514"/>
    <cellStyle name="Normal 2 5 2 3 2 3 3" xfId="19726"/>
    <cellStyle name="Normal 2 5 2 3 2 3 3 2" xfId="27095"/>
    <cellStyle name="Normal 2 5 2 3 2 3 3 2 2" xfId="34406"/>
    <cellStyle name="Normal 2 5 2 3 2 3 3 2 2 2" xfId="49226"/>
    <cellStyle name="Normal 2 5 2 3 2 3 3 2 3" xfId="41935"/>
    <cellStyle name="Normal 2 5 2 3 2 3 3 3" xfId="30752"/>
    <cellStyle name="Normal 2 5 2 3 2 3 3 3 2" xfId="45575"/>
    <cellStyle name="Normal 2 5 2 3 2 3 3 4" xfId="38249"/>
    <cellStyle name="Normal 2 5 2 3 2 3 3 5" xfId="23437"/>
    <cellStyle name="Normal 2 5 2 3 2 3 4" xfId="25254"/>
    <cellStyle name="Normal 2 5 2 3 2 3 4 2" xfId="32565"/>
    <cellStyle name="Normal 2 5 2 3 2 3 4 2 2" xfId="47388"/>
    <cellStyle name="Normal 2 5 2 3 2 3 4 3" xfId="40146"/>
    <cellStyle name="Normal 2 5 2 3 2 3 5" xfId="28911"/>
    <cellStyle name="Normal 2 5 2 3 2 3 5 2" xfId="43748"/>
    <cellStyle name="Normal 2 5 2 3 2 3 6" xfId="36113"/>
    <cellStyle name="Normal 2 5 2 3 2 3 7" xfId="21593"/>
    <cellStyle name="Normal 2 5 2 3 2 4" xfId="18249"/>
    <cellStyle name="Normal 2 5 2 3 2 4 2" xfId="20131"/>
    <cellStyle name="Normal 2 5 2 3 2 4 2 2" xfId="27457"/>
    <cellStyle name="Normal 2 5 2 3 2 4 2 2 2" xfId="34768"/>
    <cellStyle name="Normal 2 5 2 3 2 4 2 2 2 2" xfId="49588"/>
    <cellStyle name="Normal 2 5 2 3 2 4 2 2 3" xfId="42296"/>
    <cellStyle name="Normal 2 5 2 3 2 4 2 3" xfId="31114"/>
    <cellStyle name="Normal 2 5 2 3 2 4 2 3 2" xfId="45937"/>
    <cellStyle name="Normal 2 5 2 3 2 4 2 4" xfId="38612"/>
    <cellStyle name="Normal 2 5 2 3 2 4 2 5" xfId="23799"/>
    <cellStyle name="Normal 2 5 2 3 2 4 3" xfId="25631"/>
    <cellStyle name="Normal 2 5 2 3 2 4 3 2" xfId="32942"/>
    <cellStyle name="Normal 2 5 2 3 2 4 3 2 2" xfId="47762"/>
    <cellStyle name="Normal 2 5 2 3 2 4 3 3" xfId="40494"/>
    <cellStyle name="Normal 2 5 2 3 2 4 4" xfId="29288"/>
    <cellStyle name="Normal 2 5 2 3 2 4 4 2" xfId="44112"/>
    <cellStyle name="Normal 2 5 2 3 2 4 5" xfId="36889"/>
    <cellStyle name="Normal 2 5 2 3 2 4 6" xfId="21970"/>
    <cellStyle name="Normal 2 5 2 3 2 5" xfId="19276"/>
    <cellStyle name="Normal 2 5 2 3 2 5 2" xfId="26646"/>
    <cellStyle name="Normal 2 5 2 3 2 5 2 2" xfId="33957"/>
    <cellStyle name="Normal 2 5 2 3 2 5 2 2 2" xfId="48777"/>
    <cellStyle name="Normal 2 5 2 3 2 5 2 3" xfId="41486"/>
    <cellStyle name="Normal 2 5 2 3 2 5 3" xfId="30303"/>
    <cellStyle name="Normal 2 5 2 3 2 5 3 2" xfId="45126"/>
    <cellStyle name="Normal 2 5 2 3 2 5 4" xfId="37800"/>
    <cellStyle name="Normal 2 5 2 3 2 5 5" xfId="22988"/>
    <cellStyle name="Normal 2 5 2 3 2 6" xfId="24804"/>
    <cellStyle name="Normal 2 5 2 3 2 6 2" xfId="32115"/>
    <cellStyle name="Normal 2 5 2 3 2 6 2 2" xfId="46938"/>
    <cellStyle name="Normal 2 5 2 3 2 6 3" xfId="39703"/>
    <cellStyle name="Normal 2 5 2 3 2 7" xfId="28461"/>
    <cellStyle name="Normal 2 5 2 3 2 7 2" xfId="43298"/>
    <cellStyle name="Normal 2 5 2 3 2 8" xfId="35664"/>
    <cellStyle name="Normal 2 5 2 3 2 9" xfId="21143"/>
    <cellStyle name="Normal 2 5 2 3 3" xfId="17341"/>
    <cellStyle name="Normal 2 5 2 3 3 2" xfId="17794"/>
    <cellStyle name="Normal 2 5 2 3 3 2 2" xfId="18908"/>
    <cellStyle name="Normal 2 5 2 3 3 2 2 2" xfId="20787"/>
    <cellStyle name="Normal 2 5 2 3 3 2 2 2 2" xfId="28113"/>
    <cellStyle name="Normal 2 5 2 3 3 2 2 2 2 2" xfId="35424"/>
    <cellStyle name="Normal 2 5 2 3 3 2 2 2 2 2 2" xfId="50244"/>
    <cellStyle name="Normal 2 5 2 3 3 2 2 2 2 3" xfId="42952"/>
    <cellStyle name="Normal 2 5 2 3 3 2 2 2 3" xfId="31770"/>
    <cellStyle name="Normal 2 5 2 3 3 2 2 2 3 2" xfId="46593"/>
    <cellStyle name="Normal 2 5 2 3 3 2 2 2 4" xfId="39268"/>
    <cellStyle name="Normal 2 5 2 3 3 2 2 2 5" xfId="24455"/>
    <cellStyle name="Normal 2 5 2 3 3 2 2 3" xfId="26287"/>
    <cellStyle name="Normal 2 5 2 3 3 2 2 3 2" xfId="33598"/>
    <cellStyle name="Normal 2 5 2 3 3 2 2 3 2 2" xfId="48418"/>
    <cellStyle name="Normal 2 5 2 3 3 2 2 3 3" xfId="41131"/>
    <cellStyle name="Normal 2 5 2 3 3 2 2 4" xfId="29944"/>
    <cellStyle name="Normal 2 5 2 3 3 2 2 4 2" xfId="44768"/>
    <cellStyle name="Normal 2 5 2 3 3 2 2 5" xfId="37544"/>
    <cellStyle name="Normal 2 5 2 3 3 2 2 6" xfId="22626"/>
    <cellStyle name="Normal 2 5 2 3 3 2 3" xfId="19838"/>
    <cellStyle name="Normal 2 5 2 3 3 2 3 2" xfId="27207"/>
    <cellStyle name="Normal 2 5 2 3 3 2 3 2 2" xfId="34518"/>
    <cellStyle name="Normal 2 5 2 3 3 2 3 2 2 2" xfId="49338"/>
    <cellStyle name="Normal 2 5 2 3 3 2 3 2 3" xfId="42047"/>
    <cellStyle name="Normal 2 5 2 3 3 2 3 3" xfId="30864"/>
    <cellStyle name="Normal 2 5 2 3 3 2 3 3 2" xfId="45687"/>
    <cellStyle name="Normal 2 5 2 3 3 2 3 4" xfId="38361"/>
    <cellStyle name="Normal 2 5 2 3 3 2 3 5" xfId="23549"/>
    <cellStyle name="Normal 2 5 2 3 3 2 4" xfId="25366"/>
    <cellStyle name="Normal 2 5 2 3 3 2 4 2" xfId="32677"/>
    <cellStyle name="Normal 2 5 2 3 3 2 4 2 2" xfId="47500"/>
    <cellStyle name="Normal 2 5 2 3 3 2 4 3" xfId="40254"/>
    <cellStyle name="Normal 2 5 2 3 3 2 5" xfId="29023"/>
    <cellStyle name="Normal 2 5 2 3 3 2 5 2" xfId="43860"/>
    <cellStyle name="Normal 2 5 2 3 3 2 6" xfId="36115"/>
    <cellStyle name="Normal 2 5 2 3 3 2 7" xfId="21705"/>
    <cellStyle name="Normal 2 5 2 3 3 3" xfId="18251"/>
    <cellStyle name="Normal 2 5 2 3 3 3 2" xfId="20133"/>
    <cellStyle name="Normal 2 5 2 3 3 3 2 2" xfId="27459"/>
    <cellStyle name="Normal 2 5 2 3 3 3 2 2 2" xfId="34770"/>
    <cellStyle name="Normal 2 5 2 3 3 3 2 2 2 2" xfId="49590"/>
    <cellStyle name="Normal 2 5 2 3 3 3 2 2 3" xfId="42298"/>
    <cellStyle name="Normal 2 5 2 3 3 3 2 3" xfId="31116"/>
    <cellStyle name="Normal 2 5 2 3 3 3 2 3 2" xfId="45939"/>
    <cellStyle name="Normal 2 5 2 3 3 3 2 4" xfId="38614"/>
    <cellStyle name="Normal 2 5 2 3 3 3 2 5" xfId="23801"/>
    <cellStyle name="Normal 2 5 2 3 3 3 3" xfId="25633"/>
    <cellStyle name="Normal 2 5 2 3 3 3 3 2" xfId="32944"/>
    <cellStyle name="Normal 2 5 2 3 3 3 3 2 2" xfId="47764"/>
    <cellStyle name="Normal 2 5 2 3 3 3 3 3" xfId="40496"/>
    <cellStyle name="Normal 2 5 2 3 3 3 4" xfId="29290"/>
    <cellStyle name="Normal 2 5 2 3 3 3 4 2" xfId="44114"/>
    <cellStyle name="Normal 2 5 2 3 3 3 5" xfId="36891"/>
    <cellStyle name="Normal 2 5 2 3 3 3 6" xfId="21972"/>
    <cellStyle name="Normal 2 5 2 3 3 4" xfId="19387"/>
    <cellStyle name="Normal 2 5 2 3 3 4 2" xfId="26757"/>
    <cellStyle name="Normal 2 5 2 3 3 4 2 2" xfId="34068"/>
    <cellStyle name="Normal 2 5 2 3 3 4 2 2 2" xfId="48888"/>
    <cellStyle name="Normal 2 5 2 3 3 4 2 3" xfId="41597"/>
    <cellStyle name="Normal 2 5 2 3 3 4 3" xfId="30414"/>
    <cellStyle name="Normal 2 5 2 3 3 4 3 2" xfId="45237"/>
    <cellStyle name="Normal 2 5 2 3 3 4 4" xfId="37911"/>
    <cellStyle name="Normal 2 5 2 3 3 4 5" xfId="23099"/>
    <cellStyle name="Normal 2 5 2 3 3 5" xfId="24916"/>
    <cellStyle name="Normal 2 5 2 3 3 5 2" xfId="32227"/>
    <cellStyle name="Normal 2 5 2 3 3 5 2 2" xfId="47050"/>
    <cellStyle name="Normal 2 5 2 3 3 5 3" xfId="39811"/>
    <cellStyle name="Normal 2 5 2 3 3 6" xfId="28573"/>
    <cellStyle name="Normal 2 5 2 3 3 6 2" xfId="43410"/>
    <cellStyle name="Normal 2 5 2 3 3 7" xfId="35666"/>
    <cellStyle name="Normal 2 5 2 3 3 8" xfId="21255"/>
    <cellStyle name="Normal 2 5 2 3 4" xfId="17570"/>
    <cellStyle name="Normal 2 5 2 3 4 2" xfId="18684"/>
    <cellStyle name="Normal 2 5 2 3 4 2 2" xfId="20563"/>
    <cellStyle name="Normal 2 5 2 3 4 2 2 2" xfId="27889"/>
    <cellStyle name="Normal 2 5 2 3 4 2 2 2 2" xfId="35200"/>
    <cellStyle name="Normal 2 5 2 3 4 2 2 2 2 2" xfId="50020"/>
    <cellStyle name="Normal 2 5 2 3 4 2 2 2 3" xfId="42728"/>
    <cellStyle name="Normal 2 5 2 3 4 2 2 3" xfId="31546"/>
    <cellStyle name="Normal 2 5 2 3 4 2 2 3 2" xfId="46369"/>
    <cellStyle name="Normal 2 5 2 3 4 2 2 4" xfId="39044"/>
    <cellStyle name="Normal 2 5 2 3 4 2 2 5" xfId="24231"/>
    <cellStyle name="Normal 2 5 2 3 4 2 3" xfId="26063"/>
    <cellStyle name="Normal 2 5 2 3 4 2 3 2" xfId="33374"/>
    <cellStyle name="Normal 2 5 2 3 4 2 3 2 2" xfId="48194"/>
    <cellStyle name="Normal 2 5 2 3 4 2 3 3" xfId="40907"/>
    <cellStyle name="Normal 2 5 2 3 4 2 4" xfId="29720"/>
    <cellStyle name="Normal 2 5 2 3 4 2 4 2" xfId="44544"/>
    <cellStyle name="Normal 2 5 2 3 4 2 5" xfId="37321"/>
    <cellStyle name="Normal 2 5 2 3 4 2 6" xfId="22402"/>
    <cellStyle name="Normal 2 5 2 3 4 3" xfId="19614"/>
    <cellStyle name="Normal 2 5 2 3 4 3 2" xfId="26983"/>
    <cellStyle name="Normal 2 5 2 3 4 3 2 2" xfId="34294"/>
    <cellStyle name="Normal 2 5 2 3 4 3 2 2 2" xfId="49114"/>
    <cellStyle name="Normal 2 5 2 3 4 3 2 3" xfId="41823"/>
    <cellStyle name="Normal 2 5 2 3 4 3 3" xfId="30640"/>
    <cellStyle name="Normal 2 5 2 3 4 3 3 2" xfId="45463"/>
    <cellStyle name="Normal 2 5 2 3 4 3 4" xfId="38137"/>
    <cellStyle name="Normal 2 5 2 3 4 3 5" xfId="23325"/>
    <cellStyle name="Normal 2 5 2 3 4 4" xfId="25142"/>
    <cellStyle name="Normal 2 5 2 3 4 4 2" xfId="32453"/>
    <cellStyle name="Normal 2 5 2 3 4 4 2 2" xfId="47276"/>
    <cellStyle name="Normal 2 5 2 3 4 4 3" xfId="40036"/>
    <cellStyle name="Normal 2 5 2 3 4 5" xfId="28799"/>
    <cellStyle name="Normal 2 5 2 3 4 5 2" xfId="43636"/>
    <cellStyle name="Normal 2 5 2 3 4 6" xfId="36112"/>
    <cellStyle name="Normal 2 5 2 3 4 7" xfId="21481"/>
    <cellStyle name="Normal 2 5 2 3 5" xfId="18055"/>
    <cellStyle name="Normal 2 5 2 3 5 2" xfId="18248"/>
    <cellStyle name="Normal 2 5 2 3 5 2 2" xfId="27456"/>
    <cellStyle name="Normal 2 5 2 3 5 2 2 2" xfId="34767"/>
    <cellStyle name="Normal 2 5 2 3 5 2 2 2 2" xfId="49587"/>
    <cellStyle name="Normal 2 5 2 3 5 2 2 3" xfId="42295"/>
    <cellStyle name="Normal 2 5 2 3 5 2 3" xfId="31113"/>
    <cellStyle name="Normal 2 5 2 3 5 2 3 2" xfId="45936"/>
    <cellStyle name="Normal 2 5 2 3 5 2 4" xfId="36888"/>
    <cellStyle name="Normal 2 5 2 3 5 2 5" xfId="23798"/>
    <cellStyle name="Normal 2 5 2 3 5 3" xfId="20130"/>
    <cellStyle name="Normal 2 5 2 3 5 3 2" xfId="32941"/>
    <cellStyle name="Normal 2 5 2 3 5 3 2 2" xfId="47761"/>
    <cellStyle name="Normal 2 5 2 3 5 3 3" xfId="38611"/>
    <cellStyle name="Normal 2 5 2 3 5 3 4" xfId="25630"/>
    <cellStyle name="Normal 2 5 2 3 5 4" xfId="29287"/>
    <cellStyle name="Normal 2 5 2 3 5 4 2" xfId="44111"/>
    <cellStyle name="Normal 2 5 2 3 5 5" xfId="36712"/>
    <cellStyle name="Normal 2 5 2 3 5 6" xfId="21969"/>
    <cellStyle name="Normal 2 5 2 3 6" xfId="20023"/>
    <cellStyle name="Normal 2 5 2 3 7" xfId="19166"/>
    <cellStyle name="Normal 2 5 2 3 7 2" xfId="26537"/>
    <cellStyle name="Normal 2 5 2 3 7 2 2" xfId="33848"/>
    <cellStyle name="Normal 2 5 2 3 7 2 2 2" xfId="48668"/>
    <cellStyle name="Normal 2 5 2 3 7 2 3" xfId="41377"/>
    <cellStyle name="Normal 2 5 2 3 7 3" xfId="30194"/>
    <cellStyle name="Normal 2 5 2 3 7 3 2" xfId="45017"/>
    <cellStyle name="Normal 2 5 2 3 7 4" xfId="37691"/>
    <cellStyle name="Normal 2 5 2 3 7 5" xfId="22879"/>
    <cellStyle name="Normal 2 5 2 3 8" xfId="24692"/>
    <cellStyle name="Normal 2 5 2 3 8 2" xfId="32003"/>
    <cellStyle name="Normal 2 5 2 3 8 2 2" xfId="46826"/>
    <cellStyle name="Normal 2 5 2 3 8 3" xfId="39603"/>
    <cellStyle name="Normal 2 5 2 3 8 4" xfId="36597"/>
    <cellStyle name="Normal 2 5 2 3 9" xfId="28349"/>
    <cellStyle name="Normal 2 5 2 3 9 2" xfId="43186"/>
    <cellStyle name="Normal 2 5 2 4" xfId="17222"/>
    <cellStyle name="Normal 2 5 2 4 2" xfId="17400"/>
    <cellStyle name="Normal 2 5 2 4 2 2" xfId="17850"/>
    <cellStyle name="Normal 2 5 2 4 2 2 2" xfId="18964"/>
    <cellStyle name="Normal 2 5 2 4 2 2 2 2" xfId="20843"/>
    <cellStyle name="Normal 2 5 2 4 2 2 2 2 2" xfId="28169"/>
    <cellStyle name="Normal 2 5 2 4 2 2 2 2 2 2" xfId="35480"/>
    <cellStyle name="Normal 2 5 2 4 2 2 2 2 2 2 2" xfId="50300"/>
    <cellStyle name="Normal 2 5 2 4 2 2 2 2 2 3" xfId="43008"/>
    <cellStyle name="Normal 2 5 2 4 2 2 2 2 3" xfId="31826"/>
    <cellStyle name="Normal 2 5 2 4 2 2 2 2 3 2" xfId="46649"/>
    <cellStyle name="Normal 2 5 2 4 2 2 2 2 4" xfId="39324"/>
    <cellStyle name="Normal 2 5 2 4 2 2 2 2 5" xfId="24511"/>
    <cellStyle name="Normal 2 5 2 4 2 2 2 3" xfId="26343"/>
    <cellStyle name="Normal 2 5 2 4 2 2 2 3 2" xfId="33654"/>
    <cellStyle name="Normal 2 5 2 4 2 2 2 3 2 2" xfId="48474"/>
    <cellStyle name="Normal 2 5 2 4 2 2 2 3 3" xfId="41187"/>
    <cellStyle name="Normal 2 5 2 4 2 2 2 4" xfId="30000"/>
    <cellStyle name="Normal 2 5 2 4 2 2 2 4 2" xfId="44824"/>
    <cellStyle name="Normal 2 5 2 4 2 2 2 5" xfId="37572"/>
    <cellStyle name="Normal 2 5 2 4 2 2 2 6" xfId="22682"/>
    <cellStyle name="Normal 2 5 2 4 2 2 3" xfId="19894"/>
    <cellStyle name="Normal 2 5 2 4 2 2 3 2" xfId="27263"/>
    <cellStyle name="Normal 2 5 2 4 2 2 3 2 2" xfId="34574"/>
    <cellStyle name="Normal 2 5 2 4 2 2 3 2 2 2" xfId="49394"/>
    <cellStyle name="Normal 2 5 2 4 2 2 3 2 3" xfId="42103"/>
    <cellStyle name="Normal 2 5 2 4 2 2 3 3" xfId="30920"/>
    <cellStyle name="Normal 2 5 2 4 2 2 3 3 2" xfId="45743"/>
    <cellStyle name="Normal 2 5 2 4 2 2 3 4" xfId="38417"/>
    <cellStyle name="Normal 2 5 2 4 2 2 3 5" xfId="23605"/>
    <cellStyle name="Normal 2 5 2 4 2 2 4" xfId="25422"/>
    <cellStyle name="Normal 2 5 2 4 2 2 4 2" xfId="32733"/>
    <cellStyle name="Normal 2 5 2 4 2 2 4 2 2" xfId="47556"/>
    <cellStyle name="Normal 2 5 2 4 2 2 4 3" xfId="40310"/>
    <cellStyle name="Normal 2 5 2 4 2 2 5" xfId="29079"/>
    <cellStyle name="Normal 2 5 2 4 2 2 5 2" xfId="43916"/>
    <cellStyle name="Normal 2 5 2 4 2 2 6" xfId="36117"/>
    <cellStyle name="Normal 2 5 2 4 2 2 7" xfId="21761"/>
    <cellStyle name="Normal 2 5 2 4 2 3" xfId="18253"/>
    <cellStyle name="Normal 2 5 2 4 2 3 2" xfId="20135"/>
    <cellStyle name="Normal 2 5 2 4 2 3 2 2" xfId="27461"/>
    <cellStyle name="Normal 2 5 2 4 2 3 2 2 2" xfId="34772"/>
    <cellStyle name="Normal 2 5 2 4 2 3 2 2 2 2" xfId="49592"/>
    <cellStyle name="Normal 2 5 2 4 2 3 2 2 3" xfId="42300"/>
    <cellStyle name="Normal 2 5 2 4 2 3 2 3" xfId="31118"/>
    <cellStyle name="Normal 2 5 2 4 2 3 2 3 2" xfId="45941"/>
    <cellStyle name="Normal 2 5 2 4 2 3 2 4" xfId="38616"/>
    <cellStyle name="Normal 2 5 2 4 2 3 2 5" xfId="23803"/>
    <cellStyle name="Normal 2 5 2 4 2 3 3" xfId="25635"/>
    <cellStyle name="Normal 2 5 2 4 2 3 3 2" xfId="32946"/>
    <cellStyle name="Normal 2 5 2 4 2 3 3 2 2" xfId="47766"/>
    <cellStyle name="Normal 2 5 2 4 2 3 3 3" xfId="40498"/>
    <cellStyle name="Normal 2 5 2 4 2 3 4" xfId="29292"/>
    <cellStyle name="Normal 2 5 2 4 2 3 4 2" xfId="44116"/>
    <cellStyle name="Normal 2 5 2 4 2 3 5" xfId="36893"/>
    <cellStyle name="Normal 2 5 2 4 2 3 6" xfId="21974"/>
    <cellStyle name="Normal 2 5 2 4 2 4" xfId="19443"/>
    <cellStyle name="Normal 2 5 2 4 2 4 2" xfId="26813"/>
    <cellStyle name="Normal 2 5 2 4 2 4 2 2" xfId="34124"/>
    <cellStyle name="Normal 2 5 2 4 2 4 2 2 2" xfId="48944"/>
    <cellStyle name="Normal 2 5 2 4 2 4 2 3" xfId="41653"/>
    <cellStyle name="Normal 2 5 2 4 2 4 3" xfId="30470"/>
    <cellStyle name="Normal 2 5 2 4 2 4 3 2" xfId="45293"/>
    <cellStyle name="Normal 2 5 2 4 2 4 4" xfId="37967"/>
    <cellStyle name="Normal 2 5 2 4 2 4 5" xfId="23155"/>
    <cellStyle name="Normal 2 5 2 4 2 5" xfId="24972"/>
    <cellStyle name="Normal 2 5 2 4 2 5 2" xfId="32283"/>
    <cellStyle name="Normal 2 5 2 4 2 5 2 2" xfId="47106"/>
    <cellStyle name="Normal 2 5 2 4 2 5 3" xfId="39867"/>
    <cellStyle name="Normal 2 5 2 4 2 6" xfId="28629"/>
    <cellStyle name="Normal 2 5 2 4 2 6 2" xfId="43466"/>
    <cellStyle name="Normal 2 5 2 4 2 7" xfId="35668"/>
    <cellStyle name="Normal 2 5 2 4 2 8" xfId="21311"/>
    <cellStyle name="Normal 2 5 2 4 3" xfId="17626"/>
    <cellStyle name="Normal 2 5 2 4 3 2" xfId="18740"/>
    <cellStyle name="Normal 2 5 2 4 3 2 2" xfId="20619"/>
    <cellStyle name="Normal 2 5 2 4 3 2 2 2" xfId="27945"/>
    <cellStyle name="Normal 2 5 2 4 3 2 2 2 2" xfId="35256"/>
    <cellStyle name="Normal 2 5 2 4 3 2 2 2 2 2" xfId="50076"/>
    <cellStyle name="Normal 2 5 2 4 3 2 2 2 3" xfId="42784"/>
    <cellStyle name="Normal 2 5 2 4 3 2 2 3" xfId="31602"/>
    <cellStyle name="Normal 2 5 2 4 3 2 2 3 2" xfId="46425"/>
    <cellStyle name="Normal 2 5 2 4 3 2 2 4" xfId="39100"/>
    <cellStyle name="Normal 2 5 2 4 3 2 2 5" xfId="24287"/>
    <cellStyle name="Normal 2 5 2 4 3 2 3" xfId="26119"/>
    <cellStyle name="Normal 2 5 2 4 3 2 3 2" xfId="33430"/>
    <cellStyle name="Normal 2 5 2 4 3 2 3 2 2" xfId="48250"/>
    <cellStyle name="Normal 2 5 2 4 3 2 3 3" xfId="40963"/>
    <cellStyle name="Normal 2 5 2 4 3 2 4" xfId="29776"/>
    <cellStyle name="Normal 2 5 2 4 3 2 4 2" xfId="44600"/>
    <cellStyle name="Normal 2 5 2 4 3 2 5" xfId="37377"/>
    <cellStyle name="Normal 2 5 2 4 3 2 6" xfId="22458"/>
    <cellStyle name="Normal 2 5 2 4 3 3" xfId="19670"/>
    <cellStyle name="Normal 2 5 2 4 3 3 2" xfId="27039"/>
    <cellStyle name="Normal 2 5 2 4 3 3 2 2" xfId="34350"/>
    <cellStyle name="Normal 2 5 2 4 3 3 2 2 2" xfId="49170"/>
    <cellStyle name="Normal 2 5 2 4 3 3 2 3" xfId="41879"/>
    <cellStyle name="Normal 2 5 2 4 3 3 3" xfId="30696"/>
    <cellStyle name="Normal 2 5 2 4 3 3 3 2" xfId="45519"/>
    <cellStyle name="Normal 2 5 2 4 3 3 4" xfId="38193"/>
    <cellStyle name="Normal 2 5 2 4 3 3 5" xfId="23381"/>
    <cellStyle name="Normal 2 5 2 4 3 4" xfId="25198"/>
    <cellStyle name="Normal 2 5 2 4 3 4 2" xfId="32509"/>
    <cellStyle name="Normal 2 5 2 4 3 4 2 2" xfId="47332"/>
    <cellStyle name="Normal 2 5 2 4 3 4 3" xfId="40090"/>
    <cellStyle name="Normal 2 5 2 4 3 5" xfId="28855"/>
    <cellStyle name="Normal 2 5 2 4 3 5 2" xfId="43692"/>
    <cellStyle name="Normal 2 5 2 4 3 6" xfId="36116"/>
    <cellStyle name="Normal 2 5 2 4 3 7" xfId="21537"/>
    <cellStyle name="Normal 2 5 2 4 4" xfId="18091"/>
    <cellStyle name="Normal 2 5 2 4 4 2" xfId="20134"/>
    <cellStyle name="Normal 2 5 2 4 4 2 2" xfId="27460"/>
    <cellStyle name="Normal 2 5 2 4 4 2 2 2" xfId="34771"/>
    <cellStyle name="Normal 2 5 2 4 4 2 2 2 2" xfId="49591"/>
    <cellStyle name="Normal 2 5 2 4 4 2 2 3" xfId="42299"/>
    <cellStyle name="Normal 2 5 2 4 4 2 3" xfId="31117"/>
    <cellStyle name="Normal 2 5 2 4 4 2 3 2" xfId="45940"/>
    <cellStyle name="Normal 2 5 2 4 4 2 4" xfId="38615"/>
    <cellStyle name="Normal 2 5 2 4 4 2 5" xfId="23802"/>
    <cellStyle name="Normal 2 5 2 4 4 3" xfId="25634"/>
    <cellStyle name="Normal 2 5 2 4 4 3 2" xfId="32945"/>
    <cellStyle name="Normal 2 5 2 4 4 3 2 2" xfId="47765"/>
    <cellStyle name="Normal 2 5 2 4 4 3 3" xfId="40497"/>
    <cellStyle name="Normal 2 5 2 4 4 4" xfId="29291"/>
    <cellStyle name="Normal 2 5 2 4 4 4 2" xfId="44115"/>
    <cellStyle name="Normal 2 5 2 4 4 5" xfId="36747"/>
    <cellStyle name="Normal 2 5 2 4 4 6" xfId="21973"/>
    <cellStyle name="Normal 2 5 2 4 5" xfId="18252"/>
    <cellStyle name="Normal 2 5 2 4 5 2" xfId="26591"/>
    <cellStyle name="Normal 2 5 2 4 5 2 2" xfId="33902"/>
    <cellStyle name="Normal 2 5 2 4 5 2 2 2" xfId="48722"/>
    <cellStyle name="Normal 2 5 2 4 5 2 3" xfId="41431"/>
    <cellStyle name="Normal 2 5 2 4 5 3" xfId="30248"/>
    <cellStyle name="Normal 2 5 2 4 5 3 2" xfId="45071"/>
    <cellStyle name="Normal 2 5 2 4 5 4" xfId="36892"/>
    <cellStyle name="Normal 2 5 2 4 5 5" xfId="22933"/>
    <cellStyle name="Normal 2 5 2 4 6" xfId="19221"/>
    <cellStyle name="Normal 2 5 2 4 6 2" xfId="32059"/>
    <cellStyle name="Normal 2 5 2 4 6 2 2" xfId="46882"/>
    <cellStyle name="Normal 2 5 2 4 6 3" xfId="37745"/>
    <cellStyle name="Normal 2 5 2 4 6 4" xfId="24748"/>
    <cellStyle name="Normal 2 5 2 4 7" xfId="28405"/>
    <cellStyle name="Normal 2 5 2 4 7 2" xfId="43242"/>
    <cellStyle name="Normal 2 5 2 4 7 3" xfId="36646"/>
    <cellStyle name="Normal 2 5 2 4 8" xfId="35667"/>
    <cellStyle name="Normal 2 5 2 4 9" xfId="21087"/>
    <cellStyle name="Normal 2 5 2 5" xfId="17181"/>
    <cellStyle name="Normal 2 5 2 5 2" xfId="17282"/>
    <cellStyle name="Normal 2 5 2 5 2 2" xfId="18120"/>
    <cellStyle name="Normal 2 5 2 5 2 2 2" xfId="20731"/>
    <cellStyle name="Normal 2 5 2 5 2 2 2 2" xfId="28057"/>
    <cellStyle name="Normal 2 5 2 5 2 2 2 2 2" xfId="35368"/>
    <cellStyle name="Normal 2 5 2 5 2 2 2 2 2 2" xfId="50188"/>
    <cellStyle name="Normal 2 5 2 5 2 2 2 2 3" xfId="42896"/>
    <cellStyle name="Normal 2 5 2 5 2 2 2 3" xfId="31714"/>
    <cellStyle name="Normal 2 5 2 5 2 2 2 3 2" xfId="46537"/>
    <cellStyle name="Normal 2 5 2 5 2 2 2 4" xfId="39212"/>
    <cellStyle name="Normal 2 5 2 5 2 2 2 5" xfId="24399"/>
    <cellStyle name="Normal 2 5 2 5 2 2 3" xfId="26231"/>
    <cellStyle name="Normal 2 5 2 5 2 2 3 2" xfId="33542"/>
    <cellStyle name="Normal 2 5 2 5 2 2 3 2 2" xfId="48362"/>
    <cellStyle name="Normal 2 5 2 5 2 2 3 3" xfId="41075"/>
    <cellStyle name="Normal 2 5 2 5 2 2 4" xfId="29888"/>
    <cellStyle name="Normal 2 5 2 5 2 2 4 2" xfId="44712"/>
    <cellStyle name="Normal 2 5 2 5 2 2 5" xfId="36776"/>
    <cellStyle name="Normal 2 5 2 5 2 2 6" xfId="22570"/>
    <cellStyle name="Normal 2 5 2 5 2 3" xfId="18852"/>
    <cellStyle name="Normal 2 5 2 5 2 3 2" xfId="27151"/>
    <cellStyle name="Normal 2 5 2 5 2 3 2 2" xfId="34462"/>
    <cellStyle name="Normal 2 5 2 5 2 3 2 2 2" xfId="49282"/>
    <cellStyle name="Normal 2 5 2 5 2 3 2 3" xfId="41991"/>
    <cellStyle name="Normal 2 5 2 5 2 3 3" xfId="30808"/>
    <cellStyle name="Normal 2 5 2 5 2 3 3 2" xfId="45631"/>
    <cellStyle name="Normal 2 5 2 5 2 3 4" xfId="37488"/>
    <cellStyle name="Normal 2 5 2 5 2 3 5" xfId="23493"/>
    <cellStyle name="Normal 2 5 2 5 2 4" xfId="19782"/>
    <cellStyle name="Normal 2 5 2 5 2 4 2" xfId="32621"/>
    <cellStyle name="Normal 2 5 2 5 2 4 2 2" xfId="47444"/>
    <cellStyle name="Normal 2 5 2 5 2 4 3" xfId="38305"/>
    <cellStyle name="Normal 2 5 2 5 2 4 4" xfId="25310"/>
    <cellStyle name="Normal 2 5 2 5 2 5" xfId="28967"/>
    <cellStyle name="Normal 2 5 2 5 2 5 2" xfId="43804"/>
    <cellStyle name="Normal 2 5 2 5 2 6" xfId="36118"/>
    <cellStyle name="Normal 2 5 2 5 2 7" xfId="21649"/>
    <cellStyle name="Normal 2 5 2 5 3" xfId="17738"/>
    <cellStyle name="Normal 2 5 2 5 3 2" xfId="20136"/>
    <cellStyle name="Normal 2 5 2 5 3 2 2" xfId="27462"/>
    <cellStyle name="Normal 2 5 2 5 3 2 2 2" xfId="34773"/>
    <cellStyle name="Normal 2 5 2 5 3 2 2 2 2" xfId="49593"/>
    <cellStyle name="Normal 2 5 2 5 3 2 2 3" xfId="42301"/>
    <cellStyle name="Normal 2 5 2 5 3 2 3" xfId="31119"/>
    <cellStyle name="Normal 2 5 2 5 3 2 3 2" xfId="45942"/>
    <cellStyle name="Normal 2 5 2 5 3 2 4" xfId="38617"/>
    <cellStyle name="Normal 2 5 2 5 3 2 5" xfId="23804"/>
    <cellStyle name="Normal 2 5 2 5 3 3" xfId="25636"/>
    <cellStyle name="Normal 2 5 2 5 3 3 2" xfId="32947"/>
    <cellStyle name="Normal 2 5 2 5 3 3 2 2" xfId="47767"/>
    <cellStyle name="Normal 2 5 2 5 3 3 3" xfId="40499"/>
    <cellStyle name="Normal 2 5 2 5 3 4" xfId="29293"/>
    <cellStyle name="Normal 2 5 2 5 3 4 2" xfId="44117"/>
    <cellStyle name="Normal 2 5 2 5 3 5" xfId="36687"/>
    <cellStyle name="Normal 2 5 2 5 3 6" xfId="21975"/>
    <cellStyle name="Normal 2 5 2 5 4" xfId="18254"/>
    <cellStyle name="Normal 2 5 2 5 4 2" xfId="26701"/>
    <cellStyle name="Normal 2 5 2 5 4 2 2" xfId="34012"/>
    <cellStyle name="Normal 2 5 2 5 4 2 2 2" xfId="48832"/>
    <cellStyle name="Normal 2 5 2 5 4 2 3" xfId="41541"/>
    <cellStyle name="Normal 2 5 2 5 4 3" xfId="30358"/>
    <cellStyle name="Normal 2 5 2 5 4 3 2" xfId="45181"/>
    <cellStyle name="Normal 2 5 2 5 4 4" xfId="36894"/>
    <cellStyle name="Normal 2 5 2 5 4 5" xfId="23043"/>
    <cellStyle name="Normal 2 5 2 5 5" xfId="19331"/>
    <cellStyle name="Normal 2 5 2 5 5 2" xfId="32171"/>
    <cellStyle name="Normal 2 5 2 5 5 2 2" xfId="46994"/>
    <cellStyle name="Normal 2 5 2 5 5 3" xfId="37855"/>
    <cellStyle name="Normal 2 5 2 5 5 4" xfId="24860"/>
    <cellStyle name="Normal 2 5 2 5 6" xfId="28517"/>
    <cellStyle name="Normal 2 5 2 5 6 2" xfId="43354"/>
    <cellStyle name="Normal 2 5 2 5 7" xfId="35669"/>
    <cellStyle name="Normal 2 5 2 5 8" xfId="21199"/>
    <cellStyle name="Normal 2 5 2 6" xfId="17514"/>
    <cellStyle name="Normal 2 5 2 6 2" xfId="18628"/>
    <cellStyle name="Normal 2 5 2 6 2 2" xfId="20507"/>
    <cellStyle name="Normal 2 5 2 6 2 2 2" xfId="27833"/>
    <cellStyle name="Normal 2 5 2 6 2 2 2 2" xfId="35144"/>
    <cellStyle name="Normal 2 5 2 6 2 2 2 2 2" xfId="49964"/>
    <cellStyle name="Normal 2 5 2 6 2 2 2 3" xfId="42672"/>
    <cellStyle name="Normal 2 5 2 6 2 2 3" xfId="31490"/>
    <cellStyle name="Normal 2 5 2 6 2 2 3 2" xfId="46313"/>
    <cellStyle name="Normal 2 5 2 6 2 2 4" xfId="38988"/>
    <cellStyle name="Normal 2 5 2 6 2 2 5" xfId="24175"/>
    <cellStyle name="Normal 2 5 2 6 2 3" xfId="26007"/>
    <cellStyle name="Normal 2 5 2 6 2 3 2" xfId="33318"/>
    <cellStyle name="Normal 2 5 2 6 2 3 2 2" xfId="48138"/>
    <cellStyle name="Normal 2 5 2 6 2 3 3" xfId="40851"/>
    <cellStyle name="Normal 2 5 2 6 2 4" xfId="29664"/>
    <cellStyle name="Normal 2 5 2 6 2 4 2" xfId="44488"/>
    <cellStyle name="Normal 2 5 2 6 2 5" xfId="37265"/>
    <cellStyle name="Normal 2 5 2 6 2 6" xfId="22346"/>
    <cellStyle name="Normal 2 5 2 6 3" xfId="19558"/>
    <cellStyle name="Normal 2 5 2 6 3 2" xfId="26927"/>
    <cellStyle name="Normal 2 5 2 6 3 2 2" xfId="34238"/>
    <cellStyle name="Normal 2 5 2 6 3 2 2 2" xfId="49058"/>
    <cellStyle name="Normal 2 5 2 6 3 2 3" xfId="41767"/>
    <cellStyle name="Normal 2 5 2 6 3 3" xfId="30584"/>
    <cellStyle name="Normal 2 5 2 6 3 3 2" xfId="45407"/>
    <cellStyle name="Normal 2 5 2 6 3 4" xfId="38081"/>
    <cellStyle name="Normal 2 5 2 6 3 5" xfId="23269"/>
    <cellStyle name="Normal 2 5 2 6 4" xfId="25086"/>
    <cellStyle name="Normal 2 5 2 6 4 2" xfId="32397"/>
    <cellStyle name="Normal 2 5 2 6 4 2 2" xfId="47220"/>
    <cellStyle name="Normal 2 5 2 6 4 3" xfId="39981"/>
    <cellStyle name="Normal 2 5 2 6 5" xfId="28743"/>
    <cellStyle name="Normal 2 5 2 6 5 2" xfId="43580"/>
    <cellStyle name="Normal 2 5 2 6 6" xfId="36103"/>
    <cellStyle name="Normal 2 5 2 6 7" xfId="21425"/>
    <cellStyle name="Normal 2 5 2 7" xfId="18043"/>
    <cellStyle name="Normal 2 5 2 7 2" xfId="18239"/>
    <cellStyle name="Normal 2 5 2 7 2 2" xfId="27447"/>
    <cellStyle name="Normal 2 5 2 7 2 2 2" xfId="34758"/>
    <cellStyle name="Normal 2 5 2 7 2 2 2 2" xfId="49578"/>
    <cellStyle name="Normal 2 5 2 7 2 2 3" xfId="42286"/>
    <cellStyle name="Normal 2 5 2 7 2 3" xfId="31104"/>
    <cellStyle name="Normal 2 5 2 7 2 3 2" xfId="45927"/>
    <cellStyle name="Normal 2 5 2 7 2 4" xfId="36879"/>
    <cellStyle name="Normal 2 5 2 7 2 5" xfId="23789"/>
    <cellStyle name="Normal 2 5 2 7 3" xfId="20121"/>
    <cellStyle name="Normal 2 5 2 7 3 2" xfId="32932"/>
    <cellStyle name="Normal 2 5 2 7 3 2 2" xfId="47752"/>
    <cellStyle name="Normal 2 5 2 7 3 3" xfId="38602"/>
    <cellStyle name="Normal 2 5 2 7 3 4" xfId="25621"/>
    <cellStyle name="Normal 2 5 2 7 4" xfId="29278"/>
    <cellStyle name="Normal 2 5 2 7 4 2" xfId="44102"/>
    <cellStyle name="Normal 2 5 2 7 5" xfId="36706"/>
    <cellStyle name="Normal 2 5 2 7 6" xfId="21960"/>
    <cellStyle name="Normal 2 5 2 8" xfId="20000"/>
    <cellStyle name="Normal 2 5 2 9" xfId="19113"/>
    <cellStyle name="Normal 2 5 2 9 2" xfId="26487"/>
    <cellStyle name="Normal 2 5 2 9 2 2" xfId="33798"/>
    <cellStyle name="Normal 2 5 2 9 2 2 2" xfId="48618"/>
    <cellStyle name="Normal 2 5 2 9 2 3" xfId="41327"/>
    <cellStyle name="Normal 2 5 2 9 3" xfId="30144"/>
    <cellStyle name="Normal 2 5 2 9 3 2" xfId="44967"/>
    <cellStyle name="Normal 2 5 2 9 4" xfId="37641"/>
    <cellStyle name="Normal 2 5 2 9 5" xfId="22829"/>
    <cellStyle name="Normal 2 5 2_2010_02_17_Затраты_v2" xfId="14857"/>
    <cellStyle name="Normal 2 5 3" xfId="17198"/>
    <cellStyle name="Normal 2 5 3 10" xfId="35670"/>
    <cellStyle name="Normal 2 5 3 11" xfId="20989"/>
    <cellStyle name="Normal 2 5 3 2" xfId="17355"/>
    <cellStyle name="Normal 2 5 3 2 10" xfId="21045"/>
    <cellStyle name="Normal 2 5 3 2 2" xfId="17470"/>
    <cellStyle name="Normal 2 5 3 2 2 2" xfId="17920"/>
    <cellStyle name="Normal 2 5 3 2 2 2 2" xfId="19034"/>
    <cellStyle name="Normal 2 5 3 2 2 2 2 2" xfId="20913"/>
    <cellStyle name="Normal 2 5 3 2 2 2 2 2 2" xfId="24581"/>
    <cellStyle name="Normal 2 5 3 2 2 2 2 2 2 2" xfId="28239"/>
    <cellStyle name="Normal 2 5 3 2 2 2 2 2 2 2 2" xfId="35550"/>
    <cellStyle name="Normal 2 5 3 2 2 2 2 2 2 2 2 2" xfId="50370"/>
    <cellStyle name="Normal 2 5 3 2 2 2 2 2 2 2 3" xfId="43078"/>
    <cellStyle name="Normal 2 5 3 2 2 2 2 2 2 3" xfId="31896"/>
    <cellStyle name="Normal 2 5 3 2 2 2 2 2 2 3 2" xfId="46719"/>
    <cellStyle name="Normal 2 5 3 2 2 2 2 2 2 4" xfId="39513"/>
    <cellStyle name="Normal 2 5 3 2 2 2 2 2 3" xfId="26413"/>
    <cellStyle name="Normal 2 5 3 2 2 2 2 2 3 2" xfId="33724"/>
    <cellStyle name="Normal 2 5 3 2 2 2 2 2 3 2 2" xfId="48544"/>
    <cellStyle name="Normal 2 5 3 2 2 2 2 2 3 3" xfId="41257"/>
    <cellStyle name="Normal 2 5 3 2 2 2 2 2 4" xfId="30070"/>
    <cellStyle name="Normal 2 5 3 2 2 2 2 2 4 2" xfId="44894"/>
    <cellStyle name="Normal 2 5 3 2 2 2 2 2 5" xfId="39394"/>
    <cellStyle name="Normal 2 5 3 2 2 2 2 2 6" xfId="22752"/>
    <cellStyle name="Normal 2 5 3 2 2 2 2 3" xfId="19964"/>
    <cellStyle name="Normal 2 5 3 2 2 2 2 3 2" xfId="27333"/>
    <cellStyle name="Normal 2 5 3 2 2 2 2 3 2 2" xfId="34644"/>
    <cellStyle name="Normal 2 5 3 2 2 2 2 3 2 2 2" xfId="49464"/>
    <cellStyle name="Normal 2 5 3 2 2 2 2 3 2 3" xfId="42173"/>
    <cellStyle name="Normal 2 5 3 2 2 2 2 3 3" xfId="30990"/>
    <cellStyle name="Normal 2 5 3 2 2 2 2 3 3 2" xfId="45813"/>
    <cellStyle name="Normal 2 5 3 2 2 2 2 3 4" xfId="38487"/>
    <cellStyle name="Normal 2 5 3 2 2 2 2 3 5" xfId="23675"/>
    <cellStyle name="Normal 2 5 3 2 2 2 2 4" xfId="25492"/>
    <cellStyle name="Normal 2 5 3 2 2 2 2 4 2" xfId="32803"/>
    <cellStyle name="Normal 2 5 3 2 2 2 2 4 2 2" xfId="47626"/>
    <cellStyle name="Normal 2 5 3 2 2 2 2 4 3" xfId="40380"/>
    <cellStyle name="Normal 2 5 3 2 2 2 2 5" xfId="29149"/>
    <cellStyle name="Normal 2 5 3 2 2 2 2 5 2" xfId="43986"/>
    <cellStyle name="Normal 2 5 3 2 2 2 2 6" xfId="36122"/>
    <cellStyle name="Normal 2 5 3 2 2 2 2 7" xfId="21831"/>
    <cellStyle name="Normal 2 5 3 2 2 2 3" xfId="18258"/>
    <cellStyle name="Normal 2 5 3 2 2 2 3 2" xfId="20140"/>
    <cellStyle name="Normal 2 5 3 2 2 2 3 2 2" xfId="27466"/>
    <cellStyle name="Normal 2 5 3 2 2 2 3 2 2 2" xfId="34777"/>
    <cellStyle name="Normal 2 5 3 2 2 2 3 2 2 2 2" xfId="49597"/>
    <cellStyle name="Normal 2 5 3 2 2 2 3 2 2 3" xfId="42305"/>
    <cellStyle name="Normal 2 5 3 2 2 2 3 2 3" xfId="31123"/>
    <cellStyle name="Normal 2 5 3 2 2 2 3 2 3 2" xfId="45946"/>
    <cellStyle name="Normal 2 5 3 2 2 2 3 2 4" xfId="38621"/>
    <cellStyle name="Normal 2 5 3 2 2 2 3 2 5" xfId="23808"/>
    <cellStyle name="Normal 2 5 3 2 2 2 3 3" xfId="25640"/>
    <cellStyle name="Normal 2 5 3 2 2 2 3 3 2" xfId="32951"/>
    <cellStyle name="Normal 2 5 3 2 2 2 3 3 2 2" xfId="47771"/>
    <cellStyle name="Normal 2 5 3 2 2 2 3 3 3" xfId="40503"/>
    <cellStyle name="Normal 2 5 3 2 2 2 3 4" xfId="29297"/>
    <cellStyle name="Normal 2 5 3 2 2 2 3 4 2" xfId="44121"/>
    <cellStyle name="Normal 2 5 3 2 2 2 3 5" xfId="36898"/>
    <cellStyle name="Normal 2 5 3 2 2 2 3 6" xfId="21979"/>
    <cellStyle name="Normal 2 5 3 2 2 2 4" xfId="19513"/>
    <cellStyle name="Normal 2 5 3 2 2 2 4 2" xfId="26883"/>
    <cellStyle name="Normal 2 5 3 2 2 2 4 2 2" xfId="34194"/>
    <cellStyle name="Normal 2 5 3 2 2 2 4 2 2 2" xfId="49014"/>
    <cellStyle name="Normal 2 5 3 2 2 2 4 2 3" xfId="41723"/>
    <cellStyle name="Normal 2 5 3 2 2 2 4 3" xfId="30540"/>
    <cellStyle name="Normal 2 5 3 2 2 2 4 3 2" xfId="45363"/>
    <cellStyle name="Normal 2 5 3 2 2 2 4 4" xfId="38037"/>
    <cellStyle name="Normal 2 5 3 2 2 2 4 5" xfId="23225"/>
    <cellStyle name="Normal 2 5 3 2 2 2 5" xfId="25042"/>
    <cellStyle name="Normal 2 5 3 2 2 2 5 2" xfId="32353"/>
    <cellStyle name="Normal 2 5 3 2 2 2 5 2 2" xfId="47176"/>
    <cellStyle name="Normal 2 5 3 2 2 2 5 3" xfId="39937"/>
    <cellStyle name="Normal 2 5 3 2 2 2 6" xfId="28699"/>
    <cellStyle name="Normal 2 5 3 2 2 2 6 2" xfId="43536"/>
    <cellStyle name="Normal 2 5 3 2 2 2 7" xfId="35673"/>
    <cellStyle name="Normal 2 5 3 2 2 2 8" xfId="21381"/>
    <cellStyle name="Normal 2 5 3 2 2 3" xfId="17696"/>
    <cellStyle name="Normal 2 5 3 2 2 3 2" xfId="18810"/>
    <cellStyle name="Normal 2 5 3 2 2 3 2 2" xfId="20689"/>
    <cellStyle name="Normal 2 5 3 2 2 3 2 2 2" xfId="28015"/>
    <cellStyle name="Normal 2 5 3 2 2 3 2 2 2 2" xfId="35326"/>
    <cellStyle name="Normal 2 5 3 2 2 3 2 2 2 2 2" xfId="50146"/>
    <cellStyle name="Normal 2 5 3 2 2 3 2 2 2 3" xfId="42854"/>
    <cellStyle name="Normal 2 5 3 2 2 3 2 2 3" xfId="31672"/>
    <cellStyle name="Normal 2 5 3 2 2 3 2 2 3 2" xfId="46495"/>
    <cellStyle name="Normal 2 5 3 2 2 3 2 2 4" xfId="39170"/>
    <cellStyle name="Normal 2 5 3 2 2 3 2 2 5" xfId="24357"/>
    <cellStyle name="Normal 2 5 3 2 2 3 2 3" xfId="26189"/>
    <cellStyle name="Normal 2 5 3 2 2 3 2 3 2" xfId="33500"/>
    <cellStyle name="Normal 2 5 3 2 2 3 2 3 2 2" xfId="48320"/>
    <cellStyle name="Normal 2 5 3 2 2 3 2 3 3" xfId="41033"/>
    <cellStyle name="Normal 2 5 3 2 2 3 2 4" xfId="29846"/>
    <cellStyle name="Normal 2 5 3 2 2 3 2 4 2" xfId="44670"/>
    <cellStyle name="Normal 2 5 3 2 2 3 2 5" xfId="37447"/>
    <cellStyle name="Normal 2 5 3 2 2 3 2 6" xfId="22528"/>
    <cellStyle name="Normal 2 5 3 2 2 3 3" xfId="19740"/>
    <cellStyle name="Normal 2 5 3 2 2 3 3 2" xfId="27109"/>
    <cellStyle name="Normal 2 5 3 2 2 3 3 2 2" xfId="34420"/>
    <cellStyle name="Normal 2 5 3 2 2 3 3 2 2 2" xfId="49240"/>
    <cellStyle name="Normal 2 5 3 2 2 3 3 2 3" xfId="41949"/>
    <cellStyle name="Normal 2 5 3 2 2 3 3 3" xfId="30766"/>
    <cellStyle name="Normal 2 5 3 2 2 3 3 3 2" xfId="45589"/>
    <cellStyle name="Normal 2 5 3 2 2 3 3 4" xfId="38263"/>
    <cellStyle name="Normal 2 5 3 2 2 3 3 5" xfId="23451"/>
    <cellStyle name="Normal 2 5 3 2 2 3 4" xfId="25268"/>
    <cellStyle name="Normal 2 5 3 2 2 3 4 2" xfId="32579"/>
    <cellStyle name="Normal 2 5 3 2 2 3 4 2 2" xfId="47402"/>
    <cellStyle name="Normal 2 5 3 2 2 3 4 3" xfId="40160"/>
    <cellStyle name="Normal 2 5 3 2 2 3 5" xfId="28925"/>
    <cellStyle name="Normal 2 5 3 2 2 3 5 2" xfId="43762"/>
    <cellStyle name="Normal 2 5 3 2 2 3 6" xfId="36121"/>
    <cellStyle name="Normal 2 5 3 2 2 3 7" xfId="21607"/>
    <cellStyle name="Normal 2 5 3 2 2 4" xfId="18257"/>
    <cellStyle name="Normal 2 5 3 2 2 4 2" xfId="20139"/>
    <cellStyle name="Normal 2 5 3 2 2 4 2 2" xfId="27465"/>
    <cellStyle name="Normal 2 5 3 2 2 4 2 2 2" xfId="34776"/>
    <cellStyle name="Normal 2 5 3 2 2 4 2 2 2 2" xfId="49596"/>
    <cellStyle name="Normal 2 5 3 2 2 4 2 2 3" xfId="42304"/>
    <cellStyle name="Normal 2 5 3 2 2 4 2 3" xfId="31122"/>
    <cellStyle name="Normal 2 5 3 2 2 4 2 3 2" xfId="45945"/>
    <cellStyle name="Normal 2 5 3 2 2 4 2 4" xfId="38620"/>
    <cellStyle name="Normal 2 5 3 2 2 4 2 5" xfId="23807"/>
    <cellStyle name="Normal 2 5 3 2 2 4 3" xfId="25639"/>
    <cellStyle name="Normal 2 5 3 2 2 4 3 2" xfId="32950"/>
    <cellStyle name="Normal 2 5 3 2 2 4 3 2 2" xfId="47770"/>
    <cellStyle name="Normal 2 5 3 2 2 4 3 3" xfId="40502"/>
    <cellStyle name="Normal 2 5 3 2 2 4 4" xfId="29296"/>
    <cellStyle name="Normal 2 5 3 2 2 4 4 2" xfId="44120"/>
    <cellStyle name="Normal 2 5 3 2 2 4 5" xfId="36897"/>
    <cellStyle name="Normal 2 5 3 2 2 4 6" xfId="21978"/>
    <cellStyle name="Normal 2 5 3 2 2 5" xfId="19289"/>
    <cellStyle name="Normal 2 5 3 2 2 5 2" xfId="26659"/>
    <cellStyle name="Normal 2 5 3 2 2 5 2 2" xfId="33970"/>
    <cellStyle name="Normal 2 5 3 2 2 5 2 2 2" xfId="48790"/>
    <cellStyle name="Normal 2 5 3 2 2 5 2 3" xfId="41499"/>
    <cellStyle name="Normal 2 5 3 2 2 5 3" xfId="30316"/>
    <cellStyle name="Normal 2 5 3 2 2 5 3 2" xfId="45139"/>
    <cellStyle name="Normal 2 5 3 2 2 5 4" xfId="37813"/>
    <cellStyle name="Normal 2 5 3 2 2 5 5" xfId="23001"/>
    <cellStyle name="Normal 2 5 3 2 2 6" xfId="24818"/>
    <cellStyle name="Normal 2 5 3 2 2 6 2" xfId="32129"/>
    <cellStyle name="Normal 2 5 3 2 2 6 2 2" xfId="46952"/>
    <cellStyle name="Normal 2 5 3 2 2 6 3" xfId="39717"/>
    <cellStyle name="Normal 2 5 3 2 2 7" xfId="28475"/>
    <cellStyle name="Normal 2 5 3 2 2 7 2" xfId="43312"/>
    <cellStyle name="Normal 2 5 3 2 2 8" xfId="35672"/>
    <cellStyle name="Normal 2 5 3 2 2 9" xfId="21157"/>
    <cellStyle name="Normal 2 5 3 2 3" xfId="17808"/>
    <cellStyle name="Normal 2 5 3 2 3 2" xfId="18922"/>
    <cellStyle name="Normal 2 5 3 2 3 2 2" xfId="20801"/>
    <cellStyle name="Normal 2 5 3 2 3 2 2 2" xfId="24469"/>
    <cellStyle name="Normal 2 5 3 2 3 2 2 2 2" xfId="28127"/>
    <cellStyle name="Normal 2 5 3 2 3 2 2 2 2 2" xfId="35438"/>
    <cellStyle name="Normal 2 5 3 2 3 2 2 2 2 2 2" xfId="50258"/>
    <cellStyle name="Normal 2 5 3 2 3 2 2 2 2 3" xfId="42966"/>
    <cellStyle name="Normal 2 5 3 2 3 2 2 2 3" xfId="31784"/>
    <cellStyle name="Normal 2 5 3 2 3 2 2 2 3 2" xfId="46607"/>
    <cellStyle name="Normal 2 5 3 2 3 2 2 2 4" xfId="39433"/>
    <cellStyle name="Normal 2 5 3 2 3 2 2 3" xfId="26301"/>
    <cellStyle name="Normal 2 5 3 2 3 2 2 3 2" xfId="33612"/>
    <cellStyle name="Normal 2 5 3 2 3 2 2 3 2 2" xfId="48432"/>
    <cellStyle name="Normal 2 5 3 2 3 2 2 3 3" xfId="41145"/>
    <cellStyle name="Normal 2 5 3 2 3 2 2 4" xfId="29958"/>
    <cellStyle name="Normal 2 5 3 2 3 2 2 4 2" xfId="44782"/>
    <cellStyle name="Normal 2 5 3 2 3 2 2 5" xfId="39282"/>
    <cellStyle name="Normal 2 5 3 2 3 2 2 6" xfId="22640"/>
    <cellStyle name="Normal 2 5 3 2 3 2 3" xfId="19852"/>
    <cellStyle name="Normal 2 5 3 2 3 2 3 2" xfId="27221"/>
    <cellStyle name="Normal 2 5 3 2 3 2 3 2 2" xfId="34532"/>
    <cellStyle name="Normal 2 5 3 2 3 2 3 2 2 2" xfId="49352"/>
    <cellStyle name="Normal 2 5 3 2 3 2 3 2 3" xfId="42061"/>
    <cellStyle name="Normal 2 5 3 2 3 2 3 3" xfId="30878"/>
    <cellStyle name="Normal 2 5 3 2 3 2 3 3 2" xfId="45701"/>
    <cellStyle name="Normal 2 5 3 2 3 2 3 4" xfId="38375"/>
    <cellStyle name="Normal 2 5 3 2 3 2 3 5" xfId="23563"/>
    <cellStyle name="Normal 2 5 3 2 3 2 4" xfId="25380"/>
    <cellStyle name="Normal 2 5 3 2 3 2 4 2" xfId="32691"/>
    <cellStyle name="Normal 2 5 3 2 3 2 4 2 2" xfId="47514"/>
    <cellStyle name="Normal 2 5 3 2 3 2 4 3" xfId="40268"/>
    <cellStyle name="Normal 2 5 3 2 3 2 5" xfId="29037"/>
    <cellStyle name="Normal 2 5 3 2 3 2 5 2" xfId="43874"/>
    <cellStyle name="Normal 2 5 3 2 3 2 6" xfId="36123"/>
    <cellStyle name="Normal 2 5 3 2 3 2 7" xfId="21719"/>
    <cellStyle name="Normal 2 5 3 2 3 3" xfId="18259"/>
    <cellStyle name="Normal 2 5 3 2 3 3 2" xfId="20141"/>
    <cellStyle name="Normal 2 5 3 2 3 3 2 2" xfId="27467"/>
    <cellStyle name="Normal 2 5 3 2 3 3 2 2 2" xfId="34778"/>
    <cellStyle name="Normal 2 5 3 2 3 3 2 2 2 2" xfId="49598"/>
    <cellStyle name="Normal 2 5 3 2 3 3 2 2 3" xfId="42306"/>
    <cellStyle name="Normal 2 5 3 2 3 3 2 3" xfId="31124"/>
    <cellStyle name="Normal 2 5 3 2 3 3 2 3 2" xfId="45947"/>
    <cellStyle name="Normal 2 5 3 2 3 3 2 4" xfId="38622"/>
    <cellStyle name="Normal 2 5 3 2 3 3 2 5" xfId="23809"/>
    <cellStyle name="Normal 2 5 3 2 3 3 3" xfId="25641"/>
    <cellStyle name="Normal 2 5 3 2 3 3 3 2" xfId="32952"/>
    <cellStyle name="Normal 2 5 3 2 3 3 3 2 2" xfId="47772"/>
    <cellStyle name="Normal 2 5 3 2 3 3 3 3" xfId="40504"/>
    <cellStyle name="Normal 2 5 3 2 3 3 4" xfId="29298"/>
    <cellStyle name="Normal 2 5 3 2 3 3 4 2" xfId="44122"/>
    <cellStyle name="Normal 2 5 3 2 3 3 5" xfId="36899"/>
    <cellStyle name="Normal 2 5 3 2 3 3 6" xfId="21980"/>
    <cellStyle name="Normal 2 5 3 2 3 4" xfId="19401"/>
    <cellStyle name="Normal 2 5 3 2 3 4 2" xfId="26771"/>
    <cellStyle name="Normal 2 5 3 2 3 4 2 2" xfId="34082"/>
    <cellStyle name="Normal 2 5 3 2 3 4 2 2 2" xfId="48902"/>
    <cellStyle name="Normal 2 5 3 2 3 4 2 3" xfId="41611"/>
    <cellStyle name="Normal 2 5 3 2 3 4 3" xfId="30428"/>
    <cellStyle name="Normal 2 5 3 2 3 4 3 2" xfId="45251"/>
    <cellStyle name="Normal 2 5 3 2 3 4 4" xfId="37925"/>
    <cellStyle name="Normal 2 5 3 2 3 4 5" xfId="23113"/>
    <cellStyle name="Normal 2 5 3 2 3 5" xfId="24930"/>
    <cellStyle name="Normal 2 5 3 2 3 5 2" xfId="32241"/>
    <cellStyle name="Normal 2 5 3 2 3 5 2 2" xfId="47064"/>
    <cellStyle name="Normal 2 5 3 2 3 5 3" xfId="39825"/>
    <cellStyle name="Normal 2 5 3 2 3 6" xfId="28587"/>
    <cellStyle name="Normal 2 5 3 2 3 6 2" xfId="43424"/>
    <cellStyle name="Normal 2 5 3 2 3 7" xfId="35674"/>
    <cellStyle name="Normal 2 5 3 2 3 8" xfId="21269"/>
    <cellStyle name="Normal 2 5 3 2 4" xfId="17584"/>
    <cellStyle name="Normal 2 5 3 2 4 2" xfId="18698"/>
    <cellStyle name="Normal 2 5 3 2 4 2 2" xfId="20577"/>
    <cellStyle name="Normal 2 5 3 2 4 2 2 2" xfId="27903"/>
    <cellStyle name="Normal 2 5 3 2 4 2 2 2 2" xfId="35214"/>
    <cellStyle name="Normal 2 5 3 2 4 2 2 2 2 2" xfId="50034"/>
    <cellStyle name="Normal 2 5 3 2 4 2 2 2 3" xfId="42742"/>
    <cellStyle name="Normal 2 5 3 2 4 2 2 3" xfId="31560"/>
    <cellStyle name="Normal 2 5 3 2 4 2 2 3 2" xfId="46383"/>
    <cellStyle name="Normal 2 5 3 2 4 2 2 4" xfId="39058"/>
    <cellStyle name="Normal 2 5 3 2 4 2 2 5" xfId="24245"/>
    <cellStyle name="Normal 2 5 3 2 4 2 3" xfId="26077"/>
    <cellStyle name="Normal 2 5 3 2 4 2 3 2" xfId="33388"/>
    <cellStyle name="Normal 2 5 3 2 4 2 3 2 2" xfId="48208"/>
    <cellStyle name="Normal 2 5 3 2 4 2 3 3" xfId="40921"/>
    <cellStyle name="Normal 2 5 3 2 4 2 4" xfId="29734"/>
    <cellStyle name="Normal 2 5 3 2 4 2 4 2" xfId="44558"/>
    <cellStyle name="Normal 2 5 3 2 4 2 5" xfId="37335"/>
    <cellStyle name="Normal 2 5 3 2 4 2 6" xfId="22416"/>
    <cellStyle name="Normal 2 5 3 2 4 3" xfId="19628"/>
    <cellStyle name="Normal 2 5 3 2 4 3 2" xfId="26997"/>
    <cellStyle name="Normal 2 5 3 2 4 3 2 2" xfId="34308"/>
    <cellStyle name="Normal 2 5 3 2 4 3 2 2 2" xfId="49128"/>
    <cellStyle name="Normal 2 5 3 2 4 3 2 3" xfId="41837"/>
    <cellStyle name="Normal 2 5 3 2 4 3 3" xfId="30654"/>
    <cellStyle name="Normal 2 5 3 2 4 3 3 2" xfId="45477"/>
    <cellStyle name="Normal 2 5 3 2 4 3 4" xfId="38151"/>
    <cellStyle name="Normal 2 5 3 2 4 3 5" xfId="23339"/>
    <cellStyle name="Normal 2 5 3 2 4 4" xfId="25156"/>
    <cellStyle name="Normal 2 5 3 2 4 4 2" xfId="32467"/>
    <cellStyle name="Normal 2 5 3 2 4 4 2 2" xfId="47290"/>
    <cellStyle name="Normal 2 5 3 2 4 4 3" xfId="40050"/>
    <cellStyle name="Normal 2 5 3 2 4 5" xfId="28813"/>
    <cellStyle name="Normal 2 5 3 2 4 5 2" xfId="43650"/>
    <cellStyle name="Normal 2 5 3 2 4 6" xfId="36120"/>
    <cellStyle name="Normal 2 5 3 2 4 7" xfId="21495"/>
    <cellStyle name="Normal 2 5 3 2 5" xfId="18256"/>
    <cellStyle name="Normal 2 5 3 2 5 2" xfId="20138"/>
    <cellStyle name="Normal 2 5 3 2 5 2 2" xfId="27464"/>
    <cellStyle name="Normal 2 5 3 2 5 2 2 2" xfId="34775"/>
    <cellStyle name="Normal 2 5 3 2 5 2 2 2 2" xfId="49595"/>
    <cellStyle name="Normal 2 5 3 2 5 2 2 3" xfId="42303"/>
    <cellStyle name="Normal 2 5 3 2 5 2 3" xfId="31121"/>
    <cellStyle name="Normal 2 5 3 2 5 2 3 2" xfId="45944"/>
    <cellStyle name="Normal 2 5 3 2 5 2 4" xfId="38619"/>
    <cellStyle name="Normal 2 5 3 2 5 2 5" xfId="23806"/>
    <cellStyle name="Normal 2 5 3 2 5 3" xfId="25638"/>
    <cellStyle name="Normal 2 5 3 2 5 3 2" xfId="32949"/>
    <cellStyle name="Normal 2 5 3 2 5 3 2 2" xfId="47769"/>
    <cellStyle name="Normal 2 5 3 2 5 3 3" xfId="40501"/>
    <cellStyle name="Normal 2 5 3 2 5 4" xfId="29295"/>
    <cellStyle name="Normal 2 5 3 2 5 4 2" xfId="44119"/>
    <cellStyle name="Normal 2 5 3 2 5 5" xfId="36896"/>
    <cellStyle name="Normal 2 5 3 2 5 6" xfId="21977"/>
    <cellStyle name="Normal 2 5 3 2 6" xfId="19179"/>
    <cellStyle name="Normal 2 5 3 2 6 2" xfId="26550"/>
    <cellStyle name="Normal 2 5 3 2 6 2 2" xfId="33861"/>
    <cellStyle name="Normal 2 5 3 2 6 2 2 2" xfId="48681"/>
    <cellStyle name="Normal 2 5 3 2 6 2 3" xfId="41390"/>
    <cellStyle name="Normal 2 5 3 2 6 3" xfId="30207"/>
    <cellStyle name="Normal 2 5 3 2 6 3 2" xfId="45030"/>
    <cellStyle name="Normal 2 5 3 2 6 4" xfId="37704"/>
    <cellStyle name="Normal 2 5 3 2 6 5" xfId="22892"/>
    <cellStyle name="Normal 2 5 3 2 7" xfId="24706"/>
    <cellStyle name="Normal 2 5 3 2 7 2" xfId="32017"/>
    <cellStyle name="Normal 2 5 3 2 7 2 2" xfId="46840"/>
    <cellStyle name="Normal 2 5 3 2 7 3" xfId="39612"/>
    <cellStyle name="Normal 2 5 3 2 8" xfId="28363"/>
    <cellStyle name="Normal 2 5 3 2 8 2" xfId="43200"/>
    <cellStyle name="Normal 2 5 3 2 9" xfId="35671"/>
    <cellStyle name="Normal 2 5 3 3" xfId="17414"/>
    <cellStyle name="Normal 2 5 3 3 2" xfId="17864"/>
    <cellStyle name="Normal 2 5 3 3 2 2" xfId="18978"/>
    <cellStyle name="Normal 2 5 3 3 2 2 2" xfId="20857"/>
    <cellStyle name="Normal 2 5 3 3 2 2 2 2" xfId="24525"/>
    <cellStyle name="Normal 2 5 3 3 2 2 2 2 2" xfId="28183"/>
    <cellStyle name="Normal 2 5 3 3 2 2 2 2 2 2" xfId="35494"/>
    <cellStyle name="Normal 2 5 3 3 2 2 2 2 2 2 2" xfId="50314"/>
    <cellStyle name="Normal 2 5 3 3 2 2 2 2 2 3" xfId="43022"/>
    <cellStyle name="Normal 2 5 3 3 2 2 2 2 3" xfId="31840"/>
    <cellStyle name="Normal 2 5 3 3 2 2 2 2 3 2" xfId="46663"/>
    <cellStyle name="Normal 2 5 3 3 2 2 2 2 4" xfId="39465"/>
    <cellStyle name="Normal 2 5 3 3 2 2 2 3" xfId="26357"/>
    <cellStyle name="Normal 2 5 3 3 2 2 2 3 2" xfId="33668"/>
    <cellStyle name="Normal 2 5 3 3 2 2 2 3 2 2" xfId="48488"/>
    <cellStyle name="Normal 2 5 3 3 2 2 2 3 3" xfId="41201"/>
    <cellStyle name="Normal 2 5 3 3 2 2 2 4" xfId="30014"/>
    <cellStyle name="Normal 2 5 3 3 2 2 2 4 2" xfId="44838"/>
    <cellStyle name="Normal 2 5 3 3 2 2 2 5" xfId="39338"/>
    <cellStyle name="Normal 2 5 3 3 2 2 2 6" xfId="22696"/>
    <cellStyle name="Normal 2 5 3 3 2 2 3" xfId="19908"/>
    <cellStyle name="Normal 2 5 3 3 2 2 3 2" xfId="27277"/>
    <cellStyle name="Normal 2 5 3 3 2 2 3 2 2" xfId="34588"/>
    <cellStyle name="Normal 2 5 3 3 2 2 3 2 2 2" xfId="49408"/>
    <cellStyle name="Normal 2 5 3 3 2 2 3 2 3" xfId="42117"/>
    <cellStyle name="Normal 2 5 3 3 2 2 3 3" xfId="30934"/>
    <cellStyle name="Normal 2 5 3 3 2 2 3 3 2" xfId="45757"/>
    <cellStyle name="Normal 2 5 3 3 2 2 3 4" xfId="38431"/>
    <cellStyle name="Normal 2 5 3 3 2 2 3 5" xfId="23619"/>
    <cellStyle name="Normal 2 5 3 3 2 2 4" xfId="25436"/>
    <cellStyle name="Normal 2 5 3 3 2 2 4 2" xfId="32747"/>
    <cellStyle name="Normal 2 5 3 3 2 2 4 2 2" xfId="47570"/>
    <cellStyle name="Normal 2 5 3 3 2 2 4 3" xfId="40324"/>
    <cellStyle name="Normal 2 5 3 3 2 2 5" xfId="29093"/>
    <cellStyle name="Normal 2 5 3 3 2 2 5 2" xfId="43930"/>
    <cellStyle name="Normal 2 5 3 3 2 2 6" xfId="36125"/>
    <cellStyle name="Normal 2 5 3 3 2 2 7" xfId="21775"/>
    <cellStyle name="Normal 2 5 3 3 2 3" xfId="18261"/>
    <cellStyle name="Normal 2 5 3 3 2 3 2" xfId="20143"/>
    <cellStyle name="Normal 2 5 3 3 2 3 2 2" xfId="27469"/>
    <cellStyle name="Normal 2 5 3 3 2 3 2 2 2" xfId="34780"/>
    <cellStyle name="Normal 2 5 3 3 2 3 2 2 2 2" xfId="49600"/>
    <cellStyle name="Normal 2 5 3 3 2 3 2 2 3" xfId="42308"/>
    <cellStyle name="Normal 2 5 3 3 2 3 2 3" xfId="31126"/>
    <cellStyle name="Normal 2 5 3 3 2 3 2 3 2" xfId="45949"/>
    <cellStyle name="Normal 2 5 3 3 2 3 2 4" xfId="38624"/>
    <cellStyle name="Normal 2 5 3 3 2 3 2 5" xfId="23811"/>
    <cellStyle name="Normal 2 5 3 3 2 3 3" xfId="25643"/>
    <cellStyle name="Normal 2 5 3 3 2 3 3 2" xfId="32954"/>
    <cellStyle name="Normal 2 5 3 3 2 3 3 2 2" xfId="47774"/>
    <cellStyle name="Normal 2 5 3 3 2 3 3 3" xfId="40506"/>
    <cellStyle name="Normal 2 5 3 3 2 3 4" xfId="29300"/>
    <cellStyle name="Normal 2 5 3 3 2 3 4 2" xfId="44124"/>
    <cellStyle name="Normal 2 5 3 3 2 3 5" xfId="36901"/>
    <cellStyle name="Normal 2 5 3 3 2 3 6" xfId="21982"/>
    <cellStyle name="Normal 2 5 3 3 2 4" xfId="19457"/>
    <cellStyle name="Normal 2 5 3 3 2 4 2" xfId="26827"/>
    <cellStyle name="Normal 2 5 3 3 2 4 2 2" xfId="34138"/>
    <cellStyle name="Normal 2 5 3 3 2 4 2 2 2" xfId="48958"/>
    <cellStyle name="Normal 2 5 3 3 2 4 2 3" xfId="41667"/>
    <cellStyle name="Normal 2 5 3 3 2 4 3" xfId="30484"/>
    <cellStyle name="Normal 2 5 3 3 2 4 3 2" xfId="45307"/>
    <cellStyle name="Normal 2 5 3 3 2 4 4" xfId="37981"/>
    <cellStyle name="Normal 2 5 3 3 2 4 5" xfId="23169"/>
    <cellStyle name="Normal 2 5 3 3 2 5" xfId="24986"/>
    <cellStyle name="Normal 2 5 3 3 2 5 2" xfId="32297"/>
    <cellStyle name="Normal 2 5 3 3 2 5 2 2" xfId="47120"/>
    <cellStyle name="Normal 2 5 3 3 2 5 3" xfId="39881"/>
    <cellStyle name="Normal 2 5 3 3 2 6" xfId="28643"/>
    <cellStyle name="Normal 2 5 3 3 2 6 2" xfId="43480"/>
    <cellStyle name="Normal 2 5 3 3 2 7" xfId="35676"/>
    <cellStyle name="Normal 2 5 3 3 2 8" xfId="21325"/>
    <cellStyle name="Normal 2 5 3 3 3" xfId="17640"/>
    <cellStyle name="Normal 2 5 3 3 3 2" xfId="18754"/>
    <cellStyle name="Normal 2 5 3 3 3 2 2" xfId="20633"/>
    <cellStyle name="Normal 2 5 3 3 3 2 2 2" xfId="27959"/>
    <cellStyle name="Normal 2 5 3 3 3 2 2 2 2" xfId="35270"/>
    <cellStyle name="Normal 2 5 3 3 3 2 2 2 2 2" xfId="50090"/>
    <cellStyle name="Normal 2 5 3 3 3 2 2 2 3" xfId="42798"/>
    <cellStyle name="Normal 2 5 3 3 3 2 2 3" xfId="31616"/>
    <cellStyle name="Normal 2 5 3 3 3 2 2 3 2" xfId="46439"/>
    <cellStyle name="Normal 2 5 3 3 3 2 2 4" xfId="39114"/>
    <cellStyle name="Normal 2 5 3 3 3 2 2 5" xfId="24301"/>
    <cellStyle name="Normal 2 5 3 3 3 2 3" xfId="26133"/>
    <cellStyle name="Normal 2 5 3 3 3 2 3 2" xfId="33444"/>
    <cellStyle name="Normal 2 5 3 3 3 2 3 2 2" xfId="48264"/>
    <cellStyle name="Normal 2 5 3 3 3 2 3 3" xfId="40977"/>
    <cellStyle name="Normal 2 5 3 3 3 2 4" xfId="29790"/>
    <cellStyle name="Normal 2 5 3 3 3 2 4 2" xfId="44614"/>
    <cellStyle name="Normal 2 5 3 3 3 2 5" xfId="37391"/>
    <cellStyle name="Normal 2 5 3 3 3 2 6" xfId="22472"/>
    <cellStyle name="Normal 2 5 3 3 3 3" xfId="19684"/>
    <cellStyle name="Normal 2 5 3 3 3 3 2" xfId="27053"/>
    <cellStyle name="Normal 2 5 3 3 3 3 2 2" xfId="34364"/>
    <cellStyle name="Normal 2 5 3 3 3 3 2 2 2" xfId="49184"/>
    <cellStyle name="Normal 2 5 3 3 3 3 2 3" xfId="41893"/>
    <cellStyle name="Normal 2 5 3 3 3 3 3" xfId="30710"/>
    <cellStyle name="Normal 2 5 3 3 3 3 3 2" xfId="45533"/>
    <cellStyle name="Normal 2 5 3 3 3 3 4" xfId="38207"/>
    <cellStyle name="Normal 2 5 3 3 3 3 5" xfId="23395"/>
    <cellStyle name="Normal 2 5 3 3 3 4" xfId="25212"/>
    <cellStyle name="Normal 2 5 3 3 3 4 2" xfId="32523"/>
    <cellStyle name="Normal 2 5 3 3 3 4 2 2" xfId="47346"/>
    <cellStyle name="Normal 2 5 3 3 3 4 3" xfId="40104"/>
    <cellStyle name="Normal 2 5 3 3 3 5" xfId="28869"/>
    <cellStyle name="Normal 2 5 3 3 3 5 2" xfId="43706"/>
    <cellStyle name="Normal 2 5 3 3 3 6" xfId="36124"/>
    <cellStyle name="Normal 2 5 3 3 3 7" xfId="21551"/>
    <cellStyle name="Normal 2 5 3 3 4" xfId="18260"/>
    <cellStyle name="Normal 2 5 3 3 4 2" xfId="20142"/>
    <cellStyle name="Normal 2 5 3 3 4 2 2" xfId="27468"/>
    <cellStyle name="Normal 2 5 3 3 4 2 2 2" xfId="34779"/>
    <cellStyle name="Normal 2 5 3 3 4 2 2 2 2" xfId="49599"/>
    <cellStyle name="Normal 2 5 3 3 4 2 2 3" xfId="42307"/>
    <cellStyle name="Normal 2 5 3 3 4 2 3" xfId="31125"/>
    <cellStyle name="Normal 2 5 3 3 4 2 3 2" xfId="45948"/>
    <cellStyle name="Normal 2 5 3 3 4 2 4" xfId="38623"/>
    <cellStyle name="Normal 2 5 3 3 4 2 5" xfId="23810"/>
    <cellStyle name="Normal 2 5 3 3 4 3" xfId="25642"/>
    <cellStyle name="Normal 2 5 3 3 4 3 2" xfId="32953"/>
    <cellStyle name="Normal 2 5 3 3 4 3 2 2" xfId="47773"/>
    <cellStyle name="Normal 2 5 3 3 4 3 3" xfId="40505"/>
    <cellStyle name="Normal 2 5 3 3 4 4" xfId="29299"/>
    <cellStyle name="Normal 2 5 3 3 4 4 2" xfId="44123"/>
    <cellStyle name="Normal 2 5 3 3 4 5" xfId="36900"/>
    <cellStyle name="Normal 2 5 3 3 4 6" xfId="21981"/>
    <cellStyle name="Normal 2 5 3 3 5" xfId="19234"/>
    <cellStyle name="Normal 2 5 3 3 5 2" xfId="26604"/>
    <cellStyle name="Normal 2 5 3 3 5 2 2" xfId="33915"/>
    <cellStyle name="Normal 2 5 3 3 5 2 2 2" xfId="48735"/>
    <cellStyle name="Normal 2 5 3 3 5 2 3" xfId="41444"/>
    <cellStyle name="Normal 2 5 3 3 5 3" xfId="30261"/>
    <cellStyle name="Normal 2 5 3 3 5 3 2" xfId="45084"/>
    <cellStyle name="Normal 2 5 3 3 5 4" xfId="37758"/>
    <cellStyle name="Normal 2 5 3 3 5 5" xfId="22946"/>
    <cellStyle name="Normal 2 5 3 3 6" xfId="24762"/>
    <cellStyle name="Normal 2 5 3 3 6 2" xfId="32073"/>
    <cellStyle name="Normal 2 5 3 3 6 2 2" xfId="46896"/>
    <cellStyle name="Normal 2 5 3 3 6 3" xfId="39664"/>
    <cellStyle name="Normal 2 5 3 3 7" xfId="28419"/>
    <cellStyle name="Normal 2 5 3 3 7 2" xfId="43256"/>
    <cellStyle name="Normal 2 5 3 3 8" xfId="35675"/>
    <cellStyle name="Normal 2 5 3 3 9" xfId="21101"/>
    <cellStyle name="Normal 2 5 3 4" xfId="17297"/>
    <cellStyle name="Normal 2 5 3 4 2" xfId="17752"/>
    <cellStyle name="Normal 2 5 3 4 2 2" xfId="18866"/>
    <cellStyle name="Normal 2 5 3 4 2 2 2" xfId="20745"/>
    <cellStyle name="Normal 2 5 3 4 2 2 2 2" xfId="28071"/>
    <cellStyle name="Normal 2 5 3 4 2 2 2 2 2" xfId="35382"/>
    <cellStyle name="Normal 2 5 3 4 2 2 2 2 2 2" xfId="50202"/>
    <cellStyle name="Normal 2 5 3 4 2 2 2 2 3" xfId="42910"/>
    <cellStyle name="Normal 2 5 3 4 2 2 2 3" xfId="31728"/>
    <cellStyle name="Normal 2 5 3 4 2 2 2 3 2" xfId="46551"/>
    <cellStyle name="Normal 2 5 3 4 2 2 2 4" xfId="39226"/>
    <cellStyle name="Normal 2 5 3 4 2 2 2 5" xfId="24413"/>
    <cellStyle name="Normal 2 5 3 4 2 2 3" xfId="26245"/>
    <cellStyle name="Normal 2 5 3 4 2 2 3 2" xfId="33556"/>
    <cellStyle name="Normal 2 5 3 4 2 2 3 2 2" xfId="48376"/>
    <cellStyle name="Normal 2 5 3 4 2 2 3 3" xfId="41089"/>
    <cellStyle name="Normal 2 5 3 4 2 2 4" xfId="29902"/>
    <cellStyle name="Normal 2 5 3 4 2 2 4 2" xfId="44726"/>
    <cellStyle name="Normal 2 5 3 4 2 2 5" xfId="37502"/>
    <cellStyle name="Normal 2 5 3 4 2 2 6" xfId="22584"/>
    <cellStyle name="Normal 2 5 3 4 2 3" xfId="19796"/>
    <cellStyle name="Normal 2 5 3 4 2 3 2" xfId="27165"/>
    <cellStyle name="Normal 2 5 3 4 2 3 2 2" xfId="34476"/>
    <cellStyle name="Normal 2 5 3 4 2 3 2 2 2" xfId="49296"/>
    <cellStyle name="Normal 2 5 3 4 2 3 2 3" xfId="42005"/>
    <cellStyle name="Normal 2 5 3 4 2 3 3" xfId="30822"/>
    <cellStyle name="Normal 2 5 3 4 2 3 3 2" xfId="45645"/>
    <cellStyle name="Normal 2 5 3 4 2 3 4" xfId="38319"/>
    <cellStyle name="Normal 2 5 3 4 2 3 5" xfId="23507"/>
    <cellStyle name="Normal 2 5 3 4 2 4" xfId="25324"/>
    <cellStyle name="Normal 2 5 3 4 2 4 2" xfId="32635"/>
    <cellStyle name="Normal 2 5 3 4 2 4 2 2" xfId="47458"/>
    <cellStyle name="Normal 2 5 3 4 2 4 3" xfId="40213"/>
    <cellStyle name="Normal 2 5 3 4 2 5" xfId="28981"/>
    <cellStyle name="Normal 2 5 3 4 2 5 2" xfId="43818"/>
    <cellStyle name="Normal 2 5 3 4 2 6" xfId="36126"/>
    <cellStyle name="Normal 2 5 3 4 2 7" xfId="21663"/>
    <cellStyle name="Normal 2 5 3 4 3" xfId="18262"/>
    <cellStyle name="Normal 2 5 3 4 3 2" xfId="20144"/>
    <cellStyle name="Normal 2 5 3 4 3 2 2" xfId="27470"/>
    <cellStyle name="Normal 2 5 3 4 3 2 2 2" xfId="34781"/>
    <cellStyle name="Normal 2 5 3 4 3 2 2 2 2" xfId="49601"/>
    <cellStyle name="Normal 2 5 3 4 3 2 2 3" xfId="42309"/>
    <cellStyle name="Normal 2 5 3 4 3 2 3" xfId="31127"/>
    <cellStyle name="Normal 2 5 3 4 3 2 3 2" xfId="45950"/>
    <cellStyle name="Normal 2 5 3 4 3 2 4" xfId="38625"/>
    <cellStyle name="Normal 2 5 3 4 3 2 5" xfId="23812"/>
    <cellStyle name="Normal 2 5 3 4 3 3" xfId="25644"/>
    <cellStyle name="Normal 2 5 3 4 3 3 2" xfId="32955"/>
    <cellStyle name="Normal 2 5 3 4 3 3 2 2" xfId="47775"/>
    <cellStyle name="Normal 2 5 3 4 3 3 3" xfId="40507"/>
    <cellStyle name="Normal 2 5 3 4 3 4" xfId="29301"/>
    <cellStyle name="Normal 2 5 3 4 3 4 2" xfId="44125"/>
    <cellStyle name="Normal 2 5 3 4 3 5" xfId="36902"/>
    <cellStyle name="Normal 2 5 3 4 3 6" xfId="21983"/>
    <cellStyle name="Normal 2 5 3 4 4" xfId="19345"/>
    <cellStyle name="Normal 2 5 3 4 4 2" xfId="26715"/>
    <cellStyle name="Normal 2 5 3 4 4 2 2" xfId="34026"/>
    <cellStyle name="Normal 2 5 3 4 4 2 2 2" xfId="48846"/>
    <cellStyle name="Normal 2 5 3 4 4 2 3" xfId="41555"/>
    <cellStyle name="Normal 2 5 3 4 4 3" xfId="30372"/>
    <cellStyle name="Normal 2 5 3 4 4 3 2" xfId="45195"/>
    <cellStyle name="Normal 2 5 3 4 4 4" xfId="37869"/>
    <cellStyle name="Normal 2 5 3 4 4 5" xfId="23057"/>
    <cellStyle name="Normal 2 5 3 4 5" xfId="24874"/>
    <cellStyle name="Normal 2 5 3 4 5 2" xfId="32185"/>
    <cellStyle name="Normal 2 5 3 4 5 2 2" xfId="47008"/>
    <cellStyle name="Normal 2 5 3 4 5 3" xfId="39770"/>
    <cellStyle name="Normal 2 5 3 4 6" xfId="28531"/>
    <cellStyle name="Normal 2 5 3 4 6 2" xfId="43368"/>
    <cellStyle name="Normal 2 5 3 4 7" xfId="35677"/>
    <cellStyle name="Normal 2 5 3 4 8" xfId="21213"/>
    <cellStyle name="Normal 2 5 3 5" xfId="17528"/>
    <cellStyle name="Normal 2 5 3 5 2" xfId="18642"/>
    <cellStyle name="Normal 2 5 3 5 2 2" xfId="20521"/>
    <cellStyle name="Normal 2 5 3 5 2 2 2" xfId="27847"/>
    <cellStyle name="Normal 2 5 3 5 2 2 2 2" xfId="35158"/>
    <cellStyle name="Normal 2 5 3 5 2 2 2 2 2" xfId="49978"/>
    <cellStyle name="Normal 2 5 3 5 2 2 2 3" xfId="42686"/>
    <cellStyle name="Normal 2 5 3 5 2 2 3" xfId="31504"/>
    <cellStyle name="Normal 2 5 3 5 2 2 3 2" xfId="46327"/>
    <cellStyle name="Normal 2 5 3 5 2 2 4" xfId="39002"/>
    <cellStyle name="Normal 2 5 3 5 2 2 5" xfId="24189"/>
    <cellStyle name="Normal 2 5 3 5 2 3" xfId="26021"/>
    <cellStyle name="Normal 2 5 3 5 2 3 2" xfId="33332"/>
    <cellStyle name="Normal 2 5 3 5 2 3 2 2" xfId="48152"/>
    <cellStyle name="Normal 2 5 3 5 2 3 3" xfId="40865"/>
    <cellStyle name="Normal 2 5 3 5 2 4" xfId="29678"/>
    <cellStyle name="Normal 2 5 3 5 2 4 2" xfId="44502"/>
    <cellStyle name="Normal 2 5 3 5 2 5" xfId="37279"/>
    <cellStyle name="Normal 2 5 3 5 2 6" xfId="22360"/>
    <cellStyle name="Normal 2 5 3 5 3" xfId="19572"/>
    <cellStyle name="Normal 2 5 3 5 3 2" xfId="26941"/>
    <cellStyle name="Normal 2 5 3 5 3 2 2" xfId="34252"/>
    <cellStyle name="Normal 2 5 3 5 3 2 2 2" xfId="49072"/>
    <cellStyle name="Normal 2 5 3 5 3 2 3" xfId="41781"/>
    <cellStyle name="Normal 2 5 3 5 3 3" xfId="30598"/>
    <cellStyle name="Normal 2 5 3 5 3 3 2" xfId="45421"/>
    <cellStyle name="Normal 2 5 3 5 3 4" xfId="38095"/>
    <cellStyle name="Normal 2 5 3 5 3 5" xfId="23283"/>
    <cellStyle name="Normal 2 5 3 5 4" xfId="25100"/>
    <cellStyle name="Normal 2 5 3 5 4 2" xfId="32411"/>
    <cellStyle name="Normal 2 5 3 5 4 2 2" xfId="47234"/>
    <cellStyle name="Normal 2 5 3 5 4 3" xfId="39994"/>
    <cellStyle name="Normal 2 5 3 5 5" xfId="28757"/>
    <cellStyle name="Normal 2 5 3 5 5 2" xfId="43594"/>
    <cellStyle name="Normal 2 5 3 5 6" xfId="36119"/>
    <cellStyle name="Normal 2 5 3 5 7" xfId="21439"/>
    <cellStyle name="Normal 2 5 3 6" xfId="18255"/>
    <cellStyle name="Normal 2 5 3 6 2" xfId="20137"/>
    <cellStyle name="Normal 2 5 3 6 2 2" xfId="27463"/>
    <cellStyle name="Normal 2 5 3 6 2 2 2" xfId="34774"/>
    <cellStyle name="Normal 2 5 3 6 2 2 2 2" xfId="49594"/>
    <cellStyle name="Normal 2 5 3 6 2 2 3" xfId="42302"/>
    <cellStyle name="Normal 2 5 3 6 2 3" xfId="31120"/>
    <cellStyle name="Normal 2 5 3 6 2 3 2" xfId="45943"/>
    <cellStyle name="Normal 2 5 3 6 2 4" xfId="38618"/>
    <cellStyle name="Normal 2 5 3 6 2 5" xfId="23805"/>
    <cellStyle name="Normal 2 5 3 6 3" xfId="25637"/>
    <cellStyle name="Normal 2 5 3 6 3 2" xfId="32948"/>
    <cellStyle name="Normal 2 5 3 6 3 2 2" xfId="47768"/>
    <cellStyle name="Normal 2 5 3 6 3 3" xfId="40500"/>
    <cellStyle name="Normal 2 5 3 6 4" xfId="29294"/>
    <cellStyle name="Normal 2 5 3 6 4 2" xfId="44118"/>
    <cellStyle name="Normal 2 5 3 6 5" xfId="36895"/>
    <cellStyle name="Normal 2 5 3 6 6" xfId="21976"/>
    <cellStyle name="Normal 2 5 3 7" xfId="19125"/>
    <cellStyle name="Normal 2 5 3 7 2" xfId="26497"/>
    <cellStyle name="Normal 2 5 3 7 2 2" xfId="33808"/>
    <cellStyle name="Normal 2 5 3 7 2 2 2" xfId="48628"/>
    <cellStyle name="Normal 2 5 3 7 2 3" xfId="41337"/>
    <cellStyle name="Normal 2 5 3 7 3" xfId="30154"/>
    <cellStyle name="Normal 2 5 3 7 3 2" xfId="44977"/>
    <cellStyle name="Normal 2 5 3 7 4" xfId="37651"/>
    <cellStyle name="Normal 2 5 3 7 5" xfId="22839"/>
    <cellStyle name="Normal 2 5 3 8" xfId="24650"/>
    <cellStyle name="Normal 2 5 3 8 2" xfId="31961"/>
    <cellStyle name="Normal 2 5 3 8 2 2" xfId="46784"/>
    <cellStyle name="Normal 2 5 3 8 3" xfId="39570"/>
    <cellStyle name="Normal 2 5 3 9" xfId="28307"/>
    <cellStyle name="Normal 2 5 3 9 2" xfId="43144"/>
    <cellStyle name="Normal 2 5 4" xfId="17221"/>
    <cellStyle name="Normal 2 5 4 10" xfId="21017"/>
    <cellStyle name="Normal 2 5 4 2" xfId="17442"/>
    <cellStyle name="Normal 2 5 4 2 2" xfId="17892"/>
    <cellStyle name="Normal 2 5 4 2 2 2" xfId="19006"/>
    <cellStyle name="Normal 2 5 4 2 2 2 2" xfId="20885"/>
    <cellStyle name="Normal 2 5 4 2 2 2 2 2" xfId="24553"/>
    <cellStyle name="Normal 2 5 4 2 2 2 2 2 2" xfId="28211"/>
    <cellStyle name="Normal 2 5 4 2 2 2 2 2 2 2" xfId="35522"/>
    <cellStyle name="Normal 2 5 4 2 2 2 2 2 2 2 2" xfId="50342"/>
    <cellStyle name="Normal 2 5 4 2 2 2 2 2 2 3" xfId="43050"/>
    <cellStyle name="Normal 2 5 4 2 2 2 2 2 3" xfId="31868"/>
    <cellStyle name="Normal 2 5 4 2 2 2 2 2 3 2" xfId="46691"/>
    <cellStyle name="Normal 2 5 4 2 2 2 2 2 4" xfId="39486"/>
    <cellStyle name="Normal 2 5 4 2 2 2 2 3" xfId="26385"/>
    <cellStyle name="Normal 2 5 4 2 2 2 2 3 2" xfId="33696"/>
    <cellStyle name="Normal 2 5 4 2 2 2 2 3 2 2" xfId="48516"/>
    <cellStyle name="Normal 2 5 4 2 2 2 2 3 3" xfId="41229"/>
    <cellStyle name="Normal 2 5 4 2 2 2 2 4" xfId="30042"/>
    <cellStyle name="Normal 2 5 4 2 2 2 2 4 2" xfId="44866"/>
    <cellStyle name="Normal 2 5 4 2 2 2 2 5" xfId="39366"/>
    <cellStyle name="Normal 2 5 4 2 2 2 2 6" xfId="22724"/>
    <cellStyle name="Normal 2 5 4 2 2 2 3" xfId="19936"/>
    <cellStyle name="Normal 2 5 4 2 2 2 3 2" xfId="27305"/>
    <cellStyle name="Normal 2 5 4 2 2 2 3 2 2" xfId="34616"/>
    <cellStyle name="Normal 2 5 4 2 2 2 3 2 2 2" xfId="49436"/>
    <cellStyle name="Normal 2 5 4 2 2 2 3 2 3" xfId="42145"/>
    <cellStyle name="Normal 2 5 4 2 2 2 3 3" xfId="30962"/>
    <cellStyle name="Normal 2 5 4 2 2 2 3 3 2" xfId="45785"/>
    <cellStyle name="Normal 2 5 4 2 2 2 3 4" xfId="38459"/>
    <cellStyle name="Normal 2 5 4 2 2 2 3 5" xfId="23647"/>
    <cellStyle name="Normal 2 5 4 2 2 2 4" xfId="25464"/>
    <cellStyle name="Normal 2 5 4 2 2 2 4 2" xfId="32775"/>
    <cellStyle name="Normal 2 5 4 2 2 2 4 2 2" xfId="47598"/>
    <cellStyle name="Normal 2 5 4 2 2 2 4 3" xfId="40352"/>
    <cellStyle name="Normal 2 5 4 2 2 2 5" xfId="29121"/>
    <cellStyle name="Normal 2 5 4 2 2 2 5 2" xfId="43958"/>
    <cellStyle name="Normal 2 5 4 2 2 2 6" xfId="36129"/>
    <cellStyle name="Normal 2 5 4 2 2 2 7" xfId="21803"/>
    <cellStyle name="Normal 2 5 4 2 2 3" xfId="18265"/>
    <cellStyle name="Normal 2 5 4 2 2 3 2" xfId="20147"/>
    <cellStyle name="Normal 2 5 4 2 2 3 2 2" xfId="27473"/>
    <cellStyle name="Normal 2 5 4 2 2 3 2 2 2" xfId="34784"/>
    <cellStyle name="Normal 2 5 4 2 2 3 2 2 2 2" xfId="49604"/>
    <cellStyle name="Normal 2 5 4 2 2 3 2 2 3" xfId="42312"/>
    <cellStyle name="Normal 2 5 4 2 2 3 2 3" xfId="31130"/>
    <cellStyle name="Normal 2 5 4 2 2 3 2 3 2" xfId="45953"/>
    <cellStyle name="Normal 2 5 4 2 2 3 2 4" xfId="38628"/>
    <cellStyle name="Normal 2 5 4 2 2 3 2 5" xfId="23815"/>
    <cellStyle name="Normal 2 5 4 2 2 3 3" xfId="25647"/>
    <cellStyle name="Normal 2 5 4 2 2 3 3 2" xfId="32958"/>
    <cellStyle name="Normal 2 5 4 2 2 3 3 2 2" xfId="47778"/>
    <cellStyle name="Normal 2 5 4 2 2 3 3 3" xfId="40510"/>
    <cellStyle name="Normal 2 5 4 2 2 3 4" xfId="29304"/>
    <cellStyle name="Normal 2 5 4 2 2 3 4 2" xfId="44128"/>
    <cellStyle name="Normal 2 5 4 2 2 3 5" xfId="36905"/>
    <cellStyle name="Normal 2 5 4 2 2 3 6" xfId="21986"/>
    <cellStyle name="Normal 2 5 4 2 2 4" xfId="19485"/>
    <cellStyle name="Normal 2 5 4 2 2 4 2" xfId="26855"/>
    <cellStyle name="Normal 2 5 4 2 2 4 2 2" xfId="34166"/>
    <cellStyle name="Normal 2 5 4 2 2 4 2 2 2" xfId="48986"/>
    <cellStyle name="Normal 2 5 4 2 2 4 2 3" xfId="41695"/>
    <cellStyle name="Normal 2 5 4 2 2 4 3" xfId="30512"/>
    <cellStyle name="Normal 2 5 4 2 2 4 3 2" xfId="45335"/>
    <cellStyle name="Normal 2 5 4 2 2 4 4" xfId="38009"/>
    <cellStyle name="Normal 2 5 4 2 2 4 5" xfId="23197"/>
    <cellStyle name="Normal 2 5 4 2 2 5" xfId="25014"/>
    <cellStyle name="Normal 2 5 4 2 2 5 2" xfId="32325"/>
    <cellStyle name="Normal 2 5 4 2 2 5 2 2" xfId="47148"/>
    <cellStyle name="Normal 2 5 4 2 2 5 3" xfId="39909"/>
    <cellStyle name="Normal 2 5 4 2 2 6" xfId="28671"/>
    <cellStyle name="Normal 2 5 4 2 2 6 2" xfId="43508"/>
    <cellStyle name="Normal 2 5 4 2 2 7" xfId="35680"/>
    <cellStyle name="Normal 2 5 4 2 2 8" xfId="21353"/>
    <cellStyle name="Normal 2 5 4 2 3" xfId="17668"/>
    <cellStyle name="Normal 2 5 4 2 3 2" xfId="18782"/>
    <cellStyle name="Normal 2 5 4 2 3 2 2" xfId="20661"/>
    <cellStyle name="Normal 2 5 4 2 3 2 2 2" xfId="27987"/>
    <cellStyle name="Normal 2 5 4 2 3 2 2 2 2" xfId="35298"/>
    <cellStyle name="Normal 2 5 4 2 3 2 2 2 2 2" xfId="50118"/>
    <cellStyle name="Normal 2 5 4 2 3 2 2 2 3" xfId="42826"/>
    <cellStyle name="Normal 2 5 4 2 3 2 2 3" xfId="31644"/>
    <cellStyle name="Normal 2 5 4 2 3 2 2 3 2" xfId="46467"/>
    <cellStyle name="Normal 2 5 4 2 3 2 2 4" xfId="39142"/>
    <cellStyle name="Normal 2 5 4 2 3 2 2 5" xfId="24329"/>
    <cellStyle name="Normal 2 5 4 2 3 2 3" xfId="26161"/>
    <cellStyle name="Normal 2 5 4 2 3 2 3 2" xfId="33472"/>
    <cellStyle name="Normal 2 5 4 2 3 2 3 2 2" xfId="48292"/>
    <cellStyle name="Normal 2 5 4 2 3 2 3 3" xfId="41005"/>
    <cellStyle name="Normal 2 5 4 2 3 2 4" xfId="29818"/>
    <cellStyle name="Normal 2 5 4 2 3 2 4 2" xfId="44642"/>
    <cellStyle name="Normal 2 5 4 2 3 2 5" xfId="37419"/>
    <cellStyle name="Normal 2 5 4 2 3 2 6" xfId="22500"/>
    <cellStyle name="Normal 2 5 4 2 3 3" xfId="19712"/>
    <cellStyle name="Normal 2 5 4 2 3 3 2" xfId="27081"/>
    <cellStyle name="Normal 2 5 4 2 3 3 2 2" xfId="34392"/>
    <cellStyle name="Normal 2 5 4 2 3 3 2 2 2" xfId="49212"/>
    <cellStyle name="Normal 2 5 4 2 3 3 2 3" xfId="41921"/>
    <cellStyle name="Normal 2 5 4 2 3 3 3" xfId="30738"/>
    <cellStyle name="Normal 2 5 4 2 3 3 3 2" xfId="45561"/>
    <cellStyle name="Normal 2 5 4 2 3 3 4" xfId="38235"/>
    <cellStyle name="Normal 2 5 4 2 3 3 5" xfId="23423"/>
    <cellStyle name="Normal 2 5 4 2 3 4" xfId="25240"/>
    <cellStyle name="Normal 2 5 4 2 3 4 2" xfId="32551"/>
    <cellStyle name="Normal 2 5 4 2 3 4 2 2" xfId="47374"/>
    <cellStyle name="Normal 2 5 4 2 3 4 3" xfId="40132"/>
    <cellStyle name="Normal 2 5 4 2 3 5" xfId="28897"/>
    <cellStyle name="Normal 2 5 4 2 3 5 2" xfId="43734"/>
    <cellStyle name="Normal 2 5 4 2 3 6" xfId="36128"/>
    <cellStyle name="Normal 2 5 4 2 3 7" xfId="21579"/>
    <cellStyle name="Normal 2 5 4 2 4" xfId="18264"/>
    <cellStyle name="Normal 2 5 4 2 4 2" xfId="20146"/>
    <cellStyle name="Normal 2 5 4 2 4 2 2" xfId="27472"/>
    <cellStyle name="Normal 2 5 4 2 4 2 2 2" xfId="34783"/>
    <cellStyle name="Normal 2 5 4 2 4 2 2 2 2" xfId="49603"/>
    <cellStyle name="Normal 2 5 4 2 4 2 2 3" xfId="42311"/>
    <cellStyle name="Normal 2 5 4 2 4 2 3" xfId="31129"/>
    <cellStyle name="Normal 2 5 4 2 4 2 3 2" xfId="45952"/>
    <cellStyle name="Normal 2 5 4 2 4 2 4" xfId="38627"/>
    <cellStyle name="Normal 2 5 4 2 4 2 5" xfId="23814"/>
    <cellStyle name="Normal 2 5 4 2 4 3" xfId="25646"/>
    <cellStyle name="Normal 2 5 4 2 4 3 2" xfId="32957"/>
    <cellStyle name="Normal 2 5 4 2 4 3 2 2" xfId="47777"/>
    <cellStyle name="Normal 2 5 4 2 4 3 3" xfId="40509"/>
    <cellStyle name="Normal 2 5 4 2 4 4" xfId="29303"/>
    <cellStyle name="Normal 2 5 4 2 4 4 2" xfId="44127"/>
    <cellStyle name="Normal 2 5 4 2 4 5" xfId="36904"/>
    <cellStyle name="Normal 2 5 4 2 4 6" xfId="21985"/>
    <cellStyle name="Normal 2 5 4 2 5" xfId="19262"/>
    <cellStyle name="Normal 2 5 4 2 5 2" xfId="26632"/>
    <cellStyle name="Normal 2 5 4 2 5 2 2" xfId="33943"/>
    <cellStyle name="Normal 2 5 4 2 5 2 2 2" xfId="48763"/>
    <cellStyle name="Normal 2 5 4 2 5 2 3" xfId="41472"/>
    <cellStyle name="Normal 2 5 4 2 5 3" xfId="30289"/>
    <cellStyle name="Normal 2 5 4 2 5 3 2" xfId="45112"/>
    <cellStyle name="Normal 2 5 4 2 5 4" xfId="37786"/>
    <cellStyle name="Normal 2 5 4 2 5 5" xfId="22974"/>
    <cellStyle name="Normal 2 5 4 2 6" xfId="24790"/>
    <cellStyle name="Normal 2 5 4 2 6 2" xfId="32101"/>
    <cellStyle name="Normal 2 5 4 2 6 2 2" xfId="46924"/>
    <cellStyle name="Normal 2 5 4 2 6 3" xfId="39689"/>
    <cellStyle name="Normal 2 5 4 2 7" xfId="28447"/>
    <cellStyle name="Normal 2 5 4 2 7 2" xfId="43284"/>
    <cellStyle name="Normal 2 5 4 2 8" xfId="35679"/>
    <cellStyle name="Normal 2 5 4 2 9" xfId="21129"/>
    <cellStyle name="Normal 2 5 4 3" xfId="17327"/>
    <cellStyle name="Normal 2 5 4 3 2" xfId="17780"/>
    <cellStyle name="Normal 2 5 4 3 2 2" xfId="18894"/>
    <cellStyle name="Normal 2 5 4 3 2 2 2" xfId="20773"/>
    <cellStyle name="Normal 2 5 4 3 2 2 2 2" xfId="28099"/>
    <cellStyle name="Normal 2 5 4 3 2 2 2 2 2" xfId="35410"/>
    <cellStyle name="Normal 2 5 4 3 2 2 2 2 2 2" xfId="50230"/>
    <cellStyle name="Normal 2 5 4 3 2 2 2 2 3" xfId="42938"/>
    <cellStyle name="Normal 2 5 4 3 2 2 2 3" xfId="31756"/>
    <cellStyle name="Normal 2 5 4 3 2 2 2 3 2" xfId="46579"/>
    <cellStyle name="Normal 2 5 4 3 2 2 2 4" xfId="39254"/>
    <cellStyle name="Normal 2 5 4 3 2 2 2 5" xfId="24441"/>
    <cellStyle name="Normal 2 5 4 3 2 2 3" xfId="26273"/>
    <cellStyle name="Normal 2 5 4 3 2 2 3 2" xfId="33584"/>
    <cellStyle name="Normal 2 5 4 3 2 2 3 2 2" xfId="48404"/>
    <cellStyle name="Normal 2 5 4 3 2 2 3 3" xfId="41117"/>
    <cellStyle name="Normal 2 5 4 3 2 2 4" xfId="29930"/>
    <cellStyle name="Normal 2 5 4 3 2 2 4 2" xfId="44754"/>
    <cellStyle name="Normal 2 5 4 3 2 2 5" xfId="37530"/>
    <cellStyle name="Normal 2 5 4 3 2 2 6" xfId="22612"/>
    <cellStyle name="Normal 2 5 4 3 2 3" xfId="19824"/>
    <cellStyle name="Normal 2 5 4 3 2 3 2" xfId="27193"/>
    <cellStyle name="Normal 2 5 4 3 2 3 2 2" xfId="34504"/>
    <cellStyle name="Normal 2 5 4 3 2 3 2 2 2" xfId="49324"/>
    <cellStyle name="Normal 2 5 4 3 2 3 2 3" xfId="42033"/>
    <cellStyle name="Normal 2 5 4 3 2 3 3" xfId="30850"/>
    <cellStyle name="Normal 2 5 4 3 2 3 3 2" xfId="45673"/>
    <cellStyle name="Normal 2 5 4 3 2 3 4" xfId="38347"/>
    <cellStyle name="Normal 2 5 4 3 2 3 5" xfId="23535"/>
    <cellStyle name="Normal 2 5 4 3 2 4" xfId="25352"/>
    <cellStyle name="Normal 2 5 4 3 2 4 2" xfId="32663"/>
    <cellStyle name="Normal 2 5 4 3 2 4 2 2" xfId="47486"/>
    <cellStyle name="Normal 2 5 4 3 2 4 3" xfId="40240"/>
    <cellStyle name="Normal 2 5 4 3 2 5" xfId="29009"/>
    <cellStyle name="Normal 2 5 4 3 2 5 2" xfId="43846"/>
    <cellStyle name="Normal 2 5 4 3 2 6" xfId="36130"/>
    <cellStyle name="Normal 2 5 4 3 2 7" xfId="21691"/>
    <cellStyle name="Normal 2 5 4 3 3" xfId="18266"/>
    <cellStyle name="Normal 2 5 4 3 3 2" xfId="20148"/>
    <cellStyle name="Normal 2 5 4 3 3 2 2" xfId="27474"/>
    <cellStyle name="Normal 2 5 4 3 3 2 2 2" xfId="34785"/>
    <cellStyle name="Normal 2 5 4 3 3 2 2 2 2" xfId="49605"/>
    <cellStyle name="Normal 2 5 4 3 3 2 2 3" xfId="42313"/>
    <cellStyle name="Normal 2 5 4 3 3 2 3" xfId="31131"/>
    <cellStyle name="Normal 2 5 4 3 3 2 3 2" xfId="45954"/>
    <cellStyle name="Normal 2 5 4 3 3 2 4" xfId="38629"/>
    <cellStyle name="Normal 2 5 4 3 3 2 5" xfId="23816"/>
    <cellStyle name="Normal 2 5 4 3 3 3" xfId="25648"/>
    <cellStyle name="Normal 2 5 4 3 3 3 2" xfId="32959"/>
    <cellStyle name="Normal 2 5 4 3 3 3 2 2" xfId="47779"/>
    <cellStyle name="Normal 2 5 4 3 3 3 3" xfId="40511"/>
    <cellStyle name="Normal 2 5 4 3 3 4" xfId="29305"/>
    <cellStyle name="Normal 2 5 4 3 3 4 2" xfId="44129"/>
    <cellStyle name="Normal 2 5 4 3 3 5" xfId="36906"/>
    <cellStyle name="Normal 2 5 4 3 3 6" xfId="21987"/>
    <cellStyle name="Normal 2 5 4 3 4" xfId="19373"/>
    <cellStyle name="Normal 2 5 4 3 4 2" xfId="26743"/>
    <cellStyle name="Normal 2 5 4 3 4 2 2" xfId="34054"/>
    <cellStyle name="Normal 2 5 4 3 4 2 2 2" xfId="48874"/>
    <cellStyle name="Normal 2 5 4 3 4 2 3" xfId="41583"/>
    <cellStyle name="Normal 2 5 4 3 4 3" xfId="30400"/>
    <cellStyle name="Normal 2 5 4 3 4 3 2" xfId="45223"/>
    <cellStyle name="Normal 2 5 4 3 4 4" xfId="37897"/>
    <cellStyle name="Normal 2 5 4 3 4 5" xfId="23085"/>
    <cellStyle name="Normal 2 5 4 3 5" xfId="24902"/>
    <cellStyle name="Normal 2 5 4 3 5 2" xfId="32213"/>
    <cellStyle name="Normal 2 5 4 3 5 2 2" xfId="47036"/>
    <cellStyle name="Normal 2 5 4 3 5 3" xfId="39797"/>
    <cellStyle name="Normal 2 5 4 3 6" xfId="28559"/>
    <cellStyle name="Normal 2 5 4 3 6 2" xfId="43396"/>
    <cellStyle name="Normal 2 5 4 3 7" xfId="35681"/>
    <cellStyle name="Normal 2 5 4 3 8" xfId="21241"/>
    <cellStyle name="Normal 2 5 4 4" xfId="17556"/>
    <cellStyle name="Normal 2 5 4 4 2" xfId="18670"/>
    <cellStyle name="Normal 2 5 4 4 2 2" xfId="20549"/>
    <cellStyle name="Normal 2 5 4 4 2 2 2" xfId="27875"/>
    <cellStyle name="Normal 2 5 4 4 2 2 2 2" xfId="35186"/>
    <cellStyle name="Normal 2 5 4 4 2 2 2 2 2" xfId="50006"/>
    <cellStyle name="Normal 2 5 4 4 2 2 2 3" xfId="42714"/>
    <cellStyle name="Normal 2 5 4 4 2 2 3" xfId="31532"/>
    <cellStyle name="Normal 2 5 4 4 2 2 3 2" xfId="46355"/>
    <cellStyle name="Normal 2 5 4 4 2 2 4" xfId="39030"/>
    <cellStyle name="Normal 2 5 4 4 2 2 5" xfId="24217"/>
    <cellStyle name="Normal 2 5 4 4 2 3" xfId="26049"/>
    <cellStyle name="Normal 2 5 4 4 2 3 2" xfId="33360"/>
    <cellStyle name="Normal 2 5 4 4 2 3 2 2" xfId="48180"/>
    <cellStyle name="Normal 2 5 4 4 2 3 3" xfId="40893"/>
    <cellStyle name="Normal 2 5 4 4 2 4" xfId="29706"/>
    <cellStyle name="Normal 2 5 4 4 2 4 2" xfId="44530"/>
    <cellStyle name="Normal 2 5 4 4 2 5" xfId="37307"/>
    <cellStyle name="Normal 2 5 4 4 2 6" xfId="22388"/>
    <cellStyle name="Normal 2 5 4 4 3" xfId="19600"/>
    <cellStyle name="Normal 2 5 4 4 3 2" xfId="26969"/>
    <cellStyle name="Normal 2 5 4 4 3 2 2" xfId="34280"/>
    <cellStyle name="Normal 2 5 4 4 3 2 2 2" xfId="49100"/>
    <cellStyle name="Normal 2 5 4 4 3 2 3" xfId="41809"/>
    <cellStyle name="Normal 2 5 4 4 3 3" xfId="30626"/>
    <cellStyle name="Normal 2 5 4 4 3 3 2" xfId="45449"/>
    <cellStyle name="Normal 2 5 4 4 3 4" xfId="38123"/>
    <cellStyle name="Normal 2 5 4 4 3 5" xfId="23311"/>
    <cellStyle name="Normal 2 5 4 4 4" xfId="25128"/>
    <cellStyle name="Normal 2 5 4 4 4 2" xfId="32439"/>
    <cellStyle name="Normal 2 5 4 4 4 2 2" xfId="47262"/>
    <cellStyle name="Normal 2 5 4 4 4 3" xfId="40022"/>
    <cellStyle name="Normal 2 5 4 4 5" xfId="28785"/>
    <cellStyle name="Normal 2 5 4 4 5 2" xfId="43622"/>
    <cellStyle name="Normal 2 5 4 4 6" xfId="36127"/>
    <cellStyle name="Normal 2 5 4 4 7" xfId="21467"/>
    <cellStyle name="Normal 2 5 4 5" xfId="18090"/>
    <cellStyle name="Normal 2 5 4 5 2" xfId="20145"/>
    <cellStyle name="Normal 2 5 4 5 2 2" xfId="27471"/>
    <cellStyle name="Normal 2 5 4 5 2 2 2" xfId="34782"/>
    <cellStyle name="Normal 2 5 4 5 2 2 2 2" xfId="49602"/>
    <cellStyle name="Normal 2 5 4 5 2 2 3" xfId="42310"/>
    <cellStyle name="Normal 2 5 4 5 2 3" xfId="31128"/>
    <cellStyle name="Normal 2 5 4 5 2 3 2" xfId="45951"/>
    <cellStyle name="Normal 2 5 4 5 2 4" xfId="38626"/>
    <cellStyle name="Normal 2 5 4 5 2 5" xfId="23813"/>
    <cellStyle name="Normal 2 5 4 5 3" xfId="25645"/>
    <cellStyle name="Normal 2 5 4 5 3 2" xfId="32956"/>
    <cellStyle name="Normal 2 5 4 5 3 2 2" xfId="47776"/>
    <cellStyle name="Normal 2 5 4 5 3 3" xfId="40508"/>
    <cellStyle name="Normal 2 5 4 5 4" xfId="29302"/>
    <cellStyle name="Normal 2 5 4 5 4 2" xfId="44126"/>
    <cellStyle name="Normal 2 5 4 5 5" xfId="36746"/>
    <cellStyle name="Normal 2 5 4 5 6" xfId="21984"/>
    <cellStyle name="Normal 2 5 4 6" xfId="18263"/>
    <cellStyle name="Normal 2 5 4 6 2" xfId="26524"/>
    <cellStyle name="Normal 2 5 4 6 2 2" xfId="33835"/>
    <cellStyle name="Normal 2 5 4 6 2 2 2" xfId="48655"/>
    <cellStyle name="Normal 2 5 4 6 2 3" xfId="41364"/>
    <cellStyle name="Normal 2 5 4 6 3" xfId="30181"/>
    <cellStyle name="Normal 2 5 4 6 3 2" xfId="45004"/>
    <cellStyle name="Normal 2 5 4 6 4" xfId="36903"/>
    <cellStyle name="Normal 2 5 4 6 5" xfId="22866"/>
    <cellStyle name="Normal 2 5 4 7" xfId="19153"/>
    <cellStyle name="Normal 2 5 4 7 2" xfId="31989"/>
    <cellStyle name="Normal 2 5 4 7 2 2" xfId="46812"/>
    <cellStyle name="Normal 2 5 4 7 3" xfId="37678"/>
    <cellStyle name="Normal 2 5 4 7 4" xfId="24678"/>
    <cellStyle name="Normal 2 5 4 8" xfId="28335"/>
    <cellStyle name="Normal 2 5 4 8 2" xfId="43172"/>
    <cellStyle name="Normal 2 5 4 8 3" xfId="36645"/>
    <cellStyle name="Normal 2 5 4 9" xfId="35678"/>
    <cellStyle name="Normal 2 5 5" xfId="17248"/>
    <cellStyle name="Normal 2 5 5 2" xfId="17386"/>
    <cellStyle name="Normal 2 5 5 2 2" xfId="17836"/>
    <cellStyle name="Normal 2 5 5 2 2 2" xfId="18950"/>
    <cellStyle name="Normal 2 5 5 2 2 2 2" xfId="20829"/>
    <cellStyle name="Normal 2 5 5 2 2 2 2 2" xfId="28155"/>
    <cellStyle name="Normal 2 5 5 2 2 2 2 2 2" xfId="35466"/>
    <cellStyle name="Normal 2 5 5 2 2 2 2 2 2 2" xfId="50286"/>
    <cellStyle name="Normal 2 5 5 2 2 2 2 2 3" xfId="42994"/>
    <cellStyle name="Normal 2 5 5 2 2 2 2 3" xfId="31812"/>
    <cellStyle name="Normal 2 5 5 2 2 2 2 3 2" xfId="46635"/>
    <cellStyle name="Normal 2 5 5 2 2 2 2 4" xfId="39310"/>
    <cellStyle name="Normal 2 5 5 2 2 2 2 5" xfId="24497"/>
    <cellStyle name="Normal 2 5 5 2 2 2 3" xfId="26329"/>
    <cellStyle name="Normal 2 5 5 2 2 2 3 2" xfId="33640"/>
    <cellStyle name="Normal 2 5 5 2 2 2 3 2 2" xfId="48460"/>
    <cellStyle name="Normal 2 5 5 2 2 2 3 3" xfId="41173"/>
    <cellStyle name="Normal 2 5 5 2 2 2 4" xfId="29986"/>
    <cellStyle name="Normal 2 5 5 2 2 2 4 2" xfId="44810"/>
    <cellStyle name="Normal 2 5 5 2 2 2 5" xfId="37564"/>
    <cellStyle name="Normal 2 5 5 2 2 2 6" xfId="22668"/>
    <cellStyle name="Normal 2 5 5 2 2 3" xfId="19880"/>
    <cellStyle name="Normal 2 5 5 2 2 3 2" xfId="27249"/>
    <cellStyle name="Normal 2 5 5 2 2 3 2 2" xfId="34560"/>
    <cellStyle name="Normal 2 5 5 2 2 3 2 2 2" xfId="49380"/>
    <cellStyle name="Normal 2 5 5 2 2 3 2 3" xfId="42089"/>
    <cellStyle name="Normal 2 5 5 2 2 3 3" xfId="30906"/>
    <cellStyle name="Normal 2 5 5 2 2 3 3 2" xfId="45729"/>
    <cellStyle name="Normal 2 5 5 2 2 3 4" xfId="38403"/>
    <cellStyle name="Normal 2 5 5 2 2 3 5" xfId="23591"/>
    <cellStyle name="Normal 2 5 5 2 2 4" xfId="25408"/>
    <cellStyle name="Normal 2 5 5 2 2 4 2" xfId="32719"/>
    <cellStyle name="Normal 2 5 5 2 2 4 2 2" xfId="47542"/>
    <cellStyle name="Normal 2 5 5 2 2 4 3" xfId="40296"/>
    <cellStyle name="Normal 2 5 5 2 2 5" xfId="29065"/>
    <cellStyle name="Normal 2 5 5 2 2 5 2" xfId="43902"/>
    <cellStyle name="Normal 2 5 5 2 2 6" xfId="36132"/>
    <cellStyle name="Normal 2 5 5 2 2 7" xfId="21747"/>
    <cellStyle name="Normal 2 5 5 2 3" xfId="18268"/>
    <cellStyle name="Normal 2 5 5 2 3 2" xfId="20150"/>
    <cellStyle name="Normal 2 5 5 2 3 2 2" xfId="27476"/>
    <cellStyle name="Normal 2 5 5 2 3 2 2 2" xfId="34787"/>
    <cellStyle name="Normal 2 5 5 2 3 2 2 2 2" xfId="49607"/>
    <cellStyle name="Normal 2 5 5 2 3 2 2 3" xfId="42315"/>
    <cellStyle name="Normal 2 5 5 2 3 2 3" xfId="31133"/>
    <cellStyle name="Normal 2 5 5 2 3 2 3 2" xfId="45956"/>
    <cellStyle name="Normal 2 5 5 2 3 2 4" xfId="38631"/>
    <cellStyle name="Normal 2 5 5 2 3 2 5" xfId="23818"/>
    <cellStyle name="Normal 2 5 5 2 3 3" xfId="25650"/>
    <cellStyle name="Normal 2 5 5 2 3 3 2" xfId="32961"/>
    <cellStyle name="Normal 2 5 5 2 3 3 2 2" xfId="47781"/>
    <cellStyle name="Normal 2 5 5 2 3 3 3" xfId="40513"/>
    <cellStyle name="Normal 2 5 5 2 3 4" xfId="29307"/>
    <cellStyle name="Normal 2 5 5 2 3 4 2" xfId="44131"/>
    <cellStyle name="Normal 2 5 5 2 3 5" xfId="36908"/>
    <cellStyle name="Normal 2 5 5 2 3 6" xfId="21989"/>
    <cellStyle name="Normal 2 5 5 2 4" xfId="19429"/>
    <cellStyle name="Normal 2 5 5 2 4 2" xfId="26799"/>
    <cellStyle name="Normal 2 5 5 2 4 2 2" xfId="34110"/>
    <cellStyle name="Normal 2 5 5 2 4 2 2 2" xfId="48930"/>
    <cellStyle name="Normal 2 5 5 2 4 2 3" xfId="41639"/>
    <cellStyle name="Normal 2 5 5 2 4 3" xfId="30456"/>
    <cellStyle name="Normal 2 5 5 2 4 3 2" xfId="45279"/>
    <cellStyle name="Normal 2 5 5 2 4 4" xfId="37953"/>
    <cellStyle name="Normal 2 5 5 2 4 5" xfId="23141"/>
    <cellStyle name="Normal 2 5 5 2 5" xfId="24958"/>
    <cellStyle name="Normal 2 5 5 2 5 2" xfId="32269"/>
    <cellStyle name="Normal 2 5 5 2 5 2 2" xfId="47092"/>
    <cellStyle name="Normal 2 5 5 2 5 3" xfId="39853"/>
    <cellStyle name="Normal 2 5 5 2 6" xfId="28615"/>
    <cellStyle name="Normal 2 5 5 2 6 2" xfId="43452"/>
    <cellStyle name="Normal 2 5 5 2 7" xfId="35683"/>
    <cellStyle name="Normal 2 5 5 2 8" xfId="21297"/>
    <cellStyle name="Normal 2 5 5 3" xfId="17612"/>
    <cellStyle name="Normal 2 5 5 3 2" xfId="18726"/>
    <cellStyle name="Normal 2 5 5 3 2 2" xfId="20605"/>
    <cellStyle name="Normal 2 5 5 3 2 2 2" xfId="27931"/>
    <cellStyle name="Normal 2 5 5 3 2 2 2 2" xfId="35242"/>
    <cellStyle name="Normal 2 5 5 3 2 2 2 2 2" xfId="50062"/>
    <cellStyle name="Normal 2 5 5 3 2 2 2 3" xfId="42770"/>
    <cellStyle name="Normal 2 5 5 3 2 2 3" xfId="31588"/>
    <cellStyle name="Normal 2 5 5 3 2 2 3 2" xfId="46411"/>
    <cellStyle name="Normal 2 5 5 3 2 2 4" xfId="39086"/>
    <cellStyle name="Normal 2 5 5 3 2 2 5" xfId="24273"/>
    <cellStyle name="Normal 2 5 5 3 2 3" xfId="26105"/>
    <cellStyle name="Normal 2 5 5 3 2 3 2" xfId="33416"/>
    <cellStyle name="Normal 2 5 5 3 2 3 2 2" xfId="48236"/>
    <cellStyle name="Normal 2 5 5 3 2 3 3" xfId="40949"/>
    <cellStyle name="Normal 2 5 5 3 2 4" xfId="29762"/>
    <cellStyle name="Normal 2 5 5 3 2 4 2" xfId="44586"/>
    <cellStyle name="Normal 2 5 5 3 2 5" xfId="37363"/>
    <cellStyle name="Normal 2 5 5 3 2 6" xfId="22444"/>
    <cellStyle name="Normal 2 5 5 3 3" xfId="19656"/>
    <cellStyle name="Normal 2 5 5 3 3 2" xfId="27025"/>
    <cellStyle name="Normal 2 5 5 3 3 2 2" xfId="34336"/>
    <cellStyle name="Normal 2 5 5 3 3 2 2 2" xfId="49156"/>
    <cellStyle name="Normal 2 5 5 3 3 2 3" xfId="41865"/>
    <cellStyle name="Normal 2 5 5 3 3 3" xfId="30682"/>
    <cellStyle name="Normal 2 5 5 3 3 3 2" xfId="45505"/>
    <cellStyle name="Normal 2 5 5 3 3 4" xfId="38179"/>
    <cellStyle name="Normal 2 5 5 3 3 5" xfId="23367"/>
    <cellStyle name="Normal 2 5 5 3 4" xfId="25184"/>
    <cellStyle name="Normal 2 5 5 3 4 2" xfId="32495"/>
    <cellStyle name="Normal 2 5 5 3 4 2 2" xfId="47318"/>
    <cellStyle name="Normal 2 5 5 3 4 3" xfId="40076"/>
    <cellStyle name="Normal 2 5 5 3 5" xfId="28841"/>
    <cellStyle name="Normal 2 5 5 3 5 2" xfId="43678"/>
    <cellStyle name="Normal 2 5 5 3 6" xfId="36131"/>
    <cellStyle name="Normal 2 5 5 3 7" xfId="21523"/>
    <cellStyle name="Normal 2 5 5 4" xfId="18109"/>
    <cellStyle name="Normal 2 5 5 4 2" xfId="20149"/>
    <cellStyle name="Normal 2 5 5 4 2 2" xfId="27475"/>
    <cellStyle name="Normal 2 5 5 4 2 2 2" xfId="34786"/>
    <cellStyle name="Normal 2 5 5 4 2 2 2 2" xfId="49606"/>
    <cellStyle name="Normal 2 5 5 4 2 2 3" xfId="42314"/>
    <cellStyle name="Normal 2 5 5 4 2 3" xfId="31132"/>
    <cellStyle name="Normal 2 5 5 4 2 3 2" xfId="45955"/>
    <cellStyle name="Normal 2 5 5 4 2 4" xfId="38630"/>
    <cellStyle name="Normal 2 5 5 4 2 5" xfId="23817"/>
    <cellStyle name="Normal 2 5 5 4 3" xfId="25649"/>
    <cellStyle name="Normal 2 5 5 4 3 2" xfId="32960"/>
    <cellStyle name="Normal 2 5 5 4 3 2 2" xfId="47780"/>
    <cellStyle name="Normal 2 5 5 4 3 3" xfId="40512"/>
    <cellStyle name="Normal 2 5 5 4 4" xfId="29306"/>
    <cellStyle name="Normal 2 5 5 4 4 2" xfId="44130"/>
    <cellStyle name="Normal 2 5 5 4 5" xfId="36765"/>
    <cellStyle name="Normal 2 5 5 4 6" xfId="21988"/>
    <cellStyle name="Normal 2 5 5 5" xfId="18267"/>
    <cellStyle name="Normal 2 5 5 5 2" xfId="26577"/>
    <cellStyle name="Normal 2 5 5 5 2 2" xfId="33888"/>
    <cellStyle name="Normal 2 5 5 5 2 2 2" xfId="48708"/>
    <cellStyle name="Normal 2 5 5 5 2 3" xfId="41417"/>
    <cellStyle name="Normal 2 5 5 5 3" xfId="30234"/>
    <cellStyle name="Normal 2 5 5 5 3 2" xfId="45057"/>
    <cellStyle name="Normal 2 5 5 5 4" xfId="36907"/>
    <cellStyle name="Normal 2 5 5 5 5" xfId="22919"/>
    <cellStyle name="Normal 2 5 5 6" xfId="19207"/>
    <cellStyle name="Normal 2 5 5 6 2" xfId="32045"/>
    <cellStyle name="Normal 2 5 5 6 2 2" xfId="46868"/>
    <cellStyle name="Normal 2 5 5 6 3" xfId="37731"/>
    <cellStyle name="Normal 2 5 5 6 4" xfId="24734"/>
    <cellStyle name="Normal 2 5 5 7" xfId="28391"/>
    <cellStyle name="Normal 2 5 5 7 2" xfId="43228"/>
    <cellStyle name="Normal 2 5 5 7 3" xfId="36669"/>
    <cellStyle name="Normal 2 5 5 8" xfId="35682"/>
    <cellStyle name="Normal 2 5 5 9" xfId="21073"/>
    <cellStyle name="Normal 2 5 6" xfId="17163"/>
    <cellStyle name="Normal 2 5 6 2" xfId="17265"/>
    <cellStyle name="Normal 2 5 6 2 2" xfId="18118"/>
    <cellStyle name="Normal 2 5 6 2 2 2" xfId="20717"/>
    <cellStyle name="Normal 2 5 6 2 2 2 2" xfId="28043"/>
    <cellStyle name="Normal 2 5 6 2 2 2 2 2" xfId="35354"/>
    <cellStyle name="Normal 2 5 6 2 2 2 2 2 2" xfId="50174"/>
    <cellStyle name="Normal 2 5 6 2 2 2 2 3" xfId="42882"/>
    <cellStyle name="Normal 2 5 6 2 2 2 3" xfId="31700"/>
    <cellStyle name="Normal 2 5 6 2 2 2 3 2" xfId="46523"/>
    <cellStyle name="Normal 2 5 6 2 2 2 4" xfId="39198"/>
    <cellStyle name="Normal 2 5 6 2 2 2 5" xfId="24385"/>
    <cellStyle name="Normal 2 5 6 2 2 3" xfId="26217"/>
    <cellStyle name="Normal 2 5 6 2 2 3 2" xfId="33528"/>
    <cellStyle name="Normal 2 5 6 2 2 3 2 2" xfId="48348"/>
    <cellStyle name="Normal 2 5 6 2 2 3 3" xfId="41061"/>
    <cellStyle name="Normal 2 5 6 2 2 4" xfId="29874"/>
    <cellStyle name="Normal 2 5 6 2 2 4 2" xfId="44698"/>
    <cellStyle name="Normal 2 5 6 2 2 5" xfId="36774"/>
    <cellStyle name="Normal 2 5 6 2 2 6" xfId="22556"/>
    <cellStyle name="Normal 2 5 6 2 3" xfId="18838"/>
    <cellStyle name="Normal 2 5 6 2 3 2" xfId="27137"/>
    <cellStyle name="Normal 2 5 6 2 3 2 2" xfId="34448"/>
    <cellStyle name="Normal 2 5 6 2 3 2 2 2" xfId="49268"/>
    <cellStyle name="Normal 2 5 6 2 3 2 3" xfId="41977"/>
    <cellStyle name="Normal 2 5 6 2 3 3" xfId="30794"/>
    <cellStyle name="Normal 2 5 6 2 3 3 2" xfId="45617"/>
    <cellStyle name="Normal 2 5 6 2 3 4" xfId="37474"/>
    <cellStyle name="Normal 2 5 6 2 3 5" xfId="23479"/>
    <cellStyle name="Normal 2 5 6 2 4" xfId="19768"/>
    <cellStyle name="Normal 2 5 6 2 4 2" xfId="32607"/>
    <cellStyle name="Normal 2 5 6 2 4 2 2" xfId="47430"/>
    <cellStyle name="Normal 2 5 6 2 4 3" xfId="38291"/>
    <cellStyle name="Normal 2 5 6 2 4 4" xfId="25296"/>
    <cellStyle name="Normal 2 5 6 2 5" xfId="28953"/>
    <cellStyle name="Normal 2 5 6 2 5 2" xfId="43790"/>
    <cellStyle name="Normal 2 5 6 2 6" xfId="36133"/>
    <cellStyle name="Normal 2 5 6 2 7" xfId="21635"/>
    <cellStyle name="Normal 2 5 6 3" xfId="17724"/>
    <cellStyle name="Normal 2 5 6 3 2" xfId="20151"/>
    <cellStyle name="Normal 2 5 6 3 2 2" xfId="27477"/>
    <cellStyle name="Normal 2 5 6 3 2 2 2" xfId="34788"/>
    <cellStyle name="Normal 2 5 6 3 2 2 2 2" xfId="49608"/>
    <cellStyle name="Normal 2 5 6 3 2 2 3" xfId="42316"/>
    <cellStyle name="Normal 2 5 6 3 2 3" xfId="31134"/>
    <cellStyle name="Normal 2 5 6 3 2 3 2" xfId="45957"/>
    <cellStyle name="Normal 2 5 6 3 2 4" xfId="38632"/>
    <cellStyle name="Normal 2 5 6 3 2 5" xfId="23819"/>
    <cellStyle name="Normal 2 5 6 3 3" xfId="25651"/>
    <cellStyle name="Normal 2 5 6 3 3 2" xfId="32962"/>
    <cellStyle name="Normal 2 5 6 3 3 2 2" xfId="47782"/>
    <cellStyle name="Normal 2 5 6 3 3 3" xfId="40514"/>
    <cellStyle name="Normal 2 5 6 3 4" xfId="29308"/>
    <cellStyle name="Normal 2 5 6 3 4 2" xfId="44132"/>
    <cellStyle name="Normal 2 5 6 3 5" xfId="36685"/>
    <cellStyle name="Normal 2 5 6 3 6" xfId="21990"/>
    <cellStyle name="Normal 2 5 6 4" xfId="18269"/>
    <cellStyle name="Normal 2 5 6 4 2" xfId="26687"/>
    <cellStyle name="Normal 2 5 6 4 2 2" xfId="33998"/>
    <cellStyle name="Normal 2 5 6 4 2 2 2" xfId="48818"/>
    <cellStyle name="Normal 2 5 6 4 2 3" xfId="41527"/>
    <cellStyle name="Normal 2 5 6 4 3" xfId="30344"/>
    <cellStyle name="Normal 2 5 6 4 3 2" xfId="45167"/>
    <cellStyle name="Normal 2 5 6 4 4" xfId="36909"/>
    <cellStyle name="Normal 2 5 6 4 5" xfId="23029"/>
    <cellStyle name="Normal 2 5 6 5" xfId="19317"/>
    <cellStyle name="Normal 2 5 6 5 2" xfId="32157"/>
    <cellStyle name="Normal 2 5 6 5 2 2" xfId="46980"/>
    <cellStyle name="Normal 2 5 6 5 3" xfId="37841"/>
    <cellStyle name="Normal 2 5 6 5 4" xfId="24846"/>
    <cellStyle name="Normal 2 5 6 6" xfId="28503"/>
    <cellStyle name="Normal 2 5 6 6 2" xfId="43340"/>
    <cellStyle name="Normal 2 5 6 7" xfId="35684"/>
    <cellStyle name="Normal 2 5 6 8" xfId="21185"/>
    <cellStyle name="Normal 2 5 7" xfId="17500"/>
    <cellStyle name="Normal 2 5 7 2" xfId="18614"/>
    <cellStyle name="Normal 2 5 7 2 2" xfId="20493"/>
    <cellStyle name="Normal 2 5 7 2 2 2" xfId="27819"/>
    <cellStyle name="Normal 2 5 7 2 2 2 2" xfId="35130"/>
    <cellStyle name="Normal 2 5 7 2 2 2 2 2" xfId="49950"/>
    <cellStyle name="Normal 2 5 7 2 2 2 3" xfId="42658"/>
    <cellStyle name="Normal 2 5 7 2 2 3" xfId="31476"/>
    <cellStyle name="Normal 2 5 7 2 2 3 2" xfId="46299"/>
    <cellStyle name="Normal 2 5 7 2 2 4" xfId="38974"/>
    <cellStyle name="Normal 2 5 7 2 2 5" xfId="24161"/>
    <cellStyle name="Normal 2 5 7 2 3" xfId="25993"/>
    <cellStyle name="Normal 2 5 7 2 3 2" xfId="33304"/>
    <cellStyle name="Normal 2 5 7 2 3 2 2" xfId="48124"/>
    <cellStyle name="Normal 2 5 7 2 3 3" xfId="40837"/>
    <cellStyle name="Normal 2 5 7 2 4" xfId="29650"/>
    <cellStyle name="Normal 2 5 7 2 4 2" xfId="44474"/>
    <cellStyle name="Normal 2 5 7 2 5" xfId="37251"/>
    <cellStyle name="Normal 2 5 7 2 6" xfId="22332"/>
    <cellStyle name="Normal 2 5 7 3" xfId="19544"/>
    <cellStyle name="Normal 2 5 7 3 2" xfId="26913"/>
    <cellStyle name="Normal 2 5 7 3 2 2" xfId="34224"/>
    <cellStyle name="Normal 2 5 7 3 2 2 2" xfId="49044"/>
    <cellStyle name="Normal 2 5 7 3 2 3" xfId="41753"/>
    <cellStyle name="Normal 2 5 7 3 3" xfId="30570"/>
    <cellStyle name="Normal 2 5 7 3 3 2" xfId="45393"/>
    <cellStyle name="Normal 2 5 7 3 4" xfId="38067"/>
    <cellStyle name="Normal 2 5 7 3 5" xfId="23255"/>
    <cellStyle name="Normal 2 5 7 4" xfId="25072"/>
    <cellStyle name="Normal 2 5 7 4 2" xfId="32383"/>
    <cellStyle name="Normal 2 5 7 4 2 2" xfId="47206"/>
    <cellStyle name="Normal 2 5 7 4 3" xfId="39967"/>
    <cellStyle name="Normal 2 5 7 5" xfId="28729"/>
    <cellStyle name="Normal 2 5 7 5 2" xfId="43566"/>
    <cellStyle name="Normal 2 5 7 6" xfId="36102"/>
    <cellStyle name="Normal 2 5 7 7" xfId="21411"/>
    <cellStyle name="Normal 2 5 8" xfId="17962"/>
    <cellStyle name="Normal 2 5 8 2" xfId="18238"/>
    <cellStyle name="Normal 2 5 8 2 2" xfId="27446"/>
    <cellStyle name="Normal 2 5 8 2 2 2" xfId="34757"/>
    <cellStyle name="Normal 2 5 8 2 2 2 2" xfId="49577"/>
    <cellStyle name="Normal 2 5 8 2 2 3" xfId="42285"/>
    <cellStyle name="Normal 2 5 8 2 3" xfId="31103"/>
    <cellStyle name="Normal 2 5 8 2 3 2" xfId="45926"/>
    <cellStyle name="Normal 2 5 8 2 4" xfId="36878"/>
    <cellStyle name="Normal 2 5 8 2 5" xfId="23788"/>
    <cellStyle name="Normal 2 5 8 3" xfId="20120"/>
    <cellStyle name="Normal 2 5 8 3 2" xfId="32931"/>
    <cellStyle name="Normal 2 5 8 3 2 2" xfId="47751"/>
    <cellStyle name="Normal 2 5 8 3 3" xfId="38601"/>
    <cellStyle name="Normal 2 5 8 3 4" xfId="25620"/>
    <cellStyle name="Normal 2 5 8 4" xfId="29277"/>
    <cellStyle name="Normal 2 5 8 4 2" xfId="44101"/>
    <cellStyle name="Normal 2 5 8 5" xfId="36690"/>
    <cellStyle name="Normal 2 5 8 6" xfId="21959"/>
    <cellStyle name="Normal 2 5 9" xfId="19999"/>
    <cellStyle name="Normal 2 5_2010_02_12_Прочая информация_v_1" xfId="14858"/>
    <cellStyle name="Normal 2 6" xfId="13956"/>
    <cellStyle name="Normal 2 6 10" xfId="24629"/>
    <cellStyle name="Normal 2 6 10 2" xfId="31940"/>
    <cellStyle name="Normal 2 6 10 2 2" xfId="46763"/>
    <cellStyle name="Normal 2 6 10 3" xfId="39551"/>
    <cellStyle name="Normal 2 6 10 4" xfId="36500"/>
    <cellStyle name="Normal 2 6 11" xfId="28286"/>
    <cellStyle name="Normal 2 6 11 2" xfId="43123"/>
    <cellStyle name="Normal 2 6 12" xfId="35685"/>
    <cellStyle name="Normal 2 6 13" xfId="20968"/>
    <cellStyle name="Normal 2 6 2" xfId="17205"/>
    <cellStyle name="Normal 2 6 2 10" xfId="35686"/>
    <cellStyle name="Normal 2 6 2 11" xfId="20996"/>
    <cellStyle name="Normal 2 6 2 2" xfId="17362"/>
    <cellStyle name="Normal 2 6 2 2 10" xfId="21052"/>
    <cellStyle name="Normal 2 6 2 2 2" xfId="17477"/>
    <cellStyle name="Normal 2 6 2 2 2 2" xfId="17927"/>
    <cellStyle name="Normal 2 6 2 2 2 2 2" xfId="19041"/>
    <cellStyle name="Normal 2 6 2 2 2 2 2 2" xfId="20920"/>
    <cellStyle name="Normal 2 6 2 2 2 2 2 2 2" xfId="24588"/>
    <cellStyle name="Normal 2 6 2 2 2 2 2 2 2 2" xfId="28246"/>
    <cellStyle name="Normal 2 6 2 2 2 2 2 2 2 2 2" xfId="35557"/>
    <cellStyle name="Normal 2 6 2 2 2 2 2 2 2 2 2 2" xfId="50377"/>
    <cellStyle name="Normal 2 6 2 2 2 2 2 2 2 2 3" xfId="43085"/>
    <cellStyle name="Normal 2 6 2 2 2 2 2 2 2 3" xfId="31903"/>
    <cellStyle name="Normal 2 6 2 2 2 2 2 2 2 3 2" xfId="46726"/>
    <cellStyle name="Normal 2 6 2 2 2 2 2 2 2 4" xfId="39520"/>
    <cellStyle name="Normal 2 6 2 2 2 2 2 2 3" xfId="26420"/>
    <cellStyle name="Normal 2 6 2 2 2 2 2 2 3 2" xfId="33731"/>
    <cellStyle name="Normal 2 6 2 2 2 2 2 2 3 2 2" xfId="48551"/>
    <cellStyle name="Normal 2 6 2 2 2 2 2 2 3 3" xfId="41264"/>
    <cellStyle name="Normal 2 6 2 2 2 2 2 2 4" xfId="30077"/>
    <cellStyle name="Normal 2 6 2 2 2 2 2 2 4 2" xfId="44901"/>
    <cellStyle name="Normal 2 6 2 2 2 2 2 2 5" xfId="39401"/>
    <cellStyle name="Normal 2 6 2 2 2 2 2 2 6" xfId="22759"/>
    <cellStyle name="Normal 2 6 2 2 2 2 2 3" xfId="19971"/>
    <cellStyle name="Normal 2 6 2 2 2 2 2 3 2" xfId="27340"/>
    <cellStyle name="Normal 2 6 2 2 2 2 2 3 2 2" xfId="34651"/>
    <cellStyle name="Normal 2 6 2 2 2 2 2 3 2 2 2" xfId="49471"/>
    <cellStyle name="Normal 2 6 2 2 2 2 2 3 2 3" xfId="42180"/>
    <cellStyle name="Normal 2 6 2 2 2 2 2 3 3" xfId="30997"/>
    <cellStyle name="Normal 2 6 2 2 2 2 2 3 3 2" xfId="45820"/>
    <cellStyle name="Normal 2 6 2 2 2 2 2 3 4" xfId="38494"/>
    <cellStyle name="Normal 2 6 2 2 2 2 2 3 5" xfId="23682"/>
    <cellStyle name="Normal 2 6 2 2 2 2 2 4" xfId="25499"/>
    <cellStyle name="Normal 2 6 2 2 2 2 2 4 2" xfId="32810"/>
    <cellStyle name="Normal 2 6 2 2 2 2 2 4 2 2" xfId="47633"/>
    <cellStyle name="Normal 2 6 2 2 2 2 2 4 3" xfId="40387"/>
    <cellStyle name="Normal 2 6 2 2 2 2 2 5" xfId="29156"/>
    <cellStyle name="Normal 2 6 2 2 2 2 2 5 2" xfId="43993"/>
    <cellStyle name="Normal 2 6 2 2 2 2 2 6" xfId="36138"/>
    <cellStyle name="Normal 2 6 2 2 2 2 2 7" xfId="21838"/>
    <cellStyle name="Normal 2 6 2 2 2 2 3" xfId="18274"/>
    <cellStyle name="Normal 2 6 2 2 2 2 3 2" xfId="20156"/>
    <cellStyle name="Normal 2 6 2 2 2 2 3 2 2" xfId="27482"/>
    <cellStyle name="Normal 2 6 2 2 2 2 3 2 2 2" xfId="34793"/>
    <cellStyle name="Normal 2 6 2 2 2 2 3 2 2 2 2" xfId="49613"/>
    <cellStyle name="Normal 2 6 2 2 2 2 3 2 2 3" xfId="42321"/>
    <cellStyle name="Normal 2 6 2 2 2 2 3 2 3" xfId="31139"/>
    <cellStyle name="Normal 2 6 2 2 2 2 3 2 3 2" xfId="45962"/>
    <cellStyle name="Normal 2 6 2 2 2 2 3 2 4" xfId="38637"/>
    <cellStyle name="Normal 2 6 2 2 2 2 3 2 5" xfId="23824"/>
    <cellStyle name="Normal 2 6 2 2 2 2 3 3" xfId="25656"/>
    <cellStyle name="Normal 2 6 2 2 2 2 3 3 2" xfId="32967"/>
    <cellStyle name="Normal 2 6 2 2 2 2 3 3 2 2" xfId="47787"/>
    <cellStyle name="Normal 2 6 2 2 2 2 3 3 3" xfId="40518"/>
    <cellStyle name="Normal 2 6 2 2 2 2 3 4" xfId="29313"/>
    <cellStyle name="Normal 2 6 2 2 2 2 3 4 2" xfId="44137"/>
    <cellStyle name="Normal 2 6 2 2 2 2 3 5" xfId="36914"/>
    <cellStyle name="Normal 2 6 2 2 2 2 3 6" xfId="21995"/>
    <cellStyle name="Normal 2 6 2 2 2 2 4" xfId="19520"/>
    <cellStyle name="Normal 2 6 2 2 2 2 4 2" xfId="26890"/>
    <cellStyle name="Normal 2 6 2 2 2 2 4 2 2" xfId="34201"/>
    <cellStyle name="Normal 2 6 2 2 2 2 4 2 2 2" xfId="49021"/>
    <cellStyle name="Normal 2 6 2 2 2 2 4 2 3" xfId="41730"/>
    <cellStyle name="Normal 2 6 2 2 2 2 4 3" xfId="30547"/>
    <cellStyle name="Normal 2 6 2 2 2 2 4 3 2" xfId="45370"/>
    <cellStyle name="Normal 2 6 2 2 2 2 4 4" xfId="38044"/>
    <cellStyle name="Normal 2 6 2 2 2 2 4 5" xfId="23232"/>
    <cellStyle name="Normal 2 6 2 2 2 2 5" xfId="25049"/>
    <cellStyle name="Normal 2 6 2 2 2 2 5 2" xfId="32360"/>
    <cellStyle name="Normal 2 6 2 2 2 2 5 2 2" xfId="47183"/>
    <cellStyle name="Normal 2 6 2 2 2 2 5 3" xfId="39944"/>
    <cellStyle name="Normal 2 6 2 2 2 2 6" xfId="28706"/>
    <cellStyle name="Normal 2 6 2 2 2 2 6 2" xfId="43543"/>
    <cellStyle name="Normal 2 6 2 2 2 2 7" xfId="35689"/>
    <cellStyle name="Normal 2 6 2 2 2 2 8" xfId="21388"/>
    <cellStyle name="Normal 2 6 2 2 2 3" xfId="17703"/>
    <cellStyle name="Normal 2 6 2 2 2 3 2" xfId="18817"/>
    <cellStyle name="Normal 2 6 2 2 2 3 2 2" xfId="20696"/>
    <cellStyle name="Normal 2 6 2 2 2 3 2 2 2" xfId="28022"/>
    <cellStyle name="Normal 2 6 2 2 2 3 2 2 2 2" xfId="35333"/>
    <cellStyle name="Normal 2 6 2 2 2 3 2 2 2 2 2" xfId="50153"/>
    <cellStyle name="Normal 2 6 2 2 2 3 2 2 2 3" xfId="42861"/>
    <cellStyle name="Normal 2 6 2 2 2 3 2 2 3" xfId="31679"/>
    <cellStyle name="Normal 2 6 2 2 2 3 2 2 3 2" xfId="46502"/>
    <cellStyle name="Normal 2 6 2 2 2 3 2 2 4" xfId="39177"/>
    <cellStyle name="Normal 2 6 2 2 2 3 2 2 5" xfId="24364"/>
    <cellStyle name="Normal 2 6 2 2 2 3 2 3" xfId="26196"/>
    <cellStyle name="Normal 2 6 2 2 2 3 2 3 2" xfId="33507"/>
    <cellStyle name="Normal 2 6 2 2 2 3 2 3 2 2" xfId="48327"/>
    <cellStyle name="Normal 2 6 2 2 2 3 2 3 3" xfId="41040"/>
    <cellStyle name="Normal 2 6 2 2 2 3 2 4" xfId="29853"/>
    <cellStyle name="Normal 2 6 2 2 2 3 2 4 2" xfId="44677"/>
    <cellStyle name="Normal 2 6 2 2 2 3 2 5" xfId="37454"/>
    <cellStyle name="Normal 2 6 2 2 2 3 2 6" xfId="22535"/>
    <cellStyle name="Normal 2 6 2 2 2 3 3" xfId="19747"/>
    <cellStyle name="Normal 2 6 2 2 2 3 3 2" xfId="27116"/>
    <cellStyle name="Normal 2 6 2 2 2 3 3 2 2" xfId="34427"/>
    <cellStyle name="Normal 2 6 2 2 2 3 3 2 2 2" xfId="49247"/>
    <cellStyle name="Normal 2 6 2 2 2 3 3 2 3" xfId="41956"/>
    <cellStyle name="Normal 2 6 2 2 2 3 3 3" xfId="30773"/>
    <cellStyle name="Normal 2 6 2 2 2 3 3 3 2" xfId="45596"/>
    <cellStyle name="Normal 2 6 2 2 2 3 3 4" xfId="38270"/>
    <cellStyle name="Normal 2 6 2 2 2 3 3 5" xfId="23458"/>
    <cellStyle name="Normal 2 6 2 2 2 3 4" xfId="25275"/>
    <cellStyle name="Normal 2 6 2 2 2 3 4 2" xfId="32586"/>
    <cellStyle name="Normal 2 6 2 2 2 3 4 2 2" xfId="47409"/>
    <cellStyle name="Normal 2 6 2 2 2 3 4 3" xfId="40167"/>
    <cellStyle name="Normal 2 6 2 2 2 3 5" xfId="28932"/>
    <cellStyle name="Normal 2 6 2 2 2 3 5 2" xfId="43769"/>
    <cellStyle name="Normal 2 6 2 2 2 3 6" xfId="36137"/>
    <cellStyle name="Normal 2 6 2 2 2 3 7" xfId="21614"/>
    <cellStyle name="Normal 2 6 2 2 2 4" xfId="18273"/>
    <cellStyle name="Normal 2 6 2 2 2 4 2" xfId="20155"/>
    <cellStyle name="Normal 2 6 2 2 2 4 2 2" xfId="27481"/>
    <cellStyle name="Normal 2 6 2 2 2 4 2 2 2" xfId="34792"/>
    <cellStyle name="Normal 2 6 2 2 2 4 2 2 2 2" xfId="49612"/>
    <cellStyle name="Normal 2 6 2 2 2 4 2 2 3" xfId="42320"/>
    <cellStyle name="Normal 2 6 2 2 2 4 2 3" xfId="31138"/>
    <cellStyle name="Normal 2 6 2 2 2 4 2 3 2" xfId="45961"/>
    <cellStyle name="Normal 2 6 2 2 2 4 2 4" xfId="38636"/>
    <cellStyle name="Normal 2 6 2 2 2 4 2 5" xfId="23823"/>
    <cellStyle name="Normal 2 6 2 2 2 4 3" xfId="25655"/>
    <cellStyle name="Normal 2 6 2 2 2 4 3 2" xfId="32966"/>
    <cellStyle name="Normal 2 6 2 2 2 4 3 2 2" xfId="47786"/>
    <cellStyle name="Normal 2 6 2 2 2 4 3 3" xfId="40517"/>
    <cellStyle name="Normal 2 6 2 2 2 4 4" xfId="29312"/>
    <cellStyle name="Normal 2 6 2 2 2 4 4 2" xfId="44136"/>
    <cellStyle name="Normal 2 6 2 2 2 4 5" xfId="36913"/>
    <cellStyle name="Normal 2 6 2 2 2 4 6" xfId="21994"/>
    <cellStyle name="Normal 2 6 2 2 2 5" xfId="19296"/>
    <cellStyle name="Normal 2 6 2 2 2 5 2" xfId="26666"/>
    <cellStyle name="Normal 2 6 2 2 2 5 2 2" xfId="33977"/>
    <cellStyle name="Normal 2 6 2 2 2 5 2 2 2" xfId="48797"/>
    <cellStyle name="Normal 2 6 2 2 2 5 2 3" xfId="41506"/>
    <cellStyle name="Normal 2 6 2 2 2 5 3" xfId="30323"/>
    <cellStyle name="Normal 2 6 2 2 2 5 3 2" xfId="45146"/>
    <cellStyle name="Normal 2 6 2 2 2 5 4" xfId="37820"/>
    <cellStyle name="Normal 2 6 2 2 2 5 5" xfId="23008"/>
    <cellStyle name="Normal 2 6 2 2 2 6" xfId="24825"/>
    <cellStyle name="Normal 2 6 2 2 2 6 2" xfId="32136"/>
    <cellStyle name="Normal 2 6 2 2 2 6 2 2" xfId="46959"/>
    <cellStyle name="Normal 2 6 2 2 2 6 3" xfId="39724"/>
    <cellStyle name="Normal 2 6 2 2 2 7" xfId="28482"/>
    <cellStyle name="Normal 2 6 2 2 2 7 2" xfId="43319"/>
    <cellStyle name="Normal 2 6 2 2 2 8" xfId="35688"/>
    <cellStyle name="Normal 2 6 2 2 2 9" xfId="21164"/>
    <cellStyle name="Normal 2 6 2 2 3" xfId="17815"/>
    <cellStyle name="Normal 2 6 2 2 3 2" xfId="18929"/>
    <cellStyle name="Normal 2 6 2 2 3 2 2" xfId="20808"/>
    <cellStyle name="Normal 2 6 2 2 3 2 2 2" xfId="24476"/>
    <cellStyle name="Normal 2 6 2 2 3 2 2 2 2" xfId="28134"/>
    <cellStyle name="Normal 2 6 2 2 3 2 2 2 2 2" xfId="35445"/>
    <cellStyle name="Normal 2 6 2 2 3 2 2 2 2 2 2" xfId="50265"/>
    <cellStyle name="Normal 2 6 2 2 3 2 2 2 2 3" xfId="42973"/>
    <cellStyle name="Normal 2 6 2 2 3 2 2 2 3" xfId="31791"/>
    <cellStyle name="Normal 2 6 2 2 3 2 2 2 3 2" xfId="46614"/>
    <cellStyle name="Normal 2 6 2 2 3 2 2 2 4" xfId="39439"/>
    <cellStyle name="Normal 2 6 2 2 3 2 2 3" xfId="26308"/>
    <cellStyle name="Normal 2 6 2 2 3 2 2 3 2" xfId="33619"/>
    <cellStyle name="Normal 2 6 2 2 3 2 2 3 2 2" xfId="48439"/>
    <cellStyle name="Normal 2 6 2 2 3 2 2 3 3" xfId="41152"/>
    <cellStyle name="Normal 2 6 2 2 3 2 2 4" xfId="29965"/>
    <cellStyle name="Normal 2 6 2 2 3 2 2 4 2" xfId="44789"/>
    <cellStyle name="Normal 2 6 2 2 3 2 2 5" xfId="39289"/>
    <cellStyle name="Normal 2 6 2 2 3 2 2 6" xfId="22647"/>
    <cellStyle name="Normal 2 6 2 2 3 2 3" xfId="19859"/>
    <cellStyle name="Normal 2 6 2 2 3 2 3 2" xfId="27228"/>
    <cellStyle name="Normal 2 6 2 2 3 2 3 2 2" xfId="34539"/>
    <cellStyle name="Normal 2 6 2 2 3 2 3 2 2 2" xfId="49359"/>
    <cellStyle name="Normal 2 6 2 2 3 2 3 2 3" xfId="42068"/>
    <cellStyle name="Normal 2 6 2 2 3 2 3 3" xfId="30885"/>
    <cellStyle name="Normal 2 6 2 2 3 2 3 3 2" xfId="45708"/>
    <cellStyle name="Normal 2 6 2 2 3 2 3 4" xfId="38382"/>
    <cellStyle name="Normal 2 6 2 2 3 2 3 5" xfId="23570"/>
    <cellStyle name="Normal 2 6 2 2 3 2 4" xfId="25387"/>
    <cellStyle name="Normal 2 6 2 2 3 2 4 2" xfId="32698"/>
    <cellStyle name="Normal 2 6 2 2 3 2 4 2 2" xfId="47521"/>
    <cellStyle name="Normal 2 6 2 2 3 2 4 3" xfId="40275"/>
    <cellStyle name="Normal 2 6 2 2 3 2 5" xfId="29044"/>
    <cellStyle name="Normal 2 6 2 2 3 2 5 2" xfId="43881"/>
    <cellStyle name="Normal 2 6 2 2 3 2 6" xfId="36139"/>
    <cellStyle name="Normal 2 6 2 2 3 2 7" xfId="21726"/>
    <cellStyle name="Normal 2 6 2 2 3 3" xfId="18275"/>
    <cellStyle name="Normal 2 6 2 2 3 3 2" xfId="20157"/>
    <cellStyle name="Normal 2 6 2 2 3 3 2 2" xfId="27483"/>
    <cellStyle name="Normal 2 6 2 2 3 3 2 2 2" xfId="34794"/>
    <cellStyle name="Normal 2 6 2 2 3 3 2 2 2 2" xfId="49614"/>
    <cellStyle name="Normal 2 6 2 2 3 3 2 2 3" xfId="42322"/>
    <cellStyle name="Normal 2 6 2 2 3 3 2 3" xfId="31140"/>
    <cellStyle name="Normal 2 6 2 2 3 3 2 3 2" xfId="45963"/>
    <cellStyle name="Normal 2 6 2 2 3 3 2 4" xfId="38638"/>
    <cellStyle name="Normal 2 6 2 2 3 3 2 5" xfId="23825"/>
    <cellStyle name="Normal 2 6 2 2 3 3 3" xfId="25657"/>
    <cellStyle name="Normal 2 6 2 2 3 3 3 2" xfId="32968"/>
    <cellStyle name="Normal 2 6 2 2 3 3 3 2 2" xfId="47788"/>
    <cellStyle name="Normal 2 6 2 2 3 3 3 3" xfId="40519"/>
    <cellStyle name="Normal 2 6 2 2 3 3 4" xfId="29314"/>
    <cellStyle name="Normal 2 6 2 2 3 3 4 2" xfId="44138"/>
    <cellStyle name="Normal 2 6 2 2 3 3 5" xfId="36915"/>
    <cellStyle name="Normal 2 6 2 2 3 3 6" xfId="21996"/>
    <cellStyle name="Normal 2 6 2 2 3 4" xfId="19408"/>
    <cellStyle name="Normal 2 6 2 2 3 4 2" xfId="26778"/>
    <cellStyle name="Normal 2 6 2 2 3 4 2 2" xfId="34089"/>
    <cellStyle name="Normal 2 6 2 2 3 4 2 2 2" xfId="48909"/>
    <cellStyle name="Normal 2 6 2 2 3 4 2 3" xfId="41618"/>
    <cellStyle name="Normal 2 6 2 2 3 4 3" xfId="30435"/>
    <cellStyle name="Normal 2 6 2 2 3 4 3 2" xfId="45258"/>
    <cellStyle name="Normal 2 6 2 2 3 4 4" xfId="37932"/>
    <cellStyle name="Normal 2 6 2 2 3 4 5" xfId="23120"/>
    <cellStyle name="Normal 2 6 2 2 3 5" xfId="24937"/>
    <cellStyle name="Normal 2 6 2 2 3 5 2" xfId="32248"/>
    <cellStyle name="Normal 2 6 2 2 3 5 2 2" xfId="47071"/>
    <cellStyle name="Normal 2 6 2 2 3 5 3" xfId="39832"/>
    <cellStyle name="Normal 2 6 2 2 3 6" xfId="28594"/>
    <cellStyle name="Normal 2 6 2 2 3 6 2" xfId="43431"/>
    <cellStyle name="Normal 2 6 2 2 3 7" xfId="35690"/>
    <cellStyle name="Normal 2 6 2 2 3 8" xfId="21276"/>
    <cellStyle name="Normal 2 6 2 2 4" xfId="17591"/>
    <cellStyle name="Normal 2 6 2 2 4 2" xfId="18705"/>
    <cellStyle name="Normal 2 6 2 2 4 2 2" xfId="20584"/>
    <cellStyle name="Normal 2 6 2 2 4 2 2 2" xfId="27910"/>
    <cellStyle name="Normal 2 6 2 2 4 2 2 2 2" xfId="35221"/>
    <cellStyle name="Normal 2 6 2 2 4 2 2 2 2 2" xfId="50041"/>
    <cellStyle name="Normal 2 6 2 2 4 2 2 2 3" xfId="42749"/>
    <cellStyle name="Normal 2 6 2 2 4 2 2 3" xfId="31567"/>
    <cellStyle name="Normal 2 6 2 2 4 2 2 3 2" xfId="46390"/>
    <cellStyle name="Normal 2 6 2 2 4 2 2 4" xfId="39065"/>
    <cellStyle name="Normal 2 6 2 2 4 2 2 5" xfId="24252"/>
    <cellStyle name="Normal 2 6 2 2 4 2 3" xfId="26084"/>
    <cellStyle name="Normal 2 6 2 2 4 2 3 2" xfId="33395"/>
    <cellStyle name="Normal 2 6 2 2 4 2 3 2 2" xfId="48215"/>
    <cellStyle name="Normal 2 6 2 2 4 2 3 3" xfId="40928"/>
    <cellStyle name="Normal 2 6 2 2 4 2 4" xfId="29741"/>
    <cellStyle name="Normal 2 6 2 2 4 2 4 2" xfId="44565"/>
    <cellStyle name="Normal 2 6 2 2 4 2 5" xfId="37342"/>
    <cellStyle name="Normal 2 6 2 2 4 2 6" xfId="22423"/>
    <cellStyle name="Normal 2 6 2 2 4 3" xfId="19635"/>
    <cellStyle name="Normal 2 6 2 2 4 3 2" xfId="27004"/>
    <cellStyle name="Normal 2 6 2 2 4 3 2 2" xfId="34315"/>
    <cellStyle name="Normal 2 6 2 2 4 3 2 2 2" xfId="49135"/>
    <cellStyle name="Normal 2 6 2 2 4 3 2 3" xfId="41844"/>
    <cellStyle name="Normal 2 6 2 2 4 3 3" xfId="30661"/>
    <cellStyle name="Normal 2 6 2 2 4 3 3 2" xfId="45484"/>
    <cellStyle name="Normal 2 6 2 2 4 3 4" xfId="38158"/>
    <cellStyle name="Normal 2 6 2 2 4 3 5" xfId="23346"/>
    <cellStyle name="Normal 2 6 2 2 4 4" xfId="25163"/>
    <cellStyle name="Normal 2 6 2 2 4 4 2" xfId="32474"/>
    <cellStyle name="Normal 2 6 2 2 4 4 2 2" xfId="47297"/>
    <cellStyle name="Normal 2 6 2 2 4 4 3" xfId="40057"/>
    <cellStyle name="Normal 2 6 2 2 4 5" xfId="28820"/>
    <cellStyle name="Normal 2 6 2 2 4 5 2" xfId="43657"/>
    <cellStyle name="Normal 2 6 2 2 4 6" xfId="36136"/>
    <cellStyle name="Normal 2 6 2 2 4 7" xfId="21502"/>
    <cellStyle name="Normal 2 6 2 2 5" xfId="18272"/>
    <cellStyle name="Normal 2 6 2 2 5 2" xfId="20154"/>
    <cellStyle name="Normal 2 6 2 2 5 2 2" xfId="27480"/>
    <cellStyle name="Normal 2 6 2 2 5 2 2 2" xfId="34791"/>
    <cellStyle name="Normal 2 6 2 2 5 2 2 2 2" xfId="49611"/>
    <cellStyle name="Normal 2 6 2 2 5 2 2 3" xfId="42319"/>
    <cellStyle name="Normal 2 6 2 2 5 2 3" xfId="31137"/>
    <cellStyle name="Normal 2 6 2 2 5 2 3 2" xfId="45960"/>
    <cellStyle name="Normal 2 6 2 2 5 2 4" xfId="38635"/>
    <cellStyle name="Normal 2 6 2 2 5 2 5" xfId="23822"/>
    <cellStyle name="Normal 2 6 2 2 5 3" xfId="25654"/>
    <cellStyle name="Normal 2 6 2 2 5 3 2" xfId="32965"/>
    <cellStyle name="Normal 2 6 2 2 5 3 2 2" xfId="47785"/>
    <cellStyle name="Normal 2 6 2 2 5 3 3" xfId="40516"/>
    <cellStyle name="Normal 2 6 2 2 5 4" xfId="29311"/>
    <cellStyle name="Normal 2 6 2 2 5 4 2" xfId="44135"/>
    <cellStyle name="Normal 2 6 2 2 5 5" xfId="36912"/>
    <cellStyle name="Normal 2 6 2 2 5 6" xfId="21993"/>
    <cellStyle name="Normal 2 6 2 2 6" xfId="19186"/>
    <cellStyle name="Normal 2 6 2 2 6 2" xfId="26557"/>
    <cellStyle name="Normal 2 6 2 2 6 2 2" xfId="33868"/>
    <cellStyle name="Normal 2 6 2 2 6 2 2 2" xfId="48688"/>
    <cellStyle name="Normal 2 6 2 2 6 2 3" xfId="41397"/>
    <cellStyle name="Normal 2 6 2 2 6 3" xfId="30214"/>
    <cellStyle name="Normal 2 6 2 2 6 3 2" xfId="45037"/>
    <cellStyle name="Normal 2 6 2 2 6 4" xfId="37711"/>
    <cellStyle name="Normal 2 6 2 2 6 5" xfId="22899"/>
    <cellStyle name="Normal 2 6 2 2 7" xfId="24713"/>
    <cellStyle name="Normal 2 6 2 2 7 2" xfId="32024"/>
    <cellStyle name="Normal 2 6 2 2 7 2 2" xfId="46847"/>
    <cellStyle name="Normal 2 6 2 2 7 3" xfId="39618"/>
    <cellStyle name="Normal 2 6 2 2 8" xfId="28370"/>
    <cellStyle name="Normal 2 6 2 2 8 2" xfId="43207"/>
    <cellStyle name="Normal 2 6 2 2 9" xfId="35687"/>
    <cellStyle name="Normal 2 6 2 3" xfId="17421"/>
    <cellStyle name="Normal 2 6 2 3 2" xfId="17871"/>
    <cellStyle name="Normal 2 6 2 3 2 2" xfId="18985"/>
    <cellStyle name="Normal 2 6 2 3 2 2 2" xfId="20864"/>
    <cellStyle name="Normal 2 6 2 3 2 2 2 2" xfId="24532"/>
    <cellStyle name="Normal 2 6 2 3 2 2 2 2 2" xfId="28190"/>
    <cellStyle name="Normal 2 6 2 3 2 2 2 2 2 2" xfId="35501"/>
    <cellStyle name="Normal 2 6 2 3 2 2 2 2 2 2 2" xfId="50321"/>
    <cellStyle name="Normal 2 6 2 3 2 2 2 2 2 3" xfId="43029"/>
    <cellStyle name="Normal 2 6 2 3 2 2 2 2 3" xfId="31847"/>
    <cellStyle name="Normal 2 6 2 3 2 2 2 2 3 2" xfId="46670"/>
    <cellStyle name="Normal 2 6 2 3 2 2 2 2 4" xfId="39471"/>
    <cellStyle name="Normal 2 6 2 3 2 2 2 3" xfId="26364"/>
    <cellStyle name="Normal 2 6 2 3 2 2 2 3 2" xfId="33675"/>
    <cellStyle name="Normal 2 6 2 3 2 2 2 3 2 2" xfId="48495"/>
    <cellStyle name="Normal 2 6 2 3 2 2 2 3 3" xfId="41208"/>
    <cellStyle name="Normal 2 6 2 3 2 2 2 4" xfId="30021"/>
    <cellStyle name="Normal 2 6 2 3 2 2 2 4 2" xfId="44845"/>
    <cellStyle name="Normal 2 6 2 3 2 2 2 5" xfId="39345"/>
    <cellStyle name="Normal 2 6 2 3 2 2 2 6" xfId="22703"/>
    <cellStyle name="Normal 2 6 2 3 2 2 3" xfId="19915"/>
    <cellStyle name="Normal 2 6 2 3 2 2 3 2" xfId="27284"/>
    <cellStyle name="Normal 2 6 2 3 2 2 3 2 2" xfId="34595"/>
    <cellStyle name="Normal 2 6 2 3 2 2 3 2 2 2" xfId="49415"/>
    <cellStyle name="Normal 2 6 2 3 2 2 3 2 3" xfId="42124"/>
    <cellStyle name="Normal 2 6 2 3 2 2 3 3" xfId="30941"/>
    <cellStyle name="Normal 2 6 2 3 2 2 3 3 2" xfId="45764"/>
    <cellStyle name="Normal 2 6 2 3 2 2 3 4" xfId="38438"/>
    <cellStyle name="Normal 2 6 2 3 2 2 3 5" xfId="23626"/>
    <cellStyle name="Normal 2 6 2 3 2 2 4" xfId="25443"/>
    <cellStyle name="Normal 2 6 2 3 2 2 4 2" xfId="32754"/>
    <cellStyle name="Normal 2 6 2 3 2 2 4 2 2" xfId="47577"/>
    <cellStyle name="Normal 2 6 2 3 2 2 4 3" xfId="40331"/>
    <cellStyle name="Normal 2 6 2 3 2 2 5" xfId="29100"/>
    <cellStyle name="Normal 2 6 2 3 2 2 5 2" xfId="43937"/>
    <cellStyle name="Normal 2 6 2 3 2 2 6" xfId="36141"/>
    <cellStyle name="Normal 2 6 2 3 2 2 7" xfId="21782"/>
    <cellStyle name="Normal 2 6 2 3 2 3" xfId="18277"/>
    <cellStyle name="Normal 2 6 2 3 2 3 2" xfId="20159"/>
    <cellStyle name="Normal 2 6 2 3 2 3 2 2" xfId="27485"/>
    <cellStyle name="Normal 2 6 2 3 2 3 2 2 2" xfId="34796"/>
    <cellStyle name="Normal 2 6 2 3 2 3 2 2 2 2" xfId="49616"/>
    <cellStyle name="Normal 2 6 2 3 2 3 2 2 3" xfId="42324"/>
    <cellStyle name="Normal 2 6 2 3 2 3 2 3" xfId="31142"/>
    <cellStyle name="Normal 2 6 2 3 2 3 2 3 2" xfId="45965"/>
    <cellStyle name="Normal 2 6 2 3 2 3 2 4" xfId="38640"/>
    <cellStyle name="Normal 2 6 2 3 2 3 2 5" xfId="23827"/>
    <cellStyle name="Normal 2 6 2 3 2 3 3" xfId="25659"/>
    <cellStyle name="Normal 2 6 2 3 2 3 3 2" xfId="32970"/>
    <cellStyle name="Normal 2 6 2 3 2 3 3 2 2" xfId="47790"/>
    <cellStyle name="Normal 2 6 2 3 2 3 3 3" xfId="40521"/>
    <cellStyle name="Normal 2 6 2 3 2 3 4" xfId="29316"/>
    <cellStyle name="Normal 2 6 2 3 2 3 4 2" xfId="44140"/>
    <cellStyle name="Normal 2 6 2 3 2 3 5" xfId="36917"/>
    <cellStyle name="Normal 2 6 2 3 2 3 6" xfId="21998"/>
    <cellStyle name="Normal 2 6 2 3 2 4" xfId="19464"/>
    <cellStyle name="Normal 2 6 2 3 2 4 2" xfId="26834"/>
    <cellStyle name="Normal 2 6 2 3 2 4 2 2" xfId="34145"/>
    <cellStyle name="Normal 2 6 2 3 2 4 2 2 2" xfId="48965"/>
    <cellStyle name="Normal 2 6 2 3 2 4 2 3" xfId="41674"/>
    <cellStyle name="Normal 2 6 2 3 2 4 3" xfId="30491"/>
    <cellStyle name="Normal 2 6 2 3 2 4 3 2" xfId="45314"/>
    <cellStyle name="Normal 2 6 2 3 2 4 4" xfId="37988"/>
    <cellStyle name="Normal 2 6 2 3 2 4 5" xfId="23176"/>
    <cellStyle name="Normal 2 6 2 3 2 5" xfId="24993"/>
    <cellStyle name="Normal 2 6 2 3 2 5 2" xfId="32304"/>
    <cellStyle name="Normal 2 6 2 3 2 5 2 2" xfId="47127"/>
    <cellStyle name="Normal 2 6 2 3 2 5 3" xfId="39888"/>
    <cellStyle name="Normal 2 6 2 3 2 6" xfId="28650"/>
    <cellStyle name="Normal 2 6 2 3 2 6 2" xfId="43487"/>
    <cellStyle name="Normal 2 6 2 3 2 7" xfId="35692"/>
    <cellStyle name="Normal 2 6 2 3 2 8" xfId="21332"/>
    <cellStyle name="Normal 2 6 2 3 3" xfId="17647"/>
    <cellStyle name="Normal 2 6 2 3 3 2" xfId="18761"/>
    <cellStyle name="Normal 2 6 2 3 3 2 2" xfId="20640"/>
    <cellStyle name="Normal 2 6 2 3 3 2 2 2" xfId="27966"/>
    <cellStyle name="Normal 2 6 2 3 3 2 2 2 2" xfId="35277"/>
    <cellStyle name="Normal 2 6 2 3 3 2 2 2 2 2" xfId="50097"/>
    <cellStyle name="Normal 2 6 2 3 3 2 2 2 3" xfId="42805"/>
    <cellStyle name="Normal 2 6 2 3 3 2 2 3" xfId="31623"/>
    <cellStyle name="Normal 2 6 2 3 3 2 2 3 2" xfId="46446"/>
    <cellStyle name="Normal 2 6 2 3 3 2 2 4" xfId="39121"/>
    <cellStyle name="Normal 2 6 2 3 3 2 2 5" xfId="24308"/>
    <cellStyle name="Normal 2 6 2 3 3 2 3" xfId="26140"/>
    <cellStyle name="Normal 2 6 2 3 3 2 3 2" xfId="33451"/>
    <cellStyle name="Normal 2 6 2 3 3 2 3 2 2" xfId="48271"/>
    <cellStyle name="Normal 2 6 2 3 3 2 3 3" xfId="40984"/>
    <cellStyle name="Normal 2 6 2 3 3 2 4" xfId="29797"/>
    <cellStyle name="Normal 2 6 2 3 3 2 4 2" xfId="44621"/>
    <cellStyle name="Normal 2 6 2 3 3 2 5" xfId="37398"/>
    <cellStyle name="Normal 2 6 2 3 3 2 6" xfId="22479"/>
    <cellStyle name="Normal 2 6 2 3 3 3" xfId="19691"/>
    <cellStyle name="Normal 2 6 2 3 3 3 2" xfId="27060"/>
    <cellStyle name="Normal 2 6 2 3 3 3 2 2" xfId="34371"/>
    <cellStyle name="Normal 2 6 2 3 3 3 2 2 2" xfId="49191"/>
    <cellStyle name="Normal 2 6 2 3 3 3 2 3" xfId="41900"/>
    <cellStyle name="Normal 2 6 2 3 3 3 3" xfId="30717"/>
    <cellStyle name="Normal 2 6 2 3 3 3 3 2" xfId="45540"/>
    <cellStyle name="Normal 2 6 2 3 3 3 4" xfId="38214"/>
    <cellStyle name="Normal 2 6 2 3 3 3 5" xfId="23402"/>
    <cellStyle name="Normal 2 6 2 3 3 4" xfId="25219"/>
    <cellStyle name="Normal 2 6 2 3 3 4 2" xfId="32530"/>
    <cellStyle name="Normal 2 6 2 3 3 4 2 2" xfId="47353"/>
    <cellStyle name="Normal 2 6 2 3 3 4 3" xfId="40111"/>
    <cellStyle name="Normal 2 6 2 3 3 5" xfId="28876"/>
    <cellStyle name="Normal 2 6 2 3 3 5 2" xfId="43713"/>
    <cellStyle name="Normal 2 6 2 3 3 6" xfId="36140"/>
    <cellStyle name="Normal 2 6 2 3 3 7" xfId="21558"/>
    <cellStyle name="Normal 2 6 2 3 4" xfId="18276"/>
    <cellStyle name="Normal 2 6 2 3 4 2" xfId="20158"/>
    <cellStyle name="Normal 2 6 2 3 4 2 2" xfId="27484"/>
    <cellStyle name="Normal 2 6 2 3 4 2 2 2" xfId="34795"/>
    <cellStyle name="Normal 2 6 2 3 4 2 2 2 2" xfId="49615"/>
    <cellStyle name="Normal 2 6 2 3 4 2 2 3" xfId="42323"/>
    <cellStyle name="Normal 2 6 2 3 4 2 3" xfId="31141"/>
    <cellStyle name="Normal 2 6 2 3 4 2 3 2" xfId="45964"/>
    <cellStyle name="Normal 2 6 2 3 4 2 4" xfId="38639"/>
    <cellStyle name="Normal 2 6 2 3 4 2 5" xfId="23826"/>
    <cellStyle name="Normal 2 6 2 3 4 3" xfId="25658"/>
    <cellStyle name="Normal 2 6 2 3 4 3 2" xfId="32969"/>
    <cellStyle name="Normal 2 6 2 3 4 3 2 2" xfId="47789"/>
    <cellStyle name="Normal 2 6 2 3 4 3 3" xfId="40520"/>
    <cellStyle name="Normal 2 6 2 3 4 4" xfId="29315"/>
    <cellStyle name="Normal 2 6 2 3 4 4 2" xfId="44139"/>
    <cellStyle name="Normal 2 6 2 3 4 5" xfId="36916"/>
    <cellStyle name="Normal 2 6 2 3 4 6" xfId="21997"/>
    <cellStyle name="Normal 2 6 2 3 5" xfId="19241"/>
    <cellStyle name="Normal 2 6 2 3 5 2" xfId="26611"/>
    <cellStyle name="Normal 2 6 2 3 5 2 2" xfId="33922"/>
    <cellStyle name="Normal 2 6 2 3 5 2 2 2" xfId="48742"/>
    <cellStyle name="Normal 2 6 2 3 5 2 3" xfId="41451"/>
    <cellStyle name="Normal 2 6 2 3 5 3" xfId="30268"/>
    <cellStyle name="Normal 2 6 2 3 5 3 2" xfId="45091"/>
    <cellStyle name="Normal 2 6 2 3 5 4" xfId="37765"/>
    <cellStyle name="Normal 2 6 2 3 5 5" xfId="22953"/>
    <cellStyle name="Normal 2 6 2 3 6" xfId="24769"/>
    <cellStyle name="Normal 2 6 2 3 6 2" xfId="32080"/>
    <cellStyle name="Normal 2 6 2 3 6 2 2" xfId="46903"/>
    <cellStyle name="Normal 2 6 2 3 6 3" xfId="39671"/>
    <cellStyle name="Normal 2 6 2 3 7" xfId="28426"/>
    <cellStyle name="Normal 2 6 2 3 7 2" xfId="43263"/>
    <cellStyle name="Normal 2 6 2 3 8" xfId="35691"/>
    <cellStyle name="Normal 2 6 2 3 9" xfId="21108"/>
    <cellStyle name="Normal 2 6 2 4" xfId="17304"/>
    <cellStyle name="Normal 2 6 2 4 2" xfId="17759"/>
    <cellStyle name="Normal 2 6 2 4 2 2" xfId="18873"/>
    <cellStyle name="Normal 2 6 2 4 2 2 2" xfId="20752"/>
    <cellStyle name="Normal 2 6 2 4 2 2 2 2" xfId="28078"/>
    <cellStyle name="Normal 2 6 2 4 2 2 2 2 2" xfId="35389"/>
    <cellStyle name="Normal 2 6 2 4 2 2 2 2 2 2" xfId="50209"/>
    <cellStyle name="Normal 2 6 2 4 2 2 2 2 3" xfId="42917"/>
    <cellStyle name="Normal 2 6 2 4 2 2 2 3" xfId="31735"/>
    <cellStyle name="Normal 2 6 2 4 2 2 2 3 2" xfId="46558"/>
    <cellStyle name="Normal 2 6 2 4 2 2 2 4" xfId="39233"/>
    <cellStyle name="Normal 2 6 2 4 2 2 2 5" xfId="24420"/>
    <cellStyle name="Normal 2 6 2 4 2 2 3" xfId="26252"/>
    <cellStyle name="Normal 2 6 2 4 2 2 3 2" xfId="33563"/>
    <cellStyle name="Normal 2 6 2 4 2 2 3 2 2" xfId="48383"/>
    <cellStyle name="Normal 2 6 2 4 2 2 3 3" xfId="41096"/>
    <cellStyle name="Normal 2 6 2 4 2 2 4" xfId="29909"/>
    <cellStyle name="Normal 2 6 2 4 2 2 4 2" xfId="44733"/>
    <cellStyle name="Normal 2 6 2 4 2 2 5" xfId="37509"/>
    <cellStyle name="Normal 2 6 2 4 2 2 6" xfId="22591"/>
    <cellStyle name="Normal 2 6 2 4 2 3" xfId="19803"/>
    <cellStyle name="Normal 2 6 2 4 2 3 2" xfId="27172"/>
    <cellStyle name="Normal 2 6 2 4 2 3 2 2" xfId="34483"/>
    <cellStyle name="Normal 2 6 2 4 2 3 2 2 2" xfId="49303"/>
    <cellStyle name="Normal 2 6 2 4 2 3 2 3" xfId="42012"/>
    <cellStyle name="Normal 2 6 2 4 2 3 3" xfId="30829"/>
    <cellStyle name="Normal 2 6 2 4 2 3 3 2" xfId="45652"/>
    <cellStyle name="Normal 2 6 2 4 2 3 4" xfId="38326"/>
    <cellStyle name="Normal 2 6 2 4 2 3 5" xfId="23514"/>
    <cellStyle name="Normal 2 6 2 4 2 4" xfId="25331"/>
    <cellStyle name="Normal 2 6 2 4 2 4 2" xfId="32642"/>
    <cellStyle name="Normal 2 6 2 4 2 4 2 2" xfId="47465"/>
    <cellStyle name="Normal 2 6 2 4 2 4 3" xfId="40220"/>
    <cellStyle name="Normal 2 6 2 4 2 5" xfId="28988"/>
    <cellStyle name="Normal 2 6 2 4 2 5 2" xfId="43825"/>
    <cellStyle name="Normal 2 6 2 4 2 6" xfId="36142"/>
    <cellStyle name="Normal 2 6 2 4 2 7" xfId="21670"/>
    <cellStyle name="Normal 2 6 2 4 3" xfId="18278"/>
    <cellStyle name="Normal 2 6 2 4 3 2" xfId="20160"/>
    <cellStyle name="Normal 2 6 2 4 3 2 2" xfId="27486"/>
    <cellStyle name="Normal 2 6 2 4 3 2 2 2" xfId="34797"/>
    <cellStyle name="Normal 2 6 2 4 3 2 2 2 2" xfId="49617"/>
    <cellStyle name="Normal 2 6 2 4 3 2 2 3" xfId="42325"/>
    <cellStyle name="Normal 2 6 2 4 3 2 3" xfId="31143"/>
    <cellStyle name="Normal 2 6 2 4 3 2 3 2" xfId="45966"/>
    <cellStyle name="Normal 2 6 2 4 3 2 4" xfId="38641"/>
    <cellStyle name="Normal 2 6 2 4 3 2 5" xfId="23828"/>
    <cellStyle name="Normal 2 6 2 4 3 3" xfId="25660"/>
    <cellStyle name="Normal 2 6 2 4 3 3 2" xfId="32971"/>
    <cellStyle name="Normal 2 6 2 4 3 3 2 2" xfId="47791"/>
    <cellStyle name="Normal 2 6 2 4 3 3 3" xfId="40522"/>
    <cellStyle name="Normal 2 6 2 4 3 4" xfId="29317"/>
    <cellStyle name="Normal 2 6 2 4 3 4 2" xfId="44141"/>
    <cellStyle name="Normal 2 6 2 4 3 5" xfId="36918"/>
    <cellStyle name="Normal 2 6 2 4 3 6" xfId="21999"/>
    <cellStyle name="Normal 2 6 2 4 4" xfId="19352"/>
    <cellStyle name="Normal 2 6 2 4 4 2" xfId="26722"/>
    <cellStyle name="Normal 2 6 2 4 4 2 2" xfId="34033"/>
    <cellStyle name="Normal 2 6 2 4 4 2 2 2" xfId="48853"/>
    <cellStyle name="Normal 2 6 2 4 4 2 3" xfId="41562"/>
    <cellStyle name="Normal 2 6 2 4 4 3" xfId="30379"/>
    <cellStyle name="Normal 2 6 2 4 4 3 2" xfId="45202"/>
    <cellStyle name="Normal 2 6 2 4 4 4" xfId="37876"/>
    <cellStyle name="Normal 2 6 2 4 4 5" xfId="23064"/>
    <cellStyle name="Normal 2 6 2 4 5" xfId="24881"/>
    <cellStyle name="Normal 2 6 2 4 5 2" xfId="32192"/>
    <cellStyle name="Normal 2 6 2 4 5 2 2" xfId="47015"/>
    <cellStyle name="Normal 2 6 2 4 5 3" xfId="39777"/>
    <cellStyle name="Normal 2 6 2 4 6" xfId="28538"/>
    <cellStyle name="Normal 2 6 2 4 6 2" xfId="43375"/>
    <cellStyle name="Normal 2 6 2 4 7" xfId="35693"/>
    <cellStyle name="Normal 2 6 2 4 8" xfId="21220"/>
    <cellStyle name="Normal 2 6 2 5" xfId="17535"/>
    <cellStyle name="Normal 2 6 2 5 2" xfId="18649"/>
    <cellStyle name="Normal 2 6 2 5 2 2" xfId="20528"/>
    <cellStyle name="Normal 2 6 2 5 2 2 2" xfId="27854"/>
    <cellStyle name="Normal 2 6 2 5 2 2 2 2" xfId="35165"/>
    <cellStyle name="Normal 2 6 2 5 2 2 2 2 2" xfId="49985"/>
    <cellStyle name="Normal 2 6 2 5 2 2 2 3" xfId="42693"/>
    <cellStyle name="Normal 2 6 2 5 2 2 3" xfId="31511"/>
    <cellStyle name="Normal 2 6 2 5 2 2 3 2" xfId="46334"/>
    <cellStyle name="Normal 2 6 2 5 2 2 4" xfId="39009"/>
    <cellStyle name="Normal 2 6 2 5 2 2 5" xfId="24196"/>
    <cellStyle name="Normal 2 6 2 5 2 3" xfId="26028"/>
    <cellStyle name="Normal 2 6 2 5 2 3 2" xfId="33339"/>
    <cellStyle name="Normal 2 6 2 5 2 3 2 2" xfId="48159"/>
    <cellStyle name="Normal 2 6 2 5 2 3 3" xfId="40872"/>
    <cellStyle name="Normal 2 6 2 5 2 4" xfId="29685"/>
    <cellStyle name="Normal 2 6 2 5 2 4 2" xfId="44509"/>
    <cellStyle name="Normal 2 6 2 5 2 5" xfId="37286"/>
    <cellStyle name="Normal 2 6 2 5 2 6" xfId="22367"/>
    <cellStyle name="Normal 2 6 2 5 3" xfId="19579"/>
    <cellStyle name="Normal 2 6 2 5 3 2" xfId="26948"/>
    <cellStyle name="Normal 2 6 2 5 3 2 2" xfId="34259"/>
    <cellStyle name="Normal 2 6 2 5 3 2 2 2" xfId="49079"/>
    <cellStyle name="Normal 2 6 2 5 3 2 3" xfId="41788"/>
    <cellStyle name="Normal 2 6 2 5 3 3" xfId="30605"/>
    <cellStyle name="Normal 2 6 2 5 3 3 2" xfId="45428"/>
    <cellStyle name="Normal 2 6 2 5 3 4" xfId="38102"/>
    <cellStyle name="Normal 2 6 2 5 3 5" xfId="23290"/>
    <cellStyle name="Normal 2 6 2 5 4" xfId="25107"/>
    <cellStyle name="Normal 2 6 2 5 4 2" xfId="32418"/>
    <cellStyle name="Normal 2 6 2 5 4 2 2" xfId="47241"/>
    <cellStyle name="Normal 2 6 2 5 4 3" xfId="40001"/>
    <cellStyle name="Normal 2 6 2 5 5" xfId="28764"/>
    <cellStyle name="Normal 2 6 2 5 5 2" xfId="43601"/>
    <cellStyle name="Normal 2 6 2 5 6" xfId="36135"/>
    <cellStyle name="Normal 2 6 2 5 7" xfId="21446"/>
    <cellStyle name="Normal 2 6 2 6" xfId="18271"/>
    <cellStyle name="Normal 2 6 2 6 2" xfId="20153"/>
    <cellStyle name="Normal 2 6 2 6 2 2" xfId="27479"/>
    <cellStyle name="Normal 2 6 2 6 2 2 2" xfId="34790"/>
    <cellStyle name="Normal 2 6 2 6 2 2 2 2" xfId="49610"/>
    <cellStyle name="Normal 2 6 2 6 2 2 3" xfId="42318"/>
    <cellStyle name="Normal 2 6 2 6 2 3" xfId="31136"/>
    <cellStyle name="Normal 2 6 2 6 2 3 2" xfId="45959"/>
    <cellStyle name="Normal 2 6 2 6 2 4" xfId="38634"/>
    <cellStyle name="Normal 2 6 2 6 2 5" xfId="23821"/>
    <cellStyle name="Normal 2 6 2 6 3" xfId="25653"/>
    <cellStyle name="Normal 2 6 2 6 3 2" xfId="32964"/>
    <cellStyle name="Normal 2 6 2 6 3 2 2" xfId="47784"/>
    <cellStyle name="Normal 2 6 2 6 3 3" xfId="40515"/>
    <cellStyle name="Normal 2 6 2 6 4" xfId="29310"/>
    <cellStyle name="Normal 2 6 2 6 4 2" xfId="44134"/>
    <cellStyle name="Normal 2 6 2 6 5" xfId="36911"/>
    <cellStyle name="Normal 2 6 2 6 6" xfId="21992"/>
    <cellStyle name="Normal 2 6 2 7" xfId="19132"/>
    <cellStyle name="Normal 2 6 2 7 2" xfId="26504"/>
    <cellStyle name="Normal 2 6 2 7 2 2" xfId="33815"/>
    <cellStyle name="Normal 2 6 2 7 2 2 2" xfId="48635"/>
    <cellStyle name="Normal 2 6 2 7 2 3" xfId="41344"/>
    <cellStyle name="Normal 2 6 2 7 3" xfId="30161"/>
    <cellStyle name="Normal 2 6 2 7 3 2" xfId="44984"/>
    <cellStyle name="Normal 2 6 2 7 4" xfId="37658"/>
    <cellStyle name="Normal 2 6 2 7 5" xfId="22846"/>
    <cellStyle name="Normal 2 6 2 8" xfId="24657"/>
    <cellStyle name="Normal 2 6 2 8 2" xfId="31968"/>
    <cellStyle name="Normal 2 6 2 8 2 2" xfId="46791"/>
    <cellStyle name="Normal 2 6 2 8 3" xfId="39577"/>
    <cellStyle name="Normal 2 6 2 9" xfId="28314"/>
    <cellStyle name="Normal 2 6 2 9 2" xfId="43151"/>
    <cellStyle name="Normal 2 6 3" xfId="17224"/>
    <cellStyle name="Normal 2 6 3 10" xfId="21024"/>
    <cellStyle name="Normal 2 6 3 2" xfId="17449"/>
    <cellStyle name="Normal 2 6 3 2 2" xfId="17899"/>
    <cellStyle name="Normal 2 6 3 2 2 2" xfId="19013"/>
    <cellStyle name="Normal 2 6 3 2 2 2 2" xfId="20892"/>
    <cellStyle name="Normal 2 6 3 2 2 2 2 2" xfId="24560"/>
    <cellStyle name="Normal 2 6 3 2 2 2 2 2 2" xfId="28218"/>
    <cellStyle name="Normal 2 6 3 2 2 2 2 2 2 2" xfId="35529"/>
    <cellStyle name="Normal 2 6 3 2 2 2 2 2 2 2 2" xfId="50349"/>
    <cellStyle name="Normal 2 6 3 2 2 2 2 2 2 3" xfId="43057"/>
    <cellStyle name="Normal 2 6 3 2 2 2 2 2 3" xfId="31875"/>
    <cellStyle name="Normal 2 6 3 2 2 2 2 2 3 2" xfId="46698"/>
    <cellStyle name="Normal 2 6 3 2 2 2 2 2 4" xfId="39493"/>
    <cellStyle name="Normal 2 6 3 2 2 2 2 3" xfId="26392"/>
    <cellStyle name="Normal 2 6 3 2 2 2 2 3 2" xfId="33703"/>
    <cellStyle name="Normal 2 6 3 2 2 2 2 3 2 2" xfId="48523"/>
    <cellStyle name="Normal 2 6 3 2 2 2 2 3 3" xfId="41236"/>
    <cellStyle name="Normal 2 6 3 2 2 2 2 4" xfId="30049"/>
    <cellStyle name="Normal 2 6 3 2 2 2 2 4 2" xfId="44873"/>
    <cellStyle name="Normal 2 6 3 2 2 2 2 5" xfId="39373"/>
    <cellStyle name="Normal 2 6 3 2 2 2 2 6" xfId="22731"/>
    <cellStyle name="Normal 2 6 3 2 2 2 3" xfId="19943"/>
    <cellStyle name="Normal 2 6 3 2 2 2 3 2" xfId="27312"/>
    <cellStyle name="Normal 2 6 3 2 2 2 3 2 2" xfId="34623"/>
    <cellStyle name="Normal 2 6 3 2 2 2 3 2 2 2" xfId="49443"/>
    <cellStyle name="Normal 2 6 3 2 2 2 3 2 3" xfId="42152"/>
    <cellStyle name="Normal 2 6 3 2 2 2 3 3" xfId="30969"/>
    <cellStyle name="Normal 2 6 3 2 2 2 3 3 2" xfId="45792"/>
    <cellStyle name="Normal 2 6 3 2 2 2 3 4" xfId="38466"/>
    <cellStyle name="Normal 2 6 3 2 2 2 3 5" xfId="23654"/>
    <cellStyle name="Normal 2 6 3 2 2 2 4" xfId="25471"/>
    <cellStyle name="Normal 2 6 3 2 2 2 4 2" xfId="32782"/>
    <cellStyle name="Normal 2 6 3 2 2 2 4 2 2" xfId="47605"/>
    <cellStyle name="Normal 2 6 3 2 2 2 4 3" xfId="40359"/>
    <cellStyle name="Normal 2 6 3 2 2 2 5" xfId="29128"/>
    <cellStyle name="Normal 2 6 3 2 2 2 5 2" xfId="43965"/>
    <cellStyle name="Normal 2 6 3 2 2 2 6" xfId="36145"/>
    <cellStyle name="Normal 2 6 3 2 2 2 7" xfId="21810"/>
    <cellStyle name="Normal 2 6 3 2 2 3" xfId="18281"/>
    <cellStyle name="Normal 2 6 3 2 2 3 2" xfId="20163"/>
    <cellStyle name="Normal 2 6 3 2 2 3 2 2" xfId="27489"/>
    <cellStyle name="Normal 2 6 3 2 2 3 2 2 2" xfId="34800"/>
    <cellStyle name="Normal 2 6 3 2 2 3 2 2 2 2" xfId="49620"/>
    <cellStyle name="Normal 2 6 3 2 2 3 2 2 3" xfId="42328"/>
    <cellStyle name="Normal 2 6 3 2 2 3 2 3" xfId="31146"/>
    <cellStyle name="Normal 2 6 3 2 2 3 2 3 2" xfId="45969"/>
    <cellStyle name="Normal 2 6 3 2 2 3 2 4" xfId="38644"/>
    <cellStyle name="Normal 2 6 3 2 2 3 2 5" xfId="23831"/>
    <cellStyle name="Normal 2 6 3 2 2 3 3" xfId="25663"/>
    <cellStyle name="Normal 2 6 3 2 2 3 3 2" xfId="32974"/>
    <cellStyle name="Normal 2 6 3 2 2 3 3 2 2" xfId="47794"/>
    <cellStyle name="Normal 2 6 3 2 2 3 3 3" xfId="40525"/>
    <cellStyle name="Normal 2 6 3 2 2 3 4" xfId="29320"/>
    <cellStyle name="Normal 2 6 3 2 2 3 4 2" xfId="44144"/>
    <cellStyle name="Normal 2 6 3 2 2 3 5" xfId="36921"/>
    <cellStyle name="Normal 2 6 3 2 2 3 6" xfId="22002"/>
    <cellStyle name="Normal 2 6 3 2 2 4" xfId="19492"/>
    <cellStyle name="Normal 2 6 3 2 2 4 2" xfId="26862"/>
    <cellStyle name="Normal 2 6 3 2 2 4 2 2" xfId="34173"/>
    <cellStyle name="Normal 2 6 3 2 2 4 2 2 2" xfId="48993"/>
    <cellStyle name="Normal 2 6 3 2 2 4 2 3" xfId="41702"/>
    <cellStyle name="Normal 2 6 3 2 2 4 3" xfId="30519"/>
    <cellStyle name="Normal 2 6 3 2 2 4 3 2" xfId="45342"/>
    <cellStyle name="Normal 2 6 3 2 2 4 4" xfId="38016"/>
    <cellStyle name="Normal 2 6 3 2 2 4 5" xfId="23204"/>
    <cellStyle name="Normal 2 6 3 2 2 5" xfId="25021"/>
    <cellStyle name="Normal 2 6 3 2 2 5 2" xfId="32332"/>
    <cellStyle name="Normal 2 6 3 2 2 5 2 2" xfId="47155"/>
    <cellStyle name="Normal 2 6 3 2 2 5 3" xfId="39916"/>
    <cellStyle name="Normal 2 6 3 2 2 6" xfId="28678"/>
    <cellStyle name="Normal 2 6 3 2 2 6 2" xfId="43515"/>
    <cellStyle name="Normal 2 6 3 2 2 7" xfId="35696"/>
    <cellStyle name="Normal 2 6 3 2 2 8" xfId="21360"/>
    <cellStyle name="Normal 2 6 3 2 3" xfId="17675"/>
    <cellStyle name="Normal 2 6 3 2 3 2" xfId="18789"/>
    <cellStyle name="Normal 2 6 3 2 3 2 2" xfId="20668"/>
    <cellStyle name="Normal 2 6 3 2 3 2 2 2" xfId="27994"/>
    <cellStyle name="Normal 2 6 3 2 3 2 2 2 2" xfId="35305"/>
    <cellStyle name="Normal 2 6 3 2 3 2 2 2 2 2" xfId="50125"/>
    <cellStyle name="Normal 2 6 3 2 3 2 2 2 3" xfId="42833"/>
    <cellStyle name="Normal 2 6 3 2 3 2 2 3" xfId="31651"/>
    <cellStyle name="Normal 2 6 3 2 3 2 2 3 2" xfId="46474"/>
    <cellStyle name="Normal 2 6 3 2 3 2 2 4" xfId="39149"/>
    <cellStyle name="Normal 2 6 3 2 3 2 2 5" xfId="24336"/>
    <cellStyle name="Normal 2 6 3 2 3 2 3" xfId="26168"/>
    <cellStyle name="Normal 2 6 3 2 3 2 3 2" xfId="33479"/>
    <cellStyle name="Normal 2 6 3 2 3 2 3 2 2" xfId="48299"/>
    <cellStyle name="Normal 2 6 3 2 3 2 3 3" xfId="41012"/>
    <cellStyle name="Normal 2 6 3 2 3 2 4" xfId="29825"/>
    <cellStyle name="Normal 2 6 3 2 3 2 4 2" xfId="44649"/>
    <cellStyle name="Normal 2 6 3 2 3 2 5" xfId="37426"/>
    <cellStyle name="Normal 2 6 3 2 3 2 6" xfId="22507"/>
    <cellStyle name="Normal 2 6 3 2 3 3" xfId="19719"/>
    <cellStyle name="Normal 2 6 3 2 3 3 2" xfId="27088"/>
    <cellStyle name="Normal 2 6 3 2 3 3 2 2" xfId="34399"/>
    <cellStyle name="Normal 2 6 3 2 3 3 2 2 2" xfId="49219"/>
    <cellStyle name="Normal 2 6 3 2 3 3 2 3" xfId="41928"/>
    <cellStyle name="Normal 2 6 3 2 3 3 3" xfId="30745"/>
    <cellStyle name="Normal 2 6 3 2 3 3 3 2" xfId="45568"/>
    <cellStyle name="Normal 2 6 3 2 3 3 4" xfId="38242"/>
    <cellStyle name="Normal 2 6 3 2 3 3 5" xfId="23430"/>
    <cellStyle name="Normal 2 6 3 2 3 4" xfId="25247"/>
    <cellStyle name="Normal 2 6 3 2 3 4 2" xfId="32558"/>
    <cellStyle name="Normal 2 6 3 2 3 4 2 2" xfId="47381"/>
    <cellStyle name="Normal 2 6 3 2 3 4 3" xfId="40139"/>
    <cellStyle name="Normal 2 6 3 2 3 5" xfId="28904"/>
    <cellStyle name="Normal 2 6 3 2 3 5 2" xfId="43741"/>
    <cellStyle name="Normal 2 6 3 2 3 6" xfId="36144"/>
    <cellStyle name="Normal 2 6 3 2 3 7" xfId="21586"/>
    <cellStyle name="Normal 2 6 3 2 4" xfId="18280"/>
    <cellStyle name="Normal 2 6 3 2 4 2" xfId="20162"/>
    <cellStyle name="Normal 2 6 3 2 4 2 2" xfId="27488"/>
    <cellStyle name="Normal 2 6 3 2 4 2 2 2" xfId="34799"/>
    <cellStyle name="Normal 2 6 3 2 4 2 2 2 2" xfId="49619"/>
    <cellStyle name="Normal 2 6 3 2 4 2 2 3" xfId="42327"/>
    <cellStyle name="Normal 2 6 3 2 4 2 3" xfId="31145"/>
    <cellStyle name="Normal 2 6 3 2 4 2 3 2" xfId="45968"/>
    <cellStyle name="Normal 2 6 3 2 4 2 4" xfId="38643"/>
    <cellStyle name="Normal 2 6 3 2 4 2 5" xfId="23830"/>
    <cellStyle name="Normal 2 6 3 2 4 3" xfId="25662"/>
    <cellStyle name="Normal 2 6 3 2 4 3 2" xfId="32973"/>
    <cellStyle name="Normal 2 6 3 2 4 3 2 2" xfId="47793"/>
    <cellStyle name="Normal 2 6 3 2 4 3 3" xfId="40524"/>
    <cellStyle name="Normal 2 6 3 2 4 4" xfId="29319"/>
    <cellStyle name="Normal 2 6 3 2 4 4 2" xfId="44143"/>
    <cellStyle name="Normal 2 6 3 2 4 5" xfId="36920"/>
    <cellStyle name="Normal 2 6 3 2 4 6" xfId="22001"/>
    <cellStyle name="Normal 2 6 3 2 5" xfId="19269"/>
    <cellStyle name="Normal 2 6 3 2 5 2" xfId="26639"/>
    <cellStyle name="Normal 2 6 3 2 5 2 2" xfId="33950"/>
    <cellStyle name="Normal 2 6 3 2 5 2 2 2" xfId="48770"/>
    <cellStyle name="Normal 2 6 3 2 5 2 3" xfId="41479"/>
    <cellStyle name="Normal 2 6 3 2 5 3" xfId="30296"/>
    <cellStyle name="Normal 2 6 3 2 5 3 2" xfId="45119"/>
    <cellStyle name="Normal 2 6 3 2 5 4" xfId="37793"/>
    <cellStyle name="Normal 2 6 3 2 5 5" xfId="22981"/>
    <cellStyle name="Normal 2 6 3 2 6" xfId="24797"/>
    <cellStyle name="Normal 2 6 3 2 6 2" xfId="32108"/>
    <cellStyle name="Normal 2 6 3 2 6 2 2" xfId="46931"/>
    <cellStyle name="Normal 2 6 3 2 6 3" xfId="39696"/>
    <cellStyle name="Normal 2 6 3 2 7" xfId="28454"/>
    <cellStyle name="Normal 2 6 3 2 7 2" xfId="43291"/>
    <cellStyle name="Normal 2 6 3 2 8" xfId="35695"/>
    <cellStyle name="Normal 2 6 3 2 9" xfId="21136"/>
    <cellStyle name="Normal 2 6 3 3" xfId="17334"/>
    <cellStyle name="Normal 2 6 3 3 2" xfId="17787"/>
    <cellStyle name="Normal 2 6 3 3 2 2" xfId="18901"/>
    <cellStyle name="Normal 2 6 3 3 2 2 2" xfId="20780"/>
    <cellStyle name="Normal 2 6 3 3 2 2 2 2" xfId="28106"/>
    <cellStyle name="Normal 2 6 3 3 2 2 2 2 2" xfId="35417"/>
    <cellStyle name="Normal 2 6 3 3 2 2 2 2 2 2" xfId="50237"/>
    <cellStyle name="Normal 2 6 3 3 2 2 2 2 3" xfId="42945"/>
    <cellStyle name="Normal 2 6 3 3 2 2 2 3" xfId="31763"/>
    <cellStyle name="Normal 2 6 3 3 2 2 2 3 2" xfId="46586"/>
    <cellStyle name="Normal 2 6 3 3 2 2 2 4" xfId="39261"/>
    <cellStyle name="Normal 2 6 3 3 2 2 2 5" xfId="24448"/>
    <cellStyle name="Normal 2 6 3 3 2 2 3" xfId="26280"/>
    <cellStyle name="Normal 2 6 3 3 2 2 3 2" xfId="33591"/>
    <cellStyle name="Normal 2 6 3 3 2 2 3 2 2" xfId="48411"/>
    <cellStyle name="Normal 2 6 3 3 2 2 3 3" xfId="41124"/>
    <cellStyle name="Normal 2 6 3 3 2 2 4" xfId="29937"/>
    <cellStyle name="Normal 2 6 3 3 2 2 4 2" xfId="44761"/>
    <cellStyle name="Normal 2 6 3 3 2 2 5" xfId="37537"/>
    <cellStyle name="Normal 2 6 3 3 2 2 6" xfId="22619"/>
    <cellStyle name="Normal 2 6 3 3 2 3" xfId="19831"/>
    <cellStyle name="Normal 2 6 3 3 2 3 2" xfId="27200"/>
    <cellStyle name="Normal 2 6 3 3 2 3 2 2" xfId="34511"/>
    <cellStyle name="Normal 2 6 3 3 2 3 2 2 2" xfId="49331"/>
    <cellStyle name="Normal 2 6 3 3 2 3 2 3" xfId="42040"/>
    <cellStyle name="Normal 2 6 3 3 2 3 3" xfId="30857"/>
    <cellStyle name="Normal 2 6 3 3 2 3 3 2" xfId="45680"/>
    <cellStyle name="Normal 2 6 3 3 2 3 4" xfId="38354"/>
    <cellStyle name="Normal 2 6 3 3 2 3 5" xfId="23542"/>
    <cellStyle name="Normal 2 6 3 3 2 4" xfId="25359"/>
    <cellStyle name="Normal 2 6 3 3 2 4 2" xfId="32670"/>
    <cellStyle name="Normal 2 6 3 3 2 4 2 2" xfId="47493"/>
    <cellStyle name="Normal 2 6 3 3 2 4 3" xfId="40247"/>
    <cellStyle name="Normal 2 6 3 3 2 5" xfId="29016"/>
    <cellStyle name="Normal 2 6 3 3 2 5 2" xfId="43853"/>
    <cellStyle name="Normal 2 6 3 3 2 6" xfId="36146"/>
    <cellStyle name="Normal 2 6 3 3 2 7" xfId="21698"/>
    <cellStyle name="Normal 2 6 3 3 3" xfId="18282"/>
    <cellStyle name="Normal 2 6 3 3 3 2" xfId="20164"/>
    <cellStyle name="Normal 2 6 3 3 3 2 2" xfId="27490"/>
    <cellStyle name="Normal 2 6 3 3 3 2 2 2" xfId="34801"/>
    <cellStyle name="Normal 2 6 3 3 3 2 2 2 2" xfId="49621"/>
    <cellStyle name="Normal 2 6 3 3 3 2 2 3" xfId="42329"/>
    <cellStyle name="Normal 2 6 3 3 3 2 3" xfId="31147"/>
    <cellStyle name="Normal 2 6 3 3 3 2 3 2" xfId="45970"/>
    <cellStyle name="Normal 2 6 3 3 3 2 4" xfId="38645"/>
    <cellStyle name="Normal 2 6 3 3 3 2 5" xfId="23832"/>
    <cellStyle name="Normal 2 6 3 3 3 3" xfId="25664"/>
    <cellStyle name="Normal 2 6 3 3 3 3 2" xfId="32975"/>
    <cellStyle name="Normal 2 6 3 3 3 3 2 2" xfId="47795"/>
    <cellStyle name="Normal 2 6 3 3 3 3 3" xfId="40526"/>
    <cellStyle name="Normal 2 6 3 3 3 4" xfId="29321"/>
    <cellStyle name="Normal 2 6 3 3 3 4 2" xfId="44145"/>
    <cellStyle name="Normal 2 6 3 3 3 5" xfId="36922"/>
    <cellStyle name="Normal 2 6 3 3 3 6" xfId="22003"/>
    <cellStyle name="Normal 2 6 3 3 4" xfId="19380"/>
    <cellStyle name="Normal 2 6 3 3 4 2" xfId="26750"/>
    <cellStyle name="Normal 2 6 3 3 4 2 2" xfId="34061"/>
    <cellStyle name="Normal 2 6 3 3 4 2 2 2" xfId="48881"/>
    <cellStyle name="Normal 2 6 3 3 4 2 3" xfId="41590"/>
    <cellStyle name="Normal 2 6 3 3 4 3" xfId="30407"/>
    <cellStyle name="Normal 2 6 3 3 4 3 2" xfId="45230"/>
    <cellStyle name="Normal 2 6 3 3 4 4" xfId="37904"/>
    <cellStyle name="Normal 2 6 3 3 4 5" xfId="23092"/>
    <cellStyle name="Normal 2 6 3 3 5" xfId="24909"/>
    <cellStyle name="Normal 2 6 3 3 5 2" xfId="32220"/>
    <cellStyle name="Normal 2 6 3 3 5 2 2" xfId="47043"/>
    <cellStyle name="Normal 2 6 3 3 5 3" xfId="39804"/>
    <cellStyle name="Normal 2 6 3 3 6" xfId="28566"/>
    <cellStyle name="Normal 2 6 3 3 6 2" xfId="43403"/>
    <cellStyle name="Normal 2 6 3 3 7" xfId="35697"/>
    <cellStyle name="Normal 2 6 3 3 8" xfId="21248"/>
    <cellStyle name="Normal 2 6 3 4" xfId="17563"/>
    <cellStyle name="Normal 2 6 3 4 2" xfId="18677"/>
    <cellStyle name="Normal 2 6 3 4 2 2" xfId="20556"/>
    <cellStyle name="Normal 2 6 3 4 2 2 2" xfId="27882"/>
    <cellStyle name="Normal 2 6 3 4 2 2 2 2" xfId="35193"/>
    <cellStyle name="Normal 2 6 3 4 2 2 2 2 2" xfId="50013"/>
    <cellStyle name="Normal 2 6 3 4 2 2 2 3" xfId="42721"/>
    <cellStyle name="Normal 2 6 3 4 2 2 3" xfId="31539"/>
    <cellStyle name="Normal 2 6 3 4 2 2 3 2" xfId="46362"/>
    <cellStyle name="Normal 2 6 3 4 2 2 4" xfId="39037"/>
    <cellStyle name="Normal 2 6 3 4 2 2 5" xfId="24224"/>
    <cellStyle name="Normal 2 6 3 4 2 3" xfId="26056"/>
    <cellStyle name="Normal 2 6 3 4 2 3 2" xfId="33367"/>
    <cellStyle name="Normal 2 6 3 4 2 3 2 2" xfId="48187"/>
    <cellStyle name="Normal 2 6 3 4 2 3 3" xfId="40900"/>
    <cellStyle name="Normal 2 6 3 4 2 4" xfId="29713"/>
    <cellStyle name="Normal 2 6 3 4 2 4 2" xfId="44537"/>
    <cellStyle name="Normal 2 6 3 4 2 5" xfId="37314"/>
    <cellStyle name="Normal 2 6 3 4 2 6" xfId="22395"/>
    <cellStyle name="Normal 2 6 3 4 3" xfId="19607"/>
    <cellStyle name="Normal 2 6 3 4 3 2" xfId="26976"/>
    <cellStyle name="Normal 2 6 3 4 3 2 2" xfId="34287"/>
    <cellStyle name="Normal 2 6 3 4 3 2 2 2" xfId="49107"/>
    <cellStyle name="Normal 2 6 3 4 3 2 3" xfId="41816"/>
    <cellStyle name="Normal 2 6 3 4 3 3" xfId="30633"/>
    <cellStyle name="Normal 2 6 3 4 3 3 2" xfId="45456"/>
    <cellStyle name="Normal 2 6 3 4 3 4" xfId="38130"/>
    <cellStyle name="Normal 2 6 3 4 3 5" xfId="23318"/>
    <cellStyle name="Normal 2 6 3 4 4" xfId="25135"/>
    <cellStyle name="Normal 2 6 3 4 4 2" xfId="32446"/>
    <cellStyle name="Normal 2 6 3 4 4 2 2" xfId="47269"/>
    <cellStyle name="Normal 2 6 3 4 4 3" xfId="40029"/>
    <cellStyle name="Normal 2 6 3 4 5" xfId="28792"/>
    <cellStyle name="Normal 2 6 3 4 5 2" xfId="43629"/>
    <cellStyle name="Normal 2 6 3 4 6" xfId="36143"/>
    <cellStyle name="Normal 2 6 3 4 7" xfId="21474"/>
    <cellStyle name="Normal 2 6 3 5" xfId="18093"/>
    <cellStyle name="Normal 2 6 3 5 2" xfId="20161"/>
    <cellStyle name="Normal 2 6 3 5 2 2" xfId="27487"/>
    <cellStyle name="Normal 2 6 3 5 2 2 2" xfId="34798"/>
    <cellStyle name="Normal 2 6 3 5 2 2 2 2" xfId="49618"/>
    <cellStyle name="Normal 2 6 3 5 2 2 3" xfId="42326"/>
    <cellStyle name="Normal 2 6 3 5 2 3" xfId="31144"/>
    <cellStyle name="Normal 2 6 3 5 2 3 2" xfId="45967"/>
    <cellStyle name="Normal 2 6 3 5 2 4" xfId="38642"/>
    <cellStyle name="Normal 2 6 3 5 2 5" xfId="23829"/>
    <cellStyle name="Normal 2 6 3 5 3" xfId="25661"/>
    <cellStyle name="Normal 2 6 3 5 3 2" xfId="32972"/>
    <cellStyle name="Normal 2 6 3 5 3 2 2" xfId="47792"/>
    <cellStyle name="Normal 2 6 3 5 3 3" xfId="40523"/>
    <cellStyle name="Normal 2 6 3 5 4" xfId="29318"/>
    <cellStyle name="Normal 2 6 3 5 4 2" xfId="44142"/>
    <cellStyle name="Normal 2 6 3 5 5" xfId="36749"/>
    <cellStyle name="Normal 2 6 3 5 6" xfId="22000"/>
    <cellStyle name="Normal 2 6 3 6" xfId="18279"/>
    <cellStyle name="Normal 2 6 3 6 2" xfId="26531"/>
    <cellStyle name="Normal 2 6 3 6 2 2" xfId="33842"/>
    <cellStyle name="Normal 2 6 3 6 2 2 2" xfId="48662"/>
    <cellStyle name="Normal 2 6 3 6 2 3" xfId="41371"/>
    <cellStyle name="Normal 2 6 3 6 3" xfId="30188"/>
    <cellStyle name="Normal 2 6 3 6 3 2" xfId="45011"/>
    <cellStyle name="Normal 2 6 3 6 4" xfId="36919"/>
    <cellStyle name="Normal 2 6 3 6 5" xfId="22873"/>
    <cellStyle name="Normal 2 6 3 7" xfId="19160"/>
    <cellStyle name="Normal 2 6 3 7 2" xfId="31996"/>
    <cellStyle name="Normal 2 6 3 7 2 2" xfId="46819"/>
    <cellStyle name="Normal 2 6 3 7 3" xfId="37685"/>
    <cellStyle name="Normal 2 6 3 7 4" xfId="24685"/>
    <cellStyle name="Normal 2 6 3 8" xfId="28342"/>
    <cellStyle name="Normal 2 6 3 8 2" xfId="43179"/>
    <cellStyle name="Normal 2 6 3 8 3" xfId="36648"/>
    <cellStyle name="Normal 2 6 3 9" xfId="35694"/>
    <cellStyle name="Normal 2 6 4" xfId="17171"/>
    <cellStyle name="Normal 2 6 4 2" xfId="17393"/>
    <cellStyle name="Normal 2 6 4 2 2" xfId="17843"/>
    <cellStyle name="Normal 2 6 4 2 2 2" xfId="18957"/>
    <cellStyle name="Normal 2 6 4 2 2 2 2" xfId="20836"/>
    <cellStyle name="Normal 2 6 4 2 2 2 2 2" xfId="28162"/>
    <cellStyle name="Normal 2 6 4 2 2 2 2 2 2" xfId="35473"/>
    <cellStyle name="Normal 2 6 4 2 2 2 2 2 2 2" xfId="50293"/>
    <cellStyle name="Normal 2 6 4 2 2 2 2 2 3" xfId="43001"/>
    <cellStyle name="Normal 2 6 4 2 2 2 2 3" xfId="31819"/>
    <cellStyle name="Normal 2 6 4 2 2 2 2 3 2" xfId="46642"/>
    <cellStyle name="Normal 2 6 4 2 2 2 2 4" xfId="39317"/>
    <cellStyle name="Normal 2 6 4 2 2 2 2 5" xfId="24504"/>
    <cellStyle name="Normal 2 6 4 2 2 2 3" xfId="26336"/>
    <cellStyle name="Normal 2 6 4 2 2 2 3 2" xfId="33647"/>
    <cellStyle name="Normal 2 6 4 2 2 2 3 2 2" xfId="48467"/>
    <cellStyle name="Normal 2 6 4 2 2 2 3 3" xfId="41180"/>
    <cellStyle name="Normal 2 6 4 2 2 2 4" xfId="29993"/>
    <cellStyle name="Normal 2 6 4 2 2 2 4 2" xfId="44817"/>
    <cellStyle name="Normal 2 6 4 2 2 2 5" xfId="37568"/>
    <cellStyle name="Normal 2 6 4 2 2 2 6" xfId="22675"/>
    <cellStyle name="Normal 2 6 4 2 2 3" xfId="19887"/>
    <cellStyle name="Normal 2 6 4 2 2 3 2" xfId="27256"/>
    <cellStyle name="Normal 2 6 4 2 2 3 2 2" xfId="34567"/>
    <cellStyle name="Normal 2 6 4 2 2 3 2 2 2" xfId="49387"/>
    <cellStyle name="Normal 2 6 4 2 2 3 2 3" xfId="42096"/>
    <cellStyle name="Normal 2 6 4 2 2 3 3" xfId="30913"/>
    <cellStyle name="Normal 2 6 4 2 2 3 3 2" xfId="45736"/>
    <cellStyle name="Normal 2 6 4 2 2 3 4" xfId="38410"/>
    <cellStyle name="Normal 2 6 4 2 2 3 5" xfId="23598"/>
    <cellStyle name="Normal 2 6 4 2 2 4" xfId="25415"/>
    <cellStyle name="Normal 2 6 4 2 2 4 2" xfId="32726"/>
    <cellStyle name="Normal 2 6 4 2 2 4 2 2" xfId="47549"/>
    <cellStyle name="Normal 2 6 4 2 2 4 3" xfId="40303"/>
    <cellStyle name="Normal 2 6 4 2 2 5" xfId="29072"/>
    <cellStyle name="Normal 2 6 4 2 2 5 2" xfId="43909"/>
    <cellStyle name="Normal 2 6 4 2 2 6" xfId="36148"/>
    <cellStyle name="Normal 2 6 4 2 2 7" xfId="21754"/>
    <cellStyle name="Normal 2 6 4 2 3" xfId="18284"/>
    <cellStyle name="Normal 2 6 4 2 3 2" xfId="20166"/>
    <cellStyle name="Normal 2 6 4 2 3 2 2" xfId="27492"/>
    <cellStyle name="Normal 2 6 4 2 3 2 2 2" xfId="34803"/>
    <cellStyle name="Normal 2 6 4 2 3 2 2 2 2" xfId="49623"/>
    <cellStyle name="Normal 2 6 4 2 3 2 2 3" xfId="42331"/>
    <cellStyle name="Normal 2 6 4 2 3 2 3" xfId="31149"/>
    <cellStyle name="Normal 2 6 4 2 3 2 3 2" xfId="45972"/>
    <cellStyle name="Normal 2 6 4 2 3 2 4" xfId="38647"/>
    <cellStyle name="Normal 2 6 4 2 3 2 5" xfId="23834"/>
    <cellStyle name="Normal 2 6 4 2 3 3" xfId="25666"/>
    <cellStyle name="Normal 2 6 4 2 3 3 2" xfId="32977"/>
    <cellStyle name="Normal 2 6 4 2 3 3 2 2" xfId="47797"/>
    <cellStyle name="Normal 2 6 4 2 3 3 3" xfId="40528"/>
    <cellStyle name="Normal 2 6 4 2 3 4" xfId="29323"/>
    <cellStyle name="Normal 2 6 4 2 3 4 2" xfId="44147"/>
    <cellStyle name="Normal 2 6 4 2 3 5" xfId="36924"/>
    <cellStyle name="Normal 2 6 4 2 3 6" xfId="22005"/>
    <cellStyle name="Normal 2 6 4 2 4" xfId="19436"/>
    <cellStyle name="Normal 2 6 4 2 4 2" xfId="26806"/>
    <cellStyle name="Normal 2 6 4 2 4 2 2" xfId="34117"/>
    <cellStyle name="Normal 2 6 4 2 4 2 2 2" xfId="48937"/>
    <cellStyle name="Normal 2 6 4 2 4 2 3" xfId="41646"/>
    <cellStyle name="Normal 2 6 4 2 4 3" xfId="30463"/>
    <cellStyle name="Normal 2 6 4 2 4 3 2" xfId="45286"/>
    <cellStyle name="Normal 2 6 4 2 4 4" xfId="37960"/>
    <cellStyle name="Normal 2 6 4 2 4 5" xfId="23148"/>
    <cellStyle name="Normal 2 6 4 2 5" xfId="24965"/>
    <cellStyle name="Normal 2 6 4 2 5 2" xfId="32276"/>
    <cellStyle name="Normal 2 6 4 2 5 2 2" xfId="47099"/>
    <cellStyle name="Normal 2 6 4 2 5 3" xfId="39860"/>
    <cellStyle name="Normal 2 6 4 2 6" xfId="28622"/>
    <cellStyle name="Normal 2 6 4 2 6 2" xfId="43459"/>
    <cellStyle name="Normal 2 6 4 2 7" xfId="35699"/>
    <cellStyle name="Normal 2 6 4 2 8" xfId="21304"/>
    <cellStyle name="Normal 2 6 4 3" xfId="17619"/>
    <cellStyle name="Normal 2 6 4 3 2" xfId="18733"/>
    <cellStyle name="Normal 2 6 4 3 2 2" xfId="20612"/>
    <cellStyle name="Normal 2 6 4 3 2 2 2" xfId="27938"/>
    <cellStyle name="Normal 2 6 4 3 2 2 2 2" xfId="35249"/>
    <cellStyle name="Normal 2 6 4 3 2 2 2 2 2" xfId="50069"/>
    <cellStyle name="Normal 2 6 4 3 2 2 2 3" xfId="42777"/>
    <cellStyle name="Normal 2 6 4 3 2 2 3" xfId="31595"/>
    <cellStyle name="Normal 2 6 4 3 2 2 3 2" xfId="46418"/>
    <cellStyle name="Normal 2 6 4 3 2 2 4" xfId="39093"/>
    <cellStyle name="Normal 2 6 4 3 2 2 5" xfId="24280"/>
    <cellStyle name="Normal 2 6 4 3 2 3" xfId="26112"/>
    <cellStyle name="Normal 2 6 4 3 2 3 2" xfId="33423"/>
    <cellStyle name="Normal 2 6 4 3 2 3 2 2" xfId="48243"/>
    <cellStyle name="Normal 2 6 4 3 2 3 3" xfId="40956"/>
    <cellStyle name="Normal 2 6 4 3 2 4" xfId="29769"/>
    <cellStyle name="Normal 2 6 4 3 2 4 2" xfId="44593"/>
    <cellStyle name="Normal 2 6 4 3 2 5" xfId="37370"/>
    <cellStyle name="Normal 2 6 4 3 2 6" xfId="22451"/>
    <cellStyle name="Normal 2 6 4 3 3" xfId="19663"/>
    <cellStyle name="Normal 2 6 4 3 3 2" xfId="27032"/>
    <cellStyle name="Normal 2 6 4 3 3 2 2" xfId="34343"/>
    <cellStyle name="Normal 2 6 4 3 3 2 2 2" xfId="49163"/>
    <cellStyle name="Normal 2 6 4 3 3 2 3" xfId="41872"/>
    <cellStyle name="Normal 2 6 4 3 3 3" xfId="30689"/>
    <cellStyle name="Normal 2 6 4 3 3 3 2" xfId="45512"/>
    <cellStyle name="Normal 2 6 4 3 3 4" xfId="38186"/>
    <cellStyle name="Normal 2 6 4 3 3 5" xfId="23374"/>
    <cellStyle name="Normal 2 6 4 3 4" xfId="25191"/>
    <cellStyle name="Normal 2 6 4 3 4 2" xfId="32502"/>
    <cellStyle name="Normal 2 6 4 3 4 2 2" xfId="47325"/>
    <cellStyle name="Normal 2 6 4 3 4 3" xfId="40083"/>
    <cellStyle name="Normal 2 6 4 3 5" xfId="28848"/>
    <cellStyle name="Normal 2 6 4 3 5 2" xfId="43685"/>
    <cellStyle name="Normal 2 6 4 3 6" xfId="36147"/>
    <cellStyle name="Normal 2 6 4 3 7" xfId="21530"/>
    <cellStyle name="Normal 2 6 4 4" xfId="18283"/>
    <cellStyle name="Normal 2 6 4 4 2" xfId="20165"/>
    <cellStyle name="Normal 2 6 4 4 2 2" xfId="27491"/>
    <cellStyle name="Normal 2 6 4 4 2 2 2" xfId="34802"/>
    <cellStyle name="Normal 2 6 4 4 2 2 2 2" xfId="49622"/>
    <cellStyle name="Normal 2 6 4 4 2 2 3" xfId="42330"/>
    <cellStyle name="Normal 2 6 4 4 2 3" xfId="31148"/>
    <cellStyle name="Normal 2 6 4 4 2 3 2" xfId="45971"/>
    <cellStyle name="Normal 2 6 4 4 2 4" xfId="38646"/>
    <cellStyle name="Normal 2 6 4 4 2 5" xfId="23833"/>
    <cellStyle name="Normal 2 6 4 4 3" xfId="25665"/>
    <cellStyle name="Normal 2 6 4 4 3 2" xfId="32976"/>
    <cellStyle name="Normal 2 6 4 4 3 2 2" xfId="47796"/>
    <cellStyle name="Normal 2 6 4 4 3 3" xfId="40527"/>
    <cellStyle name="Normal 2 6 4 4 4" xfId="29322"/>
    <cellStyle name="Normal 2 6 4 4 4 2" xfId="44146"/>
    <cellStyle name="Normal 2 6 4 4 5" xfId="36923"/>
    <cellStyle name="Normal 2 6 4 4 6" xfId="22004"/>
    <cellStyle name="Normal 2 6 4 5" xfId="19214"/>
    <cellStyle name="Normal 2 6 4 5 2" xfId="26584"/>
    <cellStyle name="Normal 2 6 4 5 2 2" xfId="33895"/>
    <cellStyle name="Normal 2 6 4 5 2 2 2" xfId="48715"/>
    <cellStyle name="Normal 2 6 4 5 2 3" xfId="41424"/>
    <cellStyle name="Normal 2 6 4 5 3" xfId="30241"/>
    <cellStyle name="Normal 2 6 4 5 3 2" xfId="45064"/>
    <cellStyle name="Normal 2 6 4 5 4" xfId="37738"/>
    <cellStyle name="Normal 2 6 4 5 5" xfId="22926"/>
    <cellStyle name="Normal 2 6 4 6" xfId="24741"/>
    <cellStyle name="Normal 2 6 4 6 2" xfId="32052"/>
    <cellStyle name="Normal 2 6 4 6 2 2" xfId="46875"/>
    <cellStyle name="Normal 2 6 4 6 3" xfId="39644"/>
    <cellStyle name="Normal 2 6 4 7" xfId="28398"/>
    <cellStyle name="Normal 2 6 4 7 2" xfId="43235"/>
    <cellStyle name="Normal 2 6 4 8" xfId="35698"/>
    <cellStyle name="Normal 2 6 4 9" xfId="21080"/>
    <cellStyle name="Normal 2 6 5" xfId="17274"/>
    <cellStyle name="Normal 2 6 5 2" xfId="17731"/>
    <cellStyle name="Normal 2 6 5 2 2" xfId="18845"/>
    <cellStyle name="Normal 2 6 5 2 2 2" xfId="20724"/>
    <cellStyle name="Normal 2 6 5 2 2 2 2" xfId="28050"/>
    <cellStyle name="Normal 2 6 5 2 2 2 2 2" xfId="35361"/>
    <cellStyle name="Normal 2 6 5 2 2 2 2 2 2" xfId="50181"/>
    <cellStyle name="Normal 2 6 5 2 2 2 2 3" xfId="42889"/>
    <cellStyle name="Normal 2 6 5 2 2 2 3" xfId="31707"/>
    <cellStyle name="Normal 2 6 5 2 2 2 3 2" xfId="46530"/>
    <cellStyle name="Normal 2 6 5 2 2 2 4" xfId="39205"/>
    <cellStyle name="Normal 2 6 5 2 2 2 5" xfId="24392"/>
    <cellStyle name="Normal 2 6 5 2 2 3" xfId="26224"/>
    <cellStyle name="Normal 2 6 5 2 2 3 2" xfId="33535"/>
    <cellStyle name="Normal 2 6 5 2 2 3 2 2" xfId="48355"/>
    <cellStyle name="Normal 2 6 5 2 2 3 3" xfId="41068"/>
    <cellStyle name="Normal 2 6 5 2 2 4" xfId="29881"/>
    <cellStyle name="Normal 2 6 5 2 2 4 2" xfId="44705"/>
    <cellStyle name="Normal 2 6 5 2 2 5" xfId="37481"/>
    <cellStyle name="Normal 2 6 5 2 2 6" xfId="22563"/>
    <cellStyle name="Normal 2 6 5 2 3" xfId="19775"/>
    <cellStyle name="Normal 2 6 5 2 3 2" xfId="27144"/>
    <cellStyle name="Normal 2 6 5 2 3 2 2" xfId="34455"/>
    <cellStyle name="Normal 2 6 5 2 3 2 2 2" xfId="49275"/>
    <cellStyle name="Normal 2 6 5 2 3 2 3" xfId="41984"/>
    <cellStyle name="Normal 2 6 5 2 3 3" xfId="30801"/>
    <cellStyle name="Normal 2 6 5 2 3 3 2" xfId="45624"/>
    <cellStyle name="Normal 2 6 5 2 3 4" xfId="38298"/>
    <cellStyle name="Normal 2 6 5 2 3 5" xfId="23486"/>
    <cellStyle name="Normal 2 6 5 2 4" xfId="25303"/>
    <cellStyle name="Normal 2 6 5 2 4 2" xfId="32614"/>
    <cellStyle name="Normal 2 6 5 2 4 2 2" xfId="47437"/>
    <cellStyle name="Normal 2 6 5 2 4 3" xfId="40193"/>
    <cellStyle name="Normal 2 6 5 2 5" xfId="28960"/>
    <cellStyle name="Normal 2 6 5 2 5 2" xfId="43797"/>
    <cellStyle name="Normal 2 6 5 2 6" xfId="36149"/>
    <cellStyle name="Normal 2 6 5 2 7" xfId="21642"/>
    <cellStyle name="Normal 2 6 5 3" xfId="18285"/>
    <cellStyle name="Normal 2 6 5 3 2" xfId="20167"/>
    <cellStyle name="Normal 2 6 5 3 2 2" xfId="27493"/>
    <cellStyle name="Normal 2 6 5 3 2 2 2" xfId="34804"/>
    <cellStyle name="Normal 2 6 5 3 2 2 2 2" xfId="49624"/>
    <cellStyle name="Normal 2 6 5 3 2 2 3" xfId="42332"/>
    <cellStyle name="Normal 2 6 5 3 2 3" xfId="31150"/>
    <cellStyle name="Normal 2 6 5 3 2 3 2" xfId="45973"/>
    <cellStyle name="Normal 2 6 5 3 2 4" xfId="38648"/>
    <cellStyle name="Normal 2 6 5 3 2 5" xfId="23835"/>
    <cellStyle name="Normal 2 6 5 3 3" xfId="25667"/>
    <cellStyle name="Normal 2 6 5 3 3 2" xfId="32978"/>
    <cellStyle name="Normal 2 6 5 3 3 2 2" xfId="47798"/>
    <cellStyle name="Normal 2 6 5 3 3 3" xfId="40529"/>
    <cellStyle name="Normal 2 6 5 3 4" xfId="29324"/>
    <cellStyle name="Normal 2 6 5 3 4 2" xfId="44148"/>
    <cellStyle name="Normal 2 6 5 3 5" xfId="36925"/>
    <cellStyle name="Normal 2 6 5 3 6" xfId="22006"/>
    <cellStyle name="Normal 2 6 5 4" xfId="19324"/>
    <cellStyle name="Normal 2 6 5 4 2" xfId="26694"/>
    <cellStyle name="Normal 2 6 5 4 2 2" xfId="34005"/>
    <cellStyle name="Normal 2 6 5 4 2 2 2" xfId="48825"/>
    <cellStyle name="Normal 2 6 5 4 2 3" xfId="41534"/>
    <cellStyle name="Normal 2 6 5 4 3" xfId="30351"/>
    <cellStyle name="Normal 2 6 5 4 3 2" xfId="45174"/>
    <cellStyle name="Normal 2 6 5 4 4" xfId="37848"/>
    <cellStyle name="Normal 2 6 5 4 5" xfId="23036"/>
    <cellStyle name="Normal 2 6 5 5" xfId="24853"/>
    <cellStyle name="Normal 2 6 5 5 2" xfId="32164"/>
    <cellStyle name="Normal 2 6 5 5 2 2" xfId="46987"/>
    <cellStyle name="Normal 2 6 5 5 3" xfId="39750"/>
    <cellStyle name="Normal 2 6 5 6" xfId="28510"/>
    <cellStyle name="Normal 2 6 5 6 2" xfId="43347"/>
    <cellStyle name="Normal 2 6 5 7" xfId="35700"/>
    <cellStyle name="Normal 2 6 5 8" xfId="21192"/>
    <cellStyle name="Normal 2 6 6" xfId="17507"/>
    <cellStyle name="Normal 2 6 6 2" xfId="18621"/>
    <cellStyle name="Normal 2 6 6 2 2" xfId="20500"/>
    <cellStyle name="Normal 2 6 6 2 2 2" xfId="27826"/>
    <cellStyle name="Normal 2 6 6 2 2 2 2" xfId="35137"/>
    <cellStyle name="Normal 2 6 6 2 2 2 2 2" xfId="49957"/>
    <cellStyle name="Normal 2 6 6 2 2 2 3" xfId="42665"/>
    <cellStyle name="Normal 2 6 6 2 2 3" xfId="31483"/>
    <cellStyle name="Normal 2 6 6 2 2 3 2" xfId="46306"/>
    <cellStyle name="Normal 2 6 6 2 2 4" xfId="38981"/>
    <cellStyle name="Normal 2 6 6 2 2 5" xfId="24168"/>
    <cellStyle name="Normal 2 6 6 2 3" xfId="26000"/>
    <cellStyle name="Normal 2 6 6 2 3 2" xfId="33311"/>
    <cellStyle name="Normal 2 6 6 2 3 2 2" xfId="48131"/>
    <cellStyle name="Normal 2 6 6 2 3 3" xfId="40844"/>
    <cellStyle name="Normal 2 6 6 2 4" xfId="29657"/>
    <cellStyle name="Normal 2 6 6 2 4 2" xfId="44481"/>
    <cellStyle name="Normal 2 6 6 2 5" xfId="37258"/>
    <cellStyle name="Normal 2 6 6 2 6" xfId="22339"/>
    <cellStyle name="Normal 2 6 6 3" xfId="19551"/>
    <cellStyle name="Normal 2 6 6 3 2" xfId="26920"/>
    <cellStyle name="Normal 2 6 6 3 2 2" xfId="34231"/>
    <cellStyle name="Normal 2 6 6 3 2 2 2" xfId="49051"/>
    <cellStyle name="Normal 2 6 6 3 2 3" xfId="41760"/>
    <cellStyle name="Normal 2 6 6 3 3" xfId="30577"/>
    <cellStyle name="Normal 2 6 6 3 3 2" xfId="45400"/>
    <cellStyle name="Normal 2 6 6 3 4" xfId="38074"/>
    <cellStyle name="Normal 2 6 6 3 5" xfId="23262"/>
    <cellStyle name="Normal 2 6 6 4" xfId="25079"/>
    <cellStyle name="Normal 2 6 6 4 2" xfId="32390"/>
    <cellStyle name="Normal 2 6 6 4 2 2" xfId="47213"/>
    <cellStyle name="Normal 2 6 6 4 3" xfId="39974"/>
    <cellStyle name="Normal 2 6 6 5" xfId="28736"/>
    <cellStyle name="Normal 2 6 6 5 2" xfId="43573"/>
    <cellStyle name="Normal 2 6 6 6" xfId="36134"/>
    <cellStyle name="Normal 2 6 6 7" xfId="21418"/>
    <cellStyle name="Normal 2 6 7" xfId="17963"/>
    <cellStyle name="Normal 2 6 7 2" xfId="18270"/>
    <cellStyle name="Normal 2 6 7 2 2" xfId="27478"/>
    <cellStyle name="Normal 2 6 7 2 2 2" xfId="34789"/>
    <cellStyle name="Normal 2 6 7 2 2 2 2" xfId="49609"/>
    <cellStyle name="Normal 2 6 7 2 2 3" xfId="42317"/>
    <cellStyle name="Normal 2 6 7 2 3" xfId="31135"/>
    <cellStyle name="Normal 2 6 7 2 3 2" xfId="45958"/>
    <cellStyle name="Normal 2 6 7 2 4" xfId="36910"/>
    <cellStyle name="Normal 2 6 7 2 5" xfId="23820"/>
    <cellStyle name="Normal 2 6 7 3" xfId="20152"/>
    <cellStyle name="Normal 2 6 7 3 2" xfId="32963"/>
    <cellStyle name="Normal 2 6 7 3 2 2" xfId="47783"/>
    <cellStyle name="Normal 2 6 7 3 3" xfId="38633"/>
    <cellStyle name="Normal 2 6 7 3 4" xfId="25652"/>
    <cellStyle name="Normal 2 6 7 4" xfId="29309"/>
    <cellStyle name="Normal 2 6 7 4 2" xfId="44133"/>
    <cellStyle name="Normal 2 6 7 5" xfId="36691"/>
    <cellStyle name="Normal 2 6 7 6" xfId="21991"/>
    <cellStyle name="Normal 2 6 8" xfId="20002"/>
    <cellStyle name="Normal 2 6 9" xfId="19108"/>
    <cellStyle name="Normal 2 6 9 2" xfId="26484"/>
    <cellStyle name="Normal 2 6 9 2 2" xfId="33795"/>
    <cellStyle name="Normal 2 6 9 2 2 2" xfId="48615"/>
    <cellStyle name="Normal 2 6 9 2 3" xfId="41324"/>
    <cellStyle name="Normal 2 6 9 3" xfId="30141"/>
    <cellStyle name="Normal 2 6 9 3 2" xfId="44964"/>
    <cellStyle name="Normal 2 6 9 4" xfId="37638"/>
    <cellStyle name="Normal 2 6 9 5" xfId="22826"/>
    <cellStyle name="Normal 2 7" xfId="13957"/>
    <cellStyle name="Normal 2 7 10" xfId="28300"/>
    <cellStyle name="Normal 2 7 10 2" xfId="43137"/>
    <cellStyle name="Normal 2 7 11" xfId="35701"/>
    <cellStyle name="Normal 2 7 12" xfId="20982"/>
    <cellStyle name="Normal 2 7 2" xfId="17225"/>
    <cellStyle name="Normal 2 7 2 10" xfId="21038"/>
    <cellStyle name="Normal 2 7 2 2" xfId="17463"/>
    <cellStyle name="Normal 2 7 2 2 2" xfId="17913"/>
    <cellStyle name="Normal 2 7 2 2 2 2" xfId="19027"/>
    <cellStyle name="Normal 2 7 2 2 2 2 2" xfId="20906"/>
    <cellStyle name="Normal 2 7 2 2 2 2 2 2" xfId="24574"/>
    <cellStyle name="Normal 2 7 2 2 2 2 2 2 2" xfId="28232"/>
    <cellStyle name="Normal 2 7 2 2 2 2 2 2 2 2" xfId="35543"/>
    <cellStyle name="Normal 2 7 2 2 2 2 2 2 2 2 2" xfId="50363"/>
    <cellStyle name="Normal 2 7 2 2 2 2 2 2 2 3" xfId="43071"/>
    <cellStyle name="Normal 2 7 2 2 2 2 2 2 3" xfId="31889"/>
    <cellStyle name="Normal 2 7 2 2 2 2 2 2 3 2" xfId="46712"/>
    <cellStyle name="Normal 2 7 2 2 2 2 2 2 4" xfId="39507"/>
    <cellStyle name="Normal 2 7 2 2 2 2 2 3" xfId="26406"/>
    <cellStyle name="Normal 2 7 2 2 2 2 2 3 2" xfId="33717"/>
    <cellStyle name="Normal 2 7 2 2 2 2 2 3 2 2" xfId="48537"/>
    <cellStyle name="Normal 2 7 2 2 2 2 2 3 3" xfId="41250"/>
    <cellStyle name="Normal 2 7 2 2 2 2 2 4" xfId="30063"/>
    <cellStyle name="Normal 2 7 2 2 2 2 2 4 2" xfId="44887"/>
    <cellStyle name="Normal 2 7 2 2 2 2 2 5" xfId="39387"/>
    <cellStyle name="Normal 2 7 2 2 2 2 2 6" xfId="22745"/>
    <cellStyle name="Normal 2 7 2 2 2 2 3" xfId="19957"/>
    <cellStyle name="Normal 2 7 2 2 2 2 3 2" xfId="27326"/>
    <cellStyle name="Normal 2 7 2 2 2 2 3 2 2" xfId="34637"/>
    <cellStyle name="Normal 2 7 2 2 2 2 3 2 2 2" xfId="49457"/>
    <cellStyle name="Normal 2 7 2 2 2 2 3 2 3" xfId="42166"/>
    <cellStyle name="Normal 2 7 2 2 2 2 3 3" xfId="30983"/>
    <cellStyle name="Normal 2 7 2 2 2 2 3 3 2" xfId="45806"/>
    <cellStyle name="Normal 2 7 2 2 2 2 3 4" xfId="38480"/>
    <cellStyle name="Normal 2 7 2 2 2 2 3 5" xfId="23668"/>
    <cellStyle name="Normal 2 7 2 2 2 2 4" xfId="25485"/>
    <cellStyle name="Normal 2 7 2 2 2 2 4 2" xfId="32796"/>
    <cellStyle name="Normal 2 7 2 2 2 2 4 2 2" xfId="47619"/>
    <cellStyle name="Normal 2 7 2 2 2 2 4 3" xfId="40373"/>
    <cellStyle name="Normal 2 7 2 2 2 2 5" xfId="29142"/>
    <cellStyle name="Normal 2 7 2 2 2 2 5 2" xfId="43979"/>
    <cellStyle name="Normal 2 7 2 2 2 2 6" xfId="36153"/>
    <cellStyle name="Normal 2 7 2 2 2 2 7" xfId="21824"/>
    <cellStyle name="Normal 2 7 2 2 2 3" xfId="18289"/>
    <cellStyle name="Normal 2 7 2 2 2 3 2" xfId="20171"/>
    <cellStyle name="Normal 2 7 2 2 2 3 2 2" xfId="27497"/>
    <cellStyle name="Normal 2 7 2 2 2 3 2 2 2" xfId="34808"/>
    <cellStyle name="Normal 2 7 2 2 2 3 2 2 2 2" xfId="49628"/>
    <cellStyle name="Normal 2 7 2 2 2 3 2 2 3" xfId="42336"/>
    <cellStyle name="Normal 2 7 2 2 2 3 2 3" xfId="31154"/>
    <cellStyle name="Normal 2 7 2 2 2 3 2 3 2" xfId="45977"/>
    <cellStyle name="Normal 2 7 2 2 2 3 2 4" xfId="38652"/>
    <cellStyle name="Normal 2 7 2 2 2 3 2 5" xfId="23839"/>
    <cellStyle name="Normal 2 7 2 2 2 3 3" xfId="25671"/>
    <cellStyle name="Normal 2 7 2 2 2 3 3 2" xfId="32982"/>
    <cellStyle name="Normal 2 7 2 2 2 3 3 2 2" xfId="47802"/>
    <cellStyle name="Normal 2 7 2 2 2 3 3 3" xfId="40532"/>
    <cellStyle name="Normal 2 7 2 2 2 3 4" xfId="29328"/>
    <cellStyle name="Normal 2 7 2 2 2 3 4 2" xfId="44152"/>
    <cellStyle name="Normal 2 7 2 2 2 3 5" xfId="36929"/>
    <cellStyle name="Normal 2 7 2 2 2 3 6" xfId="22010"/>
    <cellStyle name="Normal 2 7 2 2 2 4" xfId="19506"/>
    <cellStyle name="Normal 2 7 2 2 2 4 2" xfId="26876"/>
    <cellStyle name="Normal 2 7 2 2 2 4 2 2" xfId="34187"/>
    <cellStyle name="Normal 2 7 2 2 2 4 2 2 2" xfId="49007"/>
    <cellStyle name="Normal 2 7 2 2 2 4 2 3" xfId="41716"/>
    <cellStyle name="Normal 2 7 2 2 2 4 3" xfId="30533"/>
    <cellStyle name="Normal 2 7 2 2 2 4 3 2" xfId="45356"/>
    <cellStyle name="Normal 2 7 2 2 2 4 4" xfId="38030"/>
    <cellStyle name="Normal 2 7 2 2 2 4 5" xfId="23218"/>
    <cellStyle name="Normal 2 7 2 2 2 5" xfId="25035"/>
    <cellStyle name="Normal 2 7 2 2 2 5 2" xfId="32346"/>
    <cellStyle name="Normal 2 7 2 2 2 5 2 2" xfId="47169"/>
    <cellStyle name="Normal 2 7 2 2 2 5 3" xfId="39930"/>
    <cellStyle name="Normal 2 7 2 2 2 6" xfId="28692"/>
    <cellStyle name="Normal 2 7 2 2 2 6 2" xfId="43529"/>
    <cellStyle name="Normal 2 7 2 2 2 7" xfId="35704"/>
    <cellStyle name="Normal 2 7 2 2 2 8" xfId="21374"/>
    <cellStyle name="Normal 2 7 2 2 3" xfId="17689"/>
    <cellStyle name="Normal 2 7 2 2 3 2" xfId="18803"/>
    <cellStyle name="Normal 2 7 2 2 3 2 2" xfId="20682"/>
    <cellStyle name="Normal 2 7 2 2 3 2 2 2" xfId="28008"/>
    <cellStyle name="Normal 2 7 2 2 3 2 2 2 2" xfId="35319"/>
    <cellStyle name="Normal 2 7 2 2 3 2 2 2 2 2" xfId="50139"/>
    <cellStyle name="Normal 2 7 2 2 3 2 2 2 3" xfId="42847"/>
    <cellStyle name="Normal 2 7 2 2 3 2 2 3" xfId="31665"/>
    <cellStyle name="Normal 2 7 2 2 3 2 2 3 2" xfId="46488"/>
    <cellStyle name="Normal 2 7 2 2 3 2 2 4" xfId="39163"/>
    <cellStyle name="Normal 2 7 2 2 3 2 2 5" xfId="24350"/>
    <cellStyle name="Normal 2 7 2 2 3 2 3" xfId="26182"/>
    <cellStyle name="Normal 2 7 2 2 3 2 3 2" xfId="33493"/>
    <cellStyle name="Normal 2 7 2 2 3 2 3 2 2" xfId="48313"/>
    <cellStyle name="Normal 2 7 2 2 3 2 3 3" xfId="41026"/>
    <cellStyle name="Normal 2 7 2 2 3 2 4" xfId="29839"/>
    <cellStyle name="Normal 2 7 2 2 3 2 4 2" xfId="44663"/>
    <cellStyle name="Normal 2 7 2 2 3 2 5" xfId="37440"/>
    <cellStyle name="Normal 2 7 2 2 3 2 6" xfId="22521"/>
    <cellStyle name="Normal 2 7 2 2 3 3" xfId="19733"/>
    <cellStyle name="Normal 2 7 2 2 3 3 2" xfId="27102"/>
    <cellStyle name="Normal 2 7 2 2 3 3 2 2" xfId="34413"/>
    <cellStyle name="Normal 2 7 2 2 3 3 2 2 2" xfId="49233"/>
    <cellStyle name="Normal 2 7 2 2 3 3 2 3" xfId="41942"/>
    <cellStyle name="Normal 2 7 2 2 3 3 3" xfId="30759"/>
    <cellStyle name="Normal 2 7 2 2 3 3 3 2" xfId="45582"/>
    <cellStyle name="Normal 2 7 2 2 3 3 4" xfId="38256"/>
    <cellStyle name="Normal 2 7 2 2 3 3 5" xfId="23444"/>
    <cellStyle name="Normal 2 7 2 2 3 4" xfId="25261"/>
    <cellStyle name="Normal 2 7 2 2 3 4 2" xfId="32572"/>
    <cellStyle name="Normal 2 7 2 2 3 4 2 2" xfId="47395"/>
    <cellStyle name="Normal 2 7 2 2 3 4 3" xfId="40153"/>
    <cellStyle name="Normal 2 7 2 2 3 5" xfId="28918"/>
    <cellStyle name="Normal 2 7 2 2 3 5 2" xfId="43755"/>
    <cellStyle name="Normal 2 7 2 2 3 6" xfId="36152"/>
    <cellStyle name="Normal 2 7 2 2 3 7" xfId="21600"/>
    <cellStyle name="Normal 2 7 2 2 4" xfId="18288"/>
    <cellStyle name="Normal 2 7 2 2 4 2" xfId="20170"/>
    <cellStyle name="Normal 2 7 2 2 4 2 2" xfId="27496"/>
    <cellStyle name="Normal 2 7 2 2 4 2 2 2" xfId="34807"/>
    <cellStyle name="Normal 2 7 2 2 4 2 2 2 2" xfId="49627"/>
    <cellStyle name="Normal 2 7 2 2 4 2 2 3" xfId="42335"/>
    <cellStyle name="Normal 2 7 2 2 4 2 3" xfId="31153"/>
    <cellStyle name="Normal 2 7 2 2 4 2 3 2" xfId="45976"/>
    <cellStyle name="Normal 2 7 2 2 4 2 4" xfId="38651"/>
    <cellStyle name="Normal 2 7 2 2 4 2 5" xfId="23838"/>
    <cellStyle name="Normal 2 7 2 2 4 3" xfId="25670"/>
    <cellStyle name="Normal 2 7 2 2 4 3 2" xfId="32981"/>
    <cellStyle name="Normal 2 7 2 2 4 3 2 2" xfId="47801"/>
    <cellStyle name="Normal 2 7 2 2 4 3 3" xfId="40531"/>
    <cellStyle name="Normal 2 7 2 2 4 4" xfId="29327"/>
    <cellStyle name="Normal 2 7 2 2 4 4 2" xfId="44151"/>
    <cellStyle name="Normal 2 7 2 2 4 5" xfId="36928"/>
    <cellStyle name="Normal 2 7 2 2 4 6" xfId="22009"/>
    <cellStyle name="Normal 2 7 2 2 5" xfId="19283"/>
    <cellStyle name="Normal 2 7 2 2 5 2" xfId="26653"/>
    <cellStyle name="Normal 2 7 2 2 5 2 2" xfId="33964"/>
    <cellStyle name="Normal 2 7 2 2 5 2 2 2" xfId="48784"/>
    <cellStyle name="Normal 2 7 2 2 5 2 3" xfId="41493"/>
    <cellStyle name="Normal 2 7 2 2 5 3" xfId="30310"/>
    <cellStyle name="Normal 2 7 2 2 5 3 2" xfId="45133"/>
    <cellStyle name="Normal 2 7 2 2 5 4" xfId="37807"/>
    <cellStyle name="Normal 2 7 2 2 5 5" xfId="22995"/>
    <cellStyle name="Normal 2 7 2 2 6" xfId="24811"/>
    <cellStyle name="Normal 2 7 2 2 6 2" xfId="32122"/>
    <cellStyle name="Normal 2 7 2 2 6 2 2" xfId="46945"/>
    <cellStyle name="Normal 2 7 2 2 6 3" xfId="39710"/>
    <cellStyle name="Normal 2 7 2 2 7" xfId="28468"/>
    <cellStyle name="Normal 2 7 2 2 7 2" xfId="43305"/>
    <cellStyle name="Normal 2 7 2 2 8" xfId="35703"/>
    <cellStyle name="Normal 2 7 2 2 9" xfId="21150"/>
    <cellStyle name="Normal 2 7 2 3" xfId="17348"/>
    <cellStyle name="Normal 2 7 2 3 2" xfId="17801"/>
    <cellStyle name="Normal 2 7 2 3 2 2" xfId="18915"/>
    <cellStyle name="Normal 2 7 2 3 2 2 2" xfId="20794"/>
    <cellStyle name="Normal 2 7 2 3 2 2 2 2" xfId="28120"/>
    <cellStyle name="Normal 2 7 2 3 2 2 2 2 2" xfId="35431"/>
    <cellStyle name="Normal 2 7 2 3 2 2 2 2 2 2" xfId="50251"/>
    <cellStyle name="Normal 2 7 2 3 2 2 2 2 3" xfId="42959"/>
    <cellStyle name="Normal 2 7 2 3 2 2 2 3" xfId="31777"/>
    <cellStyle name="Normal 2 7 2 3 2 2 2 3 2" xfId="46600"/>
    <cellStyle name="Normal 2 7 2 3 2 2 2 4" xfId="39275"/>
    <cellStyle name="Normal 2 7 2 3 2 2 2 5" xfId="24462"/>
    <cellStyle name="Normal 2 7 2 3 2 2 3" xfId="26294"/>
    <cellStyle name="Normal 2 7 2 3 2 2 3 2" xfId="33605"/>
    <cellStyle name="Normal 2 7 2 3 2 2 3 2 2" xfId="48425"/>
    <cellStyle name="Normal 2 7 2 3 2 2 3 3" xfId="41138"/>
    <cellStyle name="Normal 2 7 2 3 2 2 4" xfId="29951"/>
    <cellStyle name="Normal 2 7 2 3 2 2 4 2" xfId="44775"/>
    <cellStyle name="Normal 2 7 2 3 2 2 5" xfId="37551"/>
    <cellStyle name="Normal 2 7 2 3 2 2 6" xfId="22633"/>
    <cellStyle name="Normal 2 7 2 3 2 3" xfId="19845"/>
    <cellStyle name="Normal 2 7 2 3 2 3 2" xfId="27214"/>
    <cellStyle name="Normal 2 7 2 3 2 3 2 2" xfId="34525"/>
    <cellStyle name="Normal 2 7 2 3 2 3 2 2 2" xfId="49345"/>
    <cellStyle name="Normal 2 7 2 3 2 3 2 3" xfId="42054"/>
    <cellStyle name="Normal 2 7 2 3 2 3 3" xfId="30871"/>
    <cellStyle name="Normal 2 7 2 3 2 3 3 2" xfId="45694"/>
    <cellStyle name="Normal 2 7 2 3 2 3 4" xfId="38368"/>
    <cellStyle name="Normal 2 7 2 3 2 3 5" xfId="23556"/>
    <cellStyle name="Normal 2 7 2 3 2 4" xfId="25373"/>
    <cellStyle name="Normal 2 7 2 3 2 4 2" xfId="32684"/>
    <cellStyle name="Normal 2 7 2 3 2 4 2 2" xfId="47507"/>
    <cellStyle name="Normal 2 7 2 3 2 4 3" xfId="40261"/>
    <cellStyle name="Normal 2 7 2 3 2 5" xfId="29030"/>
    <cellStyle name="Normal 2 7 2 3 2 5 2" xfId="43867"/>
    <cellStyle name="Normal 2 7 2 3 2 6" xfId="36154"/>
    <cellStyle name="Normal 2 7 2 3 2 7" xfId="21712"/>
    <cellStyle name="Normal 2 7 2 3 3" xfId="18290"/>
    <cellStyle name="Normal 2 7 2 3 3 2" xfId="20172"/>
    <cellStyle name="Normal 2 7 2 3 3 2 2" xfId="27498"/>
    <cellStyle name="Normal 2 7 2 3 3 2 2 2" xfId="34809"/>
    <cellStyle name="Normal 2 7 2 3 3 2 2 2 2" xfId="49629"/>
    <cellStyle name="Normal 2 7 2 3 3 2 2 3" xfId="42337"/>
    <cellStyle name="Normal 2 7 2 3 3 2 3" xfId="31155"/>
    <cellStyle name="Normal 2 7 2 3 3 2 3 2" xfId="45978"/>
    <cellStyle name="Normal 2 7 2 3 3 2 4" xfId="38653"/>
    <cellStyle name="Normal 2 7 2 3 3 2 5" xfId="23840"/>
    <cellStyle name="Normal 2 7 2 3 3 3" xfId="25672"/>
    <cellStyle name="Normal 2 7 2 3 3 3 2" xfId="32983"/>
    <cellStyle name="Normal 2 7 2 3 3 3 2 2" xfId="47803"/>
    <cellStyle name="Normal 2 7 2 3 3 3 3" xfId="40533"/>
    <cellStyle name="Normal 2 7 2 3 3 4" xfId="29329"/>
    <cellStyle name="Normal 2 7 2 3 3 4 2" xfId="44153"/>
    <cellStyle name="Normal 2 7 2 3 3 5" xfId="36930"/>
    <cellStyle name="Normal 2 7 2 3 3 6" xfId="22011"/>
    <cellStyle name="Normal 2 7 2 3 4" xfId="19394"/>
    <cellStyle name="Normal 2 7 2 3 4 2" xfId="26764"/>
    <cellStyle name="Normal 2 7 2 3 4 2 2" xfId="34075"/>
    <cellStyle name="Normal 2 7 2 3 4 2 2 2" xfId="48895"/>
    <cellStyle name="Normal 2 7 2 3 4 2 3" xfId="41604"/>
    <cellStyle name="Normal 2 7 2 3 4 3" xfId="30421"/>
    <cellStyle name="Normal 2 7 2 3 4 3 2" xfId="45244"/>
    <cellStyle name="Normal 2 7 2 3 4 4" xfId="37918"/>
    <cellStyle name="Normal 2 7 2 3 4 5" xfId="23106"/>
    <cellStyle name="Normal 2 7 2 3 5" xfId="24923"/>
    <cellStyle name="Normal 2 7 2 3 5 2" xfId="32234"/>
    <cellStyle name="Normal 2 7 2 3 5 2 2" xfId="47057"/>
    <cellStyle name="Normal 2 7 2 3 5 3" xfId="39818"/>
    <cellStyle name="Normal 2 7 2 3 6" xfId="28580"/>
    <cellStyle name="Normal 2 7 2 3 6 2" xfId="43417"/>
    <cellStyle name="Normal 2 7 2 3 7" xfId="35705"/>
    <cellStyle name="Normal 2 7 2 3 8" xfId="21262"/>
    <cellStyle name="Normal 2 7 2 4" xfId="17577"/>
    <cellStyle name="Normal 2 7 2 4 2" xfId="18691"/>
    <cellStyle name="Normal 2 7 2 4 2 2" xfId="20570"/>
    <cellStyle name="Normal 2 7 2 4 2 2 2" xfId="27896"/>
    <cellStyle name="Normal 2 7 2 4 2 2 2 2" xfId="35207"/>
    <cellStyle name="Normal 2 7 2 4 2 2 2 2 2" xfId="50027"/>
    <cellStyle name="Normal 2 7 2 4 2 2 2 3" xfId="42735"/>
    <cellStyle name="Normal 2 7 2 4 2 2 3" xfId="31553"/>
    <cellStyle name="Normal 2 7 2 4 2 2 3 2" xfId="46376"/>
    <cellStyle name="Normal 2 7 2 4 2 2 4" xfId="39051"/>
    <cellStyle name="Normal 2 7 2 4 2 2 5" xfId="24238"/>
    <cellStyle name="Normal 2 7 2 4 2 3" xfId="26070"/>
    <cellStyle name="Normal 2 7 2 4 2 3 2" xfId="33381"/>
    <cellStyle name="Normal 2 7 2 4 2 3 2 2" xfId="48201"/>
    <cellStyle name="Normal 2 7 2 4 2 3 3" xfId="40914"/>
    <cellStyle name="Normal 2 7 2 4 2 4" xfId="29727"/>
    <cellStyle name="Normal 2 7 2 4 2 4 2" xfId="44551"/>
    <cellStyle name="Normal 2 7 2 4 2 5" xfId="37328"/>
    <cellStyle name="Normal 2 7 2 4 2 6" xfId="22409"/>
    <cellStyle name="Normal 2 7 2 4 3" xfId="19621"/>
    <cellStyle name="Normal 2 7 2 4 3 2" xfId="26990"/>
    <cellStyle name="Normal 2 7 2 4 3 2 2" xfId="34301"/>
    <cellStyle name="Normal 2 7 2 4 3 2 2 2" xfId="49121"/>
    <cellStyle name="Normal 2 7 2 4 3 2 3" xfId="41830"/>
    <cellStyle name="Normal 2 7 2 4 3 3" xfId="30647"/>
    <cellStyle name="Normal 2 7 2 4 3 3 2" xfId="45470"/>
    <cellStyle name="Normal 2 7 2 4 3 4" xfId="38144"/>
    <cellStyle name="Normal 2 7 2 4 3 5" xfId="23332"/>
    <cellStyle name="Normal 2 7 2 4 4" xfId="25149"/>
    <cellStyle name="Normal 2 7 2 4 4 2" xfId="32460"/>
    <cellStyle name="Normal 2 7 2 4 4 2 2" xfId="47283"/>
    <cellStyle name="Normal 2 7 2 4 4 3" xfId="40043"/>
    <cellStyle name="Normal 2 7 2 4 5" xfId="28806"/>
    <cellStyle name="Normal 2 7 2 4 5 2" xfId="43643"/>
    <cellStyle name="Normal 2 7 2 4 6" xfId="36151"/>
    <cellStyle name="Normal 2 7 2 4 7" xfId="21488"/>
    <cellStyle name="Normal 2 7 2 5" xfId="18094"/>
    <cellStyle name="Normal 2 7 2 5 2" xfId="20169"/>
    <cellStyle name="Normal 2 7 2 5 2 2" xfId="27495"/>
    <cellStyle name="Normal 2 7 2 5 2 2 2" xfId="34806"/>
    <cellStyle name="Normal 2 7 2 5 2 2 2 2" xfId="49626"/>
    <cellStyle name="Normal 2 7 2 5 2 2 3" xfId="42334"/>
    <cellStyle name="Normal 2 7 2 5 2 3" xfId="31152"/>
    <cellStyle name="Normal 2 7 2 5 2 3 2" xfId="45975"/>
    <cellStyle name="Normal 2 7 2 5 2 4" xfId="38650"/>
    <cellStyle name="Normal 2 7 2 5 2 5" xfId="23837"/>
    <cellStyle name="Normal 2 7 2 5 3" xfId="25669"/>
    <cellStyle name="Normal 2 7 2 5 3 2" xfId="32980"/>
    <cellStyle name="Normal 2 7 2 5 3 2 2" xfId="47800"/>
    <cellStyle name="Normal 2 7 2 5 3 3" xfId="40530"/>
    <cellStyle name="Normal 2 7 2 5 4" xfId="29326"/>
    <cellStyle name="Normal 2 7 2 5 4 2" xfId="44150"/>
    <cellStyle name="Normal 2 7 2 5 5" xfId="36750"/>
    <cellStyle name="Normal 2 7 2 5 6" xfId="22008"/>
    <cellStyle name="Normal 2 7 2 6" xfId="18287"/>
    <cellStyle name="Normal 2 7 2 6 2" xfId="26544"/>
    <cellStyle name="Normal 2 7 2 6 2 2" xfId="33855"/>
    <cellStyle name="Normal 2 7 2 6 2 2 2" xfId="48675"/>
    <cellStyle name="Normal 2 7 2 6 2 3" xfId="41384"/>
    <cellStyle name="Normal 2 7 2 6 3" xfId="30201"/>
    <cellStyle name="Normal 2 7 2 6 3 2" xfId="45024"/>
    <cellStyle name="Normal 2 7 2 6 4" xfId="36927"/>
    <cellStyle name="Normal 2 7 2 6 5" xfId="22886"/>
    <cellStyle name="Normal 2 7 2 7" xfId="19173"/>
    <cellStyle name="Normal 2 7 2 7 2" xfId="32010"/>
    <cellStyle name="Normal 2 7 2 7 2 2" xfId="46833"/>
    <cellStyle name="Normal 2 7 2 7 3" xfId="37698"/>
    <cellStyle name="Normal 2 7 2 7 4" xfId="24699"/>
    <cellStyle name="Normal 2 7 2 8" xfId="28356"/>
    <cellStyle name="Normal 2 7 2 8 2" xfId="43193"/>
    <cellStyle name="Normal 2 7 2 8 3" xfId="36649"/>
    <cellStyle name="Normal 2 7 2 9" xfId="35702"/>
    <cellStyle name="Normal 2 7 3" xfId="17189"/>
    <cellStyle name="Normal 2 7 3 2" xfId="17407"/>
    <cellStyle name="Normal 2 7 3 2 2" xfId="17857"/>
    <cellStyle name="Normal 2 7 3 2 2 2" xfId="18971"/>
    <cellStyle name="Normal 2 7 3 2 2 2 2" xfId="20850"/>
    <cellStyle name="Normal 2 7 3 2 2 2 2 2" xfId="28176"/>
    <cellStyle name="Normal 2 7 3 2 2 2 2 2 2" xfId="35487"/>
    <cellStyle name="Normal 2 7 3 2 2 2 2 2 2 2" xfId="50307"/>
    <cellStyle name="Normal 2 7 3 2 2 2 2 2 3" xfId="43015"/>
    <cellStyle name="Normal 2 7 3 2 2 2 2 3" xfId="31833"/>
    <cellStyle name="Normal 2 7 3 2 2 2 2 3 2" xfId="46656"/>
    <cellStyle name="Normal 2 7 3 2 2 2 2 4" xfId="39331"/>
    <cellStyle name="Normal 2 7 3 2 2 2 2 5" xfId="24518"/>
    <cellStyle name="Normal 2 7 3 2 2 2 3" xfId="26350"/>
    <cellStyle name="Normal 2 7 3 2 2 2 3 2" xfId="33661"/>
    <cellStyle name="Normal 2 7 3 2 2 2 3 2 2" xfId="48481"/>
    <cellStyle name="Normal 2 7 3 2 2 2 3 3" xfId="41194"/>
    <cellStyle name="Normal 2 7 3 2 2 2 4" xfId="30007"/>
    <cellStyle name="Normal 2 7 3 2 2 2 4 2" xfId="44831"/>
    <cellStyle name="Normal 2 7 3 2 2 2 5" xfId="37576"/>
    <cellStyle name="Normal 2 7 3 2 2 2 6" xfId="22689"/>
    <cellStyle name="Normal 2 7 3 2 2 3" xfId="19901"/>
    <cellStyle name="Normal 2 7 3 2 2 3 2" xfId="27270"/>
    <cellStyle name="Normal 2 7 3 2 2 3 2 2" xfId="34581"/>
    <cellStyle name="Normal 2 7 3 2 2 3 2 2 2" xfId="49401"/>
    <cellStyle name="Normal 2 7 3 2 2 3 2 3" xfId="42110"/>
    <cellStyle name="Normal 2 7 3 2 2 3 3" xfId="30927"/>
    <cellStyle name="Normal 2 7 3 2 2 3 3 2" xfId="45750"/>
    <cellStyle name="Normal 2 7 3 2 2 3 4" xfId="38424"/>
    <cellStyle name="Normal 2 7 3 2 2 3 5" xfId="23612"/>
    <cellStyle name="Normal 2 7 3 2 2 4" xfId="25429"/>
    <cellStyle name="Normal 2 7 3 2 2 4 2" xfId="32740"/>
    <cellStyle name="Normal 2 7 3 2 2 4 2 2" xfId="47563"/>
    <cellStyle name="Normal 2 7 3 2 2 4 3" xfId="40317"/>
    <cellStyle name="Normal 2 7 3 2 2 5" xfId="29086"/>
    <cellStyle name="Normal 2 7 3 2 2 5 2" xfId="43923"/>
    <cellStyle name="Normal 2 7 3 2 2 6" xfId="36156"/>
    <cellStyle name="Normal 2 7 3 2 2 7" xfId="21768"/>
    <cellStyle name="Normal 2 7 3 2 3" xfId="18292"/>
    <cellStyle name="Normal 2 7 3 2 3 2" xfId="20174"/>
    <cellStyle name="Normal 2 7 3 2 3 2 2" xfId="27500"/>
    <cellStyle name="Normal 2 7 3 2 3 2 2 2" xfId="34811"/>
    <cellStyle name="Normal 2 7 3 2 3 2 2 2 2" xfId="49631"/>
    <cellStyle name="Normal 2 7 3 2 3 2 2 3" xfId="42339"/>
    <cellStyle name="Normal 2 7 3 2 3 2 3" xfId="31157"/>
    <cellStyle name="Normal 2 7 3 2 3 2 3 2" xfId="45980"/>
    <cellStyle name="Normal 2 7 3 2 3 2 4" xfId="38655"/>
    <cellStyle name="Normal 2 7 3 2 3 2 5" xfId="23842"/>
    <cellStyle name="Normal 2 7 3 2 3 3" xfId="25674"/>
    <cellStyle name="Normal 2 7 3 2 3 3 2" xfId="32985"/>
    <cellStyle name="Normal 2 7 3 2 3 3 2 2" xfId="47805"/>
    <cellStyle name="Normal 2 7 3 2 3 3 3" xfId="40535"/>
    <cellStyle name="Normal 2 7 3 2 3 4" xfId="29331"/>
    <cellStyle name="Normal 2 7 3 2 3 4 2" xfId="44155"/>
    <cellStyle name="Normal 2 7 3 2 3 5" xfId="36932"/>
    <cellStyle name="Normal 2 7 3 2 3 6" xfId="22013"/>
    <cellStyle name="Normal 2 7 3 2 4" xfId="19450"/>
    <cellStyle name="Normal 2 7 3 2 4 2" xfId="26820"/>
    <cellStyle name="Normal 2 7 3 2 4 2 2" xfId="34131"/>
    <cellStyle name="Normal 2 7 3 2 4 2 2 2" xfId="48951"/>
    <cellStyle name="Normal 2 7 3 2 4 2 3" xfId="41660"/>
    <cellStyle name="Normal 2 7 3 2 4 3" xfId="30477"/>
    <cellStyle name="Normal 2 7 3 2 4 3 2" xfId="45300"/>
    <cellStyle name="Normal 2 7 3 2 4 4" xfId="37974"/>
    <cellStyle name="Normal 2 7 3 2 4 5" xfId="23162"/>
    <cellStyle name="Normal 2 7 3 2 5" xfId="24979"/>
    <cellStyle name="Normal 2 7 3 2 5 2" xfId="32290"/>
    <cellStyle name="Normal 2 7 3 2 5 2 2" xfId="47113"/>
    <cellStyle name="Normal 2 7 3 2 5 3" xfId="39874"/>
    <cellStyle name="Normal 2 7 3 2 6" xfId="28636"/>
    <cellStyle name="Normal 2 7 3 2 6 2" xfId="43473"/>
    <cellStyle name="Normal 2 7 3 2 7" xfId="35707"/>
    <cellStyle name="Normal 2 7 3 2 8" xfId="21318"/>
    <cellStyle name="Normal 2 7 3 3" xfId="17633"/>
    <cellStyle name="Normal 2 7 3 3 2" xfId="18747"/>
    <cellStyle name="Normal 2 7 3 3 2 2" xfId="20626"/>
    <cellStyle name="Normal 2 7 3 3 2 2 2" xfId="27952"/>
    <cellStyle name="Normal 2 7 3 3 2 2 2 2" xfId="35263"/>
    <cellStyle name="Normal 2 7 3 3 2 2 2 2 2" xfId="50083"/>
    <cellStyle name="Normal 2 7 3 3 2 2 2 3" xfId="42791"/>
    <cellStyle name="Normal 2 7 3 3 2 2 3" xfId="31609"/>
    <cellStyle name="Normal 2 7 3 3 2 2 3 2" xfId="46432"/>
    <cellStyle name="Normal 2 7 3 3 2 2 4" xfId="39107"/>
    <cellStyle name="Normal 2 7 3 3 2 2 5" xfId="24294"/>
    <cellStyle name="Normal 2 7 3 3 2 3" xfId="26126"/>
    <cellStyle name="Normal 2 7 3 3 2 3 2" xfId="33437"/>
    <cellStyle name="Normal 2 7 3 3 2 3 2 2" xfId="48257"/>
    <cellStyle name="Normal 2 7 3 3 2 3 3" xfId="40970"/>
    <cellStyle name="Normal 2 7 3 3 2 4" xfId="29783"/>
    <cellStyle name="Normal 2 7 3 3 2 4 2" xfId="44607"/>
    <cellStyle name="Normal 2 7 3 3 2 5" xfId="37384"/>
    <cellStyle name="Normal 2 7 3 3 2 6" xfId="22465"/>
    <cellStyle name="Normal 2 7 3 3 3" xfId="19677"/>
    <cellStyle name="Normal 2 7 3 3 3 2" xfId="27046"/>
    <cellStyle name="Normal 2 7 3 3 3 2 2" xfId="34357"/>
    <cellStyle name="Normal 2 7 3 3 3 2 2 2" xfId="49177"/>
    <cellStyle name="Normal 2 7 3 3 3 2 3" xfId="41886"/>
    <cellStyle name="Normal 2 7 3 3 3 3" xfId="30703"/>
    <cellStyle name="Normal 2 7 3 3 3 3 2" xfId="45526"/>
    <cellStyle name="Normal 2 7 3 3 3 4" xfId="38200"/>
    <cellStyle name="Normal 2 7 3 3 3 5" xfId="23388"/>
    <cellStyle name="Normal 2 7 3 3 4" xfId="25205"/>
    <cellStyle name="Normal 2 7 3 3 4 2" xfId="32516"/>
    <cellStyle name="Normal 2 7 3 3 4 2 2" xfId="47339"/>
    <cellStyle name="Normal 2 7 3 3 4 3" xfId="40097"/>
    <cellStyle name="Normal 2 7 3 3 5" xfId="28862"/>
    <cellStyle name="Normal 2 7 3 3 5 2" xfId="43699"/>
    <cellStyle name="Normal 2 7 3 3 6" xfId="36155"/>
    <cellStyle name="Normal 2 7 3 3 7" xfId="21544"/>
    <cellStyle name="Normal 2 7 3 4" xfId="18291"/>
    <cellStyle name="Normal 2 7 3 4 2" xfId="20173"/>
    <cellStyle name="Normal 2 7 3 4 2 2" xfId="27499"/>
    <cellStyle name="Normal 2 7 3 4 2 2 2" xfId="34810"/>
    <cellStyle name="Normal 2 7 3 4 2 2 2 2" xfId="49630"/>
    <cellStyle name="Normal 2 7 3 4 2 2 3" xfId="42338"/>
    <cellStyle name="Normal 2 7 3 4 2 3" xfId="31156"/>
    <cellStyle name="Normal 2 7 3 4 2 3 2" xfId="45979"/>
    <cellStyle name="Normal 2 7 3 4 2 4" xfId="38654"/>
    <cellStyle name="Normal 2 7 3 4 2 5" xfId="23841"/>
    <cellStyle name="Normal 2 7 3 4 3" xfId="25673"/>
    <cellStyle name="Normal 2 7 3 4 3 2" xfId="32984"/>
    <cellStyle name="Normal 2 7 3 4 3 2 2" xfId="47804"/>
    <cellStyle name="Normal 2 7 3 4 3 3" xfId="40534"/>
    <cellStyle name="Normal 2 7 3 4 4" xfId="29330"/>
    <cellStyle name="Normal 2 7 3 4 4 2" xfId="44154"/>
    <cellStyle name="Normal 2 7 3 4 5" xfId="36931"/>
    <cellStyle name="Normal 2 7 3 4 6" xfId="22012"/>
    <cellStyle name="Normal 2 7 3 5" xfId="19228"/>
    <cellStyle name="Normal 2 7 3 5 2" xfId="26598"/>
    <cellStyle name="Normal 2 7 3 5 2 2" xfId="33909"/>
    <cellStyle name="Normal 2 7 3 5 2 2 2" xfId="48729"/>
    <cellStyle name="Normal 2 7 3 5 2 3" xfId="41438"/>
    <cellStyle name="Normal 2 7 3 5 3" xfId="30255"/>
    <cellStyle name="Normal 2 7 3 5 3 2" xfId="45078"/>
    <cellStyle name="Normal 2 7 3 5 4" xfId="37752"/>
    <cellStyle name="Normal 2 7 3 5 5" xfId="22940"/>
    <cellStyle name="Normal 2 7 3 6" xfId="24755"/>
    <cellStyle name="Normal 2 7 3 6 2" xfId="32066"/>
    <cellStyle name="Normal 2 7 3 6 2 2" xfId="46889"/>
    <cellStyle name="Normal 2 7 3 6 3" xfId="39657"/>
    <cellStyle name="Normal 2 7 3 7" xfId="28412"/>
    <cellStyle name="Normal 2 7 3 7 2" xfId="43249"/>
    <cellStyle name="Normal 2 7 3 8" xfId="35706"/>
    <cellStyle name="Normal 2 7 3 9" xfId="21094"/>
    <cellStyle name="Normal 2 7 4" xfId="17290"/>
    <cellStyle name="Normal 2 7 4 2" xfId="17745"/>
    <cellStyle name="Normal 2 7 4 2 2" xfId="18859"/>
    <cellStyle name="Normal 2 7 4 2 2 2" xfId="20738"/>
    <cellStyle name="Normal 2 7 4 2 2 2 2" xfId="28064"/>
    <cellStyle name="Normal 2 7 4 2 2 2 2 2" xfId="35375"/>
    <cellStyle name="Normal 2 7 4 2 2 2 2 2 2" xfId="50195"/>
    <cellStyle name="Normal 2 7 4 2 2 2 2 3" xfId="42903"/>
    <cellStyle name="Normal 2 7 4 2 2 2 3" xfId="31721"/>
    <cellStyle name="Normal 2 7 4 2 2 2 3 2" xfId="46544"/>
    <cellStyle name="Normal 2 7 4 2 2 2 4" xfId="39219"/>
    <cellStyle name="Normal 2 7 4 2 2 2 5" xfId="24406"/>
    <cellStyle name="Normal 2 7 4 2 2 3" xfId="26238"/>
    <cellStyle name="Normal 2 7 4 2 2 3 2" xfId="33549"/>
    <cellStyle name="Normal 2 7 4 2 2 3 2 2" xfId="48369"/>
    <cellStyle name="Normal 2 7 4 2 2 3 3" xfId="41082"/>
    <cellStyle name="Normal 2 7 4 2 2 4" xfId="29895"/>
    <cellStyle name="Normal 2 7 4 2 2 4 2" xfId="44719"/>
    <cellStyle name="Normal 2 7 4 2 2 5" xfId="37495"/>
    <cellStyle name="Normal 2 7 4 2 2 6" xfId="22577"/>
    <cellStyle name="Normal 2 7 4 2 3" xfId="19789"/>
    <cellStyle name="Normal 2 7 4 2 3 2" xfId="27158"/>
    <cellStyle name="Normal 2 7 4 2 3 2 2" xfId="34469"/>
    <cellStyle name="Normal 2 7 4 2 3 2 2 2" xfId="49289"/>
    <cellStyle name="Normal 2 7 4 2 3 2 3" xfId="41998"/>
    <cellStyle name="Normal 2 7 4 2 3 3" xfId="30815"/>
    <cellStyle name="Normal 2 7 4 2 3 3 2" xfId="45638"/>
    <cellStyle name="Normal 2 7 4 2 3 4" xfId="38312"/>
    <cellStyle name="Normal 2 7 4 2 3 5" xfId="23500"/>
    <cellStyle name="Normal 2 7 4 2 4" xfId="25317"/>
    <cellStyle name="Normal 2 7 4 2 4 2" xfId="32628"/>
    <cellStyle name="Normal 2 7 4 2 4 2 2" xfId="47451"/>
    <cellStyle name="Normal 2 7 4 2 4 3" xfId="40206"/>
    <cellStyle name="Normal 2 7 4 2 5" xfId="28974"/>
    <cellStyle name="Normal 2 7 4 2 5 2" xfId="43811"/>
    <cellStyle name="Normal 2 7 4 2 6" xfId="36157"/>
    <cellStyle name="Normal 2 7 4 2 7" xfId="21656"/>
    <cellStyle name="Normal 2 7 4 3" xfId="18293"/>
    <cellStyle name="Normal 2 7 4 3 2" xfId="20175"/>
    <cellStyle name="Normal 2 7 4 3 2 2" xfId="27501"/>
    <cellStyle name="Normal 2 7 4 3 2 2 2" xfId="34812"/>
    <cellStyle name="Normal 2 7 4 3 2 2 2 2" xfId="49632"/>
    <cellStyle name="Normal 2 7 4 3 2 2 3" xfId="42340"/>
    <cellStyle name="Normal 2 7 4 3 2 3" xfId="31158"/>
    <cellStyle name="Normal 2 7 4 3 2 3 2" xfId="45981"/>
    <cellStyle name="Normal 2 7 4 3 2 4" xfId="38656"/>
    <cellStyle name="Normal 2 7 4 3 2 5" xfId="23843"/>
    <cellStyle name="Normal 2 7 4 3 3" xfId="25675"/>
    <cellStyle name="Normal 2 7 4 3 3 2" xfId="32986"/>
    <cellStyle name="Normal 2 7 4 3 3 2 2" xfId="47806"/>
    <cellStyle name="Normal 2 7 4 3 3 3" xfId="40536"/>
    <cellStyle name="Normal 2 7 4 3 4" xfId="29332"/>
    <cellStyle name="Normal 2 7 4 3 4 2" xfId="44156"/>
    <cellStyle name="Normal 2 7 4 3 5" xfId="36933"/>
    <cellStyle name="Normal 2 7 4 3 6" xfId="22014"/>
    <cellStyle name="Normal 2 7 4 4" xfId="19338"/>
    <cellStyle name="Normal 2 7 4 4 2" xfId="26708"/>
    <cellStyle name="Normal 2 7 4 4 2 2" xfId="34019"/>
    <cellStyle name="Normal 2 7 4 4 2 2 2" xfId="48839"/>
    <cellStyle name="Normal 2 7 4 4 2 3" xfId="41548"/>
    <cellStyle name="Normal 2 7 4 4 3" xfId="30365"/>
    <cellStyle name="Normal 2 7 4 4 3 2" xfId="45188"/>
    <cellStyle name="Normal 2 7 4 4 4" xfId="37862"/>
    <cellStyle name="Normal 2 7 4 4 5" xfId="23050"/>
    <cellStyle name="Normal 2 7 4 5" xfId="24867"/>
    <cellStyle name="Normal 2 7 4 5 2" xfId="32178"/>
    <cellStyle name="Normal 2 7 4 5 2 2" xfId="47001"/>
    <cellStyle name="Normal 2 7 4 5 3" xfId="39763"/>
    <cellStyle name="Normal 2 7 4 6" xfId="28524"/>
    <cellStyle name="Normal 2 7 4 6 2" xfId="43361"/>
    <cellStyle name="Normal 2 7 4 7" xfId="35708"/>
    <cellStyle name="Normal 2 7 4 8" xfId="21206"/>
    <cellStyle name="Normal 2 7 5" xfId="17521"/>
    <cellStyle name="Normal 2 7 5 2" xfId="18635"/>
    <cellStyle name="Normal 2 7 5 2 2" xfId="20514"/>
    <cellStyle name="Normal 2 7 5 2 2 2" xfId="27840"/>
    <cellStyle name="Normal 2 7 5 2 2 2 2" xfId="35151"/>
    <cellStyle name="Normal 2 7 5 2 2 2 2 2" xfId="49971"/>
    <cellStyle name="Normal 2 7 5 2 2 2 3" xfId="42679"/>
    <cellStyle name="Normal 2 7 5 2 2 3" xfId="31497"/>
    <cellStyle name="Normal 2 7 5 2 2 3 2" xfId="46320"/>
    <cellStyle name="Normal 2 7 5 2 2 4" xfId="38995"/>
    <cellStyle name="Normal 2 7 5 2 2 5" xfId="24182"/>
    <cellStyle name="Normal 2 7 5 2 3" xfId="26014"/>
    <cellStyle name="Normal 2 7 5 2 3 2" xfId="33325"/>
    <cellStyle name="Normal 2 7 5 2 3 2 2" xfId="48145"/>
    <cellStyle name="Normal 2 7 5 2 3 3" xfId="40858"/>
    <cellStyle name="Normal 2 7 5 2 4" xfId="29671"/>
    <cellStyle name="Normal 2 7 5 2 4 2" xfId="44495"/>
    <cellStyle name="Normal 2 7 5 2 5" xfId="37272"/>
    <cellStyle name="Normal 2 7 5 2 6" xfId="22353"/>
    <cellStyle name="Normal 2 7 5 3" xfId="19565"/>
    <cellStyle name="Normal 2 7 5 3 2" xfId="26934"/>
    <cellStyle name="Normal 2 7 5 3 2 2" xfId="34245"/>
    <cellStyle name="Normal 2 7 5 3 2 2 2" xfId="49065"/>
    <cellStyle name="Normal 2 7 5 3 2 3" xfId="41774"/>
    <cellStyle name="Normal 2 7 5 3 3" xfId="30591"/>
    <cellStyle name="Normal 2 7 5 3 3 2" xfId="45414"/>
    <cellStyle name="Normal 2 7 5 3 4" xfId="38088"/>
    <cellStyle name="Normal 2 7 5 3 5" xfId="23276"/>
    <cellStyle name="Normal 2 7 5 4" xfId="25093"/>
    <cellStyle name="Normal 2 7 5 4 2" xfId="32404"/>
    <cellStyle name="Normal 2 7 5 4 2 2" xfId="47227"/>
    <cellStyle name="Normal 2 7 5 4 3" xfId="39988"/>
    <cellStyle name="Normal 2 7 5 5" xfId="28750"/>
    <cellStyle name="Normal 2 7 5 5 2" xfId="43587"/>
    <cellStyle name="Normal 2 7 5 6" xfId="36150"/>
    <cellStyle name="Normal 2 7 5 7" xfId="21432"/>
    <cellStyle name="Normal 2 7 6" xfId="17964"/>
    <cellStyle name="Normal 2 7 6 2" xfId="18286"/>
    <cellStyle name="Normal 2 7 6 2 2" xfId="27494"/>
    <cellStyle name="Normal 2 7 6 2 2 2" xfId="34805"/>
    <cellStyle name="Normal 2 7 6 2 2 2 2" xfId="49625"/>
    <cellStyle name="Normal 2 7 6 2 2 3" xfId="42333"/>
    <cellStyle name="Normal 2 7 6 2 3" xfId="31151"/>
    <cellStyle name="Normal 2 7 6 2 3 2" xfId="45974"/>
    <cellStyle name="Normal 2 7 6 2 4" xfId="36926"/>
    <cellStyle name="Normal 2 7 6 2 5" xfId="23836"/>
    <cellStyle name="Normal 2 7 6 3" xfId="20168"/>
    <cellStyle name="Normal 2 7 6 3 2" xfId="32979"/>
    <cellStyle name="Normal 2 7 6 3 2 2" xfId="47799"/>
    <cellStyle name="Normal 2 7 6 3 3" xfId="38649"/>
    <cellStyle name="Normal 2 7 6 3 4" xfId="25668"/>
    <cellStyle name="Normal 2 7 6 4" xfId="29325"/>
    <cellStyle name="Normal 2 7 6 4 2" xfId="44149"/>
    <cellStyle name="Normal 2 7 6 5" xfId="36692"/>
    <cellStyle name="Normal 2 7 6 6" xfId="22007"/>
    <cellStyle name="Normal 2 7 7" xfId="20003"/>
    <cellStyle name="Normal 2 7 8" xfId="19118"/>
    <cellStyle name="Normal 2 7 8 2" xfId="26491"/>
    <cellStyle name="Normal 2 7 8 2 2" xfId="33802"/>
    <cellStyle name="Normal 2 7 8 2 2 2" xfId="48622"/>
    <cellStyle name="Normal 2 7 8 2 3" xfId="41331"/>
    <cellStyle name="Normal 2 7 8 3" xfId="30148"/>
    <cellStyle name="Normal 2 7 8 3 2" xfId="44971"/>
    <cellStyle name="Normal 2 7 8 4" xfId="37645"/>
    <cellStyle name="Normal 2 7 8 5" xfId="22833"/>
    <cellStyle name="Normal 2 7 9" xfId="24643"/>
    <cellStyle name="Normal 2 7 9 2" xfId="31954"/>
    <cellStyle name="Normal 2 7 9 2 2" xfId="46777"/>
    <cellStyle name="Normal 2 7 9 3" xfId="39565"/>
    <cellStyle name="Normal 2 7 9 4" xfId="36501"/>
    <cellStyle name="Normal 2 8" xfId="13958"/>
    <cellStyle name="Normal 2 8 10" xfId="35709"/>
    <cellStyle name="Normal 2 8 11" xfId="21010"/>
    <cellStyle name="Normal 2 8 2" xfId="17435"/>
    <cellStyle name="Normal 2 8 2 2" xfId="17885"/>
    <cellStyle name="Normal 2 8 2 2 2" xfId="18999"/>
    <cellStyle name="Normal 2 8 2 2 2 2" xfId="20878"/>
    <cellStyle name="Normal 2 8 2 2 2 2 2" xfId="24546"/>
    <cellStyle name="Normal 2 8 2 2 2 2 2 2" xfId="28204"/>
    <cellStyle name="Normal 2 8 2 2 2 2 2 2 2" xfId="35515"/>
    <cellStyle name="Normal 2 8 2 2 2 2 2 2 2 2" xfId="50335"/>
    <cellStyle name="Normal 2 8 2 2 2 2 2 2 3" xfId="43043"/>
    <cellStyle name="Normal 2 8 2 2 2 2 2 3" xfId="31861"/>
    <cellStyle name="Normal 2 8 2 2 2 2 2 3 2" xfId="46684"/>
    <cellStyle name="Normal 2 8 2 2 2 2 2 4" xfId="39481"/>
    <cellStyle name="Normal 2 8 2 2 2 2 3" xfId="26378"/>
    <cellStyle name="Normal 2 8 2 2 2 2 3 2" xfId="33689"/>
    <cellStyle name="Normal 2 8 2 2 2 2 3 2 2" xfId="48509"/>
    <cellStyle name="Normal 2 8 2 2 2 2 3 3" xfId="41222"/>
    <cellStyle name="Normal 2 8 2 2 2 2 4" xfId="30035"/>
    <cellStyle name="Normal 2 8 2 2 2 2 4 2" xfId="44859"/>
    <cellStyle name="Normal 2 8 2 2 2 2 5" xfId="39359"/>
    <cellStyle name="Normal 2 8 2 2 2 2 6" xfId="22717"/>
    <cellStyle name="Normal 2 8 2 2 2 3" xfId="19929"/>
    <cellStyle name="Normal 2 8 2 2 2 3 2" xfId="27298"/>
    <cellStyle name="Normal 2 8 2 2 2 3 2 2" xfId="34609"/>
    <cellStyle name="Normal 2 8 2 2 2 3 2 2 2" xfId="49429"/>
    <cellStyle name="Normal 2 8 2 2 2 3 2 3" xfId="42138"/>
    <cellStyle name="Normal 2 8 2 2 2 3 3" xfId="30955"/>
    <cellStyle name="Normal 2 8 2 2 2 3 3 2" xfId="45778"/>
    <cellStyle name="Normal 2 8 2 2 2 3 4" xfId="38452"/>
    <cellStyle name="Normal 2 8 2 2 2 3 5" xfId="23640"/>
    <cellStyle name="Normal 2 8 2 2 2 4" xfId="25457"/>
    <cellStyle name="Normal 2 8 2 2 2 4 2" xfId="32768"/>
    <cellStyle name="Normal 2 8 2 2 2 4 2 2" xfId="47591"/>
    <cellStyle name="Normal 2 8 2 2 2 4 3" xfId="40345"/>
    <cellStyle name="Normal 2 8 2 2 2 5" xfId="29114"/>
    <cellStyle name="Normal 2 8 2 2 2 5 2" xfId="43951"/>
    <cellStyle name="Normal 2 8 2 2 2 6" xfId="36160"/>
    <cellStyle name="Normal 2 8 2 2 2 7" xfId="21796"/>
    <cellStyle name="Normal 2 8 2 2 3" xfId="18296"/>
    <cellStyle name="Normal 2 8 2 2 3 2" xfId="20178"/>
    <cellStyle name="Normal 2 8 2 2 3 2 2" xfId="27504"/>
    <cellStyle name="Normal 2 8 2 2 3 2 2 2" xfId="34815"/>
    <cellStyle name="Normal 2 8 2 2 3 2 2 2 2" xfId="49635"/>
    <cellStyle name="Normal 2 8 2 2 3 2 2 3" xfId="42343"/>
    <cellStyle name="Normal 2 8 2 2 3 2 3" xfId="31161"/>
    <cellStyle name="Normal 2 8 2 2 3 2 3 2" xfId="45984"/>
    <cellStyle name="Normal 2 8 2 2 3 2 4" xfId="38659"/>
    <cellStyle name="Normal 2 8 2 2 3 2 5" xfId="23846"/>
    <cellStyle name="Normal 2 8 2 2 3 3" xfId="25678"/>
    <cellStyle name="Normal 2 8 2 2 3 3 2" xfId="32989"/>
    <cellStyle name="Normal 2 8 2 2 3 3 2 2" xfId="47809"/>
    <cellStyle name="Normal 2 8 2 2 3 3 3" xfId="40538"/>
    <cellStyle name="Normal 2 8 2 2 3 4" xfId="29335"/>
    <cellStyle name="Normal 2 8 2 2 3 4 2" xfId="44159"/>
    <cellStyle name="Normal 2 8 2 2 3 5" xfId="36936"/>
    <cellStyle name="Normal 2 8 2 2 3 6" xfId="22017"/>
    <cellStyle name="Normal 2 8 2 2 4" xfId="19478"/>
    <cellStyle name="Normal 2 8 2 2 4 2" xfId="26848"/>
    <cellStyle name="Normal 2 8 2 2 4 2 2" xfId="34159"/>
    <cellStyle name="Normal 2 8 2 2 4 2 2 2" xfId="48979"/>
    <cellStyle name="Normal 2 8 2 2 4 2 3" xfId="41688"/>
    <cellStyle name="Normal 2 8 2 2 4 3" xfId="30505"/>
    <cellStyle name="Normal 2 8 2 2 4 3 2" xfId="45328"/>
    <cellStyle name="Normal 2 8 2 2 4 4" xfId="38002"/>
    <cellStyle name="Normal 2 8 2 2 4 5" xfId="23190"/>
    <cellStyle name="Normal 2 8 2 2 5" xfId="25007"/>
    <cellStyle name="Normal 2 8 2 2 5 2" xfId="32318"/>
    <cellStyle name="Normal 2 8 2 2 5 2 2" xfId="47141"/>
    <cellStyle name="Normal 2 8 2 2 5 3" xfId="39902"/>
    <cellStyle name="Normal 2 8 2 2 6" xfId="28664"/>
    <cellStyle name="Normal 2 8 2 2 6 2" xfId="43501"/>
    <cellStyle name="Normal 2 8 2 2 7" xfId="35711"/>
    <cellStyle name="Normal 2 8 2 2 8" xfId="21346"/>
    <cellStyle name="Normal 2 8 2 3" xfId="17661"/>
    <cellStyle name="Normal 2 8 2 3 2" xfId="18775"/>
    <cellStyle name="Normal 2 8 2 3 2 2" xfId="20654"/>
    <cellStyle name="Normal 2 8 2 3 2 2 2" xfId="27980"/>
    <cellStyle name="Normal 2 8 2 3 2 2 2 2" xfId="35291"/>
    <cellStyle name="Normal 2 8 2 3 2 2 2 2 2" xfId="50111"/>
    <cellStyle name="Normal 2 8 2 3 2 2 2 3" xfId="42819"/>
    <cellStyle name="Normal 2 8 2 3 2 2 3" xfId="31637"/>
    <cellStyle name="Normal 2 8 2 3 2 2 3 2" xfId="46460"/>
    <cellStyle name="Normal 2 8 2 3 2 2 4" xfId="39135"/>
    <cellStyle name="Normal 2 8 2 3 2 2 5" xfId="24322"/>
    <cellStyle name="Normal 2 8 2 3 2 3" xfId="26154"/>
    <cellStyle name="Normal 2 8 2 3 2 3 2" xfId="33465"/>
    <cellStyle name="Normal 2 8 2 3 2 3 2 2" xfId="48285"/>
    <cellStyle name="Normal 2 8 2 3 2 3 3" xfId="40998"/>
    <cellStyle name="Normal 2 8 2 3 2 4" xfId="29811"/>
    <cellStyle name="Normal 2 8 2 3 2 4 2" xfId="44635"/>
    <cellStyle name="Normal 2 8 2 3 2 5" xfId="37412"/>
    <cellStyle name="Normal 2 8 2 3 2 6" xfId="22493"/>
    <cellStyle name="Normal 2 8 2 3 3" xfId="19705"/>
    <cellStyle name="Normal 2 8 2 3 3 2" xfId="27074"/>
    <cellStyle name="Normal 2 8 2 3 3 2 2" xfId="34385"/>
    <cellStyle name="Normal 2 8 2 3 3 2 2 2" xfId="49205"/>
    <cellStyle name="Normal 2 8 2 3 3 2 3" xfId="41914"/>
    <cellStyle name="Normal 2 8 2 3 3 3" xfId="30731"/>
    <cellStyle name="Normal 2 8 2 3 3 3 2" xfId="45554"/>
    <cellStyle name="Normal 2 8 2 3 3 4" xfId="38228"/>
    <cellStyle name="Normal 2 8 2 3 3 5" xfId="23416"/>
    <cellStyle name="Normal 2 8 2 3 4" xfId="25233"/>
    <cellStyle name="Normal 2 8 2 3 4 2" xfId="32544"/>
    <cellStyle name="Normal 2 8 2 3 4 2 2" xfId="47367"/>
    <cellStyle name="Normal 2 8 2 3 4 3" xfId="40125"/>
    <cellStyle name="Normal 2 8 2 3 5" xfId="28890"/>
    <cellStyle name="Normal 2 8 2 3 5 2" xfId="43727"/>
    <cellStyle name="Normal 2 8 2 3 6" xfId="36159"/>
    <cellStyle name="Normal 2 8 2 3 7" xfId="21572"/>
    <cellStyle name="Normal 2 8 2 4" xfId="18295"/>
    <cellStyle name="Normal 2 8 2 4 2" xfId="20177"/>
    <cellStyle name="Normal 2 8 2 4 2 2" xfId="27503"/>
    <cellStyle name="Normal 2 8 2 4 2 2 2" xfId="34814"/>
    <cellStyle name="Normal 2 8 2 4 2 2 2 2" xfId="49634"/>
    <cellStyle name="Normal 2 8 2 4 2 2 3" xfId="42342"/>
    <cellStyle name="Normal 2 8 2 4 2 3" xfId="31160"/>
    <cellStyle name="Normal 2 8 2 4 2 3 2" xfId="45983"/>
    <cellStyle name="Normal 2 8 2 4 2 4" xfId="38658"/>
    <cellStyle name="Normal 2 8 2 4 2 5" xfId="23845"/>
    <cellStyle name="Normal 2 8 2 4 3" xfId="25677"/>
    <cellStyle name="Normal 2 8 2 4 3 2" xfId="32988"/>
    <cellStyle name="Normal 2 8 2 4 3 2 2" xfId="47808"/>
    <cellStyle name="Normal 2 8 2 4 3 3" xfId="40537"/>
    <cellStyle name="Normal 2 8 2 4 4" xfId="29334"/>
    <cellStyle name="Normal 2 8 2 4 4 2" xfId="44158"/>
    <cellStyle name="Normal 2 8 2 4 5" xfId="36935"/>
    <cellStyle name="Normal 2 8 2 4 6" xfId="22016"/>
    <cellStyle name="Normal 2 8 2 5" xfId="19255"/>
    <cellStyle name="Normal 2 8 2 5 2" xfId="26625"/>
    <cellStyle name="Normal 2 8 2 5 2 2" xfId="33936"/>
    <cellStyle name="Normal 2 8 2 5 2 2 2" xfId="48756"/>
    <cellStyle name="Normal 2 8 2 5 2 3" xfId="41465"/>
    <cellStyle name="Normal 2 8 2 5 3" xfId="30282"/>
    <cellStyle name="Normal 2 8 2 5 3 2" xfId="45105"/>
    <cellStyle name="Normal 2 8 2 5 4" xfId="37779"/>
    <cellStyle name="Normal 2 8 2 5 5" xfId="22967"/>
    <cellStyle name="Normal 2 8 2 6" xfId="24783"/>
    <cellStyle name="Normal 2 8 2 6 2" xfId="32094"/>
    <cellStyle name="Normal 2 8 2 6 2 2" xfId="46917"/>
    <cellStyle name="Normal 2 8 2 6 3" xfId="39684"/>
    <cellStyle name="Normal 2 8 2 7" xfId="28440"/>
    <cellStyle name="Normal 2 8 2 7 2" xfId="43277"/>
    <cellStyle name="Normal 2 8 2 8" xfId="35710"/>
    <cellStyle name="Normal 2 8 2 9" xfId="21122"/>
    <cellStyle name="Normal 2 8 3" xfId="17319"/>
    <cellStyle name="Normal 2 8 3 2" xfId="17773"/>
    <cellStyle name="Normal 2 8 3 2 2" xfId="18887"/>
    <cellStyle name="Normal 2 8 3 2 2 2" xfId="20766"/>
    <cellStyle name="Normal 2 8 3 2 2 2 2" xfId="28092"/>
    <cellStyle name="Normal 2 8 3 2 2 2 2 2" xfId="35403"/>
    <cellStyle name="Normal 2 8 3 2 2 2 2 2 2" xfId="50223"/>
    <cellStyle name="Normal 2 8 3 2 2 2 2 3" xfId="42931"/>
    <cellStyle name="Normal 2 8 3 2 2 2 3" xfId="31749"/>
    <cellStyle name="Normal 2 8 3 2 2 2 3 2" xfId="46572"/>
    <cellStyle name="Normal 2 8 3 2 2 2 4" xfId="39247"/>
    <cellStyle name="Normal 2 8 3 2 2 2 5" xfId="24434"/>
    <cellStyle name="Normal 2 8 3 2 2 3" xfId="26266"/>
    <cellStyle name="Normal 2 8 3 2 2 3 2" xfId="33577"/>
    <cellStyle name="Normal 2 8 3 2 2 3 2 2" xfId="48397"/>
    <cellStyle name="Normal 2 8 3 2 2 3 3" xfId="41110"/>
    <cellStyle name="Normal 2 8 3 2 2 4" xfId="29923"/>
    <cellStyle name="Normal 2 8 3 2 2 4 2" xfId="44747"/>
    <cellStyle name="Normal 2 8 3 2 2 5" xfId="37523"/>
    <cellStyle name="Normal 2 8 3 2 2 6" xfId="22605"/>
    <cellStyle name="Normal 2 8 3 2 3" xfId="19817"/>
    <cellStyle name="Normal 2 8 3 2 3 2" xfId="27186"/>
    <cellStyle name="Normal 2 8 3 2 3 2 2" xfId="34497"/>
    <cellStyle name="Normal 2 8 3 2 3 2 2 2" xfId="49317"/>
    <cellStyle name="Normal 2 8 3 2 3 2 3" xfId="42026"/>
    <cellStyle name="Normal 2 8 3 2 3 3" xfId="30843"/>
    <cellStyle name="Normal 2 8 3 2 3 3 2" xfId="45666"/>
    <cellStyle name="Normal 2 8 3 2 3 4" xfId="38340"/>
    <cellStyle name="Normal 2 8 3 2 3 5" xfId="23528"/>
    <cellStyle name="Normal 2 8 3 2 4" xfId="25345"/>
    <cellStyle name="Normal 2 8 3 2 4 2" xfId="32656"/>
    <cellStyle name="Normal 2 8 3 2 4 2 2" xfId="47479"/>
    <cellStyle name="Normal 2 8 3 2 4 3" xfId="40233"/>
    <cellStyle name="Normal 2 8 3 2 5" xfId="29002"/>
    <cellStyle name="Normal 2 8 3 2 5 2" xfId="43839"/>
    <cellStyle name="Normal 2 8 3 2 6" xfId="36161"/>
    <cellStyle name="Normal 2 8 3 2 7" xfId="21684"/>
    <cellStyle name="Normal 2 8 3 3" xfId="18297"/>
    <cellStyle name="Normal 2 8 3 3 2" xfId="20179"/>
    <cellStyle name="Normal 2 8 3 3 2 2" xfId="27505"/>
    <cellStyle name="Normal 2 8 3 3 2 2 2" xfId="34816"/>
    <cellStyle name="Normal 2 8 3 3 2 2 2 2" xfId="49636"/>
    <cellStyle name="Normal 2 8 3 3 2 2 3" xfId="42344"/>
    <cellStyle name="Normal 2 8 3 3 2 3" xfId="31162"/>
    <cellStyle name="Normal 2 8 3 3 2 3 2" xfId="45985"/>
    <cellStyle name="Normal 2 8 3 3 2 4" xfId="38660"/>
    <cellStyle name="Normal 2 8 3 3 2 5" xfId="23847"/>
    <cellStyle name="Normal 2 8 3 3 3" xfId="25679"/>
    <cellStyle name="Normal 2 8 3 3 3 2" xfId="32990"/>
    <cellStyle name="Normal 2 8 3 3 3 2 2" xfId="47810"/>
    <cellStyle name="Normal 2 8 3 3 3 3" xfId="40539"/>
    <cellStyle name="Normal 2 8 3 3 4" xfId="29336"/>
    <cellStyle name="Normal 2 8 3 3 4 2" xfId="44160"/>
    <cellStyle name="Normal 2 8 3 3 5" xfId="36937"/>
    <cellStyle name="Normal 2 8 3 3 6" xfId="22018"/>
    <cellStyle name="Normal 2 8 3 4" xfId="19366"/>
    <cellStyle name="Normal 2 8 3 4 2" xfId="26736"/>
    <cellStyle name="Normal 2 8 3 4 2 2" xfId="34047"/>
    <cellStyle name="Normal 2 8 3 4 2 2 2" xfId="48867"/>
    <cellStyle name="Normal 2 8 3 4 2 3" xfId="41576"/>
    <cellStyle name="Normal 2 8 3 4 3" xfId="30393"/>
    <cellStyle name="Normal 2 8 3 4 3 2" xfId="45216"/>
    <cellStyle name="Normal 2 8 3 4 4" xfId="37890"/>
    <cellStyle name="Normal 2 8 3 4 5" xfId="23078"/>
    <cellStyle name="Normal 2 8 3 5" xfId="24895"/>
    <cellStyle name="Normal 2 8 3 5 2" xfId="32206"/>
    <cellStyle name="Normal 2 8 3 5 2 2" xfId="47029"/>
    <cellStyle name="Normal 2 8 3 5 3" xfId="39790"/>
    <cellStyle name="Normal 2 8 3 6" xfId="28552"/>
    <cellStyle name="Normal 2 8 3 6 2" xfId="43389"/>
    <cellStyle name="Normal 2 8 3 7" xfId="35712"/>
    <cellStyle name="Normal 2 8 3 8" xfId="21234"/>
    <cellStyle name="Normal 2 8 4" xfId="17549"/>
    <cellStyle name="Normal 2 8 4 2" xfId="18663"/>
    <cellStyle name="Normal 2 8 4 2 2" xfId="20542"/>
    <cellStyle name="Normal 2 8 4 2 2 2" xfId="27868"/>
    <cellStyle name="Normal 2 8 4 2 2 2 2" xfId="35179"/>
    <cellStyle name="Normal 2 8 4 2 2 2 2 2" xfId="49999"/>
    <cellStyle name="Normal 2 8 4 2 2 2 3" xfId="42707"/>
    <cellStyle name="Normal 2 8 4 2 2 3" xfId="31525"/>
    <cellStyle name="Normal 2 8 4 2 2 3 2" xfId="46348"/>
    <cellStyle name="Normal 2 8 4 2 2 4" xfId="39023"/>
    <cellStyle name="Normal 2 8 4 2 2 5" xfId="24210"/>
    <cellStyle name="Normal 2 8 4 2 3" xfId="26042"/>
    <cellStyle name="Normal 2 8 4 2 3 2" xfId="33353"/>
    <cellStyle name="Normal 2 8 4 2 3 2 2" xfId="48173"/>
    <cellStyle name="Normal 2 8 4 2 3 3" xfId="40886"/>
    <cellStyle name="Normal 2 8 4 2 4" xfId="29699"/>
    <cellStyle name="Normal 2 8 4 2 4 2" xfId="44523"/>
    <cellStyle name="Normal 2 8 4 2 5" xfId="37300"/>
    <cellStyle name="Normal 2 8 4 2 6" xfId="22381"/>
    <cellStyle name="Normal 2 8 4 3" xfId="19593"/>
    <cellStyle name="Normal 2 8 4 3 2" xfId="26962"/>
    <cellStyle name="Normal 2 8 4 3 2 2" xfId="34273"/>
    <cellStyle name="Normal 2 8 4 3 2 2 2" xfId="49093"/>
    <cellStyle name="Normal 2 8 4 3 2 3" xfId="41802"/>
    <cellStyle name="Normal 2 8 4 3 3" xfId="30619"/>
    <cellStyle name="Normal 2 8 4 3 3 2" xfId="45442"/>
    <cellStyle name="Normal 2 8 4 3 4" xfId="38116"/>
    <cellStyle name="Normal 2 8 4 3 5" xfId="23304"/>
    <cellStyle name="Normal 2 8 4 4" xfId="25121"/>
    <cellStyle name="Normal 2 8 4 4 2" xfId="32432"/>
    <cellStyle name="Normal 2 8 4 4 2 2" xfId="47255"/>
    <cellStyle name="Normal 2 8 4 4 3" xfId="40015"/>
    <cellStyle name="Normal 2 8 4 5" xfId="28778"/>
    <cellStyle name="Normal 2 8 4 5 2" xfId="43615"/>
    <cellStyle name="Normal 2 8 4 6" xfId="36158"/>
    <cellStyle name="Normal 2 8 4 7" xfId="21460"/>
    <cellStyle name="Normal 2 8 5" xfId="17965"/>
    <cellStyle name="Normal 2 8 5 2" xfId="18294"/>
    <cellStyle name="Normal 2 8 5 2 2" xfId="27502"/>
    <cellStyle name="Normal 2 8 5 2 2 2" xfId="34813"/>
    <cellStyle name="Normal 2 8 5 2 2 2 2" xfId="49633"/>
    <cellStyle name="Normal 2 8 5 2 2 3" xfId="42341"/>
    <cellStyle name="Normal 2 8 5 2 3" xfId="31159"/>
    <cellStyle name="Normal 2 8 5 2 3 2" xfId="45982"/>
    <cellStyle name="Normal 2 8 5 2 4" xfId="36934"/>
    <cellStyle name="Normal 2 8 5 2 5" xfId="23844"/>
    <cellStyle name="Normal 2 8 5 3" xfId="20176"/>
    <cellStyle name="Normal 2 8 5 3 2" xfId="32987"/>
    <cellStyle name="Normal 2 8 5 3 2 2" xfId="47807"/>
    <cellStyle name="Normal 2 8 5 3 3" xfId="38657"/>
    <cellStyle name="Normal 2 8 5 3 4" xfId="25676"/>
    <cellStyle name="Normal 2 8 5 4" xfId="29333"/>
    <cellStyle name="Normal 2 8 5 4 2" xfId="44157"/>
    <cellStyle name="Normal 2 8 5 5" xfId="36693"/>
    <cellStyle name="Normal 2 8 5 6" xfId="22015"/>
    <cellStyle name="Normal 2 8 6" xfId="20004"/>
    <cellStyle name="Normal 2 8 7" xfId="19145"/>
    <cellStyle name="Normal 2 8 7 2" xfId="26517"/>
    <cellStyle name="Normal 2 8 7 2 2" xfId="33828"/>
    <cellStyle name="Normal 2 8 7 2 2 2" xfId="48648"/>
    <cellStyle name="Normal 2 8 7 2 3" xfId="41357"/>
    <cellStyle name="Normal 2 8 7 3" xfId="30174"/>
    <cellStyle name="Normal 2 8 7 3 2" xfId="44997"/>
    <cellStyle name="Normal 2 8 7 4" xfId="37671"/>
    <cellStyle name="Normal 2 8 7 5" xfId="22859"/>
    <cellStyle name="Normal 2 8 8" xfId="24671"/>
    <cellStyle name="Normal 2 8 8 2" xfId="31982"/>
    <cellStyle name="Normal 2 8 8 2 2" xfId="46805"/>
    <cellStyle name="Normal 2 8 8 3" xfId="39591"/>
    <cellStyle name="Normal 2 8 8 4" xfId="36502"/>
    <cellStyle name="Normal 2 8 9" xfId="28328"/>
    <cellStyle name="Normal 2 8 9 2" xfId="43165"/>
    <cellStyle name="Normal 2 9" xfId="14859"/>
    <cellStyle name="Normal 2 9 10" xfId="21066"/>
    <cellStyle name="Normal 2 9 2" xfId="16091"/>
    <cellStyle name="Normal 2 9 2 2" xfId="17829"/>
    <cellStyle name="Normal 2 9 2 2 2" xfId="18943"/>
    <cellStyle name="Normal 2 9 2 2 2 2" xfId="20822"/>
    <cellStyle name="Normal 2 9 2 2 2 2 2" xfId="28148"/>
    <cellStyle name="Normal 2 9 2 2 2 2 2 2" xfId="35459"/>
    <cellStyle name="Normal 2 9 2 2 2 2 2 2 2" xfId="50279"/>
    <cellStyle name="Normal 2 9 2 2 2 2 2 3" xfId="42987"/>
    <cellStyle name="Normal 2 9 2 2 2 2 3" xfId="31805"/>
    <cellStyle name="Normal 2 9 2 2 2 2 3 2" xfId="46628"/>
    <cellStyle name="Normal 2 9 2 2 2 2 4" xfId="39303"/>
    <cellStyle name="Normal 2 9 2 2 2 2 5" xfId="24490"/>
    <cellStyle name="Normal 2 9 2 2 2 3" xfId="26322"/>
    <cellStyle name="Normal 2 9 2 2 2 3 2" xfId="33633"/>
    <cellStyle name="Normal 2 9 2 2 2 3 2 2" xfId="48453"/>
    <cellStyle name="Normal 2 9 2 2 2 3 3" xfId="41166"/>
    <cellStyle name="Normal 2 9 2 2 2 4" xfId="29979"/>
    <cellStyle name="Normal 2 9 2 2 2 4 2" xfId="44803"/>
    <cellStyle name="Normal 2 9 2 2 2 5" xfId="37560"/>
    <cellStyle name="Normal 2 9 2 2 2 6" xfId="22661"/>
    <cellStyle name="Normal 2 9 2 2 3" xfId="19873"/>
    <cellStyle name="Normal 2 9 2 2 3 2" xfId="27242"/>
    <cellStyle name="Normal 2 9 2 2 3 2 2" xfId="34553"/>
    <cellStyle name="Normal 2 9 2 2 3 2 2 2" xfId="49373"/>
    <cellStyle name="Normal 2 9 2 2 3 2 3" xfId="42082"/>
    <cellStyle name="Normal 2 9 2 2 3 3" xfId="30899"/>
    <cellStyle name="Normal 2 9 2 2 3 3 2" xfId="45722"/>
    <cellStyle name="Normal 2 9 2 2 3 4" xfId="38396"/>
    <cellStyle name="Normal 2 9 2 2 3 5" xfId="23584"/>
    <cellStyle name="Normal 2 9 2 2 4" xfId="25401"/>
    <cellStyle name="Normal 2 9 2 2 4 2" xfId="32712"/>
    <cellStyle name="Normal 2 9 2 2 4 2 2" xfId="47535"/>
    <cellStyle name="Normal 2 9 2 2 4 3" xfId="40289"/>
    <cellStyle name="Normal 2 9 2 2 5" xfId="29058"/>
    <cellStyle name="Normal 2 9 2 2 5 2" xfId="43895"/>
    <cellStyle name="Normal 2 9 2 2 6" xfId="36163"/>
    <cellStyle name="Normal 2 9 2 2 7" xfId="21740"/>
    <cellStyle name="Normal 2 9 2 3" xfId="18057"/>
    <cellStyle name="Normal 2 9 2 3 2" xfId="18299"/>
    <cellStyle name="Normal 2 9 2 3 2 2" xfId="27507"/>
    <cellStyle name="Normal 2 9 2 3 2 2 2" xfId="34818"/>
    <cellStyle name="Normal 2 9 2 3 2 2 2 2" xfId="49638"/>
    <cellStyle name="Normal 2 9 2 3 2 2 3" xfId="42346"/>
    <cellStyle name="Normal 2 9 2 3 2 3" xfId="31164"/>
    <cellStyle name="Normal 2 9 2 3 2 3 2" xfId="45987"/>
    <cellStyle name="Normal 2 9 2 3 2 4" xfId="36939"/>
    <cellStyle name="Normal 2 9 2 3 2 5" xfId="23849"/>
    <cellStyle name="Normal 2 9 2 3 3" xfId="20181"/>
    <cellStyle name="Normal 2 9 2 3 3 2" xfId="32992"/>
    <cellStyle name="Normal 2 9 2 3 3 2 2" xfId="47812"/>
    <cellStyle name="Normal 2 9 2 3 3 3" xfId="38662"/>
    <cellStyle name="Normal 2 9 2 3 3 4" xfId="25681"/>
    <cellStyle name="Normal 2 9 2 3 4" xfId="29338"/>
    <cellStyle name="Normal 2 9 2 3 4 2" xfId="44162"/>
    <cellStyle name="Normal 2 9 2 3 5" xfId="36714"/>
    <cellStyle name="Normal 2 9 2 3 6" xfId="22020"/>
    <cellStyle name="Normal 2 9 2 4" xfId="20025"/>
    <cellStyle name="Normal 2 9 2 5" xfId="19422"/>
    <cellStyle name="Normal 2 9 2 5 2" xfId="26792"/>
    <cellStyle name="Normal 2 9 2 5 2 2" xfId="34103"/>
    <cellStyle name="Normal 2 9 2 5 2 2 2" xfId="48923"/>
    <cellStyle name="Normal 2 9 2 5 2 3" xfId="41632"/>
    <cellStyle name="Normal 2 9 2 5 3" xfId="30449"/>
    <cellStyle name="Normal 2 9 2 5 3 2" xfId="45272"/>
    <cellStyle name="Normal 2 9 2 5 4" xfId="37946"/>
    <cellStyle name="Normal 2 9 2 5 5" xfId="23134"/>
    <cellStyle name="Normal 2 9 2 6" xfId="24951"/>
    <cellStyle name="Normal 2 9 2 6 2" xfId="32262"/>
    <cellStyle name="Normal 2 9 2 6 2 2" xfId="47085"/>
    <cellStyle name="Normal 2 9 2 6 3" xfId="39846"/>
    <cellStyle name="Normal 2 9 2 6 4" xfId="36599"/>
    <cellStyle name="Normal 2 9 2 7" xfId="28608"/>
    <cellStyle name="Normal 2 9 2 7 2" xfId="43445"/>
    <cellStyle name="Normal 2 9 2 8" xfId="35714"/>
    <cellStyle name="Normal 2 9 2 9" xfId="21290"/>
    <cellStyle name="Normal 2 9 3" xfId="17377"/>
    <cellStyle name="Normal 2 9 3 2" xfId="18123"/>
    <cellStyle name="Normal 2 9 3 2 2" xfId="20598"/>
    <cellStyle name="Normal 2 9 3 2 2 2" xfId="27924"/>
    <cellStyle name="Normal 2 9 3 2 2 2 2" xfId="35235"/>
    <cellStyle name="Normal 2 9 3 2 2 2 2 2" xfId="50055"/>
    <cellStyle name="Normal 2 9 3 2 2 2 3" xfId="42763"/>
    <cellStyle name="Normal 2 9 3 2 2 3" xfId="31581"/>
    <cellStyle name="Normal 2 9 3 2 2 3 2" xfId="46404"/>
    <cellStyle name="Normal 2 9 3 2 2 4" xfId="39079"/>
    <cellStyle name="Normal 2 9 3 2 2 5" xfId="24266"/>
    <cellStyle name="Normal 2 9 3 2 3" xfId="26098"/>
    <cellStyle name="Normal 2 9 3 2 3 2" xfId="33409"/>
    <cellStyle name="Normal 2 9 3 2 3 2 2" xfId="48229"/>
    <cellStyle name="Normal 2 9 3 2 3 3" xfId="40942"/>
    <cellStyle name="Normal 2 9 3 2 4" xfId="29755"/>
    <cellStyle name="Normal 2 9 3 2 4 2" xfId="44579"/>
    <cellStyle name="Normal 2 9 3 2 5" xfId="36779"/>
    <cellStyle name="Normal 2 9 3 2 6" xfId="22437"/>
    <cellStyle name="Normal 2 9 3 3" xfId="18719"/>
    <cellStyle name="Normal 2 9 3 3 2" xfId="27018"/>
    <cellStyle name="Normal 2 9 3 3 2 2" xfId="34329"/>
    <cellStyle name="Normal 2 9 3 3 2 2 2" xfId="49149"/>
    <cellStyle name="Normal 2 9 3 3 2 3" xfId="41858"/>
    <cellStyle name="Normal 2 9 3 3 3" xfId="30675"/>
    <cellStyle name="Normal 2 9 3 3 3 2" xfId="45498"/>
    <cellStyle name="Normal 2 9 3 3 4" xfId="37356"/>
    <cellStyle name="Normal 2 9 3 3 5" xfId="23360"/>
    <cellStyle name="Normal 2 9 3 4" xfId="19649"/>
    <cellStyle name="Normal 2 9 3 4 2" xfId="32488"/>
    <cellStyle name="Normal 2 9 3 4 2 2" xfId="47311"/>
    <cellStyle name="Normal 2 9 3 4 3" xfId="38172"/>
    <cellStyle name="Normal 2 9 3 4 4" xfId="25177"/>
    <cellStyle name="Normal 2 9 3 5" xfId="28834"/>
    <cellStyle name="Normal 2 9 3 5 2" xfId="43671"/>
    <cellStyle name="Normal 2 9 3 6" xfId="36162"/>
    <cellStyle name="Normal 2 9 3 7" xfId="21516"/>
    <cellStyle name="Normal 2 9 4" xfId="17605"/>
    <cellStyle name="Normal 2 9 4 2" xfId="18298"/>
    <cellStyle name="Normal 2 9 4 2 2" xfId="27506"/>
    <cellStyle name="Normal 2 9 4 2 2 2" xfId="34817"/>
    <cellStyle name="Normal 2 9 4 2 2 2 2" xfId="49637"/>
    <cellStyle name="Normal 2 9 4 2 2 3" xfId="42345"/>
    <cellStyle name="Normal 2 9 4 2 3" xfId="31163"/>
    <cellStyle name="Normal 2 9 4 2 3 2" xfId="45986"/>
    <cellStyle name="Normal 2 9 4 2 4" xfId="36938"/>
    <cellStyle name="Normal 2 9 4 2 5" xfId="23848"/>
    <cellStyle name="Normal 2 9 4 3" xfId="20180"/>
    <cellStyle name="Normal 2 9 4 3 2" xfId="32991"/>
    <cellStyle name="Normal 2 9 4 3 2 2" xfId="47811"/>
    <cellStyle name="Normal 2 9 4 3 3" xfId="38661"/>
    <cellStyle name="Normal 2 9 4 3 4" xfId="25680"/>
    <cellStyle name="Normal 2 9 4 4" xfId="29337"/>
    <cellStyle name="Normal 2 9 4 4 2" xfId="44161"/>
    <cellStyle name="Normal 2 9 4 5" xfId="36682"/>
    <cellStyle name="Normal 2 9 4 6" xfId="22019"/>
    <cellStyle name="Normal 2 9 5" xfId="18045"/>
    <cellStyle name="Normal 2 9 6" xfId="19200"/>
    <cellStyle name="Normal 2 9 6 2" xfId="26570"/>
    <cellStyle name="Normal 2 9 6 2 2" xfId="33881"/>
    <cellStyle name="Normal 2 9 6 2 2 2" xfId="48701"/>
    <cellStyle name="Normal 2 9 6 2 3" xfId="41410"/>
    <cellStyle name="Normal 2 9 6 3" xfId="30227"/>
    <cellStyle name="Normal 2 9 6 3 2" xfId="45050"/>
    <cellStyle name="Normal 2 9 6 4" xfId="37724"/>
    <cellStyle name="Normal 2 9 6 5" xfId="22912"/>
    <cellStyle name="Normal 2 9 7" xfId="24727"/>
    <cellStyle name="Normal 2 9 7 2" xfId="32038"/>
    <cellStyle name="Normal 2 9 7 2 2" xfId="46861"/>
    <cellStyle name="Normal 2 9 7 3" xfId="39631"/>
    <cellStyle name="Normal 2 9 7 4" xfId="36586"/>
    <cellStyle name="Normal 2 9 8" xfId="28384"/>
    <cellStyle name="Normal 2 9 8 2" xfId="43221"/>
    <cellStyle name="Normal 2 9 9" xfId="35713"/>
    <cellStyle name="Normal 2_091222_Росатом_ЕПС" xfId="14860"/>
    <cellStyle name="Normal 21" xfId="16907"/>
    <cellStyle name="Normal 21 2" xfId="16908"/>
    <cellStyle name="Normal 21 3" xfId="16909"/>
    <cellStyle name="Normal 21 4" xfId="16910"/>
    <cellStyle name="Normal 21 5" xfId="16911"/>
    <cellStyle name="Normal 21 6" xfId="16912"/>
    <cellStyle name="Normal 21 7" xfId="16913"/>
    <cellStyle name="Normal 3" xfId="13959"/>
    <cellStyle name="Normal 3 10" xfId="13960"/>
    <cellStyle name="Normal 3 10 2" xfId="16092"/>
    <cellStyle name="Normal 3 11" xfId="14861"/>
    <cellStyle name="Normal 3 11 2" xfId="16093"/>
    <cellStyle name="Normal 3 12" xfId="14862"/>
    <cellStyle name="Normal 3 12 2" xfId="16094"/>
    <cellStyle name="Normal 3 13" xfId="14863"/>
    <cellStyle name="Normal 3 13 2" xfId="16095"/>
    <cellStyle name="Normal 3 14" xfId="14864"/>
    <cellStyle name="Normal 3 14 2" xfId="16096"/>
    <cellStyle name="Normal 3 15" xfId="14865"/>
    <cellStyle name="Normal 3 15 2" xfId="16097"/>
    <cellStyle name="Normal 3 16" xfId="14866"/>
    <cellStyle name="Normal 3 16 2" xfId="16098"/>
    <cellStyle name="Normal 3 17" xfId="14867"/>
    <cellStyle name="Normal 3 17 2" xfId="16099"/>
    <cellStyle name="Normal 3 18" xfId="14868"/>
    <cellStyle name="Normal 3 18 2" xfId="16100"/>
    <cellStyle name="Normal 3 19" xfId="16929"/>
    <cellStyle name="Normal 3 2" xfId="13961"/>
    <cellStyle name="Normal 3 2 10" xfId="14869"/>
    <cellStyle name="Normal 3 2 10 2" xfId="16102"/>
    <cellStyle name="Normal 3 2 11" xfId="14870"/>
    <cellStyle name="Normal 3 2 11 2" xfId="16103"/>
    <cellStyle name="Normal 3 2 12" xfId="14871"/>
    <cellStyle name="Normal 3 2 12 2" xfId="16104"/>
    <cellStyle name="Normal 3 2 13" xfId="16931"/>
    <cellStyle name="Normal 3 2 14" xfId="16101"/>
    <cellStyle name="Normal 3 2 15" xfId="17069"/>
    <cellStyle name="Normal 3 2 16" xfId="17967"/>
    <cellStyle name="Normal 3 2 17" xfId="36503"/>
    <cellStyle name="Normal 3 2 2" xfId="14872"/>
    <cellStyle name="Normal 3 2 2 2" xfId="16932"/>
    <cellStyle name="Normal 3 2 2 3" xfId="16105"/>
    <cellStyle name="Normal 3 2 2 4" xfId="17131"/>
    <cellStyle name="Normal 3 2 2 5" xfId="18046"/>
    <cellStyle name="Normal 3 2 2 6" xfId="36587"/>
    <cellStyle name="Normal 3 2 3" xfId="14873"/>
    <cellStyle name="Normal 3 2 3 2" xfId="16933"/>
    <cellStyle name="Normal 3 2 3 3" xfId="16106"/>
    <cellStyle name="Normal 3 2 3 4" xfId="17132"/>
    <cellStyle name="Normal 3 2 3 5" xfId="18047"/>
    <cellStyle name="Normal 3 2 3 6" xfId="36588"/>
    <cellStyle name="Normal 3 2 4" xfId="14874"/>
    <cellStyle name="Normal 3 2 4 2" xfId="16934"/>
    <cellStyle name="Normal 3 2 4 3" xfId="16107"/>
    <cellStyle name="Normal 3 2 4 4" xfId="17133"/>
    <cellStyle name="Normal 3 2 4 5" xfId="18048"/>
    <cellStyle name="Normal 3 2 4 6" xfId="36589"/>
    <cellStyle name="Normal 3 2 5" xfId="14875"/>
    <cellStyle name="Normal 3 2 5 2" xfId="16935"/>
    <cellStyle name="Normal 3 2 5 3" xfId="16108"/>
    <cellStyle name="Normal 3 2 5 4" xfId="17134"/>
    <cellStyle name="Normal 3 2 5 5" xfId="18049"/>
    <cellStyle name="Normal 3 2 5 6" xfId="36590"/>
    <cellStyle name="Normal 3 2 6" xfId="14876"/>
    <cellStyle name="Normal 3 2 6 2" xfId="16936"/>
    <cellStyle name="Normal 3 2 6 3" xfId="16109"/>
    <cellStyle name="Normal 3 2 6 4" xfId="17135"/>
    <cellStyle name="Normal 3 2 6 5" xfId="18050"/>
    <cellStyle name="Normal 3 2 6 6" xfId="36591"/>
    <cellStyle name="Normal 3 2 7" xfId="14877"/>
    <cellStyle name="Normal 3 2 7 2" xfId="16110"/>
    <cellStyle name="Normal 3 2 8" xfId="14878"/>
    <cellStyle name="Normal 3 2 8 2" xfId="16111"/>
    <cellStyle name="Normal 3 2 9" xfId="14879"/>
    <cellStyle name="Normal 3 2 9 2" xfId="16112"/>
    <cellStyle name="Normal 3 2_Списки" xfId="14880"/>
    <cellStyle name="Normal 3 20" xfId="17068"/>
    <cellStyle name="Normal 3 21" xfId="17249"/>
    <cellStyle name="Normal 3 22" xfId="17966"/>
    <cellStyle name="Normal 3 23" xfId="22783"/>
    <cellStyle name="Normal 3 24" xfId="50402"/>
    <cellStyle name="Normal 3 3" xfId="13962"/>
    <cellStyle name="Normal 3 3 10" xfId="17968"/>
    <cellStyle name="Normal 3 3 11" xfId="36504"/>
    <cellStyle name="Normal 3 3 2" xfId="16938"/>
    <cellStyle name="Normal 3 3 3" xfId="16939"/>
    <cellStyle name="Normal 3 3 4" xfId="16940"/>
    <cellStyle name="Normal 3 3 5" xfId="16941"/>
    <cellStyle name="Normal 3 3 6" xfId="16942"/>
    <cellStyle name="Normal 3 3 7" xfId="16937"/>
    <cellStyle name="Normal 3 3 8" xfId="16113"/>
    <cellStyle name="Normal 3 3 9" xfId="17070"/>
    <cellStyle name="Normal 3 4" xfId="14881"/>
    <cellStyle name="Normal 3 4 2" xfId="16114"/>
    <cellStyle name="Normal 3 5" xfId="14882"/>
    <cellStyle name="Normal 3 5 2" xfId="16115"/>
    <cellStyle name="Normal 3 6" xfId="14883"/>
    <cellStyle name="Normal 3 6 2" xfId="16116"/>
    <cellStyle name="Normal 3 7" xfId="14884"/>
    <cellStyle name="Normal 3 7 2" xfId="16117"/>
    <cellStyle name="Normal 3 8" xfId="14885"/>
    <cellStyle name="Normal 3 8 2" xfId="16118"/>
    <cellStyle name="Normal 3 9" xfId="14886"/>
    <cellStyle name="Normal 3 9 2" xfId="16119"/>
    <cellStyle name="Normal 3_091222_Росатом_ЕПС" xfId="14887"/>
    <cellStyle name="Normal 32" xfId="14888"/>
    <cellStyle name="Normal 32 2" xfId="13963"/>
    <cellStyle name="Normal 32 3" xfId="16120"/>
    <cellStyle name="Normal 4" xfId="13964"/>
    <cellStyle name="Normal 4 10" xfId="14889"/>
    <cellStyle name="Normal 4 10 2" xfId="16122"/>
    <cellStyle name="Normal 4 11" xfId="14890"/>
    <cellStyle name="Normal 4 11 2" xfId="16123"/>
    <cellStyle name="Normal 4 12" xfId="14891"/>
    <cellStyle name="Normal 4 12 2" xfId="16124"/>
    <cellStyle name="Normal 4 13" xfId="14892"/>
    <cellStyle name="Normal 4 13 2" xfId="16125"/>
    <cellStyle name="Normal 4 14" xfId="16121"/>
    <cellStyle name="Normal 4 2" xfId="13965"/>
    <cellStyle name="Normal 4 2 10" xfId="14893"/>
    <cellStyle name="Normal 4 2 10 2" xfId="16126"/>
    <cellStyle name="Normal 4 2 11" xfId="14894"/>
    <cellStyle name="Normal 4 2 11 2" xfId="16127"/>
    <cellStyle name="Normal 4 2 12" xfId="14895"/>
    <cellStyle name="Normal 4 2 12 2" xfId="16128"/>
    <cellStyle name="Normal 4 2 13" xfId="14896"/>
    <cellStyle name="Normal 4 2 13 2" xfId="16129"/>
    <cellStyle name="Normal 4 2 14" xfId="14897"/>
    <cellStyle name="Normal 4 2 14 2" xfId="16130"/>
    <cellStyle name="Normal 4 2 2" xfId="13966"/>
    <cellStyle name="Normal 4 2 2 2" xfId="14898"/>
    <cellStyle name="Normal 4 2 2 2 2" xfId="16131"/>
    <cellStyle name="Normal 4 2 2 3" xfId="14899"/>
    <cellStyle name="Normal 4 2 2 3 2" xfId="16132"/>
    <cellStyle name="Normal 4 2 2 4" xfId="14900"/>
    <cellStyle name="Normal 4 2 2 4 2" xfId="16133"/>
    <cellStyle name="Normal 4 2 2 5" xfId="14901"/>
    <cellStyle name="Normal 4 2 2 5 2" xfId="16134"/>
    <cellStyle name="Normal 4 2 2 6" xfId="14902"/>
    <cellStyle name="Normal 4 2 2 6 2" xfId="16135"/>
    <cellStyle name="Normal 4 2 2_Списки" xfId="14903"/>
    <cellStyle name="Normal 4 2 3" xfId="13967"/>
    <cellStyle name="Normal 4 2 3 2" xfId="14904"/>
    <cellStyle name="Normal 4 2 3 2 2" xfId="16136"/>
    <cellStyle name="Normal 4 2 3 3" xfId="14905"/>
    <cellStyle name="Normal 4 2 3 3 2" xfId="16137"/>
    <cellStyle name="Normal 4 2 3 4" xfId="14906"/>
    <cellStyle name="Normal 4 2 3 4 2" xfId="16138"/>
    <cellStyle name="Normal 4 2 3 5" xfId="14907"/>
    <cellStyle name="Normal 4 2 3 5 2" xfId="16139"/>
    <cellStyle name="Normal 4 2 3 6" xfId="14908"/>
    <cellStyle name="Normal 4 2 3 6 2" xfId="16140"/>
    <cellStyle name="Normal 4 2 3_Списки" xfId="14909"/>
    <cellStyle name="Normal 4 2 4" xfId="14910"/>
    <cellStyle name="Normal 4 2 4 2" xfId="16141"/>
    <cellStyle name="Normal 4 2 5" xfId="14911"/>
    <cellStyle name="Normal 4 2 5 2" xfId="16142"/>
    <cellStyle name="Normal 4 2 6" xfId="14912"/>
    <cellStyle name="Normal 4 2 6 2" xfId="16143"/>
    <cellStyle name="Normal 4 2 7" xfId="14913"/>
    <cellStyle name="Normal 4 2 7 2" xfId="16144"/>
    <cellStyle name="Normal 4 2 8" xfId="14914"/>
    <cellStyle name="Normal 4 2 8 2" xfId="16145"/>
    <cellStyle name="Normal 4 2 9" xfId="14915"/>
    <cellStyle name="Normal 4 2 9 2" xfId="16146"/>
    <cellStyle name="Normal 4 2_091222_Росатом_ЕПС" xfId="14916"/>
    <cellStyle name="Normal 4 3" xfId="14917"/>
    <cellStyle name="Normal 4 3 2" xfId="16147"/>
    <cellStyle name="Normal 4 4" xfId="14918"/>
    <cellStyle name="Normal 4 4 2" xfId="16148"/>
    <cellStyle name="Normal 4 5" xfId="14919"/>
    <cellStyle name="Normal 4 5 2" xfId="16149"/>
    <cellStyle name="Normal 4 6" xfId="14920"/>
    <cellStyle name="Normal 4 6 2" xfId="16150"/>
    <cellStyle name="Normal 4 7" xfId="14921"/>
    <cellStyle name="Normal 4 7 2" xfId="16151"/>
    <cellStyle name="Normal 4 8" xfId="14922"/>
    <cellStyle name="Normal 4 8 2" xfId="16152"/>
    <cellStyle name="Normal 4 9" xfId="14923"/>
    <cellStyle name="Normal 4 9 2" xfId="16153"/>
    <cellStyle name="Normal 4_091222_Росатом_ЕПС" xfId="14924"/>
    <cellStyle name="Normal 5" xfId="13968"/>
    <cellStyle name="Normal 5 10" xfId="16154"/>
    <cellStyle name="Normal 5 2" xfId="13969"/>
    <cellStyle name="Normal 5 2 2" xfId="16155"/>
    <cellStyle name="Normal 5 3" xfId="13970"/>
    <cellStyle name="Normal 5 3 2" xfId="16156"/>
    <cellStyle name="Normal 5 4" xfId="14925"/>
    <cellStyle name="Normal 5 4 2" xfId="16157"/>
    <cellStyle name="Normal 5 5" xfId="14926"/>
    <cellStyle name="Normal 5 5 2" xfId="16158"/>
    <cellStyle name="Normal 5 6" xfId="14927"/>
    <cellStyle name="Normal 5 6 2" xfId="16159"/>
    <cellStyle name="Normal 5 7" xfId="14928"/>
    <cellStyle name="Normal 5 7 2" xfId="16160"/>
    <cellStyle name="Normal 5 8" xfId="14929"/>
    <cellStyle name="Normal 5 8 2" xfId="16161"/>
    <cellStyle name="Normal 5 9" xfId="14930"/>
    <cellStyle name="Normal 5 9 2" xfId="16162"/>
    <cellStyle name="Normal 5_2010_02_17_Затраты_v1" xfId="14931"/>
    <cellStyle name="Normal 6" xfId="13971"/>
    <cellStyle name="Normal 6 10" xfId="14932"/>
    <cellStyle name="Normal 6 10 2" xfId="16163"/>
    <cellStyle name="Normal 6 11" xfId="14933"/>
    <cellStyle name="Normal 6 11 2" xfId="16164"/>
    <cellStyle name="Normal 6 12" xfId="14934"/>
    <cellStyle name="Normal 6 12 2" xfId="16165"/>
    <cellStyle name="Normal 6 13" xfId="14935"/>
    <cellStyle name="Normal 6 13 2" xfId="16166"/>
    <cellStyle name="Normal 6 14" xfId="14936"/>
    <cellStyle name="Normal 6 14 2" xfId="16167"/>
    <cellStyle name="Normal 6 2" xfId="13972"/>
    <cellStyle name="Normal 6 2 2" xfId="16168"/>
    <cellStyle name="Normal 6 3" xfId="13973"/>
    <cellStyle name="Normal 6 3 2" xfId="16169"/>
    <cellStyle name="Normal 6 4" xfId="14937"/>
    <cellStyle name="Normal 6 4 2" xfId="16170"/>
    <cellStyle name="Normal 6 5" xfId="14938"/>
    <cellStyle name="Normal 6 5 2" xfId="16171"/>
    <cellStyle name="Normal 6 6" xfId="14939"/>
    <cellStyle name="Normal 6 6 2" xfId="16172"/>
    <cellStyle name="Normal 6 7" xfId="14940"/>
    <cellStyle name="Normal 6 7 2" xfId="16173"/>
    <cellStyle name="Normal 6 8" xfId="14941"/>
    <cellStyle name="Normal 6 8 2" xfId="16174"/>
    <cellStyle name="Normal 6 9" xfId="14942"/>
    <cellStyle name="Normal 6 9 2" xfId="16175"/>
    <cellStyle name="Normal 6_091222_Росатом_ЕПС" xfId="14943"/>
    <cellStyle name="Normal 7" xfId="13974"/>
    <cellStyle name="Normal 7 10" xfId="17040"/>
    <cellStyle name="Normal 7 10 2" xfId="17250"/>
    <cellStyle name="Normal 7 11" xfId="17969"/>
    <cellStyle name="Normal 7 12" xfId="19100"/>
    <cellStyle name="Normal 7 13" xfId="36505"/>
    <cellStyle name="Normal 7 2" xfId="13975"/>
    <cellStyle name="Normal 7 2 2" xfId="14944"/>
    <cellStyle name="Normal 7 2 2 2" xfId="16177"/>
    <cellStyle name="Normal 7 2 3" xfId="16176"/>
    <cellStyle name="Normal 7 2_2010_02_17_Затраты_v1" xfId="14945"/>
    <cellStyle name="Normal 7 3" xfId="14946"/>
    <cellStyle name="Normal 7 3 2" xfId="16178"/>
    <cellStyle name="Normal 7 4" xfId="14947"/>
    <cellStyle name="Normal 7 4 2" xfId="16179"/>
    <cellStyle name="Normal 7 5" xfId="14948"/>
    <cellStyle name="Normal 7 5 2" xfId="16180"/>
    <cellStyle name="Normal 7 6" xfId="14949"/>
    <cellStyle name="Normal 7 6 2" xfId="16181"/>
    <cellStyle name="Normal 7 7" xfId="14950"/>
    <cellStyle name="Normal 7 7 2" xfId="16182"/>
    <cellStyle name="Normal 7 8" xfId="16943"/>
    <cellStyle name="Normal 7 9" xfId="17071"/>
    <cellStyle name="Normal 7 9 2" xfId="17261"/>
    <cellStyle name="Normal 7 9 3" xfId="36622"/>
    <cellStyle name="Normal 7_2010-01-04_Росатом_ЕПС_v5" xfId="14951"/>
    <cellStyle name="Normal 8" xfId="13976"/>
    <cellStyle name="Normal 8 2" xfId="13977"/>
    <cellStyle name="Normal 8 2 2" xfId="16184"/>
    <cellStyle name="Normal 8 3" xfId="14952"/>
    <cellStyle name="Normal 8 3 2" xfId="16185"/>
    <cellStyle name="Normal 8 4" xfId="16183"/>
    <cellStyle name="Normal 8_2010_02_17_Затраты_v1" xfId="14953"/>
    <cellStyle name="Normal 9" xfId="13978"/>
    <cellStyle name="Normal_download.asp?objectid=18424" xfId="4197"/>
    <cellStyle name="Normal1" xfId="178"/>
    <cellStyle name="Normal2" xfId="186"/>
    <cellStyle name="normбlnм_laroux" xfId="13979"/>
    <cellStyle name="Note" xfId="13980"/>
    <cellStyle name="Note 10" xfId="14954"/>
    <cellStyle name="Note 10 2" xfId="16187"/>
    <cellStyle name="Note 2" xfId="14955"/>
    <cellStyle name="Note 2 2" xfId="16188"/>
    <cellStyle name="Note 3" xfId="14956"/>
    <cellStyle name="Note 3 2" xfId="16189"/>
    <cellStyle name="Note 4" xfId="16186"/>
    <cellStyle name="Note 6" xfId="14957"/>
    <cellStyle name="Note 6 2" xfId="16190"/>
    <cellStyle name="Note 7" xfId="14958"/>
    <cellStyle name="Note 7 2" xfId="16191"/>
    <cellStyle name="Note 8" xfId="14959"/>
    <cellStyle name="Note 8 2" xfId="16192"/>
    <cellStyle name="Oeiainiaue [0]_NotesFA" xfId="13981"/>
    <cellStyle name="Oeiainiaue_NotesFA" xfId="13982"/>
    <cellStyle name="Ouny?e [0]_Oi?a IAIE" xfId="13983"/>
    <cellStyle name="Ouny?e_Oi?a IAIE" xfId="13984"/>
    <cellStyle name="Output" xfId="13985"/>
    <cellStyle name="Output 10" xfId="14960"/>
    <cellStyle name="Output 10 2" xfId="16193"/>
    <cellStyle name="Output 2" xfId="14961"/>
    <cellStyle name="Output 2 2" xfId="16194"/>
    <cellStyle name="Output 3" xfId="14962"/>
    <cellStyle name="Output 3 2" xfId="16195"/>
    <cellStyle name="Output 6" xfId="14963"/>
    <cellStyle name="Output 6 2" xfId="16196"/>
    <cellStyle name="Output 7" xfId="14964"/>
    <cellStyle name="Output 7 2" xfId="16197"/>
    <cellStyle name="Output 8" xfId="14965"/>
    <cellStyle name="Output 8 2" xfId="16198"/>
    <cellStyle name="Paaotsikko" xfId="13986"/>
    <cellStyle name="PageHeading" xfId="13987"/>
    <cellStyle name="pagetitle" xfId="13988"/>
    <cellStyle name="Percent %" xfId="13989"/>
    <cellStyle name="Percent % 10" xfId="14966"/>
    <cellStyle name="Percent % 10 2" xfId="16200"/>
    <cellStyle name="Percent % 11" xfId="14967"/>
    <cellStyle name="Percent % 11 2" xfId="16201"/>
    <cellStyle name="Percent % 12" xfId="14968"/>
    <cellStyle name="Percent % 12 2" xfId="16202"/>
    <cellStyle name="Percent % 13" xfId="14969"/>
    <cellStyle name="Percent % 13 2" xfId="16203"/>
    <cellStyle name="Percent % 14" xfId="14970"/>
    <cellStyle name="Percent % 14 2" xfId="16204"/>
    <cellStyle name="Percent % 15" xfId="14971"/>
    <cellStyle name="Percent % 15 2" xfId="16205"/>
    <cellStyle name="Percent % 16" xfId="14972"/>
    <cellStyle name="Percent % 16 2" xfId="16206"/>
    <cellStyle name="Percent % 17" xfId="16199"/>
    <cellStyle name="Percent % 2" xfId="14973"/>
    <cellStyle name="Percent % 2 2" xfId="16207"/>
    <cellStyle name="Percent % 3" xfId="14974"/>
    <cellStyle name="Percent % 3 2" xfId="16208"/>
    <cellStyle name="Percent % 4" xfId="14975"/>
    <cellStyle name="Percent % 4 2" xfId="16209"/>
    <cellStyle name="Percent % 5" xfId="14976"/>
    <cellStyle name="Percent % 5 2" xfId="16210"/>
    <cellStyle name="Percent % 6" xfId="14977"/>
    <cellStyle name="Percent % 6 2" xfId="16211"/>
    <cellStyle name="Percent % 7" xfId="14978"/>
    <cellStyle name="Percent % 7 2" xfId="16212"/>
    <cellStyle name="Percent % 8" xfId="14979"/>
    <cellStyle name="Percent % 8 2" xfId="16213"/>
    <cellStyle name="Percent % 9" xfId="14980"/>
    <cellStyle name="Percent % 9 2" xfId="16214"/>
    <cellStyle name="Percent % Long Underline" xfId="13990"/>
    <cellStyle name="Percent % Long Underline 10" xfId="14981"/>
    <cellStyle name="Percent % Long Underline 10 2" xfId="16216"/>
    <cellStyle name="Percent % Long Underline 11" xfId="14982"/>
    <cellStyle name="Percent % Long Underline 11 2" xfId="16217"/>
    <cellStyle name="Percent % Long Underline 12" xfId="14983"/>
    <cellStyle name="Percent % Long Underline 12 2" xfId="16218"/>
    <cellStyle name="Percent % Long Underline 13" xfId="14984"/>
    <cellStyle name="Percent % Long Underline 13 2" xfId="16219"/>
    <cellStyle name="Percent % Long Underline 14" xfId="14985"/>
    <cellStyle name="Percent % Long Underline 14 2" xfId="16220"/>
    <cellStyle name="Percent % Long Underline 15" xfId="14986"/>
    <cellStyle name="Percent % Long Underline 15 2" xfId="16221"/>
    <cellStyle name="Percent % Long Underline 16" xfId="14987"/>
    <cellStyle name="Percent % Long Underline 16 2" xfId="16222"/>
    <cellStyle name="Percent % Long Underline 17" xfId="16215"/>
    <cellStyle name="Percent % Long Underline 2" xfId="14988"/>
    <cellStyle name="Percent % Long Underline 2 2" xfId="16223"/>
    <cellStyle name="Percent % Long Underline 3" xfId="14989"/>
    <cellStyle name="Percent % Long Underline 3 2" xfId="16224"/>
    <cellStyle name="Percent % Long Underline 4" xfId="14990"/>
    <cellStyle name="Percent % Long Underline 4 2" xfId="16225"/>
    <cellStyle name="Percent % Long Underline 5" xfId="14991"/>
    <cellStyle name="Percent % Long Underline 5 2" xfId="16226"/>
    <cellStyle name="Percent % Long Underline 6" xfId="14992"/>
    <cellStyle name="Percent % Long Underline 6 2" xfId="16227"/>
    <cellStyle name="Percent % Long Underline 7" xfId="14993"/>
    <cellStyle name="Percent % Long Underline 7 2" xfId="16228"/>
    <cellStyle name="Percent % Long Underline 8" xfId="14994"/>
    <cellStyle name="Percent % Long Underline 8 2" xfId="16229"/>
    <cellStyle name="Percent % Long Underline 9" xfId="14995"/>
    <cellStyle name="Percent % Long Underline 9 2" xfId="16230"/>
    <cellStyle name="Percent % Long Underline_2010_02_19_Выручка_Прочие_доходы_v5" xfId="14996"/>
    <cellStyle name="Percent %_091222_Росатом_ЕПС" xfId="14997"/>
    <cellStyle name="Percent (0)" xfId="13991"/>
    <cellStyle name="Percent (0) 10" xfId="14998"/>
    <cellStyle name="Percent (0) 10 2" xfId="16232"/>
    <cellStyle name="Percent (0) 11" xfId="14999"/>
    <cellStyle name="Percent (0) 11 2" xfId="16233"/>
    <cellStyle name="Percent (0) 12" xfId="15000"/>
    <cellStyle name="Percent (0) 12 2" xfId="16234"/>
    <cellStyle name="Percent (0) 13" xfId="15001"/>
    <cellStyle name="Percent (0) 13 2" xfId="16235"/>
    <cellStyle name="Percent (0) 14" xfId="15002"/>
    <cellStyle name="Percent (0) 14 2" xfId="16236"/>
    <cellStyle name="Percent (0) 15" xfId="15003"/>
    <cellStyle name="Percent (0) 15 2" xfId="16237"/>
    <cellStyle name="Percent (0) 16" xfId="15004"/>
    <cellStyle name="Percent (0) 16 2" xfId="16238"/>
    <cellStyle name="Percent (0) 17" xfId="16231"/>
    <cellStyle name="Percent (0) 2" xfId="15005"/>
    <cellStyle name="Percent (0) 2 2" xfId="16239"/>
    <cellStyle name="Percent (0) 3" xfId="15006"/>
    <cellStyle name="Percent (0) 3 2" xfId="16240"/>
    <cellStyle name="Percent (0) 4" xfId="15007"/>
    <cellStyle name="Percent (0) 4 2" xfId="16241"/>
    <cellStyle name="Percent (0) 5" xfId="15008"/>
    <cellStyle name="Percent (0) 5 2" xfId="16242"/>
    <cellStyle name="Percent (0) 6" xfId="15009"/>
    <cellStyle name="Percent (0) 6 2" xfId="16243"/>
    <cellStyle name="Percent (0) 7" xfId="15010"/>
    <cellStyle name="Percent (0) 7 2" xfId="16244"/>
    <cellStyle name="Percent (0) 8" xfId="15011"/>
    <cellStyle name="Percent (0) 8 2" xfId="16245"/>
    <cellStyle name="Percent (0) 9" xfId="15012"/>
    <cellStyle name="Percent (0) 9 2" xfId="16246"/>
    <cellStyle name="Percent (0)_2010_02_19_Выручка_Прочие_доходы_v5" xfId="15013"/>
    <cellStyle name="Percent 0.0%" xfId="13992"/>
    <cellStyle name="Percent 0.0% 10" xfId="15014"/>
    <cellStyle name="Percent 0.0% 10 2" xfId="16248"/>
    <cellStyle name="Percent 0.0% 11" xfId="15015"/>
    <cellStyle name="Percent 0.0% 11 2" xfId="16249"/>
    <cellStyle name="Percent 0.0% 12" xfId="15016"/>
    <cellStyle name="Percent 0.0% 12 2" xfId="16250"/>
    <cellStyle name="Percent 0.0% 13" xfId="15017"/>
    <cellStyle name="Percent 0.0% 13 2" xfId="16251"/>
    <cellStyle name="Percent 0.0% 14" xfId="15018"/>
    <cellStyle name="Percent 0.0% 14 2" xfId="16252"/>
    <cellStyle name="Percent 0.0% 15" xfId="15019"/>
    <cellStyle name="Percent 0.0% 15 2" xfId="16253"/>
    <cellStyle name="Percent 0.0% 16" xfId="15020"/>
    <cellStyle name="Percent 0.0% 16 2" xfId="16254"/>
    <cellStyle name="Percent 0.0% 17" xfId="16247"/>
    <cellStyle name="Percent 0.0% 2" xfId="15021"/>
    <cellStyle name="Percent 0.0% 2 2" xfId="16255"/>
    <cellStyle name="Percent 0.0% 3" xfId="15022"/>
    <cellStyle name="Percent 0.0% 3 2" xfId="16256"/>
    <cellStyle name="Percent 0.0% 4" xfId="15023"/>
    <cellStyle name="Percent 0.0% 4 2" xfId="16257"/>
    <cellStyle name="Percent 0.0% 5" xfId="15024"/>
    <cellStyle name="Percent 0.0% 5 2" xfId="16258"/>
    <cellStyle name="Percent 0.0% 6" xfId="15025"/>
    <cellStyle name="Percent 0.0% 6 2" xfId="16259"/>
    <cellStyle name="Percent 0.0% 7" xfId="15026"/>
    <cellStyle name="Percent 0.0% 7 2" xfId="16260"/>
    <cellStyle name="Percent 0.0% 8" xfId="15027"/>
    <cellStyle name="Percent 0.0% 8 2" xfId="16261"/>
    <cellStyle name="Percent 0.0% 9" xfId="15028"/>
    <cellStyle name="Percent 0.0% 9 2" xfId="16262"/>
    <cellStyle name="Percent 0.0% Long Underline" xfId="13993"/>
    <cellStyle name="Percent 0.0% Long Underline 10" xfId="15029"/>
    <cellStyle name="Percent 0.0% Long Underline 10 2" xfId="16264"/>
    <cellStyle name="Percent 0.0% Long Underline 11" xfId="15030"/>
    <cellStyle name="Percent 0.0% Long Underline 11 2" xfId="16265"/>
    <cellStyle name="Percent 0.0% Long Underline 12" xfId="15031"/>
    <cellStyle name="Percent 0.0% Long Underline 12 2" xfId="16266"/>
    <cellStyle name="Percent 0.0% Long Underline 13" xfId="15032"/>
    <cellStyle name="Percent 0.0% Long Underline 13 2" xfId="16267"/>
    <cellStyle name="Percent 0.0% Long Underline 14" xfId="15033"/>
    <cellStyle name="Percent 0.0% Long Underline 14 2" xfId="16268"/>
    <cellStyle name="Percent 0.0% Long Underline 15" xfId="15034"/>
    <cellStyle name="Percent 0.0% Long Underline 15 2" xfId="16269"/>
    <cellStyle name="Percent 0.0% Long Underline 16" xfId="15035"/>
    <cellStyle name="Percent 0.0% Long Underline 16 2" xfId="16270"/>
    <cellStyle name="Percent 0.0% Long Underline 17" xfId="16263"/>
    <cellStyle name="Percent 0.0% Long Underline 2" xfId="15036"/>
    <cellStyle name="Percent 0.0% Long Underline 2 2" xfId="16271"/>
    <cellStyle name="Percent 0.0% Long Underline 3" xfId="15037"/>
    <cellStyle name="Percent 0.0% Long Underline 3 2" xfId="16272"/>
    <cellStyle name="Percent 0.0% Long Underline 4" xfId="15038"/>
    <cellStyle name="Percent 0.0% Long Underline 4 2" xfId="16273"/>
    <cellStyle name="Percent 0.0% Long Underline 5" xfId="15039"/>
    <cellStyle name="Percent 0.0% Long Underline 5 2" xfId="16274"/>
    <cellStyle name="Percent 0.0% Long Underline 6" xfId="15040"/>
    <cellStyle name="Percent 0.0% Long Underline 6 2" xfId="16275"/>
    <cellStyle name="Percent 0.0% Long Underline 7" xfId="15041"/>
    <cellStyle name="Percent 0.0% Long Underline 7 2" xfId="16276"/>
    <cellStyle name="Percent 0.0% Long Underline 8" xfId="15042"/>
    <cellStyle name="Percent 0.0% Long Underline 8 2" xfId="16277"/>
    <cellStyle name="Percent 0.0% Long Underline 9" xfId="15043"/>
    <cellStyle name="Percent 0.0% Long Underline 9 2" xfId="16278"/>
    <cellStyle name="Percent 0.0% Long Underline_2010_02_19_Выручка_Прочие_доходы_v5" xfId="15044"/>
    <cellStyle name="Percent 0.0%_091222_Росатом_ЕПС" xfId="15045"/>
    <cellStyle name="Percent 0.00%" xfId="13994"/>
    <cellStyle name="Percent 0.00% 10" xfId="15046"/>
    <cellStyle name="Percent 0.00% 10 2" xfId="16280"/>
    <cellStyle name="Percent 0.00% 11" xfId="15047"/>
    <cellStyle name="Percent 0.00% 11 2" xfId="16281"/>
    <cellStyle name="Percent 0.00% 12" xfId="15048"/>
    <cellStyle name="Percent 0.00% 12 2" xfId="16282"/>
    <cellStyle name="Percent 0.00% 13" xfId="15049"/>
    <cellStyle name="Percent 0.00% 13 2" xfId="16283"/>
    <cellStyle name="Percent 0.00% 14" xfId="15050"/>
    <cellStyle name="Percent 0.00% 14 2" xfId="16284"/>
    <cellStyle name="Percent 0.00% 15" xfId="15051"/>
    <cellStyle name="Percent 0.00% 15 2" xfId="16285"/>
    <cellStyle name="Percent 0.00% 16" xfId="15052"/>
    <cellStyle name="Percent 0.00% 16 2" xfId="16286"/>
    <cellStyle name="Percent 0.00% 17" xfId="16279"/>
    <cellStyle name="Percent 0.00% 2" xfId="15053"/>
    <cellStyle name="Percent 0.00% 2 2" xfId="16287"/>
    <cellStyle name="Percent 0.00% 3" xfId="15054"/>
    <cellStyle name="Percent 0.00% 3 2" xfId="16288"/>
    <cellStyle name="Percent 0.00% 4" xfId="15055"/>
    <cellStyle name="Percent 0.00% 4 2" xfId="16289"/>
    <cellStyle name="Percent 0.00% 5" xfId="15056"/>
    <cellStyle name="Percent 0.00% 5 2" xfId="16290"/>
    <cellStyle name="Percent 0.00% 6" xfId="15057"/>
    <cellStyle name="Percent 0.00% 6 2" xfId="16291"/>
    <cellStyle name="Percent 0.00% 7" xfId="15058"/>
    <cellStyle name="Percent 0.00% 7 2" xfId="16292"/>
    <cellStyle name="Percent 0.00% 8" xfId="15059"/>
    <cellStyle name="Percent 0.00% 8 2" xfId="16293"/>
    <cellStyle name="Percent 0.00% 9" xfId="15060"/>
    <cellStyle name="Percent 0.00% 9 2" xfId="16294"/>
    <cellStyle name="Percent 0.00% Long Underline" xfId="13995"/>
    <cellStyle name="Percent 0.00% Long Underline 10" xfId="15061"/>
    <cellStyle name="Percent 0.00% Long Underline 10 2" xfId="16296"/>
    <cellStyle name="Percent 0.00% Long Underline 11" xfId="15062"/>
    <cellStyle name="Percent 0.00% Long Underline 11 2" xfId="16297"/>
    <cellStyle name="Percent 0.00% Long Underline 12" xfId="15063"/>
    <cellStyle name="Percent 0.00% Long Underline 12 2" xfId="16298"/>
    <cellStyle name="Percent 0.00% Long Underline 13" xfId="15064"/>
    <cellStyle name="Percent 0.00% Long Underline 13 2" xfId="16299"/>
    <cellStyle name="Percent 0.00% Long Underline 14" xfId="15065"/>
    <cellStyle name="Percent 0.00% Long Underline 14 2" xfId="16300"/>
    <cellStyle name="Percent 0.00% Long Underline 15" xfId="15066"/>
    <cellStyle name="Percent 0.00% Long Underline 15 2" xfId="16301"/>
    <cellStyle name="Percent 0.00% Long Underline 16" xfId="15067"/>
    <cellStyle name="Percent 0.00% Long Underline 16 2" xfId="16302"/>
    <cellStyle name="Percent 0.00% Long Underline 17" xfId="16295"/>
    <cellStyle name="Percent 0.00% Long Underline 2" xfId="15068"/>
    <cellStyle name="Percent 0.00% Long Underline 2 2" xfId="16303"/>
    <cellStyle name="Percent 0.00% Long Underline 3" xfId="15069"/>
    <cellStyle name="Percent 0.00% Long Underline 3 2" xfId="16304"/>
    <cellStyle name="Percent 0.00% Long Underline 4" xfId="15070"/>
    <cellStyle name="Percent 0.00% Long Underline 4 2" xfId="16305"/>
    <cellStyle name="Percent 0.00% Long Underline 5" xfId="15071"/>
    <cellStyle name="Percent 0.00% Long Underline 5 2" xfId="16306"/>
    <cellStyle name="Percent 0.00% Long Underline 6" xfId="15072"/>
    <cellStyle name="Percent 0.00% Long Underline 6 2" xfId="16307"/>
    <cellStyle name="Percent 0.00% Long Underline 7" xfId="15073"/>
    <cellStyle name="Percent 0.00% Long Underline 7 2" xfId="16308"/>
    <cellStyle name="Percent 0.00% Long Underline 8" xfId="15074"/>
    <cellStyle name="Percent 0.00% Long Underline 8 2" xfId="16309"/>
    <cellStyle name="Percent 0.00% Long Underline 9" xfId="15075"/>
    <cellStyle name="Percent 0.00% Long Underline 9 2" xfId="16310"/>
    <cellStyle name="Percent 0.00% Long Underline_2010_02_19_Выручка_Прочие_доходы_v5" xfId="15076"/>
    <cellStyle name="Percent 0.00%_091222_Росатом_ЕПС" xfId="15077"/>
    <cellStyle name="Percent 0.000%" xfId="13996"/>
    <cellStyle name="Percent 0.000% 10" xfId="15078"/>
    <cellStyle name="Percent 0.000% 10 2" xfId="16312"/>
    <cellStyle name="Percent 0.000% 11" xfId="15079"/>
    <cellStyle name="Percent 0.000% 11 2" xfId="16313"/>
    <cellStyle name="Percent 0.000% 12" xfId="15080"/>
    <cellStyle name="Percent 0.000% 12 2" xfId="16314"/>
    <cellStyle name="Percent 0.000% 13" xfId="15081"/>
    <cellStyle name="Percent 0.000% 13 2" xfId="16315"/>
    <cellStyle name="Percent 0.000% 14" xfId="15082"/>
    <cellStyle name="Percent 0.000% 14 2" xfId="16316"/>
    <cellStyle name="Percent 0.000% 15" xfId="15083"/>
    <cellStyle name="Percent 0.000% 15 2" xfId="16317"/>
    <cellStyle name="Percent 0.000% 16" xfId="15084"/>
    <cellStyle name="Percent 0.000% 16 2" xfId="16318"/>
    <cellStyle name="Percent 0.000% 17" xfId="16311"/>
    <cellStyle name="Percent 0.000% 2" xfId="15085"/>
    <cellStyle name="Percent 0.000% 2 2" xfId="16319"/>
    <cellStyle name="Percent 0.000% 3" xfId="15086"/>
    <cellStyle name="Percent 0.000% 3 2" xfId="16320"/>
    <cellStyle name="Percent 0.000% 4" xfId="15087"/>
    <cellStyle name="Percent 0.000% 4 2" xfId="16321"/>
    <cellStyle name="Percent 0.000% 5" xfId="15088"/>
    <cellStyle name="Percent 0.000% 5 2" xfId="16322"/>
    <cellStyle name="Percent 0.000% 6" xfId="15089"/>
    <cellStyle name="Percent 0.000% 6 2" xfId="16323"/>
    <cellStyle name="Percent 0.000% 7" xfId="15090"/>
    <cellStyle name="Percent 0.000% 7 2" xfId="16324"/>
    <cellStyle name="Percent 0.000% 8" xfId="15091"/>
    <cellStyle name="Percent 0.000% 8 2" xfId="16325"/>
    <cellStyle name="Percent 0.000% 9" xfId="15092"/>
    <cellStyle name="Percent 0.000% 9 2" xfId="16326"/>
    <cellStyle name="Percent 0.000% Long Underline" xfId="13997"/>
    <cellStyle name="Percent 0.000% Long Underline 10" xfId="15093"/>
    <cellStyle name="Percent 0.000% Long Underline 10 2" xfId="16328"/>
    <cellStyle name="Percent 0.000% Long Underline 11" xfId="15094"/>
    <cellStyle name="Percent 0.000% Long Underline 11 2" xfId="16329"/>
    <cellStyle name="Percent 0.000% Long Underline 12" xfId="15095"/>
    <cellStyle name="Percent 0.000% Long Underline 12 2" xfId="16330"/>
    <cellStyle name="Percent 0.000% Long Underline 13" xfId="15096"/>
    <cellStyle name="Percent 0.000% Long Underline 13 2" xfId="16331"/>
    <cellStyle name="Percent 0.000% Long Underline 14" xfId="15097"/>
    <cellStyle name="Percent 0.000% Long Underline 14 2" xfId="16332"/>
    <cellStyle name="Percent 0.000% Long Underline 15" xfId="15098"/>
    <cellStyle name="Percent 0.000% Long Underline 15 2" xfId="16333"/>
    <cellStyle name="Percent 0.000% Long Underline 16" xfId="15099"/>
    <cellStyle name="Percent 0.000% Long Underline 16 2" xfId="16334"/>
    <cellStyle name="Percent 0.000% Long Underline 17" xfId="16327"/>
    <cellStyle name="Percent 0.000% Long Underline 2" xfId="15100"/>
    <cellStyle name="Percent 0.000% Long Underline 2 2" xfId="16335"/>
    <cellStyle name="Percent 0.000% Long Underline 3" xfId="15101"/>
    <cellStyle name="Percent 0.000% Long Underline 3 2" xfId="16336"/>
    <cellStyle name="Percent 0.000% Long Underline 4" xfId="15102"/>
    <cellStyle name="Percent 0.000% Long Underline 4 2" xfId="16337"/>
    <cellStyle name="Percent 0.000% Long Underline 5" xfId="15103"/>
    <cellStyle name="Percent 0.000% Long Underline 5 2" xfId="16338"/>
    <cellStyle name="Percent 0.000% Long Underline 6" xfId="15104"/>
    <cellStyle name="Percent 0.000% Long Underline 6 2" xfId="16339"/>
    <cellStyle name="Percent 0.000% Long Underline 7" xfId="15105"/>
    <cellStyle name="Percent 0.000% Long Underline 7 2" xfId="16340"/>
    <cellStyle name="Percent 0.000% Long Underline 8" xfId="15106"/>
    <cellStyle name="Percent 0.000% Long Underline 8 2" xfId="16341"/>
    <cellStyle name="Percent 0.000% Long Underline 9" xfId="15107"/>
    <cellStyle name="Percent 0.000% Long Underline 9 2" xfId="16342"/>
    <cellStyle name="Percent 0.000% Long Underline_2010_02_19_Выручка_Прочие_доходы_v5" xfId="15108"/>
    <cellStyle name="Percent 0.000%_091222_Росатом_ЕПС" xfId="15109"/>
    <cellStyle name="Percent 2" xfId="13998"/>
    <cellStyle name="Percent 2 10" xfId="15110"/>
    <cellStyle name="Percent 2 10 2" xfId="16343"/>
    <cellStyle name="Percent 2 11" xfId="15111"/>
    <cellStyle name="Percent 2 11 2" xfId="16344"/>
    <cellStyle name="Percent 2 12" xfId="15112"/>
    <cellStyle name="Percent 2 12 2" xfId="16345"/>
    <cellStyle name="Percent 2 13" xfId="16914"/>
    <cellStyle name="Percent 2 14" xfId="17072"/>
    <cellStyle name="Percent 2 15" xfId="17970"/>
    <cellStyle name="Percent 2 16" xfId="36506"/>
    <cellStyle name="Percent 2 2" xfId="15113"/>
    <cellStyle name="Percent 2 2 2" xfId="16346"/>
    <cellStyle name="Percent 2 3" xfId="15114"/>
    <cellStyle name="Percent 2 3 2" xfId="16347"/>
    <cellStyle name="Percent 2 4" xfId="15115"/>
    <cellStyle name="Percent 2 4 2" xfId="16348"/>
    <cellStyle name="Percent 2 5" xfId="15116"/>
    <cellStyle name="Percent 2 5 2" xfId="16349"/>
    <cellStyle name="Percent 2 6" xfId="15117"/>
    <cellStyle name="Percent 2 6 2" xfId="16350"/>
    <cellStyle name="Percent 2 7" xfId="15118"/>
    <cellStyle name="Percent 2 7 2" xfId="16351"/>
    <cellStyle name="Percent 2 8" xfId="15119"/>
    <cellStyle name="Percent 2 8 2" xfId="16352"/>
    <cellStyle name="Percent 2 9" xfId="15120"/>
    <cellStyle name="Percent 2 9 2" xfId="16353"/>
    <cellStyle name="Percent 2_2010_02_12_Прочая информация_v_1" xfId="15121"/>
    <cellStyle name="Percent 3" xfId="13999"/>
    <cellStyle name="Percent 3 2" xfId="15122"/>
    <cellStyle name="Percent 3 2 2" xfId="16354"/>
    <cellStyle name="Percent 3_Списки" xfId="15123"/>
    <cellStyle name="Percent 4" xfId="14000"/>
    <cellStyle name="Percent 5" xfId="15124"/>
    <cellStyle name="Percent 5 2" xfId="16355"/>
    <cellStyle name="Percent1" xfId="187"/>
    <cellStyle name="Porcentual_PROVBRID (2)" xfId="14001"/>
    <cellStyle name="Pourcentage_Profit &amp; Loss" xfId="14002"/>
    <cellStyle name="QTitle" xfId="14003"/>
    <cellStyle name="s_Valuation " xfId="188"/>
    <cellStyle name="SAPBEXaggData" xfId="14004"/>
    <cellStyle name="SAPBEXaggData 2" xfId="15125"/>
    <cellStyle name="SAPBEXaggData 2 2" xfId="16356"/>
    <cellStyle name="SAPBEXaggData 3" xfId="15126"/>
    <cellStyle name="SAPBEXaggData 3 2" xfId="16357"/>
    <cellStyle name="SAPBEXaggData 4" xfId="15127"/>
    <cellStyle name="SAPBEXaggData 4 2" xfId="16358"/>
    <cellStyle name="SAPBEXaggData 5" xfId="15128"/>
    <cellStyle name="SAPBEXaggData 5 2" xfId="16359"/>
    <cellStyle name="SAPBEXaggData 6" xfId="15129"/>
    <cellStyle name="SAPBEXaggData 6 2" xfId="16360"/>
    <cellStyle name="SAPBEXaggData 7" xfId="15130"/>
    <cellStyle name="SAPBEXaggData 7 2" xfId="16361"/>
    <cellStyle name="SAPBEXaggData_Списки" xfId="15131"/>
    <cellStyle name="SAPBEXaggDataEmph" xfId="14005"/>
    <cellStyle name="SAPBEXaggDataEmph 2" xfId="15132"/>
    <cellStyle name="SAPBEXaggDataEmph 2 2" xfId="16362"/>
    <cellStyle name="SAPBEXaggDataEmph 3" xfId="15133"/>
    <cellStyle name="SAPBEXaggDataEmph 3 2" xfId="16363"/>
    <cellStyle name="SAPBEXaggDataEmph 4" xfId="15134"/>
    <cellStyle name="SAPBEXaggDataEmph 4 2" xfId="16364"/>
    <cellStyle name="SAPBEXaggDataEmph 5" xfId="15135"/>
    <cellStyle name="SAPBEXaggDataEmph 5 2" xfId="16365"/>
    <cellStyle name="SAPBEXaggDataEmph 6" xfId="15136"/>
    <cellStyle name="SAPBEXaggDataEmph 6 2" xfId="16366"/>
    <cellStyle name="SAPBEXaggDataEmph 7" xfId="15137"/>
    <cellStyle name="SAPBEXaggDataEmph 7 2" xfId="16367"/>
    <cellStyle name="SAPBEXaggDataEmph_Списки" xfId="15138"/>
    <cellStyle name="SAPBEXaggItem" xfId="14006"/>
    <cellStyle name="SAPBEXaggItem 2" xfId="15139"/>
    <cellStyle name="SAPBEXaggItem 2 2" xfId="16368"/>
    <cellStyle name="SAPBEXaggItem 3" xfId="15140"/>
    <cellStyle name="SAPBEXaggItem 3 2" xfId="16369"/>
    <cellStyle name="SAPBEXaggItem 4" xfId="15141"/>
    <cellStyle name="SAPBEXaggItem 4 2" xfId="16370"/>
    <cellStyle name="SAPBEXaggItem 5" xfId="15142"/>
    <cellStyle name="SAPBEXaggItem 5 2" xfId="16371"/>
    <cellStyle name="SAPBEXaggItem 6" xfId="15143"/>
    <cellStyle name="SAPBEXaggItem 6 2" xfId="16372"/>
    <cellStyle name="SAPBEXaggItem 7" xfId="15144"/>
    <cellStyle name="SAPBEXaggItem 7 2" xfId="16373"/>
    <cellStyle name="SAPBEXaggItem_Списки" xfId="15145"/>
    <cellStyle name="SAPBEXaggItemX" xfId="14007"/>
    <cellStyle name="SAPBEXaggItemX 2" xfId="15146"/>
    <cellStyle name="SAPBEXaggItemX 2 2" xfId="16374"/>
    <cellStyle name="SAPBEXaggItemX 3" xfId="15147"/>
    <cellStyle name="SAPBEXaggItemX 3 2" xfId="16375"/>
    <cellStyle name="SAPBEXaggItemX 4" xfId="15148"/>
    <cellStyle name="SAPBEXaggItemX 4 2" xfId="16376"/>
    <cellStyle name="SAPBEXaggItemX 5" xfId="15149"/>
    <cellStyle name="SAPBEXaggItemX 5 2" xfId="16377"/>
    <cellStyle name="SAPBEXaggItemX 6" xfId="15150"/>
    <cellStyle name="SAPBEXaggItemX 6 2" xfId="16378"/>
    <cellStyle name="SAPBEXaggItemX 7" xfId="15151"/>
    <cellStyle name="SAPBEXaggItemX 7 2" xfId="16379"/>
    <cellStyle name="SAPBEXaggItemX_Списки" xfId="15152"/>
    <cellStyle name="SAPBEXchaText" xfId="14008"/>
    <cellStyle name="SAPBEXchaText 2" xfId="14009"/>
    <cellStyle name="SAPBEXchaText 2 2" xfId="15153"/>
    <cellStyle name="SAPBEXchaText 2 2 2" xfId="16382"/>
    <cellStyle name="SAPBEXchaText 2 3" xfId="15154"/>
    <cellStyle name="SAPBEXchaText 2 3 2" xfId="16383"/>
    <cellStyle name="SAPBEXchaText 2 4" xfId="15155"/>
    <cellStyle name="SAPBEXchaText 2 4 2" xfId="16384"/>
    <cellStyle name="SAPBEXchaText 2 5" xfId="15156"/>
    <cellStyle name="SAPBEXchaText 2 5 2" xfId="16385"/>
    <cellStyle name="SAPBEXchaText 2 6" xfId="15157"/>
    <cellStyle name="SAPBEXchaText 2 6 2" xfId="16386"/>
    <cellStyle name="SAPBEXchaText 2 7" xfId="15158"/>
    <cellStyle name="SAPBEXchaText 2 7 2" xfId="16387"/>
    <cellStyle name="SAPBEXchaText 2 8" xfId="16381"/>
    <cellStyle name="SAPBEXchaText 2_Списки" xfId="15159"/>
    <cellStyle name="SAPBEXchaText 3" xfId="15160"/>
    <cellStyle name="SAPBEXchaText 3 2" xfId="16388"/>
    <cellStyle name="SAPBEXchaText 4" xfId="15161"/>
    <cellStyle name="SAPBEXchaText 4 2" xfId="16389"/>
    <cellStyle name="SAPBEXchaText 5" xfId="15162"/>
    <cellStyle name="SAPBEXchaText 5 2" xfId="16390"/>
    <cellStyle name="SAPBEXchaText 6" xfId="15163"/>
    <cellStyle name="SAPBEXchaText 6 2" xfId="16391"/>
    <cellStyle name="SAPBEXchaText 7" xfId="15164"/>
    <cellStyle name="SAPBEXchaText 7 2" xfId="16392"/>
    <cellStyle name="SAPBEXchaText 8" xfId="15165"/>
    <cellStyle name="SAPBEXchaText 8 2" xfId="16393"/>
    <cellStyle name="SAPBEXchaText 9" xfId="16380"/>
    <cellStyle name="SAPBEXchaText_2010_02_17_Затраты_v1" xfId="15166"/>
    <cellStyle name="SAPBEXexcBad7" xfId="14010"/>
    <cellStyle name="SAPBEXexcBad7 2" xfId="15167"/>
    <cellStyle name="SAPBEXexcBad7 2 2" xfId="16394"/>
    <cellStyle name="SAPBEXexcBad7 3" xfId="15168"/>
    <cellStyle name="SAPBEXexcBad7 3 2" xfId="16395"/>
    <cellStyle name="SAPBEXexcBad7 4" xfId="15169"/>
    <cellStyle name="SAPBEXexcBad7 4 2" xfId="16396"/>
    <cellStyle name="SAPBEXexcBad7 5" xfId="15170"/>
    <cellStyle name="SAPBEXexcBad7 5 2" xfId="16397"/>
    <cellStyle name="SAPBEXexcBad7 6" xfId="15171"/>
    <cellStyle name="SAPBEXexcBad7 6 2" xfId="16398"/>
    <cellStyle name="SAPBEXexcBad7 7" xfId="15172"/>
    <cellStyle name="SAPBEXexcBad7 7 2" xfId="16399"/>
    <cellStyle name="SAPBEXexcBad7_Списки" xfId="15173"/>
    <cellStyle name="SAPBEXexcBad8" xfId="14011"/>
    <cellStyle name="SAPBEXexcBad8 2" xfId="15174"/>
    <cellStyle name="SAPBEXexcBad8 2 2" xfId="16400"/>
    <cellStyle name="SAPBEXexcBad8 3" xfId="15175"/>
    <cellStyle name="SAPBEXexcBad8 3 2" xfId="16401"/>
    <cellStyle name="SAPBEXexcBad8 4" xfId="15176"/>
    <cellStyle name="SAPBEXexcBad8 4 2" xfId="16402"/>
    <cellStyle name="SAPBEXexcBad8 5" xfId="15177"/>
    <cellStyle name="SAPBEXexcBad8 5 2" xfId="16403"/>
    <cellStyle name="SAPBEXexcBad8 6" xfId="15178"/>
    <cellStyle name="SAPBEXexcBad8 6 2" xfId="16404"/>
    <cellStyle name="SAPBEXexcBad8 7" xfId="15179"/>
    <cellStyle name="SAPBEXexcBad8 7 2" xfId="16405"/>
    <cellStyle name="SAPBEXexcBad8_Списки" xfId="15180"/>
    <cellStyle name="SAPBEXexcBad9" xfId="14012"/>
    <cellStyle name="SAPBEXexcBad9 2" xfId="15181"/>
    <cellStyle name="SAPBEXexcBad9 2 2" xfId="16406"/>
    <cellStyle name="SAPBEXexcBad9 3" xfId="15182"/>
    <cellStyle name="SAPBEXexcBad9 3 2" xfId="16407"/>
    <cellStyle name="SAPBEXexcBad9 4" xfId="15183"/>
    <cellStyle name="SAPBEXexcBad9 4 2" xfId="16408"/>
    <cellStyle name="SAPBEXexcBad9 5" xfId="15184"/>
    <cellStyle name="SAPBEXexcBad9 5 2" xfId="16409"/>
    <cellStyle name="SAPBEXexcBad9 6" xfId="15185"/>
    <cellStyle name="SAPBEXexcBad9 6 2" xfId="16410"/>
    <cellStyle name="SAPBEXexcBad9 7" xfId="15186"/>
    <cellStyle name="SAPBEXexcBad9 7 2" xfId="16411"/>
    <cellStyle name="SAPBEXexcBad9_Списки" xfId="15187"/>
    <cellStyle name="SAPBEXexcCritical4" xfId="14013"/>
    <cellStyle name="SAPBEXexcCritical4 2" xfId="15188"/>
    <cellStyle name="SAPBEXexcCritical4 2 2" xfId="16412"/>
    <cellStyle name="SAPBEXexcCritical4 3" xfId="15189"/>
    <cellStyle name="SAPBEXexcCritical4 3 2" xfId="16413"/>
    <cellStyle name="SAPBEXexcCritical4 4" xfId="15190"/>
    <cellStyle name="SAPBEXexcCritical4 4 2" xfId="16414"/>
    <cellStyle name="SAPBEXexcCritical4 5" xfId="15191"/>
    <cellStyle name="SAPBEXexcCritical4 5 2" xfId="16415"/>
    <cellStyle name="SAPBEXexcCritical4 6" xfId="15192"/>
    <cellStyle name="SAPBEXexcCritical4 6 2" xfId="16416"/>
    <cellStyle name="SAPBEXexcCritical4 7" xfId="15193"/>
    <cellStyle name="SAPBEXexcCritical4 7 2" xfId="16417"/>
    <cellStyle name="SAPBEXexcCritical4_Списки" xfId="15194"/>
    <cellStyle name="SAPBEXexcCritical5" xfId="14014"/>
    <cellStyle name="SAPBEXexcCritical5 2" xfId="15195"/>
    <cellStyle name="SAPBEXexcCritical5 2 2" xfId="16418"/>
    <cellStyle name="SAPBEXexcCritical5 3" xfId="15196"/>
    <cellStyle name="SAPBEXexcCritical5 3 2" xfId="16419"/>
    <cellStyle name="SAPBEXexcCritical5 4" xfId="15197"/>
    <cellStyle name="SAPBEXexcCritical5 4 2" xfId="16420"/>
    <cellStyle name="SAPBEXexcCritical5 5" xfId="15198"/>
    <cellStyle name="SAPBEXexcCritical5 5 2" xfId="16421"/>
    <cellStyle name="SAPBEXexcCritical5 6" xfId="15199"/>
    <cellStyle name="SAPBEXexcCritical5 6 2" xfId="16422"/>
    <cellStyle name="SAPBEXexcCritical5 7" xfId="15200"/>
    <cellStyle name="SAPBEXexcCritical5 7 2" xfId="16423"/>
    <cellStyle name="SAPBEXexcCritical5_Списки" xfId="15201"/>
    <cellStyle name="SAPBEXexcCritical6" xfId="14015"/>
    <cellStyle name="SAPBEXexcCritical6 2" xfId="15202"/>
    <cellStyle name="SAPBEXexcCritical6 2 2" xfId="16424"/>
    <cellStyle name="SAPBEXexcCritical6 3" xfId="15203"/>
    <cellStyle name="SAPBEXexcCritical6 3 2" xfId="16425"/>
    <cellStyle name="SAPBEXexcCritical6 4" xfId="15204"/>
    <cellStyle name="SAPBEXexcCritical6 4 2" xfId="16426"/>
    <cellStyle name="SAPBEXexcCritical6 5" xfId="15205"/>
    <cellStyle name="SAPBEXexcCritical6 5 2" xfId="16427"/>
    <cellStyle name="SAPBEXexcCritical6 6" xfId="15206"/>
    <cellStyle name="SAPBEXexcCritical6 6 2" xfId="16428"/>
    <cellStyle name="SAPBEXexcCritical6 7" xfId="15207"/>
    <cellStyle name="SAPBEXexcCritical6 7 2" xfId="16429"/>
    <cellStyle name="SAPBEXexcCritical6_Списки" xfId="15208"/>
    <cellStyle name="SAPBEXexcGood1" xfId="14016"/>
    <cellStyle name="SAPBEXexcGood1 2" xfId="15209"/>
    <cellStyle name="SAPBEXexcGood1 2 2" xfId="16430"/>
    <cellStyle name="SAPBEXexcGood1 3" xfId="15210"/>
    <cellStyle name="SAPBEXexcGood1 3 2" xfId="16431"/>
    <cellStyle name="SAPBEXexcGood1 4" xfId="15211"/>
    <cellStyle name="SAPBEXexcGood1 4 2" xfId="16432"/>
    <cellStyle name="SAPBEXexcGood1 5" xfId="15212"/>
    <cellStyle name="SAPBEXexcGood1 5 2" xfId="16433"/>
    <cellStyle name="SAPBEXexcGood1 6" xfId="15213"/>
    <cellStyle name="SAPBEXexcGood1 6 2" xfId="16434"/>
    <cellStyle name="SAPBEXexcGood1 7" xfId="15214"/>
    <cellStyle name="SAPBEXexcGood1 7 2" xfId="16435"/>
    <cellStyle name="SAPBEXexcGood1_Списки" xfId="15215"/>
    <cellStyle name="SAPBEXexcGood2" xfId="14017"/>
    <cellStyle name="SAPBEXexcGood2 2" xfId="15216"/>
    <cellStyle name="SAPBEXexcGood2 2 2" xfId="16436"/>
    <cellStyle name="SAPBEXexcGood2 3" xfId="15217"/>
    <cellStyle name="SAPBEXexcGood2 3 2" xfId="16437"/>
    <cellStyle name="SAPBEXexcGood2 4" xfId="15218"/>
    <cellStyle name="SAPBEXexcGood2 4 2" xfId="16438"/>
    <cellStyle name="SAPBEXexcGood2 5" xfId="15219"/>
    <cellStyle name="SAPBEXexcGood2 5 2" xfId="16439"/>
    <cellStyle name="SAPBEXexcGood2 6" xfId="15220"/>
    <cellStyle name="SAPBEXexcGood2 6 2" xfId="16440"/>
    <cellStyle name="SAPBEXexcGood2 7" xfId="15221"/>
    <cellStyle name="SAPBEXexcGood2 7 2" xfId="16441"/>
    <cellStyle name="SAPBEXexcGood2_Списки" xfId="15222"/>
    <cellStyle name="SAPBEXexcGood3" xfId="14018"/>
    <cellStyle name="SAPBEXexcGood3 2" xfId="15223"/>
    <cellStyle name="SAPBEXexcGood3 2 2" xfId="16442"/>
    <cellStyle name="SAPBEXexcGood3 3" xfId="15224"/>
    <cellStyle name="SAPBEXexcGood3 3 2" xfId="16443"/>
    <cellStyle name="SAPBEXexcGood3 4" xfId="15225"/>
    <cellStyle name="SAPBEXexcGood3 4 2" xfId="16444"/>
    <cellStyle name="SAPBEXexcGood3 5" xfId="15226"/>
    <cellStyle name="SAPBEXexcGood3 5 2" xfId="16445"/>
    <cellStyle name="SAPBEXexcGood3 6" xfId="15227"/>
    <cellStyle name="SAPBEXexcGood3 6 2" xfId="16446"/>
    <cellStyle name="SAPBEXexcGood3 7" xfId="15228"/>
    <cellStyle name="SAPBEXexcGood3 7 2" xfId="16447"/>
    <cellStyle name="SAPBEXexcGood3_Списки" xfId="15229"/>
    <cellStyle name="SAPBEXfilterDrill" xfId="14019"/>
    <cellStyle name="SAPBEXfilterDrill 2" xfId="15230"/>
    <cellStyle name="SAPBEXfilterDrill 2 2" xfId="16448"/>
    <cellStyle name="SAPBEXfilterDrill 3" xfId="15231"/>
    <cellStyle name="SAPBEXfilterDrill 3 2" xfId="16449"/>
    <cellStyle name="SAPBEXfilterDrill 4" xfId="15232"/>
    <cellStyle name="SAPBEXfilterDrill 4 2" xfId="16450"/>
    <cellStyle name="SAPBEXfilterDrill 5" xfId="15233"/>
    <cellStyle name="SAPBEXfilterDrill 5 2" xfId="16451"/>
    <cellStyle name="SAPBEXfilterDrill 6" xfId="15234"/>
    <cellStyle name="SAPBEXfilterDrill 6 2" xfId="16452"/>
    <cellStyle name="SAPBEXfilterDrill 7" xfId="15235"/>
    <cellStyle name="SAPBEXfilterDrill 7 2" xfId="16453"/>
    <cellStyle name="SAPBEXfilterDrill_Списки" xfId="15236"/>
    <cellStyle name="SAPBEXfilterItem" xfId="14020"/>
    <cellStyle name="SAPBEXfilterItem 2" xfId="15237"/>
    <cellStyle name="SAPBEXfilterItem 2 2" xfId="16454"/>
    <cellStyle name="SAPBEXfilterItem 3" xfId="15238"/>
    <cellStyle name="SAPBEXfilterItem 3 2" xfId="16455"/>
    <cellStyle name="SAPBEXfilterItem 4" xfId="15239"/>
    <cellStyle name="SAPBEXfilterItem 4 2" xfId="16456"/>
    <cellStyle name="SAPBEXfilterItem 5" xfId="15240"/>
    <cellStyle name="SAPBEXfilterItem 5 2" xfId="16457"/>
    <cellStyle name="SAPBEXfilterItem 6" xfId="15241"/>
    <cellStyle name="SAPBEXfilterItem 6 2" xfId="16458"/>
    <cellStyle name="SAPBEXfilterItem 7" xfId="15242"/>
    <cellStyle name="SAPBEXfilterItem 7 2" xfId="16459"/>
    <cellStyle name="SAPBEXfilterItem_Списки" xfId="15243"/>
    <cellStyle name="SAPBEXfilterText" xfId="14021"/>
    <cellStyle name="SAPBEXfilterText 2" xfId="15244"/>
    <cellStyle name="SAPBEXfilterText 2 2" xfId="16460"/>
    <cellStyle name="SAPBEXfilterText 3" xfId="15245"/>
    <cellStyle name="SAPBEXfilterText 3 2" xfId="16461"/>
    <cellStyle name="SAPBEXfilterText 4" xfId="15246"/>
    <cellStyle name="SAPBEXfilterText 4 2" xfId="16462"/>
    <cellStyle name="SAPBEXfilterText 5" xfId="15247"/>
    <cellStyle name="SAPBEXfilterText 5 2" xfId="16463"/>
    <cellStyle name="SAPBEXfilterText 6" xfId="15248"/>
    <cellStyle name="SAPBEXfilterText 6 2" xfId="16464"/>
    <cellStyle name="SAPBEXfilterText 7" xfId="15249"/>
    <cellStyle name="SAPBEXfilterText 7 2" xfId="16465"/>
    <cellStyle name="SAPBEXfilterText_Списки" xfId="15250"/>
    <cellStyle name="SAPBEXformats" xfId="14022"/>
    <cellStyle name="SAPBEXformats 2" xfId="15251"/>
    <cellStyle name="SAPBEXformats 2 2" xfId="16467"/>
    <cellStyle name="SAPBEXformats 3" xfId="15252"/>
    <cellStyle name="SAPBEXformats 3 2" xfId="16468"/>
    <cellStyle name="SAPBEXformats 4" xfId="15253"/>
    <cellStyle name="SAPBEXformats 4 2" xfId="16469"/>
    <cellStyle name="SAPBEXformats 5" xfId="15254"/>
    <cellStyle name="SAPBEXformats 5 2" xfId="16470"/>
    <cellStyle name="SAPBEXformats 6" xfId="15255"/>
    <cellStyle name="SAPBEXformats 6 2" xfId="16471"/>
    <cellStyle name="SAPBEXformats 7" xfId="15256"/>
    <cellStyle name="SAPBEXformats 7 2" xfId="16472"/>
    <cellStyle name="SAPBEXformats 8" xfId="16466"/>
    <cellStyle name="SAPBEXformats_Списки" xfId="15257"/>
    <cellStyle name="SAPBEXheaderItem" xfId="14023"/>
    <cellStyle name="SAPBEXheaderItem 10" xfId="14024"/>
    <cellStyle name="SAPBEXheaderItem 10 2" xfId="14025"/>
    <cellStyle name="SAPBEXheaderItem 10 3" xfId="14026"/>
    <cellStyle name="SAPBEXheaderItem 10 4" xfId="14027"/>
    <cellStyle name="SAPBEXheaderItem 10 5" xfId="14028"/>
    <cellStyle name="SAPBEXheaderItem 10 6" xfId="15258"/>
    <cellStyle name="SAPBEXheaderItem 10 6 2" xfId="16473"/>
    <cellStyle name="SAPBEXheaderItem 10 7" xfId="15259"/>
    <cellStyle name="SAPBEXheaderItem 10 7 2" xfId="16474"/>
    <cellStyle name="SAPBEXheaderItem 10_Списки" xfId="15260"/>
    <cellStyle name="SAPBEXheaderItem 11" xfId="14029"/>
    <cellStyle name="SAPBEXheaderItem 12" xfId="14030"/>
    <cellStyle name="SAPBEXheaderItem 13" xfId="14031"/>
    <cellStyle name="SAPBEXheaderItem 14" xfId="14032"/>
    <cellStyle name="SAPBEXheaderItem 15" xfId="15261"/>
    <cellStyle name="SAPBEXheaderItem 15 2" xfId="16475"/>
    <cellStyle name="SAPBEXheaderItem 16" xfId="15262"/>
    <cellStyle name="SAPBEXheaderItem 16 2" xfId="16476"/>
    <cellStyle name="SAPBEXheaderItem 2" xfId="14033"/>
    <cellStyle name="SAPBEXheaderItem 2 2" xfId="14034"/>
    <cellStyle name="SAPBEXheaderItem 2 3" xfId="14035"/>
    <cellStyle name="SAPBEXheaderItem 2 4" xfId="14036"/>
    <cellStyle name="SAPBEXheaderItem 2 5" xfId="14037"/>
    <cellStyle name="SAPBEXheaderItem 2 6" xfId="15263"/>
    <cellStyle name="SAPBEXheaderItem 2 6 2" xfId="16477"/>
    <cellStyle name="SAPBEXheaderItem 2 7" xfId="15264"/>
    <cellStyle name="SAPBEXheaderItem 2 7 2" xfId="16478"/>
    <cellStyle name="SAPBEXheaderItem 2_Списки" xfId="15265"/>
    <cellStyle name="SAPBEXheaderItem 3" xfId="14038"/>
    <cellStyle name="SAPBEXheaderItem 3 2" xfId="14039"/>
    <cellStyle name="SAPBEXheaderItem 3 3" xfId="14040"/>
    <cellStyle name="SAPBEXheaderItem 3 4" xfId="14041"/>
    <cellStyle name="SAPBEXheaderItem 3 5" xfId="14042"/>
    <cellStyle name="SAPBEXheaderItem 3 6" xfId="15266"/>
    <cellStyle name="SAPBEXheaderItem 3 6 2" xfId="16479"/>
    <cellStyle name="SAPBEXheaderItem 3 7" xfId="15267"/>
    <cellStyle name="SAPBEXheaderItem 3 7 2" xfId="16480"/>
    <cellStyle name="SAPBEXheaderItem 3_Списки" xfId="15268"/>
    <cellStyle name="SAPBEXheaderItem 4" xfId="14043"/>
    <cellStyle name="SAPBEXheaderItem 4 2" xfId="14044"/>
    <cellStyle name="SAPBEXheaderItem 4 3" xfId="14045"/>
    <cellStyle name="SAPBEXheaderItem 4 4" xfId="14046"/>
    <cellStyle name="SAPBEXheaderItem 4 5" xfId="14047"/>
    <cellStyle name="SAPBEXheaderItem 4 6" xfId="15269"/>
    <cellStyle name="SAPBEXheaderItem 4 6 2" xfId="16481"/>
    <cellStyle name="SAPBEXheaderItem 4 7" xfId="15270"/>
    <cellStyle name="SAPBEXheaderItem 4 7 2" xfId="16482"/>
    <cellStyle name="SAPBEXheaderItem 4_Списки" xfId="15271"/>
    <cellStyle name="SAPBEXheaderItem 5" xfId="14048"/>
    <cellStyle name="SAPBEXheaderItem 5 2" xfId="14049"/>
    <cellStyle name="SAPBEXheaderItem 5 3" xfId="14050"/>
    <cellStyle name="SAPBEXheaderItem 5 4" xfId="14051"/>
    <cellStyle name="SAPBEXheaderItem 5 5" xfId="14052"/>
    <cellStyle name="SAPBEXheaderItem 5 6" xfId="15272"/>
    <cellStyle name="SAPBEXheaderItem 5 6 2" xfId="16483"/>
    <cellStyle name="SAPBEXheaderItem 5 7" xfId="15273"/>
    <cellStyle name="SAPBEXheaderItem 5 7 2" xfId="16484"/>
    <cellStyle name="SAPBEXheaderItem 5_Списки" xfId="15274"/>
    <cellStyle name="SAPBEXheaderItem 6" xfId="14053"/>
    <cellStyle name="SAPBEXheaderItem 6 2" xfId="14054"/>
    <cellStyle name="SAPBEXheaderItem 6 3" xfId="14055"/>
    <cellStyle name="SAPBEXheaderItem 6 4" xfId="14056"/>
    <cellStyle name="SAPBEXheaderItem 6 5" xfId="14057"/>
    <cellStyle name="SAPBEXheaderItem 6 6" xfId="15275"/>
    <cellStyle name="SAPBEXheaderItem 6 6 2" xfId="16485"/>
    <cellStyle name="SAPBEXheaderItem 6 7" xfId="15276"/>
    <cellStyle name="SAPBEXheaderItem 6 7 2" xfId="16486"/>
    <cellStyle name="SAPBEXheaderItem 6_Списки" xfId="15277"/>
    <cellStyle name="SAPBEXheaderItem 7" xfId="14058"/>
    <cellStyle name="SAPBEXheaderItem 7 2" xfId="14059"/>
    <cellStyle name="SAPBEXheaderItem 7 3" xfId="14060"/>
    <cellStyle name="SAPBEXheaderItem 7 4" xfId="14061"/>
    <cellStyle name="SAPBEXheaderItem 7 5" xfId="14062"/>
    <cellStyle name="SAPBEXheaderItem 7 6" xfId="15278"/>
    <cellStyle name="SAPBEXheaderItem 7 6 2" xfId="16487"/>
    <cellStyle name="SAPBEXheaderItem 7 7" xfId="15279"/>
    <cellStyle name="SAPBEXheaderItem 7 7 2" xfId="16488"/>
    <cellStyle name="SAPBEXheaderItem 7_Списки" xfId="15280"/>
    <cellStyle name="SAPBEXheaderItem 8" xfId="14063"/>
    <cellStyle name="SAPBEXheaderItem 8 2" xfId="14064"/>
    <cellStyle name="SAPBEXheaderItem 8 3" xfId="14065"/>
    <cellStyle name="SAPBEXheaderItem 8 4" xfId="14066"/>
    <cellStyle name="SAPBEXheaderItem 8 5" xfId="14067"/>
    <cellStyle name="SAPBEXheaderItem 8 6" xfId="15281"/>
    <cellStyle name="SAPBEXheaderItem 8 6 2" xfId="16489"/>
    <cellStyle name="SAPBEXheaderItem 8 7" xfId="15282"/>
    <cellStyle name="SAPBEXheaderItem 8 7 2" xfId="16490"/>
    <cellStyle name="SAPBEXheaderItem 8_Списки" xfId="15283"/>
    <cellStyle name="SAPBEXheaderItem 9" xfId="14068"/>
    <cellStyle name="SAPBEXheaderItem 9 2" xfId="14069"/>
    <cellStyle name="SAPBEXheaderItem 9 3" xfId="14070"/>
    <cellStyle name="SAPBEXheaderItem 9 4" xfId="14071"/>
    <cellStyle name="SAPBEXheaderItem 9 5" xfId="14072"/>
    <cellStyle name="SAPBEXheaderItem 9 6" xfId="15284"/>
    <cellStyle name="SAPBEXheaderItem 9 6 2" xfId="16491"/>
    <cellStyle name="SAPBEXheaderItem 9 7" xfId="15285"/>
    <cellStyle name="SAPBEXheaderItem 9 7 2" xfId="16492"/>
    <cellStyle name="SAPBEXheaderItem 9_Списки" xfId="15286"/>
    <cellStyle name="SAPBEXheaderItem_2010_02_17_Затраты_v1" xfId="15287"/>
    <cellStyle name="SAPBEXheaderText" xfId="14073"/>
    <cellStyle name="SAPBEXheaderText 10" xfId="14074"/>
    <cellStyle name="SAPBEXheaderText 10 2" xfId="14075"/>
    <cellStyle name="SAPBEXheaderText 10 3" xfId="14076"/>
    <cellStyle name="SAPBEXheaderText 10 4" xfId="14077"/>
    <cellStyle name="SAPBEXheaderText 10 5" xfId="14078"/>
    <cellStyle name="SAPBEXheaderText 10 6" xfId="15288"/>
    <cellStyle name="SAPBEXheaderText 10 6 2" xfId="16493"/>
    <cellStyle name="SAPBEXheaderText 10 7" xfId="15289"/>
    <cellStyle name="SAPBEXheaderText 10 7 2" xfId="16494"/>
    <cellStyle name="SAPBEXheaderText 10_Списки" xfId="15290"/>
    <cellStyle name="SAPBEXheaderText 11" xfId="14079"/>
    <cellStyle name="SAPBEXheaderText 12" xfId="14080"/>
    <cellStyle name="SAPBEXheaderText 13" xfId="14081"/>
    <cellStyle name="SAPBEXheaderText 14" xfId="14082"/>
    <cellStyle name="SAPBEXheaderText 15" xfId="15291"/>
    <cellStyle name="SAPBEXheaderText 15 2" xfId="16495"/>
    <cellStyle name="SAPBEXheaderText 16" xfId="15292"/>
    <cellStyle name="SAPBEXheaderText 16 2" xfId="16496"/>
    <cellStyle name="SAPBEXheaderText 2" xfId="14083"/>
    <cellStyle name="SAPBEXheaderText 2 2" xfId="14084"/>
    <cellStyle name="SAPBEXheaderText 2 3" xfId="14085"/>
    <cellStyle name="SAPBEXheaderText 2 4" xfId="14086"/>
    <cellStyle name="SAPBEXheaderText 2 5" xfId="14087"/>
    <cellStyle name="SAPBEXheaderText 2 6" xfId="15293"/>
    <cellStyle name="SAPBEXheaderText 2 6 2" xfId="16497"/>
    <cellStyle name="SAPBEXheaderText 2 7" xfId="15294"/>
    <cellStyle name="SAPBEXheaderText 2 7 2" xfId="16498"/>
    <cellStyle name="SAPBEXheaderText 2_Списки" xfId="15295"/>
    <cellStyle name="SAPBEXheaderText 3" xfId="14088"/>
    <cellStyle name="SAPBEXheaderText 3 2" xfId="14089"/>
    <cellStyle name="SAPBEXheaderText 3 3" xfId="14090"/>
    <cellStyle name="SAPBEXheaderText 3 4" xfId="14091"/>
    <cellStyle name="SAPBEXheaderText 3 5" xfId="14092"/>
    <cellStyle name="SAPBEXheaderText 3 6" xfId="15296"/>
    <cellStyle name="SAPBEXheaderText 3 6 2" xfId="16499"/>
    <cellStyle name="SAPBEXheaderText 3 7" xfId="15297"/>
    <cellStyle name="SAPBEXheaderText 3 7 2" xfId="16500"/>
    <cellStyle name="SAPBEXheaderText 3_Списки" xfId="15298"/>
    <cellStyle name="SAPBEXheaderText 4" xfId="14093"/>
    <cellStyle name="SAPBEXheaderText 4 2" xfId="14094"/>
    <cellStyle name="SAPBEXheaderText 4 3" xfId="14095"/>
    <cellStyle name="SAPBEXheaderText 4 4" xfId="14096"/>
    <cellStyle name="SAPBEXheaderText 4 5" xfId="14097"/>
    <cellStyle name="SAPBEXheaderText 4 6" xfId="15299"/>
    <cellStyle name="SAPBEXheaderText 4 6 2" xfId="16501"/>
    <cellStyle name="SAPBEXheaderText 4 7" xfId="15300"/>
    <cellStyle name="SAPBEXheaderText 4 7 2" xfId="16502"/>
    <cellStyle name="SAPBEXheaderText 4_Списки" xfId="15301"/>
    <cellStyle name="SAPBEXheaderText 5" xfId="14098"/>
    <cellStyle name="SAPBEXheaderText 5 2" xfId="14099"/>
    <cellStyle name="SAPBEXheaderText 5 3" xfId="14100"/>
    <cellStyle name="SAPBEXheaderText 5 4" xfId="14101"/>
    <cellStyle name="SAPBEXheaderText 5 5" xfId="14102"/>
    <cellStyle name="SAPBEXheaderText 5 6" xfId="15302"/>
    <cellStyle name="SAPBEXheaderText 5 6 2" xfId="16503"/>
    <cellStyle name="SAPBEXheaderText 5 7" xfId="15303"/>
    <cellStyle name="SAPBEXheaderText 5 7 2" xfId="16504"/>
    <cellStyle name="SAPBEXheaderText 5_Списки" xfId="15304"/>
    <cellStyle name="SAPBEXheaderText 6" xfId="14103"/>
    <cellStyle name="SAPBEXheaderText 6 2" xfId="14104"/>
    <cellStyle name="SAPBEXheaderText 6 3" xfId="14105"/>
    <cellStyle name="SAPBEXheaderText 6 4" xfId="14106"/>
    <cellStyle name="SAPBEXheaderText 6 5" xfId="14107"/>
    <cellStyle name="SAPBEXheaderText 6 6" xfId="15305"/>
    <cellStyle name="SAPBEXheaderText 6 6 2" xfId="16505"/>
    <cellStyle name="SAPBEXheaderText 6 7" xfId="15306"/>
    <cellStyle name="SAPBEXheaderText 6 7 2" xfId="16506"/>
    <cellStyle name="SAPBEXheaderText 6_Списки" xfId="15307"/>
    <cellStyle name="SAPBEXheaderText 7" xfId="14108"/>
    <cellStyle name="SAPBEXheaderText 7 2" xfId="14109"/>
    <cellStyle name="SAPBEXheaderText 7 3" xfId="14110"/>
    <cellStyle name="SAPBEXheaderText 7 4" xfId="14111"/>
    <cellStyle name="SAPBEXheaderText 7 5" xfId="14112"/>
    <cellStyle name="SAPBEXheaderText 7 6" xfId="15308"/>
    <cellStyle name="SAPBEXheaderText 7 6 2" xfId="16507"/>
    <cellStyle name="SAPBEXheaderText 7 7" xfId="15309"/>
    <cellStyle name="SAPBEXheaderText 7 7 2" xfId="16508"/>
    <cellStyle name="SAPBEXheaderText 7_Списки" xfId="15310"/>
    <cellStyle name="SAPBEXheaderText 8" xfId="14113"/>
    <cellStyle name="SAPBEXheaderText 8 2" xfId="14114"/>
    <cellStyle name="SAPBEXheaderText 8 3" xfId="14115"/>
    <cellStyle name="SAPBEXheaderText 8 4" xfId="14116"/>
    <cellStyle name="SAPBEXheaderText 8 5" xfId="14117"/>
    <cellStyle name="SAPBEXheaderText 8 6" xfId="15311"/>
    <cellStyle name="SAPBEXheaderText 8 6 2" xfId="16509"/>
    <cellStyle name="SAPBEXheaderText 8 7" xfId="15312"/>
    <cellStyle name="SAPBEXheaderText 8 7 2" xfId="16510"/>
    <cellStyle name="SAPBEXheaderText 8_Списки" xfId="15313"/>
    <cellStyle name="SAPBEXheaderText 9" xfId="14118"/>
    <cellStyle name="SAPBEXheaderText 9 2" xfId="14119"/>
    <cellStyle name="SAPBEXheaderText 9 3" xfId="14120"/>
    <cellStyle name="SAPBEXheaderText 9 4" xfId="14121"/>
    <cellStyle name="SAPBEXheaderText 9 5" xfId="14122"/>
    <cellStyle name="SAPBEXheaderText 9 6" xfId="15314"/>
    <cellStyle name="SAPBEXheaderText 9 6 2" xfId="16511"/>
    <cellStyle name="SAPBEXheaderText 9 7" xfId="15315"/>
    <cellStyle name="SAPBEXheaderText 9 7 2" xfId="16512"/>
    <cellStyle name="SAPBEXheaderText 9_Списки" xfId="15316"/>
    <cellStyle name="SAPBEXheaderText_2010_02_17_Затраты_v1" xfId="15317"/>
    <cellStyle name="SAPBEXHLevel0" xfId="14123"/>
    <cellStyle name="SAPBEXHLevel0 2" xfId="14124"/>
    <cellStyle name="SAPBEXHLevel0 2 2" xfId="15318"/>
    <cellStyle name="SAPBEXHLevel0 2 2 2" xfId="16515"/>
    <cellStyle name="SAPBEXHLevel0 2 3" xfId="15319"/>
    <cellStyle name="SAPBEXHLevel0 2 3 2" xfId="16516"/>
    <cellStyle name="SAPBEXHLevel0 2 4" xfId="15320"/>
    <cellStyle name="SAPBEXHLevel0 2 4 2" xfId="16517"/>
    <cellStyle name="SAPBEXHLevel0 2 5" xfId="15321"/>
    <cellStyle name="SAPBEXHLevel0 2 5 2" xfId="16518"/>
    <cellStyle name="SAPBEXHLevel0 2 6" xfId="15322"/>
    <cellStyle name="SAPBEXHLevel0 2 6 2" xfId="16519"/>
    <cellStyle name="SAPBEXHLevel0 2 7" xfId="15323"/>
    <cellStyle name="SAPBEXHLevel0 2 7 2" xfId="16520"/>
    <cellStyle name="SAPBEXHLevel0 2 8" xfId="16514"/>
    <cellStyle name="SAPBEXHLevel0 2_Списки" xfId="15324"/>
    <cellStyle name="SAPBEXHLevel0 3" xfId="15325"/>
    <cellStyle name="SAPBEXHLevel0 3 2" xfId="16521"/>
    <cellStyle name="SAPBEXHLevel0 4" xfId="15326"/>
    <cellStyle name="SAPBEXHLevel0 4 2" xfId="16522"/>
    <cellStyle name="SAPBEXHLevel0 5" xfId="15327"/>
    <cellStyle name="SAPBEXHLevel0 5 2" xfId="16523"/>
    <cellStyle name="SAPBEXHLevel0 6" xfId="15328"/>
    <cellStyle name="SAPBEXHLevel0 6 2" xfId="16524"/>
    <cellStyle name="SAPBEXHLevel0 7" xfId="15329"/>
    <cellStyle name="SAPBEXHLevel0 7 2" xfId="16525"/>
    <cellStyle name="SAPBEXHLevel0 8" xfId="15330"/>
    <cellStyle name="SAPBEXHLevel0 8 2" xfId="16526"/>
    <cellStyle name="SAPBEXHLevel0 9" xfId="16513"/>
    <cellStyle name="SAPBEXHLevel0_2010_02_17_Затраты_v1" xfId="15331"/>
    <cellStyle name="SAPBEXHLevel0X" xfId="14125"/>
    <cellStyle name="SAPBEXHLevel0X 2" xfId="15332"/>
    <cellStyle name="SAPBEXHLevel0X 2 2" xfId="16528"/>
    <cellStyle name="SAPBEXHLevel0X 3" xfId="15333"/>
    <cellStyle name="SAPBEXHLevel0X 3 2" xfId="16529"/>
    <cellStyle name="SAPBEXHLevel0X 4" xfId="15334"/>
    <cellStyle name="SAPBEXHLevel0X 4 2" xfId="16530"/>
    <cellStyle name="SAPBEXHLevel0X 5" xfId="15335"/>
    <cellStyle name="SAPBEXHLevel0X 5 2" xfId="16531"/>
    <cellStyle name="SAPBEXHLevel0X 6" xfId="15336"/>
    <cellStyle name="SAPBEXHLevel0X 6 2" xfId="16532"/>
    <cellStyle name="SAPBEXHLevel0X 7" xfId="15337"/>
    <cellStyle name="SAPBEXHLevel0X 7 2" xfId="16533"/>
    <cellStyle name="SAPBEXHLevel0X 8" xfId="16527"/>
    <cellStyle name="SAPBEXHLevel0X_Списки" xfId="15338"/>
    <cellStyle name="SAPBEXHLevel1" xfId="14126"/>
    <cellStyle name="SAPBEXHLevel1 2" xfId="14127"/>
    <cellStyle name="SAPBEXHLevel1 2 2" xfId="15339"/>
    <cellStyle name="SAPBEXHLevel1 2 2 2" xfId="16536"/>
    <cellStyle name="SAPBEXHLevel1 2 3" xfId="15340"/>
    <cellStyle name="SAPBEXHLevel1 2 3 2" xfId="16537"/>
    <cellStyle name="SAPBEXHLevel1 2 4" xfId="15341"/>
    <cellStyle name="SAPBEXHLevel1 2 4 2" xfId="16538"/>
    <cellStyle name="SAPBEXHLevel1 2 5" xfId="15342"/>
    <cellStyle name="SAPBEXHLevel1 2 5 2" xfId="16539"/>
    <cellStyle name="SAPBEXHLevel1 2 6" xfId="15343"/>
    <cellStyle name="SAPBEXHLevel1 2 6 2" xfId="16540"/>
    <cellStyle name="SAPBEXHLevel1 2 7" xfId="15344"/>
    <cellStyle name="SAPBEXHLevel1 2 7 2" xfId="16541"/>
    <cellStyle name="SAPBEXHLevel1 2 8" xfId="16535"/>
    <cellStyle name="SAPBEXHLevel1 2_Списки" xfId="15345"/>
    <cellStyle name="SAPBEXHLevel1 3" xfId="15346"/>
    <cellStyle name="SAPBEXHLevel1 3 2" xfId="16542"/>
    <cellStyle name="SAPBEXHLevel1 4" xfId="15347"/>
    <cellStyle name="SAPBEXHLevel1 4 2" xfId="16543"/>
    <cellStyle name="SAPBEXHLevel1 5" xfId="15348"/>
    <cellStyle name="SAPBEXHLevel1 5 2" xfId="16544"/>
    <cellStyle name="SAPBEXHLevel1 6" xfId="15349"/>
    <cellStyle name="SAPBEXHLevel1 6 2" xfId="16545"/>
    <cellStyle name="SAPBEXHLevel1 7" xfId="15350"/>
    <cellStyle name="SAPBEXHLevel1 7 2" xfId="16546"/>
    <cellStyle name="SAPBEXHLevel1 8" xfId="15351"/>
    <cellStyle name="SAPBEXHLevel1 8 2" xfId="16547"/>
    <cellStyle name="SAPBEXHLevel1 9" xfId="16534"/>
    <cellStyle name="SAPBEXHLevel1_2010_02_17_Затраты_v1" xfId="15352"/>
    <cellStyle name="SAPBEXHLevel1X" xfId="14128"/>
    <cellStyle name="SAPBEXHLevel1X 2" xfId="15353"/>
    <cellStyle name="SAPBEXHLevel1X 2 2" xfId="16549"/>
    <cellStyle name="SAPBEXHLevel1X 3" xfId="15354"/>
    <cellStyle name="SAPBEXHLevel1X 3 2" xfId="16550"/>
    <cellStyle name="SAPBEXHLevel1X 4" xfId="15355"/>
    <cellStyle name="SAPBEXHLevel1X 4 2" xfId="16551"/>
    <cellStyle name="SAPBEXHLevel1X 5" xfId="15356"/>
    <cellStyle name="SAPBEXHLevel1X 5 2" xfId="16552"/>
    <cellStyle name="SAPBEXHLevel1X 6" xfId="15357"/>
    <cellStyle name="SAPBEXHLevel1X 6 2" xfId="16553"/>
    <cellStyle name="SAPBEXHLevel1X 7" xfId="15358"/>
    <cellStyle name="SAPBEXHLevel1X 7 2" xfId="16554"/>
    <cellStyle name="SAPBEXHLevel1X 8" xfId="16548"/>
    <cellStyle name="SAPBEXHLevel1X_Списки" xfId="15359"/>
    <cellStyle name="SAPBEXHLevel2" xfId="14129"/>
    <cellStyle name="SAPBEXHLevel2 2" xfId="14130"/>
    <cellStyle name="SAPBEXHLevel2 2 2" xfId="15360"/>
    <cellStyle name="SAPBEXHLevel2 2 2 2" xfId="16557"/>
    <cellStyle name="SAPBEXHLevel2 2 3" xfId="15361"/>
    <cellStyle name="SAPBEXHLevel2 2 3 2" xfId="16558"/>
    <cellStyle name="SAPBEXHLevel2 2 4" xfId="15362"/>
    <cellStyle name="SAPBEXHLevel2 2 4 2" xfId="16559"/>
    <cellStyle name="SAPBEXHLevel2 2 5" xfId="15363"/>
    <cellStyle name="SAPBEXHLevel2 2 5 2" xfId="16560"/>
    <cellStyle name="SAPBEXHLevel2 2 6" xfId="15364"/>
    <cellStyle name="SAPBEXHLevel2 2 6 2" xfId="16561"/>
    <cellStyle name="SAPBEXHLevel2 2 7" xfId="15365"/>
    <cellStyle name="SAPBEXHLevel2 2 7 2" xfId="16562"/>
    <cellStyle name="SAPBEXHLevel2 2 8" xfId="16556"/>
    <cellStyle name="SAPBEXHLevel2 2_Списки" xfId="15366"/>
    <cellStyle name="SAPBEXHLevel2 3" xfId="15367"/>
    <cellStyle name="SAPBEXHLevel2 3 2" xfId="16563"/>
    <cellStyle name="SAPBEXHLevel2 4" xfId="15368"/>
    <cellStyle name="SAPBEXHLevel2 4 2" xfId="16564"/>
    <cellStyle name="SAPBEXHLevel2 5" xfId="15369"/>
    <cellStyle name="SAPBEXHLevel2 5 2" xfId="16565"/>
    <cellStyle name="SAPBEXHLevel2 6" xfId="15370"/>
    <cellStyle name="SAPBEXHLevel2 6 2" xfId="16566"/>
    <cellStyle name="SAPBEXHLevel2 7" xfId="15371"/>
    <cellStyle name="SAPBEXHLevel2 7 2" xfId="16567"/>
    <cellStyle name="SAPBEXHLevel2 8" xfId="15372"/>
    <cellStyle name="SAPBEXHLevel2 8 2" xfId="16568"/>
    <cellStyle name="SAPBEXHLevel2 9" xfId="16555"/>
    <cellStyle name="SAPBEXHLevel2_2010_02_17_Затраты_v1" xfId="15373"/>
    <cellStyle name="SAPBEXHLevel2X" xfId="14131"/>
    <cellStyle name="SAPBEXHLevel2X 2" xfId="15374"/>
    <cellStyle name="SAPBEXHLevel2X 2 2" xfId="16570"/>
    <cellStyle name="SAPBEXHLevel2X 3" xfId="15375"/>
    <cellStyle name="SAPBEXHLevel2X 3 2" xfId="16571"/>
    <cellStyle name="SAPBEXHLevel2X 4" xfId="15376"/>
    <cellStyle name="SAPBEXHLevel2X 4 2" xfId="16572"/>
    <cellStyle name="SAPBEXHLevel2X 5" xfId="15377"/>
    <cellStyle name="SAPBEXHLevel2X 5 2" xfId="16573"/>
    <cellStyle name="SAPBEXHLevel2X 6" xfId="15378"/>
    <cellStyle name="SAPBEXHLevel2X 6 2" xfId="16574"/>
    <cellStyle name="SAPBEXHLevel2X 7" xfId="15379"/>
    <cellStyle name="SAPBEXHLevel2X 7 2" xfId="16575"/>
    <cellStyle name="SAPBEXHLevel2X 8" xfId="16569"/>
    <cellStyle name="SAPBEXHLevel2X_Списки" xfId="15380"/>
    <cellStyle name="SAPBEXHLevel3" xfId="14132"/>
    <cellStyle name="SAPBEXHLevel3 2" xfId="15381"/>
    <cellStyle name="SAPBEXHLevel3 2 2" xfId="16577"/>
    <cellStyle name="SAPBEXHLevel3 3" xfId="15382"/>
    <cellStyle name="SAPBEXHLevel3 3 2" xfId="16578"/>
    <cellStyle name="SAPBEXHLevel3 4" xfId="15383"/>
    <cellStyle name="SAPBEXHLevel3 4 2" xfId="16579"/>
    <cellStyle name="SAPBEXHLevel3 5" xfId="15384"/>
    <cellStyle name="SAPBEXHLevel3 5 2" xfId="16580"/>
    <cellStyle name="SAPBEXHLevel3 6" xfId="15385"/>
    <cellStyle name="SAPBEXHLevel3 6 2" xfId="16581"/>
    <cellStyle name="SAPBEXHLevel3 7" xfId="15386"/>
    <cellStyle name="SAPBEXHLevel3 7 2" xfId="16582"/>
    <cellStyle name="SAPBEXHLevel3 8" xfId="16576"/>
    <cellStyle name="SAPBEXHLevel3_Списки" xfId="15387"/>
    <cellStyle name="SAPBEXHLevel3X" xfId="14133"/>
    <cellStyle name="SAPBEXHLevel3X 2" xfId="15388"/>
    <cellStyle name="SAPBEXHLevel3X 2 2" xfId="16584"/>
    <cellStyle name="SAPBEXHLevel3X 3" xfId="15389"/>
    <cellStyle name="SAPBEXHLevel3X 3 2" xfId="16585"/>
    <cellStyle name="SAPBEXHLevel3X 4" xfId="15390"/>
    <cellStyle name="SAPBEXHLevel3X 4 2" xfId="16586"/>
    <cellStyle name="SAPBEXHLevel3X 5" xfId="15391"/>
    <cellStyle name="SAPBEXHLevel3X 5 2" xfId="16587"/>
    <cellStyle name="SAPBEXHLevel3X 6" xfId="15392"/>
    <cellStyle name="SAPBEXHLevel3X 6 2" xfId="16588"/>
    <cellStyle name="SAPBEXHLevel3X 7" xfId="15393"/>
    <cellStyle name="SAPBEXHLevel3X 7 2" xfId="16589"/>
    <cellStyle name="SAPBEXHLevel3X 8" xfId="16583"/>
    <cellStyle name="SAPBEXHLevel3X_Списки" xfId="15394"/>
    <cellStyle name="SAPBEXresData" xfId="14134"/>
    <cellStyle name="SAPBEXresData 2" xfId="15395"/>
    <cellStyle name="SAPBEXresData 2 2" xfId="16590"/>
    <cellStyle name="SAPBEXresData 3" xfId="15396"/>
    <cellStyle name="SAPBEXresData 3 2" xfId="16591"/>
    <cellStyle name="SAPBEXresData 4" xfId="15397"/>
    <cellStyle name="SAPBEXresData 4 2" xfId="16592"/>
    <cellStyle name="SAPBEXresData 5" xfId="15398"/>
    <cellStyle name="SAPBEXresData 5 2" xfId="16593"/>
    <cellStyle name="SAPBEXresData 6" xfId="15399"/>
    <cellStyle name="SAPBEXresData 6 2" xfId="16594"/>
    <cellStyle name="SAPBEXresData 7" xfId="15400"/>
    <cellStyle name="SAPBEXresData 7 2" xfId="16595"/>
    <cellStyle name="SAPBEXresData_Списки" xfId="15401"/>
    <cellStyle name="SAPBEXresDataEmph" xfId="14135"/>
    <cellStyle name="SAPBEXresDataEmph 2" xfId="15402"/>
    <cellStyle name="SAPBEXresDataEmph 2 2" xfId="16596"/>
    <cellStyle name="SAPBEXresDataEmph 3" xfId="15403"/>
    <cellStyle name="SAPBEXresDataEmph 3 2" xfId="16597"/>
    <cellStyle name="SAPBEXresDataEmph 4" xfId="15404"/>
    <cellStyle name="SAPBEXresDataEmph 4 2" xfId="16598"/>
    <cellStyle name="SAPBEXresDataEmph 5" xfId="15405"/>
    <cellStyle name="SAPBEXresDataEmph 5 2" xfId="16599"/>
    <cellStyle name="SAPBEXresDataEmph 6" xfId="15406"/>
    <cellStyle name="SAPBEXresDataEmph 6 2" xfId="16600"/>
    <cellStyle name="SAPBEXresDataEmph 7" xfId="15407"/>
    <cellStyle name="SAPBEXresDataEmph 7 2" xfId="16601"/>
    <cellStyle name="SAPBEXresDataEmph_Списки" xfId="15408"/>
    <cellStyle name="SAPBEXresItem" xfId="14136"/>
    <cellStyle name="SAPBEXresItem 2" xfId="15409"/>
    <cellStyle name="SAPBEXresItem 2 2" xfId="16602"/>
    <cellStyle name="SAPBEXresItem 3" xfId="15410"/>
    <cellStyle name="SAPBEXresItem 3 2" xfId="16603"/>
    <cellStyle name="SAPBEXresItem 4" xfId="15411"/>
    <cellStyle name="SAPBEXresItem 4 2" xfId="16604"/>
    <cellStyle name="SAPBEXresItem 5" xfId="15412"/>
    <cellStyle name="SAPBEXresItem 5 2" xfId="16605"/>
    <cellStyle name="SAPBEXresItem 6" xfId="15413"/>
    <cellStyle name="SAPBEXresItem 6 2" xfId="16606"/>
    <cellStyle name="SAPBEXresItem 7" xfId="15414"/>
    <cellStyle name="SAPBEXresItem 7 2" xfId="16607"/>
    <cellStyle name="SAPBEXresItem_Списки" xfId="15415"/>
    <cellStyle name="SAPBEXresItemX" xfId="14137"/>
    <cellStyle name="SAPBEXresItemX 2" xfId="15416"/>
    <cellStyle name="SAPBEXresItemX 2 2" xfId="16608"/>
    <cellStyle name="SAPBEXresItemX 3" xfId="15417"/>
    <cellStyle name="SAPBEXresItemX 3 2" xfId="16609"/>
    <cellStyle name="SAPBEXresItemX 4" xfId="15418"/>
    <cellStyle name="SAPBEXresItemX 4 2" xfId="16610"/>
    <cellStyle name="SAPBEXresItemX 5" xfId="15419"/>
    <cellStyle name="SAPBEXresItemX 5 2" xfId="16611"/>
    <cellStyle name="SAPBEXresItemX 6" xfId="15420"/>
    <cellStyle name="SAPBEXresItemX 6 2" xfId="16612"/>
    <cellStyle name="SAPBEXresItemX 7" xfId="15421"/>
    <cellStyle name="SAPBEXresItemX 7 2" xfId="16613"/>
    <cellStyle name="SAPBEXresItemX_Списки" xfId="15422"/>
    <cellStyle name="SAPBEXstdData" xfId="14138"/>
    <cellStyle name="SAPBEXstdData 2" xfId="15423"/>
    <cellStyle name="SAPBEXstdData 2 2" xfId="16614"/>
    <cellStyle name="SAPBEXstdData 3" xfId="15424"/>
    <cellStyle name="SAPBEXstdData 3 2" xfId="16615"/>
    <cellStyle name="SAPBEXstdData 4" xfId="15425"/>
    <cellStyle name="SAPBEXstdData 4 2" xfId="16616"/>
    <cellStyle name="SAPBEXstdData 5" xfId="15426"/>
    <cellStyle name="SAPBEXstdData 5 2" xfId="16617"/>
    <cellStyle name="SAPBEXstdData 6" xfId="15427"/>
    <cellStyle name="SAPBEXstdData 6 2" xfId="16618"/>
    <cellStyle name="SAPBEXstdData 7" xfId="15428"/>
    <cellStyle name="SAPBEXstdData 7 2" xfId="16619"/>
    <cellStyle name="SAPBEXstdData_Списки" xfId="15429"/>
    <cellStyle name="SAPBEXstdDataEmph" xfId="14139"/>
    <cellStyle name="SAPBEXstdDataEmph 2" xfId="15430"/>
    <cellStyle name="SAPBEXstdDataEmph 2 2" xfId="16620"/>
    <cellStyle name="SAPBEXstdDataEmph 3" xfId="15431"/>
    <cellStyle name="SAPBEXstdDataEmph 3 2" xfId="16621"/>
    <cellStyle name="SAPBEXstdDataEmph 4" xfId="15432"/>
    <cellStyle name="SAPBEXstdDataEmph 4 2" xfId="16622"/>
    <cellStyle name="SAPBEXstdDataEmph 5" xfId="15433"/>
    <cellStyle name="SAPBEXstdDataEmph 5 2" xfId="16623"/>
    <cellStyle name="SAPBEXstdDataEmph 6" xfId="15434"/>
    <cellStyle name="SAPBEXstdDataEmph 6 2" xfId="16624"/>
    <cellStyle name="SAPBEXstdDataEmph 7" xfId="15435"/>
    <cellStyle name="SAPBEXstdDataEmph 7 2" xfId="16625"/>
    <cellStyle name="SAPBEXstdDataEmph_Списки" xfId="15436"/>
    <cellStyle name="SAPBEXstdItem" xfId="14140"/>
    <cellStyle name="SAPBEXstdItem 2" xfId="14141"/>
    <cellStyle name="SAPBEXstdItem 2 2" xfId="15437"/>
    <cellStyle name="SAPBEXstdItem 2 2 2" xfId="16628"/>
    <cellStyle name="SAPBEXstdItem 2 3" xfId="15438"/>
    <cellStyle name="SAPBEXstdItem 2 3 2" xfId="16629"/>
    <cellStyle name="SAPBEXstdItem 2 4" xfId="15439"/>
    <cellStyle name="SAPBEXstdItem 2 4 2" xfId="16630"/>
    <cellStyle name="SAPBEXstdItem 2 5" xfId="15440"/>
    <cellStyle name="SAPBEXstdItem 2 5 2" xfId="16631"/>
    <cellStyle name="SAPBEXstdItem 2 6" xfId="15441"/>
    <cellStyle name="SAPBEXstdItem 2 6 2" xfId="16632"/>
    <cellStyle name="SAPBEXstdItem 2 7" xfId="15442"/>
    <cellStyle name="SAPBEXstdItem 2 7 2" xfId="16633"/>
    <cellStyle name="SAPBEXstdItem 2 8" xfId="16627"/>
    <cellStyle name="SAPBEXstdItem 2_Списки" xfId="15443"/>
    <cellStyle name="SAPBEXstdItem 3" xfId="15444"/>
    <cellStyle name="SAPBEXstdItem 3 2" xfId="16634"/>
    <cellStyle name="SAPBEXstdItem 4" xfId="15445"/>
    <cellStyle name="SAPBEXstdItem 4 2" xfId="16635"/>
    <cellStyle name="SAPBEXstdItem 5" xfId="15446"/>
    <cellStyle name="SAPBEXstdItem 5 2" xfId="16636"/>
    <cellStyle name="SAPBEXstdItem 6" xfId="15447"/>
    <cellStyle name="SAPBEXstdItem 6 2" xfId="16637"/>
    <cellStyle name="SAPBEXstdItem 7" xfId="15448"/>
    <cellStyle name="SAPBEXstdItem 7 2" xfId="16638"/>
    <cellStyle name="SAPBEXstdItem 8" xfId="15449"/>
    <cellStyle name="SAPBEXstdItem 8 2" xfId="16639"/>
    <cellStyle name="SAPBEXstdItem 9" xfId="16626"/>
    <cellStyle name="SAPBEXstdItem_2010_02_17_Затраты_v1" xfId="15450"/>
    <cellStyle name="SAPBEXstdItemX" xfId="14142"/>
    <cellStyle name="SAPBEXstdItemX 2" xfId="15451"/>
    <cellStyle name="SAPBEXstdItemX 2 2" xfId="16641"/>
    <cellStyle name="SAPBEXstdItemX 3" xfId="15452"/>
    <cellStyle name="SAPBEXstdItemX 3 2" xfId="16642"/>
    <cellStyle name="SAPBEXstdItemX 4" xfId="15453"/>
    <cellStyle name="SAPBEXstdItemX 4 2" xfId="16643"/>
    <cellStyle name="SAPBEXstdItemX 5" xfId="15454"/>
    <cellStyle name="SAPBEXstdItemX 5 2" xfId="16644"/>
    <cellStyle name="SAPBEXstdItemX 6" xfId="15455"/>
    <cellStyle name="SAPBEXstdItemX 6 2" xfId="16645"/>
    <cellStyle name="SAPBEXstdItemX 7" xfId="15456"/>
    <cellStyle name="SAPBEXstdItemX 7 2" xfId="16646"/>
    <cellStyle name="SAPBEXstdItemX 8" xfId="16640"/>
    <cellStyle name="SAPBEXstdItemX_Списки" xfId="15457"/>
    <cellStyle name="SAPBEXtitle" xfId="14143"/>
    <cellStyle name="SAPBEXundefined" xfId="14144"/>
    <cellStyle name="SAPBEXundefined 2" xfId="15458"/>
    <cellStyle name="SAPBEXundefined 2 2" xfId="16647"/>
    <cellStyle name="SAPBEXundefined 3" xfId="15459"/>
    <cellStyle name="SAPBEXundefined 3 2" xfId="16648"/>
    <cellStyle name="SAPBEXundefined 4" xfId="15460"/>
    <cellStyle name="SAPBEXundefined 4 2" xfId="16649"/>
    <cellStyle name="SAPBEXundefined 5" xfId="15461"/>
    <cellStyle name="SAPBEXundefined 5 2" xfId="16650"/>
    <cellStyle name="SAPBEXundefined 6" xfId="15462"/>
    <cellStyle name="SAPBEXundefined 6 2" xfId="16651"/>
    <cellStyle name="SAPBEXundefined 7" xfId="15463"/>
    <cellStyle name="SAPBEXundefined 7 2" xfId="16652"/>
    <cellStyle name="SAPBEXundefined_Списки" xfId="15464"/>
    <cellStyle name="small" xfId="14145"/>
    <cellStyle name="small 2" xfId="15465"/>
    <cellStyle name="small 2 2" xfId="16653"/>
    <cellStyle name="small 3" xfId="15466"/>
    <cellStyle name="small 3 2" xfId="16654"/>
    <cellStyle name="small 4" xfId="15467"/>
    <cellStyle name="small 4 2" xfId="16655"/>
    <cellStyle name="small 5" xfId="15468"/>
    <cellStyle name="small 5 2" xfId="16656"/>
    <cellStyle name="small 6" xfId="15469"/>
    <cellStyle name="small 6 2" xfId="16657"/>
    <cellStyle name="small 7" xfId="15470"/>
    <cellStyle name="small 7 2" xfId="16658"/>
    <cellStyle name="small_2010_02_19_Выручка_Прочие_доходы_v5" xfId="15471"/>
    <cellStyle name="ssp " xfId="189"/>
    <cellStyle name="Standard__Utopia Index Index und Guidance (Deutsch)" xfId="14146"/>
    <cellStyle name="Style 1" xfId="14147"/>
    <cellStyle name="Style 1 10" xfId="15472"/>
    <cellStyle name="Style 1 10 2" xfId="16659"/>
    <cellStyle name="Style 1 11" xfId="15473"/>
    <cellStyle name="Style 1 11 2" xfId="16660"/>
    <cellStyle name="Style 1 12" xfId="15474"/>
    <cellStyle name="Style 1 12 2" xfId="16661"/>
    <cellStyle name="Style 1 13" xfId="15475"/>
    <cellStyle name="Style 1 13 2" xfId="16662"/>
    <cellStyle name="Style 1 14" xfId="15476"/>
    <cellStyle name="Style 1 14 2" xfId="16663"/>
    <cellStyle name="Style 1 15" xfId="15477"/>
    <cellStyle name="Style 1 15 2" xfId="16664"/>
    <cellStyle name="Style 1 16" xfId="15478"/>
    <cellStyle name="Style 1 16 2" xfId="16665"/>
    <cellStyle name="Style 1 2" xfId="15479"/>
    <cellStyle name="Style 1 2 2" xfId="16666"/>
    <cellStyle name="Style 1 3" xfId="15480"/>
    <cellStyle name="Style 1 3 2" xfId="16667"/>
    <cellStyle name="Style 1 4" xfId="15481"/>
    <cellStyle name="Style 1 4 2" xfId="16668"/>
    <cellStyle name="Style 1 5" xfId="15482"/>
    <cellStyle name="Style 1 5 2" xfId="16669"/>
    <cellStyle name="Style 1 6" xfId="15483"/>
    <cellStyle name="Style 1 6 2" xfId="16670"/>
    <cellStyle name="Style 1 7" xfId="15484"/>
    <cellStyle name="Style 1 7 2" xfId="16671"/>
    <cellStyle name="Style 1 8" xfId="15485"/>
    <cellStyle name="Style 1 8 2" xfId="16672"/>
    <cellStyle name="Style 1 9" xfId="15486"/>
    <cellStyle name="Style 1 9 2" xfId="16673"/>
    <cellStyle name="Style 1_Списки" xfId="15487"/>
    <cellStyle name="Table" xfId="14148"/>
    <cellStyle name="Tickmark" xfId="14149"/>
    <cellStyle name="Tickmark 2" xfId="15488"/>
    <cellStyle name="Tickmark 2 2" xfId="16674"/>
    <cellStyle name="Tickmark 3" xfId="15489"/>
    <cellStyle name="Tickmark 3 2" xfId="16675"/>
    <cellStyle name="Tickmark 4" xfId="15490"/>
    <cellStyle name="Tickmark 4 2" xfId="16676"/>
    <cellStyle name="Tickmark 5" xfId="15491"/>
    <cellStyle name="Tickmark 5 2" xfId="16677"/>
    <cellStyle name="Tickmark 6" xfId="15492"/>
    <cellStyle name="Tickmark 6 2" xfId="16678"/>
    <cellStyle name="Tickmark 7" xfId="15493"/>
    <cellStyle name="Tickmark 7 2" xfId="16679"/>
    <cellStyle name="Tickmark_Списки" xfId="15494"/>
    <cellStyle name="Title" xfId="14150"/>
    <cellStyle name="Title 10" xfId="15495"/>
    <cellStyle name="Title 10 2" xfId="16680"/>
    <cellStyle name="Title 2" xfId="15496"/>
    <cellStyle name="Title 2 2" xfId="16681"/>
    <cellStyle name="Title 3" xfId="15497"/>
    <cellStyle name="Title 3 2" xfId="16682"/>
    <cellStyle name="Title 6" xfId="15498"/>
    <cellStyle name="Title 6 2" xfId="16683"/>
    <cellStyle name="Title 7" xfId="15499"/>
    <cellStyle name="Title 7 2" xfId="16684"/>
    <cellStyle name="Title 8" xfId="15500"/>
    <cellStyle name="Title 8 2" xfId="16685"/>
    <cellStyle name="Total" xfId="14151"/>
    <cellStyle name="Total 10" xfId="15501"/>
    <cellStyle name="Total 10 2" xfId="16686"/>
    <cellStyle name="Total 2" xfId="15502"/>
    <cellStyle name="Total 2 2" xfId="16687"/>
    <cellStyle name="Total 3" xfId="15503"/>
    <cellStyle name="Total 3 2" xfId="16688"/>
    <cellStyle name="Total 6" xfId="15504"/>
    <cellStyle name="Total 6 2" xfId="16689"/>
    <cellStyle name="Total 7" xfId="15505"/>
    <cellStyle name="Total 7 2" xfId="16690"/>
    <cellStyle name="Total 8" xfId="15506"/>
    <cellStyle name="Total 8 2" xfId="16691"/>
    <cellStyle name="Unit" xfId="14152"/>
    <cellStyle name="Unit 10" xfId="15507"/>
    <cellStyle name="Unit 10 2" xfId="16692"/>
    <cellStyle name="Unit 11" xfId="15508"/>
    <cellStyle name="Unit 11 2" xfId="16693"/>
    <cellStyle name="Unit 12" xfId="15509"/>
    <cellStyle name="Unit 12 2" xfId="16694"/>
    <cellStyle name="Unit 2" xfId="15510"/>
    <cellStyle name="Unit 2 2" xfId="16695"/>
    <cellStyle name="Unit 3" xfId="15511"/>
    <cellStyle name="Unit 3 2" xfId="16696"/>
    <cellStyle name="Unit 4" xfId="15512"/>
    <cellStyle name="Unit 4 2" xfId="16697"/>
    <cellStyle name="Unit 5" xfId="15513"/>
    <cellStyle name="Unit 5 2" xfId="16698"/>
    <cellStyle name="Unit 6" xfId="15514"/>
    <cellStyle name="Unit 6 2" xfId="16699"/>
    <cellStyle name="Unit 7" xfId="15515"/>
    <cellStyle name="Unit 7 2" xfId="16700"/>
    <cellStyle name="Unit 8" xfId="15516"/>
    <cellStyle name="Unit 8 2" xfId="16701"/>
    <cellStyle name="Unit 9" xfId="15517"/>
    <cellStyle name="Unit 9 2" xfId="16702"/>
    <cellStyle name="Unit_2010_02_19_Выручка_Прочие_доходы_v5" xfId="15518"/>
    <cellStyle name="Valiotsikko" xfId="14153"/>
    <cellStyle name="Valiotsikko 10" xfId="14154"/>
    <cellStyle name="Valiotsikko 2" xfId="14155"/>
    <cellStyle name="Valiotsikko 3" xfId="14156"/>
    <cellStyle name="Valiotsikko 4" xfId="14157"/>
    <cellStyle name="Valiotsikko 5" xfId="14158"/>
    <cellStyle name="Valiotsikko 6" xfId="14159"/>
    <cellStyle name="Valiotsikko 7" xfId="14160"/>
    <cellStyle name="Valiotsikko 8" xfId="14161"/>
    <cellStyle name="Valiotsikko 9" xfId="14162"/>
    <cellStyle name="Valiotsikko_Бюджетная модель_05_11" xfId="14163"/>
    <cellStyle name="Warning Text" xfId="14164"/>
    <cellStyle name="Warning Text 10" xfId="15519"/>
    <cellStyle name="Warning Text 10 2" xfId="16703"/>
    <cellStyle name="Warning Text 2" xfId="15520"/>
    <cellStyle name="Warning Text 2 2" xfId="16704"/>
    <cellStyle name="Warning Text 3" xfId="15521"/>
    <cellStyle name="Warning Text 3 2" xfId="16705"/>
    <cellStyle name="Warning Text 6" xfId="15522"/>
    <cellStyle name="Warning Text 6 2" xfId="16706"/>
    <cellStyle name="Warning Text 7" xfId="15523"/>
    <cellStyle name="Warning Text 7 2" xfId="16707"/>
    <cellStyle name="Warning Text 8" xfId="15524"/>
    <cellStyle name="Warning Text 8 2" xfId="16708"/>
    <cellStyle name="white" xfId="14165"/>
    <cellStyle name="XComma" xfId="14166"/>
    <cellStyle name="XComma 0.0" xfId="14167"/>
    <cellStyle name="XComma 0.0 10" xfId="15525"/>
    <cellStyle name="XComma 0.0 10 2" xfId="16711"/>
    <cellStyle name="XComma 0.0 11" xfId="15526"/>
    <cellStyle name="XComma 0.0 11 2" xfId="16712"/>
    <cellStyle name="XComma 0.0 12" xfId="15527"/>
    <cellStyle name="XComma 0.0 12 2" xfId="16713"/>
    <cellStyle name="XComma 0.0 13" xfId="15528"/>
    <cellStyle name="XComma 0.0 13 2" xfId="16714"/>
    <cellStyle name="XComma 0.0 14" xfId="15529"/>
    <cellStyle name="XComma 0.0 14 2" xfId="16715"/>
    <cellStyle name="XComma 0.0 15" xfId="15530"/>
    <cellStyle name="XComma 0.0 15 2" xfId="16716"/>
    <cellStyle name="XComma 0.0 16" xfId="15531"/>
    <cellStyle name="XComma 0.0 16 2" xfId="16717"/>
    <cellStyle name="XComma 0.0 17" xfId="16710"/>
    <cellStyle name="XComma 0.0 2" xfId="15532"/>
    <cellStyle name="XComma 0.0 2 2" xfId="16718"/>
    <cellStyle name="XComma 0.0 3" xfId="15533"/>
    <cellStyle name="XComma 0.0 3 2" xfId="16719"/>
    <cellStyle name="XComma 0.0 4" xfId="15534"/>
    <cellStyle name="XComma 0.0 4 2" xfId="16720"/>
    <cellStyle name="XComma 0.0 5" xfId="15535"/>
    <cellStyle name="XComma 0.0 5 2" xfId="16721"/>
    <cellStyle name="XComma 0.0 6" xfId="15536"/>
    <cellStyle name="XComma 0.0 6 2" xfId="16722"/>
    <cellStyle name="XComma 0.0 7" xfId="15537"/>
    <cellStyle name="XComma 0.0 7 2" xfId="16723"/>
    <cellStyle name="XComma 0.0 8" xfId="15538"/>
    <cellStyle name="XComma 0.0 8 2" xfId="16724"/>
    <cellStyle name="XComma 0.0 9" xfId="15539"/>
    <cellStyle name="XComma 0.0 9 2" xfId="16725"/>
    <cellStyle name="XComma 0.0_2010_02_19_Выручка_Прочие_доходы_v5" xfId="15540"/>
    <cellStyle name="XComma 0.00" xfId="14168"/>
    <cellStyle name="XComma 0.00 10" xfId="15541"/>
    <cellStyle name="XComma 0.00 10 2" xfId="16727"/>
    <cellStyle name="XComma 0.00 11" xfId="15542"/>
    <cellStyle name="XComma 0.00 11 2" xfId="16728"/>
    <cellStyle name="XComma 0.00 12" xfId="15543"/>
    <cellStyle name="XComma 0.00 12 2" xfId="16729"/>
    <cellStyle name="XComma 0.00 13" xfId="15544"/>
    <cellStyle name="XComma 0.00 13 2" xfId="16730"/>
    <cellStyle name="XComma 0.00 14" xfId="15545"/>
    <cellStyle name="XComma 0.00 14 2" xfId="16731"/>
    <cellStyle name="XComma 0.00 15" xfId="15546"/>
    <cellStyle name="XComma 0.00 15 2" xfId="16732"/>
    <cellStyle name="XComma 0.00 16" xfId="15547"/>
    <cellStyle name="XComma 0.00 16 2" xfId="16733"/>
    <cellStyle name="XComma 0.00 17" xfId="16726"/>
    <cellStyle name="XComma 0.00 2" xfId="15548"/>
    <cellStyle name="XComma 0.00 2 2" xfId="16734"/>
    <cellStyle name="XComma 0.00 3" xfId="15549"/>
    <cellStyle name="XComma 0.00 3 2" xfId="16735"/>
    <cellStyle name="XComma 0.00 4" xfId="15550"/>
    <cellStyle name="XComma 0.00 4 2" xfId="16736"/>
    <cellStyle name="XComma 0.00 5" xfId="15551"/>
    <cellStyle name="XComma 0.00 5 2" xfId="16737"/>
    <cellStyle name="XComma 0.00 6" xfId="15552"/>
    <cellStyle name="XComma 0.00 6 2" xfId="16738"/>
    <cellStyle name="XComma 0.00 7" xfId="15553"/>
    <cellStyle name="XComma 0.00 7 2" xfId="16739"/>
    <cellStyle name="XComma 0.00 8" xfId="15554"/>
    <cellStyle name="XComma 0.00 8 2" xfId="16740"/>
    <cellStyle name="XComma 0.00 9" xfId="15555"/>
    <cellStyle name="XComma 0.00 9 2" xfId="16741"/>
    <cellStyle name="XComma 0.00_2010_02_19_Выручка_Прочие_доходы_v5" xfId="15556"/>
    <cellStyle name="XComma 0.000" xfId="14169"/>
    <cellStyle name="XComma 0.000 10" xfId="15557"/>
    <cellStyle name="XComma 0.000 10 2" xfId="16743"/>
    <cellStyle name="XComma 0.000 11" xfId="15558"/>
    <cellStyle name="XComma 0.000 11 2" xfId="16744"/>
    <cellStyle name="XComma 0.000 12" xfId="15559"/>
    <cellStyle name="XComma 0.000 12 2" xfId="16745"/>
    <cellStyle name="XComma 0.000 13" xfId="15560"/>
    <cellStyle name="XComma 0.000 13 2" xfId="16746"/>
    <cellStyle name="XComma 0.000 14" xfId="15561"/>
    <cellStyle name="XComma 0.000 14 2" xfId="16747"/>
    <cellStyle name="XComma 0.000 15" xfId="15562"/>
    <cellStyle name="XComma 0.000 15 2" xfId="16748"/>
    <cellStyle name="XComma 0.000 16" xfId="15563"/>
    <cellStyle name="XComma 0.000 16 2" xfId="16749"/>
    <cellStyle name="XComma 0.000 17" xfId="16742"/>
    <cellStyle name="XComma 0.000 2" xfId="15564"/>
    <cellStyle name="XComma 0.000 2 2" xfId="16750"/>
    <cellStyle name="XComma 0.000 3" xfId="15565"/>
    <cellStyle name="XComma 0.000 3 2" xfId="16751"/>
    <cellStyle name="XComma 0.000 4" xfId="15566"/>
    <cellStyle name="XComma 0.000 4 2" xfId="16752"/>
    <cellStyle name="XComma 0.000 5" xfId="15567"/>
    <cellStyle name="XComma 0.000 5 2" xfId="16753"/>
    <cellStyle name="XComma 0.000 6" xfId="15568"/>
    <cellStyle name="XComma 0.000 6 2" xfId="16754"/>
    <cellStyle name="XComma 0.000 7" xfId="15569"/>
    <cellStyle name="XComma 0.000 7 2" xfId="16755"/>
    <cellStyle name="XComma 0.000 8" xfId="15570"/>
    <cellStyle name="XComma 0.000 8 2" xfId="16756"/>
    <cellStyle name="XComma 0.000 9" xfId="15571"/>
    <cellStyle name="XComma 0.000 9 2" xfId="16757"/>
    <cellStyle name="XComma 0.000_2010_02_19_Выручка_Прочие_доходы_v5" xfId="15572"/>
    <cellStyle name="XComma 10" xfId="15573"/>
    <cellStyle name="XComma 10 2" xfId="16758"/>
    <cellStyle name="XComma 11" xfId="15574"/>
    <cellStyle name="XComma 11 2" xfId="16759"/>
    <cellStyle name="XComma 12" xfId="15575"/>
    <cellStyle name="XComma 12 2" xfId="16760"/>
    <cellStyle name="XComma 13" xfId="15576"/>
    <cellStyle name="XComma 13 2" xfId="16761"/>
    <cellStyle name="XComma 14" xfId="15577"/>
    <cellStyle name="XComma 14 2" xfId="16762"/>
    <cellStyle name="XComma 15" xfId="15578"/>
    <cellStyle name="XComma 15 2" xfId="16763"/>
    <cellStyle name="XComma 16" xfId="15579"/>
    <cellStyle name="XComma 16 2" xfId="16764"/>
    <cellStyle name="XComma 17" xfId="16709"/>
    <cellStyle name="XComma 18" xfId="18136"/>
    <cellStyle name="XComma 19" xfId="18152"/>
    <cellStyle name="XComma 2" xfId="15580"/>
    <cellStyle name="XComma 2 2" xfId="16765"/>
    <cellStyle name="XComma 20" xfId="18151"/>
    <cellStyle name="XComma 3" xfId="15581"/>
    <cellStyle name="XComma 3 2" xfId="16766"/>
    <cellStyle name="XComma 4" xfId="15582"/>
    <cellStyle name="XComma 4 2" xfId="16767"/>
    <cellStyle name="XComma 5" xfId="15583"/>
    <cellStyle name="XComma 5 2" xfId="16768"/>
    <cellStyle name="XComma 6" xfId="15584"/>
    <cellStyle name="XComma 6 2" xfId="16769"/>
    <cellStyle name="XComma 7" xfId="15585"/>
    <cellStyle name="XComma 7 2" xfId="16770"/>
    <cellStyle name="XComma 8" xfId="15586"/>
    <cellStyle name="XComma 8 2" xfId="16771"/>
    <cellStyle name="XComma 9" xfId="15587"/>
    <cellStyle name="XComma 9 2" xfId="16772"/>
    <cellStyle name="XComma_091222_Росатом_ЕПС" xfId="15588"/>
    <cellStyle name="XCurrency" xfId="14170"/>
    <cellStyle name="XCurrency 0.0" xfId="14171"/>
    <cellStyle name="XCurrency 0.0 10" xfId="15589"/>
    <cellStyle name="XCurrency 0.0 10 2" xfId="16775"/>
    <cellStyle name="XCurrency 0.0 11" xfId="15590"/>
    <cellStyle name="XCurrency 0.0 11 2" xfId="16776"/>
    <cellStyle name="XCurrency 0.0 12" xfId="15591"/>
    <cellStyle name="XCurrency 0.0 12 2" xfId="16777"/>
    <cellStyle name="XCurrency 0.0 13" xfId="15592"/>
    <cellStyle name="XCurrency 0.0 13 2" xfId="16778"/>
    <cellStyle name="XCurrency 0.0 14" xfId="15593"/>
    <cellStyle name="XCurrency 0.0 14 2" xfId="16779"/>
    <cellStyle name="XCurrency 0.0 15" xfId="15594"/>
    <cellStyle name="XCurrency 0.0 15 2" xfId="16780"/>
    <cellStyle name="XCurrency 0.0 16" xfId="15595"/>
    <cellStyle name="XCurrency 0.0 16 2" xfId="16781"/>
    <cellStyle name="XCurrency 0.0 17" xfId="16774"/>
    <cellStyle name="XCurrency 0.0 2" xfId="15596"/>
    <cellStyle name="XCurrency 0.0 2 2" xfId="16782"/>
    <cellStyle name="XCurrency 0.0 3" xfId="15597"/>
    <cellStyle name="XCurrency 0.0 3 2" xfId="16783"/>
    <cellStyle name="XCurrency 0.0 4" xfId="15598"/>
    <cellStyle name="XCurrency 0.0 4 2" xfId="16784"/>
    <cellStyle name="XCurrency 0.0 5" xfId="15599"/>
    <cellStyle name="XCurrency 0.0 5 2" xfId="16785"/>
    <cellStyle name="XCurrency 0.0 6" xfId="15600"/>
    <cellStyle name="XCurrency 0.0 6 2" xfId="16786"/>
    <cellStyle name="XCurrency 0.0 7" xfId="15601"/>
    <cellStyle name="XCurrency 0.0 7 2" xfId="16787"/>
    <cellStyle name="XCurrency 0.0 8" xfId="15602"/>
    <cellStyle name="XCurrency 0.0 8 2" xfId="16788"/>
    <cellStyle name="XCurrency 0.0 9" xfId="15603"/>
    <cellStyle name="XCurrency 0.0 9 2" xfId="16789"/>
    <cellStyle name="XCurrency 0.0_2010_02_19_Выручка_Прочие_доходы_v5" xfId="15604"/>
    <cellStyle name="XCurrency 0.00" xfId="14172"/>
    <cellStyle name="XCurrency 0.00 10" xfId="15605"/>
    <cellStyle name="XCurrency 0.00 10 2" xfId="16791"/>
    <cellStyle name="XCurrency 0.00 11" xfId="15606"/>
    <cellStyle name="XCurrency 0.00 11 2" xfId="16792"/>
    <cellStyle name="XCurrency 0.00 12" xfId="15607"/>
    <cellStyle name="XCurrency 0.00 12 2" xfId="16793"/>
    <cellStyle name="XCurrency 0.00 13" xfId="15608"/>
    <cellStyle name="XCurrency 0.00 13 2" xfId="16794"/>
    <cellStyle name="XCurrency 0.00 14" xfId="15609"/>
    <cellStyle name="XCurrency 0.00 14 2" xfId="16795"/>
    <cellStyle name="XCurrency 0.00 15" xfId="15610"/>
    <cellStyle name="XCurrency 0.00 15 2" xfId="16796"/>
    <cellStyle name="XCurrency 0.00 16" xfId="15611"/>
    <cellStyle name="XCurrency 0.00 16 2" xfId="16797"/>
    <cellStyle name="XCurrency 0.00 17" xfId="16790"/>
    <cellStyle name="XCurrency 0.00 2" xfId="15612"/>
    <cellStyle name="XCurrency 0.00 2 2" xfId="16798"/>
    <cellStyle name="XCurrency 0.00 3" xfId="15613"/>
    <cellStyle name="XCurrency 0.00 3 2" xfId="16799"/>
    <cellStyle name="XCurrency 0.00 4" xfId="15614"/>
    <cellStyle name="XCurrency 0.00 4 2" xfId="16800"/>
    <cellStyle name="XCurrency 0.00 5" xfId="15615"/>
    <cellStyle name="XCurrency 0.00 5 2" xfId="16801"/>
    <cellStyle name="XCurrency 0.00 6" xfId="15616"/>
    <cellStyle name="XCurrency 0.00 6 2" xfId="16802"/>
    <cellStyle name="XCurrency 0.00 7" xfId="15617"/>
    <cellStyle name="XCurrency 0.00 7 2" xfId="16803"/>
    <cellStyle name="XCurrency 0.00 8" xfId="15618"/>
    <cellStyle name="XCurrency 0.00 8 2" xfId="16804"/>
    <cellStyle name="XCurrency 0.00 9" xfId="15619"/>
    <cellStyle name="XCurrency 0.00 9 2" xfId="16805"/>
    <cellStyle name="XCurrency 0.00_2010_02_19_Выручка_Прочие_доходы_v5" xfId="15620"/>
    <cellStyle name="XCurrency 0.000" xfId="14173"/>
    <cellStyle name="XCurrency 0.000 10" xfId="15621"/>
    <cellStyle name="XCurrency 0.000 10 2" xfId="16807"/>
    <cellStyle name="XCurrency 0.000 11" xfId="15622"/>
    <cellStyle name="XCurrency 0.000 11 2" xfId="16808"/>
    <cellStyle name="XCurrency 0.000 12" xfId="15623"/>
    <cellStyle name="XCurrency 0.000 12 2" xfId="16809"/>
    <cellStyle name="XCurrency 0.000 13" xfId="15624"/>
    <cellStyle name="XCurrency 0.000 13 2" xfId="16810"/>
    <cellStyle name="XCurrency 0.000 14" xfId="15625"/>
    <cellStyle name="XCurrency 0.000 14 2" xfId="16811"/>
    <cellStyle name="XCurrency 0.000 15" xfId="15626"/>
    <cellStyle name="XCurrency 0.000 15 2" xfId="16812"/>
    <cellStyle name="XCurrency 0.000 16" xfId="15627"/>
    <cellStyle name="XCurrency 0.000 16 2" xfId="16813"/>
    <cellStyle name="XCurrency 0.000 17" xfId="16806"/>
    <cellStyle name="XCurrency 0.000 2" xfId="15628"/>
    <cellStyle name="XCurrency 0.000 2 2" xfId="16814"/>
    <cellStyle name="XCurrency 0.000 3" xfId="15629"/>
    <cellStyle name="XCurrency 0.000 3 2" xfId="16815"/>
    <cellStyle name="XCurrency 0.000 4" xfId="15630"/>
    <cellStyle name="XCurrency 0.000 4 2" xfId="16816"/>
    <cellStyle name="XCurrency 0.000 5" xfId="15631"/>
    <cellStyle name="XCurrency 0.000 5 2" xfId="16817"/>
    <cellStyle name="XCurrency 0.000 6" xfId="15632"/>
    <cellStyle name="XCurrency 0.000 6 2" xfId="16818"/>
    <cellStyle name="XCurrency 0.000 7" xfId="15633"/>
    <cellStyle name="XCurrency 0.000 7 2" xfId="16819"/>
    <cellStyle name="XCurrency 0.000 8" xfId="15634"/>
    <cellStyle name="XCurrency 0.000 8 2" xfId="16820"/>
    <cellStyle name="XCurrency 0.000 9" xfId="15635"/>
    <cellStyle name="XCurrency 0.000 9 2" xfId="16821"/>
    <cellStyle name="XCurrency 0.000_2010_02_19_Выручка_Прочие_доходы_v5" xfId="15636"/>
    <cellStyle name="XCurrency 10" xfId="15637"/>
    <cellStyle name="XCurrency 10 2" xfId="16822"/>
    <cellStyle name="XCurrency 11" xfId="15638"/>
    <cellStyle name="XCurrency 11 2" xfId="16823"/>
    <cellStyle name="XCurrency 12" xfId="15639"/>
    <cellStyle name="XCurrency 12 2" xfId="16824"/>
    <cellStyle name="XCurrency 13" xfId="15640"/>
    <cellStyle name="XCurrency 13 2" xfId="16825"/>
    <cellStyle name="XCurrency 14" xfId="15641"/>
    <cellStyle name="XCurrency 14 2" xfId="16826"/>
    <cellStyle name="XCurrency 15" xfId="15642"/>
    <cellStyle name="XCurrency 15 2" xfId="16827"/>
    <cellStyle name="XCurrency 16" xfId="15643"/>
    <cellStyle name="XCurrency 16 2" xfId="16828"/>
    <cellStyle name="XCurrency 17" xfId="16773"/>
    <cellStyle name="XCurrency 18" xfId="18137"/>
    <cellStyle name="XCurrency 19" xfId="18153"/>
    <cellStyle name="XCurrency 2" xfId="15644"/>
    <cellStyle name="XCurrency 2 2" xfId="16829"/>
    <cellStyle name="XCurrency 20" xfId="18150"/>
    <cellStyle name="XCurrency 3" xfId="15645"/>
    <cellStyle name="XCurrency 3 2" xfId="16830"/>
    <cellStyle name="XCurrency 4" xfId="15646"/>
    <cellStyle name="XCurrency 4 2" xfId="16831"/>
    <cellStyle name="XCurrency 5" xfId="15647"/>
    <cellStyle name="XCurrency 5 2" xfId="16832"/>
    <cellStyle name="XCurrency 6" xfId="15648"/>
    <cellStyle name="XCurrency 6 2" xfId="16833"/>
    <cellStyle name="XCurrency 7" xfId="15649"/>
    <cellStyle name="XCurrency 7 2" xfId="16834"/>
    <cellStyle name="XCurrency 8" xfId="15650"/>
    <cellStyle name="XCurrency 8 2" xfId="16835"/>
    <cellStyle name="XCurrency 9" xfId="15651"/>
    <cellStyle name="XCurrency 9 2" xfId="16836"/>
    <cellStyle name="XCurrency_091222_Росатом_ЕПС" xfId="15652"/>
    <cellStyle name="Year EN" xfId="14174"/>
    <cellStyle name="Year EN 10" xfId="15653"/>
    <cellStyle name="Year EN 10 2" xfId="16837"/>
    <cellStyle name="Year EN 11" xfId="15654"/>
    <cellStyle name="Year EN 11 2" xfId="16838"/>
    <cellStyle name="Year EN 12" xfId="15655"/>
    <cellStyle name="Year EN 12 2" xfId="16839"/>
    <cellStyle name="Year EN 13" xfId="15656"/>
    <cellStyle name="Year EN 13 2" xfId="16840"/>
    <cellStyle name="Year EN 14" xfId="15657"/>
    <cellStyle name="Year EN 14 2" xfId="16841"/>
    <cellStyle name="Year EN 15" xfId="15658"/>
    <cellStyle name="Year EN 15 2" xfId="16842"/>
    <cellStyle name="Year EN 16" xfId="15659"/>
    <cellStyle name="Year EN 16 2" xfId="16843"/>
    <cellStyle name="Year EN_Списки" xfId="15660"/>
    <cellStyle name="Year RU" xfId="14175"/>
    <cellStyle name="Yellow" xfId="14176"/>
    <cellStyle name="Акцент1" xfId="27" builtinId="29" hidden="1"/>
    <cellStyle name="Акцент1" xfId="65" builtinId="29" hidden="1"/>
    <cellStyle name="Акцент1" xfId="117" builtinId="29" hidden="1"/>
    <cellStyle name="Акцент1" xfId="151" builtinId="29" hidden="1"/>
    <cellStyle name="Акцент1" xfId="306" builtinId="29" hidden="1"/>
    <cellStyle name="Акцент1" xfId="344" builtinId="29" hidden="1"/>
    <cellStyle name="Акцент1" xfId="396" builtinId="29" hidden="1"/>
    <cellStyle name="Акцент1" xfId="430" builtinId="29" hidden="1"/>
    <cellStyle name="Акцент1" xfId="562" builtinId="29" hidden="1"/>
    <cellStyle name="Акцент1" xfId="600" builtinId="29" hidden="1"/>
    <cellStyle name="Акцент1" xfId="652" builtinId="29" hidden="1"/>
    <cellStyle name="Акцент1" xfId="686" builtinId="29" hidden="1"/>
    <cellStyle name="Акцент1" xfId="4165" builtinId="29" customBuiltin="1"/>
    <cellStyle name="Акцент1 10" xfId="16844"/>
    <cellStyle name="Акцент1 11" xfId="15681"/>
    <cellStyle name="Акцент1 12" xfId="17003"/>
    <cellStyle name="Акцент1 13" xfId="17073"/>
    <cellStyle name="Акцент1 14" xfId="17971"/>
    <cellStyle name="Акцент1 15" xfId="36507"/>
    <cellStyle name="Акцент1 16" xfId="14177"/>
    <cellStyle name="Акцент1 2" xfId="14178"/>
    <cellStyle name="Акцент1 3" xfId="14179"/>
    <cellStyle name="Акцент1 4" xfId="14180"/>
    <cellStyle name="Акцент1 5" xfId="14181"/>
    <cellStyle name="Акцент1 6" xfId="14182"/>
    <cellStyle name="Акцент1 7" xfId="14183"/>
    <cellStyle name="Акцент1 8" xfId="14184"/>
    <cellStyle name="Акцент1 9" xfId="14185"/>
    <cellStyle name="Акцент2" xfId="31" builtinId="33" hidden="1"/>
    <cellStyle name="Акцент2" xfId="69" builtinId="33" hidden="1"/>
    <cellStyle name="Акцент2" xfId="102" builtinId="33" hidden="1"/>
    <cellStyle name="Акцент2" xfId="155" builtinId="33" hidden="1"/>
    <cellStyle name="Акцент2" xfId="310" builtinId="33" hidden="1"/>
    <cellStyle name="Акцент2" xfId="348" builtinId="33" hidden="1"/>
    <cellStyle name="Акцент2" xfId="381" builtinId="33" hidden="1"/>
    <cellStyle name="Акцент2" xfId="434" builtinId="33" hidden="1"/>
    <cellStyle name="Акцент2" xfId="566" builtinId="33" hidden="1"/>
    <cellStyle name="Акцент2" xfId="604" builtinId="33" hidden="1"/>
    <cellStyle name="Акцент2" xfId="637" builtinId="33" hidden="1"/>
    <cellStyle name="Акцент2" xfId="690" builtinId="33" hidden="1"/>
    <cellStyle name="Акцент2" xfId="4169" builtinId="33" customBuiltin="1"/>
    <cellStyle name="Акцент2 10" xfId="16845"/>
    <cellStyle name="Акцент2 11" xfId="15682"/>
    <cellStyle name="Акцент2 12" xfId="17004"/>
    <cellStyle name="Акцент2 13" xfId="17074"/>
    <cellStyle name="Акцент2 14" xfId="17972"/>
    <cellStyle name="Акцент2 15" xfId="36508"/>
    <cellStyle name="Акцент2 16" xfId="14186"/>
    <cellStyle name="Акцент2 2" xfId="14187"/>
    <cellStyle name="Акцент2 3" xfId="14188"/>
    <cellStyle name="Акцент2 4" xfId="14189"/>
    <cellStyle name="Акцент2 5" xfId="14190"/>
    <cellStyle name="Акцент2 6" xfId="14191"/>
    <cellStyle name="Акцент2 7" xfId="14192"/>
    <cellStyle name="Акцент2 8" xfId="14193"/>
    <cellStyle name="Акцент2 9" xfId="14194"/>
    <cellStyle name="Акцент3" xfId="35" builtinId="37" hidden="1"/>
    <cellStyle name="Акцент3" xfId="73" builtinId="37" hidden="1"/>
    <cellStyle name="Акцент3" xfId="108" builtinId="37" hidden="1"/>
    <cellStyle name="Акцент3" xfId="159" builtinId="37" hidden="1"/>
    <cellStyle name="Акцент3" xfId="314" builtinId="37" hidden="1"/>
    <cellStyle name="Акцент3" xfId="352" builtinId="37" hidden="1"/>
    <cellStyle name="Акцент3" xfId="387" builtinId="37" hidden="1"/>
    <cellStyle name="Акцент3" xfId="438" builtinId="37" hidden="1"/>
    <cellStyle name="Акцент3" xfId="570" builtinId="37" hidden="1"/>
    <cellStyle name="Акцент3" xfId="608" builtinId="37" hidden="1"/>
    <cellStyle name="Акцент3" xfId="643" builtinId="37" hidden="1"/>
    <cellStyle name="Акцент3" xfId="694" builtinId="37" hidden="1"/>
    <cellStyle name="Акцент3" xfId="4173" builtinId="37" customBuiltin="1"/>
    <cellStyle name="Акцент3 10" xfId="16846"/>
    <cellStyle name="Акцент3 11" xfId="15683"/>
    <cellStyle name="Акцент3 12" xfId="17005"/>
    <cellStyle name="Акцент3 13" xfId="17075"/>
    <cellStyle name="Акцент3 14" xfId="17973"/>
    <cellStyle name="Акцент3 15" xfId="36509"/>
    <cellStyle name="Акцент3 16" xfId="14195"/>
    <cellStyle name="Акцент3 2" xfId="14196"/>
    <cellStyle name="Акцент3 3" xfId="14197"/>
    <cellStyle name="Акцент3 4" xfId="14198"/>
    <cellStyle name="Акцент3 5" xfId="14199"/>
    <cellStyle name="Акцент3 6" xfId="14200"/>
    <cellStyle name="Акцент3 7" xfId="14201"/>
    <cellStyle name="Акцент3 8" xfId="14202"/>
    <cellStyle name="Акцент3 9" xfId="14203"/>
    <cellStyle name="Акцент4" xfId="39" builtinId="41" hidden="1"/>
    <cellStyle name="Акцент4" xfId="77" builtinId="41" hidden="1"/>
    <cellStyle name="Акцент4" xfId="124" builtinId="41" hidden="1"/>
    <cellStyle name="Акцент4" xfId="163" builtinId="41" hidden="1"/>
    <cellStyle name="Акцент4" xfId="318" builtinId="41" hidden="1"/>
    <cellStyle name="Акцент4" xfId="356" builtinId="41" hidden="1"/>
    <cellStyle name="Акцент4" xfId="403" builtinId="41" hidden="1"/>
    <cellStyle name="Акцент4" xfId="442" builtinId="41" hidden="1"/>
    <cellStyle name="Акцент4" xfId="574" builtinId="41" hidden="1"/>
    <cellStyle name="Акцент4" xfId="612" builtinId="41" hidden="1"/>
    <cellStyle name="Акцент4" xfId="659" builtinId="41" hidden="1"/>
    <cellStyle name="Акцент4" xfId="698" builtinId="41" hidden="1"/>
    <cellStyle name="Акцент4" xfId="4177" builtinId="41" customBuiltin="1"/>
    <cellStyle name="Акцент4 10" xfId="16847"/>
    <cellStyle name="Акцент4 11" xfId="15684"/>
    <cellStyle name="Акцент4 12" xfId="17006"/>
    <cellStyle name="Акцент4 13" xfId="17076"/>
    <cellStyle name="Акцент4 14" xfId="17974"/>
    <cellStyle name="Акцент4 15" xfId="36510"/>
    <cellStyle name="Акцент4 16" xfId="14204"/>
    <cellStyle name="Акцент4 2" xfId="14205"/>
    <cellStyle name="Акцент4 3" xfId="14206"/>
    <cellStyle name="Акцент4 4" xfId="14207"/>
    <cellStyle name="Акцент4 5" xfId="14208"/>
    <cellStyle name="Акцент4 6" xfId="14209"/>
    <cellStyle name="Акцент4 7" xfId="14210"/>
    <cellStyle name="Акцент4 8" xfId="14211"/>
    <cellStyle name="Акцент4 9" xfId="14212"/>
    <cellStyle name="Акцент5" xfId="43" builtinId="45" hidden="1"/>
    <cellStyle name="Акцент5" xfId="81" builtinId="45" hidden="1"/>
    <cellStyle name="Акцент5" xfId="128" builtinId="45" hidden="1"/>
    <cellStyle name="Акцент5" xfId="167" builtinId="45" hidden="1"/>
    <cellStyle name="Акцент5" xfId="322" builtinId="45" hidden="1"/>
    <cellStyle name="Акцент5" xfId="360" builtinId="45" hidden="1"/>
    <cellStyle name="Акцент5" xfId="407" builtinId="45" hidden="1"/>
    <cellStyle name="Акцент5" xfId="446" builtinId="45" hidden="1"/>
    <cellStyle name="Акцент5" xfId="578" builtinId="45" hidden="1"/>
    <cellStyle name="Акцент5" xfId="616" builtinId="45" hidden="1"/>
    <cellStyle name="Акцент5" xfId="663" builtinId="45" hidden="1"/>
    <cellStyle name="Акцент5" xfId="702" builtinId="45" hidden="1"/>
    <cellStyle name="Акцент5" xfId="4181" builtinId="45" customBuiltin="1"/>
    <cellStyle name="Акцент5 10" xfId="16848"/>
    <cellStyle name="Акцент5 11" xfId="15685"/>
    <cellStyle name="Акцент5 12" xfId="17007"/>
    <cellStyle name="Акцент5 13" xfId="17077"/>
    <cellStyle name="Акцент5 14" xfId="17975"/>
    <cellStyle name="Акцент5 15" xfId="36511"/>
    <cellStyle name="Акцент5 16" xfId="14213"/>
    <cellStyle name="Акцент5 2" xfId="14214"/>
    <cellStyle name="Акцент5 3" xfId="14215"/>
    <cellStyle name="Акцент5 4" xfId="14216"/>
    <cellStyle name="Акцент5 5" xfId="14217"/>
    <cellStyle name="Акцент5 6" xfId="14218"/>
    <cellStyle name="Акцент5 7" xfId="14219"/>
    <cellStyle name="Акцент5 8" xfId="14220"/>
    <cellStyle name="Акцент5 9" xfId="14221"/>
    <cellStyle name="Акцент6" xfId="47" builtinId="49" hidden="1"/>
    <cellStyle name="Акцент6" xfId="85" builtinId="49" hidden="1"/>
    <cellStyle name="Акцент6" xfId="132" builtinId="49" hidden="1"/>
    <cellStyle name="Акцент6" xfId="171" builtinId="49" hidden="1"/>
    <cellStyle name="Акцент6" xfId="326" builtinId="49" hidden="1"/>
    <cellStyle name="Акцент6" xfId="364" builtinId="49" hidden="1"/>
    <cellStyle name="Акцент6" xfId="411" builtinId="49" hidden="1"/>
    <cellStyle name="Акцент6" xfId="450" builtinId="49" hidden="1"/>
    <cellStyle name="Акцент6" xfId="582" builtinId="49" hidden="1"/>
    <cellStyle name="Акцент6" xfId="620" builtinId="49" hidden="1"/>
    <cellStyle name="Акцент6" xfId="667" builtinId="49" hidden="1"/>
    <cellStyle name="Акцент6" xfId="706" builtinId="49" hidden="1"/>
    <cellStyle name="Акцент6" xfId="4185" builtinId="49" customBuiltin="1"/>
    <cellStyle name="Акцент6 10" xfId="16849"/>
    <cellStyle name="Акцент6 11" xfId="15686"/>
    <cellStyle name="Акцент6 12" xfId="17008"/>
    <cellStyle name="Акцент6 13" xfId="17078"/>
    <cellStyle name="Акцент6 14" xfId="17976"/>
    <cellStyle name="Акцент6 15" xfId="36512"/>
    <cellStyle name="Акцент6 16" xfId="14222"/>
    <cellStyle name="Акцент6 2" xfId="14223"/>
    <cellStyle name="Акцент6 3" xfId="14224"/>
    <cellStyle name="Акцент6 4" xfId="14225"/>
    <cellStyle name="Акцент6 5" xfId="14226"/>
    <cellStyle name="Акцент6 6" xfId="14227"/>
    <cellStyle name="Акцент6 7" xfId="14228"/>
    <cellStyle name="Акцент6 8" xfId="14229"/>
    <cellStyle name="Акцент6 9" xfId="14230"/>
    <cellStyle name="Беззащитный" xfId="14231"/>
    <cellStyle name="вагоны" xfId="14232"/>
    <cellStyle name="Ввод " xfId="4147" builtinId="20" customBuiltin="1"/>
    <cellStyle name="Ввод  10" xfId="16850"/>
    <cellStyle name="Ввод  11" xfId="15687"/>
    <cellStyle name="Ввод  12" xfId="17009"/>
    <cellStyle name="Ввод  13" xfId="17079"/>
    <cellStyle name="Ввод  14" xfId="17977"/>
    <cellStyle name="Ввод  15" xfId="36513"/>
    <cellStyle name="Ввод  16" xfId="14233"/>
    <cellStyle name="Ввод  2" xfId="14234"/>
    <cellStyle name="Ввод  3" xfId="14235"/>
    <cellStyle name="Ввод  4" xfId="14236"/>
    <cellStyle name="Ввод  5" xfId="14237"/>
    <cellStyle name="Ввод  6" xfId="14238"/>
    <cellStyle name="Ввод  7" xfId="14239"/>
    <cellStyle name="Ввод  8" xfId="14240"/>
    <cellStyle name="Ввод  9" xfId="14241"/>
    <cellStyle name="Вывод" xfId="19" builtinId="21" hidden="1"/>
    <cellStyle name="Вывод" xfId="58" builtinId="21" hidden="1"/>
    <cellStyle name="Вывод" xfId="100" builtinId="21" hidden="1"/>
    <cellStyle name="Вывод" xfId="144" builtinId="21" hidden="1"/>
    <cellStyle name="Вывод" xfId="298" builtinId="21" hidden="1"/>
    <cellStyle name="Вывод" xfId="337" builtinId="21" hidden="1"/>
    <cellStyle name="Вывод" xfId="379" builtinId="21" hidden="1"/>
    <cellStyle name="Вывод" xfId="423" builtinId="21" hidden="1"/>
    <cellStyle name="Вывод" xfId="554" builtinId="21" hidden="1"/>
    <cellStyle name="Вывод" xfId="593" builtinId="21" hidden="1"/>
    <cellStyle name="Вывод" xfId="635" builtinId="21" hidden="1"/>
    <cellStyle name="Вывод" xfId="679" builtinId="21" hidden="1"/>
    <cellStyle name="Вывод" xfId="4157" builtinId="21" customBuiltin="1"/>
    <cellStyle name="Вывод 10" xfId="16851"/>
    <cellStyle name="Вывод 11" xfId="15688"/>
    <cellStyle name="Вывод 12" xfId="17010"/>
    <cellStyle name="Вывод 13" xfId="17080"/>
    <cellStyle name="Вывод 14" xfId="17978"/>
    <cellStyle name="Вывод 15" xfId="36514"/>
    <cellStyle name="Вывод 16" xfId="14242"/>
    <cellStyle name="Вывод 2" xfId="14243"/>
    <cellStyle name="Вывод 3" xfId="14244"/>
    <cellStyle name="Вывод 4" xfId="14245"/>
    <cellStyle name="Вывод 5" xfId="14246"/>
    <cellStyle name="Вывод 6" xfId="14247"/>
    <cellStyle name="Вывод 7" xfId="14248"/>
    <cellStyle name="Вывод 8" xfId="14249"/>
    <cellStyle name="Вывод 9" xfId="14250"/>
    <cellStyle name="Вычисление" xfId="20" builtinId="22" hidden="1"/>
    <cellStyle name="Вычисление" xfId="59" builtinId="22" hidden="1"/>
    <cellStyle name="Вычисление" xfId="122" builtinId="22" hidden="1"/>
    <cellStyle name="Вычисление" xfId="145" builtinId="22" hidden="1"/>
    <cellStyle name="Вычисление" xfId="299" builtinId="22" hidden="1"/>
    <cellStyle name="Вычисление" xfId="338" builtinId="22" hidden="1"/>
    <cellStyle name="Вычисление" xfId="401" builtinId="22" hidden="1"/>
    <cellStyle name="Вычисление" xfId="424" builtinId="22" hidden="1"/>
    <cellStyle name="Вычисление" xfId="555" builtinId="22" hidden="1"/>
    <cellStyle name="Вычисление" xfId="594" builtinId="22" hidden="1"/>
    <cellStyle name="Вычисление" xfId="657" builtinId="22" hidden="1"/>
    <cellStyle name="Вычисление" xfId="680" builtinId="22" hidden="1"/>
    <cellStyle name="Вычисление" xfId="4158" builtinId="22" customBuiltin="1"/>
    <cellStyle name="Вычисление 10" xfId="16852"/>
    <cellStyle name="Вычисление 11" xfId="15689"/>
    <cellStyle name="Вычисление 12" xfId="17011"/>
    <cellStyle name="Вычисление 13" xfId="17081"/>
    <cellStyle name="Вычисление 14" xfId="17979"/>
    <cellStyle name="Вычисление 15" xfId="36515"/>
    <cellStyle name="Вычисление 16" xfId="14251"/>
    <cellStyle name="Вычисление 2" xfId="14252"/>
    <cellStyle name="Вычисление 3" xfId="14253"/>
    <cellStyle name="Вычисление 4" xfId="14254"/>
    <cellStyle name="Вычисление 5" xfId="14255"/>
    <cellStyle name="Вычисление 6" xfId="14256"/>
    <cellStyle name="Вычисление 7" xfId="14257"/>
    <cellStyle name="Вычисление 8" xfId="14258"/>
    <cellStyle name="Вычисление 9" xfId="14259"/>
    <cellStyle name="Гиперссылка" xfId="1" builtinId="8" hidden="1"/>
    <cellStyle name="Гиперссылка" xfId="195" builtinId="8" hidden="1"/>
    <cellStyle name="Гиперссылка" xfId="181" builtinId="8" hidden="1"/>
    <cellStyle name="Гиперссылка" xfId="196" builtinId="8" hidden="1"/>
    <cellStyle name="Гиперссылка" xfId="456" builtinId="8" hidden="1"/>
    <cellStyle name="Гиперссылка" xfId="539" builtinId="8" hidden="1"/>
    <cellStyle name="Гиперссылка" xfId="712" builtinId="8" hidden="1"/>
    <cellStyle name="Гиперссылка" xfId="795" builtinId="8"/>
    <cellStyle name="Гиперссылка 2" xfId="283" hidden="1"/>
    <cellStyle name="Гиперссылка 2" xfId="888" hidden="1"/>
    <cellStyle name="Гиперссылка 2" xfId="1267" hidden="1"/>
    <cellStyle name="Гиперссылка 2" xfId="1721" hidden="1"/>
    <cellStyle name="Гиперссылка 2" xfId="1269" hidden="1"/>
    <cellStyle name="Гиперссылка 2" xfId="2131" hidden="1"/>
    <cellStyle name="Гиперссылка 2" xfId="1454" hidden="1"/>
    <cellStyle name="Гиперссылка 2" xfId="2478" hidden="1"/>
    <cellStyle name="Гиперссылка 2" xfId="2796" hidden="1"/>
    <cellStyle name="Гиперссылка 2" xfId="3230" hidden="1"/>
    <cellStyle name="Гиперссылка 2" xfId="2798" hidden="1"/>
    <cellStyle name="Гиперссылка 2" xfId="3628" hidden="1"/>
    <cellStyle name="Гиперссылка 2" xfId="2976" hidden="1"/>
    <cellStyle name="Гиперссылка 2" xfId="3975" hidden="1"/>
    <cellStyle name="Гиперссылка 2" xfId="4322" hidden="1"/>
    <cellStyle name="Гиперссылка 2" xfId="4595" hidden="1"/>
    <cellStyle name="Гиперссылка 2" xfId="4973" hidden="1"/>
    <cellStyle name="Гиперссылка 2" xfId="5427" hidden="1"/>
    <cellStyle name="Гиперссылка 2" xfId="4975" hidden="1"/>
    <cellStyle name="Гиперссылка 2" xfId="5837" hidden="1"/>
    <cellStyle name="Гиперссылка 2" xfId="5160" hidden="1"/>
    <cellStyle name="Гиперссылка 2" xfId="6184" hidden="1"/>
    <cellStyle name="Гиперссылка 2" xfId="6502" hidden="1"/>
    <cellStyle name="Гиперссылка 2" xfId="6936" hidden="1"/>
    <cellStyle name="Гиперссылка 2" xfId="6504" hidden="1"/>
    <cellStyle name="Гиперссылка 2" xfId="7334" hidden="1"/>
    <cellStyle name="Гиперссылка 2" xfId="6682" hidden="1"/>
    <cellStyle name="Гиперссылка 2" xfId="7681" hidden="1"/>
    <cellStyle name="Гиперссылка 2" xfId="4503"/>
    <cellStyle name="Гиперссылка 2 10" xfId="9718"/>
    <cellStyle name="Гиперссылка 2 10 2" xfId="14261"/>
    <cellStyle name="Гиперссылка 2 11" xfId="10090"/>
    <cellStyle name="Гиперссылка 2 12" xfId="9720"/>
    <cellStyle name="Гиперссылка 2 13" xfId="10430"/>
    <cellStyle name="Гиперссылка 2 14" xfId="9873"/>
    <cellStyle name="Гиперссылка 2 15" xfId="10728"/>
    <cellStyle name="Гиперссылка 2 16" xfId="14260"/>
    <cellStyle name="Гиперссылка 2 2" xfId="7907"/>
    <cellStyle name="Гиперссылка 2 2 2" xfId="14262"/>
    <cellStyle name="Гиперссылка 2 3" xfId="8124"/>
    <cellStyle name="Гиперссылка 2 3 2" xfId="14263"/>
    <cellStyle name="Гиперссылка 2 4" xfId="8434"/>
    <cellStyle name="Гиперссылка 2 4 2" xfId="14264"/>
    <cellStyle name="Гиперссылка 2 5" xfId="8807"/>
    <cellStyle name="Гиперссылка 2 5 2" xfId="14265"/>
    <cellStyle name="Гиперссылка 2 6" xfId="8436"/>
    <cellStyle name="Гиперссылка 2 6 2" xfId="14266"/>
    <cellStyle name="Гиперссылка 2 7" xfId="9147"/>
    <cellStyle name="Гиперссылка 2 7 2" xfId="14267"/>
    <cellStyle name="Гиперссылка 2 8" xfId="8590"/>
    <cellStyle name="Гиперссылка 2 8 2" xfId="14268"/>
    <cellStyle name="Гиперссылка 2 9" xfId="9445"/>
    <cellStyle name="Гиперссылка 2 9 2" xfId="14269"/>
    <cellStyle name="Гиперссылка 2_Бюджетная модель_05_11" xfId="14270"/>
    <cellStyle name="Гиперссылка 3" xfId="14271"/>
    <cellStyle name="Гиперссылка 4" xfId="14272"/>
    <cellStyle name="Гиперссылка 5" xfId="14273"/>
    <cellStyle name="Гиперссылка 5 2" xfId="14274"/>
    <cellStyle name="Гиперссылка 6" xfId="14275"/>
    <cellStyle name="Дата" xfId="14276"/>
    <cellStyle name="Дата UTL" xfId="14277"/>
    <cellStyle name="Денежный" xfId="9" builtinId="4" hidden="1"/>
    <cellStyle name="Денежный" xfId="288" builtinId="4" hidden="1"/>
    <cellStyle name="Денежный" xfId="544" builtinId="4" hidden="1"/>
    <cellStyle name="Денежный [0]" xfId="10" builtinId="7" hidden="1"/>
    <cellStyle name="Денежный [0]" xfId="289" builtinId="7" hidden="1"/>
    <cellStyle name="Денежный [0]" xfId="545" builtinId="7" hidden="1"/>
    <cellStyle name="Денежный [0] 2" xfId="94" hidden="1"/>
    <cellStyle name="Денежный [0] 2" xfId="192" hidden="1"/>
    <cellStyle name="Денежный [0] 2" xfId="208" hidden="1"/>
    <cellStyle name="Денежный [0] 2" xfId="219" hidden="1"/>
    <cellStyle name="Денежный [0] 2" xfId="216" hidden="1"/>
    <cellStyle name="Денежный [0] 2" xfId="226" hidden="1"/>
    <cellStyle name="Денежный [0] 2" xfId="241" hidden="1"/>
    <cellStyle name="Денежный [0] 2" xfId="248" hidden="1"/>
    <cellStyle name="Денежный [0] 2" xfId="259" hidden="1"/>
    <cellStyle name="Денежный [0] 2" xfId="270" hidden="1"/>
    <cellStyle name="Денежный [0] 2" xfId="267" hidden="1"/>
    <cellStyle name="Денежный [0] 2" xfId="277" hidden="1"/>
    <cellStyle name="Денежный [0] 2" xfId="373" hidden="1"/>
    <cellStyle name="Денежный [0] 2" xfId="459" hidden="1"/>
    <cellStyle name="Денежный [0] 2" xfId="471" hidden="1"/>
    <cellStyle name="Денежный [0] 2" xfId="482" hidden="1"/>
    <cellStyle name="Денежный [0] 2" xfId="479" hidden="1"/>
    <cellStyle name="Денежный [0] 2" xfId="489" hidden="1"/>
    <cellStyle name="Денежный [0] 2" xfId="498" hidden="1"/>
    <cellStyle name="Денежный [0] 2" xfId="505" hidden="1"/>
    <cellStyle name="Денежный [0] 2" xfId="516" hidden="1"/>
    <cellStyle name="Денежный [0] 2" xfId="527" hidden="1"/>
    <cellStyle name="Денежный [0] 2" xfId="524" hidden="1"/>
    <cellStyle name="Денежный [0] 2" xfId="534" hidden="1"/>
    <cellStyle name="Денежный [0] 2" xfId="629" hidden="1"/>
    <cellStyle name="Денежный [0] 2" xfId="715" hidden="1"/>
    <cellStyle name="Денежный [0] 2" xfId="727" hidden="1"/>
    <cellStyle name="Денежный [0] 2" xfId="738" hidden="1"/>
    <cellStyle name="Денежный [0] 2" xfId="735" hidden="1"/>
    <cellStyle name="Денежный [0] 2" xfId="745" hidden="1"/>
    <cellStyle name="Денежный [0] 2" xfId="754" hidden="1"/>
    <cellStyle name="Денежный [0] 2" xfId="761" hidden="1"/>
    <cellStyle name="Денежный [0] 2" xfId="772" hidden="1"/>
    <cellStyle name="Денежный [0] 2" xfId="783" hidden="1"/>
    <cellStyle name="Денежный [0] 2" xfId="780" hidden="1"/>
    <cellStyle name="Денежный [0] 2" xfId="790" hidden="1"/>
    <cellStyle name="Денежный [0] 2" xfId="802" hidden="1"/>
    <cellStyle name="Денежный [0] 2" xfId="809" hidden="1"/>
    <cellStyle name="Денежный [0] 2" xfId="820" hidden="1"/>
    <cellStyle name="Денежный [0] 2" xfId="831" hidden="1"/>
    <cellStyle name="Денежный [0] 2" xfId="828" hidden="1"/>
    <cellStyle name="Денежный [0] 2" xfId="838" hidden="1"/>
    <cellStyle name="Денежный [0] 2" xfId="847" hidden="1"/>
    <cellStyle name="Денежный [0] 2" xfId="854" hidden="1"/>
    <cellStyle name="Денежный [0] 2" xfId="865" hidden="1"/>
    <cellStyle name="Денежный [0] 2" xfId="876" hidden="1"/>
    <cellStyle name="Денежный [0] 2" xfId="873" hidden="1"/>
    <cellStyle name="Денежный [0] 2" xfId="883" hidden="1"/>
    <cellStyle name="Денежный [0] 2" xfId="893" hidden="1"/>
    <cellStyle name="Денежный [0] 2" xfId="900" hidden="1"/>
    <cellStyle name="Денежный [0] 2" xfId="911" hidden="1"/>
    <cellStyle name="Денежный [0] 2" xfId="922" hidden="1"/>
    <cellStyle name="Денежный [0] 2" xfId="919" hidden="1"/>
    <cellStyle name="Денежный [0] 2" xfId="929" hidden="1"/>
    <cellStyle name="Денежный [0] 2" xfId="938" hidden="1"/>
    <cellStyle name="Денежный [0] 2" xfId="945" hidden="1"/>
    <cellStyle name="Денежный [0] 2" xfId="956" hidden="1"/>
    <cellStyle name="Денежный [0] 2" xfId="967" hidden="1"/>
    <cellStyle name="Денежный [0] 2" xfId="964" hidden="1"/>
    <cellStyle name="Денежный [0] 2" xfId="974" hidden="1"/>
    <cellStyle name="Денежный [0] 2" xfId="983" hidden="1"/>
    <cellStyle name="Денежный [0] 2" xfId="990" hidden="1"/>
    <cellStyle name="Денежный [0] 2" xfId="1001" hidden="1"/>
    <cellStyle name="Денежный [0] 2" xfId="1012" hidden="1"/>
    <cellStyle name="Денежный [0] 2" xfId="1009" hidden="1"/>
    <cellStyle name="Денежный [0] 2" xfId="1019" hidden="1"/>
    <cellStyle name="Денежный [0] 2" xfId="1028" hidden="1"/>
    <cellStyle name="Денежный [0] 2" xfId="1035" hidden="1"/>
    <cellStyle name="Денежный [0] 2" xfId="1046" hidden="1"/>
    <cellStyle name="Денежный [0] 2" xfId="1057" hidden="1"/>
    <cellStyle name="Денежный [0] 2" xfId="1054" hidden="1"/>
    <cellStyle name="Денежный [0] 2" xfId="1064" hidden="1"/>
    <cellStyle name="Денежный [0] 2" xfId="1151" hidden="1"/>
    <cellStyle name="Денежный [0] 2" xfId="1181" hidden="1"/>
    <cellStyle name="Денежный [0] 2" xfId="1195" hidden="1"/>
    <cellStyle name="Денежный [0] 2" xfId="1206" hidden="1"/>
    <cellStyle name="Денежный [0] 2" xfId="1203" hidden="1"/>
    <cellStyle name="Денежный [0] 2" xfId="1213" hidden="1"/>
    <cellStyle name="Денежный [0] 2" xfId="1225" hidden="1"/>
    <cellStyle name="Денежный [0] 2" xfId="1232" hidden="1"/>
    <cellStyle name="Денежный [0] 2" xfId="1243" hidden="1"/>
    <cellStyle name="Денежный [0] 2" xfId="1254" hidden="1"/>
    <cellStyle name="Денежный [0] 2" xfId="1251" hidden="1"/>
    <cellStyle name="Денежный [0] 2" xfId="1261" hidden="1"/>
    <cellStyle name="Денежный [0] 2" xfId="1311" hidden="1"/>
    <cellStyle name="Денежный [0] 2" xfId="1374" hidden="1"/>
    <cellStyle name="Денежный [0] 2" xfId="1385" hidden="1"/>
    <cellStyle name="Денежный [0] 2" xfId="1396" hidden="1"/>
    <cellStyle name="Денежный [0] 2" xfId="1393" hidden="1"/>
    <cellStyle name="Денежный [0] 2" xfId="1403" hidden="1"/>
    <cellStyle name="Денежный [0] 2" xfId="1412" hidden="1"/>
    <cellStyle name="Денежный [0] 2" xfId="1419" hidden="1"/>
    <cellStyle name="Денежный [0] 2" xfId="1430" hidden="1"/>
    <cellStyle name="Денежный [0] 2" xfId="1441" hidden="1"/>
    <cellStyle name="Денежный [0] 2" xfId="1438" hidden="1"/>
    <cellStyle name="Денежный [0] 2" xfId="1448" hidden="1"/>
    <cellStyle name="Денежный [0] 2" xfId="1508" hidden="1"/>
    <cellStyle name="Денежный [0] 2" xfId="1550" hidden="1"/>
    <cellStyle name="Денежный [0] 2" xfId="1562" hidden="1"/>
    <cellStyle name="Денежный [0] 2" xfId="1573" hidden="1"/>
    <cellStyle name="Денежный [0] 2" xfId="1570" hidden="1"/>
    <cellStyle name="Денежный [0] 2" xfId="1580" hidden="1"/>
    <cellStyle name="Денежный [0] 2" xfId="1589" hidden="1"/>
    <cellStyle name="Денежный [0] 2" xfId="1596" hidden="1"/>
    <cellStyle name="Денежный [0] 2" xfId="1607" hidden="1"/>
    <cellStyle name="Денежный [0] 2" xfId="1618" hidden="1"/>
    <cellStyle name="Денежный [0] 2" xfId="1615" hidden="1"/>
    <cellStyle name="Денежный [0] 2" xfId="1625" hidden="1"/>
    <cellStyle name="Денежный [0] 2" xfId="1635" hidden="1"/>
    <cellStyle name="Денежный [0] 2" xfId="1642" hidden="1"/>
    <cellStyle name="Денежный [0] 2" xfId="1653" hidden="1"/>
    <cellStyle name="Денежный [0] 2" xfId="1664" hidden="1"/>
    <cellStyle name="Денежный [0] 2" xfId="1661" hidden="1"/>
    <cellStyle name="Денежный [0] 2" xfId="1671" hidden="1"/>
    <cellStyle name="Денежный [0] 2" xfId="1680" hidden="1"/>
    <cellStyle name="Денежный [0] 2" xfId="1687" hidden="1"/>
    <cellStyle name="Денежный [0] 2" xfId="1698" hidden="1"/>
    <cellStyle name="Денежный [0] 2" xfId="1709" hidden="1"/>
    <cellStyle name="Денежный [0] 2" xfId="1706" hidden="1"/>
    <cellStyle name="Денежный [0] 2" xfId="1716" hidden="1"/>
    <cellStyle name="Денежный [0] 2" xfId="1726" hidden="1"/>
    <cellStyle name="Денежный [0] 2" xfId="1733" hidden="1"/>
    <cellStyle name="Денежный [0] 2" xfId="1744" hidden="1"/>
    <cellStyle name="Денежный [0] 2" xfId="1755" hidden="1"/>
    <cellStyle name="Денежный [0] 2" xfId="1752" hidden="1"/>
    <cellStyle name="Денежный [0] 2" xfId="1762" hidden="1"/>
    <cellStyle name="Денежный [0] 2" xfId="1771" hidden="1"/>
    <cellStyle name="Денежный [0] 2" xfId="1778" hidden="1"/>
    <cellStyle name="Денежный [0] 2" xfId="1789" hidden="1"/>
    <cellStyle name="Денежный [0] 2" xfId="1800" hidden="1"/>
    <cellStyle name="Денежный [0] 2" xfId="1797" hidden="1"/>
    <cellStyle name="Денежный [0] 2" xfId="1807" hidden="1"/>
    <cellStyle name="Денежный [0] 2" xfId="1816" hidden="1"/>
    <cellStyle name="Денежный [0] 2" xfId="1823" hidden="1"/>
    <cellStyle name="Денежный [0] 2" xfId="1834" hidden="1"/>
    <cellStyle name="Денежный [0] 2" xfId="1845" hidden="1"/>
    <cellStyle name="Денежный [0] 2" xfId="1842" hidden="1"/>
    <cellStyle name="Денежный [0] 2" xfId="1852" hidden="1"/>
    <cellStyle name="Денежный [0] 2" xfId="1861" hidden="1"/>
    <cellStyle name="Денежный [0] 2" xfId="1868" hidden="1"/>
    <cellStyle name="Денежный [0] 2" xfId="1879" hidden="1"/>
    <cellStyle name="Денежный [0] 2" xfId="1890" hidden="1"/>
    <cellStyle name="Денежный [0] 2" xfId="1887" hidden="1"/>
    <cellStyle name="Денежный [0] 2" xfId="1897" hidden="1"/>
    <cellStyle name="Денежный [0] 2" xfId="1496" hidden="1"/>
    <cellStyle name="Денежный [0] 2" xfId="1362" hidden="1"/>
    <cellStyle name="Денежный [0] 2" xfId="1349" hidden="1"/>
    <cellStyle name="Денежный [0] 2" xfId="1338" hidden="1"/>
    <cellStyle name="Денежный [0] 2" xfId="1341" hidden="1"/>
    <cellStyle name="Денежный [0] 2" xfId="1331" hidden="1"/>
    <cellStyle name="Денежный [0] 2" xfId="1318" hidden="1"/>
    <cellStyle name="Денежный [0] 2" xfId="1304" hidden="1"/>
    <cellStyle name="Денежный [0] 2" xfId="1293" hidden="1"/>
    <cellStyle name="Денежный [0] 2" xfId="1282" hidden="1"/>
    <cellStyle name="Денежный [0] 2" xfId="1285" hidden="1"/>
    <cellStyle name="Денежный [0] 2" xfId="1275" hidden="1"/>
    <cellStyle name="Денежный [0] 2" xfId="1156" hidden="1"/>
    <cellStyle name="Денежный [0] 2" xfId="1113" hidden="1"/>
    <cellStyle name="Денежный [0] 2" xfId="1101" hidden="1"/>
    <cellStyle name="Денежный [0] 2" xfId="1090" hidden="1"/>
    <cellStyle name="Денежный [0] 2" xfId="1093" hidden="1"/>
    <cellStyle name="Денежный [0] 2" xfId="1083" hidden="1"/>
    <cellStyle name="Денежный [0] 2" xfId="1071" hidden="1"/>
    <cellStyle name="Денежный [0] 2" xfId="1908" hidden="1"/>
    <cellStyle name="Денежный [0] 2" xfId="1919" hidden="1"/>
    <cellStyle name="Денежный [0] 2" xfId="1930" hidden="1"/>
    <cellStyle name="Денежный [0] 2" xfId="1927" hidden="1"/>
    <cellStyle name="Денежный [0] 2" xfId="1937" hidden="1"/>
    <cellStyle name="Денежный [0] 2" xfId="1952" hidden="1"/>
    <cellStyle name="Денежный [0] 2" xfId="1959" hidden="1"/>
    <cellStyle name="Денежный [0] 2" xfId="1970" hidden="1"/>
    <cellStyle name="Денежный [0] 2" xfId="1981" hidden="1"/>
    <cellStyle name="Денежный [0] 2" xfId="1978" hidden="1"/>
    <cellStyle name="Денежный [0] 2" xfId="1988" hidden="1"/>
    <cellStyle name="Денежный [0] 2" xfId="1997" hidden="1"/>
    <cellStyle name="Денежный [0] 2" xfId="2004" hidden="1"/>
    <cellStyle name="Денежный [0] 2" xfId="2015" hidden="1"/>
    <cellStyle name="Денежный [0] 2" xfId="2026" hidden="1"/>
    <cellStyle name="Денежный [0] 2" xfId="2023" hidden="1"/>
    <cellStyle name="Денежный [0] 2" xfId="2033" hidden="1"/>
    <cellStyle name="Денежный [0] 2" xfId="2045" hidden="1"/>
    <cellStyle name="Денежный [0] 2" xfId="2052" hidden="1"/>
    <cellStyle name="Денежный [0] 2" xfId="2063" hidden="1"/>
    <cellStyle name="Денежный [0] 2" xfId="2074" hidden="1"/>
    <cellStyle name="Денежный [0] 2" xfId="2071" hidden="1"/>
    <cellStyle name="Денежный [0] 2" xfId="2081" hidden="1"/>
    <cellStyle name="Денежный [0] 2" xfId="2090" hidden="1"/>
    <cellStyle name="Денежный [0] 2" xfId="2097" hidden="1"/>
    <cellStyle name="Денежный [0] 2" xfId="2108" hidden="1"/>
    <cellStyle name="Денежный [0] 2" xfId="2119" hidden="1"/>
    <cellStyle name="Денежный [0] 2" xfId="2116" hidden="1"/>
    <cellStyle name="Денежный [0] 2" xfId="2126" hidden="1"/>
    <cellStyle name="Денежный [0] 2" xfId="2136" hidden="1"/>
    <cellStyle name="Денежный [0] 2" xfId="2143" hidden="1"/>
    <cellStyle name="Денежный [0] 2" xfId="2154" hidden="1"/>
    <cellStyle name="Денежный [0] 2" xfId="2165" hidden="1"/>
    <cellStyle name="Денежный [0] 2" xfId="2162" hidden="1"/>
    <cellStyle name="Денежный [0] 2" xfId="2172" hidden="1"/>
    <cellStyle name="Денежный [0] 2" xfId="2181" hidden="1"/>
    <cellStyle name="Денежный [0] 2" xfId="2188" hidden="1"/>
    <cellStyle name="Денежный [0] 2" xfId="2199" hidden="1"/>
    <cellStyle name="Денежный [0] 2" xfId="2210" hidden="1"/>
    <cellStyle name="Денежный [0] 2" xfId="2207" hidden="1"/>
    <cellStyle name="Денежный [0] 2" xfId="2217" hidden="1"/>
    <cellStyle name="Денежный [0] 2" xfId="2225" hidden="1"/>
    <cellStyle name="Денежный [0] 2" xfId="2232" hidden="1"/>
    <cellStyle name="Денежный [0] 2" xfId="2243" hidden="1"/>
    <cellStyle name="Денежный [0] 2" xfId="2254" hidden="1"/>
    <cellStyle name="Денежный [0] 2" xfId="2251" hidden="1"/>
    <cellStyle name="Денежный [0] 2" xfId="2261" hidden="1"/>
    <cellStyle name="Денежный [0] 2" xfId="2270" hidden="1"/>
    <cellStyle name="Денежный [0] 2" xfId="2277" hidden="1"/>
    <cellStyle name="Денежный [0] 2" xfId="2287" hidden="1"/>
    <cellStyle name="Денежный [0] 2" xfId="2298" hidden="1"/>
    <cellStyle name="Денежный [0] 2" xfId="2295" hidden="1"/>
    <cellStyle name="Денежный [0] 2" xfId="2305" hidden="1"/>
    <cellStyle name="Денежный [0] 2" xfId="1943" hidden="1"/>
    <cellStyle name="Денежный [0] 2" xfId="1541" hidden="1"/>
    <cellStyle name="Денежный [0] 2" xfId="1531" hidden="1"/>
    <cellStyle name="Денежный [0] 2" xfId="1520" hidden="1"/>
    <cellStyle name="Денежный [0] 2" xfId="1523" hidden="1"/>
    <cellStyle name="Денежный [0] 2" xfId="1513" hidden="1"/>
    <cellStyle name="Денежный [0] 2" xfId="1493" hidden="1"/>
    <cellStyle name="Денежный [0] 2" xfId="1485" hidden="1"/>
    <cellStyle name="Денежный [0] 2" xfId="1475" hidden="1"/>
    <cellStyle name="Денежный [0] 2" xfId="1464" hidden="1"/>
    <cellStyle name="Денежный [0] 2" xfId="1467" hidden="1"/>
    <cellStyle name="Денежный [0] 2" xfId="1457" hidden="1"/>
    <cellStyle name="Денежный [0] 2" xfId="1163" hidden="1"/>
    <cellStyle name="Денежный [0] 2" xfId="1142" hidden="1"/>
    <cellStyle name="Денежный [0] 2" xfId="1132" hidden="1"/>
    <cellStyle name="Денежный [0] 2" xfId="1121" hidden="1"/>
    <cellStyle name="Денежный [0] 2" xfId="1124" hidden="1"/>
    <cellStyle name="Денежный [0] 2" xfId="2130" hidden="1"/>
    <cellStyle name="Денежный [0] 2" xfId="2176" hidden="1"/>
    <cellStyle name="Денежный [0] 2" xfId="2146" hidden="1"/>
    <cellStyle name="Денежный [0] 2" xfId="2175" hidden="1"/>
    <cellStyle name="Денежный [0] 2" xfId="1270" hidden="1"/>
    <cellStyle name="Денежный [0] 2" xfId="1327" hidden="1"/>
    <cellStyle name="Денежный [0] 2" xfId="1365" hidden="1"/>
    <cellStyle name="Денежный [0] 2" xfId="2314" hidden="1"/>
    <cellStyle name="Денежный [0] 2" xfId="2321" hidden="1"/>
    <cellStyle name="Денежный [0] 2" xfId="2331" hidden="1"/>
    <cellStyle name="Денежный [0] 2" xfId="2342" hidden="1"/>
    <cellStyle name="Денежный [0] 2" xfId="2339" hidden="1"/>
    <cellStyle name="Денежный [0] 2" xfId="2349" hidden="1"/>
    <cellStyle name="Денежный [0] 2" xfId="2356" hidden="1"/>
    <cellStyle name="Денежный [0] 2" xfId="2363" hidden="1"/>
    <cellStyle name="Денежный [0] 2" xfId="2373" hidden="1"/>
    <cellStyle name="Денежный [0] 2" xfId="2384" hidden="1"/>
    <cellStyle name="Денежный [0] 2" xfId="2381" hidden="1"/>
    <cellStyle name="Денежный [0] 2" xfId="2391" hidden="1"/>
    <cellStyle name="Денежный [0] 2" xfId="2398" hidden="1"/>
    <cellStyle name="Денежный [0] 2" xfId="2405" hidden="1"/>
    <cellStyle name="Денежный [0] 2" xfId="2415" hidden="1"/>
    <cellStyle name="Денежный [0] 2" xfId="2426" hidden="1"/>
    <cellStyle name="Денежный [0] 2" xfId="2423" hidden="1"/>
    <cellStyle name="Денежный [0] 2" xfId="2433" hidden="1"/>
    <cellStyle name="Денежный [0] 2" xfId="2440" hidden="1"/>
    <cellStyle name="Денежный [0] 2" xfId="2447" hidden="1"/>
    <cellStyle name="Денежный [0] 2" xfId="2457" hidden="1"/>
    <cellStyle name="Денежный [0] 2" xfId="2468" hidden="1"/>
    <cellStyle name="Денежный [0] 2" xfId="2465" hidden="1"/>
    <cellStyle name="Денежный [0] 2" xfId="2475" hidden="1"/>
    <cellStyle name="Денежный [0] 2" xfId="2483" hidden="1"/>
    <cellStyle name="Денежный [0] 2" xfId="2490" hidden="1"/>
    <cellStyle name="Денежный [0] 2" xfId="2500" hidden="1"/>
    <cellStyle name="Денежный [0] 2" xfId="2511" hidden="1"/>
    <cellStyle name="Денежный [0] 2" xfId="2508" hidden="1"/>
    <cellStyle name="Денежный [0] 2" xfId="2518" hidden="1"/>
    <cellStyle name="Денежный [0] 2" xfId="2525" hidden="1"/>
    <cellStyle name="Денежный [0] 2" xfId="2532" hidden="1"/>
    <cellStyle name="Денежный [0] 2" xfId="2542" hidden="1"/>
    <cellStyle name="Денежный [0] 2" xfId="2553" hidden="1"/>
    <cellStyle name="Денежный [0] 2" xfId="2550" hidden="1"/>
    <cellStyle name="Денежный [0] 2" xfId="2560" hidden="1"/>
    <cellStyle name="Денежный [0] 2" xfId="2567" hidden="1"/>
    <cellStyle name="Денежный [0] 2" xfId="2574" hidden="1"/>
    <cellStyle name="Денежный [0] 2" xfId="2584" hidden="1"/>
    <cellStyle name="Денежный [0] 2" xfId="2595" hidden="1"/>
    <cellStyle name="Денежный [0] 2" xfId="2592" hidden="1"/>
    <cellStyle name="Денежный [0] 2" xfId="2602" hidden="1"/>
    <cellStyle name="Денежный [0] 2" xfId="2609" hidden="1"/>
    <cellStyle name="Денежный [0] 2" xfId="2616" hidden="1"/>
    <cellStyle name="Денежный [0] 2" xfId="2626" hidden="1"/>
    <cellStyle name="Денежный [0] 2" xfId="2637" hidden="1"/>
    <cellStyle name="Денежный [0] 2" xfId="2634" hidden="1"/>
    <cellStyle name="Денежный [0] 2" xfId="2644" hidden="1"/>
    <cellStyle name="Денежный [0] 2" xfId="2703" hidden="1"/>
    <cellStyle name="Денежный [0] 2" xfId="2721" hidden="1"/>
    <cellStyle name="Денежный [0] 2" xfId="2733" hidden="1"/>
    <cellStyle name="Денежный [0] 2" xfId="2744" hidden="1"/>
    <cellStyle name="Денежный [0] 2" xfId="2741" hidden="1"/>
    <cellStyle name="Денежный [0] 2" xfId="2751" hidden="1"/>
    <cellStyle name="Денежный [0] 2" xfId="2758" hidden="1"/>
    <cellStyle name="Денежный [0] 2" xfId="2765" hidden="1"/>
    <cellStyle name="Денежный [0] 2" xfId="2775" hidden="1"/>
    <cellStyle name="Денежный [0] 2" xfId="2786" hidden="1"/>
    <cellStyle name="Денежный [0] 2" xfId="2783" hidden="1"/>
    <cellStyle name="Денежный [0] 2" xfId="2793" hidden="1"/>
    <cellStyle name="Денежный [0] 2" xfId="2840" hidden="1"/>
    <cellStyle name="Денежный [0] 2" xfId="2903" hidden="1"/>
    <cellStyle name="Денежный [0] 2" xfId="2913" hidden="1"/>
    <cellStyle name="Денежный [0] 2" xfId="2924" hidden="1"/>
    <cellStyle name="Денежный [0] 2" xfId="2921" hidden="1"/>
    <cellStyle name="Денежный [0] 2" xfId="2931" hidden="1"/>
    <cellStyle name="Денежный [0] 2" xfId="2938" hidden="1"/>
    <cellStyle name="Денежный [0] 2" xfId="2945" hidden="1"/>
    <cellStyle name="Денежный [0] 2" xfId="2955" hidden="1"/>
    <cellStyle name="Денежный [0] 2" xfId="2966" hidden="1"/>
    <cellStyle name="Денежный [0] 2" xfId="2963" hidden="1"/>
    <cellStyle name="Денежный [0] 2" xfId="2973" hidden="1"/>
    <cellStyle name="Денежный [0] 2" xfId="3030" hidden="1"/>
    <cellStyle name="Денежный [0] 2" xfId="3072" hidden="1"/>
    <cellStyle name="Денежный [0] 2" xfId="3083" hidden="1"/>
    <cellStyle name="Денежный [0] 2" xfId="3094" hidden="1"/>
    <cellStyle name="Денежный [0] 2" xfId="3091" hidden="1"/>
    <cellStyle name="Денежный [0] 2" xfId="3101" hidden="1"/>
    <cellStyle name="Денежный [0] 2" xfId="3108" hidden="1"/>
    <cellStyle name="Денежный [0] 2" xfId="3115" hidden="1"/>
    <cellStyle name="Денежный [0] 2" xfId="3125" hidden="1"/>
    <cellStyle name="Денежный [0] 2" xfId="3136" hidden="1"/>
    <cellStyle name="Денежный [0] 2" xfId="3133" hidden="1"/>
    <cellStyle name="Денежный [0] 2" xfId="3143" hidden="1"/>
    <cellStyle name="Денежный [0] 2" xfId="3150" hidden="1"/>
    <cellStyle name="Денежный [0] 2" xfId="3157" hidden="1"/>
    <cellStyle name="Денежный [0] 2" xfId="3167" hidden="1"/>
    <cellStyle name="Денежный [0] 2" xfId="3178" hidden="1"/>
    <cellStyle name="Денежный [0] 2" xfId="3175" hidden="1"/>
    <cellStyle name="Денежный [0] 2" xfId="3185" hidden="1"/>
    <cellStyle name="Денежный [0] 2" xfId="3192" hidden="1"/>
    <cellStyle name="Денежный [0] 2" xfId="3199" hidden="1"/>
    <cellStyle name="Денежный [0] 2" xfId="3209" hidden="1"/>
    <cellStyle name="Денежный [0] 2" xfId="3220" hidden="1"/>
    <cellStyle name="Денежный [0] 2" xfId="3217" hidden="1"/>
    <cellStyle name="Денежный [0] 2" xfId="3227" hidden="1"/>
    <cellStyle name="Денежный [0] 2" xfId="3235" hidden="1"/>
    <cellStyle name="Денежный [0] 2" xfId="3242" hidden="1"/>
    <cellStyle name="Денежный [0] 2" xfId="3252" hidden="1"/>
    <cellStyle name="Денежный [0] 2" xfId="3263" hidden="1"/>
    <cellStyle name="Денежный [0] 2" xfId="3260" hidden="1"/>
    <cellStyle name="Денежный [0] 2" xfId="3270" hidden="1"/>
    <cellStyle name="Денежный [0] 2" xfId="3277" hidden="1"/>
    <cellStyle name="Денежный [0] 2" xfId="3284" hidden="1"/>
    <cellStyle name="Денежный [0] 2" xfId="3294" hidden="1"/>
    <cellStyle name="Денежный [0] 2" xfId="3305" hidden="1"/>
    <cellStyle name="Денежный [0] 2" xfId="3302" hidden="1"/>
    <cellStyle name="Денежный [0] 2" xfId="3312" hidden="1"/>
    <cellStyle name="Денежный [0] 2" xfId="3319" hidden="1"/>
    <cellStyle name="Денежный [0] 2" xfId="3326" hidden="1"/>
    <cellStyle name="Денежный [0] 2" xfId="3336" hidden="1"/>
    <cellStyle name="Денежный [0] 2" xfId="3347" hidden="1"/>
    <cellStyle name="Денежный [0] 2" xfId="3344" hidden="1"/>
    <cellStyle name="Денежный [0] 2" xfId="3354" hidden="1"/>
    <cellStyle name="Денежный [0] 2" xfId="3361" hidden="1"/>
    <cellStyle name="Денежный [0] 2" xfId="3368" hidden="1"/>
    <cellStyle name="Денежный [0] 2" xfId="3378" hidden="1"/>
    <cellStyle name="Денежный [0] 2" xfId="3389" hidden="1"/>
    <cellStyle name="Денежный [0] 2" xfId="3386" hidden="1"/>
    <cellStyle name="Денежный [0] 2" xfId="3396" hidden="1"/>
    <cellStyle name="Денежный [0] 2" xfId="3018" hidden="1"/>
    <cellStyle name="Денежный [0] 2" xfId="2891" hidden="1"/>
    <cellStyle name="Денежный [0] 2" xfId="2878" hidden="1"/>
    <cellStyle name="Денежный [0] 2" xfId="2867" hidden="1"/>
    <cellStyle name="Денежный [0] 2" xfId="2870" hidden="1"/>
    <cellStyle name="Денежный [0] 2" xfId="2860" hidden="1"/>
    <cellStyle name="Денежный [0] 2" xfId="2847" hidden="1"/>
    <cellStyle name="Денежный [0] 2" xfId="2833" hidden="1"/>
    <cellStyle name="Денежный [0] 2" xfId="2822" hidden="1"/>
    <cellStyle name="Денежный [0] 2" xfId="2811" hidden="1"/>
    <cellStyle name="Денежный [0] 2" xfId="2814" hidden="1"/>
    <cellStyle name="Денежный [0] 2" xfId="2804" hidden="1"/>
    <cellStyle name="Денежный [0] 2" xfId="2708" hidden="1"/>
    <cellStyle name="Денежный [0] 2" xfId="2665" hidden="1"/>
    <cellStyle name="Денежный [0] 2" xfId="2653" hidden="1"/>
    <cellStyle name="Денежный [0] 2" xfId="1172" hidden="1"/>
    <cellStyle name="Денежный [0] 2" xfId="1217" hidden="1"/>
    <cellStyle name="Денежный [0] 2" xfId="1174" hidden="1"/>
    <cellStyle name="Денежный [0] 2" xfId="1218" hidden="1"/>
    <cellStyle name="Денежный [0] 2" xfId="3405" hidden="1"/>
    <cellStyle name="Денежный [0] 2" xfId="3416" hidden="1"/>
    <cellStyle name="Денежный [0] 2" xfId="3427" hidden="1"/>
    <cellStyle name="Денежный [0] 2" xfId="3424" hidden="1"/>
    <cellStyle name="Денежный [0] 2" xfId="3434" hidden="1"/>
    <cellStyle name="Денежный [0] 2" xfId="3449" hidden="1"/>
    <cellStyle name="Денежный [0] 2" xfId="3456" hidden="1"/>
    <cellStyle name="Денежный [0] 2" xfId="3467" hidden="1"/>
    <cellStyle name="Денежный [0] 2" xfId="3478" hidden="1"/>
    <cellStyle name="Денежный [0] 2" xfId="3475" hidden="1"/>
    <cellStyle name="Денежный [0] 2" xfId="3485" hidden="1"/>
    <cellStyle name="Денежный [0] 2" xfId="3494" hidden="1"/>
    <cellStyle name="Денежный [0] 2" xfId="3501" hidden="1"/>
    <cellStyle name="Денежный [0] 2" xfId="3512" hidden="1"/>
    <cellStyle name="Денежный [0] 2" xfId="3523" hidden="1"/>
    <cellStyle name="Денежный [0] 2" xfId="3520" hidden="1"/>
    <cellStyle name="Денежный [0] 2" xfId="3530" hidden="1"/>
    <cellStyle name="Денежный [0] 2" xfId="3542" hidden="1"/>
    <cellStyle name="Денежный [0] 2" xfId="3549" hidden="1"/>
    <cellStyle name="Денежный [0] 2" xfId="3560" hidden="1"/>
    <cellStyle name="Денежный [0] 2" xfId="3571" hidden="1"/>
    <cellStyle name="Денежный [0] 2" xfId="3568" hidden="1"/>
    <cellStyle name="Денежный [0] 2" xfId="3578" hidden="1"/>
    <cellStyle name="Денежный [0] 2" xfId="3587" hidden="1"/>
    <cellStyle name="Денежный [0] 2" xfId="3594" hidden="1"/>
    <cellStyle name="Денежный [0] 2" xfId="3605" hidden="1"/>
    <cellStyle name="Денежный [0] 2" xfId="3616" hidden="1"/>
    <cellStyle name="Денежный [0] 2" xfId="3613" hidden="1"/>
    <cellStyle name="Денежный [0] 2" xfId="3623" hidden="1"/>
    <cellStyle name="Денежный [0] 2" xfId="3633" hidden="1"/>
    <cellStyle name="Денежный [0] 2" xfId="3640" hidden="1"/>
    <cellStyle name="Денежный [0] 2" xfId="3651" hidden="1"/>
    <cellStyle name="Денежный [0] 2" xfId="3662" hidden="1"/>
    <cellStyle name="Денежный [0] 2" xfId="3659" hidden="1"/>
    <cellStyle name="Денежный [0] 2" xfId="3669" hidden="1"/>
    <cellStyle name="Денежный [0] 2" xfId="3678" hidden="1"/>
    <cellStyle name="Денежный [0] 2" xfId="3685" hidden="1"/>
    <cellStyle name="Денежный [0] 2" xfId="3696" hidden="1"/>
    <cellStyle name="Денежный [0] 2" xfId="3707" hidden="1"/>
    <cellStyle name="Денежный [0] 2" xfId="3704" hidden="1"/>
    <cellStyle name="Денежный [0] 2" xfId="3714" hidden="1"/>
    <cellStyle name="Денежный [0] 2" xfId="3722" hidden="1"/>
    <cellStyle name="Денежный [0] 2" xfId="3729" hidden="1"/>
    <cellStyle name="Денежный [0] 2" xfId="3740" hidden="1"/>
    <cellStyle name="Денежный [0] 2" xfId="3751" hidden="1"/>
    <cellStyle name="Денежный [0] 2" xfId="3748" hidden="1"/>
    <cellStyle name="Денежный [0] 2" xfId="3758" hidden="1"/>
    <cellStyle name="Денежный [0] 2" xfId="3767" hidden="1"/>
    <cellStyle name="Денежный [0] 2" xfId="3774" hidden="1"/>
    <cellStyle name="Денежный [0] 2" xfId="3784" hidden="1"/>
    <cellStyle name="Денежный [0] 2" xfId="3795" hidden="1"/>
    <cellStyle name="Денежный [0] 2" xfId="3792" hidden="1"/>
    <cellStyle name="Денежный [0] 2" xfId="3802" hidden="1"/>
    <cellStyle name="Денежный [0] 2" xfId="3440" hidden="1"/>
    <cellStyle name="Денежный [0] 2" xfId="3063" hidden="1"/>
    <cellStyle name="Денежный [0] 2" xfId="3053" hidden="1"/>
    <cellStyle name="Денежный [0] 2" xfId="3042" hidden="1"/>
    <cellStyle name="Денежный [0] 2" xfId="3045" hidden="1"/>
    <cellStyle name="Денежный [0] 2" xfId="3035" hidden="1"/>
    <cellStyle name="Денежный [0] 2" xfId="3015" hidden="1"/>
    <cellStyle name="Денежный [0] 2" xfId="3007" hidden="1"/>
    <cellStyle name="Денежный [0] 2" xfId="2997" hidden="1"/>
    <cellStyle name="Денежный [0] 2" xfId="2986" hidden="1"/>
    <cellStyle name="Денежный [0] 2" xfId="2989" hidden="1"/>
    <cellStyle name="Денежный [0] 2" xfId="2979" hidden="1"/>
    <cellStyle name="Денежный [0] 2" xfId="2715" hidden="1"/>
    <cellStyle name="Денежный [0] 2" xfId="2694" hidden="1"/>
    <cellStyle name="Денежный [0] 2" xfId="2684" hidden="1"/>
    <cellStyle name="Денежный [0] 2" xfId="2673" hidden="1"/>
    <cellStyle name="Денежный [0] 2" xfId="2676" hidden="1"/>
    <cellStyle name="Денежный [0] 2" xfId="3627" hidden="1"/>
    <cellStyle name="Денежный [0] 2" xfId="3673" hidden="1"/>
    <cellStyle name="Денежный [0] 2" xfId="3643" hidden="1"/>
    <cellStyle name="Денежный [0] 2" xfId="3672" hidden="1"/>
    <cellStyle name="Денежный [0] 2" xfId="2799" hidden="1"/>
    <cellStyle name="Денежный [0] 2" xfId="2856" hidden="1"/>
    <cellStyle name="Денежный [0] 2" xfId="2894" hidden="1"/>
    <cellStyle name="Денежный [0] 2" xfId="3811" hidden="1"/>
    <cellStyle name="Денежный [0] 2" xfId="3818" hidden="1"/>
    <cellStyle name="Денежный [0] 2" xfId="3828" hidden="1"/>
    <cellStyle name="Денежный [0] 2" xfId="3839" hidden="1"/>
    <cellStyle name="Денежный [0] 2" xfId="3836" hidden="1"/>
    <cellStyle name="Денежный [0] 2" xfId="3846" hidden="1"/>
    <cellStyle name="Денежный [0] 2" xfId="3853" hidden="1"/>
    <cellStyle name="Денежный [0] 2" xfId="3860" hidden="1"/>
    <cellStyle name="Денежный [0] 2" xfId="3870" hidden="1"/>
    <cellStyle name="Денежный [0] 2" xfId="3881" hidden="1"/>
    <cellStyle name="Денежный [0] 2" xfId="3878" hidden="1"/>
    <cellStyle name="Денежный [0] 2" xfId="3888" hidden="1"/>
    <cellStyle name="Денежный [0] 2" xfId="3895" hidden="1"/>
    <cellStyle name="Денежный [0] 2" xfId="3902" hidden="1"/>
    <cellStyle name="Денежный [0] 2" xfId="3912" hidden="1"/>
    <cellStyle name="Денежный [0] 2" xfId="3923" hidden="1"/>
    <cellStyle name="Денежный [0] 2" xfId="3920" hidden="1"/>
    <cellStyle name="Денежный [0] 2" xfId="3930" hidden="1"/>
    <cellStyle name="Денежный [0] 2" xfId="3937" hidden="1"/>
    <cellStyle name="Денежный [0] 2" xfId="3944" hidden="1"/>
    <cellStyle name="Денежный [0] 2" xfId="3954" hidden="1"/>
    <cellStyle name="Денежный [0] 2" xfId="3965" hidden="1"/>
    <cellStyle name="Денежный [0] 2" xfId="3962" hidden="1"/>
    <cellStyle name="Денежный [0] 2" xfId="3972" hidden="1"/>
    <cellStyle name="Денежный [0] 2" xfId="3980" hidden="1"/>
    <cellStyle name="Денежный [0] 2" xfId="3987" hidden="1"/>
    <cellStyle name="Денежный [0] 2" xfId="3997" hidden="1"/>
    <cellStyle name="Денежный [0] 2" xfId="4008" hidden="1"/>
    <cellStyle name="Денежный [0] 2" xfId="4005" hidden="1"/>
    <cellStyle name="Денежный [0] 2" xfId="4015" hidden="1"/>
    <cellStyle name="Денежный [0] 2" xfId="4022" hidden="1"/>
    <cellStyle name="Денежный [0] 2" xfId="4029" hidden="1"/>
    <cellStyle name="Денежный [0] 2" xfId="4039" hidden="1"/>
    <cellStyle name="Денежный [0] 2" xfId="4050" hidden="1"/>
    <cellStyle name="Денежный [0] 2" xfId="4047" hidden="1"/>
    <cellStyle name="Денежный [0] 2" xfId="4057" hidden="1"/>
    <cellStyle name="Денежный [0] 2" xfId="4064" hidden="1"/>
    <cellStyle name="Денежный [0] 2" xfId="4071" hidden="1"/>
    <cellStyle name="Денежный [0] 2" xfId="4081" hidden="1"/>
    <cellStyle name="Денежный [0] 2" xfId="4092" hidden="1"/>
    <cellStyle name="Денежный [0] 2" xfId="4089" hidden="1"/>
    <cellStyle name="Денежный [0] 2" xfId="4099" hidden="1"/>
    <cellStyle name="Денежный [0] 2" xfId="4106" hidden="1"/>
    <cellStyle name="Денежный [0] 2" xfId="4113" hidden="1"/>
    <cellStyle name="Денежный [0] 2" xfId="4123" hidden="1"/>
    <cellStyle name="Денежный [0] 2" xfId="4134" hidden="1"/>
    <cellStyle name="Денежный [0] 2" xfId="4131" hidden="1"/>
    <cellStyle name="Денежный [0] 2" xfId="4141" hidden="1"/>
    <cellStyle name="Денежный [0] 2" xfId="4231" hidden="1"/>
    <cellStyle name="Денежный [0] 2" xfId="4242" hidden="1"/>
    <cellStyle name="Денежный [0] 2" xfId="4253" hidden="1"/>
    <cellStyle name="Денежный [0] 2" xfId="4264" hidden="1"/>
    <cellStyle name="Денежный [0] 2" xfId="4261" hidden="1"/>
    <cellStyle name="Денежный [0] 2" xfId="4271" hidden="1"/>
    <cellStyle name="Денежный [0] 2" xfId="4281" hidden="1"/>
    <cellStyle name="Денежный [0] 2" xfId="4288" hidden="1"/>
    <cellStyle name="Денежный [0] 2" xfId="4299" hidden="1"/>
    <cellStyle name="Денежный [0] 2" xfId="4310" hidden="1"/>
    <cellStyle name="Денежный [0] 2" xfId="4307" hidden="1"/>
    <cellStyle name="Денежный [0] 2" xfId="4317" hidden="1"/>
    <cellStyle name="Денежный [0] 2" xfId="4327" hidden="1"/>
    <cellStyle name="Денежный [0] 2" xfId="4334" hidden="1"/>
    <cellStyle name="Денежный [0] 2" xfId="4345" hidden="1"/>
    <cellStyle name="Денежный [0] 2" xfId="4356" hidden="1"/>
    <cellStyle name="Денежный [0] 2" xfId="4353" hidden="1"/>
    <cellStyle name="Денежный [0] 2" xfId="4363" hidden="1"/>
    <cellStyle name="Денежный [0] 2" xfId="4372" hidden="1"/>
    <cellStyle name="Денежный [0] 2" xfId="4379" hidden="1"/>
    <cellStyle name="Денежный [0] 2" xfId="4390" hidden="1"/>
    <cellStyle name="Денежный [0] 2" xfId="4401" hidden="1"/>
    <cellStyle name="Денежный [0] 2" xfId="4398" hidden="1"/>
    <cellStyle name="Денежный [0] 2" xfId="4408" hidden="1"/>
    <cellStyle name="Денежный [0] 2" xfId="4417" hidden="1"/>
    <cellStyle name="Денежный [0] 2" xfId="4424" hidden="1"/>
    <cellStyle name="Денежный [0] 2" xfId="4435" hidden="1"/>
    <cellStyle name="Денежный [0] 2" xfId="4446" hidden="1"/>
    <cellStyle name="Денежный [0] 2" xfId="4443" hidden="1"/>
    <cellStyle name="Денежный [0] 2" xfId="4453" hidden="1"/>
    <cellStyle name="Денежный [0] 2" xfId="4462" hidden="1"/>
    <cellStyle name="Денежный [0] 2" xfId="4469" hidden="1"/>
    <cellStyle name="Денежный [0] 2" xfId="4480" hidden="1"/>
    <cellStyle name="Денежный [0] 2" xfId="4491" hidden="1"/>
    <cellStyle name="Денежный [0] 2" xfId="4488" hidden="1"/>
    <cellStyle name="Денежный [0] 2" xfId="4498" hidden="1"/>
    <cellStyle name="Денежный [0] 2" xfId="4509" hidden="1"/>
    <cellStyle name="Денежный [0] 2" xfId="4516" hidden="1"/>
    <cellStyle name="Денежный [0] 2" xfId="4527" hidden="1"/>
    <cellStyle name="Денежный [0] 2" xfId="4538" hidden="1"/>
    <cellStyle name="Денежный [0] 2" xfId="4535" hidden="1"/>
    <cellStyle name="Денежный [0] 2" xfId="4545" hidden="1"/>
    <cellStyle name="Денежный [0] 2" xfId="4554" hidden="1"/>
    <cellStyle name="Денежный [0] 2" xfId="4561" hidden="1"/>
    <cellStyle name="Денежный [0] 2" xfId="4572" hidden="1"/>
    <cellStyle name="Денежный [0] 2" xfId="4583" hidden="1"/>
    <cellStyle name="Денежный [0] 2" xfId="4580" hidden="1"/>
    <cellStyle name="Денежный [0] 2" xfId="4590" hidden="1"/>
    <cellStyle name="Денежный [0] 2" xfId="4600" hidden="1"/>
    <cellStyle name="Денежный [0] 2" xfId="4607" hidden="1"/>
    <cellStyle name="Денежный [0] 2" xfId="4618" hidden="1"/>
    <cellStyle name="Денежный [0] 2" xfId="4629" hidden="1"/>
    <cellStyle name="Денежный [0] 2" xfId="4626" hidden="1"/>
    <cellStyle name="Денежный [0] 2" xfId="4636" hidden="1"/>
    <cellStyle name="Денежный [0] 2" xfId="4645" hidden="1"/>
    <cellStyle name="Денежный [0] 2" xfId="4652" hidden="1"/>
    <cellStyle name="Денежный [0] 2" xfId="4663" hidden="1"/>
    <cellStyle name="Денежный [0] 2" xfId="4674" hidden="1"/>
    <cellStyle name="Денежный [0] 2" xfId="4671" hidden="1"/>
    <cellStyle name="Денежный [0] 2" xfId="4681" hidden="1"/>
    <cellStyle name="Денежный [0] 2" xfId="4690" hidden="1"/>
    <cellStyle name="Денежный [0] 2" xfId="4697" hidden="1"/>
    <cellStyle name="Денежный [0] 2" xfId="4708" hidden="1"/>
    <cellStyle name="Денежный [0] 2" xfId="4719" hidden="1"/>
    <cellStyle name="Денежный [0] 2" xfId="4716" hidden="1"/>
    <cellStyle name="Денежный [0] 2" xfId="4726" hidden="1"/>
    <cellStyle name="Денежный [0] 2" xfId="4735" hidden="1"/>
    <cellStyle name="Денежный [0] 2" xfId="4742" hidden="1"/>
    <cellStyle name="Денежный [0] 2" xfId="4753" hidden="1"/>
    <cellStyle name="Денежный [0] 2" xfId="4764" hidden="1"/>
    <cellStyle name="Денежный [0] 2" xfId="4761" hidden="1"/>
    <cellStyle name="Денежный [0] 2" xfId="4771" hidden="1"/>
    <cellStyle name="Денежный [0] 2" xfId="4857" hidden="1"/>
    <cellStyle name="Денежный [0] 2" xfId="4887" hidden="1"/>
    <cellStyle name="Денежный [0] 2" xfId="4901" hidden="1"/>
    <cellStyle name="Денежный [0] 2" xfId="4912" hidden="1"/>
    <cellStyle name="Денежный [0] 2" xfId="4909" hidden="1"/>
    <cellStyle name="Денежный [0] 2" xfId="4919" hidden="1"/>
    <cellStyle name="Денежный [0] 2" xfId="4931" hidden="1"/>
    <cellStyle name="Денежный [0] 2" xfId="4938" hidden="1"/>
    <cellStyle name="Денежный [0] 2" xfId="4949" hidden="1"/>
    <cellStyle name="Денежный [0] 2" xfId="4960" hidden="1"/>
    <cellStyle name="Денежный [0] 2" xfId="4957" hidden="1"/>
    <cellStyle name="Денежный [0] 2" xfId="4967" hidden="1"/>
    <cellStyle name="Денежный [0] 2" xfId="5017" hidden="1"/>
    <cellStyle name="Денежный [0] 2" xfId="5080" hidden="1"/>
    <cellStyle name="Денежный [0] 2" xfId="5091" hidden="1"/>
    <cellStyle name="Денежный [0] 2" xfId="5102" hidden="1"/>
    <cellStyle name="Денежный [0] 2" xfId="5099" hidden="1"/>
    <cellStyle name="Денежный [0] 2" xfId="5109" hidden="1"/>
    <cellStyle name="Денежный [0] 2" xfId="5118" hidden="1"/>
    <cellStyle name="Денежный [0] 2" xfId="5125" hidden="1"/>
    <cellStyle name="Денежный [0] 2" xfId="5136" hidden="1"/>
    <cellStyle name="Денежный [0] 2" xfId="5147" hidden="1"/>
    <cellStyle name="Денежный [0] 2" xfId="5144" hidden="1"/>
    <cellStyle name="Денежный [0] 2" xfId="5154" hidden="1"/>
    <cellStyle name="Денежный [0] 2" xfId="5214" hidden="1"/>
    <cellStyle name="Денежный [0] 2" xfId="5256" hidden="1"/>
    <cellStyle name="Денежный [0] 2" xfId="5268" hidden="1"/>
    <cellStyle name="Денежный [0] 2" xfId="5279" hidden="1"/>
    <cellStyle name="Денежный [0] 2" xfId="5276" hidden="1"/>
    <cellStyle name="Денежный [0] 2" xfId="5286" hidden="1"/>
    <cellStyle name="Денежный [0] 2" xfId="5295" hidden="1"/>
    <cellStyle name="Денежный [0] 2" xfId="5302" hidden="1"/>
    <cellStyle name="Денежный [0] 2" xfId="5313" hidden="1"/>
    <cellStyle name="Денежный [0] 2" xfId="5324" hidden="1"/>
    <cellStyle name="Денежный [0] 2" xfId="5321" hidden="1"/>
    <cellStyle name="Денежный [0] 2" xfId="5331" hidden="1"/>
    <cellStyle name="Денежный [0] 2" xfId="5341" hidden="1"/>
    <cellStyle name="Денежный [0] 2" xfId="5348" hidden="1"/>
    <cellStyle name="Денежный [0] 2" xfId="5359" hidden="1"/>
    <cellStyle name="Денежный [0] 2" xfId="5370" hidden="1"/>
    <cellStyle name="Денежный [0] 2" xfId="5367" hidden="1"/>
    <cellStyle name="Денежный [0] 2" xfId="5377" hidden="1"/>
    <cellStyle name="Денежный [0] 2" xfId="5386" hidden="1"/>
    <cellStyle name="Денежный [0] 2" xfId="5393" hidden="1"/>
    <cellStyle name="Денежный [0] 2" xfId="5404" hidden="1"/>
    <cellStyle name="Денежный [0] 2" xfId="5415" hidden="1"/>
    <cellStyle name="Денежный [0] 2" xfId="5412" hidden="1"/>
    <cellStyle name="Денежный [0] 2" xfId="5422" hidden="1"/>
    <cellStyle name="Денежный [0] 2" xfId="5432" hidden="1"/>
    <cellStyle name="Денежный [0] 2" xfId="5439" hidden="1"/>
    <cellStyle name="Денежный [0] 2" xfId="5450" hidden="1"/>
    <cellStyle name="Денежный [0] 2" xfId="5461" hidden="1"/>
    <cellStyle name="Денежный [0] 2" xfId="5458" hidden="1"/>
    <cellStyle name="Денежный [0] 2" xfId="5468" hidden="1"/>
    <cellStyle name="Денежный [0] 2" xfId="5477" hidden="1"/>
    <cellStyle name="Денежный [0] 2" xfId="5484" hidden="1"/>
    <cellStyle name="Денежный [0] 2" xfId="5495" hidden="1"/>
    <cellStyle name="Денежный [0] 2" xfId="5506" hidden="1"/>
    <cellStyle name="Денежный [0] 2" xfId="5503" hidden="1"/>
    <cellStyle name="Денежный [0] 2" xfId="5513" hidden="1"/>
    <cellStyle name="Денежный [0] 2" xfId="5522" hidden="1"/>
    <cellStyle name="Денежный [0] 2" xfId="5529" hidden="1"/>
    <cellStyle name="Денежный [0] 2" xfId="5540" hidden="1"/>
    <cellStyle name="Денежный [0] 2" xfId="5551" hidden="1"/>
    <cellStyle name="Денежный [0] 2" xfId="5548" hidden="1"/>
    <cellStyle name="Денежный [0] 2" xfId="5558" hidden="1"/>
    <cellStyle name="Денежный [0] 2" xfId="5567" hidden="1"/>
    <cellStyle name="Денежный [0] 2" xfId="5574" hidden="1"/>
    <cellStyle name="Денежный [0] 2" xfId="5585" hidden="1"/>
    <cellStyle name="Денежный [0] 2" xfId="5596" hidden="1"/>
    <cellStyle name="Денежный [0] 2" xfId="5593" hidden="1"/>
    <cellStyle name="Денежный [0] 2" xfId="5603" hidden="1"/>
    <cellStyle name="Денежный [0] 2" xfId="5202" hidden="1"/>
    <cellStyle name="Денежный [0] 2" xfId="5068" hidden="1"/>
    <cellStyle name="Денежный [0] 2" xfId="5055" hidden="1"/>
    <cellStyle name="Денежный [0] 2" xfId="5044" hidden="1"/>
    <cellStyle name="Денежный [0] 2" xfId="5047" hidden="1"/>
    <cellStyle name="Денежный [0] 2" xfId="5037" hidden="1"/>
    <cellStyle name="Денежный [0] 2" xfId="5024" hidden="1"/>
    <cellStyle name="Денежный [0] 2" xfId="5010" hidden="1"/>
    <cellStyle name="Денежный [0] 2" xfId="4999" hidden="1"/>
    <cellStyle name="Денежный [0] 2" xfId="4988" hidden="1"/>
    <cellStyle name="Денежный [0] 2" xfId="4991" hidden="1"/>
    <cellStyle name="Денежный [0] 2" xfId="4981" hidden="1"/>
    <cellStyle name="Денежный [0] 2" xfId="4862" hidden="1"/>
    <cellStyle name="Денежный [0] 2" xfId="4819" hidden="1"/>
    <cellStyle name="Денежный [0] 2" xfId="4807" hidden="1"/>
    <cellStyle name="Денежный [0] 2" xfId="4796" hidden="1"/>
    <cellStyle name="Денежный [0] 2" xfId="4799" hidden="1"/>
    <cellStyle name="Денежный [0] 2" xfId="4789" hidden="1"/>
    <cellStyle name="Денежный [0] 2" xfId="4777" hidden="1"/>
    <cellStyle name="Денежный [0] 2" xfId="5614" hidden="1"/>
    <cellStyle name="Денежный [0] 2" xfId="5625" hidden="1"/>
    <cellStyle name="Денежный [0] 2" xfId="5636" hidden="1"/>
    <cellStyle name="Денежный [0] 2" xfId="5633" hidden="1"/>
    <cellStyle name="Денежный [0] 2" xfId="5643" hidden="1"/>
    <cellStyle name="Денежный [0] 2" xfId="5658" hidden="1"/>
    <cellStyle name="Денежный [0] 2" xfId="5665" hidden="1"/>
    <cellStyle name="Денежный [0] 2" xfId="5676" hidden="1"/>
    <cellStyle name="Денежный [0] 2" xfId="5687" hidden="1"/>
    <cellStyle name="Денежный [0] 2" xfId="5684" hidden="1"/>
    <cellStyle name="Денежный [0] 2" xfId="5694" hidden="1"/>
    <cellStyle name="Денежный [0] 2" xfId="5703" hidden="1"/>
    <cellStyle name="Денежный [0] 2" xfId="5710" hidden="1"/>
    <cellStyle name="Денежный [0] 2" xfId="5721" hidden="1"/>
    <cellStyle name="Денежный [0] 2" xfId="5732" hidden="1"/>
    <cellStyle name="Денежный [0] 2" xfId="5729" hidden="1"/>
    <cellStyle name="Денежный [0] 2" xfId="5739" hidden="1"/>
    <cellStyle name="Денежный [0] 2" xfId="5751" hidden="1"/>
    <cellStyle name="Денежный [0] 2" xfId="5758" hidden="1"/>
    <cellStyle name="Денежный [0] 2" xfId="5769" hidden="1"/>
    <cellStyle name="Денежный [0] 2" xfId="5780" hidden="1"/>
    <cellStyle name="Денежный [0] 2" xfId="5777" hidden="1"/>
    <cellStyle name="Денежный [0] 2" xfId="5787" hidden="1"/>
    <cellStyle name="Денежный [0] 2" xfId="5796" hidden="1"/>
    <cellStyle name="Денежный [0] 2" xfId="5803" hidden="1"/>
    <cellStyle name="Денежный [0] 2" xfId="5814" hidden="1"/>
    <cellStyle name="Денежный [0] 2" xfId="5825" hidden="1"/>
    <cellStyle name="Денежный [0] 2" xfId="5822" hidden="1"/>
    <cellStyle name="Денежный [0] 2" xfId="5832" hidden="1"/>
    <cellStyle name="Денежный [0] 2" xfId="5842" hidden="1"/>
    <cellStyle name="Денежный [0] 2" xfId="5849" hidden="1"/>
    <cellStyle name="Денежный [0] 2" xfId="5860" hidden="1"/>
    <cellStyle name="Денежный [0] 2" xfId="5871" hidden="1"/>
    <cellStyle name="Денежный [0] 2" xfId="5868" hidden="1"/>
    <cellStyle name="Денежный [0] 2" xfId="5878" hidden="1"/>
    <cellStyle name="Денежный [0] 2" xfId="5887" hidden="1"/>
    <cellStyle name="Денежный [0] 2" xfId="5894" hidden="1"/>
    <cellStyle name="Денежный [0] 2" xfId="5905" hidden="1"/>
    <cellStyle name="Денежный [0] 2" xfId="5916" hidden="1"/>
    <cellStyle name="Денежный [0] 2" xfId="5913" hidden="1"/>
    <cellStyle name="Денежный [0] 2" xfId="5923" hidden="1"/>
    <cellStyle name="Денежный [0] 2" xfId="5931" hidden="1"/>
    <cellStyle name="Денежный [0] 2" xfId="5938" hidden="1"/>
    <cellStyle name="Денежный [0] 2" xfId="5949" hidden="1"/>
    <cellStyle name="Денежный [0] 2" xfId="5960" hidden="1"/>
    <cellStyle name="Денежный [0] 2" xfId="5957" hidden="1"/>
    <cellStyle name="Денежный [0] 2" xfId="5967" hidden="1"/>
    <cellStyle name="Денежный [0] 2" xfId="5976" hidden="1"/>
    <cellStyle name="Денежный [0] 2" xfId="5983" hidden="1"/>
    <cellStyle name="Денежный [0] 2" xfId="5993" hidden="1"/>
    <cellStyle name="Денежный [0] 2" xfId="6004" hidden="1"/>
    <cellStyle name="Денежный [0] 2" xfId="6001" hidden="1"/>
    <cellStyle name="Денежный [0] 2" xfId="6011" hidden="1"/>
    <cellStyle name="Денежный [0] 2" xfId="5649" hidden="1"/>
    <cellStyle name="Денежный [0] 2" xfId="5247" hidden="1"/>
    <cellStyle name="Денежный [0] 2" xfId="5237" hidden="1"/>
    <cellStyle name="Денежный [0] 2" xfId="5226" hidden="1"/>
    <cellStyle name="Денежный [0] 2" xfId="5229" hidden="1"/>
    <cellStyle name="Денежный [0] 2" xfId="5219" hidden="1"/>
    <cellStyle name="Денежный [0] 2" xfId="5199" hidden="1"/>
    <cellStyle name="Денежный [0] 2" xfId="5191" hidden="1"/>
    <cellStyle name="Денежный [0] 2" xfId="5181" hidden="1"/>
    <cellStyle name="Денежный [0] 2" xfId="5170" hidden="1"/>
    <cellStyle name="Денежный [0] 2" xfId="5173" hidden="1"/>
    <cellStyle name="Денежный [0] 2" xfId="5163" hidden="1"/>
    <cellStyle name="Денежный [0] 2" xfId="4869" hidden="1"/>
    <cellStyle name="Денежный [0] 2" xfId="4848" hidden="1"/>
    <cellStyle name="Денежный [0] 2" xfId="4838" hidden="1"/>
    <cellStyle name="Денежный [0] 2" xfId="4827" hidden="1"/>
    <cellStyle name="Денежный [0] 2" xfId="4830" hidden="1"/>
    <cellStyle name="Денежный [0] 2" xfId="5836" hidden="1"/>
    <cellStyle name="Денежный [0] 2" xfId="5882" hidden="1"/>
    <cellStyle name="Денежный [0] 2" xfId="5852" hidden="1"/>
    <cellStyle name="Денежный [0] 2" xfId="5881" hidden="1"/>
    <cellStyle name="Денежный [0] 2" xfId="4976" hidden="1"/>
    <cellStyle name="Денежный [0] 2" xfId="5033" hidden="1"/>
    <cellStyle name="Денежный [0] 2" xfId="5071" hidden="1"/>
    <cellStyle name="Денежный [0] 2" xfId="6020" hidden="1"/>
    <cellStyle name="Денежный [0] 2" xfId="6027" hidden="1"/>
    <cellStyle name="Денежный [0] 2" xfId="6037" hidden="1"/>
    <cellStyle name="Денежный [0] 2" xfId="6048" hidden="1"/>
    <cellStyle name="Денежный [0] 2" xfId="6045" hidden="1"/>
    <cellStyle name="Денежный [0] 2" xfId="6055" hidden="1"/>
    <cellStyle name="Денежный [0] 2" xfId="6062" hidden="1"/>
    <cellStyle name="Денежный [0] 2" xfId="6069" hidden="1"/>
    <cellStyle name="Денежный [0] 2" xfId="6079" hidden="1"/>
    <cellStyle name="Денежный [0] 2" xfId="6090" hidden="1"/>
    <cellStyle name="Денежный [0] 2" xfId="6087" hidden="1"/>
    <cellStyle name="Денежный [0] 2" xfId="6097" hidden="1"/>
    <cellStyle name="Денежный [0] 2" xfId="6104" hidden="1"/>
    <cellStyle name="Денежный [0] 2" xfId="6111" hidden="1"/>
    <cellStyle name="Денежный [0] 2" xfId="6121" hidden="1"/>
    <cellStyle name="Денежный [0] 2" xfId="6132" hidden="1"/>
    <cellStyle name="Денежный [0] 2" xfId="6129" hidden="1"/>
    <cellStyle name="Денежный [0] 2" xfId="6139" hidden="1"/>
    <cellStyle name="Денежный [0] 2" xfId="6146" hidden="1"/>
    <cellStyle name="Денежный [0] 2" xfId="6153" hidden="1"/>
    <cellStyle name="Денежный [0] 2" xfId="6163" hidden="1"/>
    <cellStyle name="Денежный [0] 2" xfId="6174" hidden="1"/>
    <cellStyle name="Денежный [0] 2" xfId="6171" hidden="1"/>
    <cellStyle name="Денежный [0] 2" xfId="6181" hidden="1"/>
    <cellStyle name="Денежный [0] 2" xfId="6189" hidden="1"/>
    <cellStyle name="Денежный [0] 2" xfId="6196" hidden="1"/>
    <cellStyle name="Денежный [0] 2" xfId="6206" hidden="1"/>
    <cellStyle name="Денежный [0] 2" xfId="6217" hidden="1"/>
    <cellStyle name="Денежный [0] 2" xfId="6214" hidden="1"/>
    <cellStyle name="Денежный [0] 2" xfId="6224" hidden="1"/>
    <cellStyle name="Денежный [0] 2" xfId="6231" hidden="1"/>
    <cellStyle name="Денежный [0] 2" xfId="6238" hidden="1"/>
    <cellStyle name="Денежный [0] 2" xfId="6248" hidden="1"/>
    <cellStyle name="Денежный [0] 2" xfId="6259" hidden="1"/>
    <cellStyle name="Денежный [0] 2" xfId="6256" hidden="1"/>
    <cellStyle name="Денежный [0] 2" xfId="6266" hidden="1"/>
    <cellStyle name="Денежный [0] 2" xfId="6273" hidden="1"/>
    <cellStyle name="Денежный [0] 2" xfId="6280" hidden="1"/>
    <cellStyle name="Денежный [0] 2" xfId="6290" hidden="1"/>
    <cellStyle name="Денежный [0] 2" xfId="6301" hidden="1"/>
    <cellStyle name="Денежный [0] 2" xfId="6298" hidden="1"/>
    <cellStyle name="Денежный [0] 2" xfId="6308" hidden="1"/>
    <cellStyle name="Денежный [0] 2" xfId="6315" hidden="1"/>
    <cellStyle name="Денежный [0] 2" xfId="6322" hidden="1"/>
    <cellStyle name="Денежный [0] 2" xfId="6332" hidden="1"/>
    <cellStyle name="Денежный [0] 2" xfId="6343" hidden="1"/>
    <cellStyle name="Денежный [0] 2" xfId="6340" hidden="1"/>
    <cellStyle name="Денежный [0] 2" xfId="6350" hidden="1"/>
    <cellStyle name="Денежный [0] 2" xfId="6409" hidden="1"/>
    <cellStyle name="Денежный [0] 2" xfId="6427" hidden="1"/>
    <cellStyle name="Денежный [0] 2" xfId="6439" hidden="1"/>
    <cellStyle name="Денежный [0] 2" xfId="6450" hidden="1"/>
    <cellStyle name="Денежный [0] 2" xfId="6447" hidden="1"/>
    <cellStyle name="Денежный [0] 2" xfId="6457" hidden="1"/>
    <cellStyle name="Денежный [0] 2" xfId="6464" hidden="1"/>
    <cellStyle name="Денежный [0] 2" xfId="6471" hidden="1"/>
    <cellStyle name="Денежный [0] 2" xfId="6481" hidden="1"/>
    <cellStyle name="Денежный [0] 2" xfId="6492" hidden="1"/>
    <cellStyle name="Денежный [0] 2" xfId="6489" hidden="1"/>
    <cellStyle name="Денежный [0] 2" xfId="6499" hidden="1"/>
    <cellStyle name="Денежный [0] 2" xfId="6546" hidden="1"/>
    <cellStyle name="Денежный [0] 2" xfId="6609" hidden="1"/>
    <cellStyle name="Денежный [0] 2" xfId="6619" hidden="1"/>
    <cellStyle name="Денежный [0] 2" xfId="6630" hidden="1"/>
    <cellStyle name="Денежный [0] 2" xfId="6627" hidden="1"/>
    <cellStyle name="Денежный [0] 2" xfId="6637" hidden="1"/>
    <cellStyle name="Денежный [0] 2" xfId="6644" hidden="1"/>
    <cellStyle name="Денежный [0] 2" xfId="6651" hidden="1"/>
    <cellStyle name="Денежный [0] 2" xfId="6661" hidden="1"/>
    <cellStyle name="Денежный [0] 2" xfId="6672" hidden="1"/>
    <cellStyle name="Денежный [0] 2" xfId="6669" hidden="1"/>
    <cellStyle name="Денежный [0] 2" xfId="6679" hidden="1"/>
    <cellStyle name="Денежный [0] 2" xfId="6736" hidden="1"/>
    <cellStyle name="Денежный [0] 2" xfId="6778" hidden="1"/>
    <cellStyle name="Денежный [0] 2" xfId="6789" hidden="1"/>
    <cellStyle name="Денежный [0] 2" xfId="6800" hidden="1"/>
    <cellStyle name="Денежный [0] 2" xfId="6797" hidden="1"/>
    <cellStyle name="Денежный [0] 2" xfId="6807" hidden="1"/>
    <cellStyle name="Денежный [0] 2" xfId="6814" hidden="1"/>
    <cellStyle name="Денежный [0] 2" xfId="6821" hidden="1"/>
    <cellStyle name="Денежный [0] 2" xfId="6831" hidden="1"/>
    <cellStyle name="Денежный [0] 2" xfId="6842" hidden="1"/>
    <cellStyle name="Денежный [0] 2" xfId="6839" hidden="1"/>
    <cellStyle name="Денежный [0] 2" xfId="6849" hidden="1"/>
    <cellStyle name="Денежный [0] 2" xfId="6856" hidden="1"/>
    <cellStyle name="Денежный [0] 2" xfId="6863" hidden="1"/>
    <cellStyle name="Денежный [0] 2" xfId="6873" hidden="1"/>
    <cellStyle name="Денежный [0] 2" xfId="6884" hidden="1"/>
    <cellStyle name="Денежный [0] 2" xfId="6881" hidden="1"/>
    <cellStyle name="Денежный [0] 2" xfId="6891" hidden="1"/>
    <cellStyle name="Денежный [0] 2" xfId="6898" hidden="1"/>
    <cellStyle name="Денежный [0] 2" xfId="6905" hidden="1"/>
    <cellStyle name="Денежный [0] 2" xfId="6915" hidden="1"/>
    <cellStyle name="Денежный [0] 2" xfId="6926" hidden="1"/>
    <cellStyle name="Денежный [0] 2" xfId="6923" hidden="1"/>
    <cellStyle name="Денежный [0] 2" xfId="6933" hidden="1"/>
    <cellStyle name="Денежный [0] 2" xfId="6941" hidden="1"/>
    <cellStyle name="Денежный [0] 2" xfId="6948" hidden="1"/>
    <cellStyle name="Денежный [0] 2" xfId="6958" hidden="1"/>
    <cellStyle name="Денежный [0] 2" xfId="6969" hidden="1"/>
    <cellStyle name="Денежный [0] 2" xfId="6966" hidden="1"/>
    <cellStyle name="Денежный [0] 2" xfId="6976" hidden="1"/>
    <cellStyle name="Денежный [0] 2" xfId="6983" hidden="1"/>
    <cellStyle name="Денежный [0] 2" xfId="6990" hidden="1"/>
    <cellStyle name="Денежный [0] 2" xfId="7000" hidden="1"/>
    <cellStyle name="Денежный [0] 2" xfId="7011" hidden="1"/>
    <cellStyle name="Денежный [0] 2" xfId="7008" hidden="1"/>
    <cellStyle name="Денежный [0] 2" xfId="7018" hidden="1"/>
    <cellStyle name="Денежный [0] 2" xfId="7025" hidden="1"/>
    <cellStyle name="Денежный [0] 2" xfId="7032" hidden="1"/>
    <cellStyle name="Денежный [0] 2" xfId="7042" hidden="1"/>
    <cellStyle name="Денежный [0] 2" xfId="7053" hidden="1"/>
    <cellStyle name="Денежный [0] 2" xfId="7050" hidden="1"/>
    <cellStyle name="Денежный [0] 2" xfId="7060" hidden="1"/>
    <cellStyle name="Денежный [0] 2" xfId="7067" hidden="1"/>
    <cellStyle name="Денежный [0] 2" xfId="7074" hidden="1"/>
    <cellStyle name="Денежный [0] 2" xfId="7084" hidden="1"/>
    <cellStyle name="Денежный [0] 2" xfId="7095" hidden="1"/>
    <cellStyle name="Денежный [0] 2" xfId="7092" hidden="1"/>
    <cellStyle name="Денежный [0] 2" xfId="7102" hidden="1"/>
    <cellStyle name="Денежный [0] 2" xfId="6724" hidden="1"/>
    <cellStyle name="Денежный [0] 2" xfId="6597" hidden="1"/>
    <cellStyle name="Денежный [0] 2" xfId="6584" hidden="1"/>
    <cellStyle name="Денежный [0] 2" xfId="6573" hidden="1"/>
    <cellStyle name="Денежный [0] 2" xfId="6576" hidden="1"/>
    <cellStyle name="Денежный [0] 2" xfId="6566" hidden="1"/>
    <cellStyle name="Денежный [0] 2" xfId="6553" hidden="1"/>
    <cellStyle name="Денежный [0] 2" xfId="6539" hidden="1"/>
    <cellStyle name="Денежный [0] 2" xfId="6528" hidden="1"/>
    <cellStyle name="Денежный [0] 2" xfId="6517" hidden="1"/>
    <cellStyle name="Денежный [0] 2" xfId="6520" hidden="1"/>
    <cellStyle name="Денежный [0] 2" xfId="6510" hidden="1"/>
    <cellStyle name="Денежный [0] 2" xfId="6414" hidden="1"/>
    <cellStyle name="Денежный [0] 2" xfId="6371" hidden="1"/>
    <cellStyle name="Денежный [0] 2" xfId="6359" hidden="1"/>
    <cellStyle name="Денежный [0] 2" xfId="4878" hidden="1"/>
    <cellStyle name="Денежный [0] 2" xfId="4923" hidden="1"/>
    <cellStyle name="Денежный [0] 2" xfId="4880" hidden="1"/>
    <cellStyle name="Денежный [0] 2" xfId="4924" hidden="1"/>
    <cellStyle name="Денежный [0] 2" xfId="7111" hidden="1"/>
    <cellStyle name="Денежный [0] 2" xfId="7122" hidden="1"/>
    <cellStyle name="Денежный [0] 2" xfId="7133" hidden="1"/>
    <cellStyle name="Денежный [0] 2" xfId="7130" hidden="1"/>
    <cellStyle name="Денежный [0] 2" xfId="7140" hidden="1"/>
    <cellStyle name="Денежный [0] 2" xfId="7155" hidden="1"/>
    <cellStyle name="Денежный [0] 2" xfId="7162" hidden="1"/>
    <cellStyle name="Денежный [0] 2" xfId="7173" hidden="1"/>
    <cellStyle name="Денежный [0] 2" xfId="7184" hidden="1"/>
    <cellStyle name="Денежный [0] 2" xfId="7181" hidden="1"/>
    <cellStyle name="Денежный [0] 2" xfId="7191" hidden="1"/>
    <cellStyle name="Денежный [0] 2" xfId="7200" hidden="1"/>
    <cellStyle name="Денежный [0] 2" xfId="7207" hidden="1"/>
    <cellStyle name="Денежный [0] 2" xfId="7218" hidden="1"/>
    <cellStyle name="Денежный [0] 2" xfId="7229" hidden="1"/>
    <cellStyle name="Денежный [0] 2" xfId="7226" hidden="1"/>
    <cellStyle name="Денежный [0] 2" xfId="7236" hidden="1"/>
    <cellStyle name="Денежный [0] 2" xfId="7248" hidden="1"/>
    <cellStyle name="Денежный [0] 2" xfId="7255" hidden="1"/>
    <cellStyle name="Денежный [0] 2" xfId="7266" hidden="1"/>
    <cellStyle name="Денежный [0] 2" xfId="7277" hidden="1"/>
    <cellStyle name="Денежный [0] 2" xfId="7274" hidden="1"/>
    <cellStyle name="Денежный [0] 2" xfId="7284" hidden="1"/>
    <cellStyle name="Денежный [0] 2" xfId="7293" hidden="1"/>
    <cellStyle name="Денежный [0] 2" xfId="7300" hidden="1"/>
    <cellStyle name="Денежный [0] 2" xfId="7311" hidden="1"/>
    <cellStyle name="Денежный [0] 2" xfId="7322" hidden="1"/>
    <cellStyle name="Денежный [0] 2" xfId="7319" hidden="1"/>
    <cellStyle name="Денежный [0] 2" xfId="7329" hidden="1"/>
    <cellStyle name="Денежный [0] 2" xfId="7339" hidden="1"/>
    <cellStyle name="Денежный [0] 2" xfId="7346" hidden="1"/>
    <cellStyle name="Денежный [0] 2" xfId="7357" hidden="1"/>
    <cellStyle name="Денежный [0] 2" xfId="7368" hidden="1"/>
    <cellStyle name="Денежный [0] 2" xfId="7365" hidden="1"/>
    <cellStyle name="Денежный [0] 2" xfId="7375" hidden="1"/>
    <cellStyle name="Денежный [0] 2" xfId="7384" hidden="1"/>
    <cellStyle name="Денежный [0] 2" xfId="7391" hidden="1"/>
    <cellStyle name="Денежный [0] 2" xfId="7402" hidden="1"/>
    <cellStyle name="Денежный [0] 2" xfId="7413" hidden="1"/>
    <cellStyle name="Денежный [0] 2" xfId="7410" hidden="1"/>
    <cellStyle name="Денежный [0] 2" xfId="7420" hidden="1"/>
    <cellStyle name="Денежный [0] 2" xfId="7428" hidden="1"/>
    <cellStyle name="Денежный [0] 2" xfId="7435" hidden="1"/>
    <cellStyle name="Денежный [0] 2" xfId="7446" hidden="1"/>
    <cellStyle name="Денежный [0] 2" xfId="7457" hidden="1"/>
    <cellStyle name="Денежный [0] 2" xfId="7454" hidden="1"/>
    <cellStyle name="Денежный [0] 2" xfId="7464" hidden="1"/>
    <cellStyle name="Денежный [0] 2" xfId="7473" hidden="1"/>
    <cellStyle name="Денежный [0] 2" xfId="7480" hidden="1"/>
    <cellStyle name="Денежный [0] 2" xfId="7490" hidden="1"/>
    <cellStyle name="Денежный [0] 2" xfId="7501" hidden="1"/>
    <cellStyle name="Денежный [0] 2" xfId="7498" hidden="1"/>
    <cellStyle name="Денежный [0] 2" xfId="7508" hidden="1"/>
    <cellStyle name="Денежный [0] 2" xfId="7146" hidden="1"/>
    <cellStyle name="Денежный [0] 2" xfId="6769" hidden="1"/>
    <cellStyle name="Денежный [0] 2" xfId="6759" hidden="1"/>
    <cellStyle name="Денежный [0] 2" xfId="6748" hidden="1"/>
    <cellStyle name="Денежный [0] 2" xfId="6751" hidden="1"/>
    <cellStyle name="Денежный [0] 2" xfId="6741" hidden="1"/>
    <cellStyle name="Денежный [0] 2" xfId="6721" hidden="1"/>
    <cellStyle name="Денежный [0] 2" xfId="6713" hidden="1"/>
    <cellStyle name="Денежный [0] 2" xfId="6703" hidden="1"/>
    <cellStyle name="Денежный [0] 2" xfId="6692" hidden="1"/>
    <cellStyle name="Денежный [0] 2" xfId="6695" hidden="1"/>
    <cellStyle name="Денежный [0] 2" xfId="6685" hidden="1"/>
    <cellStyle name="Денежный [0] 2" xfId="6421" hidden="1"/>
    <cellStyle name="Денежный [0] 2" xfId="6400" hidden="1"/>
    <cellStyle name="Денежный [0] 2" xfId="6390" hidden="1"/>
    <cellStyle name="Денежный [0] 2" xfId="6379" hidden="1"/>
    <cellStyle name="Денежный [0] 2" xfId="6382" hidden="1"/>
    <cellStyle name="Денежный [0] 2" xfId="7333" hidden="1"/>
    <cellStyle name="Денежный [0] 2" xfId="7379" hidden="1"/>
    <cellStyle name="Денежный [0] 2" xfId="7349" hidden="1"/>
    <cellStyle name="Денежный [0] 2" xfId="7378" hidden="1"/>
    <cellStyle name="Денежный [0] 2" xfId="6505" hidden="1"/>
    <cellStyle name="Денежный [0] 2" xfId="6562" hidden="1"/>
    <cellStyle name="Денежный [0] 2" xfId="6600" hidden="1"/>
    <cellStyle name="Денежный [0] 2" xfId="7517" hidden="1"/>
    <cellStyle name="Денежный [0] 2" xfId="7524" hidden="1"/>
    <cellStyle name="Денежный [0] 2" xfId="7534" hidden="1"/>
    <cellStyle name="Денежный [0] 2" xfId="7545" hidden="1"/>
    <cellStyle name="Денежный [0] 2" xfId="7542" hidden="1"/>
    <cellStyle name="Денежный [0] 2" xfId="7552" hidden="1"/>
    <cellStyle name="Денежный [0] 2" xfId="7559" hidden="1"/>
    <cellStyle name="Денежный [0] 2" xfId="7566" hidden="1"/>
    <cellStyle name="Денежный [0] 2" xfId="7576" hidden="1"/>
    <cellStyle name="Денежный [0] 2" xfId="7587" hidden="1"/>
    <cellStyle name="Денежный [0] 2" xfId="7584" hidden="1"/>
    <cellStyle name="Денежный [0] 2" xfId="7594" hidden="1"/>
    <cellStyle name="Денежный [0] 2" xfId="7601" hidden="1"/>
    <cellStyle name="Денежный [0] 2" xfId="7608" hidden="1"/>
    <cellStyle name="Денежный [0] 2" xfId="7618" hidden="1"/>
    <cellStyle name="Денежный [0] 2" xfId="7629" hidden="1"/>
    <cellStyle name="Денежный [0] 2" xfId="7626" hidden="1"/>
    <cellStyle name="Денежный [0] 2" xfId="7636" hidden="1"/>
    <cellStyle name="Денежный [0] 2" xfId="7643" hidden="1"/>
    <cellStyle name="Денежный [0] 2" xfId="7650" hidden="1"/>
    <cellStyle name="Денежный [0] 2" xfId="7660" hidden="1"/>
    <cellStyle name="Денежный [0] 2" xfId="7671" hidden="1"/>
    <cellStyle name="Денежный [0] 2" xfId="7668" hidden="1"/>
    <cellStyle name="Денежный [0] 2" xfId="7678" hidden="1"/>
    <cellStyle name="Денежный [0] 2" xfId="7686" hidden="1"/>
    <cellStyle name="Денежный [0] 2" xfId="7693" hidden="1"/>
    <cellStyle name="Денежный [0] 2" xfId="7703" hidden="1"/>
    <cellStyle name="Денежный [0] 2" xfId="7714" hidden="1"/>
    <cellStyle name="Денежный [0] 2" xfId="7711" hidden="1"/>
    <cellStyle name="Денежный [0] 2" xfId="7721" hidden="1"/>
    <cellStyle name="Денежный [0] 2" xfId="7728" hidden="1"/>
    <cellStyle name="Денежный [0] 2" xfId="7735" hidden="1"/>
    <cellStyle name="Денежный [0] 2" xfId="7745" hidden="1"/>
    <cellStyle name="Денежный [0] 2" xfId="7756" hidden="1"/>
    <cellStyle name="Денежный [0] 2" xfId="7753" hidden="1"/>
    <cellStyle name="Денежный [0] 2" xfId="7763" hidden="1"/>
    <cellStyle name="Денежный [0] 2" xfId="7770" hidden="1"/>
    <cellStyle name="Денежный [0] 2" xfId="7777" hidden="1"/>
    <cellStyle name="Денежный [0] 2" xfId="7787" hidden="1"/>
    <cellStyle name="Денежный [0] 2" xfId="7798" hidden="1"/>
    <cellStyle name="Денежный [0] 2" xfId="7795" hidden="1"/>
    <cellStyle name="Денежный [0] 2" xfId="7805" hidden="1"/>
    <cellStyle name="Денежный [0] 2" xfId="7812" hidden="1"/>
    <cellStyle name="Денежный [0] 2" xfId="7819" hidden="1"/>
    <cellStyle name="Денежный [0] 2" xfId="7829" hidden="1"/>
    <cellStyle name="Денежный [0] 2" xfId="7840" hidden="1"/>
    <cellStyle name="Денежный [0] 2" xfId="7837" hidden="1"/>
    <cellStyle name="Денежный [0] 2" xfId="7847" hidden="1"/>
    <cellStyle name="Денежный [0] 2" xfId="4238" hidden="1"/>
    <cellStyle name="Денежный [0] 2" xfId="4205" hidden="1"/>
    <cellStyle name="Денежный [0] 2" xfId="7851" hidden="1"/>
    <cellStyle name="Денежный [0] 2" xfId="7862" hidden="1"/>
    <cellStyle name="Денежный [0] 2" xfId="7860" hidden="1"/>
    <cellStyle name="Денежный [0] 2" xfId="7868" hidden="1"/>
    <cellStyle name="Денежный [0] 2" xfId="7875" hidden="1"/>
    <cellStyle name="Денежный [0] 2" xfId="7880" hidden="1"/>
    <cellStyle name="Денежный [0] 2" xfId="7890" hidden="1"/>
    <cellStyle name="Денежный [0] 2" xfId="7898" hidden="1"/>
    <cellStyle name="Денежный [0] 2" xfId="7896" hidden="1"/>
    <cellStyle name="Денежный [0] 2" xfId="7904" hidden="1"/>
    <cellStyle name="Денежный [0] 2" xfId="7912" hidden="1"/>
    <cellStyle name="Денежный [0] 2" xfId="7917" hidden="1"/>
    <cellStyle name="Денежный [0] 2" xfId="7927" hidden="1"/>
    <cellStyle name="Денежный [0] 2" xfId="7935" hidden="1"/>
    <cellStyle name="Денежный [0] 2" xfId="7933" hidden="1"/>
    <cellStyle name="Денежный [0] 2" xfId="7941" hidden="1"/>
    <cellStyle name="Денежный [0] 2" xfId="7948" hidden="1"/>
    <cellStyle name="Денежный [0] 2" xfId="7953" hidden="1"/>
    <cellStyle name="Денежный [0] 2" xfId="7963" hidden="1"/>
    <cellStyle name="Денежный [0] 2" xfId="7971" hidden="1"/>
    <cellStyle name="Денежный [0] 2" xfId="7969" hidden="1"/>
    <cellStyle name="Денежный [0] 2" xfId="7977" hidden="1"/>
    <cellStyle name="Денежный [0] 2" xfId="7984" hidden="1"/>
    <cellStyle name="Денежный [0] 2" xfId="7989" hidden="1"/>
    <cellStyle name="Денежный [0] 2" xfId="7999" hidden="1"/>
    <cellStyle name="Денежный [0] 2" xfId="8007" hidden="1"/>
    <cellStyle name="Денежный [0] 2" xfId="8005" hidden="1"/>
    <cellStyle name="Денежный [0] 2" xfId="8013" hidden="1"/>
    <cellStyle name="Денежный [0] 2" xfId="8020" hidden="1"/>
    <cellStyle name="Денежный [0] 2" xfId="8025" hidden="1"/>
    <cellStyle name="Денежный [0] 2" xfId="8035" hidden="1"/>
    <cellStyle name="Денежный [0] 2" xfId="8043" hidden="1"/>
    <cellStyle name="Денежный [0] 2" xfId="8041" hidden="1"/>
    <cellStyle name="Денежный [0] 2" xfId="8049" hidden="1"/>
    <cellStyle name="Денежный [0] 2" xfId="8056" hidden="1"/>
    <cellStyle name="Денежный [0] 2" xfId="8061" hidden="1"/>
    <cellStyle name="Денежный [0] 2" xfId="8071" hidden="1"/>
    <cellStyle name="Денежный [0] 2" xfId="8079" hidden="1"/>
    <cellStyle name="Денежный [0] 2" xfId="8077" hidden="1"/>
    <cellStyle name="Денежный [0] 2" xfId="8085" hidden="1"/>
    <cellStyle name="Денежный [0] 2" xfId="8092" hidden="1"/>
    <cellStyle name="Денежный [0] 2" xfId="8097" hidden="1"/>
    <cellStyle name="Денежный [0] 2" xfId="8107" hidden="1"/>
    <cellStyle name="Денежный [0] 2" xfId="8115" hidden="1"/>
    <cellStyle name="Денежный [0] 2" xfId="8113" hidden="1"/>
    <cellStyle name="Денежный [0] 2" xfId="8121" hidden="1"/>
    <cellStyle name="Денежный [0] 2" xfId="8129" hidden="1"/>
    <cellStyle name="Денежный [0] 2" xfId="8134" hidden="1"/>
    <cellStyle name="Денежный [0] 2" xfId="8144" hidden="1"/>
    <cellStyle name="Денежный [0] 2" xfId="8152" hidden="1"/>
    <cellStyle name="Денежный [0] 2" xfId="8150" hidden="1"/>
    <cellStyle name="Денежный [0] 2" xfId="8158" hidden="1"/>
    <cellStyle name="Денежный [0] 2" xfId="8165" hidden="1"/>
    <cellStyle name="Денежный [0] 2" xfId="8170" hidden="1"/>
    <cellStyle name="Денежный [0] 2" xfId="8180" hidden="1"/>
    <cellStyle name="Денежный [0] 2" xfId="8188" hidden="1"/>
    <cellStyle name="Денежный [0] 2" xfId="8186" hidden="1"/>
    <cellStyle name="Денежный [0] 2" xfId="8194" hidden="1"/>
    <cellStyle name="Денежный [0] 2" xfId="8201" hidden="1"/>
    <cellStyle name="Денежный [0] 2" xfId="8206" hidden="1"/>
    <cellStyle name="Денежный [0] 2" xfId="8216" hidden="1"/>
    <cellStyle name="Денежный [0] 2" xfId="8224" hidden="1"/>
    <cellStyle name="Денежный [0] 2" xfId="8222" hidden="1"/>
    <cellStyle name="Денежный [0] 2" xfId="8230" hidden="1"/>
    <cellStyle name="Денежный [0] 2" xfId="8237" hidden="1"/>
    <cellStyle name="Денежный [0] 2" xfId="8242" hidden="1"/>
    <cellStyle name="Денежный [0] 2" xfId="8252" hidden="1"/>
    <cellStyle name="Денежный [0] 2" xfId="8260" hidden="1"/>
    <cellStyle name="Денежный [0] 2" xfId="8258" hidden="1"/>
    <cellStyle name="Денежный [0] 2" xfId="8266" hidden="1"/>
    <cellStyle name="Денежный [0] 2" xfId="8339" hidden="1"/>
    <cellStyle name="Денежный [0] 2" xfId="8364" hidden="1"/>
    <cellStyle name="Денежный [0] 2" xfId="8377" hidden="1"/>
    <cellStyle name="Денежный [0] 2" xfId="8385" hidden="1"/>
    <cellStyle name="Денежный [0] 2" xfId="8383" hidden="1"/>
    <cellStyle name="Денежный [0] 2" xfId="8391" hidden="1"/>
    <cellStyle name="Денежный [0] 2" xfId="8401" hidden="1"/>
    <cellStyle name="Денежный [0] 2" xfId="8406" hidden="1"/>
    <cellStyle name="Денежный [0] 2" xfId="8416" hidden="1"/>
    <cellStyle name="Денежный [0] 2" xfId="8424" hidden="1"/>
    <cellStyle name="Денежный [0] 2" xfId="8422" hidden="1"/>
    <cellStyle name="Денежный [0] 2" xfId="8430" hidden="1"/>
    <cellStyle name="Денежный [0] 2" xfId="8473" hidden="1"/>
    <cellStyle name="Денежный [0] 2" xfId="8526" hidden="1"/>
    <cellStyle name="Денежный [0] 2" xfId="8536" hidden="1"/>
    <cellStyle name="Денежный [0] 2" xfId="8544" hidden="1"/>
    <cellStyle name="Денежный [0] 2" xfId="8542" hidden="1"/>
    <cellStyle name="Денежный [0] 2" xfId="8550" hidden="1"/>
    <cellStyle name="Денежный [0] 2" xfId="8557" hidden="1"/>
    <cellStyle name="Денежный [0] 2" xfId="8562" hidden="1"/>
    <cellStyle name="Денежный [0] 2" xfId="8572" hidden="1"/>
    <cellStyle name="Денежный [0] 2" xfId="8580" hidden="1"/>
    <cellStyle name="Денежный [0] 2" xfId="8578" hidden="1"/>
    <cellStyle name="Денежный [0] 2" xfId="8586" hidden="1"/>
    <cellStyle name="Денежный [0] 2" xfId="8637" hidden="1"/>
    <cellStyle name="Денежный [0] 2" xfId="8672" hidden="1"/>
    <cellStyle name="Денежный [0] 2" xfId="8682" hidden="1"/>
    <cellStyle name="Денежный [0] 2" xfId="8690" hidden="1"/>
    <cellStyle name="Денежный [0] 2" xfId="8688" hidden="1"/>
    <cellStyle name="Денежный [0] 2" xfId="8696" hidden="1"/>
    <cellStyle name="Денежный [0] 2" xfId="8703" hidden="1"/>
    <cellStyle name="Денежный [0] 2" xfId="8708" hidden="1"/>
    <cellStyle name="Денежный [0] 2" xfId="8718" hidden="1"/>
    <cellStyle name="Денежный [0] 2" xfId="8726" hidden="1"/>
    <cellStyle name="Денежный [0] 2" xfId="8724" hidden="1"/>
    <cellStyle name="Денежный [0] 2" xfId="8732" hidden="1"/>
    <cellStyle name="Денежный [0] 2" xfId="8739" hidden="1"/>
    <cellStyle name="Денежный [0] 2" xfId="8744" hidden="1"/>
    <cellStyle name="Денежный [0] 2" xfId="8754" hidden="1"/>
    <cellStyle name="Денежный [0] 2" xfId="8762" hidden="1"/>
    <cellStyle name="Денежный [0] 2" xfId="8760" hidden="1"/>
    <cellStyle name="Денежный [0] 2" xfId="8768" hidden="1"/>
    <cellStyle name="Денежный [0] 2" xfId="8775" hidden="1"/>
    <cellStyle name="Денежный [0] 2" xfId="8780" hidden="1"/>
    <cellStyle name="Денежный [0] 2" xfId="8790" hidden="1"/>
    <cellStyle name="Денежный [0] 2" xfId="8798" hidden="1"/>
    <cellStyle name="Денежный [0] 2" xfId="8796" hidden="1"/>
    <cellStyle name="Денежный [0] 2" xfId="8804" hidden="1"/>
    <cellStyle name="Денежный [0] 2" xfId="8812" hidden="1"/>
    <cellStyle name="Денежный [0] 2" xfId="8817" hidden="1"/>
    <cellStyle name="Денежный [0] 2" xfId="8827" hidden="1"/>
    <cellStyle name="Денежный [0] 2" xfId="8835" hidden="1"/>
    <cellStyle name="Денежный [0] 2" xfId="8833" hidden="1"/>
    <cellStyle name="Денежный [0] 2" xfId="8841" hidden="1"/>
    <cellStyle name="Денежный [0] 2" xfId="8848" hidden="1"/>
    <cellStyle name="Денежный [0] 2" xfId="8853" hidden="1"/>
    <cellStyle name="Денежный [0] 2" xfId="8863" hidden="1"/>
    <cellStyle name="Денежный [0] 2" xfId="8871" hidden="1"/>
    <cellStyle name="Денежный [0] 2" xfId="8869" hidden="1"/>
    <cellStyle name="Денежный [0] 2" xfId="8877" hidden="1"/>
    <cellStyle name="Денежный [0] 2" xfId="8884" hidden="1"/>
    <cellStyle name="Денежный [0] 2" xfId="8889" hidden="1"/>
    <cellStyle name="Денежный [0] 2" xfId="8899" hidden="1"/>
    <cellStyle name="Денежный [0] 2" xfId="8907" hidden="1"/>
    <cellStyle name="Денежный [0] 2" xfId="8905" hidden="1"/>
    <cellStyle name="Денежный [0] 2" xfId="8913" hidden="1"/>
    <cellStyle name="Денежный [0] 2" xfId="8920" hidden="1"/>
    <cellStyle name="Денежный [0] 2" xfId="8925" hidden="1"/>
    <cellStyle name="Денежный [0] 2" xfId="8935" hidden="1"/>
    <cellStyle name="Денежный [0] 2" xfId="8943" hidden="1"/>
    <cellStyle name="Денежный [0] 2" xfId="8941" hidden="1"/>
    <cellStyle name="Денежный [0] 2" xfId="8949" hidden="1"/>
    <cellStyle name="Денежный [0] 2" xfId="8625" hidden="1"/>
    <cellStyle name="Денежный [0] 2" xfId="8516" hidden="1"/>
    <cellStyle name="Денежный [0] 2" xfId="8503" hidden="1"/>
    <cellStyle name="Денежный [0] 2" xfId="8495" hidden="1"/>
    <cellStyle name="Денежный [0] 2" xfId="8497" hidden="1"/>
    <cellStyle name="Денежный [0] 2" xfId="8489" hidden="1"/>
    <cellStyle name="Денежный [0] 2" xfId="8478" hidden="1"/>
    <cellStyle name="Денежный [0] 2" xfId="8467" hidden="1"/>
    <cellStyle name="Денежный [0] 2" xfId="8456" hidden="1"/>
    <cellStyle name="Денежный [0] 2" xfId="8448" hidden="1"/>
    <cellStyle name="Денежный [0] 2" xfId="8450" hidden="1"/>
    <cellStyle name="Денежный [0] 2" xfId="8442" hidden="1"/>
    <cellStyle name="Денежный [0] 2" xfId="8342" hidden="1"/>
    <cellStyle name="Денежный [0] 2" xfId="8306" hidden="1"/>
    <cellStyle name="Денежный [0] 2" xfId="8294" hidden="1"/>
    <cellStyle name="Денежный [0] 2" xfId="8286" hidden="1"/>
    <cellStyle name="Денежный [0] 2" xfId="8288" hidden="1"/>
    <cellStyle name="Денежный [0] 2" xfId="8280" hidden="1"/>
    <cellStyle name="Денежный [0] 2" xfId="8269" hidden="1"/>
    <cellStyle name="Денежный [0] 2" xfId="8956" hidden="1"/>
    <cellStyle name="Денежный [0] 2" xfId="8967" hidden="1"/>
    <cellStyle name="Денежный [0] 2" xfId="8975" hidden="1"/>
    <cellStyle name="Денежный [0] 2" xfId="8973" hidden="1"/>
    <cellStyle name="Денежный [0] 2" xfId="8981" hidden="1"/>
    <cellStyle name="Денежный [0] 2" xfId="8994" hidden="1"/>
    <cellStyle name="Денежный [0] 2" xfId="8999" hidden="1"/>
    <cellStyle name="Денежный [0] 2" xfId="9010" hidden="1"/>
    <cellStyle name="Денежный [0] 2" xfId="9018" hidden="1"/>
    <cellStyle name="Денежный [0] 2" xfId="9016" hidden="1"/>
    <cellStyle name="Денежный [0] 2" xfId="9024" hidden="1"/>
    <cellStyle name="Денежный [0] 2" xfId="9033" hidden="1"/>
    <cellStyle name="Денежный [0] 2" xfId="9038" hidden="1"/>
    <cellStyle name="Денежный [0] 2" xfId="9049" hidden="1"/>
    <cellStyle name="Денежный [0] 2" xfId="9057" hidden="1"/>
    <cellStyle name="Денежный [0] 2" xfId="9055" hidden="1"/>
    <cellStyle name="Денежный [0] 2" xfId="9063" hidden="1"/>
    <cellStyle name="Денежный [0] 2" xfId="9074" hidden="1"/>
    <cellStyle name="Денежный [0] 2" xfId="9079" hidden="1"/>
    <cellStyle name="Денежный [0] 2" xfId="9090" hidden="1"/>
    <cellStyle name="Денежный [0] 2" xfId="9098" hidden="1"/>
    <cellStyle name="Денежный [0] 2" xfId="9096" hidden="1"/>
    <cellStyle name="Денежный [0] 2" xfId="9104" hidden="1"/>
    <cellStyle name="Денежный [0] 2" xfId="9113" hidden="1"/>
    <cellStyle name="Денежный [0] 2" xfId="9118" hidden="1"/>
    <cellStyle name="Денежный [0] 2" xfId="9129" hidden="1"/>
    <cellStyle name="Денежный [0] 2" xfId="9137" hidden="1"/>
    <cellStyle name="Денежный [0] 2" xfId="9135" hidden="1"/>
    <cellStyle name="Денежный [0] 2" xfId="9143" hidden="1"/>
    <cellStyle name="Денежный [0] 2" xfId="9152" hidden="1"/>
    <cellStyle name="Денежный [0] 2" xfId="9157" hidden="1"/>
    <cellStyle name="Денежный [0] 2" xfId="9168" hidden="1"/>
    <cellStyle name="Денежный [0] 2" xfId="9176" hidden="1"/>
    <cellStyle name="Денежный [0] 2" xfId="9174" hidden="1"/>
    <cellStyle name="Денежный [0] 2" xfId="9182" hidden="1"/>
    <cellStyle name="Денежный [0] 2" xfId="9191" hidden="1"/>
    <cellStyle name="Денежный [0] 2" xfId="9196" hidden="1"/>
    <cellStyle name="Денежный [0] 2" xfId="9207" hidden="1"/>
    <cellStyle name="Денежный [0] 2" xfId="9215" hidden="1"/>
    <cellStyle name="Денежный [0] 2" xfId="9213" hidden="1"/>
    <cellStyle name="Денежный [0] 2" xfId="9221" hidden="1"/>
    <cellStyle name="Денежный [0] 2" xfId="9229" hidden="1"/>
    <cellStyle name="Денежный [0] 2" xfId="9234" hidden="1"/>
    <cellStyle name="Денежный [0] 2" xfId="9244" hidden="1"/>
    <cellStyle name="Денежный [0] 2" xfId="9252" hidden="1"/>
    <cellStyle name="Денежный [0] 2" xfId="9250" hidden="1"/>
    <cellStyle name="Денежный [0] 2" xfId="9258" hidden="1"/>
    <cellStyle name="Денежный [0] 2" xfId="9267" hidden="1"/>
    <cellStyle name="Денежный [0] 2" xfId="9272" hidden="1"/>
    <cellStyle name="Денежный [0] 2" xfId="9282" hidden="1"/>
    <cellStyle name="Денежный [0] 2" xfId="9290" hidden="1"/>
    <cellStyle name="Денежный [0] 2" xfId="9288" hidden="1"/>
    <cellStyle name="Денежный [0] 2" xfId="9296" hidden="1"/>
    <cellStyle name="Денежный [0] 2" xfId="8985" hidden="1"/>
    <cellStyle name="Денежный [0] 2" xfId="8665" hidden="1"/>
    <cellStyle name="Денежный [0] 2" xfId="8655" hidden="1"/>
    <cellStyle name="Денежный [0] 2" xfId="8647" hidden="1"/>
    <cellStyle name="Денежный [0] 2" xfId="8649" hidden="1"/>
    <cellStyle name="Денежный [0] 2" xfId="8641" hidden="1"/>
    <cellStyle name="Денежный [0] 2" xfId="8622" hidden="1"/>
    <cellStyle name="Денежный [0] 2" xfId="8617" hidden="1"/>
    <cellStyle name="Денежный [0] 2" xfId="8607" hidden="1"/>
    <cellStyle name="Денежный [0] 2" xfId="8599" hidden="1"/>
    <cellStyle name="Денежный [0] 2" xfId="8601" hidden="1"/>
    <cellStyle name="Денежный [0] 2" xfId="8593" hidden="1"/>
    <cellStyle name="Денежный [0] 2" xfId="8348" hidden="1"/>
    <cellStyle name="Денежный [0] 2" xfId="8331" hidden="1"/>
    <cellStyle name="Денежный [0] 2" xfId="8321" hidden="1"/>
    <cellStyle name="Денежный [0] 2" xfId="8313" hidden="1"/>
    <cellStyle name="Денежный [0] 2" xfId="8315" hidden="1"/>
    <cellStyle name="Денежный [0] 2" xfId="9146" hidden="1"/>
    <cellStyle name="Денежный [0] 2" xfId="9186" hidden="1"/>
    <cellStyle name="Денежный [0] 2" xfId="9160" hidden="1"/>
    <cellStyle name="Денежный [0] 2" xfId="9185" hidden="1"/>
    <cellStyle name="Денежный [0] 2" xfId="8437" hidden="1"/>
    <cellStyle name="Денежный [0] 2" xfId="8486" hidden="1"/>
    <cellStyle name="Денежный [0] 2" xfId="8518" hidden="1"/>
    <cellStyle name="Денежный [0] 2" xfId="9305" hidden="1"/>
    <cellStyle name="Денежный [0] 2" xfId="9310" hidden="1"/>
    <cellStyle name="Денежный [0] 2" xfId="9320" hidden="1"/>
    <cellStyle name="Денежный [0] 2" xfId="9328" hidden="1"/>
    <cellStyle name="Денежный [0] 2" xfId="9326" hidden="1"/>
    <cellStyle name="Денежный [0] 2" xfId="9334" hidden="1"/>
    <cellStyle name="Денежный [0] 2" xfId="9341" hidden="1"/>
    <cellStyle name="Денежный [0] 2" xfId="9346" hidden="1"/>
    <cellStyle name="Денежный [0] 2" xfId="9356" hidden="1"/>
    <cellStyle name="Денежный [0] 2" xfId="9364" hidden="1"/>
    <cellStyle name="Денежный [0] 2" xfId="9362" hidden="1"/>
    <cellStyle name="Денежный [0] 2" xfId="9370" hidden="1"/>
    <cellStyle name="Денежный [0] 2" xfId="9377" hidden="1"/>
    <cellStyle name="Денежный [0] 2" xfId="9382" hidden="1"/>
    <cellStyle name="Денежный [0] 2" xfId="9392" hidden="1"/>
    <cellStyle name="Денежный [0] 2" xfId="9400" hidden="1"/>
    <cellStyle name="Денежный [0] 2" xfId="9398" hidden="1"/>
    <cellStyle name="Денежный [0] 2" xfId="9406" hidden="1"/>
    <cellStyle name="Денежный [0] 2" xfId="9413" hidden="1"/>
    <cellStyle name="Денежный [0] 2" xfId="9418" hidden="1"/>
    <cellStyle name="Денежный [0] 2" xfId="9428" hidden="1"/>
    <cellStyle name="Денежный [0] 2" xfId="9436" hidden="1"/>
    <cellStyle name="Денежный [0] 2" xfId="9434" hidden="1"/>
    <cellStyle name="Денежный [0] 2" xfId="9442" hidden="1"/>
    <cellStyle name="Денежный [0] 2" xfId="9450" hidden="1"/>
    <cellStyle name="Денежный [0] 2" xfId="9455" hidden="1"/>
    <cellStyle name="Денежный [0] 2" xfId="9465" hidden="1"/>
    <cellStyle name="Денежный [0] 2" xfId="9473" hidden="1"/>
    <cellStyle name="Денежный [0] 2" xfId="9471" hidden="1"/>
    <cellStyle name="Денежный [0] 2" xfId="9479" hidden="1"/>
    <cellStyle name="Денежный [0] 2" xfId="9486" hidden="1"/>
    <cellStyle name="Денежный [0] 2" xfId="9491" hidden="1"/>
    <cellStyle name="Денежный [0] 2" xfId="9501" hidden="1"/>
    <cellStyle name="Денежный [0] 2" xfId="9509" hidden="1"/>
    <cellStyle name="Денежный [0] 2" xfId="9507" hidden="1"/>
    <cellStyle name="Денежный [0] 2" xfId="9515" hidden="1"/>
    <cellStyle name="Денежный [0] 2" xfId="9522" hidden="1"/>
    <cellStyle name="Денежный [0] 2" xfId="9527" hidden="1"/>
    <cellStyle name="Денежный [0] 2" xfId="9537" hidden="1"/>
    <cellStyle name="Денежный [0] 2" xfId="9545" hidden="1"/>
    <cellStyle name="Денежный [0] 2" xfId="9543" hidden="1"/>
    <cellStyle name="Денежный [0] 2" xfId="9551" hidden="1"/>
    <cellStyle name="Денежный [0] 2" xfId="9558" hidden="1"/>
    <cellStyle name="Денежный [0] 2" xfId="9563" hidden="1"/>
    <cellStyle name="Денежный [0] 2" xfId="9573" hidden="1"/>
    <cellStyle name="Денежный [0] 2" xfId="9581" hidden="1"/>
    <cellStyle name="Денежный [0] 2" xfId="9579" hidden="1"/>
    <cellStyle name="Денежный [0] 2" xfId="9587" hidden="1"/>
    <cellStyle name="Денежный [0] 2" xfId="9639" hidden="1"/>
    <cellStyle name="Денежный [0] 2" xfId="9653" hidden="1"/>
    <cellStyle name="Денежный [0] 2" xfId="9665" hidden="1"/>
    <cellStyle name="Денежный [0] 2" xfId="9673" hidden="1"/>
    <cellStyle name="Денежный [0] 2" xfId="9671" hidden="1"/>
    <cellStyle name="Денежный [0] 2" xfId="9679" hidden="1"/>
    <cellStyle name="Денежный [0] 2" xfId="9686" hidden="1"/>
    <cellStyle name="Денежный [0] 2" xfId="9691" hidden="1"/>
    <cellStyle name="Денежный [0] 2" xfId="9701" hidden="1"/>
    <cellStyle name="Денежный [0] 2" xfId="9709" hidden="1"/>
    <cellStyle name="Денежный [0] 2" xfId="9707" hidden="1"/>
    <cellStyle name="Денежный [0] 2" xfId="9715" hidden="1"/>
    <cellStyle name="Денежный [0] 2" xfId="9757" hidden="1"/>
    <cellStyle name="Денежный [0] 2" xfId="9810" hidden="1"/>
    <cellStyle name="Денежный [0] 2" xfId="9820" hidden="1"/>
    <cellStyle name="Денежный [0] 2" xfId="9828" hidden="1"/>
    <cellStyle name="Денежный [0] 2" xfId="9826" hidden="1"/>
    <cellStyle name="Денежный [0] 2" xfId="9834" hidden="1"/>
    <cellStyle name="Денежный [0] 2" xfId="9841" hidden="1"/>
    <cellStyle name="Денежный [0] 2" xfId="9846" hidden="1"/>
    <cellStyle name="Денежный [0] 2" xfId="9856" hidden="1"/>
    <cellStyle name="Денежный [0] 2" xfId="9864" hidden="1"/>
    <cellStyle name="Денежный [0] 2" xfId="9862" hidden="1"/>
    <cellStyle name="Денежный [0] 2" xfId="9870" hidden="1"/>
    <cellStyle name="Денежный [0] 2" xfId="9920" hidden="1"/>
    <cellStyle name="Денежный [0] 2" xfId="9955" hidden="1"/>
    <cellStyle name="Денежный [0] 2" xfId="9965" hidden="1"/>
    <cellStyle name="Денежный [0] 2" xfId="9973" hidden="1"/>
    <cellStyle name="Денежный [0] 2" xfId="9971" hidden="1"/>
    <cellStyle name="Денежный [0] 2" xfId="9979" hidden="1"/>
    <cellStyle name="Денежный [0] 2" xfId="9986" hidden="1"/>
    <cellStyle name="Денежный [0] 2" xfId="9991" hidden="1"/>
    <cellStyle name="Денежный [0] 2" xfId="10001" hidden="1"/>
    <cellStyle name="Денежный [0] 2" xfId="10009" hidden="1"/>
    <cellStyle name="Денежный [0] 2" xfId="10007" hidden="1"/>
    <cellStyle name="Денежный [0] 2" xfId="10015" hidden="1"/>
    <cellStyle name="Денежный [0] 2" xfId="10022" hidden="1"/>
    <cellStyle name="Денежный [0] 2" xfId="10027" hidden="1"/>
    <cellStyle name="Денежный [0] 2" xfId="10037" hidden="1"/>
    <cellStyle name="Денежный [0] 2" xfId="10045" hidden="1"/>
    <cellStyle name="Денежный [0] 2" xfId="10043" hidden="1"/>
    <cellStyle name="Денежный [0] 2" xfId="10051" hidden="1"/>
    <cellStyle name="Денежный [0] 2" xfId="10058" hidden="1"/>
    <cellStyle name="Денежный [0] 2" xfId="10063" hidden="1"/>
    <cellStyle name="Денежный [0] 2" xfId="10073" hidden="1"/>
    <cellStyle name="Денежный [0] 2" xfId="10081" hidden="1"/>
    <cellStyle name="Денежный [0] 2" xfId="10079" hidden="1"/>
    <cellStyle name="Денежный [0] 2" xfId="10087" hidden="1"/>
    <cellStyle name="Денежный [0] 2" xfId="10095" hidden="1"/>
    <cellStyle name="Денежный [0] 2" xfId="10100" hidden="1"/>
    <cellStyle name="Денежный [0] 2" xfId="10110" hidden="1"/>
    <cellStyle name="Денежный [0] 2" xfId="10118" hidden="1"/>
    <cellStyle name="Денежный [0] 2" xfId="10116" hidden="1"/>
    <cellStyle name="Денежный [0] 2" xfId="10124" hidden="1"/>
    <cellStyle name="Денежный [0] 2" xfId="10131" hidden="1"/>
    <cellStyle name="Денежный [0] 2" xfId="10136" hidden="1"/>
    <cellStyle name="Денежный [0] 2" xfId="10146" hidden="1"/>
    <cellStyle name="Денежный [0] 2" xfId="10154" hidden="1"/>
    <cellStyle name="Денежный [0] 2" xfId="10152" hidden="1"/>
    <cellStyle name="Денежный [0] 2" xfId="10160" hidden="1"/>
    <cellStyle name="Денежный [0] 2" xfId="10167" hidden="1"/>
    <cellStyle name="Денежный [0] 2" xfId="10172" hidden="1"/>
    <cellStyle name="Денежный [0] 2" xfId="10182" hidden="1"/>
    <cellStyle name="Денежный [0] 2" xfId="10190" hidden="1"/>
    <cellStyle name="Денежный [0] 2" xfId="10188" hidden="1"/>
    <cellStyle name="Денежный [0] 2" xfId="10196" hidden="1"/>
    <cellStyle name="Денежный [0] 2" xfId="10203" hidden="1"/>
    <cellStyle name="Денежный [0] 2" xfId="10208" hidden="1"/>
    <cellStyle name="Денежный [0] 2" xfId="10218" hidden="1"/>
    <cellStyle name="Денежный [0] 2" xfId="10226" hidden="1"/>
    <cellStyle name="Денежный [0] 2" xfId="10224" hidden="1"/>
    <cellStyle name="Денежный [0] 2" xfId="10232" hidden="1"/>
    <cellStyle name="Денежный [0] 2" xfId="9908" hidden="1"/>
    <cellStyle name="Денежный [0] 2" xfId="9800" hidden="1"/>
    <cellStyle name="Денежный [0] 2" xfId="9787" hidden="1"/>
    <cellStyle name="Денежный [0] 2" xfId="9779" hidden="1"/>
    <cellStyle name="Денежный [0] 2" xfId="9781" hidden="1"/>
    <cellStyle name="Денежный [0] 2" xfId="9773" hidden="1"/>
    <cellStyle name="Денежный [0] 2" xfId="9762" hidden="1"/>
    <cellStyle name="Денежный [0] 2" xfId="9751" hidden="1"/>
    <cellStyle name="Денежный [0] 2" xfId="9740" hidden="1"/>
    <cellStyle name="Денежный [0] 2" xfId="9732" hidden="1"/>
    <cellStyle name="Денежный [0] 2" xfId="9734" hidden="1"/>
    <cellStyle name="Денежный [0] 2" xfId="9726" hidden="1"/>
    <cellStyle name="Денежный [0] 2" xfId="9642" hidden="1"/>
    <cellStyle name="Денежный [0] 2" xfId="9606" hidden="1"/>
    <cellStyle name="Денежный [0] 2" xfId="9594" hidden="1"/>
    <cellStyle name="Денежный [0] 2" xfId="8356" hidden="1"/>
    <cellStyle name="Денежный [0] 2" xfId="8394" hidden="1"/>
    <cellStyle name="Денежный [0] 2" xfId="8358" hidden="1"/>
    <cellStyle name="Денежный [0] 2" xfId="8395" hidden="1"/>
    <cellStyle name="Денежный [0] 2" xfId="10239" hidden="1"/>
    <cellStyle name="Денежный [0] 2" xfId="10250" hidden="1"/>
    <cellStyle name="Денежный [0] 2" xfId="10258" hidden="1"/>
    <cellStyle name="Денежный [0] 2" xfId="10256" hidden="1"/>
    <cellStyle name="Денежный [0] 2" xfId="10264" hidden="1"/>
    <cellStyle name="Денежный [0] 2" xfId="10277" hidden="1"/>
    <cellStyle name="Денежный [0] 2" xfId="10282" hidden="1"/>
    <cellStyle name="Денежный [0] 2" xfId="10293" hidden="1"/>
    <cellStyle name="Денежный [0] 2" xfId="10301" hidden="1"/>
    <cellStyle name="Денежный [0] 2" xfId="10299" hidden="1"/>
    <cellStyle name="Денежный [0] 2" xfId="10307" hidden="1"/>
    <cellStyle name="Денежный [0] 2" xfId="10316" hidden="1"/>
    <cellStyle name="Денежный [0] 2" xfId="10321" hidden="1"/>
    <cellStyle name="Денежный [0] 2" xfId="10332" hidden="1"/>
    <cellStyle name="Денежный [0] 2" xfId="10340" hidden="1"/>
    <cellStyle name="Денежный [0] 2" xfId="10338" hidden="1"/>
    <cellStyle name="Денежный [0] 2" xfId="10346" hidden="1"/>
    <cellStyle name="Денежный [0] 2" xfId="10357" hidden="1"/>
    <cellStyle name="Денежный [0] 2" xfId="10362" hidden="1"/>
    <cellStyle name="Денежный [0] 2" xfId="10373" hidden="1"/>
    <cellStyle name="Денежный [0] 2" xfId="10381" hidden="1"/>
    <cellStyle name="Денежный [0] 2" xfId="10379" hidden="1"/>
    <cellStyle name="Денежный [0] 2" xfId="10387" hidden="1"/>
    <cellStyle name="Денежный [0] 2" xfId="10396" hidden="1"/>
    <cellStyle name="Денежный [0] 2" xfId="10401" hidden="1"/>
    <cellStyle name="Денежный [0] 2" xfId="10412" hidden="1"/>
    <cellStyle name="Денежный [0] 2" xfId="10420" hidden="1"/>
    <cellStyle name="Денежный [0] 2" xfId="10418" hidden="1"/>
    <cellStyle name="Денежный [0] 2" xfId="10426" hidden="1"/>
    <cellStyle name="Денежный [0] 2" xfId="10435" hidden="1"/>
    <cellStyle name="Денежный [0] 2" xfId="10440" hidden="1"/>
    <cellStyle name="Денежный [0] 2" xfId="10451" hidden="1"/>
    <cellStyle name="Денежный [0] 2" xfId="10459" hidden="1"/>
    <cellStyle name="Денежный [0] 2" xfId="10457" hidden="1"/>
    <cellStyle name="Денежный [0] 2" xfId="10465" hidden="1"/>
    <cellStyle name="Денежный [0] 2" xfId="10474" hidden="1"/>
    <cellStyle name="Денежный [0] 2" xfId="10479" hidden="1"/>
    <cellStyle name="Денежный [0] 2" xfId="10490" hidden="1"/>
    <cellStyle name="Денежный [0] 2" xfId="10498" hidden="1"/>
    <cellStyle name="Денежный [0] 2" xfId="10496" hidden="1"/>
    <cellStyle name="Денежный [0] 2" xfId="10504" hidden="1"/>
    <cellStyle name="Денежный [0] 2" xfId="10512" hidden="1"/>
    <cellStyle name="Денежный [0] 2" xfId="10517" hidden="1"/>
    <cellStyle name="Денежный [0] 2" xfId="10527" hidden="1"/>
    <cellStyle name="Денежный [0] 2" xfId="10535" hidden="1"/>
    <cellStyle name="Денежный [0] 2" xfId="10533" hidden="1"/>
    <cellStyle name="Денежный [0] 2" xfId="10541" hidden="1"/>
    <cellStyle name="Денежный [0] 2" xfId="10550" hidden="1"/>
    <cellStyle name="Денежный [0] 2" xfId="10555" hidden="1"/>
    <cellStyle name="Денежный [0] 2" xfId="10565" hidden="1"/>
    <cellStyle name="Денежный [0] 2" xfId="10573" hidden="1"/>
    <cellStyle name="Денежный [0] 2" xfId="10571" hidden="1"/>
    <cellStyle name="Денежный [0] 2" xfId="10579" hidden="1"/>
    <cellStyle name="Денежный [0] 2" xfId="10268" hidden="1"/>
    <cellStyle name="Денежный [0] 2" xfId="9948" hidden="1"/>
    <cellStyle name="Денежный [0] 2" xfId="9938" hidden="1"/>
    <cellStyle name="Денежный [0] 2" xfId="9930" hidden="1"/>
    <cellStyle name="Денежный [0] 2" xfId="9932" hidden="1"/>
    <cellStyle name="Денежный [0] 2" xfId="9924" hidden="1"/>
    <cellStyle name="Денежный [0] 2" xfId="9905" hidden="1"/>
    <cellStyle name="Денежный [0] 2" xfId="9900" hidden="1"/>
    <cellStyle name="Денежный [0] 2" xfId="9890" hidden="1"/>
    <cellStyle name="Денежный [0] 2" xfId="9882" hidden="1"/>
    <cellStyle name="Денежный [0] 2" xfId="9884" hidden="1"/>
    <cellStyle name="Денежный [0] 2" xfId="9876" hidden="1"/>
    <cellStyle name="Денежный [0] 2" xfId="9648" hidden="1"/>
    <cellStyle name="Денежный [0] 2" xfId="9631" hidden="1"/>
    <cellStyle name="Денежный [0] 2" xfId="9621" hidden="1"/>
    <cellStyle name="Денежный [0] 2" xfId="9613" hidden="1"/>
    <cellStyle name="Денежный [0] 2" xfId="9615" hidden="1"/>
    <cellStyle name="Денежный [0] 2" xfId="10429" hidden="1"/>
    <cellStyle name="Денежный [0] 2" xfId="10469" hidden="1"/>
    <cellStyle name="Денежный [0] 2" xfId="10443" hidden="1"/>
    <cellStyle name="Денежный [0] 2" xfId="10468" hidden="1"/>
    <cellStyle name="Денежный [0] 2" xfId="9721" hidden="1"/>
    <cellStyle name="Денежный [0] 2" xfId="9770" hidden="1"/>
    <cellStyle name="Денежный [0] 2" xfId="9802" hidden="1"/>
    <cellStyle name="Денежный [0] 2" xfId="10588" hidden="1"/>
    <cellStyle name="Денежный [0] 2" xfId="10593" hidden="1"/>
    <cellStyle name="Денежный [0] 2" xfId="10603" hidden="1"/>
    <cellStyle name="Денежный [0] 2" xfId="10611" hidden="1"/>
    <cellStyle name="Денежный [0] 2" xfId="10609" hidden="1"/>
    <cellStyle name="Денежный [0] 2" xfId="10617" hidden="1"/>
    <cellStyle name="Денежный [0] 2" xfId="10624" hidden="1"/>
    <cellStyle name="Денежный [0] 2" xfId="10629" hidden="1"/>
    <cellStyle name="Денежный [0] 2" xfId="10639" hidden="1"/>
    <cellStyle name="Денежный [0] 2" xfId="10647" hidden="1"/>
    <cellStyle name="Денежный [0] 2" xfId="10645" hidden="1"/>
    <cellStyle name="Денежный [0] 2" xfId="10653" hidden="1"/>
    <cellStyle name="Денежный [0] 2" xfId="10660" hidden="1"/>
    <cellStyle name="Денежный [0] 2" xfId="10665" hidden="1"/>
    <cellStyle name="Денежный [0] 2" xfId="10675" hidden="1"/>
    <cellStyle name="Денежный [0] 2" xfId="10683" hidden="1"/>
    <cellStyle name="Денежный [0] 2" xfId="10681" hidden="1"/>
    <cellStyle name="Денежный [0] 2" xfId="10689" hidden="1"/>
    <cellStyle name="Денежный [0] 2" xfId="10696" hidden="1"/>
    <cellStyle name="Денежный [0] 2" xfId="10701" hidden="1"/>
    <cellStyle name="Денежный [0] 2" xfId="10711" hidden="1"/>
    <cellStyle name="Денежный [0] 2" xfId="10719" hidden="1"/>
    <cellStyle name="Денежный [0] 2" xfId="10717" hidden="1"/>
    <cellStyle name="Денежный [0] 2" xfId="10725" hidden="1"/>
    <cellStyle name="Денежный [0] 2" xfId="10733" hidden="1"/>
    <cellStyle name="Денежный [0] 2" xfId="10738" hidden="1"/>
    <cellStyle name="Денежный [0] 2" xfId="10748" hidden="1"/>
    <cellStyle name="Денежный [0] 2" xfId="10756" hidden="1"/>
    <cellStyle name="Денежный [0] 2" xfId="10754" hidden="1"/>
    <cellStyle name="Денежный [0] 2" xfId="10762" hidden="1"/>
    <cellStyle name="Денежный [0] 2" xfId="10769" hidden="1"/>
    <cellStyle name="Денежный [0] 2" xfId="10774" hidden="1"/>
    <cellStyle name="Денежный [0] 2" xfId="10784" hidden="1"/>
    <cellStyle name="Денежный [0] 2" xfId="10792" hidden="1"/>
    <cellStyle name="Денежный [0] 2" xfId="10790" hidden="1"/>
    <cellStyle name="Денежный [0] 2" xfId="10798" hidden="1"/>
    <cellStyle name="Денежный [0] 2" xfId="10805" hidden="1"/>
    <cellStyle name="Денежный [0] 2" xfId="10810" hidden="1"/>
    <cellStyle name="Денежный [0] 2" xfId="10820" hidden="1"/>
    <cellStyle name="Денежный [0] 2" xfId="10828" hidden="1"/>
    <cellStyle name="Денежный [0] 2" xfId="10826" hidden="1"/>
    <cellStyle name="Денежный [0] 2" xfId="10834" hidden="1"/>
    <cellStyle name="Денежный [0] 2" xfId="10841" hidden="1"/>
    <cellStyle name="Денежный [0] 2" xfId="10846" hidden="1"/>
    <cellStyle name="Денежный [0] 2" xfId="10856" hidden="1"/>
    <cellStyle name="Денежный [0] 2" xfId="10864" hidden="1"/>
    <cellStyle name="Денежный [0] 2" xfId="10862" hidden="1"/>
    <cellStyle name="Денежный [0] 2" xfId="10870" hidden="1"/>
    <cellStyle name="Денежный [0] 2" xfId="50409" hidden="1"/>
    <cellStyle name="Денежный [0] 2" xfId="50416" hidden="1"/>
    <cellStyle name="Денежный [0] 2" xfId="50420" hidden="1"/>
    <cellStyle name="Денежный [0] 2" xfId="50422" hidden="1"/>
    <cellStyle name="Денежный [0] 2" xfId="50428" hidden="1"/>
    <cellStyle name="Денежный [0] 2" xfId="50435" hidden="1"/>
    <cellStyle name="Денежный [0] 2" xfId="50446" hidden="1"/>
    <cellStyle name="Денежный [0] 2" xfId="50457" hidden="1"/>
    <cellStyle name="Денежный [0] 2" xfId="50454" hidden="1"/>
    <cellStyle name="Денежный [0] 2" xfId="50464" hidden="1"/>
    <cellStyle name="Денежный 2" xfId="93" hidden="1"/>
    <cellStyle name="Денежный 2" xfId="179" hidden="1"/>
    <cellStyle name="Денежный 2" xfId="207" hidden="1"/>
    <cellStyle name="Денежный 2" xfId="212" hidden="1"/>
    <cellStyle name="Денежный 2" xfId="211" hidden="1"/>
    <cellStyle name="Денежный 2" xfId="222" hidden="1"/>
    <cellStyle name="Денежный 2" xfId="240" hidden="1"/>
    <cellStyle name="Денежный 2" xfId="244" hidden="1"/>
    <cellStyle name="Денежный 2" xfId="258" hidden="1"/>
    <cellStyle name="Денежный 2" xfId="263" hidden="1"/>
    <cellStyle name="Денежный 2" xfId="262" hidden="1"/>
    <cellStyle name="Денежный 2" xfId="273" hidden="1"/>
    <cellStyle name="Денежный 2" xfId="372" hidden="1"/>
    <cellStyle name="Денежный 2" xfId="454" hidden="1"/>
    <cellStyle name="Денежный 2" xfId="470" hidden="1"/>
    <cellStyle name="Денежный 2" xfId="475" hidden="1"/>
    <cellStyle name="Денежный 2" xfId="474" hidden="1"/>
    <cellStyle name="Денежный 2" xfId="485" hidden="1"/>
    <cellStyle name="Денежный 2" xfId="497" hidden="1"/>
    <cellStyle name="Денежный 2" xfId="501" hidden="1"/>
    <cellStyle name="Денежный 2" xfId="515" hidden="1"/>
    <cellStyle name="Денежный 2" xfId="520" hidden="1"/>
    <cellStyle name="Денежный 2" xfId="519" hidden="1"/>
    <cellStyle name="Денежный 2" xfId="530" hidden="1"/>
    <cellStyle name="Денежный 2" xfId="628" hidden="1"/>
    <cellStyle name="Денежный 2" xfId="710" hidden="1"/>
    <cellStyle name="Денежный 2" xfId="726" hidden="1"/>
    <cellStyle name="Денежный 2" xfId="731" hidden="1"/>
    <cellStyle name="Денежный 2" xfId="730" hidden="1"/>
    <cellStyle name="Денежный 2" xfId="741" hidden="1"/>
    <cellStyle name="Денежный 2" xfId="753" hidden="1"/>
    <cellStyle name="Денежный 2" xfId="757" hidden="1"/>
    <cellStyle name="Денежный 2" xfId="771" hidden="1"/>
    <cellStyle name="Денежный 2" xfId="776" hidden="1"/>
    <cellStyle name="Денежный 2" xfId="775" hidden="1"/>
    <cellStyle name="Денежный 2" xfId="786" hidden="1"/>
    <cellStyle name="Денежный 2" xfId="801" hidden="1"/>
    <cellStyle name="Денежный 2" xfId="805" hidden="1"/>
    <cellStyle name="Денежный 2" xfId="819" hidden="1"/>
    <cellStyle name="Денежный 2" xfId="824" hidden="1"/>
    <cellStyle name="Денежный 2" xfId="823" hidden="1"/>
    <cellStyle name="Денежный 2" xfId="834" hidden="1"/>
    <cellStyle name="Денежный 2" xfId="846" hidden="1"/>
    <cellStyle name="Денежный 2" xfId="850" hidden="1"/>
    <cellStyle name="Денежный 2" xfId="864" hidden="1"/>
    <cellStyle name="Денежный 2" xfId="869" hidden="1"/>
    <cellStyle name="Денежный 2" xfId="868" hidden="1"/>
    <cellStyle name="Денежный 2" xfId="879" hidden="1"/>
    <cellStyle name="Денежный 2" xfId="892" hidden="1"/>
    <cellStyle name="Денежный 2" xfId="896" hidden="1"/>
    <cellStyle name="Денежный 2" xfId="910" hidden="1"/>
    <cellStyle name="Денежный 2" xfId="915" hidden="1"/>
    <cellStyle name="Денежный 2" xfId="914" hidden="1"/>
    <cellStyle name="Денежный 2" xfId="925" hidden="1"/>
    <cellStyle name="Денежный 2" xfId="937" hidden="1"/>
    <cellStyle name="Денежный 2" xfId="941" hidden="1"/>
    <cellStyle name="Денежный 2" xfId="955" hidden="1"/>
    <cellStyle name="Денежный 2" xfId="960" hidden="1"/>
    <cellStyle name="Денежный 2" xfId="959" hidden="1"/>
    <cellStyle name="Денежный 2" xfId="970" hidden="1"/>
    <cellStyle name="Денежный 2" xfId="982" hidden="1"/>
    <cellStyle name="Денежный 2" xfId="986" hidden="1"/>
    <cellStyle name="Денежный 2" xfId="1000" hidden="1"/>
    <cellStyle name="Денежный 2" xfId="1005" hidden="1"/>
    <cellStyle name="Денежный 2" xfId="1004" hidden="1"/>
    <cellStyle name="Денежный 2" xfId="1015" hidden="1"/>
    <cellStyle name="Денежный 2" xfId="1027" hidden="1"/>
    <cellStyle name="Денежный 2" xfId="1031" hidden="1"/>
    <cellStyle name="Денежный 2" xfId="1045" hidden="1"/>
    <cellStyle name="Денежный 2" xfId="1050" hidden="1"/>
    <cellStyle name="Денежный 2" xfId="1049" hidden="1"/>
    <cellStyle name="Денежный 2" xfId="1060" hidden="1"/>
    <cellStyle name="Денежный 2" xfId="1150" hidden="1"/>
    <cellStyle name="Денежный 2" xfId="1168" hidden="1"/>
    <cellStyle name="Денежный 2" xfId="1194" hidden="1"/>
    <cellStyle name="Денежный 2" xfId="1199" hidden="1"/>
    <cellStyle name="Денежный 2" xfId="1198" hidden="1"/>
    <cellStyle name="Денежный 2" xfId="1209" hidden="1"/>
    <cellStyle name="Денежный 2" xfId="1224" hidden="1"/>
    <cellStyle name="Денежный 2" xfId="1228" hidden="1"/>
    <cellStyle name="Денежный 2" xfId="1242" hidden="1"/>
    <cellStyle name="Денежный 2" xfId="1247" hidden="1"/>
    <cellStyle name="Денежный 2" xfId="1246" hidden="1"/>
    <cellStyle name="Денежный 2" xfId="1257" hidden="1"/>
    <cellStyle name="Денежный 2" xfId="1310" hidden="1"/>
    <cellStyle name="Денежный 2" xfId="1370" hidden="1"/>
    <cellStyle name="Денежный 2" xfId="1384" hidden="1"/>
    <cellStyle name="Денежный 2" xfId="1389" hidden="1"/>
    <cellStyle name="Денежный 2" xfId="1388" hidden="1"/>
    <cellStyle name="Денежный 2" xfId="1399" hidden="1"/>
    <cellStyle name="Денежный 2" xfId="1411" hidden="1"/>
    <cellStyle name="Денежный 2" xfId="1415" hidden="1"/>
    <cellStyle name="Денежный 2" xfId="1429" hidden="1"/>
    <cellStyle name="Денежный 2" xfId="1434" hidden="1"/>
    <cellStyle name="Денежный 2" xfId="1433" hidden="1"/>
    <cellStyle name="Денежный 2" xfId="1444" hidden="1"/>
    <cellStyle name="Денежный 2" xfId="1507" hidden="1"/>
    <cellStyle name="Денежный 2" xfId="1546" hidden="1"/>
    <cellStyle name="Денежный 2" xfId="1561" hidden="1"/>
    <cellStyle name="Денежный 2" xfId="1566" hidden="1"/>
    <cellStyle name="Денежный 2" xfId="1565" hidden="1"/>
    <cellStyle name="Денежный 2" xfId="1576" hidden="1"/>
    <cellStyle name="Денежный 2" xfId="1588" hidden="1"/>
    <cellStyle name="Денежный 2" xfId="1592" hidden="1"/>
    <cellStyle name="Денежный 2" xfId="1606" hidden="1"/>
    <cellStyle name="Денежный 2" xfId="1611" hidden="1"/>
    <cellStyle name="Денежный 2" xfId="1610" hidden="1"/>
    <cellStyle name="Денежный 2" xfId="1621" hidden="1"/>
    <cellStyle name="Денежный 2" xfId="1634" hidden="1"/>
    <cellStyle name="Денежный 2" xfId="1638" hidden="1"/>
    <cellStyle name="Денежный 2" xfId="1652" hidden="1"/>
    <cellStyle name="Денежный 2" xfId="1657" hidden="1"/>
    <cellStyle name="Денежный 2" xfId="1656" hidden="1"/>
    <cellStyle name="Денежный 2" xfId="1667" hidden="1"/>
    <cellStyle name="Денежный 2" xfId="1679" hidden="1"/>
    <cellStyle name="Денежный 2" xfId="1683" hidden="1"/>
    <cellStyle name="Денежный 2" xfId="1697" hidden="1"/>
    <cellStyle name="Денежный 2" xfId="1702" hidden="1"/>
    <cellStyle name="Денежный 2" xfId="1701" hidden="1"/>
    <cellStyle name="Денежный 2" xfId="1712" hidden="1"/>
    <cellStyle name="Денежный 2" xfId="1725" hidden="1"/>
    <cellStyle name="Денежный 2" xfId="1729" hidden="1"/>
    <cellStyle name="Денежный 2" xfId="1743" hidden="1"/>
    <cellStyle name="Денежный 2" xfId="1748" hidden="1"/>
    <cellStyle name="Денежный 2" xfId="1747" hidden="1"/>
    <cellStyle name="Денежный 2" xfId="1758" hidden="1"/>
    <cellStyle name="Денежный 2" xfId="1770" hidden="1"/>
    <cellStyle name="Денежный 2" xfId="1774" hidden="1"/>
    <cellStyle name="Денежный 2" xfId="1788" hidden="1"/>
    <cellStyle name="Денежный 2" xfId="1793" hidden="1"/>
    <cellStyle name="Денежный 2" xfId="1792" hidden="1"/>
    <cellStyle name="Денежный 2" xfId="1803" hidden="1"/>
    <cellStyle name="Денежный 2" xfId="1815" hidden="1"/>
    <cellStyle name="Денежный 2" xfId="1819" hidden="1"/>
    <cellStyle name="Денежный 2" xfId="1833" hidden="1"/>
    <cellStyle name="Денежный 2" xfId="1838" hidden="1"/>
    <cellStyle name="Денежный 2" xfId="1837" hidden="1"/>
    <cellStyle name="Денежный 2" xfId="1848" hidden="1"/>
    <cellStyle name="Денежный 2" xfId="1860" hidden="1"/>
    <cellStyle name="Денежный 2" xfId="1864" hidden="1"/>
    <cellStyle name="Денежный 2" xfId="1878" hidden="1"/>
    <cellStyle name="Денежный 2" xfId="1883" hidden="1"/>
    <cellStyle name="Денежный 2" xfId="1882" hidden="1"/>
    <cellStyle name="Денежный 2" xfId="1893" hidden="1"/>
    <cellStyle name="Денежный 2" xfId="1497" hidden="1"/>
    <cellStyle name="Денежный 2" xfId="1369" hidden="1"/>
    <cellStyle name="Денежный 2" xfId="1350" hidden="1"/>
    <cellStyle name="Денежный 2" xfId="1345" hidden="1"/>
    <cellStyle name="Денежный 2" xfId="1346" hidden="1"/>
    <cellStyle name="Денежный 2" xfId="1335" hidden="1"/>
    <cellStyle name="Денежный 2" xfId="1319" hidden="1"/>
    <cellStyle name="Денежный 2" xfId="1314" hidden="1"/>
    <cellStyle name="Денежный 2" xfId="1294" hidden="1"/>
    <cellStyle name="Денежный 2" xfId="1289" hidden="1"/>
    <cellStyle name="Денежный 2" xfId="1290" hidden="1"/>
    <cellStyle name="Денежный 2" xfId="1279" hidden="1"/>
    <cellStyle name="Денежный 2" xfId="1157" hidden="1"/>
    <cellStyle name="Денежный 2" xfId="1118" hidden="1"/>
    <cellStyle name="Денежный 2" xfId="1102" hidden="1"/>
    <cellStyle name="Денежный 2" xfId="1097" hidden="1"/>
    <cellStyle name="Денежный 2" xfId="1098" hidden="1"/>
    <cellStyle name="Денежный 2" xfId="1087" hidden="1"/>
    <cellStyle name="Денежный 2" xfId="1072" hidden="1"/>
    <cellStyle name="Денежный 2" xfId="1904" hidden="1"/>
    <cellStyle name="Денежный 2" xfId="1918" hidden="1"/>
    <cellStyle name="Денежный 2" xfId="1923" hidden="1"/>
    <cellStyle name="Денежный 2" xfId="1922" hidden="1"/>
    <cellStyle name="Денежный 2" xfId="1933" hidden="1"/>
    <cellStyle name="Денежный 2" xfId="1951" hidden="1"/>
    <cellStyle name="Денежный 2" xfId="1955" hidden="1"/>
    <cellStyle name="Денежный 2" xfId="1969" hidden="1"/>
    <cellStyle name="Денежный 2" xfId="1974" hidden="1"/>
    <cellStyle name="Денежный 2" xfId="1973" hidden="1"/>
    <cellStyle name="Денежный 2" xfId="1984" hidden="1"/>
    <cellStyle name="Денежный 2" xfId="1996" hidden="1"/>
    <cellStyle name="Денежный 2" xfId="2000" hidden="1"/>
    <cellStyle name="Денежный 2" xfId="2014" hidden="1"/>
    <cellStyle name="Денежный 2" xfId="2019" hidden="1"/>
    <cellStyle name="Денежный 2" xfId="2018" hidden="1"/>
    <cellStyle name="Денежный 2" xfId="2029" hidden="1"/>
    <cellStyle name="Денежный 2" xfId="2044" hidden="1"/>
    <cellStyle name="Денежный 2" xfId="2048" hidden="1"/>
    <cellStyle name="Денежный 2" xfId="2062" hidden="1"/>
    <cellStyle name="Денежный 2" xfId="2067" hidden="1"/>
    <cellStyle name="Денежный 2" xfId="2066" hidden="1"/>
    <cellStyle name="Денежный 2" xfId="2077" hidden="1"/>
    <cellStyle name="Денежный 2" xfId="2089" hidden="1"/>
    <cellStyle name="Денежный 2" xfId="2093" hidden="1"/>
    <cellStyle name="Денежный 2" xfId="2107" hidden="1"/>
    <cellStyle name="Денежный 2" xfId="2112" hidden="1"/>
    <cellStyle name="Денежный 2" xfId="2111" hidden="1"/>
    <cellStyle name="Денежный 2" xfId="2122" hidden="1"/>
    <cellStyle name="Денежный 2" xfId="2135" hidden="1"/>
    <cellStyle name="Денежный 2" xfId="2139" hidden="1"/>
    <cellStyle name="Денежный 2" xfId="2153" hidden="1"/>
    <cellStyle name="Денежный 2" xfId="2158" hidden="1"/>
    <cellStyle name="Денежный 2" xfId="2157" hidden="1"/>
    <cellStyle name="Денежный 2" xfId="2168" hidden="1"/>
    <cellStyle name="Денежный 2" xfId="2180" hidden="1"/>
    <cellStyle name="Денежный 2" xfId="2184" hidden="1"/>
    <cellStyle name="Денежный 2" xfId="2198" hidden="1"/>
    <cellStyle name="Денежный 2" xfId="2203" hidden="1"/>
    <cellStyle name="Денежный 2" xfId="2202" hidden="1"/>
    <cellStyle name="Денежный 2" xfId="2213" hidden="1"/>
    <cellStyle name="Денежный 2" xfId="2224" hidden="1"/>
    <cellStyle name="Денежный 2" xfId="2228" hidden="1"/>
    <cellStyle name="Денежный 2" xfId="2242" hidden="1"/>
    <cellStyle name="Денежный 2" xfId="2247" hidden="1"/>
    <cellStyle name="Денежный 2" xfId="2246" hidden="1"/>
    <cellStyle name="Денежный 2" xfId="2257" hidden="1"/>
    <cellStyle name="Денежный 2" xfId="2269" hidden="1"/>
    <cellStyle name="Денежный 2" xfId="2273" hidden="1"/>
    <cellStyle name="Денежный 2" xfId="2286" hidden="1"/>
    <cellStyle name="Денежный 2" xfId="2291" hidden="1"/>
    <cellStyle name="Денежный 2" xfId="2290" hidden="1"/>
    <cellStyle name="Денежный 2" xfId="2301" hidden="1"/>
    <cellStyle name="Денежный 2" xfId="1944" hidden="1"/>
    <cellStyle name="Денежный 2" xfId="1545" hidden="1"/>
    <cellStyle name="Денежный 2" xfId="1532" hidden="1"/>
    <cellStyle name="Денежный 2" xfId="1527" hidden="1"/>
    <cellStyle name="Денежный 2" xfId="1528" hidden="1"/>
    <cellStyle name="Денежный 2" xfId="1517" hidden="1"/>
    <cellStyle name="Денежный 2" xfId="1494" hidden="1"/>
    <cellStyle name="Денежный 2" xfId="1489" hidden="1"/>
    <cellStyle name="Денежный 2" xfId="1476" hidden="1"/>
    <cellStyle name="Денежный 2" xfId="1471" hidden="1"/>
    <cellStyle name="Денежный 2" xfId="1472" hidden="1"/>
    <cellStyle name="Денежный 2" xfId="1461" hidden="1"/>
    <cellStyle name="Денежный 2" xfId="1170" hidden="1"/>
    <cellStyle name="Денежный 2" xfId="1146" hidden="1"/>
    <cellStyle name="Денежный 2" xfId="1133" hidden="1"/>
    <cellStyle name="Денежный 2" xfId="1128" hidden="1"/>
    <cellStyle name="Денежный 2" xfId="1129" hidden="1"/>
    <cellStyle name="Денежный 2" xfId="1116" hidden="1"/>
    <cellStyle name="Денежный 2" xfId="1992" hidden="1"/>
    <cellStyle name="Денежный 2" xfId="1323" hidden="1"/>
    <cellStyle name="Денежный 2" xfId="1991" hidden="1"/>
    <cellStyle name="Денежный 2" xfId="2036" hidden="1"/>
    <cellStyle name="Денежный 2" xfId="2308" hidden="1"/>
    <cellStyle name="Денежный 2" xfId="1325" hidden="1"/>
    <cellStyle name="Денежный 2" xfId="2313" hidden="1"/>
    <cellStyle name="Денежный 2" xfId="2317" hidden="1"/>
    <cellStyle name="Денежный 2" xfId="2330" hidden="1"/>
    <cellStyle name="Денежный 2" xfId="2335" hidden="1"/>
    <cellStyle name="Денежный 2" xfId="2334" hidden="1"/>
    <cellStyle name="Денежный 2" xfId="2345" hidden="1"/>
    <cellStyle name="Денежный 2" xfId="2355" hidden="1"/>
    <cellStyle name="Денежный 2" xfId="2359" hidden="1"/>
    <cellStyle name="Денежный 2" xfId="2372" hidden="1"/>
    <cellStyle name="Денежный 2" xfId="2377" hidden="1"/>
    <cellStyle name="Денежный 2" xfId="2376" hidden="1"/>
    <cellStyle name="Денежный 2" xfId="2387" hidden="1"/>
    <cellStyle name="Денежный 2" xfId="2397" hidden="1"/>
    <cellStyle name="Денежный 2" xfId="2401" hidden="1"/>
    <cellStyle name="Денежный 2" xfId="2414" hidden="1"/>
    <cellStyle name="Денежный 2" xfId="2419" hidden="1"/>
    <cellStyle name="Денежный 2" xfId="2418" hidden="1"/>
    <cellStyle name="Денежный 2" xfId="2429" hidden="1"/>
    <cellStyle name="Денежный 2" xfId="2439" hidden="1"/>
    <cellStyle name="Денежный 2" xfId="2443" hidden="1"/>
    <cellStyle name="Денежный 2" xfId="2456" hidden="1"/>
    <cellStyle name="Денежный 2" xfId="2461" hidden="1"/>
    <cellStyle name="Денежный 2" xfId="2460" hidden="1"/>
    <cellStyle name="Денежный 2" xfId="2471" hidden="1"/>
    <cellStyle name="Денежный 2" xfId="2482" hidden="1"/>
    <cellStyle name="Денежный 2" xfId="2486" hidden="1"/>
    <cellStyle name="Денежный 2" xfId="2499" hidden="1"/>
    <cellStyle name="Денежный 2" xfId="2504" hidden="1"/>
    <cellStyle name="Денежный 2" xfId="2503" hidden="1"/>
    <cellStyle name="Денежный 2" xfId="2514" hidden="1"/>
    <cellStyle name="Денежный 2" xfId="2524" hidden="1"/>
    <cellStyle name="Денежный 2" xfId="2528" hidden="1"/>
    <cellStyle name="Денежный 2" xfId="2541" hidden="1"/>
    <cellStyle name="Денежный 2" xfId="2546" hidden="1"/>
    <cellStyle name="Денежный 2" xfId="2545" hidden="1"/>
    <cellStyle name="Денежный 2" xfId="2556" hidden="1"/>
    <cellStyle name="Денежный 2" xfId="2566" hidden="1"/>
    <cellStyle name="Денежный 2" xfId="2570" hidden="1"/>
    <cellStyle name="Денежный 2" xfId="2583" hidden="1"/>
    <cellStyle name="Денежный 2" xfId="2588" hidden="1"/>
    <cellStyle name="Денежный 2" xfId="2587" hidden="1"/>
    <cellStyle name="Денежный 2" xfId="2598" hidden="1"/>
    <cellStyle name="Денежный 2" xfId="2608" hidden="1"/>
    <cellStyle name="Денежный 2" xfId="2612" hidden="1"/>
    <cellStyle name="Денежный 2" xfId="2625" hidden="1"/>
    <cellStyle name="Денежный 2" xfId="2630" hidden="1"/>
    <cellStyle name="Денежный 2" xfId="2629" hidden="1"/>
    <cellStyle name="Денежный 2" xfId="2640" hidden="1"/>
    <cellStyle name="Денежный 2" xfId="2702" hidden="1"/>
    <cellStyle name="Денежный 2" xfId="2716" hidden="1"/>
    <cellStyle name="Денежный 2" xfId="2732" hidden="1"/>
    <cellStyle name="Денежный 2" xfId="2737" hidden="1"/>
    <cellStyle name="Денежный 2" xfId="2736" hidden="1"/>
    <cellStyle name="Денежный 2" xfId="2747" hidden="1"/>
    <cellStyle name="Денежный 2" xfId="2757" hidden="1"/>
    <cellStyle name="Денежный 2" xfId="2761" hidden="1"/>
    <cellStyle name="Денежный 2" xfId="2774" hidden="1"/>
    <cellStyle name="Денежный 2" xfId="2779" hidden="1"/>
    <cellStyle name="Денежный 2" xfId="2778" hidden="1"/>
    <cellStyle name="Денежный 2" xfId="2789" hidden="1"/>
    <cellStyle name="Денежный 2" xfId="2839" hidden="1"/>
    <cellStyle name="Денежный 2" xfId="2899" hidden="1"/>
    <cellStyle name="Денежный 2" xfId="2912" hidden="1"/>
    <cellStyle name="Денежный 2" xfId="2917" hidden="1"/>
    <cellStyle name="Денежный 2" xfId="2916" hidden="1"/>
    <cellStyle name="Денежный 2" xfId="2927" hidden="1"/>
    <cellStyle name="Денежный 2" xfId="2937" hidden="1"/>
    <cellStyle name="Денежный 2" xfId="2941" hidden="1"/>
    <cellStyle name="Денежный 2" xfId="2954" hidden="1"/>
    <cellStyle name="Денежный 2" xfId="2959" hidden="1"/>
    <cellStyle name="Денежный 2" xfId="2958" hidden="1"/>
    <cellStyle name="Денежный 2" xfId="2969" hidden="1"/>
    <cellStyle name="Денежный 2" xfId="3029" hidden="1"/>
    <cellStyle name="Денежный 2" xfId="3068" hidden="1"/>
    <cellStyle name="Денежный 2" xfId="3082" hidden="1"/>
    <cellStyle name="Денежный 2" xfId="3087" hidden="1"/>
    <cellStyle name="Денежный 2" xfId="3086" hidden="1"/>
    <cellStyle name="Денежный 2" xfId="3097" hidden="1"/>
    <cellStyle name="Денежный 2" xfId="3107" hidden="1"/>
    <cellStyle name="Денежный 2" xfId="3111" hidden="1"/>
    <cellStyle name="Денежный 2" xfId="3124" hidden="1"/>
    <cellStyle name="Денежный 2" xfId="3129" hidden="1"/>
    <cellStyle name="Денежный 2" xfId="3128" hidden="1"/>
    <cellStyle name="Денежный 2" xfId="3139" hidden="1"/>
    <cellStyle name="Денежный 2" xfId="3149" hidden="1"/>
    <cellStyle name="Денежный 2" xfId="3153" hidden="1"/>
    <cellStyle name="Денежный 2" xfId="3166" hidden="1"/>
    <cellStyle name="Денежный 2" xfId="3171" hidden="1"/>
    <cellStyle name="Денежный 2" xfId="3170" hidden="1"/>
    <cellStyle name="Денежный 2" xfId="3181" hidden="1"/>
    <cellStyle name="Денежный 2" xfId="3191" hidden="1"/>
    <cellStyle name="Денежный 2" xfId="3195" hidden="1"/>
    <cellStyle name="Денежный 2" xfId="3208" hidden="1"/>
    <cellStyle name="Денежный 2" xfId="3213" hidden="1"/>
    <cellStyle name="Денежный 2" xfId="3212" hidden="1"/>
    <cellStyle name="Денежный 2" xfId="3223" hidden="1"/>
    <cellStyle name="Денежный 2" xfId="3234" hidden="1"/>
    <cellStyle name="Денежный 2" xfId="3238" hidden="1"/>
    <cellStyle name="Денежный 2" xfId="3251" hidden="1"/>
    <cellStyle name="Денежный 2" xfId="3256" hidden="1"/>
    <cellStyle name="Денежный 2" xfId="3255" hidden="1"/>
    <cellStyle name="Денежный 2" xfId="3266" hidden="1"/>
    <cellStyle name="Денежный 2" xfId="3276" hidden="1"/>
    <cellStyle name="Денежный 2" xfId="3280" hidden="1"/>
    <cellStyle name="Денежный 2" xfId="3293" hidden="1"/>
    <cellStyle name="Денежный 2" xfId="3298" hidden="1"/>
    <cellStyle name="Денежный 2" xfId="3297" hidden="1"/>
    <cellStyle name="Денежный 2" xfId="3308" hidden="1"/>
    <cellStyle name="Денежный 2" xfId="3318" hidden="1"/>
    <cellStyle name="Денежный 2" xfId="3322" hidden="1"/>
    <cellStyle name="Денежный 2" xfId="3335" hidden="1"/>
    <cellStyle name="Денежный 2" xfId="3340" hidden="1"/>
    <cellStyle name="Денежный 2" xfId="3339" hidden="1"/>
    <cellStyle name="Денежный 2" xfId="3350" hidden="1"/>
    <cellStyle name="Денежный 2" xfId="3360" hidden="1"/>
    <cellStyle name="Денежный 2" xfId="3364" hidden="1"/>
    <cellStyle name="Денежный 2" xfId="3377" hidden="1"/>
    <cellStyle name="Денежный 2" xfId="3382" hidden="1"/>
    <cellStyle name="Денежный 2" xfId="3381" hidden="1"/>
    <cellStyle name="Денежный 2" xfId="3392" hidden="1"/>
    <cellStyle name="Денежный 2" xfId="3019" hidden="1"/>
    <cellStyle name="Денежный 2" xfId="2898" hidden="1"/>
    <cellStyle name="Денежный 2" xfId="2879" hidden="1"/>
    <cellStyle name="Денежный 2" xfId="2874" hidden="1"/>
    <cellStyle name="Денежный 2" xfId="2875" hidden="1"/>
    <cellStyle name="Денежный 2" xfId="2864" hidden="1"/>
    <cellStyle name="Денежный 2" xfId="2848" hidden="1"/>
    <cellStyle name="Денежный 2" xfId="2843" hidden="1"/>
    <cellStyle name="Денежный 2" xfId="2823" hidden="1"/>
    <cellStyle name="Денежный 2" xfId="2818" hidden="1"/>
    <cellStyle name="Денежный 2" xfId="2819" hidden="1"/>
    <cellStyle name="Денежный 2" xfId="2808" hidden="1"/>
    <cellStyle name="Денежный 2" xfId="2709" hidden="1"/>
    <cellStyle name="Денежный 2" xfId="2670" hidden="1"/>
    <cellStyle name="Денежный 2" xfId="2654" hidden="1"/>
    <cellStyle name="Денежный 2" xfId="2649" hidden="1"/>
    <cellStyle name="Денежный 2" xfId="2650" hidden="1"/>
    <cellStyle name="Денежный 2" xfId="1166" hidden="1"/>
    <cellStyle name="Денежный 2" xfId="1266" hidden="1"/>
    <cellStyle name="Денежный 2" xfId="3401" hidden="1"/>
    <cellStyle name="Денежный 2" xfId="3415" hidden="1"/>
    <cellStyle name="Денежный 2" xfId="3420" hidden="1"/>
    <cellStyle name="Денежный 2" xfId="3419" hidden="1"/>
    <cellStyle name="Денежный 2" xfId="3430" hidden="1"/>
    <cellStyle name="Денежный 2" xfId="3448" hidden="1"/>
    <cellStyle name="Денежный 2" xfId="3452" hidden="1"/>
    <cellStyle name="Денежный 2" xfId="3466" hidden="1"/>
    <cellStyle name="Денежный 2" xfId="3471" hidden="1"/>
    <cellStyle name="Денежный 2" xfId="3470" hidden="1"/>
    <cellStyle name="Денежный 2" xfId="3481" hidden="1"/>
    <cellStyle name="Денежный 2" xfId="3493" hidden="1"/>
    <cellStyle name="Денежный 2" xfId="3497" hidden="1"/>
    <cellStyle name="Денежный 2" xfId="3511" hidden="1"/>
    <cellStyle name="Денежный 2" xfId="3516" hidden="1"/>
    <cellStyle name="Денежный 2" xfId="3515" hidden="1"/>
    <cellStyle name="Денежный 2" xfId="3526" hidden="1"/>
    <cellStyle name="Денежный 2" xfId="3541" hidden="1"/>
    <cellStyle name="Денежный 2" xfId="3545" hidden="1"/>
    <cellStyle name="Денежный 2" xfId="3559" hidden="1"/>
    <cellStyle name="Денежный 2" xfId="3564" hidden="1"/>
    <cellStyle name="Денежный 2" xfId="3563" hidden="1"/>
    <cellStyle name="Денежный 2" xfId="3574" hidden="1"/>
    <cellStyle name="Денежный 2" xfId="3586" hidden="1"/>
    <cellStyle name="Денежный 2" xfId="3590" hidden="1"/>
    <cellStyle name="Денежный 2" xfId="3604" hidden="1"/>
    <cellStyle name="Денежный 2" xfId="3609" hidden="1"/>
    <cellStyle name="Денежный 2" xfId="3608" hidden="1"/>
    <cellStyle name="Денежный 2" xfId="3619" hidden="1"/>
    <cellStyle name="Денежный 2" xfId="3632" hidden="1"/>
    <cellStyle name="Денежный 2" xfId="3636" hidden="1"/>
    <cellStyle name="Денежный 2" xfId="3650" hidden="1"/>
    <cellStyle name="Денежный 2" xfId="3655" hidden="1"/>
    <cellStyle name="Денежный 2" xfId="3654" hidden="1"/>
    <cellStyle name="Денежный 2" xfId="3665" hidden="1"/>
    <cellStyle name="Денежный 2" xfId="3677" hidden="1"/>
    <cellStyle name="Денежный 2" xfId="3681" hidden="1"/>
    <cellStyle name="Денежный 2" xfId="3695" hidden="1"/>
    <cellStyle name="Денежный 2" xfId="3700" hidden="1"/>
    <cellStyle name="Денежный 2" xfId="3699" hidden="1"/>
    <cellStyle name="Денежный 2" xfId="3710" hidden="1"/>
    <cellStyle name="Денежный 2" xfId="3721" hidden="1"/>
    <cellStyle name="Денежный 2" xfId="3725" hidden="1"/>
    <cellStyle name="Денежный 2" xfId="3739" hidden="1"/>
    <cellStyle name="Денежный 2" xfId="3744" hidden="1"/>
    <cellStyle name="Денежный 2" xfId="3743" hidden="1"/>
    <cellStyle name="Денежный 2" xfId="3754" hidden="1"/>
    <cellStyle name="Денежный 2" xfId="3766" hidden="1"/>
    <cellStyle name="Денежный 2" xfId="3770" hidden="1"/>
    <cellStyle name="Денежный 2" xfId="3783" hidden="1"/>
    <cellStyle name="Денежный 2" xfId="3788" hidden="1"/>
    <cellStyle name="Денежный 2" xfId="3787" hidden="1"/>
    <cellStyle name="Денежный 2" xfId="3798" hidden="1"/>
    <cellStyle name="Денежный 2" xfId="3441" hidden="1"/>
    <cellStyle name="Денежный 2" xfId="3067" hidden="1"/>
    <cellStyle name="Денежный 2" xfId="3054" hidden="1"/>
    <cellStyle name="Денежный 2" xfId="3049" hidden="1"/>
    <cellStyle name="Денежный 2" xfId="3050" hidden="1"/>
    <cellStyle name="Денежный 2" xfId="3039" hidden="1"/>
    <cellStyle name="Денежный 2" xfId="3016" hidden="1"/>
    <cellStyle name="Денежный 2" xfId="3011" hidden="1"/>
    <cellStyle name="Денежный 2" xfId="2998" hidden="1"/>
    <cellStyle name="Денежный 2" xfId="2993" hidden="1"/>
    <cellStyle name="Денежный 2" xfId="2994" hidden="1"/>
    <cellStyle name="Денежный 2" xfId="2983" hidden="1"/>
    <cellStyle name="Денежный 2" xfId="2718" hidden="1"/>
    <cellStyle name="Денежный 2" xfId="2698" hidden="1"/>
    <cellStyle name="Денежный 2" xfId="2685" hidden="1"/>
    <cellStyle name="Денежный 2" xfId="2680" hidden="1"/>
    <cellStyle name="Денежный 2" xfId="2681" hidden="1"/>
    <cellStyle name="Денежный 2" xfId="2668" hidden="1"/>
    <cellStyle name="Денежный 2" xfId="3489" hidden="1"/>
    <cellStyle name="Денежный 2" xfId="2852" hidden="1"/>
    <cellStyle name="Денежный 2" xfId="3488" hidden="1"/>
    <cellStyle name="Денежный 2" xfId="3533" hidden="1"/>
    <cellStyle name="Денежный 2" xfId="3805" hidden="1"/>
    <cellStyle name="Денежный 2" xfId="2854" hidden="1"/>
    <cellStyle name="Денежный 2" xfId="3810" hidden="1"/>
    <cellStyle name="Денежный 2" xfId="3814" hidden="1"/>
    <cellStyle name="Денежный 2" xfId="3827" hidden="1"/>
    <cellStyle name="Денежный 2" xfId="3832" hidden="1"/>
    <cellStyle name="Денежный 2" xfId="3831" hidden="1"/>
    <cellStyle name="Денежный 2" xfId="3842" hidden="1"/>
    <cellStyle name="Денежный 2" xfId="3852" hidden="1"/>
    <cellStyle name="Денежный 2" xfId="3856" hidden="1"/>
    <cellStyle name="Денежный 2" xfId="3869" hidden="1"/>
    <cellStyle name="Денежный 2" xfId="3874" hidden="1"/>
    <cellStyle name="Денежный 2" xfId="3873" hidden="1"/>
    <cellStyle name="Денежный 2" xfId="3884" hidden="1"/>
    <cellStyle name="Денежный 2" xfId="3894" hidden="1"/>
    <cellStyle name="Денежный 2" xfId="3898" hidden="1"/>
    <cellStyle name="Денежный 2" xfId="3911" hidden="1"/>
    <cellStyle name="Денежный 2" xfId="3916" hidden="1"/>
    <cellStyle name="Денежный 2" xfId="3915" hidden="1"/>
    <cellStyle name="Денежный 2" xfId="3926" hidden="1"/>
    <cellStyle name="Денежный 2" xfId="3936" hidden="1"/>
    <cellStyle name="Денежный 2" xfId="3940" hidden="1"/>
    <cellStyle name="Денежный 2" xfId="3953" hidden="1"/>
    <cellStyle name="Денежный 2" xfId="3958" hidden="1"/>
    <cellStyle name="Денежный 2" xfId="3957" hidden="1"/>
    <cellStyle name="Денежный 2" xfId="3968" hidden="1"/>
    <cellStyle name="Денежный 2" xfId="3979" hidden="1"/>
    <cellStyle name="Денежный 2" xfId="3983" hidden="1"/>
    <cellStyle name="Денежный 2" xfId="3996" hidden="1"/>
    <cellStyle name="Денежный 2" xfId="4001" hidden="1"/>
    <cellStyle name="Денежный 2" xfId="4000" hidden="1"/>
    <cellStyle name="Денежный 2" xfId="4011" hidden="1"/>
    <cellStyle name="Денежный 2" xfId="4021" hidden="1"/>
    <cellStyle name="Денежный 2" xfId="4025" hidden="1"/>
    <cellStyle name="Денежный 2" xfId="4038" hidden="1"/>
    <cellStyle name="Денежный 2" xfId="4043" hidden="1"/>
    <cellStyle name="Денежный 2" xfId="4042" hidden="1"/>
    <cellStyle name="Денежный 2" xfId="4053" hidden="1"/>
    <cellStyle name="Денежный 2" xfId="4063" hidden="1"/>
    <cellStyle name="Денежный 2" xfId="4067" hidden="1"/>
    <cellStyle name="Денежный 2" xfId="4080" hidden="1"/>
    <cellStyle name="Денежный 2" xfId="4085" hidden="1"/>
    <cellStyle name="Денежный 2" xfId="4084" hidden="1"/>
    <cellStyle name="Денежный 2" xfId="4095" hidden="1"/>
    <cellStyle name="Денежный 2" xfId="4105" hidden="1"/>
    <cellStyle name="Денежный 2" xfId="4109" hidden="1"/>
    <cellStyle name="Денежный 2" xfId="4122" hidden="1"/>
    <cellStyle name="Денежный 2" xfId="4127" hidden="1"/>
    <cellStyle name="Денежный 2" xfId="4126" hidden="1"/>
    <cellStyle name="Денежный 2" xfId="4137" hidden="1"/>
    <cellStyle name="Денежный 2" xfId="4230" hidden="1"/>
    <cellStyle name="Денежный 2" xfId="4235" hidden="1"/>
    <cellStyle name="Денежный 2" xfId="4252" hidden="1"/>
    <cellStyle name="Денежный 2" xfId="4257" hidden="1"/>
    <cellStyle name="Денежный 2" xfId="4256" hidden="1"/>
    <cellStyle name="Денежный 2" xfId="4267" hidden="1"/>
    <cellStyle name="Денежный 2" xfId="4280" hidden="1"/>
    <cellStyle name="Денежный 2" xfId="4284" hidden="1"/>
    <cellStyle name="Денежный 2" xfId="4298" hidden="1"/>
    <cellStyle name="Денежный 2" xfId="4303" hidden="1"/>
    <cellStyle name="Денежный 2" xfId="4302" hidden="1"/>
    <cellStyle name="Денежный 2" xfId="4313" hidden="1"/>
    <cellStyle name="Денежный 2" xfId="4326" hidden="1"/>
    <cellStyle name="Денежный 2" xfId="4330" hidden="1"/>
    <cellStyle name="Денежный 2" xfId="4344" hidden="1"/>
    <cellStyle name="Денежный 2" xfId="4349" hidden="1"/>
    <cellStyle name="Денежный 2" xfId="4348" hidden="1"/>
    <cellStyle name="Денежный 2" xfId="4359" hidden="1"/>
    <cellStyle name="Денежный 2" xfId="4371" hidden="1"/>
    <cellStyle name="Денежный 2" xfId="4375" hidden="1"/>
    <cellStyle name="Денежный 2" xfId="4389" hidden="1"/>
    <cellStyle name="Денежный 2" xfId="4394" hidden="1"/>
    <cellStyle name="Денежный 2" xfId="4393" hidden="1"/>
    <cellStyle name="Денежный 2" xfId="4404" hidden="1"/>
    <cellStyle name="Денежный 2" xfId="4416" hidden="1"/>
    <cellStyle name="Денежный 2" xfId="4420" hidden="1"/>
    <cellStyle name="Денежный 2" xfId="4434" hidden="1"/>
    <cellStyle name="Денежный 2" xfId="4439" hidden="1"/>
    <cellStyle name="Денежный 2" xfId="4438" hidden="1"/>
    <cellStyle name="Денежный 2" xfId="4449" hidden="1"/>
    <cellStyle name="Денежный 2" xfId="4461" hidden="1"/>
    <cellStyle name="Денежный 2" xfId="4465" hidden="1"/>
    <cellStyle name="Денежный 2" xfId="4479" hidden="1"/>
    <cellStyle name="Денежный 2" xfId="4484" hidden="1"/>
    <cellStyle name="Денежный 2" xfId="4483" hidden="1"/>
    <cellStyle name="Денежный 2" xfId="4494" hidden="1"/>
    <cellStyle name="Денежный 2" xfId="4508" hidden="1"/>
    <cellStyle name="Денежный 2" xfId="4512" hidden="1"/>
    <cellStyle name="Денежный 2" xfId="4526" hidden="1"/>
    <cellStyle name="Денежный 2" xfId="4531" hidden="1"/>
    <cellStyle name="Денежный 2" xfId="4530" hidden="1"/>
    <cellStyle name="Денежный 2" xfId="4541" hidden="1"/>
    <cellStyle name="Денежный 2" xfId="4553" hidden="1"/>
    <cellStyle name="Денежный 2" xfId="4557" hidden="1"/>
    <cellStyle name="Денежный 2" xfId="4571" hidden="1"/>
    <cellStyle name="Денежный 2" xfId="4576" hidden="1"/>
    <cellStyle name="Денежный 2" xfId="4575" hidden="1"/>
    <cellStyle name="Денежный 2" xfId="4586" hidden="1"/>
    <cellStyle name="Денежный 2" xfId="4599" hidden="1"/>
    <cellStyle name="Денежный 2" xfId="4603" hidden="1"/>
    <cellStyle name="Денежный 2" xfId="4617" hidden="1"/>
    <cellStyle name="Денежный 2" xfId="4622" hidden="1"/>
    <cellStyle name="Денежный 2" xfId="4621" hidden="1"/>
    <cellStyle name="Денежный 2" xfId="4632" hidden="1"/>
    <cellStyle name="Денежный 2" xfId="4644" hidden="1"/>
    <cellStyle name="Денежный 2" xfId="4648" hidden="1"/>
    <cellStyle name="Денежный 2" xfId="4662" hidden="1"/>
    <cellStyle name="Денежный 2" xfId="4667" hidden="1"/>
    <cellStyle name="Денежный 2" xfId="4666" hidden="1"/>
    <cellStyle name="Денежный 2" xfId="4677" hidden="1"/>
    <cellStyle name="Денежный 2" xfId="4689" hidden="1"/>
    <cellStyle name="Денежный 2" xfId="4693" hidden="1"/>
    <cellStyle name="Денежный 2" xfId="4707" hidden="1"/>
    <cellStyle name="Денежный 2" xfId="4712" hidden="1"/>
    <cellStyle name="Денежный 2" xfId="4711" hidden="1"/>
    <cellStyle name="Денежный 2" xfId="4722" hidden="1"/>
    <cellStyle name="Денежный 2" xfId="4734" hidden="1"/>
    <cellStyle name="Денежный 2" xfId="4738" hidden="1"/>
    <cellStyle name="Денежный 2" xfId="4752" hidden="1"/>
    <cellStyle name="Денежный 2" xfId="4757" hidden="1"/>
    <cellStyle name="Денежный 2" xfId="4756" hidden="1"/>
    <cellStyle name="Денежный 2" xfId="4767" hidden="1"/>
    <cellStyle name="Денежный 2" xfId="4856" hidden="1"/>
    <cellStyle name="Денежный 2" xfId="4874" hidden="1"/>
    <cellStyle name="Денежный 2" xfId="4900" hidden="1"/>
    <cellStyle name="Денежный 2" xfId="4905" hidden="1"/>
    <cellStyle name="Денежный 2" xfId="4904" hidden="1"/>
    <cellStyle name="Денежный 2" xfId="4915" hidden="1"/>
    <cellStyle name="Денежный 2" xfId="4930" hidden="1"/>
    <cellStyle name="Денежный 2" xfId="4934" hidden="1"/>
    <cellStyle name="Денежный 2" xfId="4948" hidden="1"/>
    <cellStyle name="Денежный 2" xfId="4953" hidden="1"/>
    <cellStyle name="Денежный 2" xfId="4952" hidden="1"/>
    <cellStyle name="Денежный 2" xfId="4963" hidden="1"/>
    <cellStyle name="Денежный 2" xfId="5016" hidden="1"/>
    <cellStyle name="Денежный 2" xfId="5076" hidden="1"/>
    <cellStyle name="Денежный 2" xfId="5090" hidden="1"/>
    <cellStyle name="Денежный 2" xfId="5095" hidden="1"/>
    <cellStyle name="Денежный 2" xfId="5094" hidden="1"/>
    <cellStyle name="Денежный 2" xfId="5105" hidden="1"/>
    <cellStyle name="Денежный 2" xfId="5117" hidden="1"/>
    <cellStyle name="Денежный 2" xfId="5121" hidden="1"/>
    <cellStyle name="Денежный 2" xfId="5135" hidden="1"/>
    <cellStyle name="Денежный 2" xfId="5140" hidden="1"/>
    <cellStyle name="Денежный 2" xfId="5139" hidden="1"/>
    <cellStyle name="Денежный 2" xfId="5150" hidden="1"/>
    <cellStyle name="Денежный 2" xfId="5213" hidden="1"/>
    <cellStyle name="Денежный 2" xfId="5252" hidden="1"/>
    <cellStyle name="Денежный 2" xfId="5267" hidden="1"/>
    <cellStyle name="Денежный 2" xfId="5272" hidden="1"/>
    <cellStyle name="Денежный 2" xfId="5271" hidden="1"/>
    <cellStyle name="Денежный 2" xfId="5282" hidden="1"/>
    <cellStyle name="Денежный 2" xfId="5294" hidden="1"/>
    <cellStyle name="Денежный 2" xfId="5298" hidden="1"/>
    <cellStyle name="Денежный 2" xfId="5312" hidden="1"/>
    <cellStyle name="Денежный 2" xfId="5317" hidden="1"/>
    <cellStyle name="Денежный 2" xfId="5316" hidden="1"/>
    <cellStyle name="Денежный 2" xfId="5327" hidden="1"/>
    <cellStyle name="Денежный 2" xfId="5340" hidden="1"/>
    <cellStyle name="Денежный 2" xfId="5344" hidden="1"/>
    <cellStyle name="Денежный 2" xfId="5358" hidden="1"/>
    <cellStyle name="Денежный 2" xfId="5363" hidden="1"/>
    <cellStyle name="Денежный 2" xfId="5362" hidden="1"/>
    <cellStyle name="Денежный 2" xfId="5373" hidden="1"/>
    <cellStyle name="Денежный 2" xfId="5385" hidden="1"/>
    <cellStyle name="Денежный 2" xfId="5389" hidden="1"/>
    <cellStyle name="Денежный 2" xfId="5403" hidden="1"/>
    <cellStyle name="Денежный 2" xfId="5408" hidden="1"/>
    <cellStyle name="Денежный 2" xfId="5407" hidden="1"/>
    <cellStyle name="Денежный 2" xfId="5418" hidden="1"/>
    <cellStyle name="Денежный 2" xfId="5431" hidden="1"/>
    <cellStyle name="Денежный 2" xfId="5435" hidden="1"/>
    <cellStyle name="Денежный 2" xfId="5449" hidden="1"/>
    <cellStyle name="Денежный 2" xfId="5454" hidden="1"/>
    <cellStyle name="Денежный 2" xfId="5453" hidden="1"/>
    <cellStyle name="Денежный 2" xfId="5464" hidden="1"/>
    <cellStyle name="Денежный 2" xfId="5476" hidden="1"/>
    <cellStyle name="Денежный 2" xfId="5480" hidden="1"/>
    <cellStyle name="Денежный 2" xfId="5494" hidden="1"/>
    <cellStyle name="Денежный 2" xfId="5499" hidden="1"/>
    <cellStyle name="Денежный 2" xfId="5498" hidden="1"/>
    <cellStyle name="Денежный 2" xfId="5509" hidden="1"/>
    <cellStyle name="Денежный 2" xfId="5521" hidden="1"/>
    <cellStyle name="Денежный 2" xfId="5525" hidden="1"/>
    <cellStyle name="Денежный 2" xfId="5539" hidden="1"/>
    <cellStyle name="Денежный 2" xfId="5544" hidden="1"/>
    <cellStyle name="Денежный 2" xfId="5543" hidden="1"/>
    <cellStyle name="Денежный 2" xfId="5554" hidden="1"/>
    <cellStyle name="Денежный 2" xfId="5566" hidden="1"/>
    <cellStyle name="Денежный 2" xfId="5570" hidden="1"/>
    <cellStyle name="Денежный 2" xfId="5584" hidden="1"/>
    <cellStyle name="Денежный 2" xfId="5589" hidden="1"/>
    <cellStyle name="Денежный 2" xfId="5588" hidden="1"/>
    <cellStyle name="Денежный 2" xfId="5599" hidden="1"/>
    <cellStyle name="Денежный 2" xfId="5203" hidden="1"/>
    <cellStyle name="Денежный 2" xfId="5075" hidden="1"/>
    <cellStyle name="Денежный 2" xfId="5056" hidden="1"/>
    <cellStyle name="Денежный 2" xfId="5051" hidden="1"/>
    <cellStyle name="Денежный 2" xfId="5052" hidden="1"/>
    <cellStyle name="Денежный 2" xfId="5041" hidden="1"/>
    <cellStyle name="Денежный 2" xfId="5025" hidden="1"/>
    <cellStyle name="Денежный 2" xfId="5020" hidden="1"/>
    <cellStyle name="Денежный 2" xfId="5000" hidden="1"/>
    <cellStyle name="Денежный 2" xfId="4995" hidden="1"/>
    <cellStyle name="Денежный 2" xfId="4996" hidden="1"/>
    <cellStyle name="Денежный 2" xfId="4985" hidden="1"/>
    <cellStyle name="Денежный 2" xfId="4863" hidden="1"/>
    <cellStyle name="Денежный 2" xfId="4824" hidden="1"/>
    <cellStyle name="Денежный 2" xfId="4808" hidden="1"/>
    <cellStyle name="Денежный 2" xfId="4803" hidden="1"/>
    <cellStyle name="Денежный 2" xfId="4804" hidden="1"/>
    <cellStyle name="Денежный 2" xfId="4793" hidden="1"/>
    <cellStyle name="Денежный 2" xfId="4778" hidden="1"/>
    <cellStyle name="Денежный 2" xfId="5610" hidden="1"/>
    <cellStyle name="Денежный 2" xfId="5624" hidden="1"/>
    <cellStyle name="Денежный 2" xfId="5629" hidden="1"/>
    <cellStyle name="Денежный 2" xfId="5628" hidden="1"/>
    <cellStyle name="Денежный 2" xfId="5639" hidden="1"/>
    <cellStyle name="Денежный 2" xfId="5657" hidden="1"/>
    <cellStyle name="Денежный 2" xfId="5661" hidden="1"/>
    <cellStyle name="Денежный 2" xfId="5675" hidden="1"/>
    <cellStyle name="Денежный 2" xfId="5680" hidden="1"/>
    <cellStyle name="Денежный 2" xfId="5679" hidden="1"/>
    <cellStyle name="Денежный 2" xfId="5690" hidden="1"/>
    <cellStyle name="Денежный 2" xfId="5702" hidden="1"/>
    <cellStyle name="Денежный 2" xfId="5706" hidden="1"/>
    <cellStyle name="Денежный 2" xfId="5720" hidden="1"/>
    <cellStyle name="Денежный 2" xfId="5725" hidden="1"/>
    <cellStyle name="Денежный 2" xfId="5724" hidden="1"/>
    <cellStyle name="Денежный 2" xfId="5735" hidden="1"/>
    <cellStyle name="Денежный 2" xfId="5750" hidden="1"/>
    <cellStyle name="Денежный 2" xfId="5754" hidden="1"/>
    <cellStyle name="Денежный 2" xfId="5768" hidden="1"/>
    <cellStyle name="Денежный 2" xfId="5773" hidden="1"/>
    <cellStyle name="Денежный 2" xfId="5772" hidden="1"/>
    <cellStyle name="Денежный 2" xfId="5783" hidden="1"/>
    <cellStyle name="Денежный 2" xfId="5795" hidden="1"/>
    <cellStyle name="Денежный 2" xfId="5799" hidden="1"/>
    <cellStyle name="Денежный 2" xfId="5813" hidden="1"/>
    <cellStyle name="Денежный 2" xfId="5818" hidden="1"/>
    <cellStyle name="Денежный 2" xfId="5817" hidden="1"/>
    <cellStyle name="Денежный 2" xfId="5828" hidden="1"/>
    <cellStyle name="Денежный 2" xfId="5841" hidden="1"/>
    <cellStyle name="Денежный 2" xfId="5845" hidden="1"/>
    <cellStyle name="Денежный 2" xfId="5859" hidden="1"/>
    <cellStyle name="Денежный 2" xfId="5864" hidden="1"/>
    <cellStyle name="Денежный 2" xfId="5863" hidden="1"/>
    <cellStyle name="Денежный 2" xfId="5874" hidden="1"/>
    <cellStyle name="Денежный 2" xfId="5886" hidden="1"/>
    <cellStyle name="Денежный 2" xfId="5890" hidden="1"/>
    <cellStyle name="Денежный 2" xfId="5904" hidden="1"/>
    <cellStyle name="Денежный 2" xfId="5909" hidden="1"/>
    <cellStyle name="Денежный 2" xfId="5908" hidden="1"/>
    <cellStyle name="Денежный 2" xfId="5919" hidden="1"/>
    <cellStyle name="Денежный 2" xfId="5930" hidden="1"/>
    <cellStyle name="Денежный 2" xfId="5934" hidden="1"/>
    <cellStyle name="Денежный 2" xfId="5948" hidden="1"/>
    <cellStyle name="Денежный 2" xfId="5953" hidden="1"/>
    <cellStyle name="Денежный 2" xfId="5952" hidden="1"/>
    <cellStyle name="Денежный 2" xfId="5963" hidden="1"/>
    <cellStyle name="Денежный 2" xfId="5975" hidden="1"/>
    <cellStyle name="Денежный 2" xfId="5979" hidden="1"/>
    <cellStyle name="Денежный 2" xfId="5992" hidden="1"/>
    <cellStyle name="Денежный 2" xfId="5997" hidden="1"/>
    <cellStyle name="Денежный 2" xfId="5996" hidden="1"/>
    <cellStyle name="Денежный 2" xfId="6007" hidden="1"/>
    <cellStyle name="Денежный 2" xfId="5650" hidden="1"/>
    <cellStyle name="Денежный 2" xfId="5251" hidden="1"/>
    <cellStyle name="Денежный 2" xfId="5238" hidden="1"/>
    <cellStyle name="Денежный 2" xfId="5233" hidden="1"/>
    <cellStyle name="Денежный 2" xfId="5234" hidden="1"/>
    <cellStyle name="Денежный 2" xfId="5223" hidden="1"/>
    <cellStyle name="Денежный 2" xfId="5200" hidden="1"/>
    <cellStyle name="Денежный 2" xfId="5195" hidden="1"/>
    <cellStyle name="Денежный 2" xfId="5182" hidden="1"/>
    <cellStyle name="Денежный 2" xfId="5177" hidden="1"/>
    <cellStyle name="Денежный 2" xfId="5178" hidden="1"/>
    <cellStyle name="Денежный 2" xfId="5167" hidden="1"/>
    <cellStyle name="Денежный 2" xfId="4876" hidden="1"/>
    <cellStyle name="Денежный 2" xfId="4852" hidden="1"/>
    <cellStyle name="Денежный 2" xfId="4839" hidden="1"/>
    <cellStyle name="Денежный 2" xfId="4834" hidden="1"/>
    <cellStyle name="Денежный 2" xfId="4835" hidden="1"/>
    <cellStyle name="Денежный 2" xfId="4822" hidden="1"/>
    <cellStyle name="Денежный 2" xfId="5698" hidden="1"/>
    <cellStyle name="Денежный 2" xfId="5029" hidden="1"/>
    <cellStyle name="Денежный 2" xfId="5697" hidden="1"/>
    <cellStyle name="Денежный 2" xfId="5742" hidden="1"/>
    <cellStyle name="Денежный 2" xfId="6014" hidden="1"/>
    <cellStyle name="Денежный 2" xfId="5031" hidden="1"/>
    <cellStyle name="Денежный 2" xfId="6019" hidden="1"/>
    <cellStyle name="Денежный 2" xfId="6023" hidden="1"/>
    <cellStyle name="Денежный 2" xfId="6036" hidden="1"/>
    <cellStyle name="Денежный 2" xfId="6041" hidden="1"/>
    <cellStyle name="Денежный 2" xfId="6040" hidden="1"/>
    <cellStyle name="Денежный 2" xfId="6051" hidden="1"/>
    <cellStyle name="Денежный 2" xfId="6061" hidden="1"/>
    <cellStyle name="Денежный 2" xfId="6065" hidden="1"/>
    <cellStyle name="Денежный 2" xfId="6078" hidden="1"/>
    <cellStyle name="Денежный 2" xfId="6083" hidden="1"/>
    <cellStyle name="Денежный 2" xfId="6082" hidden="1"/>
    <cellStyle name="Денежный 2" xfId="6093" hidden="1"/>
    <cellStyle name="Денежный 2" xfId="6103" hidden="1"/>
    <cellStyle name="Денежный 2" xfId="6107" hidden="1"/>
    <cellStyle name="Денежный 2" xfId="6120" hidden="1"/>
    <cellStyle name="Денежный 2" xfId="6125" hidden="1"/>
    <cellStyle name="Денежный 2" xfId="6124" hidden="1"/>
    <cellStyle name="Денежный 2" xfId="6135" hidden="1"/>
    <cellStyle name="Денежный 2" xfId="6145" hidden="1"/>
    <cellStyle name="Денежный 2" xfId="6149" hidden="1"/>
    <cellStyle name="Денежный 2" xfId="6162" hidden="1"/>
    <cellStyle name="Денежный 2" xfId="6167" hidden="1"/>
    <cellStyle name="Денежный 2" xfId="6166" hidden="1"/>
    <cellStyle name="Денежный 2" xfId="6177" hidden="1"/>
    <cellStyle name="Денежный 2" xfId="6188" hidden="1"/>
    <cellStyle name="Денежный 2" xfId="6192" hidden="1"/>
    <cellStyle name="Денежный 2" xfId="6205" hidden="1"/>
    <cellStyle name="Денежный 2" xfId="6210" hidden="1"/>
    <cellStyle name="Денежный 2" xfId="6209" hidden="1"/>
    <cellStyle name="Денежный 2" xfId="6220" hidden="1"/>
    <cellStyle name="Денежный 2" xfId="6230" hidden="1"/>
    <cellStyle name="Денежный 2" xfId="6234" hidden="1"/>
    <cellStyle name="Денежный 2" xfId="6247" hidden="1"/>
    <cellStyle name="Денежный 2" xfId="6252" hidden="1"/>
    <cellStyle name="Денежный 2" xfId="6251" hidden="1"/>
    <cellStyle name="Денежный 2" xfId="6262" hidden="1"/>
    <cellStyle name="Денежный 2" xfId="6272" hidden="1"/>
    <cellStyle name="Денежный 2" xfId="6276" hidden="1"/>
    <cellStyle name="Денежный 2" xfId="6289" hidden="1"/>
    <cellStyle name="Денежный 2" xfId="6294" hidden="1"/>
    <cellStyle name="Денежный 2" xfId="6293" hidden="1"/>
    <cellStyle name="Денежный 2" xfId="6304" hidden="1"/>
    <cellStyle name="Денежный 2" xfId="6314" hidden="1"/>
    <cellStyle name="Денежный 2" xfId="6318" hidden="1"/>
    <cellStyle name="Денежный 2" xfId="6331" hidden="1"/>
    <cellStyle name="Денежный 2" xfId="6336" hidden="1"/>
    <cellStyle name="Денежный 2" xfId="6335" hidden="1"/>
    <cellStyle name="Денежный 2" xfId="6346" hidden="1"/>
    <cellStyle name="Денежный 2" xfId="6408" hidden="1"/>
    <cellStyle name="Денежный 2" xfId="6422" hidden="1"/>
    <cellStyle name="Денежный 2" xfId="6438" hidden="1"/>
    <cellStyle name="Денежный 2" xfId="6443" hidden="1"/>
    <cellStyle name="Денежный 2" xfId="6442" hidden="1"/>
    <cellStyle name="Денежный 2" xfId="6453" hidden="1"/>
    <cellStyle name="Денежный 2" xfId="6463" hidden="1"/>
    <cellStyle name="Денежный 2" xfId="6467" hidden="1"/>
    <cellStyle name="Денежный 2" xfId="6480" hidden="1"/>
    <cellStyle name="Денежный 2" xfId="6485" hidden="1"/>
    <cellStyle name="Денежный 2" xfId="6484" hidden="1"/>
    <cellStyle name="Денежный 2" xfId="6495" hidden="1"/>
    <cellStyle name="Денежный 2" xfId="6545" hidden="1"/>
    <cellStyle name="Денежный 2" xfId="6605" hidden="1"/>
    <cellStyle name="Денежный 2" xfId="6618" hidden="1"/>
    <cellStyle name="Денежный 2" xfId="6623" hidden="1"/>
    <cellStyle name="Денежный 2" xfId="6622" hidden="1"/>
    <cellStyle name="Денежный 2" xfId="6633" hidden="1"/>
    <cellStyle name="Денежный 2" xfId="6643" hidden="1"/>
    <cellStyle name="Денежный 2" xfId="6647" hidden="1"/>
    <cellStyle name="Денежный 2" xfId="6660" hidden="1"/>
    <cellStyle name="Денежный 2" xfId="6665" hidden="1"/>
    <cellStyle name="Денежный 2" xfId="6664" hidden="1"/>
    <cellStyle name="Денежный 2" xfId="6675" hidden="1"/>
    <cellStyle name="Денежный 2" xfId="6735" hidden="1"/>
    <cellStyle name="Денежный 2" xfId="6774" hidden="1"/>
    <cellStyle name="Денежный 2" xfId="6788" hidden="1"/>
    <cellStyle name="Денежный 2" xfId="6793" hidden="1"/>
    <cellStyle name="Денежный 2" xfId="6792" hidden="1"/>
    <cellStyle name="Денежный 2" xfId="6803" hidden="1"/>
    <cellStyle name="Денежный 2" xfId="6813" hidden="1"/>
    <cellStyle name="Денежный 2" xfId="6817" hidden="1"/>
    <cellStyle name="Денежный 2" xfId="6830" hidden="1"/>
    <cellStyle name="Денежный 2" xfId="6835" hidden="1"/>
    <cellStyle name="Денежный 2" xfId="6834" hidden="1"/>
    <cellStyle name="Денежный 2" xfId="6845" hidden="1"/>
    <cellStyle name="Денежный 2" xfId="6855" hidden="1"/>
    <cellStyle name="Денежный 2" xfId="6859" hidden="1"/>
    <cellStyle name="Денежный 2" xfId="6872" hidden="1"/>
    <cellStyle name="Денежный 2" xfId="6877" hidden="1"/>
    <cellStyle name="Денежный 2" xfId="6876" hidden="1"/>
    <cellStyle name="Денежный 2" xfId="6887" hidden="1"/>
    <cellStyle name="Денежный 2" xfId="6897" hidden="1"/>
    <cellStyle name="Денежный 2" xfId="6901" hidden="1"/>
    <cellStyle name="Денежный 2" xfId="6914" hidden="1"/>
    <cellStyle name="Денежный 2" xfId="6919" hidden="1"/>
    <cellStyle name="Денежный 2" xfId="6918" hidden="1"/>
    <cellStyle name="Денежный 2" xfId="6929" hidden="1"/>
    <cellStyle name="Денежный 2" xfId="6940" hidden="1"/>
    <cellStyle name="Денежный 2" xfId="6944" hidden="1"/>
    <cellStyle name="Денежный 2" xfId="6957" hidden="1"/>
    <cellStyle name="Денежный 2" xfId="6962" hidden="1"/>
    <cellStyle name="Денежный 2" xfId="6961" hidden="1"/>
    <cellStyle name="Денежный 2" xfId="6972" hidden="1"/>
    <cellStyle name="Денежный 2" xfId="6982" hidden="1"/>
    <cellStyle name="Денежный 2" xfId="6986" hidden="1"/>
    <cellStyle name="Денежный 2" xfId="6999" hidden="1"/>
    <cellStyle name="Денежный 2" xfId="7004" hidden="1"/>
    <cellStyle name="Денежный 2" xfId="7003" hidden="1"/>
    <cellStyle name="Денежный 2" xfId="7014" hidden="1"/>
    <cellStyle name="Денежный 2" xfId="7024" hidden="1"/>
    <cellStyle name="Денежный 2" xfId="7028" hidden="1"/>
    <cellStyle name="Денежный 2" xfId="7041" hidden="1"/>
    <cellStyle name="Денежный 2" xfId="7046" hidden="1"/>
    <cellStyle name="Денежный 2" xfId="7045" hidden="1"/>
    <cellStyle name="Денежный 2" xfId="7056" hidden="1"/>
    <cellStyle name="Денежный 2" xfId="7066" hidden="1"/>
    <cellStyle name="Денежный 2" xfId="7070" hidden="1"/>
    <cellStyle name="Денежный 2" xfId="7083" hidden="1"/>
    <cellStyle name="Денежный 2" xfId="7088" hidden="1"/>
    <cellStyle name="Денежный 2" xfId="7087" hidden="1"/>
    <cellStyle name="Денежный 2" xfId="7098" hidden="1"/>
    <cellStyle name="Денежный 2" xfId="6725" hidden="1"/>
    <cellStyle name="Денежный 2" xfId="6604" hidden="1"/>
    <cellStyle name="Денежный 2" xfId="6585" hidden="1"/>
    <cellStyle name="Денежный 2" xfId="6580" hidden="1"/>
    <cellStyle name="Денежный 2" xfId="6581" hidden="1"/>
    <cellStyle name="Денежный 2" xfId="6570" hidden="1"/>
    <cellStyle name="Денежный 2" xfId="6554" hidden="1"/>
    <cellStyle name="Денежный 2" xfId="6549" hidden="1"/>
    <cellStyle name="Денежный 2" xfId="6529" hidden="1"/>
    <cellStyle name="Денежный 2" xfId="6524" hidden="1"/>
    <cellStyle name="Денежный 2" xfId="6525" hidden="1"/>
    <cellStyle name="Денежный 2" xfId="6514" hidden="1"/>
    <cellStyle name="Денежный 2" xfId="6415" hidden="1"/>
    <cellStyle name="Денежный 2" xfId="6376" hidden="1"/>
    <cellStyle name="Денежный 2" xfId="6360" hidden="1"/>
    <cellStyle name="Денежный 2" xfId="6355" hidden="1"/>
    <cellStyle name="Денежный 2" xfId="6356" hidden="1"/>
    <cellStyle name="Денежный 2" xfId="4872" hidden="1"/>
    <cellStyle name="Денежный 2" xfId="4972" hidden="1"/>
    <cellStyle name="Денежный 2" xfId="7107" hidden="1"/>
    <cellStyle name="Денежный 2" xfId="7121" hidden="1"/>
    <cellStyle name="Денежный 2" xfId="7126" hidden="1"/>
    <cellStyle name="Денежный 2" xfId="7125" hidden="1"/>
    <cellStyle name="Денежный 2" xfId="7136" hidden="1"/>
    <cellStyle name="Денежный 2" xfId="7154" hidden="1"/>
    <cellStyle name="Денежный 2" xfId="7158" hidden="1"/>
    <cellStyle name="Денежный 2" xfId="7172" hidden="1"/>
    <cellStyle name="Денежный 2" xfId="7177" hidden="1"/>
    <cellStyle name="Денежный 2" xfId="7176" hidden="1"/>
    <cellStyle name="Денежный 2" xfId="7187" hidden="1"/>
    <cellStyle name="Денежный 2" xfId="7199" hidden="1"/>
    <cellStyle name="Денежный 2" xfId="7203" hidden="1"/>
    <cellStyle name="Денежный 2" xfId="7217" hidden="1"/>
    <cellStyle name="Денежный 2" xfId="7222" hidden="1"/>
    <cellStyle name="Денежный 2" xfId="7221" hidden="1"/>
    <cellStyle name="Денежный 2" xfId="7232" hidden="1"/>
    <cellStyle name="Денежный 2" xfId="7247" hidden="1"/>
    <cellStyle name="Денежный 2" xfId="7251" hidden="1"/>
    <cellStyle name="Денежный 2" xfId="7265" hidden="1"/>
    <cellStyle name="Денежный 2" xfId="7270" hidden="1"/>
    <cellStyle name="Денежный 2" xfId="7269" hidden="1"/>
    <cellStyle name="Денежный 2" xfId="7280" hidden="1"/>
    <cellStyle name="Денежный 2" xfId="7292" hidden="1"/>
    <cellStyle name="Денежный 2" xfId="7296" hidden="1"/>
    <cellStyle name="Денежный 2" xfId="7310" hidden="1"/>
    <cellStyle name="Денежный 2" xfId="7315" hidden="1"/>
    <cellStyle name="Денежный 2" xfId="7314" hidden="1"/>
    <cellStyle name="Денежный 2" xfId="7325" hidden="1"/>
    <cellStyle name="Денежный 2" xfId="7338" hidden="1"/>
    <cellStyle name="Денежный 2" xfId="7342" hidden="1"/>
    <cellStyle name="Денежный 2" xfId="7356" hidden="1"/>
    <cellStyle name="Денежный 2" xfId="7361" hidden="1"/>
    <cellStyle name="Денежный 2" xfId="7360" hidden="1"/>
    <cellStyle name="Денежный 2" xfId="7371" hidden="1"/>
    <cellStyle name="Денежный 2" xfId="7383" hidden="1"/>
    <cellStyle name="Денежный 2" xfId="7387" hidden="1"/>
    <cellStyle name="Денежный 2" xfId="7401" hidden="1"/>
    <cellStyle name="Денежный 2" xfId="7406" hidden="1"/>
    <cellStyle name="Денежный 2" xfId="7405" hidden="1"/>
    <cellStyle name="Денежный 2" xfId="7416" hidden="1"/>
    <cellStyle name="Денежный 2" xfId="7427" hidden="1"/>
    <cellStyle name="Денежный 2" xfId="7431" hidden="1"/>
    <cellStyle name="Денежный 2" xfId="7445" hidden="1"/>
    <cellStyle name="Денежный 2" xfId="7450" hidden="1"/>
    <cellStyle name="Денежный 2" xfId="7449" hidden="1"/>
    <cellStyle name="Денежный 2" xfId="7460" hidden="1"/>
    <cellStyle name="Денежный 2" xfId="7472" hidden="1"/>
    <cellStyle name="Денежный 2" xfId="7476" hidden="1"/>
    <cellStyle name="Денежный 2" xfId="7489" hidden="1"/>
    <cellStyle name="Денежный 2" xfId="7494" hidden="1"/>
    <cellStyle name="Денежный 2" xfId="7493" hidden="1"/>
    <cellStyle name="Денежный 2" xfId="7504" hidden="1"/>
    <cellStyle name="Денежный 2" xfId="7147" hidden="1"/>
    <cellStyle name="Денежный 2" xfId="6773" hidden="1"/>
    <cellStyle name="Денежный 2" xfId="6760" hidden="1"/>
    <cellStyle name="Денежный 2" xfId="6755" hidden="1"/>
    <cellStyle name="Денежный 2" xfId="6756" hidden="1"/>
    <cellStyle name="Денежный 2" xfId="6745" hidden="1"/>
    <cellStyle name="Денежный 2" xfId="6722" hidden="1"/>
    <cellStyle name="Денежный 2" xfId="6717" hidden="1"/>
    <cellStyle name="Денежный 2" xfId="6704" hidden="1"/>
    <cellStyle name="Денежный 2" xfId="6699" hidden="1"/>
    <cellStyle name="Денежный 2" xfId="6700" hidden="1"/>
    <cellStyle name="Денежный 2" xfId="6689" hidden="1"/>
    <cellStyle name="Денежный 2" xfId="6424" hidden="1"/>
    <cellStyle name="Денежный 2" xfId="6404" hidden="1"/>
    <cellStyle name="Денежный 2" xfId="6391" hidden="1"/>
    <cellStyle name="Денежный 2" xfId="6386" hidden="1"/>
    <cellStyle name="Денежный 2" xfId="6387" hidden="1"/>
    <cellStyle name="Денежный 2" xfId="6374" hidden="1"/>
    <cellStyle name="Денежный 2" xfId="7195" hidden="1"/>
    <cellStyle name="Денежный 2" xfId="6558" hidden="1"/>
    <cellStyle name="Денежный 2" xfId="7194" hidden="1"/>
    <cellStyle name="Денежный 2" xfId="7239" hidden="1"/>
    <cellStyle name="Денежный 2" xfId="7511" hidden="1"/>
    <cellStyle name="Денежный 2" xfId="6560" hidden="1"/>
    <cellStyle name="Денежный 2" xfId="7516" hidden="1"/>
    <cellStyle name="Денежный 2" xfId="7520" hidden="1"/>
    <cellStyle name="Денежный 2" xfId="7533" hidden="1"/>
    <cellStyle name="Денежный 2" xfId="7538" hidden="1"/>
    <cellStyle name="Денежный 2" xfId="7537" hidden="1"/>
    <cellStyle name="Денежный 2" xfId="7548" hidden="1"/>
    <cellStyle name="Денежный 2" xfId="7558" hidden="1"/>
    <cellStyle name="Денежный 2" xfId="7562" hidden="1"/>
    <cellStyle name="Денежный 2" xfId="7575" hidden="1"/>
    <cellStyle name="Денежный 2" xfId="7580" hidden="1"/>
    <cellStyle name="Денежный 2" xfId="7579" hidden="1"/>
    <cellStyle name="Денежный 2" xfId="7590" hidden="1"/>
    <cellStyle name="Денежный 2" xfId="7600" hidden="1"/>
    <cellStyle name="Денежный 2" xfId="7604" hidden="1"/>
    <cellStyle name="Денежный 2" xfId="7617" hidden="1"/>
    <cellStyle name="Денежный 2" xfId="7622" hidden="1"/>
    <cellStyle name="Денежный 2" xfId="7621" hidden="1"/>
    <cellStyle name="Денежный 2" xfId="7632" hidden="1"/>
    <cellStyle name="Денежный 2" xfId="7642" hidden="1"/>
    <cellStyle name="Денежный 2" xfId="7646" hidden="1"/>
    <cellStyle name="Денежный 2" xfId="7659" hidden="1"/>
    <cellStyle name="Денежный 2" xfId="7664" hidden="1"/>
    <cellStyle name="Денежный 2" xfId="7663" hidden="1"/>
    <cellStyle name="Денежный 2" xfId="7674" hidden="1"/>
    <cellStyle name="Денежный 2" xfId="7685" hidden="1"/>
    <cellStyle name="Денежный 2" xfId="7689" hidden="1"/>
    <cellStyle name="Денежный 2" xfId="7702" hidden="1"/>
    <cellStyle name="Денежный 2" xfId="7707" hidden="1"/>
    <cellStyle name="Денежный 2" xfId="7706" hidden="1"/>
    <cellStyle name="Денежный 2" xfId="7717" hidden="1"/>
    <cellStyle name="Денежный 2" xfId="7727" hidden="1"/>
    <cellStyle name="Денежный 2" xfId="7731" hidden="1"/>
    <cellStyle name="Денежный 2" xfId="7744" hidden="1"/>
    <cellStyle name="Денежный 2" xfId="7749" hidden="1"/>
    <cellStyle name="Денежный 2" xfId="7748" hidden="1"/>
    <cellStyle name="Денежный 2" xfId="7759" hidden="1"/>
    <cellStyle name="Денежный 2" xfId="7769" hidden="1"/>
    <cellStyle name="Денежный 2" xfId="7773" hidden="1"/>
    <cellStyle name="Денежный 2" xfId="7786" hidden="1"/>
    <cellStyle name="Денежный 2" xfId="7791" hidden="1"/>
    <cellStyle name="Денежный 2" xfId="7790" hidden="1"/>
    <cellStyle name="Денежный 2" xfId="7801" hidden="1"/>
    <cellStyle name="Денежный 2" xfId="7811" hidden="1"/>
    <cellStyle name="Денежный 2" xfId="7815" hidden="1"/>
    <cellStyle name="Денежный 2" xfId="7828" hidden="1"/>
    <cellStyle name="Денежный 2" xfId="7833" hidden="1"/>
    <cellStyle name="Денежный 2" xfId="7832" hidden="1"/>
    <cellStyle name="Денежный 2" xfId="7843" hidden="1"/>
    <cellStyle name="Денежный 2" xfId="4275" hidden="1"/>
    <cellStyle name="Денежный 2" xfId="4217" hidden="1"/>
    <cellStyle name="Денежный 2" xfId="4220" hidden="1"/>
    <cellStyle name="Денежный 2" xfId="7857" hidden="1"/>
    <cellStyle name="Денежный 2" xfId="4203" hidden="1"/>
    <cellStyle name="Денежный 2" xfId="7865" hidden="1"/>
    <cellStyle name="Денежный 2" xfId="7874" hidden="1"/>
    <cellStyle name="Денежный 2" xfId="7877" hidden="1"/>
    <cellStyle name="Денежный 2" xfId="7889" hidden="1"/>
    <cellStyle name="Денежный 2" xfId="7893" hidden="1"/>
    <cellStyle name="Денежный 2" xfId="7892" hidden="1"/>
    <cellStyle name="Денежный 2" xfId="7901" hidden="1"/>
    <cellStyle name="Денежный 2" xfId="7911" hidden="1"/>
    <cellStyle name="Денежный 2" xfId="7914" hidden="1"/>
    <cellStyle name="Денежный 2" xfId="7926" hidden="1"/>
    <cellStyle name="Денежный 2" xfId="7930" hidden="1"/>
    <cellStyle name="Денежный 2" xfId="7929" hidden="1"/>
    <cellStyle name="Денежный 2" xfId="7938" hidden="1"/>
    <cellStyle name="Денежный 2" xfId="7947" hidden="1"/>
    <cellStyle name="Денежный 2" xfId="7950" hidden="1"/>
    <cellStyle name="Денежный 2" xfId="7962" hidden="1"/>
    <cellStyle name="Денежный 2" xfId="7966" hidden="1"/>
    <cellStyle name="Денежный 2" xfId="7965" hidden="1"/>
    <cellStyle name="Денежный 2" xfId="7974" hidden="1"/>
    <cellStyle name="Денежный 2" xfId="7983" hidden="1"/>
    <cellStyle name="Денежный 2" xfId="7986" hidden="1"/>
    <cellStyle name="Денежный 2" xfId="7998" hidden="1"/>
    <cellStyle name="Денежный 2" xfId="8002" hidden="1"/>
    <cellStyle name="Денежный 2" xfId="8001" hidden="1"/>
    <cellStyle name="Денежный 2" xfId="8010" hidden="1"/>
    <cellStyle name="Денежный 2" xfId="8019" hidden="1"/>
    <cellStyle name="Денежный 2" xfId="8022" hidden="1"/>
    <cellStyle name="Денежный 2" xfId="8034" hidden="1"/>
    <cellStyle name="Денежный 2" xfId="8038" hidden="1"/>
    <cellStyle name="Денежный 2" xfId="8037" hidden="1"/>
    <cellStyle name="Денежный 2" xfId="8046" hidden="1"/>
    <cellStyle name="Денежный 2" xfId="8055" hidden="1"/>
    <cellStyle name="Денежный 2" xfId="8058" hidden="1"/>
    <cellStyle name="Денежный 2" xfId="8070" hidden="1"/>
    <cellStyle name="Денежный 2" xfId="8074" hidden="1"/>
    <cellStyle name="Денежный 2" xfId="8073" hidden="1"/>
    <cellStyle name="Денежный 2" xfId="8082" hidden="1"/>
    <cellStyle name="Денежный 2" xfId="8091" hidden="1"/>
    <cellStyle name="Денежный 2" xfId="8094" hidden="1"/>
    <cellStyle name="Денежный 2" xfId="8106" hidden="1"/>
    <cellStyle name="Денежный 2" xfId="8110" hidden="1"/>
    <cellStyle name="Денежный 2" xfId="8109" hidden="1"/>
    <cellStyle name="Денежный 2" xfId="8118" hidden="1"/>
    <cellStyle name="Денежный 2" xfId="8128" hidden="1"/>
    <cellStyle name="Денежный 2" xfId="8131" hidden="1"/>
    <cellStyle name="Денежный 2" xfId="8143" hidden="1"/>
    <cellStyle name="Денежный 2" xfId="8147" hidden="1"/>
    <cellStyle name="Денежный 2" xfId="8146" hidden="1"/>
    <cellStyle name="Денежный 2" xfId="8155" hidden="1"/>
    <cellStyle name="Денежный 2" xfId="8164" hidden="1"/>
    <cellStyle name="Денежный 2" xfId="8167" hidden="1"/>
    <cellStyle name="Денежный 2" xfId="8179" hidden="1"/>
    <cellStyle name="Денежный 2" xfId="8183" hidden="1"/>
    <cellStyle name="Денежный 2" xfId="8182" hidden="1"/>
    <cellStyle name="Денежный 2" xfId="8191" hidden="1"/>
    <cellStyle name="Денежный 2" xfId="8200" hidden="1"/>
    <cellStyle name="Денежный 2" xfId="8203" hidden="1"/>
    <cellStyle name="Денежный 2" xfId="8215" hidden="1"/>
    <cellStyle name="Денежный 2" xfId="8219" hidden="1"/>
    <cellStyle name="Денежный 2" xfId="8218" hidden="1"/>
    <cellStyle name="Денежный 2" xfId="8227" hidden="1"/>
    <cellStyle name="Денежный 2" xfId="8236" hidden="1"/>
    <cellStyle name="Денежный 2" xfId="8239" hidden="1"/>
    <cellStyle name="Денежный 2" xfId="8251" hidden="1"/>
    <cellStyle name="Денежный 2" xfId="8255" hidden="1"/>
    <cellStyle name="Денежный 2" xfId="8254" hidden="1"/>
    <cellStyle name="Денежный 2" xfId="8263" hidden="1"/>
    <cellStyle name="Денежный 2" xfId="8338" hidden="1"/>
    <cellStyle name="Денежный 2" xfId="8352" hidden="1"/>
    <cellStyle name="Денежный 2" xfId="8376" hidden="1"/>
    <cellStyle name="Денежный 2" xfId="8380" hidden="1"/>
    <cellStyle name="Денежный 2" xfId="8379" hidden="1"/>
    <cellStyle name="Денежный 2" xfId="8388" hidden="1"/>
    <cellStyle name="Денежный 2" xfId="8400" hidden="1"/>
    <cellStyle name="Денежный 2" xfId="8403" hidden="1"/>
    <cellStyle name="Денежный 2" xfId="8415" hidden="1"/>
    <cellStyle name="Денежный 2" xfId="8419" hidden="1"/>
    <cellStyle name="Денежный 2" xfId="8418" hidden="1"/>
    <cellStyle name="Денежный 2" xfId="8427" hidden="1"/>
    <cellStyle name="Денежный 2" xfId="8472" hidden="1"/>
    <cellStyle name="Денежный 2" xfId="8523" hidden="1"/>
    <cellStyle name="Денежный 2" xfId="8535" hidden="1"/>
    <cellStyle name="Денежный 2" xfId="8539" hidden="1"/>
    <cellStyle name="Денежный 2" xfId="8538" hidden="1"/>
    <cellStyle name="Денежный 2" xfId="8547" hidden="1"/>
    <cellStyle name="Денежный 2" xfId="8556" hidden="1"/>
    <cellStyle name="Денежный 2" xfId="8559" hidden="1"/>
    <cellStyle name="Денежный 2" xfId="8571" hidden="1"/>
    <cellStyle name="Денежный 2" xfId="8575" hidden="1"/>
    <cellStyle name="Денежный 2" xfId="8574" hidden="1"/>
    <cellStyle name="Денежный 2" xfId="8583" hidden="1"/>
    <cellStyle name="Денежный 2" xfId="8636" hidden="1"/>
    <cellStyle name="Денежный 2" xfId="8669" hidden="1"/>
    <cellStyle name="Денежный 2" xfId="8681" hidden="1"/>
    <cellStyle name="Денежный 2" xfId="8685" hidden="1"/>
    <cellStyle name="Денежный 2" xfId="8684" hidden="1"/>
    <cellStyle name="Денежный 2" xfId="8693" hidden="1"/>
    <cellStyle name="Денежный 2" xfId="8702" hidden="1"/>
    <cellStyle name="Денежный 2" xfId="8705" hidden="1"/>
    <cellStyle name="Денежный 2" xfId="8717" hidden="1"/>
    <cellStyle name="Денежный 2" xfId="8721" hidden="1"/>
    <cellStyle name="Денежный 2" xfId="8720" hidden="1"/>
    <cellStyle name="Денежный 2" xfId="8729" hidden="1"/>
    <cellStyle name="Денежный 2" xfId="8738" hidden="1"/>
    <cellStyle name="Денежный 2" xfId="8741" hidden="1"/>
    <cellStyle name="Денежный 2" xfId="8753" hidden="1"/>
    <cellStyle name="Денежный 2" xfId="8757" hidden="1"/>
    <cellStyle name="Денежный 2" xfId="8756" hidden="1"/>
    <cellStyle name="Денежный 2" xfId="8765" hidden="1"/>
    <cellStyle name="Денежный 2" xfId="8774" hidden="1"/>
    <cellStyle name="Денежный 2" xfId="8777" hidden="1"/>
    <cellStyle name="Денежный 2" xfId="8789" hidden="1"/>
    <cellStyle name="Денежный 2" xfId="8793" hidden="1"/>
    <cellStyle name="Денежный 2" xfId="8792" hidden="1"/>
    <cellStyle name="Денежный 2" xfId="8801" hidden="1"/>
    <cellStyle name="Денежный 2" xfId="8811" hidden="1"/>
    <cellStyle name="Денежный 2" xfId="8814" hidden="1"/>
    <cellStyle name="Денежный 2" xfId="8826" hidden="1"/>
    <cellStyle name="Денежный 2" xfId="8830" hidden="1"/>
    <cellStyle name="Денежный 2" xfId="8829" hidden="1"/>
    <cellStyle name="Денежный 2" xfId="8838" hidden="1"/>
    <cellStyle name="Денежный 2" xfId="8847" hidden="1"/>
    <cellStyle name="Денежный 2" xfId="8850" hidden="1"/>
    <cellStyle name="Денежный 2" xfId="8862" hidden="1"/>
    <cellStyle name="Денежный 2" xfId="8866" hidden="1"/>
    <cellStyle name="Денежный 2" xfId="8865" hidden="1"/>
    <cellStyle name="Денежный 2" xfId="8874" hidden="1"/>
    <cellStyle name="Денежный 2" xfId="8883" hidden="1"/>
    <cellStyle name="Денежный 2" xfId="8886" hidden="1"/>
    <cellStyle name="Денежный 2" xfId="8898" hidden="1"/>
    <cellStyle name="Денежный 2" xfId="8902" hidden="1"/>
    <cellStyle name="Денежный 2" xfId="8901" hidden="1"/>
    <cellStyle name="Денежный 2" xfId="8910" hidden="1"/>
    <cellStyle name="Денежный 2" xfId="8919" hidden="1"/>
    <cellStyle name="Денежный 2" xfId="8922" hidden="1"/>
    <cellStyle name="Денежный 2" xfId="8934" hidden="1"/>
    <cellStyle name="Денежный 2" xfId="8938" hidden="1"/>
    <cellStyle name="Денежный 2" xfId="8937" hidden="1"/>
    <cellStyle name="Денежный 2" xfId="8946" hidden="1"/>
    <cellStyle name="Денежный 2" xfId="8626" hidden="1"/>
    <cellStyle name="Денежный 2" xfId="8522" hidden="1"/>
    <cellStyle name="Денежный 2" xfId="8504" hidden="1"/>
    <cellStyle name="Денежный 2" xfId="8500" hidden="1"/>
    <cellStyle name="Денежный 2" xfId="8501" hidden="1"/>
    <cellStyle name="Денежный 2" xfId="8492" hidden="1"/>
    <cellStyle name="Денежный 2" xfId="8479" hidden="1"/>
    <cellStyle name="Денежный 2" xfId="8476" hidden="1"/>
    <cellStyle name="Денежный 2" xfId="8457" hidden="1"/>
    <cellStyle name="Денежный 2" xfId="8453" hidden="1"/>
    <cellStyle name="Денежный 2" xfId="8454" hidden="1"/>
    <cellStyle name="Денежный 2" xfId="8445" hidden="1"/>
    <cellStyle name="Денежный 2" xfId="8343" hidden="1"/>
    <cellStyle name="Денежный 2" xfId="8310" hidden="1"/>
    <cellStyle name="Денежный 2" xfId="8295" hidden="1"/>
    <cellStyle name="Денежный 2" xfId="8291" hidden="1"/>
    <cellStyle name="Денежный 2" xfId="8292" hidden="1"/>
    <cellStyle name="Денежный 2" xfId="8283" hidden="1"/>
    <cellStyle name="Денежный 2" xfId="8270" hidden="1"/>
    <cellStyle name="Денежный 2" xfId="8953" hidden="1"/>
    <cellStyle name="Денежный 2" xfId="8966" hidden="1"/>
    <cellStyle name="Денежный 2" xfId="8970" hidden="1"/>
    <cellStyle name="Денежный 2" xfId="8969" hidden="1"/>
    <cellStyle name="Денежный 2" xfId="8978" hidden="1"/>
    <cellStyle name="Денежный 2" xfId="8993" hidden="1"/>
    <cellStyle name="Денежный 2" xfId="8996" hidden="1"/>
    <cellStyle name="Денежный 2" xfId="9009" hidden="1"/>
    <cellStyle name="Денежный 2" xfId="9013" hidden="1"/>
    <cellStyle name="Денежный 2" xfId="9012" hidden="1"/>
    <cellStyle name="Денежный 2" xfId="9021" hidden="1"/>
    <cellStyle name="Денежный 2" xfId="9032" hidden="1"/>
    <cellStyle name="Денежный 2" xfId="9035" hidden="1"/>
    <cellStyle name="Денежный 2" xfId="9048" hidden="1"/>
    <cellStyle name="Денежный 2" xfId="9052" hidden="1"/>
    <cellStyle name="Денежный 2" xfId="9051" hidden="1"/>
    <cellStyle name="Денежный 2" xfId="9060" hidden="1"/>
    <cellStyle name="Денежный 2" xfId="9073" hidden="1"/>
    <cellStyle name="Денежный 2" xfId="9076" hidden="1"/>
    <cellStyle name="Денежный 2" xfId="9089" hidden="1"/>
    <cellStyle name="Денежный 2" xfId="9093" hidden="1"/>
    <cellStyle name="Денежный 2" xfId="9092" hidden="1"/>
    <cellStyle name="Денежный 2" xfId="9101" hidden="1"/>
    <cellStyle name="Денежный 2" xfId="9112" hidden="1"/>
    <cellStyle name="Денежный 2" xfId="9115" hidden="1"/>
    <cellStyle name="Денежный 2" xfId="9128" hidden="1"/>
    <cellStyle name="Денежный 2" xfId="9132" hidden="1"/>
    <cellStyle name="Денежный 2" xfId="9131" hidden="1"/>
    <cellStyle name="Денежный 2" xfId="9140" hidden="1"/>
    <cellStyle name="Денежный 2" xfId="9151" hidden="1"/>
    <cellStyle name="Денежный 2" xfId="9154" hidden="1"/>
    <cellStyle name="Денежный 2" xfId="9167" hidden="1"/>
    <cellStyle name="Денежный 2" xfId="9171" hidden="1"/>
    <cellStyle name="Денежный 2" xfId="9170" hidden="1"/>
    <cellStyle name="Денежный 2" xfId="9179" hidden="1"/>
    <cellStyle name="Денежный 2" xfId="9190" hidden="1"/>
    <cellStyle name="Денежный 2" xfId="9193" hidden="1"/>
    <cellStyle name="Денежный 2" xfId="9206" hidden="1"/>
    <cellStyle name="Денежный 2" xfId="9210" hidden="1"/>
    <cellStyle name="Денежный 2" xfId="9209" hidden="1"/>
    <cellStyle name="Денежный 2" xfId="9218" hidden="1"/>
    <cellStyle name="Денежный 2" xfId="9228" hidden="1"/>
    <cellStyle name="Денежный 2" xfId="9231" hidden="1"/>
    <cellStyle name="Денежный 2" xfId="9243" hidden="1"/>
    <cellStyle name="Денежный 2" xfId="9247" hidden="1"/>
    <cellStyle name="Денежный 2" xfId="9246" hidden="1"/>
    <cellStyle name="Денежный 2" xfId="9255" hidden="1"/>
    <cellStyle name="Денежный 2" xfId="9266" hidden="1"/>
    <cellStyle name="Денежный 2" xfId="9269" hidden="1"/>
    <cellStyle name="Денежный 2" xfId="9281" hidden="1"/>
    <cellStyle name="Денежный 2" xfId="9285" hidden="1"/>
    <cellStyle name="Денежный 2" xfId="9284" hidden="1"/>
    <cellStyle name="Денежный 2" xfId="9293" hidden="1"/>
    <cellStyle name="Денежный 2" xfId="8986" hidden="1"/>
    <cellStyle name="Денежный 2" xfId="8668" hidden="1"/>
    <cellStyle name="Денежный 2" xfId="8656" hidden="1"/>
    <cellStyle name="Денежный 2" xfId="8652" hidden="1"/>
    <cellStyle name="Денежный 2" xfId="8653" hidden="1"/>
    <cellStyle name="Денежный 2" xfId="8644" hidden="1"/>
    <cellStyle name="Денежный 2" xfId="8623" hidden="1"/>
    <cellStyle name="Денежный 2" xfId="8620" hidden="1"/>
    <cellStyle name="Денежный 2" xfId="8608" hidden="1"/>
    <cellStyle name="Денежный 2" xfId="8604" hidden="1"/>
    <cellStyle name="Денежный 2" xfId="8605" hidden="1"/>
    <cellStyle name="Денежный 2" xfId="8596" hidden="1"/>
    <cellStyle name="Денежный 2" xfId="8354" hidden="1"/>
    <cellStyle name="Денежный 2" xfId="8334" hidden="1"/>
    <cellStyle name="Денежный 2" xfId="8322" hidden="1"/>
    <cellStyle name="Денежный 2" xfId="8318" hidden="1"/>
    <cellStyle name="Денежный 2" xfId="8319" hidden="1"/>
    <cellStyle name="Денежный 2" xfId="8308" hidden="1"/>
    <cellStyle name="Денежный 2" xfId="9028" hidden="1"/>
    <cellStyle name="Денежный 2" xfId="8483" hidden="1"/>
    <cellStyle name="Денежный 2" xfId="9027" hidden="1"/>
    <cellStyle name="Денежный 2" xfId="9066" hidden="1"/>
    <cellStyle name="Денежный 2" xfId="9299" hidden="1"/>
    <cellStyle name="Денежный 2" xfId="8484" hidden="1"/>
    <cellStyle name="Денежный 2" xfId="9304" hidden="1"/>
    <cellStyle name="Денежный 2" xfId="9307" hidden="1"/>
    <cellStyle name="Денежный 2" xfId="9319" hidden="1"/>
    <cellStyle name="Денежный 2" xfId="9323" hidden="1"/>
    <cellStyle name="Денежный 2" xfId="9322" hidden="1"/>
    <cellStyle name="Денежный 2" xfId="9331" hidden="1"/>
    <cellStyle name="Денежный 2" xfId="9340" hidden="1"/>
    <cellStyle name="Денежный 2" xfId="9343" hidden="1"/>
    <cellStyle name="Денежный 2" xfId="9355" hidden="1"/>
    <cellStyle name="Денежный 2" xfId="9359" hidden="1"/>
    <cellStyle name="Денежный 2" xfId="9358" hidden="1"/>
    <cellStyle name="Денежный 2" xfId="9367" hidden="1"/>
    <cellStyle name="Денежный 2" xfId="9376" hidden="1"/>
    <cellStyle name="Денежный 2" xfId="9379" hidden="1"/>
    <cellStyle name="Денежный 2" xfId="9391" hidden="1"/>
    <cellStyle name="Денежный 2" xfId="9395" hidden="1"/>
    <cellStyle name="Денежный 2" xfId="9394" hidden="1"/>
    <cellStyle name="Денежный 2" xfId="9403" hidden="1"/>
    <cellStyle name="Денежный 2" xfId="9412" hidden="1"/>
    <cellStyle name="Денежный 2" xfId="9415" hidden="1"/>
    <cellStyle name="Денежный 2" xfId="9427" hidden="1"/>
    <cellStyle name="Денежный 2" xfId="9431" hidden="1"/>
    <cellStyle name="Денежный 2" xfId="9430" hidden="1"/>
    <cellStyle name="Денежный 2" xfId="9439" hidden="1"/>
    <cellStyle name="Денежный 2" xfId="9449" hidden="1"/>
    <cellStyle name="Денежный 2" xfId="9452" hidden="1"/>
    <cellStyle name="Денежный 2" xfId="9464" hidden="1"/>
    <cellStyle name="Денежный 2" xfId="9468" hidden="1"/>
    <cellStyle name="Денежный 2" xfId="9467" hidden="1"/>
    <cellStyle name="Денежный 2" xfId="9476" hidden="1"/>
    <cellStyle name="Денежный 2" xfId="9485" hidden="1"/>
    <cellStyle name="Денежный 2" xfId="9488" hidden="1"/>
    <cellStyle name="Денежный 2" xfId="9500" hidden="1"/>
    <cellStyle name="Денежный 2" xfId="9504" hidden="1"/>
    <cellStyle name="Денежный 2" xfId="9503" hidden="1"/>
    <cellStyle name="Денежный 2" xfId="9512" hidden="1"/>
    <cellStyle name="Денежный 2" xfId="9521" hidden="1"/>
    <cellStyle name="Денежный 2" xfId="9524" hidden="1"/>
    <cellStyle name="Денежный 2" xfId="9536" hidden="1"/>
    <cellStyle name="Денежный 2" xfId="9540" hidden="1"/>
    <cellStyle name="Денежный 2" xfId="9539" hidden="1"/>
    <cellStyle name="Денежный 2" xfId="9548" hidden="1"/>
    <cellStyle name="Денежный 2" xfId="9557" hidden="1"/>
    <cellStyle name="Денежный 2" xfId="9560" hidden="1"/>
    <cellStyle name="Денежный 2" xfId="9572" hidden="1"/>
    <cellStyle name="Денежный 2" xfId="9576" hidden="1"/>
    <cellStyle name="Денежный 2" xfId="9575" hidden="1"/>
    <cellStyle name="Денежный 2" xfId="9584" hidden="1"/>
    <cellStyle name="Денежный 2" xfId="9638" hidden="1"/>
    <cellStyle name="Денежный 2" xfId="9649" hidden="1"/>
    <cellStyle name="Денежный 2" xfId="9664" hidden="1"/>
    <cellStyle name="Денежный 2" xfId="9668" hidden="1"/>
    <cellStyle name="Денежный 2" xfId="9667" hidden="1"/>
    <cellStyle name="Денежный 2" xfId="9676" hidden="1"/>
    <cellStyle name="Денежный 2" xfId="9685" hidden="1"/>
    <cellStyle name="Денежный 2" xfId="9688" hidden="1"/>
    <cellStyle name="Денежный 2" xfId="9700" hidden="1"/>
    <cellStyle name="Денежный 2" xfId="9704" hidden="1"/>
    <cellStyle name="Денежный 2" xfId="9703" hidden="1"/>
    <cellStyle name="Денежный 2" xfId="9712" hidden="1"/>
    <cellStyle name="Денежный 2" xfId="9756" hidden="1"/>
    <cellStyle name="Денежный 2" xfId="9807" hidden="1"/>
    <cellStyle name="Денежный 2" xfId="9819" hidden="1"/>
    <cellStyle name="Денежный 2" xfId="9823" hidden="1"/>
    <cellStyle name="Денежный 2" xfId="9822" hidden="1"/>
    <cellStyle name="Денежный 2" xfId="9831" hidden="1"/>
    <cellStyle name="Денежный 2" xfId="9840" hidden="1"/>
    <cellStyle name="Денежный 2" xfId="9843" hidden="1"/>
    <cellStyle name="Денежный 2" xfId="9855" hidden="1"/>
    <cellStyle name="Денежный 2" xfId="9859" hidden="1"/>
    <cellStyle name="Денежный 2" xfId="9858" hidden="1"/>
    <cellStyle name="Денежный 2" xfId="9867" hidden="1"/>
    <cellStyle name="Денежный 2" xfId="9919" hidden="1"/>
    <cellStyle name="Денежный 2" xfId="9952" hidden="1"/>
    <cellStyle name="Денежный 2" xfId="9964" hidden="1"/>
    <cellStyle name="Денежный 2" xfId="9968" hidden="1"/>
    <cellStyle name="Денежный 2" xfId="9967" hidden="1"/>
    <cellStyle name="Денежный 2" xfId="9976" hidden="1"/>
    <cellStyle name="Денежный 2" xfId="9985" hidden="1"/>
    <cellStyle name="Денежный 2" xfId="9988" hidden="1"/>
    <cellStyle name="Денежный 2" xfId="10000" hidden="1"/>
    <cellStyle name="Денежный 2" xfId="10004" hidden="1"/>
    <cellStyle name="Денежный 2" xfId="10003" hidden="1"/>
    <cellStyle name="Денежный 2" xfId="10012" hidden="1"/>
    <cellStyle name="Денежный 2" xfId="10021" hidden="1"/>
    <cellStyle name="Денежный 2" xfId="10024" hidden="1"/>
    <cellStyle name="Денежный 2" xfId="10036" hidden="1"/>
    <cellStyle name="Денежный 2" xfId="10040" hidden="1"/>
    <cellStyle name="Денежный 2" xfId="10039" hidden="1"/>
    <cellStyle name="Денежный 2" xfId="10048" hidden="1"/>
    <cellStyle name="Денежный 2" xfId="10057" hidden="1"/>
    <cellStyle name="Денежный 2" xfId="10060" hidden="1"/>
    <cellStyle name="Денежный 2" xfId="10072" hidden="1"/>
    <cellStyle name="Денежный 2" xfId="10076" hidden="1"/>
    <cellStyle name="Денежный 2" xfId="10075" hidden="1"/>
    <cellStyle name="Денежный 2" xfId="10084" hidden="1"/>
    <cellStyle name="Денежный 2" xfId="10094" hidden="1"/>
    <cellStyle name="Денежный 2" xfId="10097" hidden="1"/>
    <cellStyle name="Денежный 2" xfId="10109" hidden="1"/>
    <cellStyle name="Денежный 2" xfId="10113" hidden="1"/>
    <cellStyle name="Денежный 2" xfId="10112" hidden="1"/>
    <cellStyle name="Денежный 2" xfId="10121" hidden="1"/>
    <cellStyle name="Денежный 2" xfId="10130" hidden="1"/>
    <cellStyle name="Денежный 2" xfId="10133" hidden="1"/>
    <cellStyle name="Денежный 2" xfId="10145" hidden="1"/>
    <cellStyle name="Денежный 2" xfId="10149" hidden="1"/>
    <cellStyle name="Денежный 2" xfId="10148" hidden="1"/>
    <cellStyle name="Денежный 2" xfId="10157" hidden="1"/>
    <cellStyle name="Денежный 2" xfId="10166" hidden="1"/>
    <cellStyle name="Денежный 2" xfId="10169" hidden="1"/>
    <cellStyle name="Денежный 2" xfId="10181" hidden="1"/>
    <cellStyle name="Денежный 2" xfId="10185" hidden="1"/>
    <cellStyle name="Денежный 2" xfId="10184" hidden="1"/>
    <cellStyle name="Денежный 2" xfId="10193" hidden="1"/>
    <cellStyle name="Денежный 2" xfId="10202" hidden="1"/>
    <cellStyle name="Денежный 2" xfId="10205" hidden="1"/>
    <cellStyle name="Денежный 2" xfId="10217" hidden="1"/>
    <cellStyle name="Денежный 2" xfId="10221" hidden="1"/>
    <cellStyle name="Денежный 2" xfId="10220" hidden="1"/>
    <cellStyle name="Денежный 2" xfId="10229" hidden="1"/>
    <cellStyle name="Денежный 2" xfId="9909" hidden="1"/>
    <cellStyle name="Денежный 2" xfId="9806" hidden="1"/>
    <cellStyle name="Денежный 2" xfId="9788" hidden="1"/>
    <cellStyle name="Денежный 2" xfId="9784" hidden="1"/>
    <cellStyle name="Денежный 2" xfId="9785" hidden="1"/>
    <cellStyle name="Денежный 2" xfId="9776" hidden="1"/>
    <cellStyle name="Денежный 2" xfId="9763" hidden="1"/>
    <cellStyle name="Денежный 2" xfId="9760" hidden="1"/>
    <cellStyle name="Денежный 2" xfId="9741" hidden="1"/>
    <cellStyle name="Денежный 2" xfId="9737" hidden="1"/>
    <cellStyle name="Денежный 2" xfId="9738" hidden="1"/>
    <cellStyle name="Денежный 2" xfId="9729" hidden="1"/>
    <cellStyle name="Денежный 2" xfId="9643" hidden="1"/>
    <cellStyle name="Денежный 2" xfId="9610" hidden="1"/>
    <cellStyle name="Денежный 2" xfId="9595" hidden="1"/>
    <cellStyle name="Денежный 2" xfId="9591" hidden="1"/>
    <cellStyle name="Денежный 2" xfId="9592" hidden="1"/>
    <cellStyle name="Денежный 2" xfId="8350" hidden="1"/>
    <cellStyle name="Денежный 2" xfId="8433" hidden="1"/>
    <cellStyle name="Денежный 2" xfId="10236" hidden="1"/>
    <cellStyle name="Денежный 2" xfId="10249" hidden="1"/>
    <cellStyle name="Денежный 2" xfId="10253" hidden="1"/>
    <cellStyle name="Денежный 2" xfId="10252" hidden="1"/>
    <cellStyle name="Денежный 2" xfId="10261" hidden="1"/>
    <cellStyle name="Денежный 2" xfId="10276" hidden="1"/>
    <cellStyle name="Денежный 2" xfId="10279" hidden="1"/>
    <cellStyle name="Денежный 2" xfId="10292" hidden="1"/>
    <cellStyle name="Денежный 2" xfId="10296" hidden="1"/>
    <cellStyle name="Денежный 2" xfId="10295" hidden="1"/>
    <cellStyle name="Денежный 2" xfId="10304" hidden="1"/>
    <cellStyle name="Денежный 2" xfId="10315" hidden="1"/>
    <cellStyle name="Денежный 2" xfId="10318" hidden="1"/>
    <cellStyle name="Денежный 2" xfId="10331" hidden="1"/>
    <cellStyle name="Денежный 2" xfId="10335" hidden="1"/>
    <cellStyle name="Денежный 2" xfId="10334" hidden="1"/>
    <cellStyle name="Денежный 2" xfId="10343" hidden="1"/>
    <cellStyle name="Денежный 2" xfId="10356" hidden="1"/>
    <cellStyle name="Денежный 2" xfId="10359" hidden="1"/>
    <cellStyle name="Денежный 2" xfId="10372" hidden="1"/>
    <cellStyle name="Денежный 2" xfId="10376" hidden="1"/>
    <cellStyle name="Денежный 2" xfId="10375" hidden="1"/>
    <cellStyle name="Денежный 2" xfId="10384" hidden="1"/>
    <cellStyle name="Денежный 2" xfId="10395" hidden="1"/>
    <cellStyle name="Денежный 2" xfId="10398" hidden="1"/>
    <cellStyle name="Денежный 2" xfId="10411" hidden="1"/>
    <cellStyle name="Денежный 2" xfId="10415" hidden="1"/>
    <cellStyle name="Денежный 2" xfId="10414" hidden="1"/>
    <cellStyle name="Денежный 2" xfId="10423" hidden="1"/>
    <cellStyle name="Денежный 2" xfId="10434" hidden="1"/>
    <cellStyle name="Денежный 2" xfId="10437" hidden="1"/>
    <cellStyle name="Денежный 2" xfId="10450" hidden="1"/>
    <cellStyle name="Денежный 2" xfId="10454" hidden="1"/>
    <cellStyle name="Денежный 2" xfId="10453" hidden="1"/>
    <cellStyle name="Денежный 2" xfId="10462" hidden="1"/>
    <cellStyle name="Денежный 2" xfId="10473" hidden="1"/>
    <cellStyle name="Денежный 2" xfId="10476" hidden="1"/>
    <cellStyle name="Денежный 2" xfId="10489" hidden="1"/>
    <cellStyle name="Денежный 2" xfId="10493" hidden="1"/>
    <cellStyle name="Денежный 2" xfId="10492" hidden="1"/>
    <cellStyle name="Денежный 2" xfId="10501" hidden="1"/>
    <cellStyle name="Денежный 2" xfId="10511" hidden="1"/>
    <cellStyle name="Денежный 2" xfId="10514" hidden="1"/>
    <cellStyle name="Денежный 2" xfId="10526" hidden="1"/>
    <cellStyle name="Денежный 2" xfId="10530" hidden="1"/>
    <cellStyle name="Денежный 2" xfId="10529" hidden="1"/>
    <cellStyle name="Денежный 2" xfId="10538" hidden="1"/>
    <cellStyle name="Денежный 2" xfId="10549" hidden="1"/>
    <cellStyle name="Денежный 2" xfId="10552" hidden="1"/>
    <cellStyle name="Денежный 2" xfId="10564" hidden="1"/>
    <cellStyle name="Денежный 2" xfId="10568" hidden="1"/>
    <cellStyle name="Денежный 2" xfId="10567" hidden="1"/>
    <cellStyle name="Денежный 2" xfId="10576" hidden="1"/>
    <cellStyle name="Денежный 2" xfId="10269" hidden="1"/>
    <cellStyle name="Денежный 2" xfId="9951" hidden="1"/>
    <cellStyle name="Денежный 2" xfId="9939" hidden="1"/>
    <cellStyle name="Денежный 2" xfId="9935" hidden="1"/>
    <cellStyle name="Денежный 2" xfId="9936" hidden="1"/>
    <cellStyle name="Денежный 2" xfId="9927" hidden="1"/>
    <cellStyle name="Денежный 2" xfId="9906" hidden="1"/>
    <cellStyle name="Денежный 2" xfId="9903" hidden="1"/>
    <cellStyle name="Денежный 2" xfId="9891" hidden="1"/>
    <cellStyle name="Денежный 2" xfId="9887" hidden="1"/>
    <cellStyle name="Денежный 2" xfId="9888" hidden="1"/>
    <cellStyle name="Денежный 2" xfId="9879" hidden="1"/>
    <cellStyle name="Денежный 2" xfId="9651" hidden="1"/>
    <cellStyle name="Денежный 2" xfId="9634" hidden="1"/>
    <cellStyle name="Денежный 2" xfId="9622" hidden="1"/>
    <cellStyle name="Денежный 2" xfId="9618" hidden="1"/>
    <cellStyle name="Денежный 2" xfId="9619" hidden="1"/>
    <cellStyle name="Денежный 2" xfId="9608" hidden="1"/>
    <cellStyle name="Денежный 2" xfId="10311" hidden="1"/>
    <cellStyle name="Денежный 2" xfId="9767" hidden="1"/>
    <cellStyle name="Денежный 2" xfId="10310" hidden="1"/>
    <cellStyle name="Денежный 2" xfId="10349" hidden="1"/>
    <cellStyle name="Денежный 2" xfId="10582" hidden="1"/>
    <cellStyle name="Денежный 2" xfId="9768" hidden="1"/>
    <cellStyle name="Денежный 2" xfId="10587" hidden="1"/>
    <cellStyle name="Денежный 2" xfId="10590" hidden="1"/>
    <cellStyle name="Денежный 2" xfId="10602" hidden="1"/>
    <cellStyle name="Денежный 2" xfId="10606" hidden="1"/>
    <cellStyle name="Денежный 2" xfId="10605" hidden="1"/>
    <cellStyle name="Денежный 2" xfId="10614" hidden="1"/>
    <cellStyle name="Денежный 2" xfId="10623" hidden="1"/>
    <cellStyle name="Денежный 2" xfId="10626" hidden="1"/>
    <cellStyle name="Денежный 2" xfId="10638" hidden="1"/>
    <cellStyle name="Денежный 2" xfId="10642" hidden="1"/>
    <cellStyle name="Денежный 2" xfId="10641" hidden="1"/>
    <cellStyle name="Денежный 2" xfId="10650" hidden="1"/>
    <cellStyle name="Денежный 2" xfId="10659" hidden="1"/>
    <cellStyle name="Денежный 2" xfId="10662" hidden="1"/>
    <cellStyle name="Денежный 2" xfId="10674" hidden="1"/>
    <cellStyle name="Денежный 2" xfId="10678" hidden="1"/>
    <cellStyle name="Денежный 2" xfId="10677" hidden="1"/>
    <cellStyle name="Денежный 2" xfId="10686" hidden="1"/>
    <cellStyle name="Денежный 2" xfId="10695" hidden="1"/>
    <cellStyle name="Денежный 2" xfId="10698" hidden="1"/>
    <cellStyle name="Денежный 2" xfId="10710" hidden="1"/>
    <cellStyle name="Денежный 2" xfId="10714" hidden="1"/>
    <cellStyle name="Денежный 2" xfId="10713" hidden="1"/>
    <cellStyle name="Денежный 2" xfId="10722" hidden="1"/>
    <cellStyle name="Денежный 2" xfId="10732" hidden="1"/>
    <cellStyle name="Денежный 2" xfId="10735" hidden="1"/>
    <cellStyle name="Денежный 2" xfId="10747" hidden="1"/>
    <cellStyle name="Денежный 2" xfId="10751" hidden="1"/>
    <cellStyle name="Денежный 2" xfId="10750" hidden="1"/>
    <cellStyle name="Денежный 2" xfId="10759" hidden="1"/>
    <cellStyle name="Денежный 2" xfId="10768" hidden="1"/>
    <cellStyle name="Денежный 2" xfId="10771" hidden="1"/>
    <cellStyle name="Денежный 2" xfId="10783" hidden="1"/>
    <cellStyle name="Денежный 2" xfId="10787" hidden="1"/>
    <cellStyle name="Денежный 2" xfId="10786" hidden="1"/>
    <cellStyle name="Денежный 2" xfId="10795" hidden="1"/>
    <cellStyle name="Денежный 2" xfId="10804" hidden="1"/>
    <cellStyle name="Денежный 2" xfId="10807" hidden="1"/>
    <cellStyle name="Денежный 2" xfId="10819" hidden="1"/>
    <cellStyle name="Денежный 2" xfId="10823" hidden="1"/>
    <cellStyle name="Денежный 2" xfId="10822" hidden="1"/>
    <cellStyle name="Денежный 2" xfId="10831" hidden="1"/>
    <cellStyle name="Денежный 2" xfId="10840" hidden="1"/>
    <cellStyle name="Денежный 2" xfId="10843" hidden="1"/>
    <cellStyle name="Денежный 2" xfId="10855" hidden="1"/>
    <cellStyle name="Денежный 2" xfId="10859" hidden="1"/>
    <cellStyle name="Денежный 2" xfId="10858" hidden="1"/>
    <cellStyle name="Денежный 2" xfId="10867" hidden="1"/>
    <cellStyle name="Денежный 2" xfId="14278"/>
    <cellStyle name="Денежный 2 2" xfId="50408" hidden="1"/>
    <cellStyle name="Денежный 2 2" xfId="50427"/>
    <cellStyle name="Денежный 2 3" xfId="50412" hidden="1"/>
    <cellStyle name="Денежный 2 3" xfId="50431"/>
    <cellStyle name="Денежный 2 4" xfId="50445"/>
    <cellStyle name="Денежный 2 5" xfId="50450"/>
    <cellStyle name="Денежный 2 6" xfId="50449"/>
    <cellStyle name="Денежный 2 7" xfId="50460"/>
    <cellStyle name="ефиду" xfId="14279"/>
    <cellStyle name="-ЁюЎхэЄэ_щ" xfId="14280"/>
    <cellStyle name="Заголовок 1" xfId="12" builtinId="16" hidden="1"/>
    <cellStyle name="Заголовок 1" xfId="51" builtinId="16" hidden="1"/>
    <cellStyle name="Заголовок 1" xfId="97" builtinId="16" hidden="1"/>
    <cellStyle name="Заголовок 1" xfId="137" builtinId="16" hidden="1"/>
    <cellStyle name="Заголовок 1" xfId="291" builtinId="16" hidden="1"/>
    <cellStyle name="Заголовок 1" xfId="330" builtinId="16" hidden="1"/>
    <cellStyle name="Заголовок 1" xfId="376" builtinId="16" hidden="1"/>
    <cellStyle name="Заголовок 1" xfId="416" builtinId="16" hidden="1"/>
    <cellStyle name="Заголовок 1" xfId="547" builtinId="16" hidden="1"/>
    <cellStyle name="Заголовок 1" xfId="586" builtinId="16" hidden="1"/>
    <cellStyle name="Заголовок 1" xfId="632" builtinId="16" hidden="1"/>
    <cellStyle name="Заголовок 1" xfId="672" builtinId="16" hidden="1"/>
    <cellStyle name="Заголовок 1" xfId="4150" builtinId="16" customBuiltin="1"/>
    <cellStyle name="Заголовок 1 10" xfId="16853"/>
    <cellStyle name="Заголовок 1 11" xfId="15690"/>
    <cellStyle name="Заголовок 1 12" xfId="17012"/>
    <cellStyle name="Заголовок 1 13" xfId="17082"/>
    <cellStyle name="Заголовок 1 14" xfId="17980"/>
    <cellStyle name="Заголовок 1 15" xfId="36516"/>
    <cellStyle name="Заголовок 1 16" xfId="14281"/>
    <cellStyle name="Заголовок 1 2" xfId="14282"/>
    <cellStyle name="Заголовок 1 3" xfId="14283"/>
    <cellStyle name="Заголовок 1 4" xfId="14284"/>
    <cellStyle name="Заголовок 1 5" xfId="14285"/>
    <cellStyle name="Заголовок 1 6" xfId="14286"/>
    <cellStyle name="Заголовок 1 7" xfId="14287"/>
    <cellStyle name="Заголовок 1 8" xfId="14288"/>
    <cellStyle name="Заголовок 1 9" xfId="14289"/>
    <cellStyle name="Заголовок 2" xfId="13" builtinId="17" hidden="1"/>
    <cellStyle name="Заголовок 2" xfId="52" builtinId="17" hidden="1"/>
    <cellStyle name="Заголовок 2" xfId="96" builtinId="17" hidden="1"/>
    <cellStyle name="Заголовок 2" xfId="138" builtinId="17" hidden="1"/>
    <cellStyle name="Заголовок 2" xfId="292" builtinId="17" hidden="1"/>
    <cellStyle name="Заголовок 2" xfId="331" builtinId="17" hidden="1"/>
    <cellStyle name="Заголовок 2" xfId="375" builtinId="17" hidden="1"/>
    <cellStyle name="Заголовок 2" xfId="417" builtinId="17" hidden="1"/>
    <cellStyle name="Заголовок 2" xfId="548" builtinId="17" hidden="1"/>
    <cellStyle name="Заголовок 2" xfId="587" builtinId="17" hidden="1"/>
    <cellStyle name="Заголовок 2" xfId="631" builtinId="17" hidden="1"/>
    <cellStyle name="Заголовок 2" xfId="673" builtinId="17" hidden="1"/>
    <cellStyle name="Заголовок 2" xfId="4151" builtinId="17" customBuiltin="1"/>
    <cellStyle name="Заголовок 2 10" xfId="16854"/>
    <cellStyle name="Заголовок 2 11" xfId="15691"/>
    <cellStyle name="Заголовок 2 12" xfId="17013"/>
    <cellStyle name="Заголовок 2 13" xfId="17083"/>
    <cellStyle name="Заголовок 2 14" xfId="17981"/>
    <cellStyle name="Заголовок 2 15" xfId="36517"/>
    <cellStyle name="Заголовок 2 16" xfId="14290"/>
    <cellStyle name="Заголовок 2 2" xfId="14291"/>
    <cellStyle name="Заголовок 2 3" xfId="14292"/>
    <cellStyle name="Заголовок 2 4" xfId="14293"/>
    <cellStyle name="Заголовок 2 5" xfId="14294"/>
    <cellStyle name="Заголовок 2 6" xfId="14295"/>
    <cellStyle name="Заголовок 2 7" xfId="14296"/>
    <cellStyle name="Заголовок 2 8" xfId="14297"/>
    <cellStyle name="Заголовок 2 9" xfId="14298"/>
    <cellStyle name="Заголовок 3" xfId="14" builtinId="18" hidden="1"/>
    <cellStyle name="Заголовок 3" xfId="53" builtinId="18" hidden="1"/>
    <cellStyle name="Заголовок 3" xfId="119" builtinId="18" hidden="1"/>
    <cellStyle name="Заголовок 3" xfId="139" builtinId="18" hidden="1"/>
    <cellStyle name="Заголовок 3" xfId="293" builtinId="18" hidden="1"/>
    <cellStyle name="Заголовок 3" xfId="332" builtinId="18" hidden="1"/>
    <cellStyle name="Заголовок 3" xfId="398" builtinId="18" hidden="1"/>
    <cellStyle name="Заголовок 3" xfId="418" builtinId="18" hidden="1"/>
    <cellStyle name="Заголовок 3" xfId="549" builtinId="18" hidden="1"/>
    <cellStyle name="Заголовок 3" xfId="588" builtinId="18" hidden="1"/>
    <cellStyle name="Заголовок 3" xfId="654" builtinId="18" hidden="1"/>
    <cellStyle name="Заголовок 3" xfId="674" builtinId="18" hidden="1"/>
    <cellStyle name="Заголовок 3" xfId="4152" builtinId="18" customBuiltin="1"/>
    <cellStyle name="Заголовок 3 10" xfId="16855"/>
    <cellStyle name="Заголовок 3 11" xfId="15692"/>
    <cellStyle name="Заголовок 3 12" xfId="17014"/>
    <cellStyle name="Заголовок 3 13" xfId="17084"/>
    <cellStyle name="Заголовок 3 14" xfId="17982"/>
    <cellStyle name="Заголовок 3 15" xfId="36518"/>
    <cellStyle name="Заголовок 3 16" xfId="14299"/>
    <cellStyle name="Заголовок 3 2" xfId="14300"/>
    <cellStyle name="Заголовок 3 3" xfId="14301"/>
    <cellStyle name="Заголовок 3 4" xfId="14302"/>
    <cellStyle name="Заголовок 3 5" xfId="14303"/>
    <cellStyle name="Заголовок 3 6" xfId="14304"/>
    <cellStyle name="Заголовок 3 7" xfId="14305"/>
    <cellStyle name="Заголовок 3 8" xfId="14306"/>
    <cellStyle name="Заголовок 3 9" xfId="14307"/>
    <cellStyle name="Заголовок 4" xfId="15" builtinId="19" hidden="1"/>
    <cellStyle name="Заголовок 4" xfId="54" builtinId="19" hidden="1"/>
    <cellStyle name="Заголовок 4" xfId="115" builtinId="19" hidden="1"/>
    <cellStyle name="Заголовок 4" xfId="140" builtinId="19" hidden="1"/>
    <cellStyle name="Заголовок 4" xfId="294" builtinId="19" hidden="1"/>
    <cellStyle name="Заголовок 4" xfId="333" builtinId="19" hidden="1"/>
    <cellStyle name="Заголовок 4" xfId="394" builtinId="19" hidden="1"/>
    <cellStyle name="Заголовок 4" xfId="419" builtinId="19" hidden="1"/>
    <cellStyle name="Заголовок 4" xfId="550" builtinId="19" hidden="1"/>
    <cellStyle name="Заголовок 4" xfId="589" builtinId="19" hidden="1"/>
    <cellStyle name="Заголовок 4" xfId="650" builtinId="19" hidden="1"/>
    <cellStyle name="Заголовок 4" xfId="675" builtinId="19" hidden="1"/>
    <cellStyle name="Заголовок 4" xfId="4153" builtinId="19" customBuiltin="1"/>
    <cellStyle name="Заголовок 4 10" xfId="16856"/>
    <cellStyle name="Заголовок 4 11" xfId="15693"/>
    <cellStyle name="Заголовок 4 12" xfId="17015"/>
    <cellStyle name="Заголовок 4 13" xfId="17085"/>
    <cellStyle name="Заголовок 4 14" xfId="17983"/>
    <cellStyle name="Заголовок 4 15" xfId="36519"/>
    <cellStyle name="Заголовок 4 16" xfId="14308"/>
    <cellStyle name="Заголовок 4 2" xfId="14309"/>
    <cellStyle name="Заголовок 4 3" xfId="14310"/>
    <cellStyle name="Заголовок 4 4" xfId="14311"/>
    <cellStyle name="Заголовок 4 5" xfId="14312"/>
    <cellStyle name="Заголовок 4 6" xfId="14313"/>
    <cellStyle name="Заголовок 4 7" xfId="14314"/>
    <cellStyle name="Заголовок 4 8" xfId="14315"/>
    <cellStyle name="Заголовок 4 9" xfId="14316"/>
    <cellStyle name="Защитный" xfId="14317"/>
    <cellStyle name="зфпуруфвштп" xfId="14318"/>
    <cellStyle name="Итог" xfId="26" builtinId="25" hidden="1"/>
    <cellStyle name="Итог" xfId="64" builtinId="25" hidden="1"/>
    <cellStyle name="Итог" xfId="121" builtinId="25" hidden="1"/>
    <cellStyle name="Итог" xfId="150" builtinId="25" hidden="1"/>
    <cellStyle name="Итог" xfId="305" builtinId="25" hidden="1"/>
    <cellStyle name="Итог" xfId="343" builtinId="25" hidden="1"/>
    <cellStyle name="Итог" xfId="400" builtinId="25" hidden="1"/>
    <cellStyle name="Итог" xfId="429" builtinId="25" hidden="1"/>
    <cellStyle name="Итог" xfId="561" builtinId="25" hidden="1"/>
    <cellStyle name="Итог" xfId="599" builtinId="25" hidden="1"/>
    <cellStyle name="Итог" xfId="656" builtinId="25" hidden="1"/>
    <cellStyle name="Итог" xfId="685" builtinId="25" hidden="1"/>
    <cellStyle name="Итог" xfId="4164" builtinId="25" customBuiltin="1"/>
    <cellStyle name="Итог 10" xfId="16857"/>
    <cellStyle name="Итог 11" xfId="15694"/>
    <cellStyle name="Итог 12" xfId="17016"/>
    <cellStyle name="Итог 13" xfId="17086"/>
    <cellStyle name="Итог 14" xfId="17984"/>
    <cellStyle name="Итог 15" xfId="36520"/>
    <cellStyle name="Итог 16" xfId="14320"/>
    <cellStyle name="Итог 2" xfId="14321"/>
    <cellStyle name="Итог 3" xfId="14322"/>
    <cellStyle name="Итог 4" xfId="14323"/>
    <cellStyle name="Итог 5" xfId="14324"/>
    <cellStyle name="Итог 6" xfId="14325"/>
    <cellStyle name="Итог 7" xfId="14326"/>
    <cellStyle name="Итог 8" xfId="14327"/>
    <cellStyle name="Итог 9" xfId="14328"/>
    <cellStyle name="їўычный_cash_y" xfId="14329"/>
    <cellStyle name="йешеду" xfId="14319"/>
    <cellStyle name="Контрольная ячейка" xfId="22" builtinId="23" hidden="1"/>
    <cellStyle name="Контрольная ячейка" xfId="61" builtinId="23" hidden="1"/>
    <cellStyle name="Контрольная ячейка" xfId="114" builtinId="23" hidden="1"/>
    <cellStyle name="Контрольная ячейка" xfId="147" builtinId="23" hidden="1"/>
    <cellStyle name="Контрольная ячейка" xfId="301" builtinId="23" hidden="1"/>
    <cellStyle name="Контрольная ячейка" xfId="340" builtinId="23" hidden="1"/>
    <cellStyle name="Контрольная ячейка" xfId="393" builtinId="23" hidden="1"/>
    <cellStyle name="Контрольная ячейка" xfId="426" builtinId="23" hidden="1"/>
    <cellStyle name="Контрольная ячейка" xfId="557" builtinId="23" hidden="1"/>
    <cellStyle name="Контрольная ячейка" xfId="596" builtinId="23" hidden="1"/>
    <cellStyle name="Контрольная ячейка" xfId="649" builtinId="23" hidden="1"/>
    <cellStyle name="Контрольная ячейка" xfId="682" builtinId="23" hidden="1"/>
    <cellStyle name="Контрольная ячейка" xfId="4160" builtinId="23" customBuiltin="1"/>
    <cellStyle name="Контрольная ячейка 10" xfId="16858"/>
    <cellStyle name="Контрольная ячейка 11" xfId="15695"/>
    <cellStyle name="Контрольная ячейка 12" xfId="17017"/>
    <cellStyle name="Контрольная ячейка 13" xfId="17087"/>
    <cellStyle name="Контрольная ячейка 14" xfId="17985"/>
    <cellStyle name="Контрольная ячейка 15" xfId="36521"/>
    <cellStyle name="Контрольная ячейка 16" xfId="14330"/>
    <cellStyle name="Контрольная ячейка 2" xfId="14331"/>
    <cellStyle name="Контрольная ячейка 3" xfId="14332"/>
    <cellStyle name="Контрольная ячейка 4" xfId="14333"/>
    <cellStyle name="Контрольная ячейка 5" xfId="14334"/>
    <cellStyle name="Контрольная ячейка 6" xfId="14335"/>
    <cellStyle name="Контрольная ячейка 7" xfId="14336"/>
    <cellStyle name="Контрольная ячейка 8" xfId="14337"/>
    <cellStyle name="Контрольная ячейка 9" xfId="14338"/>
    <cellStyle name="Название" xfId="11" builtinId="15" hidden="1"/>
    <cellStyle name="Название" xfId="290" builtinId="15" hidden="1"/>
    <cellStyle name="Название" xfId="546" builtinId="15" hidden="1"/>
    <cellStyle name="Название" xfId="4149" builtinId="15" customBuiltin="1"/>
    <cellStyle name="Название 10" xfId="16859"/>
    <cellStyle name="Название 11" xfId="15696"/>
    <cellStyle name="Название 12" xfId="17018"/>
    <cellStyle name="Название 13" xfId="17088"/>
    <cellStyle name="Название 14" xfId="17986"/>
    <cellStyle name="Название 15" xfId="36522"/>
    <cellStyle name="Название 16" xfId="14339"/>
    <cellStyle name="Название 2" xfId="95" hidden="1"/>
    <cellStyle name="Название 2" xfId="191" hidden="1"/>
    <cellStyle name="Название 2" xfId="209" hidden="1"/>
    <cellStyle name="Название 2" xfId="218" hidden="1"/>
    <cellStyle name="Название 2" xfId="215" hidden="1"/>
    <cellStyle name="Название 2" xfId="225" hidden="1"/>
    <cellStyle name="Название 2" xfId="242" hidden="1"/>
    <cellStyle name="Название 2" xfId="247" hidden="1"/>
    <cellStyle name="Название 2" xfId="260" hidden="1"/>
    <cellStyle name="Название 2" xfId="269" hidden="1"/>
    <cellStyle name="Название 2" xfId="266" hidden="1"/>
    <cellStyle name="Название 2" xfId="276" hidden="1"/>
    <cellStyle name="Название 2" xfId="374" hidden="1"/>
    <cellStyle name="Название 2" xfId="458" hidden="1"/>
    <cellStyle name="Название 2" xfId="472" hidden="1"/>
    <cellStyle name="Название 2" xfId="481" hidden="1"/>
    <cellStyle name="Название 2" xfId="478" hidden="1"/>
    <cellStyle name="Название 2" xfId="488" hidden="1"/>
    <cellStyle name="Название 2" xfId="499" hidden="1"/>
    <cellStyle name="Название 2" xfId="504" hidden="1"/>
    <cellStyle name="Название 2" xfId="517" hidden="1"/>
    <cellStyle name="Название 2" xfId="526" hidden="1"/>
    <cellStyle name="Название 2" xfId="523" hidden="1"/>
    <cellStyle name="Название 2" xfId="533" hidden="1"/>
    <cellStyle name="Название 2" xfId="630" hidden="1"/>
    <cellStyle name="Название 2" xfId="714" hidden="1"/>
    <cellStyle name="Название 2" xfId="728" hidden="1"/>
    <cellStyle name="Название 2" xfId="737" hidden="1"/>
    <cellStyle name="Название 2" xfId="734" hidden="1"/>
    <cellStyle name="Название 2" xfId="744" hidden="1"/>
    <cellStyle name="Название 2" xfId="755" hidden="1"/>
    <cellStyle name="Название 2" xfId="760" hidden="1"/>
    <cellStyle name="Название 2" xfId="773" hidden="1"/>
    <cellStyle name="Название 2" xfId="782" hidden="1"/>
    <cellStyle name="Название 2" xfId="779" hidden="1"/>
    <cellStyle name="Название 2" xfId="789" hidden="1"/>
    <cellStyle name="Название 2" xfId="803" hidden="1"/>
    <cellStyle name="Название 2" xfId="808" hidden="1"/>
    <cellStyle name="Название 2" xfId="821" hidden="1"/>
    <cellStyle name="Название 2" xfId="830" hidden="1"/>
    <cellStyle name="Название 2" xfId="827" hidden="1"/>
    <cellStyle name="Название 2" xfId="837" hidden="1"/>
    <cellStyle name="Название 2" xfId="848" hidden="1"/>
    <cellStyle name="Название 2" xfId="853" hidden="1"/>
    <cellStyle name="Название 2" xfId="866" hidden="1"/>
    <cellStyle name="Название 2" xfId="875" hidden="1"/>
    <cellStyle name="Название 2" xfId="872" hidden="1"/>
    <cellStyle name="Название 2" xfId="882" hidden="1"/>
    <cellStyle name="Название 2" xfId="894" hidden="1"/>
    <cellStyle name="Название 2" xfId="899" hidden="1"/>
    <cellStyle name="Название 2" xfId="912" hidden="1"/>
    <cellStyle name="Название 2" xfId="921" hidden="1"/>
    <cellStyle name="Название 2" xfId="918" hidden="1"/>
    <cellStyle name="Название 2" xfId="928" hidden="1"/>
    <cellStyle name="Название 2" xfId="939" hidden="1"/>
    <cellStyle name="Название 2" xfId="944" hidden="1"/>
    <cellStyle name="Название 2" xfId="957" hidden="1"/>
    <cellStyle name="Название 2" xfId="966" hidden="1"/>
    <cellStyle name="Название 2" xfId="963" hidden="1"/>
    <cellStyle name="Название 2" xfId="973" hidden="1"/>
    <cellStyle name="Название 2" xfId="984" hidden="1"/>
    <cellStyle name="Название 2" xfId="989" hidden="1"/>
    <cellStyle name="Название 2" xfId="1002" hidden="1"/>
    <cellStyle name="Название 2" xfId="1011" hidden="1"/>
    <cellStyle name="Название 2" xfId="1008" hidden="1"/>
    <cellStyle name="Название 2" xfId="1018" hidden="1"/>
    <cellStyle name="Название 2" xfId="1029" hidden="1"/>
    <cellStyle name="Название 2" xfId="1034" hidden="1"/>
    <cellStyle name="Название 2" xfId="1047" hidden="1"/>
    <cellStyle name="Название 2" xfId="1056" hidden="1"/>
    <cellStyle name="Название 2" xfId="1053" hidden="1"/>
    <cellStyle name="Название 2" xfId="1063" hidden="1"/>
    <cellStyle name="Название 2" xfId="1152" hidden="1"/>
    <cellStyle name="Название 2" xfId="1180" hidden="1"/>
    <cellStyle name="Название 2" xfId="1196" hidden="1"/>
    <cellStyle name="Название 2" xfId="1205" hidden="1"/>
    <cellStyle name="Название 2" xfId="1202" hidden="1"/>
    <cellStyle name="Название 2" xfId="1212" hidden="1"/>
    <cellStyle name="Название 2" xfId="1226" hidden="1"/>
    <cellStyle name="Название 2" xfId="1231" hidden="1"/>
    <cellStyle name="Название 2" xfId="1244" hidden="1"/>
    <cellStyle name="Название 2" xfId="1253" hidden="1"/>
    <cellStyle name="Название 2" xfId="1250" hidden="1"/>
    <cellStyle name="Название 2" xfId="1260" hidden="1"/>
    <cellStyle name="Название 2" xfId="1312" hidden="1"/>
    <cellStyle name="Название 2" xfId="1373" hidden="1"/>
    <cellStyle name="Название 2" xfId="1386" hidden="1"/>
    <cellStyle name="Название 2" xfId="1395" hidden="1"/>
    <cellStyle name="Название 2" xfId="1392" hidden="1"/>
    <cellStyle name="Название 2" xfId="1402" hidden="1"/>
    <cellStyle name="Название 2" xfId="1413" hidden="1"/>
    <cellStyle name="Название 2" xfId="1418" hidden="1"/>
    <cellStyle name="Название 2" xfId="1431" hidden="1"/>
    <cellStyle name="Название 2" xfId="1440" hidden="1"/>
    <cellStyle name="Название 2" xfId="1437" hidden="1"/>
    <cellStyle name="Название 2" xfId="1447" hidden="1"/>
    <cellStyle name="Название 2" xfId="1509" hidden="1"/>
    <cellStyle name="Название 2" xfId="1549" hidden="1"/>
    <cellStyle name="Название 2" xfId="1563" hidden="1"/>
    <cellStyle name="Название 2" xfId="1572" hidden="1"/>
    <cellStyle name="Название 2" xfId="1569" hidden="1"/>
    <cellStyle name="Название 2" xfId="1579" hidden="1"/>
    <cellStyle name="Название 2" xfId="1590" hidden="1"/>
    <cellStyle name="Название 2" xfId="1595" hidden="1"/>
    <cellStyle name="Название 2" xfId="1608" hidden="1"/>
    <cellStyle name="Название 2" xfId="1617" hidden="1"/>
    <cellStyle name="Название 2" xfId="1614" hidden="1"/>
    <cellStyle name="Название 2" xfId="1624" hidden="1"/>
    <cellStyle name="Название 2" xfId="1636" hidden="1"/>
    <cellStyle name="Название 2" xfId="1641" hidden="1"/>
    <cellStyle name="Название 2" xfId="1654" hidden="1"/>
    <cellStyle name="Название 2" xfId="1663" hidden="1"/>
    <cellStyle name="Название 2" xfId="1660" hidden="1"/>
    <cellStyle name="Название 2" xfId="1670" hidden="1"/>
    <cellStyle name="Название 2" xfId="1681" hidden="1"/>
    <cellStyle name="Название 2" xfId="1686" hidden="1"/>
    <cellStyle name="Название 2" xfId="1699" hidden="1"/>
    <cellStyle name="Название 2" xfId="1708" hidden="1"/>
    <cellStyle name="Название 2" xfId="1705" hidden="1"/>
    <cellStyle name="Название 2" xfId="1715" hidden="1"/>
    <cellStyle name="Название 2" xfId="1727" hidden="1"/>
    <cellStyle name="Название 2" xfId="1732" hidden="1"/>
    <cellStyle name="Название 2" xfId="1745" hidden="1"/>
    <cellStyle name="Название 2" xfId="1754" hidden="1"/>
    <cellStyle name="Название 2" xfId="1751" hidden="1"/>
    <cellStyle name="Название 2" xfId="1761" hidden="1"/>
    <cellStyle name="Название 2" xfId="1772" hidden="1"/>
    <cellStyle name="Название 2" xfId="1777" hidden="1"/>
    <cellStyle name="Название 2" xfId="1790" hidden="1"/>
    <cellStyle name="Название 2" xfId="1799" hidden="1"/>
    <cellStyle name="Название 2" xfId="1796" hidden="1"/>
    <cellStyle name="Название 2" xfId="1806" hidden="1"/>
    <cellStyle name="Название 2" xfId="1817" hidden="1"/>
    <cellStyle name="Название 2" xfId="1822" hidden="1"/>
    <cellStyle name="Название 2" xfId="1835" hidden="1"/>
    <cellStyle name="Название 2" xfId="1844" hidden="1"/>
    <cellStyle name="Название 2" xfId="1841" hidden="1"/>
    <cellStyle name="Название 2" xfId="1851" hidden="1"/>
    <cellStyle name="Название 2" xfId="1862" hidden="1"/>
    <cellStyle name="Название 2" xfId="1867" hidden="1"/>
    <cellStyle name="Название 2" xfId="1880" hidden="1"/>
    <cellStyle name="Название 2" xfId="1889" hidden="1"/>
    <cellStyle name="Название 2" xfId="1886" hidden="1"/>
    <cellStyle name="Название 2" xfId="1896" hidden="1"/>
    <cellStyle name="Название 2" xfId="1495" hidden="1"/>
    <cellStyle name="Название 2" xfId="1363" hidden="1"/>
    <cellStyle name="Название 2" xfId="1348" hidden="1"/>
    <cellStyle name="Название 2" xfId="1339" hidden="1"/>
    <cellStyle name="Название 2" xfId="1342" hidden="1"/>
    <cellStyle name="Название 2" xfId="1332" hidden="1"/>
    <cellStyle name="Название 2" xfId="1317" hidden="1"/>
    <cellStyle name="Название 2" xfId="1305" hidden="1"/>
    <cellStyle name="Название 2" xfId="1292" hidden="1"/>
    <cellStyle name="Название 2" xfId="1283" hidden="1"/>
    <cellStyle name="Название 2" xfId="1286" hidden="1"/>
    <cellStyle name="Название 2" xfId="1276" hidden="1"/>
    <cellStyle name="Название 2" xfId="1155" hidden="1"/>
    <cellStyle name="Название 2" xfId="1114" hidden="1"/>
    <cellStyle name="Название 2" xfId="1100" hidden="1"/>
    <cellStyle name="Название 2" xfId="1091" hidden="1"/>
    <cellStyle name="Название 2" xfId="1094" hidden="1"/>
    <cellStyle name="Название 2" xfId="1084" hidden="1"/>
    <cellStyle name="Название 2" xfId="1902" hidden="1"/>
    <cellStyle name="Название 2" xfId="1907" hidden="1"/>
    <cellStyle name="Название 2" xfId="1920" hidden="1"/>
    <cellStyle name="Название 2" xfId="1929" hidden="1"/>
    <cellStyle name="Название 2" xfId="1926" hidden="1"/>
    <cellStyle name="Название 2" xfId="1936" hidden="1"/>
    <cellStyle name="Название 2" xfId="1953" hidden="1"/>
    <cellStyle name="Название 2" xfId="1958" hidden="1"/>
    <cellStyle name="Название 2" xfId="1971" hidden="1"/>
    <cellStyle name="Название 2" xfId="1980" hidden="1"/>
    <cellStyle name="Название 2" xfId="1977" hidden="1"/>
    <cellStyle name="Название 2" xfId="1987" hidden="1"/>
    <cellStyle name="Название 2" xfId="1998" hidden="1"/>
    <cellStyle name="Название 2" xfId="2003" hidden="1"/>
    <cellStyle name="Название 2" xfId="2016" hidden="1"/>
    <cellStyle name="Название 2" xfId="2025" hidden="1"/>
    <cellStyle name="Название 2" xfId="2022" hidden="1"/>
    <cellStyle name="Название 2" xfId="2032" hidden="1"/>
    <cellStyle name="Название 2" xfId="2046" hidden="1"/>
    <cellStyle name="Название 2" xfId="2051" hidden="1"/>
    <cellStyle name="Название 2" xfId="2064" hidden="1"/>
    <cellStyle name="Название 2" xfId="2073" hidden="1"/>
    <cellStyle name="Название 2" xfId="2070" hidden="1"/>
    <cellStyle name="Название 2" xfId="2080" hidden="1"/>
    <cellStyle name="Название 2" xfId="2091" hidden="1"/>
    <cellStyle name="Название 2" xfId="2096" hidden="1"/>
    <cellStyle name="Название 2" xfId="2109" hidden="1"/>
    <cellStyle name="Название 2" xfId="2118" hidden="1"/>
    <cellStyle name="Название 2" xfId="2115" hidden="1"/>
    <cellStyle name="Название 2" xfId="2125" hidden="1"/>
    <cellStyle name="Название 2" xfId="2137" hidden="1"/>
    <cellStyle name="Название 2" xfId="2142" hidden="1"/>
    <cellStyle name="Название 2" xfId="2155" hidden="1"/>
    <cellStyle name="Название 2" xfId="2164" hidden="1"/>
    <cellStyle name="Название 2" xfId="2161" hidden="1"/>
    <cellStyle name="Название 2" xfId="2171" hidden="1"/>
    <cellStyle name="Название 2" xfId="2182" hidden="1"/>
    <cellStyle name="Название 2" xfId="2187" hidden="1"/>
    <cellStyle name="Название 2" xfId="2200" hidden="1"/>
    <cellStyle name="Название 2" xfId="2209" hidden="1"/>
    <cellStyle name="Название 2" xfId="2206" hidden="1"/>
    <cellStyle name="Название 2" xfId="2216" hidden="1"/>
    <cellStyle name="Название 2" xfId="2226" hidden="1"/>
    <cellStyle name="Название 2" xfId="2231" hidden="1"/>
    <cellStyle name="Название 2" xfId="2244" hidden="1"/>
    <cellStyle name="Название 2" xfId="2253" hidden="1"/>
    <cellStyle name="Название 2" xfId="2250" hidden="1"/>
    <cellStyle name="Название 2" xfId="2260" hidden="1"/>
    <cellStyle name="Название 2" xfId="2271" hidden="1"/>
    <cellStyle name="Название 2" xfId="2276" hidden="1"/>
    <cellStyle name="Название 2" xfId="2288" hidden="1"/>
    <cellStyle name="Название 2" xfId="2297" hidden="1"/>
    <cellStyle name="Название 2" xfId="2294" hidden="1"/>
    <cellStyle name="Название 2" xfId="2304" hidden="1"/>
    <cellStyle name="Название 2" xfId="1942" hidden="1"/>
    <cellStyle name="Название 2" xfId="1542" hidden="1"/>
    <cellStyle name="Название 2" xfId="1530" hidden="1"/>
    <cellStyle name="Название 2" xfId="1521" hidden="1"/>
    <cellStyle name="Название 2" xfId="1524" hidden="1"/>
    <cellStyle name="Название 2" xfId="1514" hidden="1"/>
    <cellStyle name="Название 2" xfId="1491" hidden="1"/>
    <cellStyle name="Название 2" xfId="1486" hidden="1"/>
    <cellStyle name="Название 2" xfId="1474" hidden="1"/>
    <cellStyle name="Название 2" xfId="1465" hidden="1"/>
    <cellStyle name="Название 2" xfId="1468" hidden="1"/>
    <cellStyle name="Название 2" xfId="1458" hidden="1"/>
    <cellStyle name="Название 2" xfId="1162" hidden="1"/>
    <cellStyle name="Название 2" xfId="1143" hidden="1"/>
    <cellStyle name="Название 2" xfId="1131" hidden="1"/>
    <cellStyle name="Название 2" xfId="1122" hidden="1"/>
    <cellStyle name="Название 2" xfId="1125" hidden="1"/>
    <cellStyle name="Название 2" xfId="2040" hidden="1"/>
    <cellStyle name="Название 2" xfId="1079" hidden="1"/>
    <cellStyle name="Название 2" xfId="1962" hidden="1"/>
    <cellStyle name="Название 2" xfId="1080" hidden="1"/>
    <cellStyle name="Название 2" xfId="1359" hidden="1"/>
    <cellStyle name="Название 2" xfId="1272" hidden="1"/>
    <cellStyle name="Название 2" xfId="2038" hidden="1"/>
    <cellStyle name="Название 2" xfId="2315" hidden="1"/>
    <cellStyle name="Название 2" xfId="2320" hidden="1"/>
    <cellStyle name="Название 2" xfId="2332" hidden="1"/>
    <cellStyle name="Название 2" xfId="2341" hidden="1"/>
    <cellStyle name="Название 2" xfId="2338" hidden="1"/>
    <cellStyle name="Название 2" xfId="2348" hidden="1"/>
    <cellStyle name="Название 2" xfId="2357" hidden="1"/>
    <cellStyle name="Название 2" xfId="2362" hidden="1"/>
    <cellStyle name="Название 2" xfId="2374" hidden="1"/>
    <cellStyle name="Название 2" xfId="2383" hidden="1"/>
    <cellStyle name="Название 2" xfId="2380" hidden="1"/>
    <cellStyle name="Название 2" xfId="2390" hidden="1"/>
    <cellStyle name="Название 2" xfId="2399" hidden="1"/>
    <cellStyle name="Название 2" xfId="2404" hidden="1"/>
    <cellStyle name="Название 2" xfId="2416" hidden="1"/>
    <cellStyle name="Название 2" xfId="2425" hidden="1"/>
    <cellStyle name="Название 2" xfId="2422" hidden="1"/>
    <cellStyle name="Название 2" xfId="2432" hidden="1"/>
    <cellStyle name="Название 2" xfId="2441" hidden="1"/>
    <cellStyle name="Название 2" xfId="2446" hidden="1"/>
    <cellStyle name="Название 2" xfId="2458" hidden="1"/>
    <cellStyle name="Название 2" xfId="2467" hidden="1"/>
    <cellStyle name="Название 2" xfId="2464" hidden="1"/>
    <cellStyle name="Название 2" xfId="2474" hidden="1"/>
    <cellStyle name="Название 2" xfId="2484" hidden="1"/>
    <cellStyle name="Название 2" xfId="2489" hidden="1"/>
    <cellStyle name="Название 2" xfId="2501" hidden="1"/>
    <cellStyle name="Название 2" xfId="2510" hidden="1"/>
    <cellStyle name="Название 2" xfId="2507" hidden="1"/>
    <cellStyle name="Название 2" xfId="2517" hidden="1"/>
    <cellStyle name="Название 2" xfId="2526" hidden="1"/>
    <cellStyle name="Название 2" xfId="2531" hidden="1"/>
    <cellStyle name="Название 2" xfId="2543" hidden="1"/>
    <cellStyle name="Название 2" xfId="2552" hidden="1"/>
    <cellStyle name="Название 2" xfId="2549" hidden="1"/>
    <cellStyle name="Название 2" xfId="2559" hidden="1"/>
    <cellStyle name="Название 2" xfId="2568" hidden="1"/>
    <cellStyle name="Название 2" xfId="2573" hidden="1"/>
    <cellStyle name="Название 2" xfId="2585" hidden="1"/>
    <cellStyle name="Название 2" xfId="2594" hidden="1"/>
    <cellStyle name="Название 2" xfId="2591" hidden="1"/>
    <cellStyle name="Название 2" xfId="2601" hidden="1"/>
    <cellStyle name="Название 2" xfId="2610" hidden="1"/>
    <cellStyle name="Название 2" xfId="2615" hidden="1"/>
    <cellStyle name="Название 2" xfId="2627" hidden="1"/>
    <cellStyle name="Название 2" xfId="2636" hidden="1"/>
    <cellStyle name="Название 2" xfId="2633" hidden="1"/>
    <cellStyle name="Название 2" xfId="2643" hidden="1"/>
    <cellStyle name="Название 2" xfId="2704" hidden="1"/>
    <cellStyle name="Название 2" xfId="2720" hidden="1"/>
    <cellStyle name="Название 2" xfId="2734" hidden="1"/>
    <cellStyle name="Название 2" xfId="2743" hidden="1"/>
    <cellStyle name="Название 2" xfId="2740" hidden="1"/>
    <cellStyle name="Название 2" xfId="2750" hidden="1"/>
    <cellStyle name="Название 2" xfId="2759" hidden="1"/>
    <cellStyle name="Название 2" xfId="2764" hidden="1"/>
    <cellStyle name="Название 2" xfId="2776" hidden="1"/>
    <cellStyle name="Название 2" xfId="2785" hidden="1"/>
    <cellStyle name="Название 2" xfId="2782" hidden="1"/>
    <cellStyle name="Название 2" xfId="2792" hidden="1"/>
    <cellStyle name="Название 2" xfId="2841" hidden="1"/>
    <cellStyle name="Название 2" xfId="2902" hidden="1"/>
    <cellStyle name="Название 2" xfId="2914" hidden="1"/>
    <cellStyle name="Название 2" xfId="2923" hidden="1"/>
    <cellStyle name="Название 2" xfId="2920" hidden="1"/>
    <cellStyle name="Название 2" xfId="2930" hidden="1"/>
    <cellStyle name="Название 2" xfId="2939" hidden="1"/>
    <cellStyle name="Название 2" xfId="2944" hidden="1"/>
    <cellStyle name="Название 2" xfId="2956" hidden="1"/>
    <cellStyle name="Название 2" xfId="2965" hidden="1"/>
    <cellStyle name="Название 2" xfId="2962" hidden="1"/>
    <cellStyle name="Название 2" xfId="2972" hidden="1"/>
    <cellStyle name="Название 2" xfId="3031" hidden="1"/>
    <cellStyle name="Название 2" xfId="3071" hidden="1"/>
    <cellStyle name="Название 2" xfId="3084" hidden="1"/>
    <cellStyle name="Название 2" xfId="3093" hidden="1"/>
    <cellStyle name="Название 2" xfId="3090" hidden="1"/>
    <cellStyle name="Название 2" xfId="3100" hidden="1"/>
    <cellStyle name="Название 2" xfId="3109" hidden="1"/>
    <cellStyle name="Название 2" xfId="3114" hidden="1"/>
    <cellStyle name="Название 2" xfId="3126" hidden="1"/>
    <cellStyle name="Название 2" xfId="3135" hidden="1"/>
    <cellStyle name="Название 2" xfId="3132" hidden="1"/>
    <cellStyle name="Название 2" xfId="3142" hidden="1"/>
    <cellStyle name="Название 2" xfId="3151" hidden="1"/>
    <cellStyle name="Название 2" xfId="3156" hidden="1"/>
    <cellStyle name="Название 2" xfId="3168" hidden="1"/>
    <cellStyle name="Название 2" xfId="3177" hidden="1"/>
    <cellStyle name="Название 2" xfId="3174" hidden="1"/>
    <cellStyle name="Название 2" xfId="3184" hidden="1"/>
    <cellStyle name="Название 2" xfId="3193" hidden="1"/>
    <cellStyle name="Название 2" xfId="3198" hidden="1"/>
    <cellStyle name="Название 2" xfId="3210" hidden="1"/>
    <cellStyle name="Название 2" xfId="3219" hidden="1"/>
    <cellStyle name="Название 2" xfId="3216" hidden="1"/>
    <cellStyle name="Название 2" xfId="3226" hidden="1"/>
    <cellStyle name="Название 2" xfId="3236" hidden="1"/>
    <cellStyle name="Название 2" xfId="3241" hidden="1"/>
    <cellStyle name="Название 2" xfId="3253" hidden="1"/>
    <cellStyle name="Название 2" xfId="3262" hidden="1"/>
    <cellStyle name="Название 2" xfId="3259" hidden="1"/>
    <cellStyle name="Название 2" xfId="3269" hidden="1"/>
    <cellStyle name="Название 2" xfId="3278" hidden="1"/>
    <cellStyle name="Название 2" xfId="3283" hidden="1"/>
    <cellStyle name="Название 2" xfId="3295" hidden="1"/>
    <cellStyle name="Название 2" xfId="3304" hidden="1"/>
    <cellStyle name="Название 2" xfId="3301" hidden="1"/>
    <cellStyle name="Название 2" xfId="3311" hidden="1"/>
    <cellStyle name="Название 2" xfId="3320" hidden="1"/>
    <cellStyle name="Название 2" xfId="3325" hidden="1"/>
    <cellStyle name="Название 2" xfId="3337" hidden="1"/>
    <cellStyle name="Название 2" xfId="3346" hidden="1"/>
    <cellStyle name="Название 2" xfId="3343" hidden="1"/>
    <cellStyle name="Название 2" xfId="3353" hidden="1"/>
    <cellStyle name="Название 2" xfId="3362" hidden="1"/>
    <cellStyle name="Название 2" xfId="3367" hidden="1"/>
    <cellStyle name="Название 2" xfId="3379" hidden="1"/>
    <cellStyle name="Название 2" xfId="3388" hidden="1"/>
    <cellStyle name="Название 2" xfId="3385" hidden="1"/>
    <cellStyle name="Название 2" xfId="3395" hidden="1"/>
    <cellStyle name="Название 2" xfId="3017" hidden="1"/>
    <cellStyle name="Название 2" xfId="2892" hidden="1"/>
    <cellStyle name="Название 2" xfId="2877" hidden="1"/>
    <cellStyle name="Название 2" xfId="2868" hidden="1"/>
    <cellStyle name="Название 2" xfId="2871" hidden="1"/>
    <cellStyle name="Название 2" xfId="2861" hidden="1"/>
    <cellStyle name="Название 2" xfId="2846" hidden="1"/>
    <cellStyle name="Название 2" xfId="2834" hidden="1"/>
    <cellStyle name="Название 2" xfId="2821" hidden="1"/>
    <cellStyle name="Название 2" xfId="2812" hidden="1"/>
    <cellStyle name="Название 2" xfId="2815" hidden="1"/>
    <cellStyle name="Название 2" xfId="2805" hidden="1"/>
    <cellStyle name="Название 2" xfId="2707" hidden="1"/>
    <cellStyle name="Название 2" xfId="2666" hidden="1"/>
    <cellStyle name="Название 2" xfId="2652" hidden="1"/>
    <cellStyle name="Название 2" xfId="1171" hidden="1"/>
    <cellStyle name="Название 2" xfId="1164" hidden="1"/>
    <cellStyle name="Название 2" xfId="1076" hidden="1"/>
    <cellStyle name="Название 2" xfId="3399" hidden="1"/>
    <cellStyle name="Название 2" xfId="3404" hidden="1"/>
    <cellStyle name="Название 2" xfId="3417" hidden="1"/>
    <cellStyle name="Название 2" xfId="3426" hidden="1"/>
    <cellStyle name="Название 2" xfId="3423" hidden="1"/>
    <cellStyle name="Название 2" xfId="3433" hidden="1"/>
    <cellStyle name="Название 2" xfId="3450" hidden="1"/>
    <cellStyle name="Название 2" xfId="3455" hidden="1"/>
    <cellStyle name="Название 2" xfId="3468" hidden="1"/>
    <cellStyle name="Название 2" xfId="3477" hidden="1"/>
    <cellStyle name="Название 2" xfId="3474" hidden="1"/>
    <cellStyle name="Название 2" xfId="3484" hidden="1"/>
    <cellStyle name="Название 2" xfId="3495" hidden="1"/>
    <cellStyle name="Название 2" xfId="3500" hidden="1"/>
    <cellStyle name="Название 2" xfId="3513" hidden="1"/>
    <cellStyle name="Название 2" xfId="3522" hidden="1"/>
    <cellStyle name="Название 2" xfId="3519" hidden="1"/>
    <cellStyle name="Название 2" xfId="3529" hidden="1"/>
    <cellStyle name="Название 2" xfId="3543" hidden="1"/>
    <cellStyle name="Название 2" xfId="3548" hidden="1"/>
    <cellStyle name="Название 2" xfId="3561" hidden="1"/>
    <cellStyle name="Название 2" xfId="3570" hidden="1"/>
    <cellStyle name="Название 2" xfId="3567" hidden="1"/>
    <cellStyle name="Название 2" xfId="3577" hidden="1"/>
    <cellStyle name="Название 2" xfId="3588" hidden="1"/>
    <cellStyle name="Название 2" xfId="3593" hidden="1"/>
    <cellStyle name="Название 2" xfId="3606" hidden="1"/>
    <cellStyle name="Название 2" xfId="3615" hidden="1"/>
    <cellStyle name="Название 2" xfId="3612" hidden="1"/>
    <cellStyle name="Название 2" xfId="3622" hidden="1"/>
    <cellStyle name="Название 2" xfId="3634" hidden="1"/>
    <cellStyle name="Название 2" xfId="3639" hidden="1"/>
    <cellStyle name="Название 2" xfId="3652" hidden="1"/>
    <cellStyle name="Название 2" xfId="3661" hidden="1"/>
    <cellStyle name="Название 2" xfId="3658" hidden="1"/>
    <cellStyle name="Название 2" xfId="3668" hidden="1"/>
    <cellStyle name="Название 2" xfId="3679" hidden="1"/>
    <cellStyle name="Название 2" xfId="3684" hidden="1"/>
    <cellStyle name="Название 2" xfId="3697" hidden="1"/>
    <cellStyle name="Название 2" xfId="3706" hidden="1"/>
    <cellStyle name="Название 2" xfId="3703" hidden="1"/>
    <cellStyle name="Название 2" xfId="3713" hidden="1"/>
    <cellStyle name="Название 2" xfId="3723" hidden="1"/>
    <cellStyle name="Название 2" xfId="3728" hidden="1"/>
    <cellStyle name="Название 2" xfId="3741" hidden="1"/>
    <cellStyle name="Название 2" xfId="3750" hidden="1"/>
    <cellStyle name="Название 2" xfId="3747" hidden="1"/>
    <cellStyle name="Название 2" xfId="3757" hidden="1"/>
    <cellStyle name="Название 2" xfId="3768" hidden="1"/>
    <cellStyle name="Название 2" xfId="3773" hidden="1"/>
    <cellStyle name="Название 2" xfId="3785" hidden="1"/>
    <cellStyle name="Название 2" xfId="3794" hidden="1"/>
    <cellStyle name="Название 2" xfId="3791" hidden="1"/>
    <cellStyle name="Название 2" xfId="3801" hidden="1"/>
    <cellStyle name="Название 2" xfId="3439" hidden="1"/>
    <cellStyle name="Название 2" xfId="3064" hidden="1"/>
    <cellStyle name="Название 2" xfId="3052" hidden="1"/>
    <cellStyle name="Название 2" xfId="3043" hidden="1"/>
    <cellStyle name="Название 2" xfId="3046" hidden="1"/>
    <cellStyle name="Название 2" xfId="3036" hidden="1"/>
    <cellStyle name="Название 2" xfId="3013" hidden="1"/>
    <cellStyle name="Название 2" xfId="3008" hidden="1"/>
    <cellStyle name="Название 2" xfId="2996" hidden="1"/>
    <cellStyle name="Название 2" xfId="2987" hidden="1"/>
    <cellStyle name="Название 2" xfId="2990" hidden="1"/>
    <cellStyle name="Название 2" xfId="2980" hidden="1"/>
    <cellStyle name="Название 2" xfId="2714" hidden="1"/>
    <cellStyle name="Название 2" xfId="2695" hidden="1"/>
    <cellStyle name="Название 2" xfId="2683" hidden="1"/>
    <cellStyle name="Название 2" xfId="2674" hidden="1"/>
    <cellStyle name="Название 2" xfId="2677" hidden="1"/>
    <cellStyle name="Название 2" xfId="3537" hidden="1"/>
    <cellStyle name="Название 2" xfId="1176" hidden="1"/>
    <cellStyle name="Название 2" xfId="3459" hidden="1"/>
    <cellStyle name="Название 2" xfId="1175" hidden="1"/>
    <cellStyle name="Название 2" xfId="2888" hidden="1"/>
    <cellStyle name="Название 2" xfId="2801" hidden="1"/>
    <cellStyle name="Название 2" xfId="3535" hidden="1"/>
    <cellStyle name="Название 2" xfId="3812" hidden="1"/>
    <cellStyle name="Название 2" xfId="3817" hidden="1"/>
    <cellStyle name="Название 2" xfId="3829" hidden="1"/>
    <cellStyle name="Название 2" xfId="3838" hidden="1"/>
    <cellStyle name="Название 2" xfId="3835" hidden="1"/>
    <cellStyle name="Название 2" xfId="3845" hidden="1"/>
    <cellStyle name="Название 2" xfId="3854" hidden="1"/>
    <cellStyle name="Название 2" xfId="3859" hidden="1"/>
    <cellStyle name="Название 2" xfId="3871" hidden="1"/>
    <cellStyle name="Название 2" xfId="3880" hidden="1"/>
    <cellStyle name="Название 2" xfId="3877" hidden="1"/>
    <cellStyle name="Название 2" xfId="3887" hidden="1"/>
    <cellStyle name="Название 2" xfId="3896" hidden="1"/>
    <cellStyle name="Название 2" xfId="3901" hidden="1"/>
    <cellStyle name="Название 2" xfId="3913" hidden="1"/>
    <cellStyle name="Название 2" xfId="3922" hidden="1"/>
    <cellStyle name="Название 2" xfId="3919" hidden="1"/>
    <cellStyle name="Название 2" xfId="3929" hidden="1"/>
    <cellStyle name="Название 2" xfId="3938" hidden="1"/>
    <cellStyle name="Название 2" xfId="3943" hidden="1"/>
    <cellStyle name="Название 2" xfId="3955" hidden="1"/>
    <cellStyle name="Название 2" xfId="3964" hidden="1"/>
    <cellStyle name="Название 2" xfId="3961" hidden="1"/>
    <cellStyle name="Название 2" xfId="3971" hidden="1"/>
    <cellStyle name="Название 2" xfId="3981" hidden="1"/>
    <cellStyle name="Название 2" xfId="3986" hidden="1"/>
    <cellStyle name="Название 2" xfId="3998" hidden="1"/>
    <cellStyle name="Название 2" xfId="4007" hidden="1"/>
    <cellStyle name="Название 2" xfId="4004" hidden="1"/>
    <cellStyle name="Название 2" xfId="4014" hidden="1"/>
    <cellStyle name="Название 2" xfId="4023" hidden="1"/>
    <cellStyle name="Название 2" xfId="4028" hidden="1"/>
    <cellStyle name="Название 2" xfId="4040" hidden="1"/>
    <cellStyle name="Название 2" xfId="4049" hidden="1"/>
    <cellStyle name="Название 2" xfId="4046" hidden="1"/>
    <cellStyle name="Название 2" xfId="4056" hidden="1"/>
    <cellStyle name="Название 2" xfId="4065" hidden="1"/>
    <cellStyle name="Название 2" xfId="4070" hidden="1"/>
    <cellStyle name="Название 2" xfId="4082" hidden="1"/>
    <cellStyle name="Название 2" xfId="4091" hidden="1"/>
    <cellStyle name="Название 2" xfId="4088" hidden="1"/>
    <cellStyle name="Название 2" xfId="4098" hidden="1"/>
    <cellStyle name="Название 2" xfId="4107" hidden="1"/>
    <cellStyle name="Название 2" xfId="4112" hidden="1"/>
    <cellStyle name="Название 2" xfId="4124" hidden="1"/>
    <cellStyle name="Название 2" xfId="4133" hidden="1"/>
    <cellStyle name="Название 2" xfId="4130" hidden="1"/>
    <cellStyle name="Название 2" xfId="4140" hidden="1"/>
    <cellStyle name="Название 2" xfId="4232" hidden="1"/>
    <cellStyle name="Название 2" xfId="4241" hidden="1"/>
    <cellStyle name="Название 2" xfId="4254" hidden="1"/>
    <cellStyle name="Название 2" xfId="4263" hidden="1"/>
    <cellStyle name="Название 2" xfId="4260" hidden="1"/>
    <cellStyle name="Название 2" xfId="4270" hidden="1"/>
    <cellStyle name="Название 2" xfId="4282" hidden="1"/>
    <cellStyle name="Название 2" xfId="4287" hidden="1"/>
    <cellStyle name="Название 2" xfId="4300" hidden="1"/>
    <cellStyle name="Название 2" xfId="4309" hidden="1"/>
    <cellStyle name="Название 2" xfId="4306" hidden="1"/>
    <cellStyle name="Название 2" xfId="4316" hidden="1"/>
    <cellStyle name="Название 2" xfId="4328" hidden="1"/>
    <cellStyle name="Название 2" xfId="4333" hidden="1"/>
    <cellStyle name="Название 2" xfId="4346" hidden="1"/>
    <cellStyle name="Название 2" xfId="4355" hidden="1"/>
    <cellStyle name="Название 2" xfId="4352" hidden="1"/>
    <cellStyle name="Название 2" xfId="4362" hidden="1"/>
    <cellStyle name="Название 2" xfId="4373" hidden="1"/>
    <cellStyle name="Название 2" xfId="4378" hidden="1"/>
    <cellStyle name="Название 2" xfId="4391" hidden="1"/>
    <cellStyle name="Название 2" xfId="4400" hidden="1"/>
    <cellStyle name="Название 2" xfId="4397" hidden="1"/>
    <cellStyle name="Название 2" xfId="4407" hidden="1"/>
    <cellStyle name="Название 2" xfId="4418" hidden="1"/>
    <cellStyle name="Название 2" xfId="4423" hidden="1"/>
    <cellStyle name="Название 2" xfId="4436" hidden="1"/>
    <cellStyle name="Название 2" xfId="4445" hidden="1"/>
    <cellStyle name="Название 2" xfId="4442" hidden="1"/>
    <cellStyle name="Название 2" xfId="4452" hidden="1"/>
    <cellStyle name="Название 2" xfId="4463" hidden="1"/>
    <cellStyle name="Название 2" xfId="4468" hidden="1"/>
    <cellStyle name="Название 2" xfId="4481" hidden="1"/>
    <cellStyle name="Название 2" xfId="4490" hidden="1"/>
    <cellStyle name="Название 2" xfId="4487" hidden="1"/>
    <cellStyle name="Название 2" xfId="4497" hidden="1"/>
    <cellStyle name="Название 2" xfId="4510" hidden="1"/>
    <cellStyle name="Название 2" xfId="4515" hidden="1"/>
    <cellStyle name="Название 2" xfId="4528" hidden="1"/>
    <cellStyle name="Название 2" xfId="4537" hidden="1"/>
    <cellStyle name="Название 2" xfId="4534" hidden="1"/>
    <cellStyle name="Название 2" xfId="4544" hidden="1"/>
    <cellStyle name="Название 2" xfId="4555" hidden="1"/>
    <cellStyle name="Название 2" xfId="4560" hidden="1"/>
    <cellStyle name="Название 2" xfId="4573" hidden="1"/>
    <cellStyle name="Название 2" xfId="4582" hidden="1"/>
    <cellStyle name="Название 2" xfId="4579" hidden="1"/>
    <cellStyle name="Название 2" xfId="4589" hidden="1"/>
    <cellStyle name="Название 2" xfId="4601" hidden="1"/>
    <cellStyle name="Название 2" xfId="4606" hidden="1"/>
    <cellStyle name="Название 2" xfId="4619" hidden="1"/>
    <cellStyle name="Название 2" xfId="4628" hidden="1"/>
    <cellStyle name="Название 2" xfId="4625" hidden="1"/>
    <cellStyle name="Название 2" xfId="4635" hidden="1"/>
    <cellStyle name="Название 2" xfId="4646" hidden="1"/>
    <cellStyle name="Название 2" xfId="4651" hidden="1"/>
    <cellStyle name="Название 2" xfId="4664" hidden="1"/>
    <cellStyle name="Название 2" xfId="4673" hidden="1"/>
    <cellStyle name="Название 2" xfId="4670" hidden="1"/>
    <cellStyle name="Название 2" xfId="4680" hidden="1"/>
    <cellStyle name="Название 2" xfId="4691" hidden="1"/>
    <cellStyle name="Название 2" xfId="4696" hidden="1"/>
    <cellStyle name="Название 2" xfId="4709" hidden="1"/>
    <cellStyle name="Название 2" xfId="4718" hidden="1"/>
    <cellStyle name="Название 2" xfId="4715" hidden="1"/>
    <cellStyle name="Название 2" xfId="4725" hidden="1"/>
    <cellStyle name="Название 2" xfId="4736" hidden="1"/>
    <cellStyle name="Название 2" xfId="4741" hidden="1"/>
    <cellStyle name="Название 2" xfId="4754" hidden="1"/>
    <cellStyle name="Название 2" xfId="4763" hidden="1"/>
    <cellStyle name="Название 2" xfId="4760" hidden="1"/>
    <cellStyle name="Название 2" xfId="4770" hidden="1"/>
    <cellStyle name="Название 2" xfId="4858" hidden="1"/>
    <cellStyle name="Название 2" xfId="4886" hidden="1"/>
    <cellStyle name="Название 2" xfId="4902" hidden="1"/>
    <cellStyle name="Название 2" xfId="4911" hidden="1"/>
    <cellStyle name="Название 2" xfId="4908" hidden="1"/>
    <cellStyle name="Название 2" xfId="4918" hidden="1"/>
    <cellStyle name="Название 2" xfId="4932" hidden="1"/>
    <cellStyle name="Название 2" xfId="4937" hidden="1"/>
    <cellStyle name="Название 2" xfId="4950" hidden="1"/>
    <cellStyle name="Название 2" xfId="4959" hidden="1"/>
    <cellStyle name="Название 2" xfId="4956" hidden="1"/>
    <cellStyle name="Название 2" xfId="4966" hidden="1"/>
    <cellStyle name="Название 2" xfId="5018" hidden="1"/>
    <cellStyle name="Название 2" xfId="5079" hidden="1"/>
    <cellStyle name="Название 2" xfId="5092" hidden="1"/>
    <cellStyle name="Название 2" xfId="5101" hidden="1"/>
    <cellStyle name="Название 2" xfId="5098" hidden="1"/>
    <cellStyle name="Название 2" xfId="5108" hidden="1"/>
    <cellStyle name="Название 2" xfId="5119" hidden="1"/>
    <cellStyle name="Название 2" xfId="5124" hidden="1"/>
    <cellStyle name="Название 2" xfId="5137" hidden="1"/>
    <cellStyle name="Название 2" xfId="5146" hidden="1"/>
    <cellStyle name="Название 2" xfId="5143" hidden="1"/>
    <cellStyle name="Название 2" xfId="5153" hidden="1"/>
    <cellStyle name="Название 2" xfId="5215" hidden="1"/>
    <cellStyle name="Название 2" xfId="5255" hidden="1"/>
    <cellStyle name="Название 2" xfId="5269" hidden="1"/>
    <cellStyle name="Название 2" xfId="5278" hidden="1"/>
    <cellStyle name="Название 2" xfId="5275" hidden="1"/>
    <cellStyle name="Название 2" xfId="5285" hidden="1"/>
    <cellStyle name="Название 2" xfId="5296" hidden="1"/>
    <cellStyle name="Название 2" xfId="5301" hidden="1"/>
    <cellStyle name="Название 2" xfId="5314" hidden="1"/>
    <cellStyle name="Название 2" xfId="5323" hidden="1"/>
    <cellStyle name="Название 2" xfId="5320" hidden="1"/>
    <cellStyle name="Название 2" xfId="5330" hidden="1"/>
    <cellStyle name="Название 2" xfId="5342" hidden="1"/>
    <cellStyle name="Название 2" xfId="5347" hidden="1"/>
    <cellStyle name="Название 2" xfId="5360" hidden="1"/>
    <cellStyle name="Название 2" xfId="5369" hidden="1"/>
    <cellStyle name="Название 2" xfId="5366" hidden="1"/>
    <cellStyle name="Название 2" xfId="5376" hidden="1"/>
    <cellStyle name="Название 2" xfId="5387" hidden="1"/>
    <cellStyle name="Название 2" xfId="5392" hidden="1"/>
    <cellStyle name="Название 2" xfId="5405" hidden="1"/>
    <cellStyle name="Название 2" xfId="5414" hidden="1"/>
    <cellStyle name="Название 2" xfId="5411" hidden="1"/>
    <cellStyle name="Название 2" xfId="5421" hidden="1"/>
    <cellStyle name="Название 2" xfId="5433" hidden="1"/>
    <cellStyle name="Название 2" xfId="5438" hidden="1"/>
    <cellStyle name="Название 2" xfId="5451" hidden="1"/>
    <cellStyle name="Название 2" xfId="5460" hidden="1"/>
    <cellStyle name="Название 2" xfId="5457" hidden="1"/>
    <cellStyle name="Название 2" xfId="5467" hidden="1"/>
    <cellStyle name="Название 2" xfId="5478" hidden="1"/>
    <cellStyle name="Название 2" xfId="5483" hidden="1"/>
    <cellStyle name="Название 2" xfId="5496" hidden="1"/>
    <cellStyle name="Название 2" xfId="5505" hidden="1"/>
    <cellStyle name="Название 2" xfId="5502" hidden="1"/>
    <cellStyle name="Название 2" xfId="5512" hidden="1"/>
    <cellStyle name="Название 2" xfId="5523" hidden="1"/>
    <cellStyle name="Название 2" xfId="5528" hidden="1"/>
    <cellStyle name="Название 2" xfId="5541" hidden="1"/>
    <cellStyle name="Название 2" xfId="5550" hidden="1"/>
    <cellStyle name="Название 2" xfId="5547" hidden="1"/>
    <cellStyle name="Название 2" xfId="5557" hidden="1"/>
    <cellStyle name="Название 2" xfId="5568" hidden="1"/>
    <cellStyle name="Название 2" xfId="5573" hidden="1"/>
    <cellStyle name="Название 2" xfId="5586" hidden="1"/>
    <cellStyle name="Название 2" xfId="5595" hidden="1"/>
    <cellStyle name="Название 2" xfId="5592" hidden="1"/>
    <cellStyle name="Название 2" xfId="5602" hidden="1"/>
    <cellStyle name="Название 2" xfId="5201" hidden="1"/>
    <cellStyle name="Название 2" xfId="5069" hidden="1"/>
    <cellStyle name="Название 2" xfId="5054" hidden="1"/>
    <cellStyle name="Название 2" xfId="5045" hidden="1"/>
    <cellStyle name="Название 2" xfId="5048" hidden="1"/>
    <cellStyle name="Название 2" xfId="5038" hidden="1"/>
    <cellStyle name="Название 2" xfId="5023" hidden="1"/>
    <cellStyle name="Название 2" xfId="5011" hidden="1"/>
    <cellStyle name="Название 2" xfId="4998" hidden="1"/>
    <cellStyle name="Название 2" xfId="4989" hidden="1"/>
    <cellStyle name="Название 2" xfId="4992" hidden="1"/>
    <cellStyle name="Название 2" xfId="4982" hidden="1"/>
    <cellStyle name="Название 2" xfId="4861" hidden="1"/>
    <cellStyle name="Название 2" xfId="4820" hidden="1"/>
    <cellStyle name="Название 2" xfId="4806" hidden="1"/>
    <cellStyle name="Название 2" xfId="4797" hidden="1"/>
    <cellStyle name="Название 2" xfId="4800" hidden="1"/>
    <cellStyle name="Название 2" xfId="4790" hidden="1"/>
    <cellStyle name="Название 2" xfId="5608" hidden="1"/>
    <cellStyle name="Название 2" xfId="5613" hidden="1"/>
    <cellStyle name="Название 2" xfId="5626" hidden="1"/>
    <cellStyle name="Название 2" xfId="5635" hidden="1"/>
    <cellStyle name="Название 2" xfId="5632" hidden="1"/>
    <cellStyle name="Название 2" xfId="5642" hidden="1"/>
    <cellStyle name="Название 2" xfId="5659" hidden="1"/>
    <cellStyle name="Название 2" xfId="5664" hidden="1"/>
    <cellStyle name="Название 2" xfId="5677" hidden="1"/>
    <cellStyle name="Название 2" xfId="5686" hidden="1"/>
    <cellStyle name="Название 2" xfId="5683" hidden="1"/>
    <cellStyle name="Название 2" xfId="5693" hidden="1"/>
    <cellStyle name="Название 2" xfId="5704" hidden="1"/>
    <cellStyle name="Название 2" xfId="5709" hidden="1"/>
    <cellStyle name="Название 2" xfId="5722" hidden="1"/>
    <cellStyle name="Название 2" xfId="5731" hidden="1"/>
    <cellStyle name="Название 2" xfId="5728" hidden="1"/>
    <cellStyle name="Название 2" xfId="5738" hidden="1"/>
    <cellStyle name="Название 2" xfId="5752" hidden="1"/>
    <cellStyle name="Название 2" xfId="5757" hidden="1"/>
    <cellStyle name="Название 2" xfId="5770" hidden="1"/>
    <cellStyle name="Название 2" xfId="5779" hidden="1"/>
    <cellStyle name="Название 2" xfId="5776" hidden="1"/>
    <cellStyle name="Название 2" xfId="5786" hidden="1"/>
    <cellStyle name="Название 2" xfId="5797" hidden="1"/>
    <cellStyle name="Название 2" xfId="5802" hidden="1"/>
    <cellStyle name="Название 2" xfId="5815" hidden="1"/>
    <cellStyle name="Название 2" xfId="5824" hidden="1"/>
    <cellStyle name="Название 2" xfId="5821" hidden="1"/>
    <cellStyle name="Название 2" xfId="5831" hidden="1"/>
    <cellStyle name="Название 2" xfId="5843" hidden="1"/>
    <cellStyle name="Название 2" xfId="5848" hidden="1"/>
    <cellStyle name="Название 2" xfId="5861" hidden="1"/>
    <cellStyle name="Название 2" xfId="5870" hidden="1"/>
    <cellStyle name="Название 2" xfId="5867" hidden="1"/>
    <cellStyle name="Название 2" xfId="5877" hidden="1"/>
    <cellStyle name="Название 2" xfId="5888" hidden="1"/>
    <cellStyle name="Название 2" xfId="5893" hidden="1"/>
    <cellStyle name="Название 2" xfId="5906" hidden="1"/>
    <cellStyle name="Название 2" xfId="5915" hidden="1"/>
    <cellStyle name="Название 2" xfId="5912" hidden="1"/>
    <cellStyle name="Название 2" xfId="5922" hidden="1"/>
    <cellStyle name="Название 2" xfId="5932" hidden="1"/>
    <cellStyle name="Название 2" xfId="5937" hidden="1"/>
    <cellStyle name="Название 2" xfId="5950" hidden="1"/>
    <cellStyle name="Название 2" xfId="5959" hidden="1"/>
    <cellStyle name="Название 2" xfId="5956" hidden="1"/>
    <cellStyle name="Название 2" xfId="5966" hidden="1"/>
    <cellStyle name="Название 2" xfId="5977" hidden="1"/>
    <cellStyle name="Название 2" xfId="5982" hidden="1"/>
    <cellStyle name="Название 2" xfId="5994" hidden="1"/>
    <cellStyle name="Название 2" xfId="6003" hidden="1"/>
    <cellStyle name="Название 2" xfId="6000" hidden="1"/>
    <cellStyle name="Название 2" xfId="6010" hidden="1"/>
    <cellStyle name="Название 2" xfId="5648" hidden="1"/>
    <cellStyle name="Название 2" xfId="5248" hidden="1"/>
    <cellStyle name="Название 2" xfId="5236" hidden="1"/>
    <cellStyle name="Название 2" xfId="5227" hidden="1"/>
    <cellStyle name="Название 2" xfId="5230" hidden="1"/>
    <cellStyle name="Название 2" xfId="5220" hidden="1"/>
    <cellStyle name="Название 2" xfId="5197" hidden="1"/>
    <cellStyle name="Название 2" xfId="5192" hidden="1"/>
    <cellStyle name="Название 2" xfId="5180" hidden="1"/>
    <cellStyle name="Название 2" xfId="5171" hidden="1"/>
    <cellStyle name="Название 2" xfId="5174" hidden="1"/>
    <cellStyle name="Название 2" xfId="5164" hidden="1"/>
    <cellStyle name="Название 2" xfId="4868" hidden="1"/>
    <cellStyle name="Название 2" xfId="4849" hidden="1"/>
    <cellStyle name="Название 2" xfId="4837" hidden="1"/>
    <cellStyle name="Название 2" xfId="4828" hidden="1"/>
    <cellStyle name="Название 2" xfId="4831" hidden="1"/>
    <cellStyle name="Название 2" xfId="5746" hidden="1"/>
    <cellStyle name="Название 2" xfId="4785" hidden="1"/>
    <cellStyle name="Название 2" xfId="5668" hidden="1"/>
    <cellStyle name="Название 2" xfId="4786" hidden="1"/>
    <cellStyle name="Название 2" xfId="5065" hidden="1"/>
    <cellStyle name="Название 2" xfId="4978" hidden="1"/>
    <cellStyle name="Название 2" xfId="5744" hidden="1"/>
    <cellStyle name="Название 2" xfId="6021" hidden="1"/>
    <cellStyle name="Название 2" xfId="6026" hidden="1"/>
    <cellStyle name="Название 2" xfId="6038" hidden="1"/>
    <cellStyle name="Название 2" xfId="6047" hidden="1"/>
    <cellStyle name="Название 2" xfId="6044" hidden="1"/>
    <cellStyle name="Название 2" xfId="6054" hidden="1"/>
    <cellStyle name="Название 2" xfId="6063" hidden="1"/>
    <cellStyle name="Название 2" xfId="6068" hidden="1"/>
    <cellStyle name="Название 2" xfId="6080" hidden="1"/>
    <cellStyle name="Название 2" xfId="6089" hidden="1"/>
    <cellStyle name="Название 2" xfId="6086" hidden="1"/>
    <cellStyle name="Название 2" xfId="6096" hidden="1"/>
    <cellStyle name="Название 2" xfId="6105" hidden="1"/>
    <cellStyle name="Название 2" xfId="6110" hidden="1"/>
    <cellStyle name="Название 2" xfId="6122" hidden="1"/>
    <cellStyle name="Название 2" xfId="6131" hidden="1"/>
    <cellStyle name="Название 2" xfId="6128" hidden="1"/>
    <cellStyle name="Название 2" xfId="6138" hidden="1"/>
    <cellStyle name="Название 2" xfId="6147" hidden="1"/>
    <cellStyle name="Название 2" xfId="6152" hidden="1"/>
    <cellStyle name="Название 2" xfId="6164" hidden="1"/>
    <cellStyle name="Название 2" xfId="6173" hidden="1"/>
    <cellStyle name="Название 2" xfId="6170" hidden="1"/>
    <cellStyle name="Название 2" xfId="6180" hidden="1"/>
    <cellStyle name="Название 2" xfId="6190" hidden="1"/>
    <cellStyle name="Название 2" xfId="6195" hidden="1"/>
    <cellStyle name="Название 2" xfId="6207" hidden="1"/>
    <cellStyle name="Название 2" xfId="6216" hidden="1"/>
    <cellStyle name="Название 2" xfId="6213" hidden="1"/>
    <cellStyle name="Название 2" xfId="6223" hidden="1"/>
    <cellStyle name="Название 2" xfId="6232" hidden="1"/>
    <cellStyle name="Название 2" xfId="6237" hidden="1"/>
    <cellStyle name="Название 2" xfId="6249" hidden="1"/>
    <cellStyle name="Название 2" xfId="6258" hidden="1"/>
    <cellStyle name="Название 2" xfId="6255" hidden="1"/>
    <cellStyle name="Название 2" xfId="6265" hidden="1"/>
    <cellStyle name="Название 2" xfId="6274" hidden="1"/>
    <cellStyle name="Название 2" xfId="6279" hidden="1"/>
    <cellStyle name="Название 2" xfId="6291" hidden="1"/>
    <cellStyle name="Название 2" xfId="6300" hidden="1"/>
    <cellStyle name="Название 2" xfId="6297" hidden="1"/>
    <cellStyle name="Название 2" xfId="6307" hidden="1"/>
    <cellStyle name="Название 2" xfId="6316" hidden="1"/>
    <cellStyle name="Название 2" xfId="6321" hidden="1"/>
    <cellStyle name="Название 2" xfId="6333" hidden="1"/>
    <cellStyle name="Название 2" xfId="6342" hidden="1"/>
    <cellStyle name="Название 2" xfId="6339" hidden="1"/>
    <cellStyle name="Название 2" xfId="6349" hidden="1"/>
    <cellStyle name="Название 2" xfId="6410" hidden="1"/>
    <cellStyle name="Название 2" xfId="6426" hidden="1"/>
    <cellStyle name="Название 2" xfId="6440" hidden="1"/>
    <cellStyle name="Название 2" xfId="6449" hidden="1"/>
    <cellStyle name="Название 2" xfId="6446" hidden="1"/>
    <cellStyle name="Название 2" xfId="6456" hidden="1"/>
    <cellStyle name="Название 2" xfId="6465" hidden="1"/>
    <cellStyle name="Название 2" xfId="6470" hidden="1"/>
    <cellStyle name="Название 2" xfId="6482" hidden="1"/>
    <cellStyle name="Название 2" xfId="6491" hidden="1"/>
    <cellStyle name="Название 2" xfId="6488" hidden="1"/>
    <cellStyle name="Название 2" xfId="6498" hidden="1"/>
    <cellStyle name="Название 2" xfId="6547" hidden="1"/>
    <cellStyle name="Название 2" xfId="6608" hidden="1"/>
    <cellStyle name="Название 2" xfId="6620" hidden="1"/>
    <cellStyle name="Название 2" xfId="6629" hidden="1"/>
    <cellStyle name="Название 2" xfId="6626" hidden="1"/>
    <cellStyle name="Название 2" xfId="6636" hidden="1"/>
    <cellStyle name="Название 2" xfId="6645" hidden="1"/>
    <cellStyle name="Название 2" xfId="6650" hidden="1"/>
    <cellStyle name="Название 2" xfId="6662" hidden="1"/>
    <cellStyle name="Название 2" xfId="6671" hidden="1"/>
    <cellStyle name="Название 2" xfId="6668" hidden="1"/>
    <cellStyle name="Название 2" xfId="6678" hidden="1"/>
    <cellStyle name="Название 2" xfId="6737" hidden="1"/>
    <cellStyle name="Название 2" xfId="6777" hidden="1"/>
    <cellStyle name="Название 2" xfId="6790" hidden="1"/>
    <cellStyle name="Название 2" xfId="6799" hidden="1"/>
    <cellStyle name="Название 2" xfId="6796" hidden="1"/>
    <cellStyle name="Название 2" xfId="6806" hidden="1"/>
    <cellStyle name="Название 2" xfId="6815" hidden="1"/>
    <cellStyle name="Название 2" xfId="6820" hidden="1"/>
    <cellStyle name="Название 2" xfId="6832" hidden="1"/>
    <cellStyle name="Название 2" xfId="6841" hidden="1"/>
    <cellStyle name="Название 2" xfId="6838" hidden="1"/>
    <cellStyle name="Название 2" xfId="6848" hidden="1"/>
    <cellStyle name="Название 2" xfId="6857" hidden="1"/>
    <cellStyle name="Название 2" xfId="6862" hidden="1"/>
    <cellStyle name="Название 2" xfId="6874" hidden="1"/>
    <cellStyle name="Название 2" xfId="6883" hidden="1"/>
    <cellStyle name="Название 2" xfId="6880" hidden="1"/>
    <cellStyle name="Название 2" xfId="6890" hidden="1"/>
    <cellStyle name="Название 2" xfId="6899" hidden="1"/>
    <cellStyle name="Название 2" xfId="6904" hidden="1"/>
    <cellStyle name="Название 2" xfId="6916" hidden="1"/>
    <cellStyle name="Название 2" xfId="6925" hidden="1"/>
    <cellStyle name="Название 2" xfId="6922" hidden="1"/>
    <cellStyle name="Название 2" xfId="6932" hidden="1"/>
    <cellStyle name="Название 2" xfId="6942" hidden="1"/>
    <cellStyle name="Название 2" xfId="6947" hidden="1"/>
    <cellStyle name="Название 2" xfId="6959" hidden="1"/>
    <cellStyle name="Название 2" xfId="6968" hidden="1"/>
    <cellStyle name="Название 2" xfId="6965" hidden="1"/>
    <cellStyle name="Название 2" xfId="6975" hidden="1"/>
    <cellStyle name="Название 2" xfId="6984" hidden="1"/>
    <cellStyle name="Название 2" xfId="6989" hidden="1"/>
    <cellStyle name="Название 2" xfId="7001" hidden="1"/>
    <cellStyle name="Название 2" xfId="7010" hidden="1"/>
    <cellStyle name="Название 2" xfId="7007" hidden="1"/>
    <cellStyle name="Название 2" xfId="7017" hidden="1"/>
    <cellStyle name="Название 2" xfId="7026" hidden="1"/>
    <cellStyle name="Название 2" xfId="7031" hidden="1"/>
    <cellStyle name="Название 2" xfId="7043" hidden="1"/>
    <cellStyle name="Название 2" xfId="7052" hidden="1"/>
    <cellStyle name="Название 2" xfId="7049" hidden="1"/>
    <cellStyle name="Название 2" xfId="7059" hidden="1"/>
    <cellStyle name="Название 2" xfId="7068" hidden="1"/>
    <cellStyle name="Название 2" xfId="7073" hidden="1"/>
    <cellStyle name="Название 2" xfId="7085" hidden="1"/>
    <cellStyle name="Название 2" xfId="7094" hidden="1"/>
    <cellStyle name="Название 2" xfId="7091" hidden="1"/>
    <cellStyle name="Название 2" xfId="7101" hidden="1"/>
    <cellStyle name="Название 2" xfId="6723" hidden="1"/>
    <cellStyle name="Название 2" xfId="6598" hidden="1"/>
    <cellStyle name="Название 2" xfId="6583" hidden="1"/>
    <cellStyle name="Название 2" xfId="6574" hidden="1"/>
    <cellStyle name="Название 2" xfId="6577" hidden="1"/>
    <cellStyle name="Название 2" xfId="6567" hidden="1"/>
    <cellStyle name="Название 2" xfId="6552" hidden="1"/>
    <cellStyle name="Название 2" xfId="6540" hidden="1"/>
    <cellStyle name="Название 2" xfId="6527" hidden="1"/>
    <cellStyle name="Название 2" xfId="6518" hidden="1"/>
    <cellStyle name="Название 2" xfId="6521" hidden="1"/>
    <cellStyle name="Название 2" xfId="6511" hidden="1"/>
    <cellStyle name="Название 2" xfId="6413" hidden="1"/>
    <cellStyle name="Название 2" xfId="6372" hidden="1"/>
    <cellStyle name="Название 2" xfId="6358" hidden="1"/>
    <cellStyle name="Название 2" xfId="4877" hidden="1"/>
    <cellStyle name="Название 2" xfId="4870" hidden="1"/>
    <cellStyle name="Название 2" xfId="4782" hidden="1"/>
    <cellStyle name="Название 2" xfId="7105" hidden="1"/>
    <cellStyle name="Название 2" xfId="7110" hidden="1"/>
    <cellStyle name="Название 2" xfId="7123" hidden="1"/>
    <cellStyle name="Название 2" xfId="7132" hidden="1"/>
    <cellStyle name="Название 2" xfId="7129" hidden="1"/>
    <cellStyle name="Название 2" xfId="7139" hidden="1"/>
    <cellStyle name="Название 2" xfId="7156" hidden="1"/>
    <cellStyle name="Название 2" xfId="7161" hidden="1"/>
    <cellStyle name="Название 2" xfId="7174" hidden="1"/>
    <cellStyle name="Название 2" xfId="7183" hidden="1"/>
    <cellStyle name="Название 2" xfId="7180" hidden="1"/>
    <cellStyle name="Название 2" xfId="7190" hidden="1"/>
    <cellStyle name="Название 2" xfId="7201" hidden="1"/>
    <cellStyle name="Название 2" xfId="7206" hidden="1"/>
    <cellStyle name="Название 2" xfId="7219" hidden="1"/>
    <cellStyle name="Название 2" xfId="7228" hidden="1"/>
    <cellStyle name="Название 2" xfId="7225" hidden="1"/>
    <cellStyle name="Название 2" xfId="7235" hidden="1"/>
    <cellStyle name="Название 2" xfId="7249" hidden="1"/>
    <cellStyle name="Название 2" xfId="7254" hidden="1"/>
    <cellStyle name="Название 2" xfId="7267" hidden="1"/>
    <cellStyle name="Название 2" xfId="7276" hidden="1"/>
    <cellStyle name="Название 2" xfId="7273" hidden="1"/>
    <cellStyle name="Название 2" xfId="7283" hidden="1"/>
    <cellStyle name="Название 2" xfId="7294" hidden="1"/>
    <cellStyle name="Название 2" xfId="7299" hidden="1"/>
    <cellStyle name="Название 2" xfId="7312" hidden="1"/>
    <cellStyle name="Название 2" xfId="7321" hidden="1"/>
    <cellStyle name="Название 2" xfId="7318" hidden="1"/>
    <cellStyle name="Название 2" xfId="7328" hidden="1"/>
    <cellStyle name="Название 2" xfId="7340" hidden="1"/>
    <cellStyle name="Название 2" xfId="7345" hidden="1"/>
    <cellStyle name="Название 2" xfId="7358" hidden="1"/>
    <cellStyle name="Название 2" xfId="7367" hidden="1"/>
    <cellStyle name="Название 2" xfId="7364" hidden="1"/>
    <cellStyle name="Название 2" xfId="7374" hidden="1"/>
    <cellStyle name="Название 2" xfId="7385" hidden="1"/>
    <cellStyle name="Название 2" xfId="7390" hidden="1"/>
    <cellStyle name="Название 2" xfId="7403" hidden="1"/>
    <cellStyle name="Название 2" xfId="7412" hidden="1"/>
    <cellStyle name="Название 2" xfId="7409" hidden="1"/>
    <cellStyle name="Название 2" xfId="7419" hidden="1"/>
    <cellStyle name="Название 2" xfId="7429" hidden="1"/>
    <cellStyle name="Название 2" xfId="7434" hidden="1"/>
    <cellStyle name="Название 2" xfId="7447" hidden="1"/>
    <cellStyle name="Название 2" xfId="7456" hidden="1"/>
    <cellStyle name="Название 2" xfId="7453" hidden="1"/>
    <cellStyle name="Название 2" xfId="7463" hidden="1"/>
    <cellStyle name="Название 2" xfId="7474" hidden="1"/>
    <cellStyle name="Название 2" xfId="7479" hidden="1"/>
    <cellStyle name="Название 2" xfId="7491" hidden="1"/>
    <cellStyle name="Название 2" xfId="7500" hidden="1"/>
    <cellStyle name="Название 2" xfId="7497" hidden="1"/>
    <cellStyle name="Название 2" xfId="7507" hidden="1"/>
    <cellStyle name="Название 2" xfId="7145" hidden="1"/>
    <cellStyle name="Название 2" xfId="6770" hidden="1"/>
    <cellStyle name="Название 2" xfId="6758" hidden="1"/>
    <cellStyle name="Название 2" xfId="6749" hidden="1"/>
    <cellStyle name="Название 2" xfId="6752" hidden="1"/>
    <cellStyle name="Название 2" xfId="6742" hidden="1"/>
    <cellStyle name="Название 2" xfId="6719" hidden="1"/>
    <cellStyle name="Название 2" xfId="6714" hidden="1"/>
    <cellStyle name="Название 2" xfId="6702" hidden="1"/>
    <cellStyle name="Название 2" xfId="6693" hidden="1"/>
    <cellStyle name="Название 2" xfId="6696" hidden="1"/>
    <cellStyle name="Название 2" xfId="6686" hidden="1"/>
    <cellStyle name="Название 2" xfId="6420" hidden="1"/>
    <cellStyle name="Название 2" xfId="6401" hidden="1"/>
    <cellStyle name="Название 2" xfId="6389" hidden="1"/>
    <cellStyle name="Название 2" xfId="6380" hidden="1"/>
    <cellStyle name="Название 2" xfId="6383" hidden="1"/>
    <cellStyle name="Название 2" xfId="7243" hidden="1"/>
    <cellStyle name="Название 2" xfId="4882" hidden="1"/>
    <cellStyle name="Название 2" xfId="7165" hidden="1"/>
    <cellStyle name="Название 2" xfId="4881" hidden="1"/>
    <cellStyle name="Название 2" xfId="6594" hidden="1"/>
    <cellStyle name="Название 2" xfId="6507" hidden="1"/>
    <cellStyle name="Название 2" xfId="7241" hidden="1"/>
    <cellStyle name="Название 2" xfId="7518" hidden="1"/>
    <cellStyle name="Название 2" xfId="7523" hidden="1"/>
    <cellStyle name="Название 2" xfId="7535" hidden="1"/>
    <cellStyle name="Название 2" xfId="7544" hidden="1"/>
    <cellStyle name="Название 2" xfId="7541" hidden="1"/>
    <cellStyle name="Название 2" xfId="7551" hidden="1"/>
    <cellStyle name="Название 2" xfId="7560" hidden="1"/>
    <cellStyle name="Название 2" xfId="7565" hidden="1"/>
    <cellStyle name="Название 2" xfId="7577" hidden="1"/>
    <cellStyle name="Название 2" xfId="7586" hidden="1"/>
    <cellStyle name="Название 2" xfId="7583" hidden="1"/>
    <cellStyle name="Название 2" xfId="7593" hidden="1"/>
    <cellStyle name="Название 2" xfId="7602" hidden="1"/>
    <cellStyle name="Название 2" xfId="7607" hidden="1"/>
    <cellStyle name="Название 2" xfId="7619" hidden="1"/>
    <cellStyle name="Название 2" xfId="7628" hidden="1"/>
    <cellStyle name="Название 2" xfId="7625" hidden="1"/>
    <cellStyle name="Название 2" xfId="7635" hidden="1"/>
    <cellStyle name="Название 2" xfId="7644" hidden="1"/>
    <cellStyle name="Название 2" xfId="7649" hidden="1"/>
    <cellStyle name="Название 2" xfId="7661" hidden="1"/>
    <cellStyle name="Название 2" xfId="7670" hidden="1"/>
    <cellStyle name="Название 2" xfId="7667" hidden="1"/>
    <cellStyle name="Название 2" xfId="7677" hidden="1"/>
    <cellStyle name="Название 2" xfId="7687" hidden="1"/>
    <cellStyle name="Название 2" xfId="7692" hidden="1"/>
    <cellStyle name="Название 2" xfId="7704" hidden="1"/>
    <cellStyle name="Название 2" xfId="7713" hidden="1"/>
    <cellStyle name="Название 2" xfId="7710" hidden="1"/>
    <cellStyle name="Название 2" xfId="7720" hidden="1"/>
    <cellStyle name="Название 2" xfId="7729" hidden="1"/>
    <cellStyle name="Название 2" xfId="7734" hidden="1"/>
    <cellStyle name="Название 2" xfId="7746" hidden="1"/>
    <cellStyle name="Название 2" xfId="7755" hidden="1"/>
    <cellStyle name="Название 2" xfId="7752" hidden="1"/>
    <cellStyle name="Название 2" xfId="7762" hidden="1"/>
    <cellStyle name="Название 2" xfId="7771" hidden="1"/>
    <cellStyle name="Название 2" xfId="7776" hidden="1"/>
    <cellStyle name="Название 2" xfId="7788" hidden="1"/>
    <cellStyle name="Название 2" xfId="7797" hidden="1"/>
    <cellStyle name="Название 2" xfId="7794" hidden="1"/>
    <cellStyle name="Название 2" xfId="7804" hidden="1"/>
    <cellStyle name="Название 2" xfId="7813" hidden="1"/>
    <cellStyle name="Название 2" xfId="7818" hidden="1"/>
    <cellStyle name="Название 2" xfId="7830" hidden="1"/>
    <cellStyle name="Название 2" xfId="7839" hidden="1"/>
    <cellStyle name="Название 2" xfId="7836" hidden="1"/>
    <cellStyle name="Название 2" xfId="7846" hidden="1"/>
    <cellStyle name="Название 2" xfId="4237" hidden="1"/>
    <cellStyle name="Название 2" xfId="7854" hidden="1"/>
    <cellStyle name="Название 2" xfId="4221" hidden="1"/>
    <cellStyle name="Название 2" xfId="7861" hidden="1"/>
    <cellStyle name="Название 2" xfId="7859" hidden="1"/>
    <cellStyle name="Название 2" xfId="7867" hidden="1"/>
    <cellStyle name="Название 2" xfId="7876" hidden="1"/>
    <cellStyle name="Название 2" xfId="7879" hidden="1"/>
    <cellStyle name="Название 2" xfId="7891" hidden="1"/>
    <cellStyle name="Название 2" xfId="7897" hidden="1"/>
    <cellStyle name="Название 2" xfId="7895" hidden="1"/>
    <cellStyle name="Название 2" xfId="7903" hidden="1"/>
    <cellStyle name="Название 2" xfId="7913" hidden="1"/>
    <cellStyle name="Название 2" xfId="7916" hidden="1"/>
    <cellStyle name="Название 2" xfId="7928" hidden="1"/>
    <cellStyle name="Название 2" xfId="7934" hidden="1"/>
    <cellStyle name="Название 2" xfId="7932" hidden="1"/>
    <cellStyle name="Название 2" xfId="7940" hidden="1"/>
    <cellStyle name="Название 2" xfId="7949" hidden="1"/>
    <cellStyle name="Название 2" xfId="7952" hidden="1"/>
    <cellStyle name="Название 2" xfId="7964" hidden="1"/>
    <cellStyle name="Название 2" xfId="7970" hidden="1"/>
    <cellStyle name="Название 2" xfId="7968" hidden="1"/>
    <cellStyle name="Название 2" xfId="7976" hidden="1"/>
    <cellStyle name="Название 2" xfId="7985" hidden="1"/>
    <cellStyle name="Название 2" xfId="7988" hidden="1"/>
    <cellStyle name="Название 2" xfId="8000" hidden="1"/>
    <cellStyle name="Название 2" xfId="8006" hidden="1"/>
    <cellStyle name="Название 2" xfId="8004" hidden="1"/>
    <cellStyle name="Название 2" xfId="8012" hidden="1"/>
    <cellStyle name="Название 2" xfId="8021" hidden="1"/>
    <cellStyle name="Название 2" xfId="8024" hidden="1"/>
    <cellStyle name="Название 2" xfId="8036" hidden="1"/>
    <cellStyle name="Название 2" xfId="8042" hidden="1"/>
    <cellStyle name="Название 2" xfId="8040" hidden="1"/>
    <cellStyle name="Название 2" xfId="8048" hidden="1"/>
    <cellStyle name="Название 2" xfId="8057" hidden="1"/>
    <cellStyle name="Название 2" xfId="8060" hidden="1"/>
    <cellStyle name="Название 2" xfId="8072" hidden="1"/>
    <cellStyle name="Название 2" xfId="8078" hidden="1"/>
    <cellStyle name="Название 2" xfId="8076" hidden="1"/>
    <cellStyle name="Название 2" xfId="8084" hidden="1"/>
    <cellStyle name="Название 2" xfId="8093" hidden="1"/>
    <cellStyle name="Название 2" xfId="8096" hidden="1"/>
    <cellStyle name="Название 2" xfId="8108" hidden="1"/>
    <cellStyle name="Название 2" xfId="8114" hidden="1"/>
    <cellStyle name="Название 2" xfId="8112" hidden="1"/>
    <cellStyle name="Название 2" xfId="8120" hidden="1"/>
    <cellStyle name="Название 2" xfId="8130" hidden="1"/>
    <cellStyle name="Название 2" xfId="8133" hidden="1"/>
    <cellStyle name="Название 2" xfId="8145" hidden="1"/>
    <cellStyle name="Название 2" xfId="8151" hidden="1"/>
    <cellStyle name="Название 2" xfId="8149" hidden="1"/>
    <cellStyle name="Название 2" xfId="8157" hidden="1"/>
    <cellStyle name="Название 2" xfId="8166" hidden="1"/>
    <cellStyle name="Название 2" xfId="8169" hidden="1"/>
    <cellStyle name="Название 2" xfId="8181" hidden="1"/>
    <cellStyle name="Название 2" xfId="8187" hidden="1"/>
    <cellStyle name="Название 2" xfId="8185" hidden="1"/>
    <cellStyle name="Название 2" xfId="8193" hidden="1"/>
    <cellStyle name="Название 2" xfId="8202" hidden="1"/>
    <cellStyle name="Название 2" xfId="8205" hidden="1"/>
    <cellStyle name="Название 2" xfId="8217" hidden="1"/>
    <cellStyle name="Название 2" xfId="8223" hidden="1"/>
    <cellStyle name="Название 2" xfId="8221" hidden="1"/>
    <cellStyle name="Название 2" xfId="8229" hidden="1"/>
    <cellStyle name="Название 2" xfId="8238" hidden="1"/>
    <cellStyle name="Название 2" xfId="8241" hidden="1"/>
    <cellStyle name="Название 2" xfId="8253" hidden="1"/>
    <cellStyle name="Название 2" xfId="8259" hidden="1"/>
    <cellStyle name="Название 2" xfId="8257" hidden="1"/>
    <cellStyle name="Название 2" xfId="8265" hidden="1"/>
    <cellStyle name="Название 2" xfId="8340" hidden="1"/>
    <cellStyle name="Название 2" xfId="8363" hidden="1"/>
    <cellStyle name="Название 2" xfId="8378" hidden="1"/>
    <cellStyle name="Название 2" xfId="8384" hidden="1"/>
    <cellStyle name="Название 2" xfId="8382" hidden="1"/>
    <cellStyle name="Название 2" xfId="8390" hidden="1"/>
    <cellStyle name="Название 2" xfId="8402" hidden="1"/>
    <cellStyle name="Название 2" xfId="8405" hidden="1"/>
    <cellStyle name="Название 2" xfId="8417" hidden="1"/>
    <cellStyle name="Название 2" xfId="8423" hidden="1"/>
    <cellStyle name="Название 2" xfId="8421" hidden="1"/>
    <cellStyle name="Название 2" xfId="8429" hidden="1"/>
    <cellStyle name="Название 2" xfId="8474" hidden="1"/>
    <cellStyle name="Название 2" xfId="8525" hidden="1"/>
    <cellStyle name="Название 2" xfId="8537" hidden="1"/>
    <cellStyle name="Название 2" xfId="8543" hidden="1"/>
    <cellStyle name="Название 2" xfId="8541" hidden="1"/>
    <cellStyle name="Название 2" xfId="8549" hidden="1"/>
    <cellStyle name="Название 2" xfId="8558" hidden="1"/>
    <cellStyle name="Название 2" xfId="8561" hidden="1"/>
    <cellStyle name="Название 2" xfId="8573" hidden="1"/>
    <cellStyle name="Название 2" xfId="8579" hidden="1"/>
    <cellStyle name="Название 2" xfId="8577" hidden="1"/>
    <cellStyle name="Название 2" xfId="8585" hidden="1"/>
    <cellStyle name="Название 2" xfId="8638" hidden="1"/>
    <cellStyle name="Название 2" xfId="8671" hidden="1"/>
    <cellStyle name="Название 2" xfId="8683" hidden="1"/>
    <cellStyle name="Название 2" xfId="8689" hidden="1"/>
    <cellStyle name="Название 2" xfId="8687" hidden="1"/>
    <cellStyle name="Название 2" xfId="8695" hidden="1"/>
    <cellStyle name="Название 2" xfId="8704" hidden="1"/>
    <cellStyle name="Название 2" xfId="8707" hidden="1"/>
    <cellStyle name="Название 2" xfId="8719" hidden="1"/>
    <cellStyle name="Название 2" xfId="8725" hidden="1"/>
    <cellStyle name="Название 2" xfId="8723" hidden="1"/>
    <cellStyle name="Название 2" xfId="8731" hidden="1"/>
    <cellStyle name="Название 2" xfId="8740" hidden="1"/>
    <cellStyle name="Название 2" xfId="8743" hidden="1"/>
    <cellStyle name="Название 2" xfId="8755" hidden="1"/>
    <cellStyle name="Название 2" xfId="8761" hidden="1"/>
    <cellStyle name="Название 2" xfId="8759" hidden="1"/>
    <cellStyle name="Название 2" xfId="8767" hidden="1"/>
    <cellStyle name="Название 2" xfId="8776" hidden="1"/>
    <cellStyle name="Название 2" xfId="8779" hidden="1"/>
    <cellStyle name="Название 2" xfId="8791" hidden="1"/>
    <cellStyle name="Название 2" xfId="8797" hidden="1"/>
    <cellStyle name="Название 2" xfId="8795" hidden="1"/>
    <cellStyle name="Название 2" xfId="8803" hidden="1"/>
    <cellStyle name="Название 2" xfId="8813" hidden="1"/>
    <cellStyle name="Название 2" xfId="8816" hidden="1"/>
    <cellStyle name="Название 2" xfId="8828" hidden="1"/>
    <cellStyle name="Название 2" xfId="8834" hidden="1"/>
    <cellStyle name="Название 2" xfId="8832" hidden="1"/>
    <cellStyle name="Название 2" xfId="8840" hidden="1"/>
    <cellStyle name="Название 2" xfId="8849" hidden="1"/>
    <cellStyle name="Название 2" xfId="8852" hidden="1"/>
    <cellStyle name="Название 2" xfId="8864" hidden="1"/>
    <cellStyle name="Название 2" xfId="8870" hidden="1"/>
    <cellStyle name="Название 2" xfId="8868" hidden="1"/>
    <cellStyle name="Название 2" xfId="8876" hidden="1"/>
    <cellStyle name="Название 2" xfId="8885" hidden="1"/>
    <cellStyle name="Название 2" xfId="8888" hidden="1"/>
    <cellStyle name="Название 2" xfId="8900" hidden="1"/>
    <cellStyle name="Название 2" xfId="8906" hidden="1"/>
    <cellStyle name="Название 2" xfId="8904" hidden="1"/>
    <cellStyle name="Название 2" xfId="8912" hidden="1"/>
    <cellStyle name="Название 2" xfId="8921" hidden="1"/>
    <cellStyle name="Название 2" xfId="8924" hidden="1"/>
    <cellStyle name="Название 2" xfId="8936" hidden="1"/>
    <cellStyle name="Название 2" xfId="8942" hidden="1"/>
    <cellStyle name="Название 2" xfId="8940" hidden="1"/>
    <cellStyle name="Название 2" xfId="8948" hidden="1"/>
    <cellStyle name="Название 2" xfId="8624" hidden="1"/>
    <cellStyle name="Название 2" xfId="8517" hidden="1"/>
    <cellStyle name="Название 2" xfId="8502" hidden="1"/>
    <cellStyle name="Название 2" xfId="8496" hidden="1"/>
    <cellStyle name="Название 2" xfId="8498" hidden="1"/>
    <cellStyle name="Название 2" xfId="8490" hidden="1"/>
    <cellStyle name="Название 2" xfId="8477" hidden="1"/>
    <cellStyle name="Название 2" xfId="8468" hidden="1"/>
    <cellStyle name="Название 2" xfId="8455" hidden="1"/>
    <cellStyle name="Название 2" xfId="8449" hidden="1"/>
    <cellStyle name="Название 2" xfId="8451" hidden="1"/>
    <cellStyle name="Название 2" xfId="8443" hidden="1"/>
    <cellStyle name="Название 2" xfId="8341" hidden="1"/>
    <cellStyle name="Название 2" xfId="8307" hidden="1"/>
    <cellStyle name="Название 2" xfId="8293" hidden="1"/>
    <cellStyle name="Название 2" xfId="8287" hidden="1"/>
    <cellStyle name="Название 2" xfId="8289" hidden="1"/>
    <cellStyle name="Название 2" xfId="8281" hidden="1"/>
    <cellStyle name="Название 2" xfId="8952" hidden="1"/>
    <cellStyle name="Название 2" xfId="8955" hidden="1"/>
    <cellStyle name="Название 2" xfId="8968" hidden="1"/>
    <cellStyle name="Название 2" xfId="8974" hidden="1"/>
    <cellStyle name="Название 2" xfId="8972" hidden="1"/>
    <cellStyle name="Название 2" xfId="8980" hidden="1"/>
    <cellStyle name="Название 2" xfId="8995" hidden="1"/>
    <cellStyle name="Название 2" xfId="8998" hidden="1"/>
    <cellStyle name="Название 2" xfId="9011" hidden="1"/>
    <cellStyle name="Название 2" xfId="9017" hidden="1"/>
    <cellStyle name="Название 2" xfId="9015" hidden="1"/>
    <cellStyle name="Название 2" xfId="9023" hidden="1"/>
    <cellStyle name="Название 2" xfId="9034" hidden="1"/>
    <cellStyle name="Название 2" xfId="9037" hidden="1"/>
    <cellStyle name="Название 2" xfId="9050" hidden="1"/>
    <cellStyle name="Название 2" xfId="9056" hidden="1"/>
    <cellStyle name="Название 2" xfId="9054" hidden="1"/>
    <cellStyle name="Название 2" xfId="9062" hidden="1"/>
    <cellStyle name="Название 2" xfId="9075" hidden="1"/>
    <cellStyle name="Название 2" xfId="9078" hidden="1"/>
    <cellStyle name="Название 2" xfId="9091" hidden="1"/>
    <cellStyle name="Название 2" xfId="9097" hidden="1"/>
    <cellStyle name="Название 2" xfId="9095" hidden="1"/>
    <cellStyle name="Название 2" xfId="9103" hidden="1"/>
    <cellStyle name="Название 2" xfId="9114" hidden="1"/>
    <cellStyle name="Название 2" xfId="9117" hidden="1"/>
    <cellStyle name="Название 2" xfId="9130" hidden="1"/>
    <cellStyle name="Название 2" xfId="9136" hidden="1"/>
    <cellStyle name="Название 2" xfId="9134" hidden="1"/>
    <cellStyle name="Название 2" xfId="9142" hidden="1"/>
    <cellStyle name="Название 2" xfId="9153" hidden="1"/>
    <cellStyle name="Название 2" xfId="9156" hidden="1"/>
    <cellStyle name="Название 2" xfId="9169" hidden="1"/>
    <cellStyle name="Название 2" xfId="9175" hidden="1"/>
    <cellStyle name="Название 2" xfId="9173" hidden="1"/>
    <cellStyle name="Название 2" xfId="9181" hidden="1"/>
    <cellStyle name="Название 2" xfId="9192" hidden="1"/>
    <cellStyle name="Название 2" xfId="9195" hidden="1"/>
    <cellStyle name="Название 2" xfId="9208" hidden="1"/>
    <cellStyle name="Название 2" xfId="9214" hidden="1"/>
    <cellStyle name="Название 2" xfId="9212" hidden="1"/>
    <cellStyle name="Название 2" xfId="9220" hidden="1"/>
    <cellStyle name="Название 2" xfId="9230" hidden="1"/>
    <cellStyle name="Название 2" xfId="9233" hidden="1"/>
    <cellStyle name="Название 2" xfId="9245" hidden="1"/>
    <cellStyle name="Название 2" xfId="9251" hidden="1"/>
    <cellStyle name="Название 2" xfId="9249" hidden="1"/>
    <cellStyle name="Название 2" xfId="9257" hidden="1"/>
    <cellStyle name="Название 2" xfId="9268" hidden="1"/>
    <cellStyle name="Название 2" xfId="9271" hidden="1"/>
    <cellStyle name="Название 2" xfId="9283" hidden="1"/>
    <cellStyle name="Название 2" xfId="9289" hidden="1"/>
    <cellStyle name="Название 2" xfId="9287" hidden="1"/>
    <cellStyle name="Название 2" xfId="9295" hidden="1"/>
    <cellStyle name="Название 2" xfId="8984" hidden="1"/>
    <cellStyle name="Название 2" xfId="8666" hidden="1"/>
    <cellStyle name="Название 2" xfId="8654" hidden="1"/>
    <cellStyle name="Название 2" xfId="8648" hidden="1"/>
    <cellStyle name="Название 2" xfId="8650" hidden="1"/>
    <cellStyle name="Название 2" xfId="8642" hidden="1"/>
    <cellStyle name="Название 2" xfId="8621" hidden="1"/>
    <cellStyle name="Название 2" xfId="8618" hidden="1"/>
    <cellStyle name="Название 2" xfId="8606" hidden="1"/>
    <cellStyle name="Название 2" xfId="8600" hidden="1"/>
    <cellStyle name="Название 2" xfId="8602" hidden="1"/>
    <cellStyle name="Название 2" xfId="8594" hidden="1"/>
    <cellStyle name="Название 2" xfId="8347" hidden="1"/>
    <cellStyle name="Название 2" xfId="8332" hidden="1"/>
    <cellStyle name="Название 2" xfId="8320" hidden="1"/>
    <cellStyle name="Название 2" xfId="8314" hidden="1"/>
    <cellStyle name="Название 2" xfId="8316" hidden="1"/>
    <cellStyle name="Название 2" xfId="9069" hidden="1"/>
    <cellStyle name="Название 2" xfId="8276" hidden="1"/>
    <cellStyle name="Название 2" xfId="9002" hidden="1"/>
    <cellStyle name="Название 2" xfId="8277" hidden="1"/>
    <cellStyle name="Название 2" xfId="8513" hidden="1"/>
    <cellStyle name="Название 2" xfId="8439" hidden="1"/>
    <cellStyle name="Название 2" xfId="9068" hidden="1"/>
    <cellStyle name="Название 2" xfId="9306" hidden="1"/>
    <cellStyle name="Название 2" xfId="9309" hidden="1"/>
    <cellStyle name="Название 2" xfId="9321" hidden="1"/>
    <cellStyle name="Название 2" xfId="9327" hidden="1"/>
    <cellStyle name="Название 2" xfId="9325" hidden="1"/>
    <cellStyle name="Название 2" xfId="9333" hidden="1"/>
    <cellStyle name="Название 2" xfId="9342" hidden="1"/>
    <cellStyle name="Название 2" xfId="9345" hidden="1"/>
    <cellStyle name="Название 2" xfId="9357" hidden="1"/>
    <cellStyle name="Название 2" xfId="9363" hidden="1"/>
    <cellStyle name="Название 2" xfId="9361" hidden="1"/>
    <cellStyle name="Название 2" xfId="9369" hidden="1"/>
    <cellStyle name="Название 2" xfId="9378" hidden="1"/>
    <cellStyle name="Название 2" xfId="9381" hidden="1"/>
    <cellStyle name="Название 2" xfId="9393" hidden="1"/>
    <cellStyle name="Название 2" xfId="9399" hidden="1"/>
    <cellStyle name="Название 2" xfId="9397" hidden="1"/>
    <cellStyle name="Название 2" xfId="9405" hidden="1"/>
    <cellStyle name="Название 2" xfId="9414" hidden="1"/>
    <cellStyle name="Название 2" xfId="9417" hidden="1"/>
    <cellStyle name="Название 2" xfId="9429" hidden="1"/>
    <cellStyle name="Название 2" xfId="9435" hidden="1"/>
    <cellStyle name="Название 2" xfId="9433" hidden="1"/>
    <cellStyle name="Название 2" xfId="9441" hidden="1"/>
    <cellStyle name="Название 2" xfId="9451" hidden="1"/>
    <cellStyle name="Название 2" xfId="9454" hidden="1"/>
    <cellStyle name="Название 2" xfId="9466" hidden="1"/>
    <cellStyle name="Название 2" xfId="9472" hidden="1"/>
    <cellStyle name="Название 2" xfId="9470" hidden="1"/>
    <cellStyle name="Название 2" xfId="9478" hidden="1"/>
    <cellStyle name="Название 2" xfId="9487" hidden="1"/>
    <cellStyle name="Название 2" xfId="9490" hidden="1"/>
    <cellStyle name="Название 2" xfId="9502" hidden="1"/>
    <cellStyle name="Название 2" xfId="9508" hidden="1"/>
    <cellStyle name="Название 2" xfId="9506" hidden="1"/>
    <cellStyle name="Название 2" xfId="9514" hidden="1"/>
    <cellStyle name="Название 2" xfId="9523" hidden="1"/>
    <cellStyle name="Название 2" xfId="9526" hidden="1"/>
    <cellStyle name="Название 2" xfId="9538" hidden="1"/>
    <cellStyle name="Название 2" xfId="9544" hidden="1"/>
    <cellStyle name="Название 2" xfId="9542" hidden="1"/>
    <cellStyle name="Название 2" xfId="9550" hidden="1"/>
    <cellStyle name="Название 2" xfId="9559" hidden="1"/>
    <cellStyle name="Название 2" xfId="9562" hidden="1"/>
    <cellStyle name="Название 2" xfId="9574" hidden="1"/>
    <cellStyle name="Название 2" xfId="9580" hidden="1"/>
    <cellStyle name="Название 2" xfId="9578" hidden="1"/>
    <cellStyle name="Название 2" xfId="9586" hidden="1"/>
    <cellStyle name="Название 2" xfId="9640" hidden="1"/>
    <cellStyle name="Название 2" xfId="9652" hidden="1"/>
    <cellStyle name="Название 2" xfId="9666" hidden="1"/>
    <cellStyle name="Название 2" xfId="9672" hidden="1"/>
    <cellStyle name="Название 2" xfId="9670" hidden="1"/>
    <cellStyle name="Название 2" xfId="9678" hidden="1"/>
    <cellStyle name="Название 2" xfId="9687" hidden="1"/>
    <cellStyle name="Название 2" xfId="9690" hidden="1"/>
    <cellStyle name="Название 2" xfId="9702" hidden="1"/>
    <cellStyle name="Название 2" xfId="9708" hidden="1"/>
    <cellStyle name="Название 2" xfId="9706" hidden="1"/>
    <cellStyle name="Название 2" xfId="9714" hidden="1"/>
    <cellStyle name="Название 2" xfId="9758" hidden="1"/>
    <cellStyle name="Название 2" xfId="9809" hidden="1"/>
    <cellStyle name="Название 2" xfId="9821" hidden="1"/>
    <cellStyle name="Название 2" xfId="9827" hidden="1"/>
    <cellStyle name="Название 2" xfId="9825" hidden="1"/>
    <cellStyle name="Название 2" xfId="9833" hidden="1"/>
    <cellStyle name="Название 2" xfId="9842" hidden="1"/>
    <cellStyle name="Название 2" xfId="9845" hidden="1"/>
    <cellStyle name="Название 2" xfId="9857" hidden="1"/>
    <cellStyle name="Название 2" xfId="9863" hidden="1"/>
    <cellStyle name="Название 2" xfId="9861" hidden="1"/>
    <cellStyle name="Название 2" xfId="9869" hidden="1"/>
    <cellStyle name="Название 2" xfId="9921" hidden="1"/>
    <cellStyle name="Название 2" xfId="9954" hidden="1"/>
    <cellStyle name="Название 2" xfId="9966" hidden="1"/>
    <cellStyle name="Название 2" xfId="9972" hidden="1"/>
    <cellStyle name="Название 2" xfId="9970" hidden="1"/>
    <cellStyle name="Название 2" xfId="9978" hidden="1"/>
    <cellStyle name="Название 2" xfId="9987" hidden="1"/>
    <cellStyle name="Название 2" xfId="9990" hidden="1"/>
    <cellStyle name="Название 2" xfId="10002" hidden="1"/>
    <cellStyle name="Название 2" xfId="10008" hidden="1"/>
    <cellStyle name="Название 2" xfId="10006" hidden="1"/>
    <cellStyle name="Название 2" xfId="10014" hidden="1"/>
    <cellStyle name="Название 2" xfId="10023" hidden="1"/>
    <cellStyle name="Название 2" xfId="10026" hidden="1"/>
    <cellStyle name="Название 2" xfId="10038" hidden="1"/>
    <cellStyle name="Название 2" xfId="10044" hidden="1"/>
    <cellStyle name="Название 2" xfId="10042" hidden="1"/>
    <cellStyle name="Название 2" xfId="10050" hidden="1"/>
    <cellStyle name="Название 2" xfId="10059" hidden="1"/>
    <cellStyle name="Название 2" xfId="10062" hidden="1"/>
    <cellStyle name="Название 2" xfId="10074" hidden="1"/>
    <cellStyle name="Название 2" xfId="10080" hidden="1"/>
    <cellStyle name="Название 2" xfId="10078" hidden="1"/>
    <cellStyle name="Название 2" xfId="10086" hidden="1"/>
    <cellStyle name="Название 2" xfId="10096" hidden="1"/>
    <cellStyle name="Название 2" xfId="10099" hidden="1"/>
    <cellStyle name="Название 2" xfId="10111" hidden="1"/>
    <cellStyle name="Название 2" xfId="10117" hidden="1"/>
    <cellStyle name="Название 2" xfId="10115" hidden="1"/>
    <cellStyle name="Название 2" xfId="10123" hidden="1"/>
    <cellStyle name="Название 2" xfId="10132" hidden="1"/>
    <cellStyle name="Название 2" xfId="10135" hidden="1"/>
    <cellStyle name="Название 2" xfId="10147" hidden="1"/>
    <cellStyle name="Название 2" xfId="10153" hidden="1"/>
    <cellStyle name="Название 2" xfId="10151" hidden="1"/>
    <cellStyle name="Название 2" xfId="10159" hidden="1"/>
    <cellStyle name="Название 2" xfId="10168" hidden="1"/>
    <cellStyle name="Название 2" xfId="10171" hidden="1"/>
    <cellStyle name="Название 2" xfId="10183" hidden="1"/>
    <cellStyle name="Название 2" xfId="10189" hidden="1"/>
    <cellStyle name="Название 2" xfId="10187" hidden="1"/>
    <cellStyle name="Название 2" xfId="10195" hidden="1"/>
    <cellStyle name="Название 2" xfId="10204" hidden="1"/>
    <cellStyle name="Название 2" xfId="10207" hidden="1"/>
    <cellStyle name="Название 2" xfId="10219" hidden="1"/>
    <cellStyle name="Название 2" xfId="10225" hidden="1"/>
    <cellStyle name="Название 2" xfId="10223" hidden="1"/>
    <cellStyle name="Название 2" xfId="10231" hidden="1"/>
    <cellStyle name="Название 2" xfId="9907" hidden="1"/>
    <cellStyle name="Название 2" xfId="9801" hidden="1"/>
    <cellStyle name="Название 2" xfId="9786" hidden="1"/>
    <cellStyle name="Название 2" xfId="9780" hidden="1"/>
    <cellStyle name="Название 2" xfId="9782" hidden="1"/>
    <cellStyle name="Название 2" xfId="9774" hidden="1"/>
    <cellStyle name="Название 2" xfId="9761" hidden="1"/>
    <cellStyle name="Название 2" xfId="9752" hidden="1"/>
    <cellStyle name="Название 2" xfId="9739" hidden="1"/>
    <cellStyle name="Название 2" xfId="9733" hidden="1"/>
    <cellStyle name="Название 2" xfId="9735" hidden="1"/>
    <cellStyle name="Название 2" xfId="9727" hidden="1"/>
    <cellStyle name="Название 2" xfId="9641" hidden="1"/>
    <cellStyle name="Название 2" xfId="9607" hidden="1"/>
    <cellStyle name="Название 2" xfId="9593" hidden="1"/>
    <cellStyle name="Название 2" xfId="8355" hidden="1"/>
    <cellStyle name="Название 2" xfId="8349" hidden="1"/>
    <cellStyle name="Название 2" xfId="8273" hidden="1"/>
    <cellStyle name="Название 2" xfId="10235" hidden="1"/>
    <cellStyle name="Название 2" xfId="10238" hidden="1"/>
    <cellStyle name="Название 2" xfId="10251" hidden="1"/>
    <cellStyle name="Название 2" xfId="10257" hidden="1"/>
    <cellStyle name="Название 2" xfId="10255" hidden="1"/>
    <cellStyle name="Название 2" xfId="10263" hidden="1"/>
    <cellStyle name="Название 2" xfId="10278" hidden="1"/>
    <cellStyle name="Название 2" xfId="10281" hidden="1"/>
    <cellStyle name="Название 2" xfId="10294" hidden="1"/>
    <cellStyle name="Название 2" xfId="10300" hidden="1"/>
    <cellStyle name="Название 2" xfId="10298" hidden="1"/>
    <cellStyle name="Название 2" xfId="10306" hidden="1"/>
    <cellStyle name="Название 2" xfId="10317" hidden="1"/>
    <cellStyle name="Название 2" xfId="10320" hidden="1"/>
    <cellStyle name="Название 2" xfId="10333" hidden="1"/>
    <cellStyle name="Название 2" xfId="10339" hidden="1"/>
    <cellStyle name="Название 2" xfId="10337" hidden="1"/>
    <cellStyle name="Название 2" xfId="10345" hidden="1"/>
    <cellStyle name="Название 2" xfId="10358" hidden="1"/>
    <cellStyle name="Название 2" xfId="10361" hidden="1"/>
    <cellStyle name="Название 2" xfId="10374" hidden="1"/>
    <cellStyle name="Название 2" xfId="10380" hidden="1"/>
    <cellStyle name="Название 2" xfId="10378" hidden="1"/>
    <cellStyle name="Название 2" xfId="10386" hidden="1"/>
    <cellStyle name="Название 2" xfId="10397" hidden="1"/>
    <cellStyle name="Название 2" xfId="10400" hidden="1"/>
    <cellStyle name="Название 2" xfId="10413" hidden="1"/>
    <cellStyle name="Название 2" xfId="10419" hidden="1"/>
    <cellStyle name="Название 2" xfId="10417" hidden="1"/>
    <cellStyle name="Название 2" xfId="10425" hidden="1"/>
    <cellStyle name="Название 2" xfId="10436" hidden="1"/>
    <cellStyle name="Название 2" xfId="10439" hidden="1"/>
    <cellStyle name="Название 2" xfId="10452" hidden="1"/>
    <cellStyle name="Название 2" xfId="10458" hidden="1"/>
    <cellStyle name="Название 2" xfId="10456" hidden="1"/>
    <cellStyle name="Название 2" xfId="10464" hidden="1"/>
    <cellStyle name="Название 2" xfId="10475" hidden="1"/>
    <cellStyle name="Название 2" xfId="10478" hidden="1"/>
    <cellStyle name="Название 2" xfId="10491" hidden="1"/>
    <cellStyle name="Название 2" xfId="10497" hidden="1"/>
    <cellStyle name="Название 2" xfId="10495" hidden="1"/>
    <cellStyle name="Название 2" xfId="10503" hidden="1"/>
    <cellStyle name="Название 2" xfId="10513" hidden="1"/>
    <cellStyle name="Название 2" xfId="10516" hidden="1"/>
    <cellStyle name="Название 2" xfId="10528" hidden="1"/>
    <cellStyle name="Название 2" xfId="10534" hidden="1"/>
    <cellStyle name="Название 2" xfId="10532" hidden="1"/>
    <cellStyle name="Название 2" xfId="10540" hidden="1"/>
    <cellStyle name="Название 2" xfId="10551" hidden="1"/>
    <cellStyle name="Название 2" xfId="10554" hidden="1"/>
    <cellStyle name="Название 2" xfId="10566" hidden="1"/>
    <cellStyle name="Название 2" xfId="10572" hidden="1"/>
    <cellStyle name="Название 2" xfId="10570" hidden="1"/>
    <cellStyle name="Название 2" xfId="10578" hidden="1"/>
    <cellStyle name="Название 2" xfId="10267" hidden="1"/>
    <cellStyle name="Название 2" xfId="9949" hidden="1"/>
    <cellStyle name="Название 2" xfId="9937" hidden="1"/>
    <cellStyle name="Название 2" xfId="9931" hidden="1"/>
    <cellStyle name="Название 2" xfId="9933" hidden="1"/>
    <cellStyle name="Название 2" xfId="9925" hidden="1"/>
    <cellStyle name="Название 2" xfId="9904" hidden="1"/>
    <cellStyle name="Название 2" xfId="9901" hidden="1"/>
    <cellStyle name="Название 2" xfId="9889" hidden="1"/>
    <cellStyle name="Название 2" xfId="9883" hidden="1"/>
    <cellStyle name="Название 2" xfId="9885" hidden="1"/>
    <cellStyle name="Название 2" xfId="9877" hidden="1"/>
    <cellStyle name="Название 2" xfId="9647" hidden="1"/>
    <cellStyle name="Название 2" xfId="9632" hidden="1"/>
    <cellStyle name="Название 2" xfId="9620" hidden="1"/>
    <cellStyle name="Название 2" xfId="9614" hidden="1"/>
    <cellStyle name="Название 2" xfId="9616" hidden="1"/>
    <cellStyle name="Название 2" xfId="10352" hidden="1"/>
    <cellStyle name="Название 2" xfId="8360" hidden="1"/>
    <cellStyle name="Название 2" xfId="10285" hidden="1"/>
    <cellStyle name="Название 2" xfId="8359" hidden="1"/>
    <cellStyle name="Название 2" xfId="9797" hidden="1"/>
    <cellStyle name="Название 2" xfId="9723" hidden="1"/>
    <cellStyle name="Название 2" xfId="10351" hidden="1"/>
    <cellStyle name="Название 2" xfId="10589" hidden="1"/>
    <cellStyle name="Название 2" xfId="10592" hidden="1"/>
    <cellStyle name="Название 2" xfId="10604" hidden="1"/>
    <cellStyle name="Название 2" xfId="10610" hidden="1"/>
    <cellStyle name="Название 2" xfId="10608" hidden="1"/>
    <cellStyle name="Название 2" xfId="10616" hidden="1"/>
    <cellStyle name="Название 2" xfId="10625" hidden="1"/>
    <cellStyle name="Название 2" xfId="10628" hidden="1"/>
    <cellStyle name="Название 2" xfId="10640" hidden="1"/>
    <cellStyle name="Название 2" xfId="10646" hidden="1"/>
    <cellStyle name="Название 2" xfId="10644" hidden="1"/>
    <cellStyle name="Название 2" xfId="10652" hidden="1"/>
    <cellStyle name="Название 2" xfId="10661" hidden="1"/>
    <cellStyle name="Название 2" xfId="10664" hidden="1"/>
    <cellStyle name="Название 2" xfId="10676" hidden="1"/>
    <cellStyle name="Название 2" xfId="10682" hidden="1"/>
    <cellStyle name="Название 2" xfId="10680" hidden="1"/>
    <cellStyle name="Название 2" xfId="10688" hidden="1"/>
    <cellStyle name="Название 2" xfId="10697" hidden="1"/>
    <cellStyle name="Название 2" xfId="10700" hidden="1"/>
    <cellStyle name="Название 2" xfId="10712" hidden="1"/>
    <cellStyle name="Название 2" xfId="10718" hidden="1"/>
    <cellStyle name="Название 2" xfId="10716" hidden="1"/>
    <cellStyle name="Название 2" xfId="10724" hidden="1"/>
    <cellStyle name="Название 2" xfId="10734" hidden="1"/>
    <cellStyle name="Название 2" xfId="10737" hidden="1"/>
    <cellStyle name="Название 2" xfId="10749" hidden="1"/>
    <cellStyle name="Название 2" xfId="10755" hidden="1"/>
    <cellStyle name="Название 2" xfId="10753" hidden="1"/>
    <cellStyle name="Название 2" xfId="10761" hidden="1"/>
    <cellStyle name="Название 2" xfId="10770" hidden="1"/>
    <cellStyle name="Название 2" xfId="10773" hidden="1"/>
    <cellStyle name="Название 2" xfId="10785" hidden="1"/>
    <cellStyle name="Название 2" xfId="10791" hidden="1"/>
    <cellStyle name="Название 2" xfId="10789" hidden="1"/>
    <cellStyle name="Название 2" xfId="10797" hidden="1"/>
    <cellStyle name="Название 2" xfId="10806" hidden="1"/>
    <cellStyle name="Название 2" xfId="10809" hidden="1"/>
    <cellStyle name="Название 2" xfId="10821" hidden="1"/>
    <cellStyle name="Название 2" xfId="10827" hidden="1"/>
    <cellStyle name="Название 2" xfId="10825" hidden="1"/>
    <cellStyle name="Название 2" xfId="10833" hidden="1"/>
    <cellStyle name="Название 2" xfId="10842" hidden="1"/>
    <cellStyle name="Название 2" xfId="10845" hidden="1"/>
    <cellStyle name="Название 2" xfId="10857" hidden="1"/>
    <cellStyle name="Название 2" xfId="10863" hidden="1"/>
    <cellStyle name="Название 2" xfId="10861" hidden="1"/>
    <cellStyle name="Название 2" xfId="10869" hidden="1"/>
    <cellStyle name="Название 2" xfId="14340"/>
    <cellStyle name="Название 2 2" xfId="50410" hidden="1"/>
    <cellStyle name="Название 2 2" xfId="50429"/>
    <cellStyle name="Название 2 3" xfId="50415" hidden="1"/>
    <cellStyle name="Название 2 3" xfId="50434"/>
    <cellStyle name="Название 2 4" xfId="50447"/>
    <cellStyle name="Название 2 5" xfId="50456"/>
    <cellStyle name="Название 2 6" xfId="50453"/>
    <cellStyle name="Название 2 7" xfId="50463"/>
    <cellStyle name="Название 3" xfId="14341"/>
    <cellStyle name="Название 4" xfId="14342"/>
    <cellStyle name="Название 5" xfId="14343"/>
    <cellStyle name="Название 6" xfId="14344"/>
    <cellStyle name="Название 7" xfId="14345"/>
    <cellStyle name="Название 8" xfId="14346"/>
    <cellStyle name="Название 9" xfId="14347"/>
    <cellStyle name="Нейтральный" xfId="18" builtinId="28" hidden="1"/>
    <cellStyle name="Нейтральный" xfId="57" builtinId="28" hidden="1"/>
    <cellStyle name="Нейтральный" xfId="104" builtinId="28" hidden="1"/>
    <cellStyle name="Нейтральный" xfId="143" builtinId="28" hidden="1"/>
    <cellStyle name="Нейтральный" xfId="297" builtinId="28" hidden="1"/>
    <cellStyle name="Нейтральный" xfId="336" builtinId="28" hidden="1"/>
    <cellStyle name="Нейтральный" xfId="383" builtinId="28" hidden="1"/>
    <cellStyle name="Нейтральный" xfId="422" builtinId="28" hidden="1"/>
    <cellStyle name="Нейтральный" xfId="553" builtinId="28" hidden="1"/>
    <cellStyle name="Нейтральный" xfId="592" builtinId="28" hidden="1"/>
    <cellStyle name="Нейтральный" xfId="639" builtinId="28" hidden="1"/>
    <cellStyle name="Нейтральный" xfId="678" builtinId="28" hidden="1"/>
    <cellStyle name="Нейтральный" xfId="4156" builtinId="28" customBuiltin="1"/>
    <cellStyle name="Нейтральный 10" xfId="16860"/>
    <cellStyle name="Нейтральный 11" xfId="15697"/>
    <cellStyle name="Нейтральный 12" xfId="17019"/>
    <cellStyle name="Нейтральный 13" xfId="17089"/>
    <cellStyle name="Нейтральный 14" xfId="17987"/>
    <cellStyle name="Нейтральный 15" xfId="36523"/>
    <cellStyle name="Нейтральный 16" xfId="14348"/>
    <cellStyle name="Нейтральный 2" xfId="14349"/>
    <cellStyle name="Нейтральный 3" xfId="14350"/>
    <cellStyle name="Нейтральный 4" xfId="14351"/>
    <cellStyle name="Нейтральный 5" xfId="14352"/>
    <cellStyle name="Нейтральный 6" xfId="14353"/>
    <cellStyle name="Нейтральный 7" xfId="14354"/>
    <cellStyle name="Нейтральный 8" xfId="14355"/>
    <cellStyle name="Нейтральный 9" xfId="14356"/>
    <cellStyle name="Обычный" xfId="0" builtinId="0"/>
    <cellStyle name="Обычный 10" xfId="1070"/>
    <cellStyle name="Обычный 10 10" xfId="20005"/>
    <cellStyle name="Обычный 10 11" xfId="19101"/>
    <cellStyle name="Обычный 10 11 2" xfId="26479"/>
    <cellStyle name="Обычный 10 11 2 2" xfId="33790"/>
    <cellStyle name="Обычный 10 11 2 2 2" xfId="48610"/>
    <cellStyle name="Обычный 10 11 2 3" xfId="41319"/>
    <cellStyle name="Обычный 10 11 3" xfId="30136"/>
    <cellStyle name="Обычный 10 11 3 2" xfId="44959"/>
    <cellStyle name="Обычный 10 11 4" xfId="20948"/>
    <cellStyle name="Обычный 10 11 4 2" xfId="37633"/>
    <cellStyle name="Обычный 10 11 5" xfId="22821"/>
    <cellStyle name="Обычный 10 12" xfId="24621"/>
    <cellStyle name="Обычный 10 12 2" xfId="31932"/>
    <cellStyle name="Обычный 10 12 2 2" xfId="46755"/>
    <cellStyle name="Обычный 10 12 3" xfId="39543"/>
    <cellStyle name="Обычный 10 12 4" xfId="36524"/>
    <cellStyle name="Обычный 10 13" xfId="28278"/>
    <cellStyle name="Обычный 10 13 2" xfId="43115"/>
    <cellStyle name="Обычный 10 14" xfId="35715"/>
    <cellStyle name="Обычный 10 15" xfId="20960"/>
    <cellStyle name="Обычный 10 2" xfId="14357"/>
    <cellStyle name="Обычный 10 2 2" xfId="4200"/>
    <cellStyle name="Обычный 10 2 3" xfId="4191"/>
    <cellStyle name="Обычный 10 2 4" xfId="17090"/>
    <cellStyle name="Обычный 10 2 5" xfId="17989"/>
    <cellStyle name="Обычный 10 2 6" xfId="36525"/>
    <cellStyle name="Обычный 10 3" xfId="14358"/>
    <cellStyle name="Обычный 10 3 10" xfId="24635"/>
    <cellStyle name="Обычный 10 3 10 2" xfId="31946"/>
    <cellStyle name="Обычный 10 3 10 2 2" xfId="46769"/>
    <cellStyle name="Обычный 10 3 10 3" xfId="39557"/>
    <cellStyle name="Обычный 10 3 10 4" xfId="36526"/>
    <cellStyle name="Обычный 10 3 11" xfId="28292"/>
    <cellStyle name="Обычный 10 3 11 2" xfId="43129"/>
    <cellStyle name="Обычный 10 3 12" xfId="35716"/>
    <cellStyle name="Обычный 10 3 13" xfId="20974"/>
    <cellStyle name="Обычный 10 3 2" xfId="16862"/>
    <cellStyle name="Обычный 10 3 2 10" xfId="28320"/>
    <cellStyle name="Обычный 10 3 2 10 2" xfId="43157"/>
    <cellStyle name="Обычный 10 3 2 11" xfId="35717"/>
    <cellStyle name="Обычный 10 3 2 12" xfId="21002"/>
    <cellStyle name="Обычный 10 3 2 2" xfId="17239"/>
    <cellStyle name="Обычный 10 3 2 2 10" xfId="21058"/>
    <cellStyle name="Обычный 10 3 2 2 2" xfId="17483"/>
    <cellStyle name="Обычный 10 3 2 2 2 2" xfId="17933"/>
    <cellStyle name="Обычный 10 3 2 2 2 2 2" xfId="19047"/>
    <cellStyle name="Обычный 10 3 2 2 2 2 2 2" xfId="20926"/>
    <cellStyle name="Обычный 10 3 2 2 2 2 2 2 2" xfId="24594"/>
    <cellStyle name="Обычный 10 3 2 2 2 2 2 2 2 2" xfId="28252"/>
    <cellStyle name="Обычный 10 3 2 2 2 2 2 2 2 2 2" xfId="35563"/>
    <cellStyle name="Обычный 10 3 2 2 2 2 2 2 2 2 2 2" xfId="50383"/>
    <cellStyle name="Обычный 10 3 2 2 2 2 2 2 2 2 3" xfId="43091"/>
    <cellStyle name="Обычный 10 3 2 2 2 2 2 2 2 3" xfId="31909"/>
    <cellStyle name="Обычный 10 3 2 2 2 2 2 2 2 3 2" xfId="46732"/>
    <cellStyle name="Обычный 10 3 2 2 2 2 2 2 2 4" xfId="39526"/>
    <cellStyle name="Обычный 10 3 2 2 2 2 2 2 3" xfId="26426"/>
    <cellStyle name="Обычный 10 3 2 2 2 2 2 2 3 2" xfId="33737"/>
    <cellStyle name="Обычный 10 3 2 2 2 2 2 2 3 2 2" xfId="48557"/>
    <cellStyle name="Обычный 10 3 2 2 2 2 2 2 3 3" xfId="41270"/>
    <cellStyle name="Обычный 10 3 2 2 2 2 2 2 4" xfId="30083"/>
    <cellStyle name="Обычный 10 3 2 2 2 2 2 2 4 2" xfId="44907"/>
    <cellStyle name="Обычный 10 3 2 2 2 2 2 2 5" xfId="39407"/>
    <cellStyle name="Обычный 10 3 2 2 2 2 2 2 6" xfId="22765"/>
    <cellStyle name="Обычный 10 3 2 2 2 2 2 3" xfId="19977"/>
    <cellStyle name="Обычный 10 3 2 2 2 2 2 3 2" xfId="27346"/>
    <cellStyle name="Обычный 10 3 2 2 2 2 2 3 2 2" xfId="34657"/>
    <cellStyle name="Обычный 10 3 2 2 2 2 2 3 2 2 2" xfId="49477"/>
    <cellStyle name="Обычный 10 3 2 2 2 2 2 3 2 3" xfId="42186"/>
    <cellStyle name="Обычный 10 3 2 2 2 2 2 3 3" xfId="31003"/>
    <cellStyle name="Обычный 10 3 2 2 2 2 2 3 3 2" xfId="45826"/>
    <cellStyle name="Обычный 10 3 2 2 2 2 2 3 4" xfId="38500"/>
    <cellStyle name="Обычный 10 3 2 2 2 2 2 3 5" xfId="23688"/>
    <cellStyle name="Обычный 10 3 2 2 2 2 2 4" xfId="25505"/>
    <cellStyle name="Обычный 10 3 2 2 2 2 2 4 2" xfId="32816"/>
    <cellStyle name="Обычный 10 3 2 2 2 2 2 4 2 2" xfId="47639"/>
    <cellStyle name="Обычный 10 3 2 2 2 2 2 4 3" xfId="40393"/>
    <cellStyle name="Обычный 10 3 2 2 2 2 2 5" xfId="29162"/>
    <cellStyle name="Обычный 10 3 2 2 2 2 2 5 2" xfId="43999"/>
    <cellStyle name="Обычный 10 3 2 2 2 2 2 6" xfId="36169"/>
    <cellStyle name="Обычный 10 3 2 2 2 2 2 7" xfId="21844"/>
    <cellStyle name="Обычный 10 3 2 2 2 2 3" xfId="18305"/>
    <cellStyle name="Обычный 10 3 2 2 2 2 3 2" xfId="20187"/>
    <cellStyle name="Обычный 10 3 2 2 2 2 3 2 2" xfId="27513"/>
    <cellStyle name="Обычный 10 3 2 2 2 2 3 2 2 2" xfId="34824"/>
    <cellStyle name="Обычный 10 3 2 2 2 2 3 2 2 2 2" xfId="49644"/>
    <cellStyle name="Обычный 10 3 2 2 2 2 3 2 2 3" xfId="42352"/>
    <cellStyle name="Обычный 10 3 2 2 2 2 3 2 3" xfId="31170"/>
    <cellStyle name="Обычный 10 3 2 2 2 2 3 2 3 2" xfId="45993"/>
    <cellStyle name="Обычный 10 3 2 2 2 2 3 2 4" xfId="38668"/>
    <cellStyle name="Обычный 10 3 2 2 2 2 3 2 5" xfId="23855"/>
    <cellStyle name="Обычный 10 3 2 2 2 2 3 3" xfId="25687"/>
    <cellStyle name="Обычный 10 3 2 2 2 2 3 3 2" xfId="32998"/>
    <cellStyle name="Обычный 10 3 2 2 2 2 3 3 2 2" xfId="47818"/>
    <cellStyle name="Обычный 10 3 2 2 2 2 3 3 3" xfId="40542"/>
    <cellStyle name="Обычный 10 3 2 2 2 2 3 4" xfId="29344"/>
    <cellStyle name="Обычный 10 3 2 2 2 2 3 4 2" xfId="44168"/>
    <cellStyle name="Обычный 10 3 2 2 2 2 3 5" xfId="36945"/>
    <cellStyle name="Обычный 10 3 2 2 2 2 3 6" xfId="22026"/>
    <cellStyle name="Обычный 10 3 2 2 2 2 4" xfId="19526"/>
    <cellStyle name="Обычный 10 3 2 2 2 2 4 2" xfId="26896"/>
    <cellStyle name="Обычный 10 3 2 2 2 2 4 2 2" xfId="34207"/>
    <cellStyle name="Обычный 10 3 2 2 2 2 4 2 2 2" xfId="49027"/>
    <cellStyle name="Обычный 10 3 2 2 2 2 4 2 3" xfId="41736"/>
    <cellStyle name="Обычный 10 3 2 2 2 2 4 3" xfId="30553"/>
    <cellStyle name="Обычный 10 3 2 2 2 2 4 3 2" xfId="45376"/>
    <cellStyle name="Обычный 10 3 2 2 2 2 4 4" xfId="38050"/>
    <cellStyle name="Обычный 10 3 2 2 2 2 4 5" xfId="23238"/>
    <cellStyle name="Обычный 10 3 2 2 2 2 5" xfId="25055"/>
    <cellStyle name="Обычный 10 3 2 2 2 2 5 2" xfId="32366"/>
    <cellStyle name="Обычный 10 3 2 2 2 2 5 2 2" xfId="47189"/>
    <cellStyle name="Обычный 10 3 2 2 2 2 5 3" xfId="39950"/>
    <cellStyle name="Обычный 10 3 2 2 2 2 6" xfId="28712"/>
    <cellStyle name="Обычный 10 3 2 2 2 2 6 2" xfId="43549"/>
    <cellStyle name="Обычный 10 3 2 2 2 2 7" xfId="35720"/>
    <cellStyle name="Обычный 10 3 2 2 2 2 8" xfId="21394"/>
    <cellStyle name="Обычный 10 3 2 2 2 3" xfId="17709"/>
    <cellStyle name="Обычный 10 3 2 2 2 3 2" xfId="18823"/>
    <cellStyle name="Обычный 10 3 2 2 2 3 2 2" xfId="20702"/>
    <cellStyle name="Обычный 10 3 2 2 2 3 2 2 2" xfId="28028"/>
    <cellStyle name="Обычный 10 3 2 2 2 3 2 2 2 2" xfId="35339"/>
    <cellStyle name="Обычный 10 3 2 2 2 3 2 2 2 2 2" xfId="50159"/>
    <cellStyle name="Обычный 10 3 2 2 2 3 2 2 2 3" xfId="42867"/>
    <cellStyle name="Обычный 10 3 2 2 2 3 2 2 3" xfId="31685"/>
    <cellStyle name="Обычный 10 3 2 2 2 3 2 2 3 2" xfId="46508"/>
    <cellStyle name="Обычный 10 3 2 2 2 3 2 2 4" xfId="39183"/>
    <cellStyle name="Обычный 10 3 2 2 2 3 2 2 5" xfId="24370"/>
    <cellStyle name="Обычный 10 3 2 2 2 3 2 3" xfId="26202"/>
    <cellStyle name="Обычный 10 3 2 2 2 3 2 3 2" xfId="33513"/>
    <cellStyle name="Обычный 10 3 2 2 2 3 2 3 2 2" xfId="48333"/>
    <cellStyle name="Обычный 10 3 2 2 2 3 2 3 3" xfId="41046"/>
    <cellStyle name="Обычный 10 3 2 2 2 3 2 4" xfId="29859"/>
    <cellStyle name="Обычный 10 3 2 2 2 3 2 4 2" xfId="44683"/>
    <cellStyle name="Обычный 10 3 2 2 2 3 2 5" xfId="37460"/>
    <cellStyle name="Обычный 10 3 2 2 2 3 2 6" xfId="22541"/>
    <cellStyle name="Обычный 10 3 2 2 2 3 3" xfId="19753"/>
    <cellStyle name="Обычный 10 3 2 2 2 3 3 2" xfId="27122"/>
    <cellStyle name="Обычный 10 3 2 2 2 3 3 2 2" xfId="34433"/>
    <cellStyle name="Обычный 10 3 2 2 2 3 3 2 2 2" xfId="49253"/>
    <cellStyle name="Обычный 10 3 2 2 2 3 3 2 3" xfId="41962"/>
    <cellStyle name="Обычный 10 3 2 2 2 3 3 3" xfId="30779"/>
    <cellStyle name="Обычный 10 3 2 2 2 3 3 3 2" xfId="45602"/>
    <cellStyle name="Обычный 10 3 2 2 2 3 3 4" xfId="38276"/>
    <cellStyle name="Обычный 10 3 2 2 2 3 3 5" xfId="23464"/>
    <cellStyle name="Обычный 10 3 2 2 2 3 4" xfId="25281"/>
    <cellStyle name="Обычный 10 3 2 2 2 3 4 2" xfId="32592"/>
    <cellStyle name="Обычный 10 3 2 2 2 3 4 2 2" xfId="47415"/>
    <cellStyle name="Обычный 10 3 2 2 2 3 4 3" xfId="40173"/>
    <cellStyle name="Обычный 10 3 2 2 2 3 5" xfId="28938"/>
    <cellStyle name="Обычный 10 3 2 2 2 3 5 2" xfId="43775"/>
    <cellStyle name="Обычный 10 3 2 2 2 3 6" xfId="36168"/>
    <cellStyle name="Обычный 10 3 2 2 2 3 7" xfId="21620"/>
    <cellStyle name="Обычный 10 3 2 2 2 4" xfId="18304"/>
    <cellStyle name="Обычный 10 3 2 2 2 4 2" xfId="20186"/>
    <cellStyle name="Обычный 10 3 2 2 2 4 2 2" xfId="27512"/>
    <cellStyle name="Обычный 10 3 2 2 2 4 2 2 2" xfId="34823"/>
    <cellStyle name="Обычный 10 3 2 2 2 4 2 2 2 2" xfId="49643"/>
    <cellStyle name="Обычный 10 3 2 2 2 4 2 2 3" xfId="42351"/>
    <cellStyle name="Обычный 10 3 2 2 2 4 2 3" xfId="31169"/>
    <cellStyle name="Обычный 10 3 2 2 2 4 2 3 2" xfId="45992"/>
    <cellStyle name="Обычный 10 3 2 2 2 4 2 4" xfId="38667"/>
    <cellStyle name="Обычный 10 3 2 2 2 4 2 5" xfId="23854"/>
    <cellStyle name="Обычный 10 3 2 2 2 4 3" xfId="25686"/>
    <cellStyle name="Обычный 10 3 2 2 2 4 3 2" xfId="32997"/>
    <cellStyle name="Обычный 10 3 2 2 2 4 3 2 2" xfId="47817"/>
    <cellStyle name="Обычный 10 3 2 2 2 4 3 3" xfId="40541"/>
    <cellStyle name="Обычный 10 3 2 2 2 4 4" xfId="29343"/>
    <cellStyle name="Обычный 10 3 2 2 2 4 4 2" xfId="44167"/>
    <cellStyle name="Обычный 10 3 2 2 2 4 5" xfId="36944"/>
    <cellStyle name="Обычный 10 3 2 2 2 4 6" xfId="22025"/>
    <cellStyle name="Обычный 10 3 2 2 2 5" xfId="19302"/>
    <cellStyle name="Обычный 10 3 2 2 2 5 2" xfId="26672"/>
    <cellStyle name="Обычный 10 3 2 2 2 5 2 2" xfId="33983"/>
    <cellStyle name="Обычный 10 3 2 2 2 5 2 2 2" xfId="48803"/>
    <cellStyle name="Обычный 10 3 2 2 2 5 2 3" xfId="41512"/>
    <cellStyle name="Обычный 10 3 2 2 2 5 3" xfId="30329"/>
    <cellStyle name="Обычный 10 3 2 2 2 5 3 2" xfId="45152"/>
    <cellStyle name="Обычный 10 3 2 2 2 5 4" xfId="37826"/>
    <cellStyle name="Обычный 10 3 2 2 2 5 5" xfId="23014"/>
    <cellStyle name="Обычный 10 3 2 2 2 6" xfId="24831"/>
    <cellStyle name="Обычный 10 3 2 2 2 6 2" xfId="32142"/>
    <cellStyle name="Обычный 10 3 2 2 2 6 2 2" xfId="46965"/>
    <cellStyle name="Обычный 10 3 2 2 2 6 3" xfId="39730"/>
    <cellStyle name="Обычный 10 3 2 2 2 7" xfId="28488"/>
    <cellStyle name="Обычный 10 3 2 2 2 7 2" xfId="43325"/>
    <cellStyle name="Обычный 10 3 2 2 2 8" xfId="35719"/>
    <cellStyle name="Обычный 10 3 2 2 2 9" xfId="21170"/>
    <cellStyle name="Обычный 10 3 2 2 3" xfId="17368"/>
    <cellStyle name="Обычный 10 3 2 2 3 2" xfId="17821"/>
    <cellStyle name="Обычный 10 3 2 2 3 2 2" xfId="18935"/>
    <cellStyle name="Обычный 10 3 2 2 3 2 2 2" xfId="20814"/>
    <cellStyle name="Обычный 10 3 2 2 3 2 2 2 2" xfId="28140"/>
    <cellStyle name="Обычный 10 3 2 2 3 2 2 2 2 2" xfId="35451"/>
    <cellStyle name="Обычный 10 3 2 2 3 2 2 2 2 2 2" xfId="50271"/>
    <cellStyle name="Обычный 10 3 2 2 3 2 2 2 2 3" xfId="42979"/>
    <cellStyle name="Обычный 10 3 2 2 3 2 2 2 3" xfId="31797"/>
    <cellStyle name="Обычный 10 3 2 2 3 2 2 2 3 2" xfId="46620"/>
    <cellStyle name="Обычный 10 3 2 2 3 2 2 2 4" xfId="39295"/>
    <cellStyle name="Обычный 10 3 2 2 3 2 2 2 5" xfId="24482"/>
    <cellStyle name="Обычный 10 3 2 2 3 2 2 3" xfId="26314"/>
    <cellStyle name="Обычный 10 3 2 2 3 2 2 3 2" xfId="33625"/>
    <cellStyle name="Обычный 10 3 2 2 3 2 2 3 2 2" xfId="48445"/>
    <cellStyle name="Обычный 10 3 2 2 3 2 2 3 3" xfId="41158"/>
    <cellStyle name="Обычный 10 3 2 2 3 2 2 4" xfId="29971"/>
    <cellStyle name="Обычный 10 3 2 2 3 2 2 4 2" xfId="44795"/>
    <cellStyle name="Обычный 10 3 2 2 3 2 2 5" xfId="37557"/>
    <cellStyle name="Обычный 10 3 2 2 3 2 2 6" xfId="22653"/>
    <cellStyle name="Обычный 10 3 2 2 3 2 3" xfId="19865"/>
    <cellStyle name="Обычный 10 3 2 2 3 2 3 2" xfId="27234"/>
    <cellStyle name="Обычный 10 3 2 2 3 2 3 2 2" xfId="34545"/>
    <cellStyle name="Обычный 10 3 2 2 3 2 3 2 2 2" xfId="49365"/>
    <cellStyle name="Обычный 10 3 2 2 3 2 3 2 3" xfId="42074"/>
    <cellStyle name="Обычный 10 3 2 2 3 2 3 3" xfId="30891"/>
    <cellStyle name="Обычный 10 3 2 2 3 2 3 3 2" xfId="45714"/>
    <cellStyle name="Обычный 10 3 2 2 3 2 3 4" xfId="38388"/>
    <cellStyle name="Обычный 10 3 2 2 3 2 3 5" xfId="23576"/>
    <cellStyle name="Обычный 10 3 2 2 3 2 4" xfId="25393"/>
    <cellStyle name="Обычный 10 3 2 2 3 2 4 2" xfId="32704"/>
    <cellStyle name="Обычный 10 3 2 2 3 2 4 2 2" xfId="47527"/>
    <cellStyle name="Обычный 10 3 2 2 3 2 4 3" xfId="40281"/>
    <cellStyle name="Обычный 10 3 2 2 3 2 5" xfId="29050"/>
    <cellStyle name="Обычный 10 3 2 2 3 2 5 2" xfId="43887"/>
    <cellStyle name="Обычный 10 3 2 2 3 2 6" xfId="36170"/>
    <cellStyle name="Обычный 10 3 2 2 3 2 7" xfId="21732"/>
    <cellStyle name="Обычный 10 3 2 2 3 3" xfId="18306"/>
    <cellStyle name="Обычный 10 3 2 2 3 3 2" xfId="20188"/>
    <cellStyle name="Обычный 10 3 2 2 3 3 2 2" xfId="27514"/>
    <cellStyle name="Обычный 10 3 2 2 3 3 2 2 2" xfId="34825"/>
    <cellStyle name="Обычный 10 3 2 2 3 3 2 2 2 2" xfId="49645"/>
    <cellStyle name="Обычный 10 3 2 2 3 3 2 2 3" xfId="42353"/>
    <cellStyle name="Обычный 10 3 2 2 3 3 2 3" xfId="31171"/>
    <cellStyle name="Обычный 10 3 2 2 3 3 2 3 2" xfId="45994"/>
    <cellStyle name="Обычный 10 3 2 2 3 3 2 4" xfId="38669"/>
    <cellStyle name="Обычный 10 3 2 2 3 3 2 5" xfId="23856"/>
    <cellStyle name="Обычный 10 3 2 2 3 3 3" xfId="25688"/>
    <cellStyle name="Обычный 10 3 2 2 3 3 3 2" xfId="32999"/>
    <cellStyle name="Обычный 10 3 2 2 3 3 3 2 2" xfId="47819"/>
    <cellStyle name="Обычный 10 3 2 2 3 3 3 3" xfId="40543"/>
    <cellStyle name="Обычный 10 3 2 2 3 3 4" xfId="29345"/>
    <cellStyle name="Обычный 10 3 2 2 3 3 4 2" xfId="44169"/>
    <cellStyle name="Обычный 10 3 2 2 3 3 5" xfId="36946"/>
    <cellStyle name="Обычный 10 3 2 2 3 3 6" xfId="22027"/>
    <cellStyle name="Обычный 10 3 2 2 3 4" xfId="19414"/>
    <cellStyle name="Обычный 10 3 2 2 3 4 2" xfId="26784"/>
    <cellStyle name="Обычный 10 3 2 2 3 4 2 2" xfId="34095"/>
    <cellStyle name="Обычный 10 3 2 2 3 4 2 2 2" xfId="48915"/>
    <cellStyle name="Обычный 10 3 2 2 3 4 2 3" xfId="41624"/>
    <cellStyle name="Обычный 10 3 2 2 3 4 3" xfId="30441"/>
    <cellStyle name="Обычный 10 3 2 2 3 4 3 2" xfId="45264"/>
    <cellStyle name="Обычный 10 3 2 2 3 4 4" xfId="37938"/>
    <cellStyle name="Обычный 10 3 2 2 3 4 5" xfId="23126"/>
    <cellStyle name="Обычный 10 3 2 2 3 5" xfId="24943"/>
    <cellStyle name="Обычный 10 3 2 2 3 5 2" xfId="32254"/>
    <cellStyle name="Обычный 10 3 2 2 3 5 2 2" xfId="47077"/>
    <cellStyle name="Обычный 10 3 2 2 3 5 3" xfId="39838"/>
    <cellStyle name="Обычный 10 3 2 2 3 6" xfId="28600"/>
    <cellStyle name="Обычный 10 3 2 2 3 6 2" xfId="43437"/>
    <cellStyle name="Обычный 10 3 2 2 3 7" xfId="35721"/>
    <cellStyle name="Обычный 10 3 2 2 3 8" xfId="21282"/>
    <cellStyle name="Обычный 10 3 2 2 4" xfId="17597"/>
    <cellStyle name="Обычный 10 3 2 2 4 2" xfId="18711"/>
    <cellStyle name="Обычный 10 3 2 2 4 2 2" xfId="20590"/>
    <cellStyle name="Обычный 10 3 2 2 4 2 2 2" xfId="27916"/>
    <cellStyle name="Обычный 10 3 2 2 4 2 2 2 2" xfId="35227"/>
    <cellStyle name="Обычный 10 3 2 2 4 2 2 2 2 2" xfId="50047"/>
    <cellStyle name="Обычный 10 3 2 2 4 2 2 2 3" xfId="42755"/>
    <cellStyle name="Обычный 10 3 2 2 4 2 2 3" xfId="31573"/>
    <cellStyle name="Обычный 10 3 2 2 4 2 2 3 2" xfId="46396"/>
    <cellStyle name="Обычный 10 3 2 2 4 2 2 4" xfId="39071"/>
    <cellStyle name="Обычный 10 3 2 2 4 2 2 5" xfId="24258"/>
    <cellStyle name="Обычный 10 3 2 2 4 2 3" xfId="26090"/>
    <cellStyle name="Обычный 10 3 2 2 4 2 3 2" xfId="33401"/>
    <cellStyle name="Обычный 10 3 2 2 4 2 3 2 2" xfId="48221"/>
    <cellStyle name="Обычный 10 3 2 2 4 2 3 3" xfId="40934"/>
    <cellStyle name="Обычный 10 3 2 2 4 2 4" xfId="29747"/>
    <cellStyle name="Обычный 10 3 2 2 4 2 4 2" xfId="44571"/>
    <cellStyle name="Обычный 10 3 2 2 4 2 5" xfId="37348"/>
    <cellStyle name="Обычный 10 3 2 2 4 2 6" xfId="22429"/>
    <cellStyle name="Обычный 10 3 2 2 4 3" xfId="19641"/>
    <cellStyle name="Обычный 10 3 2 2 4 3 2" xfId="27010"/>
    <cellStyle name="Обычный 10 3 2 2 4 3 2 2" xfId="34321"/>
    <cellStyle name="Обычный 10 3 2 2 4 3 2 2 2" xfId="49141"/>
    <cellStyle name="Обычный 10 3 2 2 4 3 2 3" xfId="41850"/>
    <cellStyle name="Обычный 10 3 2 2 4 3 3" xfId="30667"/>
    <cellStyle name="Обычный 10 3 2 2 4 3 3 2" xfId="45490"/>
    <cellStyle name="Обычный 10 3 2 2 4 3 4" xfId="38164"/>
    <cellStyle name="Обычный 10 3 2 2 4 3 5" xfId="23352"/>
    <cellStyle name="Обычный 10 3 2 2 4 4" xfId="25169"/>
    <cellStyle name="Обычный 10 3 2 2 4 4 2" xfId="32480"/>
    <cellStyle name="Обычный 10 3 2 2 4 4 2 2" xfId="47303"/>
    <cellStyle name="Обычный 10 3 2 2 4 4 3" xfId="40063"/>
    <cellStyle name="Обычный 10 3 2 2 4 5" xfId="28826"/>
    <cellStyle name="Обычный 10 3 2 2 4 5 2" xfId="43663"/>
    <cellStyle name="Обычный 10 3 2 2 4 6" xfId="36167"/>
    <cellStyle name="Обычный 10 3 2 2 4 7" xfId="21508"/>
    <cellStyle name="Обычный 10 3 2 2 5" xfId="18104"/>
    <cellStyle name="Обычный 10 3 2 2 5 2" xfId="20185"/>
    <cellStyle name="Обычный 10 3 2 2 5 2 2" xfId="27511"/>
    <cellStyle name="Обычный 10 3 2 2 5 2 2 2" xfId="34822"/>
    <cellStyle name="Обычный 10 3 2 2 5 2 2 2 2" xfId="49642"/>
    <cellStyle name="Обычный 10 3 2 2 5 2 2 3" xfId="42350"/>
    <cellStyle name="Обычный 10 3 2 2 5 2 3" xfId="31168"/>
    <cellStyle name="Обычный 10 3 2 2 5 2 3 2" xfId="45991"/>
    <cellStyle name="Обычный 10 3 2 2 5 2 4" xfId="38666"/>
    <cellStyle name="Обычный 10 3 2 2 5 2 5" xfId="23853"/>
    <cellStyle name="Обычный 10 3 2 2 5 3" xfId="25685"/>
    <cellStyle name="Обычный 10 3 2 2 5 3 2" xfId="32996"/>
    <cellStyle name="Обычный 10 3 2 2 5 3 2 2" xfId="47816"/>
    <cellStyle name="Обычный 10 3 2 2 5 3 3" xfId="40540"/>
    <cellStyle name="Обычный 10 3 2 2 5 4" xfId="29342"/>
    <cellStyle name="Обычный 10 3 2 2 5 4 2" xfId="44166"/>
    <cellStyle name="Обычный 10 3 2 2 5 5" xfId="36760"/>
    <cellStyle name="Обычный 10 3 2 2 5 6" xfId="22024"/>
    <cellStyle name="Обычный 10 3 2 2 6" xfId="18303"/>
    <cellStyle name="Обычный 10 3 2 2 6 2" xfId="26562"/>
    <cellStyle name="Обычный 10 3 2 2 6 2 2" xfId="33873"/>
    <cellStyle name="Обычный 10 3 2 2 6 2 2 2" xfId="48693"/>
    <cellStyle name="Обычный 10 3 2 2 6 2 3" xfId="41402"/>
    <cellStyle name="Обычный 10 3 2 2 6 3" xfId="30219"/>
    <cellStyle name="Обычный 10 3 2 2 6 3 2" xfId="45042"/>
    <cellStyle name="Обычный 10 3 2 2 6 4" xfId="36943"/>
    <cellStyle name="Обычный 10 3 2 2 6 5" xfId="22904"/>
    <cellStyle name="Обычный 10 3 2 2 7" xfId="19191"/>
    <cellStyle name="Обычный 10 3 2 2 7 2" xfId="32030"/>
    <cellStyle name="Обычный 10 3 2 2 7 2 2" xfId="46853"/>
    <cellStyle name="Обычный 10 3 2 2 7 3" xfId="37716"/>
    <cellStyle name="Обычный 10 3 2 2 7 4" xfId="24719"/>
    <cellStyle name="Обычный 10 3 2 2 8" xfId="28376"/>
    <cellStyle name="Обычный 10 3 2 2 8 2" xfId="43213"/>
    <cellStyle name="Обычный 10 3 2 2 8 3" xfId="36662"/>
    <cellStyle name="Обычный 10 3 2 2 9" xfId="35718"/>
    <cellStyle name="Обычный 10 3 2 3" xfId="17211"/>
    <cellStyle name="Обычный 10 3 2 3 2" xfId="17427"/>
    <cellStyle name="Обычный 10 3 2 3 2 2" xfId="17877"/>
    <cellStyle name="Обычный 10 3 2 3 2 2 2" xfId="18991"/>
    <cellStyle name="Обычный 10 3 2 3 2 2 2 2" xfId="20870"/>
    <cellStyle name="Обычный 10 3 2 3 2 2 2 2 2" xfId="28196"/>
    <cellStyle name="Обычный 10 3 2 3 2 2 2 2 2 2" xfId="35507"/>
    <cellStyle name="Обычный 10 3 2 3 2 2 2 2 2 2 2" xfId="50327"/>
    <cellStyle name="Обычный 10 3 2 3 2 2 2 2 2 3" xfId="43035"/>
    <cellStyle name="Обычный 10 3 2 3 2 2 2 2 3" xfId="31853"/>
    <cellStyle name="Обычный 10 3 2 3 2 2 2 2 3 2" xfId="46676"/>
    <cellStyle name="Обычный 10 3 2 3 2 2 2 2 4" xfId="39351"/>
    <cellStyle name="Обычный 10 3 2 3 2 2 2 2 5" xfId="24538"/>
    <cellStyle name="Обычный 10 3 2 3 2 2 2 3" xfId="26370"/>
    <cellStyle name="Обычный 10 3 2 3 2 2 2 3 2" xfId="33681"/>
    <cellStyle name="Обычный 10 3 2 3 2 2 2 3 2 2" xfId="48501"/>
    <cellStyle name="Обычный 10 3 2 3 2 2 2 3 3" xfId="41214"/>
    <cellStyle name="Обычный 10 3 2 3 2 2 2 4" xfId="30027"/>
    <cellStyle name="Обычный 10 3 2 3 2 2 2 4 2" xfId="44851"/>
    <cellStyle name="Обычный 10 3 2 3 2 2 2 5" xfId="37581"/>
    <cellStyle name="Обычный 10 3 2 3 2 2 2 6" xfId="22709"/>
    <cellStyle name="Обычный 10 3 2 3 2 2 3" xfId="19921"/>
    <cellStyle name="Обычный 10 3 2 3 2 2 3 2" xfId="27290"/>
    <cellStyle name="Обычный 10 3 2 3 2 2 3 2 2" xfId="34601"/>
    <cellStyle name="Обычный 10 3 2 3 2 2 3 2 2 2" xfId="49421"/>
    <cellStyle name="Обычный 10 3 2 3 2 2 3 2 3" xfId="42130"/>
    <cellStyle name="Обычный 10 3 2 3 2 2 3 3" xfId="30947"/>
    <cellStyle name="Обычный 10 3 2 3 2 2 3 3 2" xfId="45770"/>
    <cellStyle name="Обычный 10 3 2 3 2 2 3 4" xfId="38444"/>
    <cellStyle name="Обычный 10 3 2 3 2 2 3 5" xfId="23632"/>
    <cellStyle name="Обычный 10 3 2 3 2 2 4" xfId="25449"/>
    <cellStyle name="Обычный 10 3 2 3 2 2 4 2" xfId="32760"/>
    <cellStyle name="Обычный 10 3 2 3 2 2 4 2 2" xfId="47583"/>
    <cellStyle name="Обычный 10 3 2 3 2 2 4 3" xfId="40337"/>
    <cellStyle name="Обычный 10 3 2 3 2 2 5" xfId="29106"/>
    <cellStyle name="Обычный 10 3 2 3 2 2 5 2" xfId="43943"/>
    <cellStyle name="Обычный 10 3 2 3 2 2 6" xfId="36172"/>
    <cellStyle name="Обычный 10 3 2 3 2 2 7" xfId="21788"/>
    <cellStyle name="Обычный 10 3 2 3 2 3" xfId="18308"/>
    <cellStyle name="Обычный 10 3 2 3 2 3 2" xfId="20190"/>
    <cellStyle name="Обычный 10 3 2 3 2 3 2 2" xfId="27516"/>
    <cellStyle name="Обычный 10 3 2 3 2 3 2 2 2" xfId="34827"/>
    <cellStyle name="Обычный 10 3 2 3 2 3 2 2 2 2" xfId="49647"/>
    <cellStyle name="Обычный 10 3 2 3 2 3 2 2 3" xfId="42355"/>
    <cellStyle name="Обычный 10 3 2 3 2 3 2 3" xfId="31173"/>
    <cellStyle name="Обычный 10 3 2 3 2 3 2 3 2" xfId="45996"/>
    <cellStyle name="Обычный 10 3 2 3 2 3 2 4" xfId="38671"/>
    <cellStyle name="Обычный 10 3 2 3 2 3 2 5" xfId="23858"/>
    <cellStyle name="Обычный 10 3 2 3 2 3 3" xfId="25690"/>
    <cellStyle name="Обычный 10 3 2 3 2 3 3 2" xfId="33001"/>
    <cellStyle name="Обычный 10 3 2 3 2 3 3 2 2" xfId="47821"/>
    <cellStyle name="Обычный 10 3 2 3 2 3 3 3" xfId="40545"/>
    <cellStyle name="Обычный 10 3 2 3 2 3 4" xfId="29347"/>
    <cellStyle name="Обычный 10 3 2 3 2 3 4 2" xfId="44171"/>
    <cellStyle name="Обычный 10 3 2 3 2 3 5" xfId="36948"/>
    <cellStyle name="Обычный 10 3 2 3 2 3 6" xfId="22029"/>
    <cellStyle name="Обычный 10 3 2 3 2 4" xfId="19470"/>
    <cellStyle name="Обычный 10 3 2 3 2 4 2" xfId="26840"/>
    <cellStyle name="Обычный 10 3 2 3 2 4 2 2" xfId="34151"/>
    <cellStyle name="Обычный 10 3 2 3 2 4 2 2 2" xfId="48971"/>
    <cellStyle name="Обычный 10 3 2 3 2 4 2 3" xfId="41680"/>
    <cellStyle name="Обычный 10 3 2 3 2 4 3" xfId="30497"/>
    <cellStyle name="Обычный 10 3 2 3 2 4 3 2" xfId="45320"/>
    <cellStyle name="Обычный 10 3 2 3 2 4 4" xfId="37994"/>
    <cellStyle name="Обычный 10 3 2 3 2 4 5" xfId="23182"/>
    <cellStyle name="Обычный 10 3 2 3 2 5" xfId="24999"/>
    <cellStyle name="Обычный 10 3 2 3 2 5 2" xfId="32310"/>
    <cellStyle name="Обычный 10 3 2 3 2 5 2 2" xfId="47133"/>
    <cellStyle name="Обычный 10 3 2 3 2 5 3" xfId="39894"/>
    <cellStyle name="Обычный 10 3 2 3 2 6" xfId="28656"/>
    <cellStyle name="Обычный 10 3 2 3 2 6 2" xfId="43493"/>
    <cellStyle name="Обычный 10 3 2 3 2 7" xfId="35723"/>
    <cellStyle name="Обычный 10 3 2 3 2 8" xfId="21338"/>
    <cellStyle name="Обычный 10 3 2 3 3" xfId="17653"/>
    <cellStyle name="Обычный 10 3 2 3 3 2" xfId="18767"/>
    <cellStyle name="Обычный 10 3 2 3 3 2 2" xfId="20646"/>
    <cellStyle name="Обычный 10 3 2 3 3 2 2 2" xfId="27972"/>
    <cellStyle name="Обычный 10 3 2 3 3 2 2 2 2" xfId="35283"/>
    <cellStyle name="Обычный 10 3 2 3 3 2 2 2 2 2" xfId="50103"/>
    <cellStyle name="Обычный 10 3 2 3 3 2 2 2 3" xfId="42811"/>
    <cellStyle name="Обычный 10 3 2 3 3 2 2 3" xfId="31629"/>
    <cellStyle name="Обычный 10 3 2 3 3 2 2 3 2" xfId="46452"/>
    <cellStyle name="Обычный 10 3 2 3 3 2 2 4" xfId="39127"/>
    <cellStyle name="Обычный 10 3 2 3 3 2 2 5" xfId="24314"/>
    <cellStyle name="Обычный 10 3 2 3 3 2 3" xfId="26146"/>
    <cellStyle name="Обычный 10 3 2 3 3 2 3 2" xfId="33457"/>
    <cellStyle name="Обычный 10 3 2 3 3 2 3 2 2" xfId="48277"/>
    <cellStyle name="Обычный 10 3 2 3 3 2 3 3" xfId="40990"/>
    <cellStyle name="Обычный 10 3 2 3 3 2 4" xfId="29803"/>
    <cellStyle name="Обычный 10 3 2 3 3 2 4 2" xfId="44627"/>
    <cellStyle name="Обычный 10 3 2 3 3 2 5" xfId="37404"/>
    <cellStyle name="Обычный 10 3 2 3 3 2 6" xfId="22485"/>
    <cellStyle name="Обычный 10 3 2 3 3 3" xfId="19697"/>
    <cellStyle name="Обычный 10 3 2 3 3 3 2" xfId="27066"/>
    <cellStyle name="Обычный 10 3 2 3 3 3 2 2" xfId="34377"/>
    <cellStyle name="Обычный 10 3 2 3 3 3 2 2 2" xfId="49197"/>
    <cellStyle name="Обычный 10 3 2 3 3 3 2 3" xfId="41906"/>
    <cellStyle name="Обычный 10 3 2 3 3 3 3" xfId="30723"/>
    <cellStyle name="Обычный 10 3 2 3 3 3 3 2" xfId="45546"/>
    <cellStyle name="Обычный 10 3 2 3 3 3 4" xfId="38220"/>
    <cellStyle name="Обычный 10 3 2 3 3 3 5" xfId="23408"/>
    <cellStyle name="Обычный 10 3 2 3 3 4" xfId="25225"/>
    <cellStyle name="Обычный 10 3 2 3 3 4 2" xfId="32536"/>
    <cellStyle name="Обычный 10 3 2 3 3 4 2 2" xfId="47359"/>
    <cellStyle name="Обычный 10 3 2 3 3 4 3" xfId="40117"/>
    <cellStyle name="Обычный 10 3 2 3 3 5" xfId="28882"/>
    <cellStyle name="Обычный 10 3 2 3 3 5 2" xfId="43719"/>
    <cellStyle name="Обычный 10 3 2 3 3 6" xfId="36171"/>
    <cellStyle name="Обычный 10 3 2 3 3 7" xfId="21564"/>
    <cellStyle name="Обычный 10 3 2 3 4" xfId="18307"/>
    <cellStyle name="Обычный 10 3 2 3 4 2" xfId="20189"/>
    <cellStyle name="Обычный 10 3 2 3 4 2 2" xfId="27515"/>
    <cellStyle name="Обычный 10 3 2 3 4 2 2 2" xfId="34826"/>
    <cellStyle name="Обычный 10 3 2 3 4 2 2 2 2" xfId="49646"/>
    <cellStyle name="Обычный 10 3 2 3 4 2 2 3" xfId="42354"/>
    <cellStyle name="Обычный 10 3 2 3 4 2 3" xfId="31172"/>
    <cellStyle name="Обычный 10 3 2 3 4 2 3 2" xfId="45995"/>
    <cellStyle name="Обычный 10 3 2 3 4 2 4" xfId="38670"/>
    <cellStyle name="Обычный 10 3 2 3 4 2 5" xfId="23857"/>
    <cellStyle name="Обычный 10 3 2 3 4 3" xfId="25689"/>
    <cellStyle name="Обычный 10 3 2 3 4 3 2" xfId="33000"/>
    <cellStyle name="Обычный 10 3 2 3 4 3 2 2" xfId="47820"/>
    <cellStyle name="Обычный 10 3 2 3 4 3 3" xfId="40544"/>
    <cellStyle name="Обычный 10 3 2 3 4 4" xfId="29346"/>
    <cellStyle name="Обычный 10 3 2 3 4 4 2" xfId="44170"/>
    <cellStyle name="Обычный 10 3 2 3 4 5" xfId="36947"/>
    <cellStyle name="Обычный 10 3 2 3 4 6" xfId="22028"/>
    <cellStyle name="Обычный 10 3 2 3 5" xfId="19247"/>
    <cellStyle name="Обычный 10 3 2 3 5 2" xfId="26617"/>
    <cellStyle name="Обычный 10 3 2 3 5 2 2" xfId="33928"/>
    <cellStyle name="Обычный 10 3 2 3 5 2 2 2" xfId="48748"/>
    <cellStyle name="Обычный 10 3 2 3 5 2 3" xfId="41457"/>
    <cellStyle name="Обычный 10 3 2 3 5 3" xfId="30274"/>
    <cellStyle name="Обычный 10 3 2 3 5 3 2" xfId="45097"/>
    <cellStyle name="Обычный 10 3 2 3 5 4" xfId="37771"/>
    <cellStyle name="Обычный 10 3 2 3 5 5" xfId="22959"/>
    <cellStyle name="Обычный 10 3 2 3 6" xfId="24775"/>
    <cellStyle name="Обычный 10 3 2 3 6 2" xfId="32086"/>
    <cellStyle name="Обычный 10 3 2 3 6 2 2" xfId="46909"/>
    <cellStyle name="Обычный 10 3 2 3 6 3" xfId="39677"/>
    <cellStyle name="Обычный 10 3 2 3 7" xfId="28432"/>
    <cellStyle name="Обычный 10 3 2 3 7 2" xfId="43269"/>
    <cellStyle name="Обычный 10 3 2 3 8" xfId="35722"/>
    <cellStyle name="Обычный 10 3 2 3 9" xfId="21114"/>
    <cellStyle name="Обычный 10 3 2 4" xfId="17310"/>
    <cellStyle name="Обычный 10 3 2 4 2" xfId="17765"/>
    <cellStyle name="Обычный 10 3 2 4 2 2" xfId="18879"/>
    <cellStyle name="Обычный 10 3 2 4 2 2 2" xfId="20758"/>
    <cellStyle name="Обычный 10 3 2 4 2 2 2 2" xfId="28084"/>
    <cellStyle name="Обычный 10 3 2 4 2 2 2 2 2" xfId="35395"/>
    <cellStyle name="Обычный 10 3 2 4 2 2 2 2 2 2" xfId="50215"/>
    <cellStyle name="Обычный 10 3 2 4 2 2 2 2 3" xfId="42923"/>
    <cellStyle name="Обычный 10 3 2 4 2 2 2 3" xfId="31741"/>
    <cellStyle name="Обычный 10 3 2 4 2 2 2 3 2" xfId="46564"/>
    <cellStyle name="Обычный 10 3 2 4 2 2 2 4" xfId="39239"/>
    <cellStyle name="Обычный 10 3 2 4 2 2 2 5" xfId="24426"/>
    <cellStyle name="Обычный 10 3 2 4 2 2 3" xfId="26258"/>
    <cellStyle name="Обычный 10 3 2 4 2 2 3 2" xfId="33569"/>
    <cellStyle name="Обычный 10 3 2 4 2 2 3 2 2" xfId="48389"/>
    <cellStyle name="Обычный 10 3 2 4 2 2 3 3" xfId="41102"/>
    <cellStyle name="Обычный 10 3 2 4 2 2 4" xfId="29915"/>
    <cellStyle name="Обычный 10 3 2 4 2 2 4 2" xfId="44739"/>
    <cellStyle name="Обычный 10 3 2 4 2 2 5" xfId="37515"/>
    <cellStyle name="Обычный 10 3 2 4 2 2 6" xfId="22597"/>
    <cellStyle name="Обычный 10 3 2 4 2 3" xfId="19809"/>
    <cellStyle name="Обычный 10 3 2 4 2 3 2" xfId="27178"/>
    <cellStyle name="Обычный 10 3 2 4 2 3 2 2" xfId="34489"/>
    <cellStyle name="Обычный 10 3 2 4 2 3 2 2 2" xfId="49309"/>
    <cellStyle name="Обычный 10 3 2 4 2 3 2 3" xfId="42018"/>
    <cellStyle name="Обычный 10 3 2 4 2 3 3" xfId="30835"/>
    <cellStyle name="Обычный 10 3 2 4 2 3 3 2" xfId="45658"/>
    <cellStyle name="Обычный 10 3 2 4 2 3 4" xfId="38332"/>
    <cellStyle name="Обычный 10 3 2 4 2 3 5" xfId="23520"/>
    <cellStyle name="Обычный 10 3 2 4 2 4" xfId="25337"/>
    <cellStyle name="Обычный 10 3 2 4 2 4 2" xfId="32648"/>
    <cellStyle name="Обычный 10 3 2 4 2 4 2 2" xfId="47471"/>
    <cellStyle name="Обычный 10 3 2 4 2 4 3" xfId="40226"/>
    <cellStyle name="Обычный 10 3 2 4 2 5" xfId="28994"/>
    <cellStyle name="Обычный 10 3 2 4 2 5 2" xfId="43831"/>
    <cellStyle name="Обычный 10 3 2 4 2 6" xfId="36173"/>
    <cellStyle name="Обычный 10 3 2 4 2 7" xfId="21676"/>
    <cellStyle name="Обычный 10 3 2 4 3" xfId="18309"/>
    <cellStyle name="Обычный 10 3 2 4 3 2" xfId="20191"/>
    <cellStyle name="Обычный 10 3 2 4 3 2 2" xfId="27517"/>
    <cellStyle name="Обычный 10 3 2 4 3 2 2 2" xfId="34828"/>
    <cellStyle name="Обычный 10 3 2 4 3 2 2 2 2" xfId="49648"/>
    <cellStyle name="Обычный 10 3 2 4 3 2 2 3" xfId="42356"/>
    <cellStyle name="Обычный 10 3 2 4 3 2 3" xfId="31174"/>
    <cellStyle name="Обычный 10 3 2 4 3 2 3 2" xfId="45997"/>
    <cellStyle name="Обычный 10 3 2 4 3 2 4" xfId="38672"/>
    <cellStyle name="Обычный 10 3 2 4 3 2 5" xfId="23859"/>
    <cellStyle name="Обычный 10 3 2 4 3 3" xfId="25691"/>
    <cellStyle name="Обычный 10 3 2 4 3 3 2" xfId="33002"/>
    <cellStyle name="Обычный 10 3 2 4 3 3 2 2" xfId="47822"/>
    <cellStyle name="Обычный 10 3 2 4 3 3 3" xfId="40546"/>
    <cellStyle name="Обычный 10 3 2 4 3 4" xfId="29348"/>
    <cellStyle name="Обычный 10 3 2 4 3 4 2" xfId="44172"/>
    <cellStyle name="Обычный 10 3 2 4 3 5" xfId="36949"/>
    <cellStyle name="Обычный 10 3 2 4 3 6" xfId="22030"/>
    <cellStyle name="Обычный 10 3 2 4 4" xfId="19358"/>
    <cellStyle name="Обычный 10 3 2 4 4 2" xfId="26728"/>
    <cellStyle name="Обычный 10 3 2 4 4 2 2" xfId="34039"/>
    <cellStyle name="Обычный 10 3 2 4 4 2 2 2" xfId="48859"/>
    <cellStyle name="Обычный 10 3 2 4 4 2 3" xfId="41568"/>
    <cellStyle name="Обычный 10 3 2 4 4 3" xfId="30385"/>
    <cellStyle name="Обычный 10 3 2 4 4 3 2" xfId="45208"/>
    <cellStyle name="Обычный 10 3 2 4 4 4" xfId="37882"/>
    <cellStyle name="Обычный 10 3 2 4 4 5" xfId="23070"/>
    <cellStyle name="Обычный 10 3 2 4 5" xfId="24887"/>
    <cellStyle name="Обычный 10 3 2 4 5 2" xfId="32198"/>
    <cellStyle name="Обычный 10 3 2 4 5 2 2" xfId="47021"/>
    <cellStyle name="Обычный 10 3 2 4 5 3" xfId="39783"/>
    <cellStyle name="Обычный 10 3 2 4 6" xfId="28544"/>
    <cellStyle name="Обычный 10 3 2 4 6 2" xfId="43381"/>
    <cellStyle name="Обычный 10 3 2 4 7" xfId="35724"/>
    <cellStyle name="Обычный 10 3 2 4 8" xfId="21226"/>
    <cellStyle name="Обычный 10 3 2 5" xfId="17541"/>
    <cellStyle name="Обычный 10 3 2 5 2" xfId="18655"/>
    <cellStyle name="Обычный 10 3 2 5 2 2" xfId="20534"/>
    <cellStyle name="Обычный 10 3 2 5 2 2 2" xfId="27860"/>
    <cellStyle name="Обычный 10 3 2 5 2 2 2 2" xfId="35171"/>
    <cellStyle name="Обычный 10 3 2 5 2 2 2 2 2" xfId="49991"/>
    <cellStyle name="Обычный 10 3 2 5 2 2 2 3" xfId="42699"/>
    <cellStyle name="Обычный 10 3 2 5 2 2 3" xfId="31517"/>
    <cellStyle name="Обычный 10 3 2 5 2 2 3 2" xfId="46340"/>
    <cellStyle name="Обычный 10 3 2 5 2 2 4" xfId="39015"/>
    <cellStyle name="Обычный 10 3 2 5 2 2 5" xfId="24202"/>
    <cellStyle name="Обычный 10 3 2 5 2 3" xfId="26034"/>
    <cellStyle name="Обычный 10 3 2 5 2 3 2" xfId="33345"/>
    <cellStyle name="Обычный 10 3 2 5 2 3 2 2" xfId="48165"/>
    <cellStyle name="Обычный 10 3 2 5 2 3 3" xfId="40878"/>
    <cellStyle name="Обычный 10 3 2 5 2 4" xfId="29691"/>
    <cellStyle name="Обычный 10 3 2 5 2 4 2" xfId="44515"/>
    <cellStyle name="Обычный 10 3 2 5 2 5" xfId="37292"/>
    <cellStyle name="Обычный 10 3 2 5 2 6" xfId="22373"/>
    <cellStyle name="Обычный 10 3 2 5 3" xfId="19585"/>
    <cellStyle name="Обычный 10 3 2 5 3 2" xfId="26954"/>
    <cellStyle name="Обычный 10 3 2 5 3 2 2" xfId="34265"/>
    <cellStyle name="Обычный 10 3 2 5 3 2 2 2" xfId="49085"/>
    <cellStyle name="Обычный 10 3 2 5 3 2 3" xfId="41794"/>
    <cellStyle name="Обычный 10 3 2 5 3 3" xfId="30611"/>
    <cellStyle name="Обычный 10 3 2 5 3 3 2" xfId="45434"/>
    <cellStyle name="Обычный 10 3 2 5 3 4" xfId="38108"/>
    <cellStyle name="Обычный 10 3 2 5 3 5" xfId="23296"/>
    <cellStyle name="Обычный 10 3 2 5 4" xfId="25113"/>
    <cellStyle name="Обычный 10 3 2 5 4 2" xfId="32424"/>
    <cellStyle name="Обычный 10 3 2 5 4 2 2" xfId="47247"/>
    <cellStyle name="Обычный 10 3 2 5 4 3" xfId="40007"/>
    <cellStyle name="Обычный 10 3 2 5 5" xfId="28770"/>
    <cellStyle name="Обычный 10 3 2 5 5 2" xfId="43607"/>
    <cellStyle name="Обычный 10 3 2 5 6" xfId="36166"/>
    <cellStyle name="Обычный 10 3 2 5 7" xfId="21452"/>
    <cellStyle name="Обычный 10 3 2 6" xfId="18059"/>
    <cellStyle name="Обычный 10 3 2 6 2" xfId="18302"/>
    <cellStyle name="Обычный 10 3 2 6 2 2" xfId="27510"/>
    <cellStyle name="Обычный 10 3 2 6 2 2 2" xfId="34821"/>
    <cellStyle name="Обычный 10 3 2 6 2 2 2 2" xfId="49641"/>
    <cellStyle name="Обычный 10 3 2 6 2 2 3" xfId="42349"/>
    <cellStyle name="Обычный 10 3 2 6 2 3" xfId="31167"/>
    <cellStyle name="Обычный 10 3 2 6 2 3 2" xfId="45990"/>
    <cellStyle name="Обычный 10 3 2 6 2 4" xfId="36942"/>
    <cellStyle name="Обычный 10 3 2 6 2 5" xfId="23852"/>
    <cellStyle name="Обычный 10 3 2 6 3" xfId="20184"/>
    <cellStyle name="Обычный 10 3 2 6 3 2" xfId="32995"/>
    <cellStyle name="Обычный 10 3 2 6 3 2 2" xfId="47815"/>
    <cellStyle name="Обычный 10 3 2 6 3 3" xfId="38665"/>
    <cellStyle name="Обычный 10 3 2 6 3 4" xfId="25684"/>
    <cellStyle name="Обычный 10 3 2 6 4" xfId="29341"/>
    <cellStyle name="Обычный 10 3 2 6 4 2" xfId="44165"/>
    <cellStyle name="Обычный 10 3 2 6 5" xfId="36716"/>
    <cellStyle name="Обычный 10 3 2 6 6" xfId="22023"/>
    <cellStyle name="Обычный 10 3 2 7" xfId="20027"/>
    <cellStyle name="Обычный 10 3 2 8" xfId="19137"/>
    <cellStyle name="Обычный 10 3 2 8 2" xfId="26509"/>
    <cellStyle name="Обычный 10 3 2 8 2 2" xfId="33820"/>
    <cellStyle name="Обычный 10 3 2 8 2 2 2" xfId="48640"/>
    <cellStyle name="Обычный 10 3 2 8 2 3" xfId="41349"/>
    <cellStyle name="Обычный 10 3 2 8 3" xfId="30166"/>
    <cellStyle name="Обычный 10 3 2 8 3 2" xfId="44989"/>
    <cellStyle name="Обычный 10 3 2 8 4" xfId="37663"/>
    <cellStyle name="Обычный 10 3 2 8 5" xfId="22851"/>
    <cellStyle name="Обычный 10 3 2 9" xfId="24663"/>
    <cellStyle name="Обычный 10 3 2 9 2" xfId="31974"/>
    <cellStyle name="Обычный 10 3 2 9 2 2" xfId="46797"/>
    <cellStyle name="Обычный 10 3 2 9 3" xfId="39583"/>
    <cellStyle name="Обычный 10 3 2 9 4" xfId="36601"/>
    <cellStyle name="Обычный 10 3 3" xfId="17227"/>
    <cellStyle name="Обычный 10 3 3 10" xfId="21030"/>
    <cellStyle name="Обычный 10 3 3 2" xfId="17455"/>
    <cellStyle name="Обычный 10 3 3 2 2" xfId="17905"/>
    <cellStyle name="Обычный 10 3 3 2 2 2" xfId="19019"/>
    <cellStyle name="Обычный 10 3 3 2 2 2 2" xfId="20898"/>
    <cellStyle name="Обычный 10 3 3 2 2 2 2 2" xfId="24566"/>
    <cellStyle name="Обычный 10 3 3 2 2 2 2 2 2" xfId="28224"/>
    <cellStyle name="Обычный 10 3 3 2 2 2 2 2 2 2" xfId="35535"/>
    <cellStyle name="Обычный 10 3 3 2 2 2 2 2 2 2 2" xfId="50355"/>
    <cellStyle name="Обычный 10 3 3 2 2 2 2 2 2 3" xfId="43063"/>
    <cellStyle name="Обычный 10 3 3 2 2 2 2 2 3" xfId="31881"/>
    <cellStyle name="Обычный 10 3 3 2 2 2 2 2 3 2" xfId="46704"/>
    <cellStyle name="Обычный 10 3 3 2 2 2 2 2 4" xfId="39499"/>
    <cellStyle name="Обычный 10 3 3 2 2 2 2 3" xfId="26398"/>
    <cellStyle name="Обычный 10 3 3 2 2 2 2 3 2" xfId="33709"/>
    <cellStyle name="Обычный 10 3 3 2 2 2 2 3 2 2" xfId="48529"/>
    <cellStyle name="Обычный 10 3 3 2 2 2 2 3 3" xfId="41242"/>
    <cellStyle name="Обычный 10 3 3 2 2 2 2 4" xfId="30055"/>
    <cellStyle name="Обычный 10 3 3 2 2 2 2 4 2" xfId="44879"/>
    <cellStyle name="Обычный 10 3 3 2 2 2 2 5" xfId="39379"/>
    <cellStyle name="Обычный 10 3 3 2 2 2 2 6" xfId="22737"/>
    <cellStyle name="Обычный 10 3 3 2 2 2 3" xfId="19949"/>
    <cellStyle name="Обычный 10 3 3 2 2 2 3 2" xfId="27318"/>
    <cellStyle name="Обычный 10 3 3 2 2 2 3 2 2" xfId="34629"/>
    <cellStyle name="Обычный 10 3 3 2 2 2 3 2 2 2" xfId="49449"/>
    <cellStyle name="Обычный 10 3 3 2 2 2 3 2 3" xfId="42158"/>
    <cellStyle name="Обычный 10 3 3 2 2 2 3 3" xfId="30975"/>
    <cellStyle name="Обычный 10 3 3 2 2 2 3 3 2" xfId="45798"/>
    <cellStyle name="Обычный 10 3 3 2 2 2 3 4" xfId="38472"/>
    <cellStyle name="Обычный 10 3 3 2 2 2 3 5" xfId="23660"/>
    <cellStyle name="Обычный 10 3 3 2 2 2 4" xfId="25477"/>
    <cellStyle name="Обычный 10 3 3 2 2 2 4 2" xfId="32788"/>
    <cellStyle name="Обычный 10 3 3 2 2 2 4 2 2" xfId="47611"/>
    <cellStyle name="Обычный 10 3 3 2 2 2 4 3" xfId="40365"/>
    <cellStyle name="Обычный 10 3 3 2 2 2 5" xfId="29134"/>
    <cellStyle name="Обычный 10 3 3 2 2 2 5 2" xfId="43971"/>
    <cellStyle name="Обычный 10 3 3 2 2 2 6" xfId="36176"/>
    <cellStyle name="Обычный 10 3 3 2 2 2 7" xfId="21816"/>
    <cellStyle name="Обычный 10 3 3 2 2 3" xfId="18312"/>
    <cellStyle name="Обычный 10 3 3 2 2 3 2" xfId="20194"/>
    <cellStyle name="Обычный 10 3 3 2 2 3 2 2" xfId="27520"/>
    <cellStyle name="Обычный 10 3 3 2 2 3 2 2 2" xfId="34831"/>
    <cellStyle name="Обычный 10 3 3 2 2 3 2 2 2 2" xfId="49651"/>
    <cellStyle name="Обычный 10 3 3 2 2 3 2 2 3" xfId="42359"/>
    <cellStyle name="Обычный 10 3 3 2 2 3 2 3" xfId="31177"/>
    <cellStyle name="Обычный 10 3 3 2 2 3 2 3 2" xfId="46000"/>
    <cellStyle name="Обычный 10 3 3 2 2 3 2 4" xfId="38675"/>
    <cellStyle name="Обычный 10 3 3 2 2 3 2 5" xfId="23862"/>
    <cellStyle name="Обычный 10 3 3 2 2 3 3" xfId="25694"/>
    <cellStyle name="Обычный 10 3 3 2 2 3 3 2" xfId="33005"/>
    <cellStyle name="Обычный 10 3 3 2 2 3 3 2 2" xfId="47825"/>
    <cellStyle name="Обычный 10 3 3 2 2 3 3 3" xfId="40549"/>
    <cellStyle name="Обычный 10 3 3 2 2 3 4" xfId="29351"/>
    <cellStyle name="Обычный 10 3 3 2 2 3 4 2" xfId="44175"/>
    <cellStyle name="Обычный 10 3 3 2 2 3 5" xfId="36952"/>
    <cellStyle name="Обычный 10 3 3 2 2 3 6" xfId="22033"/>
    <cellStyle name="Обычный 10 3 3 2 2 4" xfId="19498"/>
    <cellStyle name="Обычный 10 3 3 2 2 4 2" xfId="26868"/>
    <cellStyle name="Обычный 10 3 3 2 2 4 2 2" xfId="34179"/>
    <cellStyle name="Обычный 10 3 3 2 2 4 2 2 2" xfId="48999"/>
    <cellStyle name="Обычный 10 3 3 2 2 4 2 3" xfId="41708"/>
    <cellStyle name="Обычный 10 3 3 2 2 4 3" xfId="30525"/>
    <cellStyle name="Обычный 10 3 3 2 2 4 3 2" xfId="45348"/>
    <cellStyle name="Обычный 10 3 3 2 2 4 4" xfId="38022"/>
    <cellStyle name="Обычный 10 3 3 2 2 4 5" xfId="23210"/>
    <cellStyle name="Обычный 10 3 3 2 2 5" xfId="25027"/>
    <cellStyle name="Обычный 10 3 3 2 2 5 2" xfId="32338"/>
    <cellStyle name="Обычный 10 3 3 2 2 5 2 2" xfId="47161"/>
    <cellStyle name="Обычный 10 3 3 2 2 5 3" xfId="39922"/>
    <cellStyle name="Обычный 10 3 3 2 2 6" xfId="28684"/>
    <cellStyle name="Обычный 10 3 3 2 2 6 2" xfId="43521"/>
    <cellStyle name="Обычный 10 3 3 2 2 7" xfId="35727"/>
    <cellStyle name="Обычный 10 3 3 2 2 8" xfId="21366"/>
    <cellStyle name="Обычный 10 3 3 2 3" xfId="17681"/>
    <cellStyle name="Обычный 10 3 3 2 3 2" xfId="18795"/>
    <cellStyle name="Обычный 10 3 3 2 3 2 2" xfId="20674"/>
    <cellStyle name="Обычный 10 3 3 2 3 2 2 2" xfId="28000"/>
    <cellStyle name="Обычный 10 3 3 2 3 2 2 2 2" xfId="35311"/>
    <cellStyle name="Обычный 10 3 3 2 3 2 2 2 2 2" xfId="50131"/>
    <cellStyle name="Обычный 10 3 3 2 3 2 2 2 3" xfId="42839"/>
    <cellStyle name="Обычный 10 3 3 2 3 2 2 3" xfId="31657"/>
    <cellStyle name="Обычный 10 3 3 2 3 2 2 3 2" xfId="46480"/>
    <cellStyle name="Обычный 10 3 3 2 3 2 2 4" xfId="39155"/>
    <cellStyle name="Обычный 10 3 3 2 3 2 2 5" xfId="24342"/>
    <cellStyle name="Обычный 10 3 3 2 3 2 3" xfId="26174"/>
    <cellStyle name="Обычный 10 3 3 2 3 2 3 2" xfId="33485"/>
    <cellStyle name="Обычный 10 3 3 2 3 2 3 2 2" xfId="48305"/>
    <cellStyle name="Обычный 10 3 3 2 3 2 3 3" xfId="41018"/>
    <cellStyle name="Обычный 10 3 3 2 3 2 4" xfId="29831"/>
    <cellStyle name="Обычный 10 3 3 2 3 2 4 2" xfId="44655"/>
    <cellStyle name="Обычный 10 3 3 2 3 2 5" xfId="37432"/>
    <cellStyle name="Обычный 10 3 3 2 3 2 6" xfId="22513"/>
    <cellStyle name="Обычный 10 3 3 2 3 3" xfId="19725"/>
    <cellStyle name="Обычный 10 3 3 2 3 3 2" xfId="27094"/>
    <cellStyle name="Обычный 10 3 3 2 3 3 2 2" xfId="34405"/>
    <cellStyle name="Обычный 10 3 3 2 3 3 2 2 2" xfId="49225"/>
    <cellStyle name="Обычный 10 3 3 2 3 3 2 3" xfId="41934"/>
    <cellStyle name="Обычный 10 3 3 2 3 3 3" xfId="30751"/>
    <cellStyle name="Обычный 10 3 3 2 3 3 3 2" xfId="45574"/>
    <cellStyle name="Обычный 10 3 3 2 3 3 4" xfId="38248"/>
    <cellStyle name="Обычный 10 3 3 2 3 3 5" xfId="23436"/>
    <cellStyle name="Обычный 10 3 3 2 3 4" xfId="25253"/>
    <cellStyle name="Обычный 10 3 3 2 3 4 2" xfId="32564"/>
    <cellStyle name="Обычный 10 3 3 2 3 4 2 2" xfId="47387"/>
    <cellStyle name="Обычный 10 3 3 2 3 4 3" xfId="40145"/>
    <cellStyle name="Обычный 10 3 3 2 3 5" xfId="28910"/>
    <cellStyle name="Обычный 10 3 3 2 3 5 2" xfId="43747"/>
    <cellStyle name="Обычный 10 3 3 2 3 6" xfId="36175"/>
    <cellStyle name="Обычный 10 3 3 2 3 7" xfId="21592"/>
    <cellStyle name="Обычный 10 3 3 2 4" xfId="18311"/>
    <cellStyle name="Обычный 10 3 3 2 4 2" xfId="20193"/>
    <cellStyle name="Обычный 10 3 3 2 4 2 2" xfId="27519"/>
    <cellStyle name="Обычный 10 3 3 2 4 2 2 2" xfId="34830"/>
    <cellStyle name="Обычный 10 3 3 2 4 2 2 2 2" xfId="49650"/>
    <cellStyle name="Обычный 10 3 3 2 4 2 2 3" xfId="42358"/>
    <cellStyle name="Обычный 10 3 3 2 4 2 3" xfId="31176"/>
    <cellStyle name="Обычный 10 3 3 2 4 2 3 2" xfId="45999"/>
    <cellStyle name="Обычный 10 3 3 2 4 2 4" xfId="38674"/>
    <cellStyle name="Обычный 10 3 3 2 4 2 5" xfId="23861"/>
    <cellStyle name="Обычный 10 3 3 2 4 3" xfId="25693"/>
    <cellStyle name="Обычный 10 3 3 2 4 3 2" xfId="33004"/>
    <cellStyle name="Обычный 10 3 3 2 4 3 2 2" xfId="47824"/>
    <cellStyle name="Обычный 10 3 3 2 4 3 3" xfId="40548"/>
    <cellStyle name="Обычный 10 3 3 2 4 4" xfId="29350"/>
    <cellStyle name="Обычный 10 3 3 2 4 4 2" xfId="44174"/>
    <cellStyle name="Обычный 10 3 3 2 4 5" xfId="36951"/>
    <cellStyle name="Обычный 10 3 3 2 4 6" xfId="22032"/>
    <cellStyle name="Обычный 10 3 3 2 5" xfId="19275"/>
    <cellStyle name="Обычный 10 3 3 2 5 2" xfId="26645"/>
    <cellStyle name="Обычный 10 3 3 2 5 2 2" xfId="33956"/>
    <cellStyle name="Обычный 10 3 3 2 5 2 2 2" xfId="48776"/>
    <cellStyle name="Обычный 10 3 3 2 5 2 3" xfId="41485"/>
    <cellStyle name="Обычный 10 3 3 2 5 3" xfId="30302"/>
    <cellStyle name="Обычный 10 3 3 2 5 3 2" xfId="45125"/>
    <cellStyle name="Обычный 10 3 3 2 5 4" xfId="37799"/>
    <cellStyle name="Обычный 10 3 3 2 5 5" xfId="22987"/>
    <cellStyle name="Обычный 10 3 3 2 6" xfId="24803"/>
    <cellStyle name="Обычный 10 3 3 2 6 2" xfId="32114"/>
    <cellStyle name="Обычный 10 3 3 2 6 2 2" xfId="46937"/>
    <cellStyle name="Обычный 10 3 3 2 6 3" xfId="39702"/>
    <cellStyle name="Обычный 10 3 3 2 7" xfId="28460"/>
    <cellStyle name="Обычный 10 3 3 2 7 2" xfId="43297"/>
    <cellStyle name="Обычный 10 3 3 2 8" xfId="35726"/>
    <cellStyle name="Обычный 10 3 3 2 9" xfId="21142"/>
    <cellStyle name="Обычный 10 3 3 3" xfId="17340"/>
    <cellStyle name="Обычный 10 3 3 3 2" xfId="17793"/>
    <cellStyle name="Обычный 10 3 3 3 2 2" xfId="18907"/>
    <cellStyle name="Обычный 10 3 3 3 2 2 2" xfId="20786"/>
    <cellStyle name="Обычный 10 3 3 3 2 2 2 2" xfId="28112"/>
    <cellStyle name="Обычный 10 3 3 3 2 2 2 2 2" xfId="35423"/>
    <cellStyle name="Обычный 10 3 3 3 2 2 2 2 2 2" xfId="50243"/>
    <cellStyle name="Обычный 10 3 3 3 2 2 2 2 3" xfId="42951"/>
    <cellStyle name="Обычный 10 3 3 3 2 2 2 3" xfId="31769"/>
    <cellStyle name="Обычный 10 3 3 3 2 2 2 3 2" xfId="46592"/>
    <cellStyle name="Обычный 10 3 3 3 2 2 2 4" xfId="39267"/>
    <cellStyle name="Обычный 10 3 3 3 2 2 2 5" xfId="24454"/>
    <cellStyle name="Обычный 10 3 3 3 2 2 3" xfId="26286"/>
    <cellStyle name="Обычный 10 3 3 3 2 2 3 2" xfId="33597"/>
    <cellStyle name="Обычный 10 3 3 3 2 2 3 2 2" xfId="48417"/>
    <cellStyle name="Обычный 10 3 3 3 2 2 3 3" xfId="41130"/>
    <cellStyle name="Обычный 10 3 3 3 2 2 4" xfId="29943"/>
    <cellStyle name="Обычный 10 3 3 3 2 2 4 2" xfId="44767"/>
    <cellStyle name="Обычный 10 3 3 3 2 2 5" xfId="37543"/>
    <cellStyle name="Обычный 10 3 3 3 2 2 6" xfId="22625"/>
    <cellStyle name="Обычный 10 3 3 3 2 3" xfId="19837"/>
    <cellStyle name="Обычный 10 3 3 3 2 3 2" xfId="27206"/>
    <cellStyle name="Обычный 10 3 3 3 2 3 2 2" xfId="34517"/>
    <cellStyle name="Обычный 10 3 3 3 2 3 2 2 2" xfId="49337"/>
    <cellStyle name="Обычный 10 3 3 3 2 3 2 3" xfId="42046"/>
    <cellStyle name="Обычный 10 3 3 3 2 3 3" xfId="30863"/>
    <cellStyle name="Обычный 10 3 3 3 2 3 3 2" xfId="45686"/>
    <cellStyle name="Обычный 10 3 3 3 2 3 4" xfId="38360"/>
    <cellStyle name="Обычный 10 3 3 3 2 3 5" xfId="23548"/>
    <cellStyle name="Обычный 10 3 3 3 2 4" xfId="25365"/>
    <cellStyle name="Обычный 10 3 3 3 2 4 2" xfId="32676"/>
    <cellStyle name="Обычный 10 3 3 3 2 4 2 2" xfId="47499"/>
    <cellStyle name="Обычный 10 3 3 3 2 4 3" xfId="40253"/>
    <cellStyle name="Обычный 10 3 3 3 2 5" xfId="29022"/>
    <cellStyle name="Обычный 10 3 3 3 2 5 2" xfId="43859"/>
    <cellStyle name="Обычный 10 3 3 3 2 6" xfId="36177"/>
    <cellStyle name="Обычный 10 3 3 3 2 7" xfId="21704"/>
    <cellStyle name="Обычный 10 3 3 3 3" xfId="18313"/>
    <cellStyle name="Обычный 10 3 3 3 3 2" xfId="20195"/>
    <cellStyle name="Обычный 10 3 3 3 3 2 2" xfId="27521"/>
    <cellStyle name="Обычный 10 3 3 3 3 2 2 2" xfId="34832"/>
    <cellStyle name="Обычный 10 3 3 3 3 2 2 2 2" xfId="49652"/>
    <cellStyle name="Обычный 10 3 3 3 3 2 2 3" xfId="42360"/>
    <cellStyle name="Обычный 10 3 3 3 3 2 3" xfId="31178"/>
    <cellStyle name="Обычный 10 3 3 3 3 2 3 2" xfId="46001"/>
    <cellStyle name="Обычный 10 3 3 3 3 2 4" xfId="38676"/>
    <cellStyle name="Обычный 10 3 3 3 3 2 5" xfId="23863"/>
    <cellStyle name="Обычный 10 3 3 3 3 3" xfId="25695"/>
    <cellStyle name="Обычный 10 3 3 3 3 3 2" xfId="33006"/>
    <cellStyle name="Обычный 10 3 3 3 3 3 2 2" xfId="47826"/>
    <cellStyle name="Обычный 10 3 3 3 3 3 3" xfId="40550"/>
    <cellStyle name="Обычный 10 3 3 3 3 4" xfId="29352"/>
    <cellStyle name="Обычный 10 3 3 3 3 4 2" xfId="44176"/>
    <cellStyle name="Обычный 10 3 3 3 3 5" xfId="36953"/>
    <cellStyle name="Обычный 10 3 3 3 3 6" xfId="22034"/>
    <cellStyle name="Обычный 10 3 3 3 4" xfId="19386"/>
    <cellStyle name="Обычный 10 3 3 3 4 2" xfId="26756"/>
    <cellStyle name="Обычный 10 3 3 3 4 2 2" xfId="34067"/>
    <cellStyle name="Обычный 10 3 3 3 4 2 2 2" xfId="48887"/>
    <cellStyle name="Обычный 10 3 3 3 4 2 3" xfId="41596"/>
    <cellStyle name="Обычный 10 3 3 3 4 3" xfId="30413"/>
    <cellStyle name="Обычный 10 3 3 3 4 3 2" xfId="45236"/>
    <cellStyle name="Обычный 10 3 3 3 4 4" xfId="37910"/>
    <cellStyle name="Обычный 10 3 3 3 4 5" xfId="23098"/>
    <cellStyle name="Обычный 10 3 3 3 5" xfId="24915"/>
    <cellStyle name="Обычный 10 3 3 3 5 2" xfId="32226"/>
    <cellStyle name="Обычный 10 3 3 3 5 2 2" xfId="47049"/>
    <cellStyle name="Обычный 10 3 3 3 5 3" xfId="39810"/>
    <cellStyle name="Обычный 10 3 3 3 6" xfId="28572"/>
    <cellStyle name="Обычный 10 3 3 3 6 2" xfId="43409"/>
    <cellStyle name="Обычный 10 3 3 3 7" xfId="35728"/>
    <cellStyle name="Обычный 10 3 3 3 8" xfId="21254"/>
    <cellStyle name="Обычный 10 3 3 4" xfId="17569"/>
    <cellStyle name="Обычный 10 3 3 4 2" xfId="18683"/>
    <cellStyle name="Обычный 10 3 3 4 2 2" xfId="20562"/>
    <cellStyle name="Обычный 10 3 3 4 2 2 2" xfId="27888"/>
    <cellStyle name="Обычный 10 3 3 4 2 2 2 2" xfId="35199"/>
    <cellStyle name="Обычный 10 3 3 4 2 2 2 2 2" xfId="50019"/>
    <cellStyle name="Обычный 10 3 3 4 2 2 2 3" xfId="42727"/>
    <cellStyle name="Обычный 10 3 3 4 2 2 3" xfId="31545"/>
    <cellStyle name="Обычный 10 3 3 4 2 2 3 2" xfId="46368"/>
    <cellStyle name="Обычный 10 3 3 4 2 2 4" xfId="39043"/>
    <cellStyle name="Обычный 10 3 3 4 2 2 5" xfId="24230"/>
    <cellStyle name="Обычный 10 3 3 4 2 3" xfId="26062"/>
    <cellStyle name="Обычный 10 3 3 4 2 3 2" xfId="33373"/>
    <cellStyle name="Обычный 10 3 3 4 2 3 2 2" xfId="48193"/>
    <cellStyle name="Обычный 10 3 3 4 2 3 3" xfId="40906"/>
    <cellStyle name="Обычный 10 3 3 4 2 4" xfId="29719"/>
    <cellStyle name="Обычный 10 3 3 4 2 4 2" xfId="44543"/>
    <cellStyle name="Обычный 10 3 3 4 2 5" xfId="37320"/>
    <cellStyle name="Обычный 10 3 3 4 2 6" xfId="22401"/>
    <cellStyle name="Обычный 10 3 3 4 3" xfId="19613"/>
    <cellStyle name="Обычный 10 3 3 4 3 2" xfId="26982"/>
    <cellStyle name="Обычный 10 3 3 4 3 2 2" xfId="34293"/>
    <cellStyle name="Обычный 10 3 3 4 3 2 2 2" xfId="49113"/>
    <cellStyle name="Обычный 10 3 3 4 3 2 3" xfId="41822"/>
    <cellStyle name="Обычный 10 3 3 4 3 3" xfId="30639"/>
    <cellStyle name="Обычный 10 3 3 4 3 3 2" xfId="45462"/>
    <cellStyle name="Обычный 10 3 3 4 3 4" xfId="38136"/>
    <cellStyle name="Обычный 10 3 3 4 3 5" xfId="23324"/>
    <cellStyle name="Обычный 10 3 3 4 4" xfId="25141"/>
    <cellStyle name="Обычный 10 3 3 4 4 2" xfId="32452"/>
    <cellStyle name="Обычный 10 3 3 4 4 2 2" xfId="47275"/>
    <cellStyle name="Обычный 10 3 3 4 4 3" xfId="40035"/>
    <cellStyle name="Обычный 10 3 3 4 5" xfId="28798"/>
    <cellStyle name="Обычный 10 3 3 4 5 2" xfId="43635"/>
    <cellStyle name="Обычный 10 3 3 4 6" xfId="36174"/>
    <cellStyle name="Обычный 10 3 3 4 7" xfId="21480"/>
    <cellStyle name="Обычный 10 3 3 5" xfId="18096"/>
    <cellStyle name="Обычный 10 3 3 5 2" xfId="20192"/>
    <cellStyle name="Обычный 10 3 3 5 2 2" xfId="27518"/>
    <cellStyle name="Обычный 10 3 3 5 2 2 2" xfId="34829"/>
    <cellStyle name="Обычный 10 3 3 5 2 2 2 2" xfId="49649"/>
    <cellStyle name="Обычный 10 3 3 5 2 2 3" xfId="42357"/>
    <cellStyle name="Обычный 10 3 3 5 2 3" xfId="31175"/>
    <cellStyle name="Обычный 10 3 3 5 2 3 2" xfId="45998"/>
    <cellStyle name="Обычный 10 3 3 5 2 4" xfId="38673"/>
    <cellStyle name="Обычный 10 3 3 5 2 5" xfId="23860"/>
    <cellStyle name="Обычный 10 3 3 5 3" xfId="25692"/>
    <cellStyle name="Обычный 10 3 3 5 3 2" xfId="33003"/>
    <cellStyle name="Обычный 10 3 3 5 3 2 2" xfId="47823"/>
    <cellStyle name="Обычный 10 3 3 5 3 3" xfId="40547"/>
    <cellStyle name="Обычный 10 3 3 5 4" xfId="29349"/>
    <cellStyle name="Обычный 10 3 3 5 4 2" xfId="44173"/>
    <cellStyle name="Обычный 10 3 3 5 5" xfId="36752"/>
    <cellStyle name="Обычный 10 3 3 5 6" xfId="22031"/>
    <cellStyle name="Обычный 10 3 3 6" xfId="18310"/>
    <cellStyle name="Обычный 10 3 3 6 2" xfId="26536"/>
    <cellStyle name="Обычный 10 3 3 6 2 2" xfId="33847"/>
    <cellStyle name="Обычный 10 3 3 6 2 2 2" xfId="48667"/>
    <cellStyle name="Обычный 10 3 3 6 2 3" xfId="41376"/>
    <cellStyle name="Обычный 10 3 3 6 3" xfId="30193"/>
    <cellStyle name="Обычный 10 3 3 6 3 2" xfId="45016"/>
    <cellStyle name="Обычный 10 3 3 6 4" xfId="36950"/>
    <cellStyle name="Обычный 10 3 3 6 5" xfId="22878"/>
    <cellStyle name="Обычный 10 3 3 7" xfId="19165"/>
    <cellStyle name="Обычный 10 3 3 7 2" xfId="32002"/>
    <cellStyle name="Обычный 10 3 3 7 2 2" xfId="46825"/>
    <cellStyle name="Обычный 10 3 3 7 3" xfId="37690"/>
    <cellStyle name="Обычный 10 3 3 7 4" xfId="24691"/>
    <cellStyle name="Обычный 10 3 3 8" xfId="28348"/>
    <cellStyle name="Обычный 10 3 3 8 2" xfId="43185"/>
    <cellStyle name="Обычный 10 3 3 8 3" xfId="36651"/>
    <cellStyle name="Обычный 10 3 3 9" xfId="35725"/>
    <cellStyle name="Обычный 10 3 4" xfId="17180"/>
    <cellStyle name="Обычный 10 3 4 2" xfId="17399"/>
    <cellStyle name="Обычный 10 3 4 2 2" xfId="17849"/>
    <cellStyle name="Обычный 10 3 4 2 2 2" xfId="18963"/>
    <cellStyle name="Обычный 10 3 4 2 2 2 2" xfId="20842"/>
    <cellStyle name="Обычный 10 3 4 2 2 2 2 2" xfId="28168"/>
    <cellStyle name="Обычный 10 3 4 2 2 2 2 2 2" xfId="35479"/>
    <cellStyle name="Обычный 10 3 4 2 2 2 2 2 2 2" xfId="50299"/>
    <cellStyle name="Обычный 10 3 4 2 2 2 2 2 3" xfId="43007"/>
    <cellStyle name="Обычный 10 3 4 2 2 2 2 3" xfId="31825"/>
    <cellStyle name="Обычный 10 3 4 2 2 2 2 3 2" xfId="46648"/>
    <cellStyle name="Обычный 10 3 4 2 2 2 2 4" xfId="39323"/>
    <cellStyle name="Обычный 10 3 4 2 2 2 2 5" xfId="24510"/>
    <cellStyle name="Обычный 10 3 4 2 2 2 3" xfId="26342"/>
    <cellStyle name="Обычный 10 3 4 2 2 2 3 2" xfId="33653"/>
    <cellStyle name="Обычный 10 3 4 2 2 2 3 2 2" xfId="48473"/>
    <cellStyle name="Обычный 10 3 4 2 2 2 3 3" xfId="41186"/>
    <cellStyle name="Обычный 10 3 4 2 2 2 4" xfId="29999"/>
    <cellStyle name="Обычный 10 3 4 2 2 2 4 2" xfId="44823"/>
    <cellStyle name="Обычный 10 3 4 2 2 2 5" xfId="37571"/>
    <cellStyle name="Обычный 10 3 4 2 2 2 6" xfId="22681"/>
    <cellStyle name="Обычный 10 3 4 2 2 3" xfId="19893"/>
    <cellStyle name="Обычный 10 3 4 2 2 3 2" xfId="27262"/>
    <cellStyle name="Обычный 10 3 4 2 2 3 2 2" xfId="34573"/>
    <cellStyle name="Обычный 10 3 4 2 2 3 2 2 2" xfId="49393"/>
    <cellStyle name="Обычный 10 3 4 2 2 3 2 3" xfId="42102"/>
    <cellStyle name="Обычный 10 3 4 2 2 3 3" xfId="30919"/>
    <cellStyle name="Обычный 10 3 4 2 2 3 3 2" xfId="45742"/>
    <cellStyle name="Обычный 10 3 4 2 2 3 4" xfId="38416"/>
    <cellStyle name="Обычный 10 3 4 2 2 3 5" xfId="23604"/>
    <cellStyle name="Обычный 10 3 4 2 2 4" xfId="25421"/>
    <cellStyle name="Обычный 10 3 4 2 2 4 2" xfId="32732"/>
    <cellStyle name="Обычный 10 3 4 2 2 4 2 2" xfId="47555"/>
    <cellStyle name="Обычный 10 3 4 2 2 4 3" xfId="40309"/>
    <cellStyle name="Обычный 10 3 4 2 2 5" xfId="29078"/>
    <cellStyle name="Обычный 10 3 4 2 2 5 2" xfId="43915"/>
    <cellStyle name="Обычный 10 3 4 2 2 6" xfId="36179"/>
    <cellStyle name="Обычный 10 3 4 2 2 7" xfId="21760"/>
    <cellStyle name="Обычный 10 3 4 2 3" xfId="18315"/>
    <cellStyle name="Обычный 10 3 4 2 3 2" xfId="20197"/>
    <cellStyle name="Обычный 10 3 4 2 3 2 2" xfId="27523"/>
    <cellStyle name="Обычный 10 3 4 2 3 2 2 2" xfId="34834"/>
    <cellStyle name="Обычный 10 3 4 2 3 2 2 2 2" xfId="49654"/>
    <cellStyle name="Обычный 10 3 4 2 3 2 2 3" xfId="42362"/>
    <cellStyle name="Обычный 10 3 4 2 3 2 3" xfId="31180"/>
    <cellStyle name="Обычный 10 3 4 2 3 2 3 2" xfId="46003"/>
    <cellStyle name="Обычный 10 3 4 2 3 2 4" xfId="38678"/>
    <cellStyle name="Обычный 10 3 4 2 3 2 5" xfId="23865"/>
    <cellStyle name="Обычный 10 3 4 2 3 3" xfId="25697"/>
    <cellStyle name="Обычный 10 3 4 2 3 3 2" xfId="33008"/>
    <cellStyle name="Обычный 10 3 4 2 3 3 2 2" xfId="47828"/>
    <cellStyle name="Обычный 10 3 4 2 3 3 3" xfId="40552"/>
    <cellStyle name="Обычный 10 3 4 2 3 4" xfId="29354"/>
    <cellStyle name="Обычный 10 3 4 2 3 4 2" xfId="44178"/>
    <cellStyle name="Обычный 10 3 4 2 3 5" xfId="36955"/>
    <cellStyle name="Обычный 10 3 4 2 3 6" xfId="22036"/>
    <cellStyle name="Обычный 10 3 4 2 4" xfId="19442"/>
    <cellStyle name="Обычный 10 3 4 2 4 2" xfId="26812"/>
    <cellStyle name="Обычный 10 3 4 2 4 2 2" xfId="34123"/>
    <cellStyle name="Обычный 10 3 4 2 4 2 2 2" xfId="48943"/>
    <cellStyle name="Обычный 10 3 4 2 4 2 3" xfId="41652"/>
    <cellStyle name="Обычный 10 3 4 2 4 3" xfId="30469"/>
    <cellStyle name="Обычный 10 3 4 2 4 3 2" xfId="45292"/>
    <cellStyle name="Обычный 10 3 4 2 4 4" xfId="37966"/>
    <cellStyle name="Обычный 10 3 4 2 4 5" xfId="23154"/>
    <cellStyle name="Обычный 10 3 4 2 5" xfId="24971"/>
    <cellStyle name="Обычный 10 3 4 2 5 2" xfId="32282"/>
    <cellStyle name="Обычный 10 3 4 2 5 2 2" xfId="47105"/>
    <cellStyle name="Обычный 10 3 4 2 5 3" xfId="39866"/>
    <cellStyle name="Обычный 10 3 4 2 6" xfId="28628"/>
    <cellStyle name="Обычный 10 3 4 2 6 2" xfId="43465"/>
    <cellStyle name="Обычный 10 3 4 2 7" xfId="35730"/>
    <cellStyle name="Обычный 10 3 4 2 8" xfId="21310"/>
    <cellStyle name="Обычный 10 3 4 3" xfId="17625"/>
    <cellStyle name="Обычный 10 3 4 3 2" xfId="18739"/>
    <cellStyle name="Обычный 10 3 4 3 2 2" xfId="20618"/>
    <cellStyle name="Обычный 10 3 4 3 2 2 2" xfId="27944"/>
    <cellStyle name="Обычный 10 3 4 3 2 2 2 2" xfId="35255"/>
    <cellStyle name="Обычный 10 3 4 3 2 2 2 2 2" xfId="50075"/>
    <cellStyle name="Обычный 10 3 4 3 2 2 2 3" xfId="42783"/>
    <cellStyle name="Обычный 10 3 4 3 2 2 3" xfId="31601"/>
    <cellStyle name="Обычный 10 3 4 3 2 2 3 2" xfId="46424"/>
    <cellStyle name="Обычный 10 3 4 3 2 2 4" xfId="39099"/>
    <cellStyle name="Обычный 10 3 4 3 2 2 5" xfId="24286"/>
    <cellStyle name="Обычный 10 3 4 3 2 3" xfId="26118"/>
    <cellStyle name="Обычный 10 3 4 3 2 3 2" xfId="33429"/>
    <cellStyle name="Обычный 10 3 4 3 2 3 2 2" xfId="48249"/>
    <cellStyle name="Обычный 10 3 4 3 2 3 3" xfId="40962"/>
    <cellStyle name="Обычный 10 3 4 3 2 4" xfId="29775"/>
    <cellStyle name="Обычный 10 3 4 3 2 4 2" xfId="44599"/>
    <cellStyle name="Обычный 10 3 4 3 2 5" xfId="37376"/>
    <cellStyle name="Обычный 10 3 4 3 2 6" xfId="22457"/>
    <cellStyle name="Обычный 10 3 4 3 3" xfId="19669"/>
    <cellStyle name="Обычный 10 3 4 3 3 2" xfId="27038"/>
    <cellStyle name="Обычный 10 3 4 3 3 2 2" xfId="34349"/>
    <cellStyle name="Обычный 10 3 4 3 3 2 2 2" xfId="49169"/>
    <cellStyle name="Обычный 10 3 4 3 3 2 3" xfId="41878"/>
    <cellStyle name="Обычный 10 3 4 3 3 3" xfId="30695"/>
    <cellStyle name="Обычный 10 3 4 3 3 3 2" xfId="45518"/>
    <cellStyle name="Обычный 10 3 4 3 3 4" xfId="38192"/>
    <cellStyle name="Обычный 10 3 4 3 3 5" xfId="23380"/>
    <cellStyle name="Обычный 10 3 4 3 4" xfId="25197"/>
    <cellStyle name="Обычный 10 3 4 3 4 2" xfId="32508"/>
    <cellStyle name="Обычный 10 3 4 3 4 2 2" xfId="47331"/>
    <cellStyle name="Обычный 10 3 4 3 4 3" xfId="40089"/>
    <cellStyle name="Обычный 10 3 4 3 5" xfId="28854"/>
    <cellStyle name="Обычный 10 3 4 3 5 2" xfId="43691"/>
    <cellStyle name="Обычный 10 3 4 3 6" xfId="36178"/>
    <cellStyle name="Обычный 10 3 4 3 7" xfId="21536"/>
    <cellStyle name="Обычный 10 3 4 4" xfId="18314"/>
    <cellStyle name="Обычный 10 3 4 4 2" xfId="20196"/>
    <cellStyle name="Обычный 10 3 4 4 2 2" xfId="27522"/>
    <cellStyle name="Обычный 10 3 4 4 2 2 2" xfId="34833"/>
    <cellStyle name="Обычный 10 3 4 4 2 2 2 2" xfId="49653"/>
    <cellStyle name="Обычный 10 3 4 4 2 2 3" xfId="42361"/>
    <cellStyle name="Обычный 10 3 4 4 2 3" xfId="31179"/>
    <cellStyle name="Обычный 10 3 4 4 2 3 2" xfId="46002"/>
    <cellStyle name="Обычный 10 3 4 4 2 4" xfId="38677"/>
    <cellStyle name="Обычный 10 3 4 4 2 5" xfId="23864"/>
    <cellStyle name="Обычный 10 3 4 4 3" xfId="25696"/>
    <cellStyle name="Обычный 10 3 4 4 3 2" xfId="33007"/>
    <cellStyle name="Обычный 10 3 4 4 3 2 2" xfId="47827"/>
    <cellStyle name="Обычный 10 3 4 4 3 3" xfId="40551"/>
    <cellStyle name="Обычный 10 3 4 4 4" xfId="29353"/>
    <cellStyle name="Обычный 10 3 4 4 4 2" xfId="44177"/>
    <cellStyle name="Обычный 10 3 4 4 5" xfId="36954"/>
    <cellStyle name="Обычный 10 3 4 4 6" xfId="22035"/>
    <cellStyle name="Обычный 10 3 4 5" xfId="19220"/>
    <cellStyle name="Обычный 10 3 4 5 2" xfId="26590"/>
    <cellStyle name="Обычный 10 3 4 5 2 2" xfId="33901"/>
    <cellStyle name="Обычный 10 3 4 5 2 2 2" xfId="48721"/>
    <cellStyle name="Обычный 10 3 4 5 2 3" xfId="41430"/>
    <cellStyle name="Обычный 10 3 4 5 3" xfId="30247"/>
    <cellStyle name="Обычный 10 3 4 5 3 2" xfId="45070"/>
    <cellStyle name="Обычный 10 3 4 5 4" xfId="37744"/>
    <cellStyle name="Обычный 10 3 4 5 5" xfId="22932"/>
    <cellStyle name="Обычный 10 3 4 6" xfId="24747"/>
    <cellStyle name="Обычный 10 3 4 6 2" xfId="32058"/>
    <cellStyle name="Обычный 10 3 4 6 2 2" xfId="46881"/>
    <cellStyle name="Обычный 10 3 4 6 3" xfId="39650"/>
    <cellStyle name="Обычный 10 3 4 7" xfId="28404"/>
    <cellStyle name="Обычный 10 3 4 7 2" xfId="43241"/>
    <cellStyle name="Обычный 10 3 4 8" xfId="35729"/>
    <cellStyle name="Обычный 10 3 4 9" xfId="21086"/>
    <cellStyle name="Обычный 10 3 5" xfId="17281"/>
    <cellStyle name="Обычный 10 3 5 2" xfId="17737"/>
    <cellStyle name="Обычный 10 3 5 2 2" xfId="18851"/>
    <cellStyle name="Обычный 10 3 5 2 2 2" xfId="20730"/>
    <cellStyle name="Обычный 10 3 5 2 2 2 2" xfId="28056"/>
    <cellStyle name="Обычный 10 3 5 2 2 2 2 2" xfId="35367"/>
    <cellStyle name="Обычный 10 3 5 2 2 2 2 2 2" xfId="50187"/>
    <cellStyle name="Обычный 10 3 5 2 2 2 2 3" xfId="42895"/>
    <cellStyle name="Обычный 10 3 5 2 2 2 3" xfId="31713"/>
    <cellStyle name="Обычный 10 3 5 2 2 2 3 2" xfId="46536"/>
    <cellStyle name="Обычный 10 3 5 2 2 2 4" xfId="39211"/>
    <cellStyle name="Обычный 10 3 5 2 2 2 5" xfId="24398"/>
    <cellStyle name="Обычный 10 3 5 2 2 3" xfId="26230"/>
    <cellStyle name="Обычный 10 3 5 2 2 3 2" xfId="33541"/>
    <cellStyle name="Обычный 10 3 5 2 2 3 2 2" xfId="48361"/>
    <cellStyle name="Обычный 10 3 5 2 2 3 3" xfId="41074"/>
    <cellStyle name="Обычный 10 3 5 2 2 4" xfId="29887"/>
    <cellStyle name="Обычный 10 3 5 2 2 4 2" xfId="44711"/>
    <cellStyle name="Обычный 10 3 5 2 2 5" xfId="37487"/>
    <cellStyle name="Обычный 10 3 5 2 2 6" xfId="22569"/>
    <cellStyle name="Обычный 10 3 5 2 3" xfId="19781"/>
    <cellStyle name="Обычный 10 3 5 2 3 2" xfId="27150"/>
    <cellStyle name="Обычный 10 3 5 2 3 2 2" xfId="34461"/>
    <cellStyle name="Обычный 10 3 5 2 3 2 2 2" xfId="49281"/>
    <cellStyle name="Обычный 10 3 5 2 3 2 3" xfId="41990"/>
    <cellStyle name="Обычный 10 3 5 2 3 3" xfId="30807"/>
    <cellStyle name="Обычный 10 3 5 2 3 3 2" xfId="45630"/>
    <cellStyle name="Обычный 10 3 5 2 3 4" xfId="38304"/>
    <cellStyle name="Обычный 10 3 5 2 3 5" xfId="23492"/>
    <cellStyle name="Обычный 10 3 5 2 4" xfId="25309"/>
    <cellStyle name="Обычный 10 3 5 2 4 2" xfId="32620"/>
    <cellStyle name="Обычный 10 3 5 2 4 2 2" xfId="47443"/>
    <cellStyle name="Обычный 10 3 5 2 4 3" xfId="40199"/>
    <cellStyle name="Обычный 10 3 5 2 5" xfId="28966"/>
    <cellStyle name="Обычный 10 3 5 2 5 2" xfId="43803"/>
    <cellStyle name="Обычный 10 3 5 2 6" xfId="36180"/>
    <cellStyle name="Обычный 10 3 5 2 7" xfId="21648"/>
    <cellStyle name="Обычный 10 3 5 3" xfId="18316"/>
    <cellStyle name="Обычный 10 3 5 3 2" xfId="20198"/>
    <cellStyle name="Обычный 10 3 5 3 2 2" xfId="27524"/>
    <cellStyle name="Обычный 10 3 5 3 2 2 2" xfId="34835"/>
    <cellStyle name="Обычный 10 3 5 3 2 2 2 2" xfId="49655"/>
    <cellStyle name="Обычный 10 3 5 3 2 2 3" xfId="42363"/>
    <cellStyle name="Обычный 10 3 5 3 2 3" xfId="31181"/>
    <cellStyle name="Обычный 10 3 5 3 2 3 2" xfId="46004"/>
    <cellStyle name="Обычный 10 3 5 3 2 4" xfId="38679"/>
    <cellStyle name="Обычный 10 3 5 3 2 5" xfId="23866"/>
    <cellStyle name="Обычный 10 3 5 3 3" xfId="25698"/>
    <cellStyle name="Обычный 10 3 5 3 3 2" xfId="33009"/>
    <cellStyle name="Обычный 10 3 5 3 3 2 2" xfId="47829"/>
    <cellStyle name="Обычный 10 3 5 3 3 3" xfId="40553"/>
    <cellStyle name="Обычный 10 3 5 3 4" xfId="29355"/>
    <cellStyle name="Обычный 10 3 5 3 4 2" xfId="44179"/>
    <cellStyle name="Обычный 10 3 5 3 5" xfId="36956"/>
    <cellStyle name="Обычный 10 3 5 3 6" xfId="22037"/>
    <cellStyle name="Обычный 10 3 5 4" xfId="19330"/>
    <cellStyle name="Обычный 10 3 5 4 2" xfId="26700"/>
    <cellStyle name="Обычный 10 3 5 4 2 2" xfId="34011"/>
    <cellStyle name="Обычный 10 3 5 4 2 2 2" xfId="48831"/>
    <cellStyle name="Обычный 10 3 5 4 2 3" xfId="41540"/>
    <cellStyle name="Обычный 10 3 5 4 3" xfId="30357"/>
    <cellStyle name="Обычный 10 3 5 4 3 2" xfId="45180"/>
    <cellStyle name="Обычный 10 3 5 4 4" xfId="37854"/>
    <cellStyle name="Обычный 10 3 5 4 5" xfId="23042"/>
    <cellStyle name="Обычный 10 3 5 5" xfId="24859"/>
    <cellStyle name="Обычный 10 3 5 5 2" xfId="32170"/>
    <cellStyle name="Обычный 10 3 5 5 2 2" xfId="46993"/>
    <cellStyle name="Обычный 10 3 5 5 3" xfId="39756"/>
    <cellStyle name="Обычный 10 3 5 6" xfId="28516"/>
    <cellStyle name="Обычный 10 3 5 6 2" xfId="43353"/>
    <cellStyle name="Обычный 10 3 5 7" xfId="35731"/>
    <cellStyle name="Обычный 10 3 5 8" xfId="21198"/>
    <cellStyle name="Обычный 10 3 6" xfId="17513"/>
    <cellStyle name="Обычный 10 3 6 2" xfId="18627"/>
    <cellStyle name="Обычный 10 3 6 2 2" xfId="20506"/>
    <cellStyle name="Обычный 10 3 6 2 2 2" xfId="27832"/>
    <cellStyle name="Обычный 10 3 6 2 2 2 2" xfId="35143"/>
    <cellStyle name="Обычный 10 3 6 2 2 2 2 2" xfId="49963"/>
    <cellStyle name="Обычный 10 3 6 2 2 2 3" xfId="42671"/>
    <cellStyle name="Обычный 10 3 6 2 2 3" xfId="31489"/>
    <cellStyle name="Обычный 10 3 6 2 2 3 2" xfId="46312"/>
    <cellStyle name="Обычный 10 3 6 2 2 4" xfId="38987"/>
    <cellStyle name="Обычный 10 3 6 2 2 5" xfId="24174"/>
    <cellStyle name="Обычный 10 3 6 2 3" xfId="26006"/>
    <cellStyle name="Обычный 10 3 6 2 3 2" xfId="33317"/>
    <cellStyle name="Обычный 10 3 6 2 3 2 2" xfId="48137"/>
    <cellStyle name="Обычный 10 3 6 2 3 3" xfId="40850"/>
    <cellStyle name="Обычный 10 3 6 2 4" xfId="29663"/>
    <cellStyle name="Обычный 10 3 6 2 4 2" xfId="44487"/>
    <cellStyle name="Обычный 10 3 6 2 5" xfId="37264"/>
    <cellStyle name="Обычный 10 3 6 2 6" xfId="22345"/>
    <cellStyle name="Обычный 10 3 6 3" xfId="19557"/>
    <cellStyle name="Обычный 10 3 6 3 2" xfId="26926"/>
    <cellStyle name="Обычный 10 3 6 3 2 2" xfId="34237"/>
    <cellStyle name="Обычный 10 3 6 3 2 2 2" xfId="49057"/>
    <cellStyle name="Обычный 10 3 6 3 2 3" xfId="41766"/>
    <cellStyle name="Обычный 10 3 6 3 3" xfId="30583"/>
    <cellStyle name="Обычный 10 3 6 3 3 2" xfId="45406"/>
    <cellStyle name="Обычный 10 3 6 3 4" xfId="38080"/>
    <cellStyle name="Обычный 10 3 6 3 5" xfId="23268"/>
    <cellStyle name="Обычный 10 3 6 4" xfId="25085"/>
    <cellStyle name="Обычный 10 3 6 4 2" xfId="32396"/>
    <cellStyle name="Обычный 10 3 6 4 2 2" xfId="47219"/>
    <cellStyle name="Обычный 10 3 6 4 3" xfId="39980"/>
    <cellStyle name="Обычный 10 3 6 5" xfId="28742"/>
    <cellStyle name="Обычный 10 3 6 5 2" xfId="43579"/>
    <cellStyle name="Обычный 10 3 6 6" xfId="36165"/>
    <cellStyle name="Обычный 10 3 6 7" xfId="21424"/>
    <cellStyle name="Обычный 10 3 7" xfId="17990"/>
    <cellStyle name="Обычный 10 3 7 2" xfId="18301"/>
    <cellStyle name="Обычный 10 3 7 2 2" xfId="27509"/>
    <cellStyle name="Обычный 10 3 7 2 2 2" xfId="34820"/>
    <cellStyle name="Обычный 10 3 7 2 2 2 2" xfId="49640"/>
    <cellStyle name="Обычный 10 3 7 2 2 3" xfId="42348"/>
    <cellStyle name="Обычный 10 3 7 2 3" xfId="31166"/>
    <cellStyle name="Обычный 10 3 7 2 3 2" xfId="45989"/>
    <cellStyle name="Обычный 10 3 7 2 4" xfId="36941"/>
    <cellStyle name="Обычный 10 3 7 2 5" xfId="23851"/>
    <cellStyle name="Обычный 10 3 7 3" xfId="20183"/>
    <cellStyle name="Обычный 10 3 7 3 2" xfId="32994"/>
    <cellStyle name="Обычный 10 3 7 3 2 2" xfId="47814"/>
    <cellStyle name="Обычный 10 3 7 3 3" xfId="38664"/>
    <cellStyle name="Обычный 10 3 7 3 4" xfId="25683"/>
    <cellStyle name="Обычный 10 3 7 4" xfId="29340"/>
    <cellStyle name="Обычный 10 3 7 4 2" xfId="44164"/>
    <cellStyle name="Обычный 10 3 7 5" xfId="36695"/>
    <cellStyle name="Обычный 10 3 7 6" xfId="22022"/>
    <cellStyle name="Обычный 10 3 8" xfId="20006"/>
    <cellStyle name="Обычный 10 3 9" xfId="19112"/>
    <cellStyle name="Обычный 10 3 9 2" xfId="26486"/>
    <cellStyle name="Обычный 10 3 9 2 2" xfId="33797"/>
    <cellStyle name="Обычный 10 3 9 2 2 2" xfId="48617"/>
    <cellStyle name="Обычный 10 3 9 2 3" xfId="41326"/>
    <cellStyle name="Обычный 10 3 9 3" xfId="30143"/>
    <cellStyle name="Обычный 10 3 9 3 2" xfId="44966"/>
    <cellStyle name="Обычный 10 3 9 4" xfId="37640"/>
    <cellStyle name="Обычный 10 3 9 5" xfId="22828"/>
    <cellStyle name="Обычный 10 4" xfId="16861"/>
    <cellStyle name="Обычный 10 4 10" xfId="28306"/>
    <cellStyle name="Обычный 10 4 10 2" xfId="43143"/>
    <cellStyle name="Обычный 10 4 11" xfId="35732"/>
    <cellStyle name="Обычный 10 4 12" xfId="20988"/>
    <cellStyle name="Обычный 10 4 2" xfId="17238"/>
    <cellStyle name="Обычный 10 4 2 10" xfId="21044"/>
    <cellStyle name="Обычный 10 4 2 2" xfId="17469"/>
    <cellStyle name="Обычный 10 4 2 2 2" xfId="17919"/>
    <cellStyle name="Обычный 10 4 2 2 2 2" xfId="19033"/>
    <cellStyle name="Обычный 10 4 2 2 2 2 2" xfId="20912"/>
    <cellStyle name="Обычный 10 4 2 2 2 2 2 2" xfId="24580"/>
    <cellStyle name="Обычный 10 4 2 2 2 2 2 2 2" xfId="28238"/>
    <cellStyle name="Обычный 10 4 2 2 2 2 2 2 2 2" xfId="35549"/>
    <cellStyle name="Обычный 10 4 2 2 2 2 2 2 2 2 2" xfId="50369"/>
    <cellStyle name="Обычный 10 4 2 2 2 2 2 2 2 3" xfId="43077"/>
    <cellStyle name="Обычный 10 4 2 2 2 2 2 2 3" xfId="31895"/>
    <cellStyle name="Обычный 10 4 2 2 2 2 2 2 3 2" xfId="46718"/>
    <cellStyle name="Обычный 10 4 2 2 2 2 2 2 4" xfId="39512"/>
    <cellStyle name="Обычный 10 4 2 2 2 2 2 3" xfId="26412"/>
    <cellStyle name="Обычный 10 4 2 2 2 2 2 3 2" xfId="33723"/>
    <cellStyle name="Обычный 10 4 2 2 2 2 2 3 2 2" xfId="48543"/>
    <cellStyle name="Обычный 10 4 2 2 2 2 2 3 3" xfId="41256"/>
    <cellStyle name="Обычный 10 4 2 2 2 2 2 4" xfId="30069"/>
    <cellStyle name="Обычный 10 4 2 2 2 2 2 4 2" xfId="44893"/>
    <cellStyle name="Обычный 10 4 2 2 2 2 2 5" xfId="39393"/>
    <cellStyle name="Обычный 10 4 2 2 2 2 2 6" xfId="22751"/>
    <cellStyle name="Обычный 10 4 2 2 2 2 3" xfId="19963"/>
    <cellStyle name="Обычный 10 4 2 2 2 2 3 2" xfId="27332"/>
    <cellStyle name="Обычный 10 4 2 2 2 2 3 2 2" xfId="34643"/>
    <cellStyle name="Обычный 10 4 2 2 2 2 3 2 2 2" xfId="49463"/>
    <cellStyle name="Обычный 10 4 2 2 2 2 3 2 3" xfId="42172"/>
    <cellStyle name="Обычный 10 4 2 2 2 2 3 3" xfId="30989"/>
    <cellStyle name="Обычный 10 4 2 2 2 2 3 3 2" xfId="45812"/>
    <cellStyle name="Обычный 10 4 2 2 2 2 3 4" xfId="38486"/>
    <cellStyle name="Обычный 10 4 2 2 2 2 3 5" xfId="23674"/>
    <cellStyle name="Обычный 10 4 2 2 2 2 4" xfId="25491"/>
    <cellStyle name="Обычный 10 4 2 2 2 2 4 2" xfId="32802"/>
    <cellStyle name="Обычный 10 4 2 2 2 2 4 2 2" xfId="47625"/>
    <cellStyle name="Обычный 10 4 2 2 2 2 4 3" xfId="40379"/>
    <cellStyle name="Обычный 10 4 2 2 2 2 5" xfId="29148"/>
    <cellStyle name="Обычный 10 4 2 2 2 2 5 2" xfId="43985"/>
    <cellStyle name="Обычный 10 4 2 2 2 2 6" xfId="36184"/>
    <cellStyle name="Обычный 10 4 2 2 2 2 7" xfId="21830"/>
    <cellStyle name="Обычный 10 4 2 2 2 3" xfId="18320"/>
    <cellStyle name="Обычный 10 4 2 2 2 3 2" xfId="20202"/>
    <cellStyle name="Обычный 10 4 2 2 2 3 2 2" xfId="27528"/>
    <cellStyle name="Обычный 10 4 2 2 2 3 2 2 2" xfId="34839"/>
    <cellStyle name="Обычный 10 4 2 2 2 3 2 2 2 2" xfId="49659"/>
    <cellStyle name="Обычный 10 4 2 2 2 3 2 2 3" xfId="42367"/>
    <cellStyle name="Обычный 10 4 2 2 2 3 2 3" xfId="31185"/>
    <cellStyle name="Обычный 10 4 2 2 2 3 2 3 2" xfId="46008"/>
    <cellStyle name="Обычный 10 4 2 2 2 3 2 4" xfId="38683"/>
    <cellStyle name="Обычный 10 4 2 2 2 3 2 5" xfId="23870"/>
    <cellStyle name="Обычный 10 4 2 2 2 3 3" xfId="25702"/>
    <cellStyle name="Обычный 10 4 2 2 2 3 3 2" xfId="33013"/>
    <cellStyle name="Обычный 10 4 2 2 2 3 3 2 2" xfId="47833"/>
    <cellStyle name="Обычный 10 4 2 2 2 3 3 3" xfId="40556"/>
    <cellStyle name="Обычный 10 4 2 2 2 3 4" xfId="29359"/>
    <cellStyle name="Обычный 10 4 2 2 2 3 4 2" xfId="44183"/>
    <cellStyle name="Обычный 10 4 2 2 2 3 5" xfId="36960"/>
    <cellStyle name="Обычный 10 4 2 2 2 3 6" xfId="22041"/>
    <cellStyle name="Обычный 10 4 2 2 2 4" xfId="19512"/>
    <cellStyle name="Обычный 10 4 2 2 2 4 2" xfId="26882"/>
    <cellStyle name="Обычный 10 4 2 2 2 4 2 2" xfId="34193"/>
    <cellStyle name="Обычный 10 4 2 2 2 4 2 2 2" xfId="49013"/>
    <cellStyle name="Обычный 10 4 2 2 2 4 2 3" xfId="41722"/>
    <cellStyle name="Обычный 10 4 2 2 2 4 3" xfId="30539"/>
    <cellStyle name="Обычный 10 4 2 2 2 4 3 2" xfId="45362"/>
    <cellStyle name="Обычный 10 4 2 2 2 4 4" xfId="38036"/>
    <cellStyle name="Обычный 10 4 2 2 2 4 5" xfId="23224"/>
    <cellStyle name="Обычный 10 4 2 2 2 5" xfId="25041"/>
    <cellStyle name="Обычный 10 4 2 2 2 5 2" xfId="32352"/>
    <cellStyle name="Обычный 10 4 2 2 2 5 2 2" xfId="47175"/>
    <cellStyle name="Обычный 10 4 2 2 2 5 3" xfId="39936"/>
    <cellStyle name="Обычный 10 4 2 2 2 6" xfId="28698"/>
    <cellStyle name="Обычный 10 4 2 2 2 6 2" xfId="43535"/>
    <cellStyle name="Обычный 10 4 2 2 2 7" xfId="35735"/>
    <cellStyle name="Обычный 10 4 2 2 2 8" xfId="21380"/>
    <cellStyle name="Обычный 10 4 2 2 3" xfId="17695"/>
    <cellStyle name="Обычный 10 4 2 2 3 2" xfId="18809"/>
    <cellStyle name="Обычный 10 4 2 2 3 2 2" xfId="20688"/>
    <cellStyle name="Обычный 10 4 2 2 3 2 2 2" xfId="28014"/>
    <cellStyle name="Обычный 10 4 2 2 3 2 2 2 2" xfId="35325"/>
    <cellStyle name="Обычный 10 4 2 2 3 2 2 2 2 2" xfId="50145"/>
    <cellStyle name="Обычный 10 4 2 2 3 2 2 2 3" xfId="42853"/>
    <cellStyle name="Обычный 10 4 2 2 3 2 2 3" xfId="31671"/>
    <cellStyle name="Обычный 10 4 2 2 3 2 2 3 2" xfId="46494"/>
    <cellStyle name="Обычный 10 4 2 2 3 2 2 4" xfId="39169"/>
    <cellStyle name="Обычный 10 4 2 2 3 2 2 5" xfId="24356"/>
    <cellStyle name="Обычный 10 4 2 2 3 2 3" xfId="26188"/>
    <cellStyle name="Обычный 10 4 2 2 3 2 3 2" xfId="33499"/>
    <cellStyle name="Обычный 10 4 2 2 3 2 3 2 2" xfId="48319"/>
    <cellStyle name="Обычный 10 4 2 2 3 2 3 3" xfId="41032"/>
    <cellStyle name="Обычный 10 4 2 2 3 2 4" xfId="29845"/>
    <cellStyle name="Обычный 10 4 2 2 3 2 4 2" xfId="44669"/>
    <cellStyle name="Обычный 10 4 2 2 3 2 5" xfId="37446"/>
    <cellStyle name="Обычный 10 4 2 2 3 2 6" xfId="22527"/>
    <cellStyle name="Обычный 10 4 2 2 3 3" xfId="19739"/>
    <cellStyle name="Обычный 10 4 2 2 3 3 2" xfId="27108"/>
    <cellStyle name="Обычный 10 4 2 2 3 3 2 2" xfId="34419"/>
    <cellStyle name="Обычный 10 4 2 2 3 3 2 2 2" xfId="49239"/>
    <cellStyle name="Обычный 10 4 2 2 3 3 2 3" xfId="41948"/>
    <cellStyle name="Обычный 10 4 2 2 3 3 3" xfId="30765"/>
    <cellStyle name="Обычный 10 4 2 2 3 3 3 2" xfId="45588"/>
    <cellStyle name="Обычный 10 4 2 2 3 3 4" xfId="38262"/>
    <cellStyle name="Обычный 10 4 2 2 3 3 5" xfId="23450"/>
    <cellStyle name="Обычный 10 4 2 2 3 4" xfId="25267"/>
    <cellStyle name="Обычный 10 4 2 2 3 4 2" xfId="32578"/>
    <cellStyle name="Обычный 10 4 2 2 3 4 2 2" xfId="47401"/>
    <cellStyle name="Обычный 10 4 2 2 3 4 3" xfId="40159"/>
    <cellStyle name="Обычный 10 4 2 2 3 5" xfId="28924"/>
    <cellStyle name="Обычный 10 4 2 2 3 5 2" xfId="43761"/>
    <cellStyle name="Обычный 10 4 2 2 3 6" xfId="36183"/>
    <cellStyle name="Обычный 10 4 2 2 3 7" xfId="21606"/>
    <cellStyle name="Обычный 10 4 2 2 4" xfId="18319"/>
    <cellStyle name="Обычный 10 4 2 2 4 2" xfId="20201"/>
    <cellStyle name="Обычный 10 4 2 2 4 2 2" xfId="27527"/>
    <cellStyle name="Обычный 10 4 2 2 4 2 2 2" xfId="34838"/>
    <cellStyle name="Обычный 10 4 2 2 4 2 2 2 2" xfId="49658"/>
    <cellStyle name="Обычный 10 4 2 2 4 2 2 3" xfId="42366"/>
    <cellStyle name="Обычный 10 4 2 2 4 2 3" xfId="31184"/>
    <cellStyle name="Обычный 10 4 2 2 4 2 3 2" xfId="46007"/>
    <cellStyle name="Обычный 10 4 2 2 4 2 4" xfId="38682"/>
    <cellStyle name="Обычный 10 4 2 2 4 2 5" xfId="23869"/>
    <cellStyle name="Обычный 10 4 2 2 4 3" xfId="25701"/>
    <cellStyle name="Обычный 10 4 2 2 4 3 2" xfId="33012"/>
    <cellStyle name="Обычный 10 4 2 2 4 3 2 2" xfId="47832"/>
    <cellStyle name="Обычный 10 4 2 2 4 3 3" xfId="40555"/>
    <cellStyle name="Обычный 10 4 2 2 4 4" xfId="29358"/>
    <cellStyle name="Обычный 10 4 2 2 4 4 2" xfId="44182"/>
    <cellStyle name="Обычный 10 4 2 2 4 5" xfId="36959"/>
    <cellStyle name="Обычный 10 4 2 2 4 6" xfId="22040"/>
    <cellStyle name="Обычный 10 4 2 2 5" xfId="19288"/>
    <cellStyle name="Обычный 10 4 2 2 5 2" xfId="26658"/>
    <cellStyle name="Обычный 10 4 2 2 5 2 2" xfId="33969"/>
    <cellStyle name="Обычный 10 4 2 2 5 2 2 2" xfId="48789"/>
    <cellStyle name="Обычный 10 4 2 2 5 2 3" xfId="41498"/>
    <cellStyle name="Обычный 10 4 2 2 5 3" xfId="30315"/>
    <cellStyle name="Обычный 10 4 2 2 5 3 2" xfId="45138"/>
    <cellStyle name="Обычный 10 4 2 2 5 4" xfId="37812"/>
    <cellStyle name="Обычный 10 4 2 2 5 5" xfId="23000"/>
    <cellStyle name="Обычный 10 4 2 2 6" xfId="24817"/>
    <cellStyle name="Обычный 10 4 2 2 6 2" xfId="32128"/>
    <cellStyle name="Обычный 10 4 2 2 6 2 2" xfId="46951"/>
    <cellStyle name="Обычный 10 4 2 2 6 3" xfId="39716"/>
    <cellStyle name="Обычный 10 4 2 2 7" xfId="28474"/>
    <cellStyle name="Обычный 10 4 2 2 7 2" xfId="43311"/>
    <cellStyle name="Обычный 10 4 2 2 8" xfId="35734"/>
    <cellStyle name="Обычный 10 4 2 2 9" xfId="21156"/>
    <cellStyle name="Обычный 10 4 2 3" xfId="17354"/>
    <cellStyle name="Обычный 10 4 2 3 2" xfId="17807"/>
    <cellStyle name="Обычный 10 4 2 3 2 2" xfId="18921"/>
    <cellStyle name="Обычный 10 4 2 3 2 2 2" xfId="20800"/>
    <cellStyle name="Обычный 10 4 2 3 2 2 2 2" xfId="28126"/>
    <cellStyle name="Обычный 10 4 2 3 2 2 2 2 2" xfId="35437"/>
    <cellStyle name="Обычный 10 4 2 3 2 2 2 2 2 2" xfId="50257"/>
    <cellStyle name="Обычный 10 4 2 3 2 2 2 2 3" xfId="42965"/>
    <cellStyle name="Обычный 10 4 2 3 2 2 2 3" xfId="31783"/>
    <cellStyle name="Обычный 10 4 2 3 2 2 2 3 2" xfId="46606"/>
    <cellStyle name="Обычный 10 4 2 3 2 2 2 4" xfId="39281"/>
    <cellStyle name="Обычный 10 4 2 3 2 2 2 5" xfId="24468"/>
    <cellStyle name="Обычный 10 4 2 3 2 2 3" xfId="26300"/>
    <cellStyle name="Обычный 10 4 2 3 2 2 3 2" xfId="33611"/>
    <cellStyle name="Обычный 10 4 2 3 2 2 3 2 2" xfId="48431"/>
    <cellStyle name="Обычный 10 4 2 3 2 2 3 3" xfId="41144"/>
    <cellStyle name="Обычный 10 4 2 3 2 2 4" xfId="29957"/>
    <cellStyle name="Обычный 10 4 2 3 2 2 4 2" xfId="44781"/>
    <cellStyle name="Обычный 10 4 2 3 2 2 5" xfId="37554"/>
    <cellStyle name="Обычный 10 4 2 3 2 2 6" xfId="22639"/>
    <cellStyle name="Обычный 10 4 2 3 2 3" xfId="19851"/>
    <cellStyle name="Обычный 10 4 2 3 2 3 2" xfId="27220"/>
    <cellStyle name="Обычный 10 4 2 3 2 3 2 2" xfId="34531"/>
    <cellStyle name="Обычный 10 4 2 3 2 3 2 2 2" xfId="49351"/>
    <cellStyle name="Обычный 10 4 2 3 2 3 2 3" xfId="42060"/>
    <cellStyle name="Обычный 10 4 2 3 2 3 3" xfId="30877"/>
    <cellStyle name="Обычный 10 4 2 3 2 3 3 2" xfId="45700"/>
    <cellStyle name="Обычный 10 4 2 3 2 3 4" xfId="38374"/>
    <cellStyle name="Обычный 10 4 2 3 2 3 5" xfId="23562"/>
    <cellStyle name="Обычный 10 4 2 3 2 4" xfId="25379"/>
    <cellStyle name="Обычный 10 4 2 3 2 4 2" xfId="32690"/>
    <cellStyle name="Обычный 10 4 2 3 2 4 2 2" xfId="47513"/>
    <cellStyle name="Обычный 10 4 2 3 2 4 3" xfId="40267"/>
    <cellStyle name="Обычный 10 4 2 3 2 5" xfId="29036"/>
    <cellStyle name="Обычный 10 4 2 3 2 5 2" xfId="43873"/>
    <cellStyle name="Обычный 10 4 2 3 2 6" xfId="36185"/>
    <cellStyle name="Обычный 10 4 2 3 2 7" xfId="21718"/>
    <cellStyle name="Обычный 10 4 2 3 3" xfId="18321"/>
    <cellStyle name="Обычный 10 4 2 3 3 2" xfId="20203"/>
    <cellStyle name="Обычный 10 4 2 3 3 2 2" xfId="27529"/>
    <cellStyle name="Обычный 10 4 2 3 3 2 2 2" xfId="34840"/>
    <cellStyle name="Обычный 10 4 2 3 3 2 2 2 2" xfId="49660"/>
    <cellStyle name="Обычный 10 4 2 3 3 2 2 3" xfId="42368"/>
    <cellStyle name="Обычный 10 4 2 3 3 2 3" xfId="31186"/>
    <cellStyle name="Обычный 10 4 2 3 3 2 3 2" xfId="46009"/>
    <cellStyle name="Обычный 10 4 2 3 3 2 4" xfId="38684"/>
    <cellStyle name="Обычный 10 4 2 3 3 2 5" xfId="23871"/>
    <cellStyle name="Обычный 10 4 2 3 3 3" xfId="25703"/>
    <cellStyle name="Обычный 10 4 2 3 3 3 2" xfId="33014"/>
    <cellStyle name="Обычный 10 4 2 3 3 3 2 2" xfId="47834"/>
    <cellStyle name="Обычный 10 4 2 3 3 3 3" xfId="40557"/>
    <cellStyle name="Обычный 10 4 2 3 3 4" xfId="29360"/>
    <cellStyle name="Обычный 10 4 2 3 3 4 2" xfId="44184"/>
    <cellStyle name="Обычный 10 4 2 3 3 5" xfId="36961"/>
    <cellStyle name="Обычный 10 4 2 3 3 6" xfId="22042"/>
    <cellStyle name="Обычный 10 4 2 3 4" xfId="19400"/>
    <cellStyle name="Обычный 10 4 2 3 4 2" xfId="26770"/>
    <cellStyle name="Обычный 10 4 2 3 4 2 2" xfId="34081"/>
    <cellStyle name="Обычный 10 4 2 3 4 2 2 2" xfId="48901"/>
    <cellStyle name="Обычный 10 4 2 3 4 2 3" xfId="41610"/>
    <cellStyle name="Обычный 10 4 2 3 4 3" xfId="30427"/>
    <cellStyle name="Обычный 10 4 2 3 4 3 2" xfId="45250"/>
    <cellStyle name="Обычный 10 4 2 3 4 4" xfId="37924"/>
    <cellStyle name="Обычный 10 4 2 3 4 5" xfId="23112"/>
    <cellStyle name="Обычный 10 4 2 3 5" xfId="24929"/>
    <cellStyle name="Обычный 10 4 2 3 5 2" xfId="32240"/>
    <cellStyle name="Обычный 10 4 2 3 5 2 2" xfId="47063"/>
    <cellStyle name="Обычный 10 4 2 3 5 3" xfId="39824"/>
    <cellStyle name="Обычный 10 4 2 3 6" xfId="28586"/>
    <cellStyle name="Обычный 10 4 2 3 6 2" xfId="43423"/>
    <cellStyle name="Обычный 10 4 2 3 7" xfId="35736"/>
    <cellStyle name="Обычный 10 4 2 3 8" xfId="21268"/>
    <cellStyle name="Обычный 10 4 2 4" xfId="17583"/>
    <cellStyle name="Обычный 10 4 2 4 2" xfId="18697"/>
    <cellStyle name="Обычный 10 4 2 4 2 2" xfId="20576"/>
    <cellStyle name="Обычный 10 4 2 4 2 2 2" xfId="27902"/>
    <cellStyle name="Обычный 10 4 2 4 2 2 2 2" xfId="35213"/>
    <cellStyle name="Обычный 10 4 2 4 2 2 2 2 2" xfId="50033"/>
    <cellStyle name="Обычный 10 4 2 4 2 2 2 3" xfId="42741"/>
    <cellStyle name="Обычный 10 4 2 4 2 2 3" xfId="31559"/>
    <cellStyle name="Обычный 10 4 2 4 2 2 3 2" xfId="46382"/>
    <cellStyle name="Обычный 10 4 2 4 2 2 4" xfId="39057"/>
    <cellStyle name="Обычный 10 4 2 4 2 2 5" xfId="24244"/>
    <cellStyle name="Обычный 10 4 2 4 2 3" xfId="26076"/>
    <cellStyle name="Обычный 10 4 2 4 2 3 2" xfId="33387"/>
    <cellStyle name="Обычный 10 4 2 4 2 3 2 2" xfId="48207"/>
    <cellStyle name="Обычный 10 4 2 4 2 3 3" xfId="40920"/>
    <cellStyle name="Обычный 10 4 2 4 2 4" xfId="29733"/>
    <cellStyle name="Обычный 10 4 2 4 2 4 2" xfId="44557"/>
    <cellStyle name="Обычный 10 4 2 4 2 5" xfId="37334"/>
    <cellStyle name="Обычный 10 4 2 4 2 6" xfId="22415"/>
    <cellStyle name="Обычный 10 4 2 4 3" xfId="19627"/>
    <cellStyle name="Обычный 10 4 2 4 3 2" xfId="26996"/>
    <cellStyle name="Обычный 10 4 2 4 3 2 2" xfId="34307"/>
    <cellStyle name="Обычный 10 4 2 4 3 2 2 2" xfId="49127"/>
    <cellStyle name="Обычный 10 4 2 4 3 2 3" xfId="41836"/>
    <cellStyle name="Обычный 10 4 2 4 3 3" xfId="30653"/>
    <cellStyle name="Обычный 10 4 2 4 3 3 2" xfId="45476"/>
    <cellStyle name="Обычный 10 4 2 4 3 4" xfId="38150"/>
    <cellStyle name="Обычный 10 4 2 4 3 5" xfId="23338"/>
    <cellStyle name="Обычный 10 4 2 4 4" xfId="25155"/>
    <cellStyle name="Обычный 10 4 2 4 4 2" xfId="32466"/>
    <cellStyle name="Обычный 10 4 2 4 4 2 2" xfId="47289"/>
    <cellStyle name="Обычный 10 4 2 4 4 3" xfId="40049"/>
    <cellStyle name="Обычный 10 4 2 4 5" xfId="28812"/>
    <cellStyle name="Обычный 10 4 2 4 5 2" xfId="43649"/>
    <cellStyle name="Обычный 10 4 2 4 6" xfId="36182"/>
    <cellStyle name="Обычный 10 4 2 4 7" xfId="21494"/>
    <cellStyle name="Обычный 10 4 2 5" xfId="18103"/>
    <cellStyle name="Обычный 10 4 2 5 2" xfId="20200"/>
    <cellStyle name="Обычный 10 4 2 5 2 2" xfId="27526"/>
    <cellStyle name="Обычный 10 4 2 5 2 2 2" xfId="34837"/>
    <cellStyle name="Обычный 10 4 2 5 2 2 2 2" xfId="49657"/>
    <cellStyle name="Обычный 10 4 2 5 2 2 3" xfId="42365"/>
    <cellStyle name="Обычный 10 4 2 5 2 3" xfId="31183"/>
    <cellStyle name="Обычный 10 4 2 5 2 3 2" xfId="46006"/>
    <cellStyle name="Обычный 10 4 2 5 2 4" xfId="38681"/>
    <cellStyle name="Обычный 10 4 2 5 2 5" xfId="23868"/>
    <cellStyle name="Обычный 10 4 2 5 3" xfId="25700"/>
    <cellStyle name="Обычный 10 4 2 5 3 2" xfId="33011"/>
    <cellStyle name="Обычный 10 4 2 5 3 2 2" xfId="47831"/>
    <cellStyle name="Обычный 10 4 2 5 3 3" xfId="40554"/>
    <cellStyle name="Обычный 10 4 2 5 4" xfId="29357"/>
    <cellStyle name="Обычный 10 4 2 5 4 2" xfId="44181"/>
    <cellStyle name="Обычный 10 4 2 5 5" xfId="36759"/>
    <cellStyle name="Обычный 10 4 2 5 6" xfId="22039"/>
    <cellStyle name="Обычный 10 4 2 6" xfId="18318"/>
    <cellStyle name="Обычный 10 4 2 6 2" xfId="26549"/>
    <cellStyle name="Обычный 10 4 2 6 2 2" xfId="33860"/>
    <cellStyle name="Обычный 10 4 2 6 2 2 2" xfId="48680"/>
    <cellStyle name="Обычный 10 4 2 6 2 3" xfId="41389"/>
    <cellStyle name="Обычный 10 4 2 6 3" xfId="30206"/>
    <cellStyle name="Обычный 10 4 2 6 3 2" xfId="45029"/>
    <cellStyle name="Обычный 10 4 2 6 4" xfId="36958"/>
    <cellStyle name="Обычный 10 4 2 6 5" xfId="22891"/>
    <cellStyle name="Обычный 10 4 2 7" xfId="19178"/>
    <cellStyle name="Обычный 10 4 2 7 2" xfId="32016"/>
    <cellStyle name="Обычный 10 4 2 7 2 2" xfId="46839"/>
    <cellStyle name="Обычный 10 4 2 7 3" xfId="37703"/>
    <cellStyle name="Обычный 10 4 2 7 4" xfId="24705"/>
    <cellStyle name="Обычный 10 4 2 8" xfId="28362"/>
    <cellStyle name="Обычный 10 4 2 8 2" xfId="43199"/>
    <cellStyle name="Обычный 10 4 2 8 3" xfId="36661"/>
    <cellStyle name="Обычный 10 4 2 9" xfId="35733"/>
    <cellStyle name="Обычный 10 4 3" xfId="17197"/>
    <cellStyle name="Обычный 10 4 3 2" xfId="17413"/>
    <cellStyle name="Обычный 10 4 3 2 2" xfId="17863"/>
    <cellStyle name="Обычный 10 4 3 2 2 2" xfId="18977"/>
    <cellStyle name="Обычный 10 4 3 2 2 2 2" xfId="20856"/>
    <cellStyle name="Обычный 10 4 3 2 2 2 2 2" xfId="28182"/>
    <cellStyle name="Обычный 10 4 3 2 2 2 2 2 2" xfId="35493"/>
    <cellStyle name="Обычный 10 4 3 2 2 2 2 2 2 2" xfId="50313"/>
    <cellStyle name="Обычный 10 4 3 2 2 2 2 2 3" xfId="43021"/>
    <cellStyle name="Обычный 10 4 3 2 2 2 2 3" xfId="31839"/>
    <cellStyle name="Обычный 10 4 3 2 2 2 2 3 2" xfId="46662"/>
    <cellStyle name="Обычный 10 4 3 2 2 2 2 4" xfId="39337"/>
    <cellStyle name="Обычный 10 4 3 2 2 2 2 5" xfId="24524"/>
    <cellStyle name="Обычный 10 4 3 2 2 2 3" xfId="26356"/>
    <cellStyle name="Обычный 10 4 3 2 2 2 3 2" xfId="33667"/>
    <cellStyle name="Обычный 10 4 3 2 2 2 3 2 2" xfId="48487"/>
    <cellStyle name="Обычный 10 4 3 2 2 2 3 3" xfId="41200"/>
    <cellStyle name="Обычный 10 4 3 2 2 2 4" xfId="30013"/>
    <cellStyle name="Обычный 10 4 3 2 2 2 4 2" xfId="44837"/>
    <cellStyle name="Обычный 10 4 3 2 2 2 5" xfId="37578"/>
    <cellStyle name="Обычный 10 4 3 2 2 2 6" xfId="22695"/>
    <cellStyle name="Обычный 10 4 3 2 2 3" xfId="19907"/>
    <cellStyle name="Обычный 10 4 3 2 2 3 2" xfId="27276"/>
    <cellStyle name="Обычный 10 4 3 2 2 3 2 2" xfId="34587"/>
    <cellStyle name="Обычный 10 4 3 2 2 3 2 2 2" xfId="49407"/>
    <cellStyle name="Обычный 10 4 3 2 2 3 2 3" xfId="42116"/>
    <cellStyle name="Обычный 10 4 3 2 2 3 3" xfId="30933"/>
    <cellStyle name="Обычный 10 4 3 2 2 3 3 2" xfId="45756"/>
    <cellStyle name="Обычный 10 4 3 2 2 3 4" xfId="38430"/>
    <cellStyle name="Обычный 10 4 3 2 2 3 5" xfId="23618"/>
    <cellStyle name="Обычный 10 4 3 2 2 4" xfId="25435"/>
    <cellStyle name="Обычный 10 4 3 2 2 4 2" xfId="32746"/>
    <cellStyle name="Обычный 10 4 3 2 2 4 2 2" xfId="47569"/>
    <cellStyle name="Обычный 10 4 3 2 2 4 3" xfId="40323"/>
    <cellStyle name="Обычный 10 4 3 2 2 5" xfId="29092"/>
    <cellStyle name="Обычный 10 4 3 2 2 5 2" xfId="43929"/>
    <cellStyle name="Обычный 10 4 3 2 2 6" xfId="36187"/>
    <cellStyle name="Обычный 10 4 3 2 2 7" xfId="21774"/>
    <cellStyle name="Обычный 10 4 3 2 3" xfId="18323"/>
    <cellStyle name="Обычный 10 4 3 2 3 2" xfId="20205"/>
    <cellStyle name="Обычный 10 4 3 2 3 2 2" xfId="27531"/>
    <cellStyle name="Обычный 10 4 3 2 3 2 2 2" xfId="34842"/>
    <cellStyle name="Обычный 10 4 3 2 3 2 2 2 2" xfId="49662"/>
    <cellStyle name="Обычный 10 4 3 2 3 2 2 3" xfId="42370"/>
    <cellStyle name="Обычный 10 4 3 2 3 2 3" xfId="31188"/>
    <cellStyle name="Обычный 10 4 3 2 3 2 3 2" xfId="46011"/>
    <cellStyle name="Обычный 10 4 3 2 3 2 4" xfId="38686"/>
    <cellStyle name="Обычный 10 4 3 2 3 2 5" xfId="23873"/>
    <cellStyle name="Обычный 10 4 3 2 3 3" xfId="25705"/>
    <cellStyle name="Обычный 10 4 3 2 3 3 2" xfId="33016"/>
    <cellStyle name="Обычный 10 4 3 2 3 3 2 2" xfId="47836"/>
    <cellStyle name="Обычный 10 4 3 2 3 3 3" xfId="40559"/>
    <cellStyle name="Обычный 10 4 3 2 3 4" xfId="29362"/>
    <cellStyle name="Обычный 10 4 3 2 3 4 2" xfId="44186"/>
    <cellStyle name="Обычный 10 4 3 2 3 5" xfId="36963"/>
    <cellStyle name="Обычный 10 4 3 2 3 6" xfId="22044"/>
    <cellStyle name="Обычный 10 4 3 2 4" xfId="19456"/>
    <cellStyle name="Обычный 10 4 3 2 4 2" xfId="26826"/>
    <cellStyle name="Обычный 10 4 3 2 4 2 2" xfId="34137"/>
    <cellStyle name="Обычный 10 4 3 2 4 2 2 2" xfId="48957"/>
    <cellStyle name="Обычный 10 4 3 2 4 2 3" xfId="41666"/>
    <cellStyle name="Обычный 10 4 3 2 4 3" xfId="30483"/>
    <cellStyle name="Обычный 10 4 3 2 4 3 2" xfId="45306"/>
    <cellStyle name="Обычный 10 4 3 2 4 4" xfId="37980"/>
    <cellStyle name="Обычный 10 4 3 2 4 5" xfId="23168"/>
    <cellStyle name="Обычный 10 4 3 2 5" xfId="24985"/>
    <cellStyle name="Обычный 10 4 3 2 5 2" xfId="32296"/>
    <cellStyle name="Обычный 10 4 3 2 5 2 2" xfId="47119"/>
    <cellStyle name="Обычный 10 4 3 2 5 3" xfId="39880"/>
    <cellStyle name="Обычный 10 4 3 2 6" xfId="28642"/>
    <cellStyle name="Обычный 10 4 3 2 6 2" xfId="43479"/>
    <cellStyle name="Обычный 10 4 3 2 7" xfId="35738"/>
    <cellStyle name="Обычный 10 4 3 2 8" xfId="21324"/>
    <cellStyle name="Обычный 10 4 3 3" xfId="17639"/>
    <cellStyle name="Обычный 10 4 3 3 2" xfId="18753"/>
    <cellStyle name="Обычный 10 4 3 3 2 2" xfId="20632"/>
    <cellStyle name="Обычный 10 4 3 3 2 2 2" xfId="27958"/>
    <cellStyle name="Обычный 10 4 3 3 2 2 2 2" xfId="35269"/>
    <cellStyle name="Обычный 10 4 3 3 2 2 2 2 2" xfId="50089"/>
    <cellStyle name="Обычный 10 4 3 3 2 2 2 3" xfId="42797"/>
    <cellStyle name="Обычный 10 4 3 3 2 2 3" xfId="31615"/>
    <cellStyle name="Обычный 10 4 3 3 2 2 3 2" xfId="46438"/>
    <cellStyle name="Обычный 10 4 3 3 2 2 4" xfId="39113"/>
    <cellStyle name="Обычный 10 4 3 3 2 2 5" xfId="24300"/>
    <cellStyle name="Обычный 10 4 3 3 2 3" xfId="26132"/>
    <cellStyle name="Обычный 10 4 3 3 2 3 2" xfId="33443"/>
    <cellStyle name="Обычный 10 4 3 3 2 3 2 2" xfId="48263"/>
    <cellStyle name="Обычный 10 4 3 3 2 3 3" xfId="40976"/>
    <cellStyle name="Обычный 10 4 3 3 2 4" xfId="29789"/>
    <cellStyle name="Обычный 10 4 3 3 2 4 2" xfId="44613"/>
    <cellStyle name="Обычный 10 4 3 3 2 5" xfId="37390"/>
    <cellStyle name="Обычный 10 4 3 3 2 6" xfId="22471"/>
    <cellStyle name="Обычный 10 4 3 3 3" xfId="19683"/>
    <cellStyle name="Обычный 10 4 3 3 3 2" xfId="27052"/>
    <cellStyle name="Обычный 10 4 3 3 3 2 2" xfId="34363"/>
    <cellStyle name="Обычный 10 4 3 3 3 2 2 2" xfId="49183"/>
    <cellStyle name="Обычный 10 4 3 3 3 2 3" xfId="41892"/>
    <cellStyle name="Обычный 10 4 3 3 3 3" xfId="30709"/>
    <cellStyle name="Обычный 10 4 3 3 3 3 2" xfId="45532"/>
    <cellStyle name="Обычный 10 4 3 3 3 4" xfId="38206"/>
    <cellStyle name="Обычный 10 4 3 3 3 5" xfId="23394"/>
    <cellStyle name="Обычный 10 4 3 3 4" xfId="25211"/>
    <cellStyle name="Обычный 10 4 3 3 4 2" xfId="32522"/>
    <cellStyle name="Обычный 10 4 3 3 4 2 2" xfId="47345"/>
    <cellStyle name="Обычный 10 4 3 3 4 3" xfId="40103"/>
    <cellStyle name="Обычный 10 4 3 3 5" xfId="28868"/>
    <cellStyle name="Обычный 10 4 3 3 5 2" xfId="43705"/>
    <cellStyle name="Обычный 10 4 3 3 6" xfId="36186"/>
    <cellStyle name="Обычный 10 4 3 3 7" xfId="21550"/>
    <cellStyle name="Обычный 10 4 3 4" xfId="18322"/>
    <cellStyle name="Обычный 10 4 3 4 2" xfId="20204"/>
    <cellStyle name="Обычный 10 4 3 4 2 2" xfId="27530"/>
    <cellStyle name="Обычный 10 4 3 4 2 2 2" xfId="34841"/>
    <cellStyle name="Обычный 10 4 3 4 2 2 2 2" xfId="49661"/>
    <cellStyle name="Обычный 10 4 3 4 2 2 3" xfId="42369"/>
    <cellStyle name="Обычный 10 4 3 4 2 3" xfId="31187"/>
    <cellStyle name="Обычный 10 4 3 4 2 3 2" xfId="46010"/>
    <cellStyle name="Обычный 10 4 3 4 2 4" xfId="38685"/>
    <cellStyle name="Обычный 10 4 3 4 2 5" xfId="23872"/>
    <cellStyle name="Обычный 10 4 3 4 3" xfId="25704"/>
    <cellStyle name="Обычный 10 4 3 4 3 2" xfId="33015"/>
    <cellStyle name="Обычный 10 4 3 4 3 2 2" xfId="47835"/>
    <cellStyle name="Обычный 10 4 3 4 3 3" xfId="40558"/>
    <cellStyle name="Обычный 10 4 3 4 4" xfId="29361"/>
    <cellStyle name="Обычный 10 4 3 4 4 2" xfId="44185"/>
    <cellStyle name="Обычный 10 4 3 4 5" xfId="36962"/>
    <cellStyle name="Обычный 10 4 3 4 6" xfId="22043"/>
    <cellStyle name="Обычный 10 4 3 5" xfId="19233"/>
    <cellStyle name="Обычный 10 4 3 5 2" xfId="26603"/>
    <cellStyle name="Обычный 10 4 3 5 2 2" xfId="33914"/>
    <cellStyle name="Обычный 10 4 3 5 2 2 2" xfId="48734"/>
    <cellStyle name="Обычный 10 4 3 5 2 3" xfId="41443"/>
    <cellStyle name="Обычный 10 4 3 5 3" xfId="30260"/>
    <cellStyle name="Обычный 10 4 3 5 3 2" xfId="45083"/>
    <cellStyle name="Обычный 10 4 3 5 4" xfId="37757"/>
    <cellStyle name="Обычный 10 4 3 5 5" xfId="22945"/>
    <cellStyle name="Обычный 10 4 3 6" xfId="24761"/>
    <cellStyle name="Обычный 10 4 3 6 2" xfId="32072"/>
    <cellStyle name="Обычный 10 4 3 6 2 2" xfId="46895"/>
    <cellStyle name="Обычный 10 4 3 6 3" xfId="39663"/>
    <cellStyle name="Обычный 10 4 3 7" xfId="28418"/>
    <cellStyle name="Обычный 10 4 3 7 2" xfId="43255"/>
    <cellStyle name="Обычный 10 4 3 8" xfId="35737"/>
    <cellStyle name="Обычный 10 4 3 9" xfId="21100"/>
    <cellStyle name="Обычный 10 4 4" xfId="17296"/>
    <cellStyle name="Обычный 10 4 4 2" xfId="17751"/>
    <cellStyle name="Обычный 10 4 4 2 2" xfId="18865"/>
    <cellStyle name="Обычный 10 4 4 2 2 2" xfId="20744"/>
    <cellStyle name="Обычный 10 4 4 2 2 2 2" xfId="28070"/>
    <cellStyle name="Обычный 10 4 4 2 2 2 2 2" xfId="35381"/>
    <cellStyle name="Обычный 10 4 4 2 2 2 2 2 2" xfId="50201"/>
    <cellStyle name="Обычный 10 4 4 2 2 2 2 3" xfId="42909"/>
    <cellStyle name="Обычный 10 4 4 2 2 2 3" xfId="31727"/>
    <cellStyle name="Обычный 10 4 4 2 2 2 3 2" xfId="46550"/>
    <cellStyle name="Обычный 10 4 4 2 2 2 4" xfId="39225"/>
    <cellStyle name="Обычный 10 4 4 2 2 2 5" xfId="24412"/>
    <cellStyle name="Обычный 10 4 4 2 2 3" xfId="26244"/>
    <cellStyle name="Обычный 10 4 4 2 2 3 2" xfId="33555"/>
    <cellStyle name="Обычный 10 4 4 2 2 3 2 2" xfId="48375"/>
    <cellStyle name="Обычный 10 4 4 2 2 3 3" xfId="41088"/>
    <cellStyle name="Обычный 10 4 4 2 2 4" xfId="29901"/>
    <cellStyle name="Обычный 10 4 4 2 2 4 2" xfId="44725"/>
    <cellStyle name="Обычный 10 4 4 2 2 5" xfId="37501"/>
    <cellStyle name="Обычный 10 4 4 2 2 6" xfId="22583"/>
    <cellStyle name="Обычный 10 4 4 2 3" xfId="19795"/>
    <cellStyle name="Обычный 10 4 4 2 3 2" xfId="27164"/>
    <cellStyle name="Обычный 10 4 4 2 3 2 2" xfId="34475"/>
    <cellStyle name="Обычный 10 4 4 2 3 2 2 2" xfId="49295"/>
    <cellStyle name="Обычный 10 4 4 2 3 2 3" xfId="42004"/>
    <cellStyle name="Обычный 10 4 4 2 3 3" xfId="30821"/>
    <cellStyle name="Обычный 10 4 4 2 3 3 2" xfId="45644"/>
    <cellStyle name="Обычный 10 4 4 2 3 4" xfId="38318"/>
    <cellStyle name="Обычный 10 4 4 2 3 5" xfId="23506"/>
    <cellStyle name="Обычный 10 4 4 2 4" xfId="25323"/>
    <cellStyle name="Обычный 10 4 4 2 4 2" xfId="32634"/>
    <cellStyle name="Обычный 10 4 4 2 4 2 2" xfId="47457"/>
    <cellStyle name="Обычный 10 4 4 2 4 3" xfId="40212"/>
    <cellStyle name="Обычный 10 4 4 2 5" xfId="28980"/>
    <cellStyle name="Обычный 10 4 4 2 5 2" xfId="43817"/>
    <cellStyle name="Обычный 10 4 4 2 6" xfId="36188"/>
    <cellStyle name="Обычный 10 4 4 2 7" xfId="21662"/>
    <cellStyle name="Обычный 10 4 4 3" xfId="18324"/>
    <cellStyle name="Обычный 10 4 4 3 2" xfId="20206"/>
    <cellStyle name="Обычный 10 4 4 3 2 2" xfId="27532"/>
    <cellStyle name="Обычный 10 4 4 3 2 2 2" xfId="34843"/>
    <cellStyle name="Обычный 10 4 4 3 2 2 2 2" xfId="49663"/>
    <cellStyle name="Обычный 10 4 4 3 2 2 3" xfId="42371"/>
    <cellStyle name="Обычный 10 4 4 3 2 3" xfId="31189"/>
    <cellStyle name="Обычный 10 4 4 3 2 3 2" xfId="46012"/>
    <cellStyle name="Обычный 10 4 4 3 2 4" xfId="38687"/>
    <cellStyle name="Обычный 10 4 4 3 2 5" xfId="23874"/>
    <cellStyle name="Обычный 10 4 4 3 3" xfId="25706"/>
    <cellStyle name="Обычный 10 4 4 3 3 2" xfId="33017"/>
    <cellStyle name="Обычный 10 4 4 3 3 2 2" xfId="47837"/>
    <cellStyle name="Обычный 10 4 4 3 3 3" xfId="40560"/>
    <cellStyle name="Обычный 10 4 4 3 4" xfId="29363"/>
    <cellStyle name="Обычный 10 4 4 3 4 2" xfId="44187"/>
    <cellStyle name="Обычный 10 4 4 3 5" xfId="36964"/>
    <cellStyle name="Обычный 10 4 4 3 6" xfId="22045"/>
    <cellStyle name="Обычный 10 4 4 4" xfId="19344"/>
    <cellStyle name="Обычный 10 4 4 4 2" xfId="26714"/>
    <cellStyle name="Обычный 10 4 4 4 2 2" xfId="34025"/>
    <cellStyle name="Обычный 10 4 4 4 2 2 2" xfId="48845"/>
    <cellStyle name="Обычный 10 4 4 4 2 3" xfId="41554"/>
    <cellStyle name="Обычный 10 4 4 4 3" xfId="30371"/>
    <cellStyle name="Обычный 10 4 4 4 3 2" xfId="45194"/>
    <cellStyle name="Обычный 10 4 4 4 4" xfId="37868"/>
    <cellStyle name="Обычный 10 4 4 4 5" xfId="23056"/>
    <cellStyle name="Обычный 10 4 4 5" xfId="24873"/>
    <cellStyle name="Обычный 10 4 4 5 2" xfId="32184"/>
    <cellStyle name="Обычный 10 4 4 5 2 2" xfId="47007"/>
    <cellStyle name="Обычный 10 4 4 5 3" xfId="39769"/>
    <cellStyle name="Обычный 10 4 4 6" xfId="28530"/>
    <cellStyle name="Обычный 10 4 4 6 2" xfId="43367"/>
    <cellStyle name="Обычный 10 4 4 7" xfId="35739"/>
    <cellStyle name="Обычный 10 4 4 8" xfId="21212"/>
    <cellStyle name="Обычный 10 4 5" xfId="17527"/>
    <cellStyle name="Обычный 10 4 5 2" xfId="18641"/>
    <cellStyle name="Обычный 10 4 5 2 2" xfId="20520"/>
    <cellStyle name="Обычный 10 4 5 2 2 2" xfId="27846"/>
    <cellStyle name="Обычный 10 4 5 2 2 2 2" xfId="35157"/>
    <cellStyle name="Обычный 10 4 5 2 2 2 2 2" xfId="49977"/>
    <cellStyle name="Обычный 10 4 5 2 2 2 3" xfId="42685"/>
    <cellStyle name="Обычный 10 4 5 2 2 3" xfId="31503"/>
    <cellStyle name="Обычный 10 4 5 2 2 3 2" xfId="46326"/>
    <cellStyle name="Обычный 10 4 5 2 2 4" xfId="39001"/>
    <cellStyle name="Обычный 10 4 5 2 2 5" xfId="24188"/>
    <cellStyle name="Обычный 10 4 5 2 3" xfId="26020"/>
    <cellStyle name="Обычный 10 4 5 2 3 2" xfId="33331"/>
    <cellStyle name="Обычный 10 4 5 2 3 2 2" xfId="48151"/>
    <cellStyle name="Обычный 10 4 5 2 3 3" xfId="40864"/>
    <cellStyle name="Обычный 10 4 5 2 4" xfId="29677"/>
    <cellStyle name="Обычный 10 4 5 2 4 2" xfId="44501"/>
    <cellStyle name="Обычный 10 4 5 2 5" xfId="37278"/>
    <cellStyle name="Обычный 10 4 5 2 6" xfId="22359"/>
    <cellStyle name="Обычный 10 4 5 3" xfId="19571"/>
    <cellStyle name="Обычный 10 4 5 3 2" xfId="26940"/>
    <cellStyle name="Обычный 10 4 5 3 2 2" xfId="34251"/>
    <cellStyle name="Обычный 10 4 5 3 2 2 2" xfId="49071"/>
    <cellStyle name="Обычный 10 4 5 3 2 3" xfId="41780"/>
    <cellStyle name="Обычный 10 4 5 3 3" xfId="30597"/>
    <cellStyle name="Обычный 10 4 5 3 3 2" xfId="45420"/>
    <cellStyle name="Обычный 10 4 5 3 4" xfId="38094"/>
    <cellStyle name="Обычный 10 4 5 3 5" xfId="23282"/>
    <cellStyle name="Обычный 10 4 5 4" xfId="25099"/>
    <cellStyle name="Обычный 10 4 5 4 2" xfId="32410"/>
    <cellStyle name="Обычный 10 4 5 4 2 2" xfId="47233"/>
    <cellStyle name="Обычный 10 4 5 4 3" xfId="39993"/>
    <cellStyle name="Обычный 10 4 5 5" xfId="28756"/>
    <cellStyle name="Обычный 10 4 5 5 2" xfId="43593"/>
    <cellStyle name="Обычный 10 4 5 6" xfId="36181"/>
    <cellStyle name="Обычный 10 4 5 7" xfId="21438"/>
    <cellStyle name="Обычный 10 4 6" xfId="18058"/>
    <cellStyle name="Обычный 10 4 6 2" xfId="18317"/>
    <cellStyle name="Обычный 10 4 6 2 2" xfId="27525"/>
    <cellStyle name="Обычный 10 4 6 2 2 2" xfId="34836"/>
    <cellStyle name="Обычный 10 4 6 2 2 2 2" xfId="49656"/>
    <cellStyle name="Обычный 10 4 6 2 2 3" xfId="42364"/>
    <cellStyle name="Обычный 10 4 6 2 3" xfId="31182"/>
    <cellStyle name="Обычный 10 4 6 2 3 2" xfId="46005"/>
    <cellStyle name="Обычный 10 4 6 2 4" xfId="36957"/>
    <cellStyle name="Обычный 10 4 6 2 5" xfId="23867"/>
    <cellStyle name="Обычный 10 4 6 3" xfId="20199"/>
    <cellStyle name="Обычный 10 4 6 3 2" xfId="33010"/>
    <cellStyle name="Обычный 10 4 6 3 2 2" xfId="47830"/>
    <cellStyle name="Обычный 10 4 6 3 3" xfId="38680"/>
    <cellStyle name="Обычный 10 4 6 3 4" xfId="25699"/>
    <cellStyle name="Обычный 10 4 6 4" xfId="29356"/>
    <cellStyle name="Обычный 10 4 6 4 2" xfId="44180"/>
    <cellStyle name="Обычный 10 4 6 5" xfId="36715"/>
    <cellStyle name="Обычный 10 4 6 6" xfId="22038"/>
    <cellStyle name="Обычный 10 4 7" xfId="20026"/>
    <cellStyle name="Обычный 10 4 8" xfId="19124"/>
    <cellStyle name="Обычный 10 4 8 2" xfId="26496"/>
    <cellStyle name="Обычный 10 4 8 2 2" xfId="33807"/>
    <cellStyle name="Обычный 10 4 8 2 2 2" xfId="48627"/>
    <cellStyle name="Обычный 10 4 8 2 3" xfId="41336"/>
    <cellStyle name="Обычный 10 4 8 3" xfId="30153"/>
    <cellStyle name="Обычный 10 4 8 3 2" xfId="44976"/>
    <cellStyle name="Обычный 10 4 8 4" xfId="37650"/>
    <cellStyle name="Обычный 10 4 8 5" xfId="22838"/>
    <cellStyle name="Обычный 10 4 9" xfId="24649"/>
    <cellStyle name="Обычный 10 4 9 2" xfId="31960"/>
    <cellStyle name="Обычный 10 4 9 2 2" xfId="46783"/>
    <cellStyle name="Обычный 10 4 9 3" xfId="39569"/>
    <cellStyle name="Обычный 10 4 9 4" xfId="36600"/>
    <cellStyle name="Обычный 10 5" xfId="17045"/>
    <cellStyle name="Обычный 10 5 10" xfId="21016"/>
    <cellStyle name="Обычный 10 5 2" xfId="17226"/>
    <cellStyle name="Обычный 10 5 2 2" xfId="17441"/>
    <cellStyle name="Обычный 10 5 2 2 2" xfId="17891"/>
    <cellStyle name="Обычный 10 5 2 2 2 2" xfId="19005"/>
    <cellStyle name="Обычный 10 5 2 2 2 2 2" xfId="20884"/>
    <cellStyle name="Обычный 10 5 2 2 2 2 2 2" xfId="28210"/>
    <cellStyle name="Обычный 10 5 2 2 2 2 2 2 2" xfId="35521"/>
    <cellStyle name="Обычный 10 5 2 2 2 2 2 2 2 2" xfId="50341"/>
    <cellStyle name="Обычный 10 5 2 2 2 2 2 2 3" xfId="43049"/>
    <cellStyle name="Обычный 10 5 2 2 2 2 2 3" xfId="31867"/>
    <cellStyle name="Обычный 10 5 2 2 2 2 2 3 2" xfId="46690"/>
    <cellStyle name="Обычный 10 5 2 2 2 2 2 4" xfId="39365"/>
    <cellStyle name="Обычный 10 5 2 2 2 2 2 5" xfId="24552"/>
    <cellStyle name="Обычный 10 5 2 2 2 2 3" xfId="26384"/>
    <cellStyle name="Обычный 10 5 2 2 2 2 3 2" xfId="33695"/>
    <cellStyle name="Обычный 10 5 2 2 2 2 3 2 2" xfId="48515"/>
    <cellStyle name="Обычный 10 5 2 2 2 2 3 3" xfId="41228"/>
    <cellStyle name="Обычный 10 5 2 2 2 2 4" xfId="30041"/>
    <cellStyle name="Обычный 10 5 2 2 2 2 4 2" xfId="44865"/>
    <cellStyle name="Обычный 10 5 2 2 2 2 5" xfId="37585"/>
    <cellStyle name="Обычный 10 5 2 2 2 2 6" xfId="22723"/>
    <cellStyle name="Обычный 10 5 2 2 2 3" xfId="19935"/>
    <cellStyle name="Обычный 10 5 2 2 2 3 2" xfId="27304"/>
    <cellStyle name="Обычный 10 5 2 2 2 3 2 2" xfId="34615"/>
    <cellStyle name="Обычный 10 5 2 2 2 3 2 2 2" xfId="49435"/>
    <cellStyle name="Обычный 10 5 2 2 2 3 2 3" xfId="42144"/>
    <cellStyle name="Обычный 10 5 2 2 2 3 3" xfId="30961"/>
    <cellStyle name="Обычный 10 5 2 2 2 3 3 2" xfId="45784"/>
    <cellStyle name="Обычный 10 5 2 2 2 3 4" xfId="38458"/>
    <cellStyle name="Обычный 10 5 2 2 2 3 5" xfId="23646"/>
    <cellStyle name="Обычный 10 5 2 2 2 4" xfId="25463"/>
    <cellStyle name="Обычный 10 5 2 2 2 4 2" xfId="32774"/>
    <cellStyle name="Обычный 10 5 2 2 2 4 2 2" xfId="47597"/>
    <cellStyle name="Обычный 10 5 2 2 2 4 3" xfId="40351"/>
    <cellStyle name="Обычный 10 5 2 2 2 5" xfId="29120"/>
    <cellStyle name="Обычный 10 5 2 2 2 5 2" xfId="43957"/>
    <cellStyle name="Обычный 10 5 2 2 2 6" xfId="36191"/>
    <cellStyle name="Обычный 10 5 2 2 2 7" xfId="21802"/>
    <cellStyle name="Обычный 10 5 2 2 3" xfId="18327"/>
    <cellStyle name="Обычный 10 5 2 2 3 2" xfId="20209"/>
    <cellStyle name="Обычный 10 5 2 2 3 2 2" xfId="27535"/>
    <cellStyle name="Обычный 10 5 2 2 3 2 2 2" xfId="34846"/>
    <cellStyle name="Обычный 10 5 2 2 3 2 2 2 2" xfId="49666"/>
    <cellStyle name="Обычный 10 5 2 2 3 2 2 3" xfId="42374"/>
    <cellStyle name="Обычный 10 5 2 2 3 2 3" xfId="31192"/>
    <cellStyle name="Обычный 10 5 2 2 3 2 3 2" xfId="46015"/>
    <cellStyle name="Обычный 10 5 2 2 3 2 4" xfId="38690"/>
    <cellStyle name="Обычный 10 5 2 2 3 2 5" xfId="23877"/>
    <cellStyle name="Обычный 10 5 2 2 3 3" xfId="25709"/>
    <cellStyle name="Обычный 10 5 2 2 3 3 2" xfId="33020"/>
    <cellStyle name="Обычный 10 5 2 2 3 3 2 2" xfId="47840"/>
    <cellStyle name="Обычный 10 5 2 2 3 3 3" xfId="40563"/>
    <cellStyle name="Обычный 10 5 2 2 3 4" xfId="29366"/>
    <cellStyle name="Обычный 10 5 2 2 3 4 2" xfId="44190"/>
    <cellStyle name="Обычный 10 5 2 2 3 5" xfId="36967"/>
    <cellStyle name="Обычный 10 5 2 2 3 6" xfId="22048"/>
    <cellStyle name="Обычный 10 5 2 2 4" xfId="19484"/>
    <cellStyle name="Обычный 10 5 2 2 4 2" xfId="26854"/>
    <cellStyle name="Обычный 10 5 2 2 4 2 2" xfId="34165"/>
    <cellStyle name="Обычный 10 5 2 2 4 2 2 2" xfId="48985"/>
    <cellStyle name="Обычный 10 5 2 2 4 2 3" xfId="41694"/>
    <cellStyle name="Обычный 10 5 2 2 4 3" xfId="30511"/>
    <cellStyle name="Обычный 10 5 2 2 4 3 2" xfId="45334"/>
    <cellStyle name="Обычный 10 5 2 2 4 4" xfId="38008"/>
    <cellStyle name="Обычный 10 5 2 2 4 5" xfId="23196"/>
    <cellStyle name="Обычный 10 5 2 2 5" xfId="25013"/>
    <cellStyle name="Обычный 10 5 2 2 5 2" xfId="32324"/>
    <cellStyle name="Обычный 10 5 2 2 5 2 2" xfId="47147"/>
    <cellStyle name="Обычный 10 5 2 2 5 3" xfId="39908"/>
    <cellStyle name="Обычный 10 5 2 2 6" xfId="28670"/>
    <cellStyle name="Обычный 10 5 2 2 6 2" xfId="43507"/>
    <cellStyle name="Обычный 10 5 2 2 7" xfId="35742"/>
    <cellStyle name="Обычный 10 5 2 2 8" xfId="21352"/>
    <cellStyle name="Обычный 10 5 2 3" xfId="17667"/>
    <cellStyle name="Обычный 10 5 2 3 2" xfId="18781"/>
    <cellStyle name="Обычный 10 5 2 3 2 2" xfId="20660"/>
    <cellStyle name="Обычный 10 5 2 3 2 2 2" xfId="27986"/>
    <cellStyle name="Обычный 10 5 2 3 2 2 2 2" xfId="35297"/>
    <cellStyle name="Обычный 10 5 2 3 2 2 2 2 2" xfId="50117"/>
    <cellStyle name="Обычный 10 5 2 3 2 2 2 3" xfId="42825"/>
    <cellStyle name="Обычный 10 5 2 3 2 2 3" xfId="31643"/>
    <cellStyle name="Обычный 10 5 2 3 2 2 3 2" xfId="46466"/>
    <cellStyle name="Обычный 10 5 2 3 2 2 4" xfId="39141"/>
    <cellStyle name="Обычный 10 5 2 3 2 2 5" xfId="24328"/>
    <cellStyle name="Обычный 10 5 2 3 2 3" xfId="26160"/>
    <cellStyle name="Обычный 10 5 2 3 2 3 2" xfId="33471"/>
    <cellStyle name="Обычный 10 5 2 3 2 3 2 2" xfId="48291"/>
    <cellStyle name="Обычный 10 5 2 3 2 3 3" xfId="41004"/>
    <cellStyle name="Обычный 10 5 2 3 2 4" xfId="29817"/>
    <cellStyle name="Обычный 10 5 2 3 2 4 2" xfId="44641"/>
    <cellStyle name="Обычный 10 5 2 3 2 5" xfId="37418"/>
    <cellStyle name="Обычный 10 5 2 3 2 6" xfId="22499"/>
    <cellStyle name="Обычный 10 5 2 3 3" xfId="19711"/>
    <cellStyle name="Обычный 10 5 2 3 3 2" xfId="27080"/>
    <cellStyle name="Обычный 10 5 2 3 3 2 2" xfId="34391"/>
    <cellStyle name="Обычный 10 5 2 3 3 2 2 2" xfId="49211"/>
    <cellStyle name="Обычный 10 5 2 3 3 2 3" xfId="41920"/>
    <cellStyle name="Обычный 10 5 2 3 3 3" xfId="30737"/>
    <cellStyle name="Обычный 10 5 2 3 3 3 2" xfId="45560"/>
    <cellStyle name="Обычный 10 5 2 3 3 4" xfId="38234"/>
    <cellStyle name="Обычный 10 5 2 3 3 5" xfId="23422"/>
    <cellStyle name="Обычный 10 5 2 3 4" xfId="25239"/>
    <cellStyle name="Обычный 10 5 2 3 4 2" xfId="32550"/>
    <cellStyle name="Обычный 10 5 2 3 4 2 2" xfId="47373"/>
    <cellStyle name="Обычный 10 5 2 3 4 3" xfId="40131"/>
    <cellStyle name="Обычный 10 5 2 3 5" xfId="28896"/>
    <cellStyle name="Обычный 10 5 2 3 5 2" xfId="43733"/>
    <cellStyle name="Обычный 10 5 2 3 6" xfId="36190"/>
    <cellStyle name="Обычный 10 5 2 3 7" xfId="21578"/>
    <cellStyle name="Обычный 10 5 2 4" xfId="18095"/>
    <cellStyle name="Обычный 10 5 2 4 2" xfId="20208"/>
    <cellStyle name="Обычный 10 5 2 4 2 2" xfId="27534"/>
    <cellStyle name="Обычный 10 5 2 4 2 2 2" xfId="34845"/>
    <cellStyle name="Обычный 10 5 2 4 2 2 2 2" xfId="49665"/>
    <cellStyle name="Обычный 10 5 2 4 2 2 3" xfId="42373"/>
    <cellStyle name="Обычный 10 5 2 4 2 3" xfId="31191"/>
    <cellStyle name="Обычный 10 5 2 4 2 3 2" xfId="46014"/>
    <cellStyle name="Обычный 10 5 2 4 2 4" xfId="38689"/>
    <cellStyle name="Обычный 10 5 2 4 2 5" xfId="23876"/>
    <cellStyle name="Обычный 10 5 2 4 3" xfId="25708"/>
    <cellStyle name="Обычный 10 5 2 4 3 2" xfId="33019"/>
    <cellStyle name="Обычный 10 5 2 4 3 2 2" xfId="47839"/>
    <cellStyle name="Обычный 10 5 2 4 3 3" xfId="40562"/>
    <cellStyle name="Обычный 10 5 2 4 4" xfId="29365"/>
    <cellStyle name="Обычный 10 5 2 4 4 2" xfId="44189"/>
    <cellStyle name="Обычный 10 5 2 4 5" xfId="36751"/>
    <cellStyle name="Обычный 10 5 2 4 6" xfId="22047"/>
    <cellStyle name="Обычный 10 5 2 5" xfId="18326"/>
    <cellStyle name="Обычный 10 5 2 5 2" xfId="26631"/>
    <cellStyle name="Обычный 10 5 2 5 2 2" xfId="33942"/>
    <cellStyle name="Обычный 10 5 2 5 2 2 2" xfId="48762"/>
    <cellStyle name="Обычный 10 5 2 5 2 3" xfId="41471"/>
    <cellStyle name="Обычный 10 5 2 5 3" xfId="30288"/>
    <cellStyle name="Обычный 10 5 2 5 3 2" xfId="45111"/>
    <cellStyle name="Обычный 10 5 2 5 4" xfId="36966"/>
    <cellStyle name="Обычный 10 5 2 5 5" xfId="22973"/>
    <cellStyle name="Обычный 10 5 2 6" xfId="19261"/>
    <cellStyle name="Обычный 10 5 2 6 2" xfId="32100"/>
    <cellStyle name="Обычный 10 5 2 6 2 2" xfId="46923"/>
    <cellStyle name="Обычный 10 5 2 6 3" xfId="37785"/>
    <cellStyle name="Обычный 10 5 2 6 4" xfId="24789"/>
    <cellStyle name="Обычный 10 5 2 7" xfId="28446"/>
    <cellStyle name="Обычный 10 5 2 7 2" xfId="43283"/>
    <cellStyle name="Обычный 10 5 2 7 3" xfId="36650"/>
    <cellStyle name="Обычный 10 5 2 8" xfId="35741"/>
    <cellStyle name="Обычный 10 5 2 9" xfId="21128"/>
    <cellStyle name="Обычный 10 5 3" xfId="17326"/>
    <cellStyle name="Обычный 10 5 3 2" xfId="17779"/>
    <cellStyle name="Обычный 10 5 3 2 2" xfId="18893"/>
    <cellStyle name="Обычный 10 5 3 2 2 2" xfId="20772"/>
    <cellStyle name="Обычный 10 5 3 2 2 2 2" xfId="28098"/>
    <cellStyle name="Обычный 10 5 3 2 2 2 2 2" xfId="35409"/>
    <cellStyle name="Обычный 10 5 3 2 2 2 2 2 2" xfId="50229"/>
    <cellStyle name="Обычный 10 5 3 2 2 2 2 3" xfId="42937"/>
    <cellStyle name="Обычный 10 5 3 2 2 2 3" xfId="31755"/>
    <cellStyle name="Обычный 10 5 3 2 2 2 3 2" xfId="46578"/>
    <cellStyle name="Обычный 10 5 3 2 2 2 4" xfId="39253"/>
    <cellStyle name="Обычный 10 5 3 2 2 2 5" xfId="24440"/>
    <cellStyle name="Обычный 10 5 3 2 2 3" xfId="26272"/>
    <cellStyle name="Обычный 10 5 3 2 2 3 2" xfId="33583"/>
    <cellStyle name="Обычный 10 5 3 2 2 3 2 2" xfId="48403"/>
    <cellStyle name="Обычный 10 5 3 2 2 3 3" xfId="41116"/>
    <cellStyle name="Обычный 10 5 3 2 2 4" xfId="29929"/>
    <cellStyle name="Обычный 10 5 3 2 2 4 2" xfId="44753"/>
    <cellStyle name="Обычный 10 5 3 2 2 5" xfId="37529"/>
    <cellStyle name="Обычный 10 5 3 2 2 6" xfId="22611"/>
    <cellStyle name="Обычный 10 5 3 2 3" xfId="19823"/>
    <cellStyle name="Обычный 10 5 3 2 3 2" xfId="27192"/>
    <cellStyle name="Обычный 10 5 3 2 3 2 2" xfId="34503"/>
    <cellStyle name="Обычный 10 5 3 2 3 2 2 2" xfId="49323"/>
    <cellStyle name="Обычный 10 5 3 2 3 2 3" xfId="42032"/>
    <cellStyle name="Обычный 10 5 3 2 3 3" xfId="30849"/>
    <cellStyle name="Обычный 10 5 3 2 3 3 2" xfId="45672"/>
    <cellStyle name="Обычный 10 5 3 2 3 4" xfId="38346"/>
    <cellStyle name="Обычный 10 5 3 2 3 5" xfId="23534"/>
    <cellStyle name="Обычный 10 5 3 2 4" xfId="25351"/>
    <cellStyle name="Обычный 10 5 3 2 4 2" xfId="32662"/>
    <cellStyle name="Обычный 10 5 3 2 4 2 2" xfId="47485"/>
    <cellStyle name="Обычный 10 5 3 2 4 3" xfId="40239"/>
    <cellStyle name="Обычный 10 5 3 2 5" xfId="29008"/>
    <cellStyle name="Обычный 10 5 3 2 5 2" xfId="43845"/>
    <cellStyle name="Обычный 10 5 3 2 6" xfId="36192"/>
    <cellStyle name="Обычный 10 5 3 2 7" xfId="21690"/>
    <cellStyle name="Обычный 10 5 3 3" xfId="18328"/>
    <cellStyle name="Обычный 10 5 3 3 2" xfId="20210"/>
    <cellStyle name="Обычный 10 5 3 3 2 2" xfId="27536"/>
    <cellStyle name="Обычный 10 5 3 3 2 2 2" xfId="34847"/>
    <cellStyle name="Обычный 10 5 3 3 2 2 2 2" xfId="49667"/>
    <cellStyle name="Обычный 10 5 3 3 2 2 3" xfId="42375"/>
    <cellStyle name="Обычный 10 5 3 3 2 3" xfId="31193"/>
    <cellStyle name="Обычный 10 5 3 3 2 3 2" xfId="46016"/>
    <cellStyle name="Обычный 10 5 3 3 2 4" xfId="38691"/>
    <cellStyle name="Обычный 10 5 3 3 2 5" xfId="23878"/>
    <cellStyle name="Обычный 10 5 3 3 3" xfId="25710"/>
    <cellStyle name="Обычный 10 5 3 3 3 2" xfId="33021"/>
    <cellStyle name="Обычный 10 5 3 3 3 2 2" xfId="47841"/>
    <cellStyle name="Обычный 10 5 3 3 3 3" xfId="40564"/>
    <cellStyle name="Обычный 10 5 3 3 4" xfId="29367"/>
    <cellStyle name="Обычный 10 5 3 3 4 2" xfId="44191"/>
    <cellStyle name="Обычный 10 5 3 3 5" xfId="36968"/>
    <cellStyle name="Обычный 10 5 3 3 6" xfId="22049"/>
    <cellStyle name="Обычный 10 5 3 4" xfId="19372"/>
    <cellStyle name="Обычный 10 5 3 4 2" xfId="26742"/>
    <cellStyle name="Обычный 10 5 3 4 2 2" xfId="34053"/>
    <cellStyle name="Обычный 10 5 3 4 2 2 2" xfId="48873"/>
    <cellStyle name="Обычный 10 5 3 4 2 3" xfId="41582"/>
    <cellStyle name="Обычный 10 5 3 4 3" xfId="30399"/>
    <cellStyle name="Обычный 10 5 3 4 3 2" xfId="45222"/>
    <cellStyle name="Обычный 10 5 3 4 4" xfId="37896"/>
    <cellStyle name="Обычный 10 5 3 4 5" xfId="23084"/>
    <cellStyle name="Обычный 10 5 3 5" xfId="24901"/>
    <cellStyle name="Обычный 10 5 3 5 2" xfId="32212"/>
    <cellStyle name="Обычный 10 5 3 5 2 2" xfId="47035"/>
    <cellStyle name="Обычный 10 5 3 5 3" xfId="39796"/>
    <cellStyle name="Обычный 10 5 3 6" xfId="28558"/>
    <cellStyle name="Обычный 10 5 3 6 2" xfId="43395"/>
    <cellStyle name="Обычный 10 5 3 7" xfId="35743"/>
    <cellStyle name="Обычный 10 5 3 8" xfId="21240"/>
    <cellStyle name="Обычный 10 5 4" xfId="17555"/>
    <cellStyle name="Обычный 10 5 4 2" xfId="18669"/>
    <cellStyle name="Обычный 10 5 4 2 2" xfId="20548"/>
    <cellStyle name="Обычный 10 5 4 2 2 2" xfId="27874"/>
    <cellStyle name="Обычный 10 5 4 2 2 2 2" xfId="35185"/>
    <cellStyle name="Обычный 10 5 4 2 2 2 2 2" xfId="50005"/>
    <cellStyle name="Обычный 10 5 4 2 2 2 3" xfId="42713"/>
    <cellStyle name="Обычный 10 5 4 2 2 3" xfId="31531"/>
    <cellStyle name="Обычный 10 5 4 2 2 3 2" xfId="46354"/>
    <cellStyle name="Обычный 10 5 4 2 2 4" xfId="39029"/>
    <cellStyle name="Обычный 10 5 4 2 2 5" xfId="24216"/>
    <cellStyle name="Обычный 10 5 4 2 3" xfId="26048"/>
    <cellStyle name="Обычный 10 5 4 2 3 2" xfId="33359"/>
    <cellStyle name="Обычный 10 5 4 2 3 2 2" xfId="48179"/>
    <cellStyle name="Обычный 10 5 4 2 3 3" xfId="40892"/>
    <cellStyle name="Обычный 10 5 4 2 4" xfId="29705"/>
    <cellStyle name="Обычный 10 5 4 2 4 2" xfId="44529"/>
    <cellStyle name="Обычный 10 5 4 2 5" xfId="37306"/>
    <cellStyle name="Обычный 10 5 4 2 6" xfId="22387"/>
    <cellStyle name="Обычный 10 5 4 3" xfId="19599"/>
    <cellStyle name="Обычный 10 5 4 3 2" xfId="26968"/>
    <cellStyle name="Обычный 10 5 4 3 2 2" xfId="34279"/>
    <cellStyle name="Обычный 10 5 4 3 2 2 2" xfId="49099"/>
    <cellStyle name="Обычный 10 5 4 3 2 3" xfId="41808"/>
    <cellStyle name="Обычный 10 5 4 3 3" xfId="30625"/>
    <cellStyle name="Обычный 10 5 4 3 3 2" xfId="45448"/>
    <cellStyle name="Обычный 10 5 4 3 4" xfId="38122"/>
    <cellStyle name="Обычный 10 5 4 3 5" xfId="23310"/>
    <cellStyle name="Обычный 10 5 4 4" xfId="25127"/>
    <cellStyle name="Обычный 10 5 4 4 2" xfId="32438"/>
    <cellStyle name="Обычный 10 5 4 4 2 2" xfId="47261"/>
    <cellStyle name="Обычный 10 5 4 4 3" xfId="40021"/>
    <cellStyle name="Обычный 10 5 4 5" xfId="28784"/>
    <cellStyle name="Обычный 10 5 4 5 2" xfId="43621"/>
    <cellStyle name="Обычный 10 5 4 6" xfId="36189"/>
    <cellStyle name="Обычный 10 5 4 7" xfId="21466"/>
    <cellStyle name="Обычный 10 5 5" xfId="18073"/>
    <cellStyle name="Обычный 10 5 5 2" xfId="20207"/>
    <cellStyle name="Обычный 10 5 5 2 2" xfId="27533"/>
    <cellStyle name="Обычный 10 5 5 2 2 2" xfId="34844"/>
    <cellStyle name="Обычный 10 5 5 2 2 2 2" xfId="49664"/>
    <cellStyle name="Обычный 10 5 5 2 2 3" xfId="42372"/>
    <cellStyle name="Обычный 10 5 5 2 3" xfId="31190"/>
    <cellStyle name="Обычный 10 5 5 2 3 2" xfId="46013"/>
    <cellStyle name="Обычный 10 5 5 2 4" xfId="38688"/>
    <cellStyle name="Обычный 10 5 5 2 5" xfId="23875"/>
    <cellStyle name="Обычный 10 5 5 3" xfId="25707"/>
    <cellStyle name="Обычный 10 5 5 3 2" xfId="33018"/>
    <cellStyle name="Обычный 10 5 5 3 2 2" xfId="47838"/>
    <cellStyle name="Обычный 10 5 5 3 3" xfId="40561"/>
    <cellStyle name="Обычный 10 5 5 4" xfId="29364"/>
    <cellStyle name="Обычный 10 5 5 4 2" xfId="44188"/>
    <cellStyle name="Обычный 10 5 5 5" xfId="36729"/>
    <cellStyle name="Обычный 10 5 5 6" xfId="22046"/>
    <cellStyle name="Обычный 10 5 6" xfId="18325"/>
    <cellStyle name="Обычный 10 5 6 2" xfId="26523"/>
    <cellStyle name="Обычный 10 5 6 2 2" xfId="33834"/>
    <cellStyle name="Обычный 10 5 6 2 2 2" xfId="48654"/>
    <cellStyle name="Обычный 10 5 6 2 3" xfId="41363"/>
    <cellStyle name="Обычный 10 5 6 3" xfId="30180"/>
    <cellStyle name="Обычный 10 5 6 3 2" xfId="45003"/>
    <cellStyle name="Обычный 10 5 6 4" xfId="36965"/>
    <cellStyle name="Обычный 10 5 6 5" xfId="22865"/>
    <cellStyle name="Обычный 10 5 7" xfId="19152"/>
    <cellStyle name="Обычный 10 5 7 2" xfId="31988"/>
    <cellStyle name="Обычный 10 5 7 2 2" xfId="46811"/>
    <cellStyle name="Обычный 10 5 7 3" xfId="37677"/>
    <cellStyle name="Обычный 10 5 7 4" xfId="24677"/>
    <cellStyle name="Обычный 10 5 8" xfId="28334"/>
    <cellStyle name="Обычный 10 5 8 2" xfId="43171"/>
    <cellStyle name="Обычный 10 5 8 3" xfId="36617"/>
    <cellStyle name="Обычный 10 5 9" xfId="35740"/>
    <cellStyle name="Обычный 10 6" xfId="17162"/>
    <cellStyle name="Обычный 10 6 2" xfId="17385"/>
    <cellStyle name="Обычный 10 6 2 2" xfId="17835"/>
    <cellStyle name="Обычный 10 6 2 2 2" xfId="18949"/>
    <cellStyle name="Обычный 10 6 2 2 2 2" xfId="20828"/>
    <cellStyle name="Обычный 10 6 2 2 2 2 2" xfId="28154"/>
    <cellStyle name="Обычный 10 6 2 2 2 2 2 2" xfId="35465"/>
    <cellStyle name="Обычный 10 6 2 2 2 2 2 2 2" xfId="50285"/>
    <cellStyle name="Обычный 10 6 2 2 2 2 2 3" xfId="42993"/>
    <cellStyle name="Обычный 10 6 2 2 2 2 3" xfId="31811"/>
    <cellStyle name="Обычный 10 6 2 2 2 2 3 2" xfId="46634"/>
    <cellStyle name="Обычный 10 6 2 2 2 2 4" xfId="39309"/>
    <cellStyle name="Обычный 10 6 2 2 2 2 5" xfId="24496"/>
    <cellStyle name="Обычный 10 6 2 2 2 3" xfId="26328"/>
    <cellStyle name="Обычный 10 6 2 2 2 3 2" xfId="33639"/>
    <cellStyle name="Обычный 10 6 2 2 2 3 2 2" xfId="48459"/>
    <cellStyle name="Обычный 10 6 2 2 2 3 3" xfId="41172"/>
    <cellStyle name="Обычный 10 6 2 2 2 4" xfId="29985"/>
    <cellStyle name="Обычный 10 6 2 2 2 4 2" xfId="44809"/>
    <cellStyle name="Обычный 10 6 2 2 2 5" xfId="37563"/>
    <cellStyle name="Обычный 10 6 2 2 2 6" xfId="22667"/>
    <cellStyle name="Обычный 10 6 2 2 3" xfId="19879"/>
    <cellStyle name="Обычный 10 6 2 2 3 2" xfId="27248"/>
    <cellStyle name="Обычный 10 6 2 2 3 2 2" xfId="34559"/>
    <cellStyle name="Обычный 10 6 2 2 3 2 2 2" xfId="49379"/>
    <cellStyle name="Обычный 10 6 2 2 3 2 3" xfId="42088"/>
    <cellStyle name="Обычный 10 6 2 2 3 3" xfId="30905"/>
    <cellStyle name="Обычный 10 6 2 2 3 3 2" xfId="45728"/>
    <cellStyle name="Обычный 10 6 2 2 3 4" xfId="38402"/>
    <cellStyle name="Обычный 10 6 2 2 3 5" xfId="23590"/>
    <cellStyle name="Обычный 10 6 2 2 4" xfId="25407"/>
    <cellStyle name="Обычный 10 6 2 2 4 2" xfId="32718"/>
    <cellStyle name="Обычный 10 6 2 2 4 2 2" xfId="47541"/>
    <cellStyle name="Обычный 10 6 2 2 4 3" xfId="40295"/>
    <cellStyle name="Обычный 10 6 2 2 5" xfId="29064"/>
    <cellStyle name="Обычный 10 6 2 2 5 2" xfId="43901"/>
    <cellStyle name="Обычный 10 6 2 2 6" xfId="36194"/>
    <cellStyle name="Обычный 10 6 2 2 7" xfId="21746"/>
    <cellStyle name="Обычный 10 6 2 3" xfId="18330"/>
    <cellStyle name="Обычный 10 6 2 3 2" xfId="20212"/>
    <cellStyle name="Обычный 10 6 2 3 2 2" xfId="27538"/>
    <cellStyle name="Обычный 10 6 2 3 2 2 2" xfId="34849"/>
    <cellStyle name="Обычный 10 6 2 3 2 2 2 2" xfId="49669"/>
    <cellStyle name="Обычный 10 6 2 3 2 2 3" xfId="42377"/>
    <cellStyle name="Обычный 10 6 2 3 2 3" xfId="31195"/>
    <cellStyle name="Обычный 10 6 2 3 2 3 2" xfId="46018"/>
    <cellStyle name="Обычный 10 6 2 3 2 4" xfId="38693"/>
    <cellStyle name="Обычный 10 6 2 3 2 5" xfId="23880"/>
    <cellStyle name="Обычный 10 6 2 3 3" xfId="25712"/>
    <cellStyle name="Обычный 10 6 2 3 3 2" xfId="33023"/>
    <cellStyle name="Обычный 10 6 2 3 3 2 2" xfId="47843"/>
    <cellStyle name="Обычный 10 6 2 3 3 3" xfId="40566"/>
    <cellStyle name="Обычный 10 6 2 3 4" xfId="29369"/>
    <cellStyle name="Обычный 10 6 2 3 4 2" xfId="44193"/>
    <cellStyle name="Обычный 10 6 2 3 5" xfId="36970"/>
    <cellStyle name="Обычный 10 6 2 3 6" xfId="22051"/>
    <cellStyle name="Обычный 10 6 2 4" xfId="19428"/>
    <cellStyle name="Обычный 10 6 2 4 2" xfId="26798"/>
    <cellStyle name="Обычный 10 6 2 4 2 2" xfId="34109"/>
    <cellStyle name="Обычный 10 6 2 4 2 2 2" xfId="48929"/>
    <cellStyle name="Обычный 10 6 2 4 2 3" xfId="41638"/>
    <cellStyle name="Обычный 10 6 2 4 3" xfId="30455"/>
    <cellStyle name="Обычный 10 6 2 4 3 2" xfId="45278"/>
    <cellStyle name="Обычный 10 6 2 4 4" xfId="37952"/>
    <cellStyle name="Обычный 10 6 2 4 5" xfId="23140"/>
    <cellStyle name="Обычный 10 6 2 5" xfId="24957"/>
    <cellStyle name="Обычный 10 6 2 5 2" xfId="32268"/>
    <cellStyle name="Обычный 10 6 2 5 2 2" xfId="47091"/>
    <cellStyle name="Обычный 10 6 2 5 3" xfId="39852"/>
    <cellStyle name="Обычный 10 6 2 6" xfId="28614"/>
    <cellStyle name="Обычный 10 6 2 6 2" xfId="43451"/>
    <cellStyle name="Обычный 10 6 2 7" xfId="35745"/>
    <cellStyle name="Обычный 10 6 2 8" xfId="21296"/>
    <cellStyle name="Обычный 10 6 3" xfId="17611"/>
    <cellStyle name="Обычный 10 6 3 2" xfId="18725"/>
    <cellStyle name="Обычный 10 6 3 2 2" xfId="20604"/>
    <cellStyle name="Обычный 10 6 3 2 2 2" xfId="27930"/>
    <cellStyle name="Обычный 10 6 3 2 2 2 2" xfId="35241"/>
    <cellStyle name="Обычный 10 6 3 2 2 2 2 2" xfId="50061"/>
    <cellStyle name="Обычный 10 6 3 2 2 2 3" xfId="42769"/>
    <cellStyle name="Обычный 10 6 3 2 2 3" xfId="31587"/>
    <cellStyle name="Обычный 10 6 3 2 2 3 2" xfId="46410"/>
    <cellStyle name="Обычный 10 6 3 2 2 4" xfId="39085"/>
    <cellStyle name="Обычный 10 6 3 2 2 5" xfId="24272"/>
    <cellStyle name="Обычный 10 6 3 2 3" xfId="26104"/>
    <cellStyle name="Обычный 10 6 3 2 3 2" xfId="33415"/>
    <cellStyle name="Обычный 10 6 3 2 3 2 2" xfId="48235"/>
    <cellStyle name="Обычный 10 6 3 2 3 3" xfId="40948"/>
    <cellStyle name="Обычный 10 6 3 2 4" xfId="29761"/>
    <cellStyle name="Обычный 10 6 3 2 4 2" xfId="44585"/>
    <cellStyle name="Обычный 10 6 3 2 5" xfId="37362"/>
    <cellStyle name="Обычный 10 6 3 2 6" xfId="22443"/>
    <cellStyle name="Обычный 10 6 3 3" xfId="19655"/>
    <cellStyle name="Обычный 10 6 3 3 2" xfId="27024"/>
    <cellStyle name="Обычный 10 6 3 3 2 2" xfId="34335"/>
    <cellStyle name="Обычный 10 6 3 3 2 2 2" xfId="49155"/>
    <cellStyle name="Обычный 10 6 3 3 2 3" xfId="41864"/>
    <cellStyle name="Обычный 10 6 3 3 3" xfId="30681"/>
    <cellStyle name="Обычный 10 6 3 3 3 2" xfId="45504"/>
    <cellStyle name="Обычный 10 6 3 3 4" xfId="38178"/>
    <cellStyle name="Обычный 10 6 3 3 5" xfId="23366"/>
    <cellStyle name="Обычный 10 6 3 4" xfId="25183"/>
    <cellStyle name="Обычный 10 6 3 4 2" xfId="32494"/>
    <cellStyle name="Обычный 10 6 3 4 2 2" xfId="47317"/>
    <cellStyle name="Обычный 10 6 3 4 3" xfId="40075"/>
    <cellStyle name="Обычный 10 6 3 5" xfId="28840"/>
    <cellStyle name="Обычный 10 6 3 5 2" xfId="43677"/>
    <cellStyle name="Обычный 10 6 3 6" xfId="36193"/>
    <cellStyle name="Обычный 10 6 3 7" xfId="21522"/>
    <cellStyle name="Обычный 10 6 4" xfId="18329"/>
    <cellStyle name="Обычный 10 6 4 2" xfId="20211"/>
    <cellStyle name="Обычный 10 6 4 2 2" xfId="27537"/>
    <cellStyle name="Обычный 10 6 4 2 2 2" xfId="34848"/>
    <cellStyle name="Обычный 10 6 4 2 2 2 2" xfId="49668"/>
    <cellStyle name="Обычный 10 6 4 2 2 3" xfId="42376"/>
    <cellStyle name="Обычный 10 6 4 2 3" xfId="31194"/>
    <cellStyle name="Обычный 10 6 4 2 3 2" xfId="46017"/>
    <cellStyle name="Обычный 10 6 4 2 4" xfId="38692"/>
    <cellStyle name="Обычный 10 6 4 2 5" xfId="23879"/>
    <cellStyle name="Обычный 10 6 4 3" xfId="25711"/>
    <cellStyle name="Обычный 10 6 4 3 2" xfId="33022"/>
    <cellStyle name="Обычный 10 6 4 3 2 2" xfId="47842"/>
    <cellStyle name="Обычный 10 6 4 3 3" xfId="40565"/>
    <cellStyle name="Обычный 10 6 4 4" xfId="29368"/>
    <cellStyle name="Обычный 10 6 4 4 2" xfId="44192"/>
    <cellStyle name="Обычный 10 6 4 5" xfId="36969"/>
    <cellStyle name="Обычный 10 6 4 6" xfId="22050"/>
    <cellStyle name="Обычный 10 6 5" xfId="19206"/>
    <cellStyle name="Обычный 10 6 5 2" xfId="26576"/>
    <cellStyle name="Обычный 10 6 5 2 2" xfId="33887"/>
    <cellStyle name="Обычный 10 6 5 2 2 2" xfId="48707"/>
    <cellStyle name="Обычный 10 6 5 2 3" xfId="41416"/>
    <cellStyle name="Обычный 10 6 5 3" xfId="30233"/>
    <cellStyle name="Обычный 10 6 5 3 2" xfId="45056"/>
    <cellStyle name="Обычный 10 6 5 4" xfId="37730"/>
    <cellStyle name="Обычный 10 6 5 5" xfId="22918"/>
    <cellStyle name="Обычный 10 6 6" xfId="24733"/>
    <cellStyle name="Обычный 10 6 6 2" xfId="32044"/>
    <cellStyle name="Обычный 10 6 6 2 2" xfId="46867"/>
    <cellStyle name="Обычный 10 6 6 3" xfId="39637"/>
    <cellStyle name="Обычный 10 6 7" xfId="28390"/>
    <cellStyle name="Обычный 10 6 7 2" xfId="43227"/>
    <cellStyle name="Обычный 10 6 8" xfId="35744"/>
    <cellStyle name="Обычный 10 6 9" xfId="21072"/>
    <cellStyle name="Обычный 10 7" xfId="17264"/>
    <cellStyle name="Обычный 10 7 2" xfId="17723"/>
    <cellStyle name="Обычный 10 7 2 2" xfId="18837"/>
    <cellStyle name="Обычный 10 7 2 2 2" xfId="20716"/>
    <cellStyle name="Обычный 10 7 2 2 2 2" xfId="28042"/>
    <cellStyle name="Обычный 10 7 2 2 2 2 2" xfId="35353"/>
    <cellStyle name="Обычный 10 7 2 2 2 2 2 2" xfId="50173"/>
    <cellStyle name="Обычный 10 7 2 2 2 2 3" xfId="42881"/>
    <cellStyle name="Обычный 10 7 2 2 2 3" xfId="31699"/>
    <cellStyle name="Обычный 10 7 2 2 2 3 2" xfId="46522"/>
    <cellStyle name="Обычный 10 7 2 2 2 4" xfId="39197"/>
    <cellStyle name="Обычный 10 7 2 2 2 5" xfId="24384"/>
    <cellStyle name="Обычный 10 7 2 2 3" xfId="26216"/>
    <cellStyle name="Обычный 10 7 2 2 3 2" xfId="33527"/>
    <cellStyle name="Обычный 10 7 2 2 3 2 2" xfId="48347"/>
    <cellStyle name="Обычный 10 7 2 2 3 3" xfId="41060"/>
    <cellStyle name="Обычный 10 7 2 2 4" xfId="29873"/>
    <cellStyle name="Обычный 10 7 2 2 4 2" xfId="44697"/>
    <cellStyle name="Обычный 10 7 2 2 5" xfId="37473"/>
    <cellStyle name="Обычный 10 7 2 2 6" xfId="22555"/>
    <cellStyle name="Обычный 10 7 2 3" xfId="19767"/>
    <cellStyle name="Обычный 10 7 2 3 2" xfId="27136"/>
    <cellStyle name="Обычный 10 7 2 3 2 2" xfId="34447"/>
    <cellStyle name="Обычный 10 7 2 3 2 2 2" xfId="49267"/>
    <cellStyle name="Обычный 10 7 2 3 2 3" xfId="41976"/>
    <cellStyle name="Обычный 10 7 2 3 3" xfId="30793"/>
    <cellStyle name="Обычный 10 7 2 3 3 2" xfId="45616"/>
    <cellStyle name="Обычный 10 7 2 3 4" xfId="38290"/>
    <cellStyle name="Обычный 10 7 2 3 5" xfId="23478"/>
    <cellStyle name="Обычный 10 7 2 4" xfId="25295"/>
    <cellStyle name="Обычный 10 7 2 4 2" xfId="32606"/>
    <cellStyle name="Обычный 10 7 2 4 2 2" xfId="47429"/>
    <cellStyle name="Обычный 10 7 2 4 3" xfId="40187"/>
    <cellStyle name="Обычный 10 7 2 5" xfId="28952"/>
    <cellStyle name="Обычный 10 7 2 5 2" xfId="43789"/>
    <cellStyle name="Обычный 10 7 2 6" xfId="36195"/>
    <cellStyle name="Обычный 10 7 2 7" xfId="21634"/>
    <cellStyle name="Обычный 10 7 3" xfId="18331"/>
    <cellStyle name="Обычный 10 7 3 2" xfId="20213"/>
    <cellStyle name="Обычный 10 7 3 2 2" xfId="27539"/>
    <cellStyle name="Обычный 10 7 3 2 2 2" xfId="34850"/>
    <cellStyle name="Обычный 10 7 3 2 2 2 2" xfId="49670"/>
    <cellStyle name="Обычный 10 7 3 2 2 3" xfId="42378"/>
    <cellStyle name="Обычный 10 7 3 2 3" xfId="31196"/>
    <cellStyle name="Обычный 10 7 3 2 3 2" xfId="46019"/>
    <cellStyle name="Обычный 10 7 3 2 4" xfId="38694"/>
    <cellStyle name="Обычный 10 7 3 2 5" xfId="23881"/>
    <cellStyle name="Обычный 10 7 3 3" xfId="25713"/>
    <cellStyle name="Обычный 10 7 3 3 2" xfId="33024"/>
    <cellStyle name="Обычный 10 7 3 3 2 2" xfId="47844"/>
    <cellStyle name="Обычный 10 7 3 3 3" xfId="40567"/>
    <cellStyle name="Обычный 10 7 3 4" xfId="29370"/>
    <cellStyle name="Обычный 10 7 3 4 2" xfId="44194"/>
    <cellStyle name="Обычный 10 7 3 5" xfId="36971"/>
    <cellStyle name="Обычный 10 7 3 6" xfId="22052"/>
    <cellStyle name="Обычный 10 7 4" xfId="19316"/>
    <cellStyle name="Обычный 10 7 4 2" xfId="26686"/>
    <cellStyle name="Обычный 10 7 4 2 2" xfId="33997"/>
    <cellStyle name="Обычный 10 7 4 2 2 2" xfId="48817"/>
    <cellStyle name="Обычный 10 7 4 2 3" xfId="41526"/>
    <cellStyle name="Обычный 10 7 4 3" xfId="30343"/>
    <cellStyle name="Обычный 10 7 4 3 2" xfId="45166"/>
    <cellStyle name="Обычный 10 7 4 4" xfId="37840"/>
    <cellStyle name="Обычный 10 7 4 5" xfId="23028"/>
    <cellStyle name="Обычный 10 7 5" xfId="24845"/>
    <cellStyle name="Обычный 10 7 5 2" xfId="32156"/>
    <cellStyle name="Обычный 10 7 5 2 2" xfId="46979"/>
    <cellStyle name="Обычный 10 7 5 3" xfId="39744"/>
    <cellStyle name="Обычный 10 7 6" xfId="28502"/>
    <cellStyle name="Обычный 10 7 6 2" xfId="43339"/>
    <cellStyle name="Обычный 10 7 7" xfId="35746"/>
    <cellStyle name="Обычный 10 7 8" xfId="21184"/>
    <cellStyle name="Обычный 10 8" xfId="17499"/>
    <cellStyle name="Обычный 10 8 2" xfId="18613"/>
    <cellStyle name="Обычный 10 8 2 2" xfId="20492"/>
    <cellStyle name="Обычный 10 8 2 2 2" xfId="27818"/>
    <cellStyle name="Обычный 10 8 2 2 2 2" xfId="35129"/>
    <cellStyle name="Обычный 10 8 2 2 2 2 2" xfId="49949"/>
    <cellStyle name="Обычный 10 8 2 2 2 3" xfId="42657"/>
    <cellStyle name="Обычный 10 8 2 2 3" xfId="31475"/>
    <cellStyle name="Обычный 10 8 2 2 3 2" xfId="46298"/>
    <cellStyle name="Обычный 10 8 2 2 4" xfId="38973"/>
    <cellStyle name="Обычный 10 8 2 2 5" xfId="24160"/>
    <cellStyle name="Обычный 10 8 2 3" xfId="25992"/>
    <cellStyle name="Обычный 10 8 2 3 2" xfId="33303"/>
    <cellStyle name="Обычный 10 8 2 3 2 2" xfId="48123"/>
    <cellStyle name="Обычный 10 8 2 3 3" xfId="40836"/>
    <cellStyle name="Обычный 10 8 2 4" xfId="29649"/>
    <cellStyle name="Обычный 10 8 2 4 2" xfId="44473"/>
    <cellStyle name="Обычный 10 8 2 5" xfId="37250"/>
    <cellStyle name="Обычный 10 8 2 6" xfId="22331"/>
    <cellStyle name="Обычный 10 8 3" xfId="19543"/>
    <cellStyle name="Обычный 10 8 3 2" xfId="26912"/>
    <cellStyle name="Обычный 10 8 3 2 2" xfId="34223"/>
    <cellStyle name="Обычный 10 8 3 2 2 2" xfId="49043"/>
    <cellStyle name="Обычный 10 8 3 2 3" xfId="41752"/>
    <cellStyle name="Обычный 10 8 3 3" xfId="30569"/>
    <cellStyle name="Обычный 10 8 3 3 2" xfId="45392"/>
    <cellStyle name="Обычный 10 8 3 4" xfId="38066"/>
    <cellStyle name="Обычный 10 8 3 5" xfId="23254"/>
    <cellStyle name="Обычный 10 8 4" xfId="25071"/>
    <cellStyle name="Обычный 10 8 4 2" xfId="32382"/>
    <cellStyle name="Обычный 10 8 4 2 2" xfId="47205"/>
    <cellStyle name="Обычный 10 8 4 3" xfId="39966"/>
    <cellStyle name="Обычный 10 8 5" xfId="28728"/>
    <cellStyle name="Обычный 10 8 5 2" xfId="43565"/>
    <cellStyle name="Обычный 10 8 6" xfId="36164"/>
    <cellStyle name="Обычный 10 8 7" xfId="21410"/>
    <cellStyle name="Обычный 10 9" xfId="17988"/>
    <cellStyle name="Обычный 10 9 2" xfId="18300"/>
    <cellStyle name="Обычный 10 9 2 2" xfId="27508"/>
    <cellStyle name="Обычный 10 9 2 2 2" xfId="34819"/>
    <cellStyle name="Обычный 10 9 2 2 2 2" xfId="49639"/>
    <cellStyle name="Обычный 10 9 2 2 3" xfId="42347"/>
    <cellStyle name="Обычный 10 9 2 3" xfId="31165"/>
    <cellStyle name="Обычный 10 9 2 3 2" xfId="45988"/>
    <cellStyle name="Обычный 10 9 2 4" xfId="36940"/>
    <cellStyle name="Обычный 10 9 2 5" xfId="23850"/>
    <cellStyle name="Обычный 10 9 3" xfId="20182"/>
    <cellStyle name="Обычный 10 9 3 2" xfId="32993"/>
    <cellStyle name="Обычный 10 9 3 2 2" xfId="47813"/>
    <cellStyle name="Обычный 10 9 3 3" xfId="38663"/>
    <cellStyle name="Обычный 10 9 3 4" xfId="25682"/>
    <cellStyle name="Обычный 10 9 4" xfId="29339"/>
    <cellStyle name="Обычный 10 9 4 2" xfId="44163"/>
    <cellStyle name="Обычный 10 9 5" xfId="36694"/>
    <cellStyle name="Обычный 10 9 6" xfId="22021"/>
    <cellStyle name="Обычный 11" xfId="1069"/>
    <cellStyle name="Обычный 11 2" xfId="4776"/>
    <cellStyle name="Обычный 11 2 2" xfId="16863"/>
    <cellStyle name="Обычный 11 3" xfId="17228"/>
    <cellStyle name="Обычный 11 3 2" xfId="17273"/>
    <cellStyle name="Обычный 11 3 3" xfId="36652"/>
    <cellStyle name="Обычный 11 4" xfId="17170"/>
    <cellStyle name="Обычный 11 4 2" xfId="20007"/>
    <cellStyle name="Обычный 11 4 3" xfId="36639"/>
    <cellStyle name="Обычный 11 5" xfId="17991"/>
    <cellStyle name="Обычный 11 5 2" xfId="19107"/>
    <cellStyle name="Обычный 11 5 3" xfId="36696"/>
    <cellStyle name="Обычный 11 6" xfId="36527"/>
    <cellStyle name="Обычный 11 7" xfId="14359"/>
    <cellStyle name="Обычный 12" xfId="4148"/>
    <cellStyle name="Обычный 12 10" xfId="24628"/>
    <cellStyle name="Обычный 12 10 2" xfId="31939"/>
    <cellStyle name="Обычный 12 10 2 2" xfId="46762"/>
    <cellStyle name="Обычный 12 10 3" xfId="39550"/>
    <cellStyle name="Обычный 12 10 4" xfId="36528"/>
    <cellStyle name="Обычный 12 11" xfId="28285"/>
    <cellStyle name="Обычный 12 11 2" xfId="43122"/>
    <cellStyle name="Обычный 12 12" xfId="35588"/>
    <cellStyle name="Обычный 12 13" xfId="20967"/>
    <cellStyle name="Обычный 12 14" xfId="14360"/>
    <cellStyle name="Обычный 12 2" xfId="7850"/>
    <cellStyle name="Обычный 12 2 10" xfId="28313"/>
    <cellStyle name="Обычный 12 2 10 2" xfId="43150"/>
    <cellStyle name="Обычный 12 2 11" xfId="35747"/>
    <cellStyle name="Обычный 12 2 12" xfId="20995"/>
    <cellStyle name="Обычный 12 2 13" xfId="16864"/>
    <cellStyle name="Обычный 12 2 2" xfId="17240"/>
    <cellStyle name="Обычный 12 2 2 10" xfId="21051"/>
    <cellStyle name="Обычный 12 2 2 2" xfId="17476"/>
    <cellStyle name="Обычный 12 2 2 2 2" xfId="17926"/>
    <cellStyle name="Обычный 12 2 2 2 2 2" xfId="19040"/>
    <cellStyle name="Обычный 12 2 2 2 2 2 2" xfId="20919"/>
    <cellStyle name="Обычный 12 2 2 2 2 2 2 2" xfId="24587"/>
    <cellStyle name="Обычный 12 2 2 2 2 2 2 2 2" xfId="28245"/>
    <cellStyle name="Обычный 12 2 2 2 2 2 2 2 2 2" xfId="35556"/>
    <cellStyle name="Обычный 12 2 2 2 2 2 2 2 2 2 2" xfId="50376"/>
    <cellStyle name="Обычный 12 2 2 2 2 2 2 2 2 3" xfId="43084"/>
    <cellStyle name="Обычный 12 2 2 2 2 2 2 2 3" xfId="31902"/>
    <cellStyle name="Обычный 12 2 2 2 2 2 2 2 3 2" xfId="46725"/>
    <cellStyle name="Обычный 12 2 2 2 2 2 2 2 4" xfId="39519"/>
    <cellStyle name="Обычный 12 2 2 2 2 2 2 3" xfId="26419"/>
    <cellStyle name="Обычный 12 2 2 2 2 2 2 3 2" xfId="33730"/>
    <cellStyle name="Обычный 12 2 2 2 2 2 2 3 2 2" xfId="48550"/>
    <cellStyle name="Обычный 12 2 2 2 2 2 2 3 3" xfId="41263"/>
    <cellStyle name="Обычный 12 2 2 2 2 2 2 4" xfId="30076"/>
    <cellStyle name="Обычный 12 2 2 2 2 2 2 4 2" xfId="44900"/>
    <cellStyle name="Обычный 12 2 2 2 2 2 2 5" xfId="39400"/>
    <cellStyle name="Обычный 12 2 2 2 2 2 2 6" xfId="22758"/>
    <cellStyle name="Обычный 12 2 2 2 2 2 3" xfId="19970"/>
    <cellStyle name="Обычный 12 2 2 2 2 2 3 2" xfId="27339"/>
    <cellStyle name="Обычный 12 2 2 2 2 2 3 2 2" xfId="34650"/>
    <cellStyle name="Обычный 12 2 2 2 2 2 3 2 2 2" xfId="49470"/>
    <cellStyle name="Обычный 12 2 2 2 2 2 3 2 3" xfId="42179"/>
    <cellStyle name="Обычный 12 2 2 2 2 2 3 3" xfId="30996"/>
    <cellStyle name="Обычный 12 2 2 2 2 2 3 3 2" xfId="45819"/>
    <cellStyle name="Обычный 12 2 2 2 2 2 3 4" xfId="38493"/>
    <cellStyle name="Обычный 12 2 2 2 2 2 3 5" xfId="23681"/>
    <cellStyle name="Обычный 12 2 2 2 2 2 4" xfId="25498"/>
    <cellStyle name="Обычный 12 2 2 2 2 2 4 2" xfId="32809"/>
    <cellStyle name="Обычный 12 2 2 2 2 2 4 2 2" xfId="47632"/>
    <cellStyle name="Обычный 12 2 2 2 2 2 4 3" xfId="40386"/>
    <cellStyle name="Обычный 12 2 2 2 2 2 5" xfId="29155"/>
    <cellStyle name="Обычный 12 2 2 2 2 2 5 2" xfId="43992"/>
    <cellStyle name="Обычный 12 2 2 2 2 2 6" xfId="36199"/>
    <cellStyle name="Обычный 12 2 2 2 2 2 7" xfId="21837"/>
    <cellStyle name="Обычный 12 2 2 2 2 3" xfId="18335"/>
    <cellStyle name="Обычный 12 2 2 2 2 3 2" xfId="20217"/>
    <cellStyle name="Обычный 12 2 2 2 2 3 2 2" xfId="27543"/>
    <cellStyle name="Обычный 12 2 2 2 2 3 2 2 2" xfId="34854"/>
    <cellStyle name="Обычный 12 2 2 2 2 3 2 2 2 2" xfId="49674"/>
    <cellStyle name="Обычный 12 2 2 2 2 3 2 2 3" xfId="42382"/>
    <cellStyle name="Обычный 12 2 2 2 2 3 2 3" xfId="31200"/>
    <cellStyle name="Обычный 12 2 2 2 2 3 2 3 2" xfId="46023"/>
    <cellStyle name="Обычный 12 2 2 2 2 3 2 4" xfId="38698"/>
    <cellStyle name="Обычный 12 2 2 2 2 3 2 5" xfId="23885"/>
    <cellStyle name="Обычный 12 2 2 2 2 3 3" xfId="25717"/>
    <cellStyle name="Обычный 12 2 2 2 2 3 3 2" xfId="33028"/>
    <cellStyle name="Обычный 12 2 2 2 2 3 3 2 2" xfId="47848"/>
    <cellStyle name="Обычный 12 2 2 2 2 3 3 3" xfId="40570"/>
    <cellStyle name="Обычный 12 2 2 2 2 3 4" xfId="29374"/>
    <cellStyle name="Обычный 12 2 2 2 2 3 4 2" xfId="44198"/>
    <cellStyle name="Обычный 12 2 2 2 2 3 5" xfId="36975"/>
    <cellStyle name="Обычный 12 2 2 2 2 3 6" xfId="22056"/>
    <cellStyle name="Обычный 12 2 2 2 2 4" xfId="19519"/>
    <cellStyle name="Обычный 12 2 2 2 2 4 2" xfId="26889"/>
    <cellStyle name="Обычный 12 2 2 2 2 4 2 2" xfId="34200"/>
    <cellStyle name="Обычный 12 2 2 2 2 4 2 2 2" xfId="49020"/>
    <cellStyle name="Обычный 12 2 2 2 2 4 2 3" xfId="41729"/>
    <cellStyle name="Обычный 12 2 2 2 2 4 3" xfId="30546"/>
    <cellStyle name="Обычный 12 2 2 2 2 4 3 2" xfId="45369"/>
    <cellStyle name="Обычный 12 2 2 2 2 4 4" xfId="38043"/>
    <cellStyle name="Обычный 12 2 2 2 2 4 5" xfId="23231"/>
    <cellStyle name="Обычный 12 2 2 2 2 5" xfId="25048"/>
    <cellStyle name="Обычный 12 2 2 2 2 5 2" xfId="32359"/>
    <cellStyle name="Обычный 12 2 2 2 2 5 2 2" xfId="47182"/>
    <cellStyle name="Обычный 12 2 2 2 2 5 3" xfId="39943"/>
    <cellStyle name="Обычный 12 2 2 2 2 6" xfId="28705"/>
    <cellStyle name="Обычный 12 2 2 2 2 6 2" xfId="43542"/>
    <cellStyle name="Обычный 12 2 2 2 2 7" xfId="35750"/>
    <cellStyle name="Обычный 12 2 2 2 2 8" xfId="21387"/>
    <cellStyle name="Обычный 12 2 2 2 3" xfId="17702"/>
    <cellStyle name="Обычный 12 2 2 2 3 2" xfId="18816"/>
    <cellStyle name="Обычный 12 2 2 2 3 2 2" xfId="20695"/>
    <cellStyle name="Обычный 12 2 2 2 3 2 2 2" xfId="28021"/>
    <cellStyle name="Обычный 12 2 2 2 3 2 2 2 2" xfId="35332"/>
    <cellStyle name="Обычный 12 2 2 2 3 2 2 2 2 2" xfId="50152"/>
    <cellStyle name="Обычный 12 2 2 2 3 2 2 2 3" xfId="42860"/>
    <cellStyle name="Обычный 12 2 2 2 3 2 2 3" xfId="31678"/>
    <cellStyle name="Обычный 12 2 2 2 3 2 2 3 2" xfId="46501"/>
    <cellStyle name="Обычный 12 2 2 2 3 2 2 4" xfId="39176"/>
    <cellStyle name="Обычный 12 2 2 2 3 2 2 5" xfId="24363"/>
    <cellStyle name="Обычный 12 2 2 2 3 2 3" xfId="26195"/>
    <cellStyle name="Обычный 12 2 2 2 3 2 3 2" xfId="33506"/>
    <cellStyle name="Обычный 12 2 2 2 3 2 3 2 2" xfId="48326"/>
    <cellStyle name="Обычный 12 2 2 2 3 2 3 3" xfId="41039"/>
    <cellStyle name="Обычный 12 2 2 2 3 2 4" xfId="29852"/>
    <cellStyle name="Обычный 12 2 2 2 3 2 4 2" xfId="44676"/>
    <cellStyle name="Обычный 12 2 2 2 3 2 5" xfId="37453"/>
    <cellStyle name="Обычный 12 2 2 2 3 2 6" xfId="22534"/>
    <cellStyle name="Обычный 12 2 2 2 3 3" xfId="19746"/>
    <cellStyle name="Обычный 12 2 2 2 3 3 2" xfId="27115"/>
    <cellStyle name="Обычный 12 2 2 2 3 3 2 2" xfId="34426"/>
    <cellStyle name="Обычный 12 2 2 2 3 3 2 2 2" xfId="49246"/>
    <cellStyle name="Обычный 12 2 2 2 3 3 2 3" xfId="41955"/>
    <cellStyle name="Обычный 12 2 2 2 3 3 3" xfId="30772"/>
    <cellStyle name="Обычный 12 2 2 2 3 3 3 2" xfId="45595"/>
    <cellStyle name="Обычный 12 2 2 2 3 3 4" xfId="38269"/>
    <cellStyle name="Обычный 12 2 2 2 3 3 5" xfId="23457"/>
    <cellStyle name="Обычный 12 2 2 2 3 4" xfId="25274"/>
    <cellStyle name="Обычный 12 2 2 2 3 4 2" xfId="32585"/>
    <cellStyle name="Обычный 12 2 2 2 3 4 2 2" xfId="47408"/>
    <cellStyle name="Обычный 12 2 2 2 3 4 3" xfId="40166"/>
    <cellStyle name="Обычный 12 2 2 2 3 5" xfId="28931"/>
    <cellStyle name="Обычный 12 2 2 2 3 5 2" xfId="43768"/>
    <cellStyle name="Обычный 12 2 2 2 3 6" xfId="36198"/>
    <cellStyle name="Обычный 12 2 2 2 3 7" xfId="21613"/>
    <cellStyle name="Обычный 12 2 2 2 4" xfId="18334"/>
    <cellStyle name="Обычный 12 2 2 2 4 2" xfId="20216"/>
    <cellStyle name="Обычный 12 2 2 2 4 2 2" xfId="27542"/>
    <cellStyle name="Обычный 12 2 2 2 4 2 2 2" xfId="34853"/>
    <cellStyle name="Обычный 12 2 2 2 4 2 2 2 2" xfId="49673"/>
    <cellStyle name="Обычный 12 2 2 2 4 2 2 3" xfId="42381"/>
    <cellStyle name="Обычный 12 2 2 2 4 2 3" xfId="31199"/>
    <cellStyle name="Обычный 12 2 2 2 4 2 3 2" xfId="46022"/>
    <cellStyle name="Обычный 12 2 2 2 4 2 4" xfId="38697"/>
    <cellStyle name="Обычный 12 2 2 2 4 2 5" xfId="23884"/>
    <cellStyle name="Обычный 12 2 2 2 4 3" xfId="25716"/>
    <cellStyle name="Обычный 12 2 2 2 4 3 2" xfId="33027"/>
    <cellStyle name="Обычный 12 2 2 2 4 3 2 2" xfId="47847"/>
    <cellStyle name="Обычный 12 2 2 2 4 3 3" xfId="40569"/>
    <cellStyle name="Обычный 12 2 2 2 4 4" xfId="29373"/>
    <cellStyle name="Обычный 12 2 2 2 4 4 2" xfId="44197"/>
    <cellStyle name="Обычный 12 2 2 2 4 5" xfId="36974"/>
    <cellStyle name="Обычный 12 2 2 2 4 6" xfId="22055"/>
    <cellStyle name="Обычный 12 2 2 2 5" xfId="19295"/>
    <cellStyle name="Обычный 12 2 2 2 5 2" xfId="26665"/>
    <cellStyle name="Обычный 12 2 2 2 5 2 2" xfId="33976"/>
    <cellStyle name="Обычный 12 2 2 2 5 2 2 2" xfId="48796"/>
    <cellStyle name="Обычный 12 2 2 2 5 2 3" xfId="41505"/>
    <cellStyle name="Обычный 12 2 2 2 5 3" xfId="30322"/>
    <cellStyle name="Обычный 12 2 2 2 5 3 2" xfId="45145"/>
    <cellStyle name="Обычный 12 2 2 2 5 4" xfId="37819"/>
    <cellStyle name="Обычный 12 2 2 2 5 5" xfId="23007"/>
    <cellStyle name="Обычный 12 2 2 2 6" xfId="24824"/>
    <cellStyle name="Обычный 12 2 2 2 6 2" xfId="32135"/>
    <cellStyle name="Обычный 12 2 2 2 6 2 2" xfId="46958"/>
    <cellStyle name="Обычный 12 2 2 2 6 3" xfId="39723"/>
    <cellStyle name="Обычный 12 2 2 2 7" xfId="28481"/>
    <cellStyle name="Обычный 12 2 2 2 7 2" xfId="43318"/>
    <cellStyle name="Обычный 12 2 2 2 8" xfId="35749"/>
    <cellStyle name="Обычный 12 2 2 2 9" xfId="21163"/>
    <cellStyle name="Обычный 12 2 2 3" xfId="17361"/>
    <cellStyle name="Обычный 12 2 2 3 2" xfId="17814"/>
    <cellStyle name="Обычный 12 2 2 3 2 2" xfId="18928"/>
    <cellStyle name="Обычный 12 2 2 3 2 2 2" xfId="20807"/>
    <cellStyle name="Обычный 12 2 2 3 2 2 2 2" xfId="28133"/>
    <cellStyle name="Обычный 12 2 2 3 2 2 2 2 2" xfId="35444"/>
    <cellStyle name="Обычный 12 2 2 3 2 2 2 2 2 2" xfId="50264"/>
    <cellStyle name="Обычный 12 2 2 3 2 2 2 2 3" xfId="42972"/>
    <cellStyle name="Обычный 12 2 2 3 2 2 2 3" xfId="31790"/>
    <cellStyle name="Обычный 12 2 2 3 2 2 2 3 2" xfId="46613"/>
    <cellStyle name="Обычный 12 2 2 3 2 2 2 4" xfId="39288"/>
    <cellStyle name="Обычный 12 2 2 3 2 2 2 5" xfId="24475"/>
    <cellStyle name="Обычный 12 2 2 3 2 2 3" xfId="26307"/>
    <cellStyle name="Обычный 12 2 2 3 2 2 3 2" xfId="33618"/>
    <cellStyle name="Обычный 12 2 2 3 2 2 3 2 2" xfId="48438"/>
    <cellStyle name="Обычный 12 2 2 3 2 2 3 3" xfId="41151"/>
    <cellStyle name="Обычный 12 2 2 3 2 2 4" xfId="29964"/>
    <cellStyle name="Обычный 12 2 2 3 2 2 4 2" xfId="44788"/>
    <cellStyle name="Обычный 12 2 2 3 2 2 5" xfId="37555"/>
    <cellStyle name="Обычный 12 2 2 3 2 2 6" xfId="22646"/>
    <cellStyle name="Обычный 12 2 2 3 2 3" xfId="19858"/>
    <cellStyle name="Обычный 12 2 2 3 2 3 2" xfId="27227"/>
    <cellStyle name="Обычный 12 2 2 3 2 3 2 2" xfId="34538"/>
    <cellStyle name="Обычный 12 2 2 3 2 3 2 2 2" xfId="49358"/>
    <cellStyle name="Обычный 12 2 2 3 2 3 2 3" xfId="42067"/>
    <cellStyle name="Обычный 12 2 2 3 2 3 3" xfId="30884"/>
    <cellStyle name="Обычный 12 2 2 3 2 3 3 2" xfId="45707"/>
    <cellStyle name="Обычный 12 2 2 3 2 3 4" xfId="38381"/>
    <cellStyle name="Обычный 12 2 2 3 2 3 5" xfId="23569"/>
    <cellStyle name="Обычный 12 2 2 3 2 4" xfId="25386"/>
    <cellStyle name="Обычный 12 2 2 3 2 4 2" xfId="32697"/>
    <cellStyle name="Обычный 12 2 2 3 2 4 2 2" xfId="47520"/>
    <cellStyle name="Обычный 12 2 2 3 2 4 3" xfId="40274"/>
    <cellStyle name="Обычный 12 2 2 3 2 5" xfId="29043"/>
    <cellStyle name="Обычный 12 2 2 3 2 5 2" xfId="43880"/>
    <cellStyle name="Обычный 12 2 2 3 2 6" xfId="36200"/>
    <cellStyle name="Обычный 12 2 2 3 2 7" xfId="21725"/>
    <cellStyle name="Обычный 12 2 2 3 3" xfId="18336"/>
    <cellStyle name="Обычный 12 2 2 3 3 2" xfId="20218"/>
    <cellStyle name="Обычный 12 2 2 3 3 2 2" xfId="27544"/>
    <cellStyle name="Обычный 12 2 2 3 3 2 2 2" xfId="34855"/>
    <cellStyle name="Обычный 12 2 2 3 3 2 2 2 2" xfId="49675"/>
    <cellStyle name="Обычный 12 2 2 3 3 2 2 3" xfId="42383"/>
    <cellStyle name="Обычный 12 2 2 3 3 2 3" xfId="31201"/>
    <cellStyle name="Обычный 12 2 2 3 3 2 3 2" xfId="46024"/>
    <cellStyle name="Обычный 12 2 2 3 3 2 4" xfId="38699"/>
    <cellStyle name="Обычный 12 2 2 3 3 2 5" xfId="23886"/>
    <cellStyle name="Обычный 12 2 2 3 3 3" xfId="25718"/>
    <cellStyle name="Обычный 12 2 2 3 3 3 2" xfId="33029"/>
    <cellStyle name="Обычный 12 2 2 3 3 3 2 2" xfId="47849"/>
    <cellStyle name="Обычный 12 2 2 3 3 3 3" xfId="40571"/>
    <cellStyle name="Обычный 12 2 2 3 3 4" xfId="29375"/>
    <cellStyle name="Обычный 12 2 2 3 3 4 2" xfId="44199"/>
    <cellStyle name="Обычный 12 2 2 3 3 5" xfId="36976"/>
    <cellStyle name="Обычный 12 2 2 3 3 6" xfId="22057"/>
    <cellStyle name="Обычный 12 2 2 3 4" xfId="19407"/>
    <cellStyle name="Обычный 12 2 2 3 4 2" xfId="26777"/>
    <cellStyle name="Обычный 12 2 2 3 4 2 2" xfId="34088"/>
    <cellStyle name="Обычный 12 2 2 3 4 2 2 2" xfId="48908"/>
    <cellStyle name="Обычный 12 2 2 3 4 2 3" xfId="41617"/>
    <cellStyle name="Обычный 12 2 2 3 4 3" xfId="30434"/>
    <cellStyle name="Обычный 12 2 2 3 4 3 2" xfId="45257"/>
    <cellStyle name="Обычный 12 2 2 3 4 4" xfId="37931"/>
    <cellStyle name="Обычный 12 2 2 3 4 5" xfId="23119"/>
    <cellStyle name="Обычный 12 2 2 3 5" xfId="24936"/>
    <cellStyle name="Обычный 12 2 2 3 5 2" xfId="32247"/>
    <cellStyle name="Обычный 12 2 2 3 5 2 2" xfId="47070"/>
    <cellStyle name="Обычный 12 2 2 3 5 3" xfId="39831"/>
    <cellStyle name="Обычный 12 2 2 3 6" xfId="28593"/>
    <cellStyle name="Обычный 12 2 2 3 6 2" xfId="43430"/>
    <cellStyle name="Обычный 12 2 2 3 7" xfId="35751"/>
    <cellStyle name="Обычный 12 2 2 3 8" xfId="21275"/>
    <cellStyle name="Обычный 12 2 2 4" xfId="17590"/>
    <cellStyle name="Обычный 12 2 2 4 2" xfId="18704"/>
    <cellStyle name="Обычный 12 2 2 4 2 2" xfId="20583"/>
    <cellStyle name="Обычный 12 2 2 4 2 2 2" xfId="27909"/>
    <cellStyle name="Обычный 12 2 2 4 2 2 2 2" xfId="35220"/>
    <cellStyle name="Обычный 12 2 2 4 2 2 2 2 2" xfId="50040"/>
    <cellStyle name="Обычный 12 2 2 4 2 2 2 3" xfId="42748"/>
    <cellStyle name="Обычный 12 2 2 4 2 2 3" xfId="31566"/>
    <cellStyle name="Обычный 12 2 2 4 2 2 3 2" xfId="46389"/>
    <cellStyle name="Обычный 12 2 2 4 2 2 4" xfId="39064"/>
    <cellStyle name="Обычный 12 2 2 4 2 2 5" xfId="24251"/>
    <cellStyle name="Обычный 12 2 2 4 2 3" xfId="26083"/>
    <cellStyle name="Обычный 12 2 2 4 2 3 2" xfId="33394"/>
    <cellStyle name="Обычный 12 2 2 4 2 3 2 2" xfId="48214"/>
    <cellStyle name="Обычный 12 2 2 4 2 3 3" xfId="40927"/>
    <cellStyle name="Обычный 12 2 2 4 2 4" xfId="29740"/>
    <cellStyle name="Обычный 12 2 2 4 2 4 2" xfId="44564"/>
    <cellStyle name="Обычный 12 2 2 4 2 5" xfId="37341"/>
    <cellStyle name="Обычный 12 2 2 4 2 6" xfId="22422"/>
    <cellStyle name="Обычный 12 2 2 4 3" xfId="19634"/>
    <cellStyle name="Обычный 12 2 2 4 3 2" xfId="27003"/>
    <cellStyle name="Обычный 12 2 2 4 3 2 2" xfId="34314"/>
    <cellStyle name="Обычный 12 2 2 4 3 2 2 2" xfId="49134"/>
    <cellStyle name="Обычный 12 2 2 4 3 2 3" xfId="41843"/>
    <cellStyle name="Обычный 12 2 2 4 3 3" xfId="30660"/>
    <cellStyle name="Обычный 12 2 2 4 3 3 2" xfId="45483"/>
    <cellStyle name="Обычный 12 2 2 4 3 4" xfId="38157"/>
    <cellStyle name="Обычный 12 2 2 4 3 5" xfId="23345"/>
    <cellStyle name="Обычный 12 2 2 4 4" xfId="25162"/>
    <cellStyle name="Обычный 12 2 2 4 4 2" xfId="32473"/>
    <cellStyle name="Обычный 12 2 2 4 4 2 2" xfId="47296"/>
    <cellStyle name="Обычный 12 2 2 4 4 3" xfId="40056"/>
    <cellStyle name="Обычный 12 2 2 4 5" xfId="28819"/>
    <cellStyle name="Обычный 12 2 2 4 5 2" xfId="43656"/>
    <cellStyle name="Обычный 12 2 2 4 6" xfId="36197"/>
    <cellStyle name="Обычный 12 2 2 4 7" xfId="21501"/>
    <cellStyle name="Обычный 12 2 2 5" xfId="18105"/>
    <cellStyle name="Обычный 12 2 2 5 2" xfId="20215"/>
    <cellStyle name="Обычный 12 2 2 5 2 2" xfId="27541"/>
    <cellStyle name="Обычный 12 2 2 5 2 2 2" xfId="34852"/>
    <cellStyle name="Обычный 12 2 2 5 2 2 2 2" xfId="49672"/>
    <cellStyle name="Обычный 12 2 2 5 2 2 3" xfId="42380"/>
    <cellStyle name="Обычный 12 2 2 5 2 3" xfId="31198"/>
    <cellStyle name="Обычный 12 2 2 5 2 3 2" xfId="46021"/>
    <cellStyle name="Обычный 12 2 2 5 2 4" xfId="38696"/>
    <cellStyle name="Обычный 12 2 2 5 2 5" xfId="23883"/>
    <cellStyle name="Обычный 12 2 2 5 3" xfId="25715"/>
    <cellStyle name="Обычный 12 2 2 5 3 2" xfId="33026"/>
    <cellStyle name="Обычный 12 2 2 5 3 2 2" xfId="47846"/>
    <cellStyle name="Обычный 12 2 2 5 3 3" xfId="40568"/>
    <cellStyle name="Обычный 12 2 2 5 4" xfId="29372"/>
    <cellStyle name="Обычный 12 2 2 5 4 2" xfId="44196"/>
    <cellStyle name="Обычный 12 2 2 5 5" xfId="36761"/>
    <cellStyle name="Обычный 12 2 2 5 6" xfId="22054"/>
    <cellStyle name="Обычный 12 2 2 6" xfId="18333"/>
    <cellStyle name="Обычный 12 2 2 6 2" xfId="26556"/>
    <cellStyle name="Обычный 12 2 2 6 2 2" xfId="33867"/>
    <cellStyle name="Обычный 12 2 2 6 2 2 2" xfId="48687"/>
    <cellStyle name="Обычный 12 2 2 6 2 3" xfId="41396"/>
    <cellStyle name="Обычный 12 2 2 6 3" xfId="30213"/>
    <cellStyle name="Обычный 12 2 2 6 3 2" xfId="45036"/>
    <cellStyle name="Обычный 12 2 2 6 4" xfId="36973"/>
    <cellStyle name="Обычный 12 2 2 6 5" xfId="22898"/>
    <cellStyle name="Обычный 12 2 2 7" xfId="19185"/>
    <cellStyle name="Обычный 12 2 2 7 2" xfId="32023"/>
    <cellStyle name="Обычный 12 2 2 7 2 2" xfId="46846"/>
    <cellStyle name="Обычный 12 2 2 7 3" xfId="37710"/>
    <cellStyle name="Обычный 12 2 2 7 4" xfId="24712"/>
    <cellStyle name="Обычный 12 2 2 8" xfId="28369"/>
    <cellStyle name="Обычный 12 2 2 8 2" xfId="43206"/>
    <cellStyle name="Обычный 12 2 2 8 3" xfId="36663"/>
    <cellStyle name="Обычный 12 2 2 9" xfId="35748"/>
    <cellStyle name="Обычный 12 2 3" xfId="17204"/>
    <cellStyle name="Обычный 12 2 3 2" xfId="17420"/>
    <cellStyle name="Обычный 12 2 3 2 2" xfId="17870"/>
    <cellStyle name="Обычный 12 2 3 2 2 2" xfId="18984"/>
    <cellStyle name="Обычный 12 2 3 2 2 2 2" xfId="20863"/>
    <cellStyle name="Обычный 12 2 3 2 2 2 2 2" xfId="28189"/>
    <cellStyle name="Обычный 12 2 3 2 2 2 2 2 2" xfId="35500"/>
    <cellStyle name="Обычный 12 2 3 2 2 2 2 2 2 2" xfId="50320"/>
    <cellStyle name="Обычный 12 2 3 2 2 2 2 2 3" xfId="43028"/>
    <cellStyle name="Обычный 12 2 3 2 2 2 2 3" xfId="31846"/>
    <cellStyle name="Обычный 12 2 3 2 2 2 2 3 2" xfId="46669"/>
    <cellStyle name="Обычный 12 2 3 2 2 2 2 4" xfId="39344"/>
    <cellStyle name="Обычный 12 2 3 2 2 2 2 5" xfId="24531"/>
    <cellStyle name="Обычный 12 2 3 2 2 2 3" xfId="26363"/>
    <cellStyle name="Обычный 12 2 3 2 2 2 3 2" xfId="33674"/>
    <cellStyle name="Обычный 12 2 3 2 2 2 3 2 2" xfId="48494"/>
    <cellStyle name="Обычный 12 2 3 2 2 2 3 3" xfId="41207"/>
    <cellStyle name="Обычный 12 2 3 2 2 2 4" xfId="30020"/>
    <cellStyle name="Обычный 12 2 3 2 2 2 4 2" xfId="44844"/>
    <cellStyle name="Обычный 12 2 3 2 2 2 5" xfId="37579"/>
    <cellStyle name="Обычный 12 2 3 2 2 2 6" xfId="22702"/>
    <cellStyle name="Обычный 12 2 3 2 2 3" xfId="19914"/>
    <cellStyle name="Обычный 12 2 3 2 2 3 2" xfId="27283"/>
    <cellStyle name="Обычный 12 2 3 2 2 3 2 2" xfId="34594"/>
    <cellStyle name="Обычный 12 2 3 2 2 3 2 2 2" xfId="49414"/>
    <cellStyle name="Обычный 12 2 3 2 2 3 2 3" xfId="42123"/>
    <cellStyle name="Обычный 12 2 3 2 2 3 3" xfId="30940"/>
    <cellStyle name="Обычный 12 2 3 2 2 3 3 2" xfId="45763"/>
    <cellStyle name="Обычный 12 2 3 2 2 3 4" xfId="38437"/>
    <cellStyle name="Обычный 12 2 3 2 2 3 5" xfId="23625"/>
    <cellStyle name="Обычный 12 2 3 2 2 4" xfId="25442"/>
    <cellStyle name="Обычный 12 2 3 2 2 4 2" xfId="32753"/>
    <cellStyle name="Обычный 12 2 3 2 2 4 2 2" xfId="47576"/>
    <cellStyle name="Обычный 12 2 3 2 2 4 3" xfId="40330"/>
    <cellStyle name="Обычный 12 2 3 2 2 5" xfId="29099"/>
    <cellStyle name="Обычный 12 2 3 2 2 5 2" xfId="43936"/>
    <cellStyle name="Обычный 12 2 3 2 2 6" xfId="36202"/>
    <cellStyle name="Обычный 12 2 3 2 2 7" xfId="21781"/>
    <cellStyle name="Обычный 12 2 3 2 3" xfId="18338"/>
    <cellStyle name="Обычный 12 2 3 2 3 2" xfId="20220"/>
    <cellStyle name="Обычный 12 2 3 2 3 2 2" xfId="27546"/>
    <cellStyle name="Обычный 12 2 3 2 3 2 2 2" xfId="34857"/>
    <cellStyle name="Обычный 12 2 3 2 3 2 2 2 2" xfId="49677"/>
    <cellStyle name="Обычный 12 2 3 2 3 2 2 3" xfId="42385"/>
    <cellStyle name="Обычный 12 2 3 2 3 2 3" xfId="31203"/>
    <cellStyle name="Обычный 12 2 3 2 3 2 3 2" xfId="46026"/>
    <cellStyle name="Обычный 12 2 3 2 3 2 4" xfId="38701"/>
    <cellStyle name="Обычный 12 2 3 2 3 2 5" xfId="23888"/>
    <cellStyle name="Обычный 12 2 3 2 3 3" xfId="25720"/>
    <cellStyle name="Обычный 12 2 3 2 3 3 2" xfId="33031"/>
    <cellStyle name="Обычный 12 2 3 2 3 3 2 2" xfId="47851"/>
    <cellStyle name="Обычный 12 2 3 2 3 3 3" xfId="40573"/>
    <cellStyle name="Обычный 12 2 3 2 3 4" xfId="29377"/>
    <cellStyle name="Обычный 12 2 3 2 3 4 2" xfId="44201"/>
    <cellStyle name="Обычный 12 2 3 2 3 5" xfId="36978"/>
    <cellStyle name="Обычный 12 2 3 2 3 6" xfId="22059"/>
    <cellStyle name="Обычный 12 2 3 2 4" xfId="19463"/>
    <cellStyle name="Обычный 12 2 3 2 4 2" xfId="26833"/>
    <cellStyle name="Обычный 12 2 3 2 4 2 2" xfId="34144"/>
    <cellStyle name="Обычный 12 2 3 2 4 2 2 2" xfId="48964"/>
    <cellStyle name="Обычный 12 2 3 2 4 2 3" xfId="41673"/>
    <cellStyle name="Обычный 12 2 3 2 4 3" xfId="30490"/>
    <cellStyle name="Обычный 12 2 3 2 4 3 2" xfId="45313"/>
    <cellStyle name="Обычный 12 2 3 2 4 4" xfId="37987"/>
    <cellStyle name="Обычный 12 2 3 2 4 5" xfId="23175"/>
    <cellStyle name="Обычный 12 2 3 2 5" xfId="24992"/>
    <cellStyle name="Обычный 12 2 3 2 5 2" xfId="32303"/>
    <cellStyle name="Обычный 12 2 3 2 5 2 2" xfId="47126"/>
    <cellStyle name="Обычный 12 2 3 2 5 3" xfId="39887"/>
    <cellStyle name="Обычный 12 2 3 2 6" xfId="28649"/>
    <cellStyle name="Обычный 12 2 3 2 6 2" xfId="43486"/>
    <cellStyle name="Обычный 12 2 3 2 7" xfId="35753"/>
    <cellStyle name="Обычный 12 2 3 2 8" xfId="21331"/>
    <cellStyle name="Обычный 12 2 3 3" xfId="17646"/>
    <cellStyle name="Обычный 12 2 3 3 2" xfId="18760"/>
    <cellStyle name="Обычный 12 2 3 3 2 2" xfId="20639"/>
    <cellStyle name="Обычный 12 2 3 3 2 2 2" xfId="27965"/>
    <cellStyle name="Обычный 12 2 3 3 2 2 2 2" xfId="35276"/>
    <cellStyle name="Обычный 12 2 3 3 2 2 2 2 2" xfId="50096"/>
    <cellStyle name="Обычный 12 2 3 3 2 2 2 3" xfId="42804"/>
    <cellStyle name="Обычный 12 2 3 3 2 2 3" xfId="31622"/>
    <cellStyle name="Обычный 12 2 3 3 2 2 3 2" xfId="46445"/>
    <cellStyle name="Обычный 12 2 3 3 2 2 4" xfId="39120"/>
    <cellStyle name="Обычный 12 2 3 3 2 2 5" xfId="24307"/>
    <cellStyle name="Обычный 12 2 3 3 2 3" xfId="26139"/>
    <cellStyle name="Обычный 12 2 3 3 2 3 2" xfId="33450"/>
    <cellStyle name="Обычный 12 2 3 3 2 3 2 2" xfId="48270"/>
    <cellStyle name="Обычный 12 2 3 3 2 3 3" xfId="40983"/>
    <cellStyle name="Обычный 12 2 3 3 2 4" xfId="29796"/>
    <cellStyle name="Обычный 12 2 3 3 2 4 2" xfId="44620"/>
    <cellStyle name="Обычный 12 2 3 3 2 5" xfId="37397"/>
    <cellStyle name="Обычный 12 2 3 3 2 6" xfId="22478"/>
    <cellStyle name="Обычный 12 2 3 3 3" xfId="19690"/>
    <cellStyle name="Обычный 12 2 3 3 3 2" xfId="27059"/>
    <cellStyle name="Обычный 12 2 3 3 3 2 2" xfId="34370"/>
    <cellStyle name="Обычный 12 2 3 3 3 2 2 2" xfId="49190"/>
    <cellStyle name="Обычный 12 2 3 3 3 2 3" xfId="41899"/>
    <cellStyle name="Обычный 12 2 3 3 3 3" xfId="30716"/>
    <cellStyle name="Обычный 12 2 3 3 3 3 2" xfId="45539"/>
    <cellStyle name="Обычный 12 2 3 3 3 4" xfId="38213"/>
    <cellStyle name="Обычный 12 2 3 3 3 5" xfId="23401"/>
    <cellStyle name="Обычный 12 2 3 3 4" xfId="25218"/>
    <cellStyle name="Обычный 12 2 3 3 4 2" xfId="32529"/>
    <cellStyle name="Обычный 12 2 3 3 4 2 2" xfId="47352"/>
    <cellStyle name="Обычный 12 2 3 3 4 3" xfId="40110"/>
    <cellStyle name="Обычный 12 2 3 3 5" xfId="28875"/>
    <cellStyle name="Обычный 12 2 3 3 5 2" xfId="43712"/>
    <cellStyle name="Обычный 12 2 3 3 6" xfId="36201"/>
    <cellStyle name="Обычный 12 2 3 3 7" xfId="21557"/>
    <cellStyle name="Обычный 12 2 3 4" xfId="18337"/>
    <cellStyle name="Обычный 12 2 3 4 2" xfId="20219"/>
    <cellStyle name="Обычный 12 2 3 4 2 2" xfId="27545"/>
    <cellStyle name="Обычный 12 2 3 4 2 2 2" xfId="34856"/>
    <cellStyle name="Обычный 12 2 3 4 2 2 2 2" xfId="49676"/>
    <cellStyle name="Обычный 12 2 3 4 2 2 3" xfId="42384"/>
    <cellStyle name="Обычный 12 2 3 4 2 3" xfId="31202"/>
    <cellStyle name="Обычный 12 2 3 4 2 3 2" xfId="46025"/>
    <cellStyle name="Обычный 12 2 3 4 2 4" xfId="38700"/>
    <cellStyle name="Обычный 12 2 3 4 2 5" xfId="23887"/>
    <cellStyle name="Обычный 12 2 3 4 3" xfId="25719"/>
    <cellStyle name="Обычный 12 2 3 4 3 2" xfId="33030"/>
    <cellStyle name="Обычный 12 2 3 4 3 2 2" xfId="47850"/>
    <cellStyle name="Обычный 12 2 3 4 3 3" xfId="40572"/>
    <cellStyle name="Обычный 12 2 3 4 4" xfId="29376"/>
    <cellStyle name="Обычный 12 2 3 4 4 2" xfId="44200"/>
    <cellStyle name="Обычный 12 2 3 4 5" xfId="36977"/>
    <cellStyle name="Обычный 12 2 3 4 6" xfId="22058"/>
    <cellStyle name="Обычный 12 2 3 5" xfId="19240"/>
    <cellStyle name="Обычный 12 2 3 5 2" xfId="26610"/>
    <cellStyle name="Обычный 12 2 3 5 2 2" xfId="33921"/>
    <cellStyle name="Обычный 12 2 3 5 2 2 2" xfId="48741"/>
    <cellStyle name="Обычный 12 2 3 5 2 3" xfId="41450"/>
    <cellStyle name="Обычный 12 2 3 5 3" xfId="30267"/>
    <cellStyle name="Обычный 12 2 3 5 3 2" xfId="45090"/>
    <cellStyle name="Обычный 12 2 3 5 4" xfId="37764"/>
    <cellStyle name="Обычный 12 2 3 5 5" xfId="22952"/>
    <cellStyle name="Обычный 12 2 3 6" xfId="24768"/>
    <cellStyle name="Обычный 12 2 3 6 2" xfId="32079"/>
    <cellStyle name="Обычный 12 2 3 6 2 2" xfId="46902"/>
    <cellStyle name="Обычный 12 2 3 6 3" xfId="39670"/>
    <cellStyle name="Обычный 12 2 3 7" xfId="28425"/>
    <cellStyle name="Обычный 12 2 3 7 2" xfId="43262"/>
    <cellStyle name="Обычный 12 2 3 8" xfId="35752"/>
    <cellStyle name="Обычный 12 2 3 9" xfId="21107"/>
    <cellStyle name="Обычный 12 2 4" xfId="17303"/>
    <cellStyle name="Обычный 12 2 4 2" xfId="17758"/>
    <cellStyle name="Обычный 12 2 4 2 2" xfId="18872"/>
    <cellStyle name="Обычный 12 2 4 2 2 2" xfId="20751"/>
    <cellStyle name="Обычный 12 2 4 2 2 2 2" xfId="28077"/>
    <cellStyle name="Обычный 12 2 4 2 2 2 2 2" xfId="35388"/>
    <cellStyle name="Обычный 12 2 4 2 2 2 2 2 2" xfId="50208"/>
    <cellStyle name="Обычный 12 2 4 2 2 2 2 3" xfId="42916"/>
    <cellStyle name="Обычный 12 2 4 2 2 2 3" xfId="31734"/>
    <cellStyle name="Обычный 12 2 4 2 2 2 3 2" xfId="46557"/>
    <cellStyle name="Обычный 12 2 4 2 2 2 4" xfId="39232"/>
    <cellStyle name="Обычный 12 2 4 2 2 2 5" xfId="24419"/>
    <cellStyle name="Обычный 12 2 4 2 2 3" xfId="26251"/>
    <cellStyle name="Обычный 12 2 4 2 2 3 2" xfId="33562"/>
    <cellStyle name="Обычный 12 2 4 2 2 3 2 2" xfId="48382"/>
    <cellStyle name="Обычный 12 2 4 2 2 3 3" xfId="41095"/>
    <cellStyle name="Обычный 12 2 4 2 2 4" xfId="29908"/>
    <cellStyle name="Обычный 12 2 4 2 2 4 2" xfId="44732"/>
    <cellStyle name="Обычный 12 2 4 2 2 5" xfId="37508"/>
    <cellStyle name="Обычный 12 2 4 2 2 6" xfId="22590"/>
    <cellStyle name="Обычный 12 2 4 2 3" xfId="19802"/>
    <cellStyle name="Обычный 12 2 4 2 3 2" xfId="27171"/>
    <cellStyle name="Обычный 12 2 4 2 3 2 2" xfId="34482"/>
    <cellStyle name="Обычный 12 2 4 2 3 2 2 2" xfId="49302"/>
    <cellStyle name="Обычный 12 2 4 2 3 2 3" xfId="42011"/>
    <cellStyle name="Обычный 12 2 4 2 3 3" xfId="30828"/>
    <cellStyle name="Обычный 12 2 4 2 3 3 2" xfId="45651"/>
    <cellStyle name="Обычный 12 2 4 2 3 4" xfId="38325"/>
    <cellStyle name="Обычный 12 2 4 2 3 5" xfId="23513"/>
    <cellStyle name="Обычный 12 2 4 2 4" xfId="25330"/>
    <cellStyle name="Обычный 12 2 4 2 4 2" xfId="32641"/>
    <cellStyle name="Обычный 12 2 4 2 4 2 2" xfId="47464"/>
    <cellStyle name="Обычный 12 2 4 2 4 3" xfId="40219"/>
    <cellStyle name="Обычный 12 2 4 2 5" xfId="28987"/>
    <cellStyle name="Обычный 12 2 4 2 5 2" xfId="43824"/>
    <cellStyle name="Обычный 12 2 4 2 6" xfId="36203"/>
    <cellStyle name="Обычный 12 2 4 2 7" xfId="21669"/>
    <cellStyle name="Обычный 12 2 4 3" xfId="18339"/>
    <cellStyle name="Обычный 12 2 4 3 2" xfId="20221"/>
    <cellStyle name="Обычный 12 2 4 3 2 2" xfId="27547"/>
    <cellStyle name="Обычный 12 2 4 3 2 2 2" xfId="34858"/>
    <cellStyle name="Обычный 12 2 4 3 2 2 2 2" xfId="49678"/>
    <cellStyle name="Обычный 12 2 4 3 2 2 3" xfId="42386"/>
    <cellStyle name="Обычный 12 2 4 3 2 3" xfId="31204"/>
    <cellStyle name="Обычный 12 2 4 3 2 3 2" xfId="46027"/>
    <cellStyle name="Обычный 12 2 4 3 2 4" xfId="38702"/>
    <cellStyle name="Обычный 12 2 4 3 2 5" xfId="23889"/>
    <cellStyle name="Обычный 12 2 4 3 3" xfId="25721"/>
    <cellStyle name="Обычный 12 2 4 3 3 2" xfId="33032"/>
    <cellStyle name="Обычный 12 2 4 3 3 2 2" xfId="47852"/>
    <cellStyle name="Обычный 12 2 4 3 3 3" xfId="40574"/>
    <cellStyle name="Обычный 12 2 4 3 4" xfId="29378"/>
    <cellStyle name="Обычный 12 2 4 3 4 2" xfId="44202"/>
    <cellStyle name="Обычный 12 2 4 3 5" xfId="36979"/>
    <cellStyle name="Обычный 12 2 4 3 6" xfId="22060"/>
    <cellStyle name="Обычный 12 2 4 4" xfId="19351"/>
    <cellStyle name="Обычный 12 2 4 4 2" xfId="26721"/>
    <cellStyle name="Обычный 12 2 4 4 2 2" xfId="34032"/>
    <cellStyle name="Обычный 12 2 4 4 2 2 2" xfId="48852"/>
    <cellStyle name="Обычный 12 2 4 4 2 3" xfId="41561"/>
    <cellStyle name="Обычный 12 2 4 4 3" xfId="30378"/>
    <cellStyle name="Обычный 12 2 4 4 3 2" xfId="45201"/>
    <cellStyle name="Обычный 12 2 4 4 4" xfId="37875"/>
    <cellStyle name="Обычный 12 2 4 4 5" xfId="23063"/>
    <cellStyle name="Обычный 12 2 4 5" xfId="24880"/>
    <cellStyle name="Обычный 12 2 4 5 2" xfId="32191"/>
    <cellStyle name="Обычный 12 2 4 5 2 2" xfId="47014"/>
    <cellStyle name="Обычный 12 2 4 5 3" xfId="39776"/>
    <cellStyle name="Обычный 12 2 4 6" xfId="28537"/>
    <cellStyle name="Обычный 12 2 4 6 2" xfId="43374"/>
    <cellStyle name="Обычный 12 2 4 7" xfId="35754"/>
    <cellStyle name="Обычный 12 2 4 8" xfId="21219"/>
    <cellStyle name="Обычный 12 2 5" xfId="17534"/>
    <cellStyle name="Обычный 12 2 5 2" xfId="18648"/>
    <cellStyle name="Обычный 12 2 5 2 2" xfId="20527"/>
    <cellStyle name="Обычный 12 2 5 2 2 2" xfId="27853"/>
    <cellStyle name="Обычный 12 2 5 2 2 2 2" xfId="35164"/>
    <cellStyle name="Обычный 12 2 5 2 2 2 2 2" xfId="49984"/>
    <cellStyle name="Обычный 12 2 5 2 2 2 3" xfId="42692"/>
    <cellStyle name="Обычный 12 2 5 2 2 3" xfId="31510"/>
    <cellStyle name="Обычный 12 2 5 2 2 3 2" xfId="46333"/>
    <cellStyle name="Обычный 12 2 5 2 2 4" xfId="39008"/>
    <cellStyle name="Обычный 12 2 5 2 2 5" xfId="24195"/>
    <cellStyle name="Обычный 12 2 5 2 3" xfId="26027"/>
    <cellStyle name="Обычный 12 2 5 2 3 2" xfId="33338"/>
    <cellStyle name="Обычный 12 2 5 2 3 2 2" xfId="48158"/>
    <cellStyle name="Обычный 12 2 5 2 3 3" xfId="40871"/>
    <cellStyle name="Обычный 12 2 5 2 4" xfId="29684"/>
    <cellStyle name="Обычный 12 2 5 2 4 2" xfId="44508"/>
    <cellStyle name="Обычный 12 2 5 2 5" xfId="37285"/>
    <cellStyle name="Обычный 12 2 5 2 6" xfId="22366"/>
    <cellStyle name="Обычный 12 2 5 3" xfId="19578"/>
    <cellStyle name="Обычный 12 2 5 3 2" xfId="26947"/>
    <cellStyle name="Обычный 12 2 5 3 2 2" xfId="34258"/>
    <cellStyle name="Обычный 12 2 5 3 2 2 2" xfId="49078"/>
    <cellStyle name="Обычный 12 2 5 3 2 3" xfId="41787"/>
    <cellStyle name="Обычный 12 2 5 3 3" xfId="30604"/>
    <cellStyle name="Обычный 12 2 5 3 3 2" xfId="45427"/>
    <cellStyle name="Обычный 12 2 5 3 4" xfId="38101"/>
    <cellStyle name="Обычный 12 2 5 3 5" xfId="23289"/>
    <cellStyle name="Обычный 12 2 5 4" xfId="25106"/>
    <cellStyle name="Обычный 12 2 5 4 2" xfId="32417"/>
    <cellStyle name="Обычный 12 2 5 4 2 2" xfId="47240"/>
    <cellStyle name="Обычный 12 2 5 4 3" xfId="40000"/>
    <cellStyle name="Обычный 12 2 5 5" xfId="28763"/>
    <cellStyle name="Обычный 12 2 5 5 2" xfId="43600"/>
    <cellStyle name="Обычный 12 2 5 6" xfId="36196"/>
    <cellStyle name="Обычный 12 2 5 7" xfId="21445"/>
    <cellStyle name="Обычный 12 2 6" xfId="18060"/>
    <cellStyle name="Обычный 12 2 6 2" xfId="18332"/>
    <cellStyle name="Обычный 12 2 6 2 2" xfId="27540"/>
    <cellStyle name="Обычный 12 2 6 2 2 2" xfId="34851"/>
    <cellStyle name="Обычный 12 2 6 2 2 2 2" xfId="49671"/>
    <cellStyle name="Обычный 12 2 6 2 2 3" xfId="42379"/>
    <cellStyle name="Обычный 12 2 6 2 3" xfId="31197"/>
    <cellStyle name="Обычный 12 2 6 2 3 2" xfId="46020"/>
    <cellStyle name="Обычный 12 2 6 2 4" xfId="36972"/>
    <cellStyle name="Обычный 12 2 6 2 5" xfId="23882"/>
    <cellStyle name="Обычный 12 2 6 3" xfId="20214"/>
    <cellStyle name="Обычный 12 2 6 3 2" xfId="33025"/>
    <cellStyle name="Обычный 12 2 6 3 2 2" xfId="47845"/>
    <cellStyle name="Обычный 12 2 6 3 3" xfId="38695"/>
    <cellStyle name="Обычный 12 2 6 3 4" xfId="25714"/>
    <cellStyle name="Обычный 12 2 6 4" xfId="29371"/>
    <cellStyle name="Обычный 12 2 6 4 2" xfId="44195"/>
    <cellStyle name="Обычный 12 2 6 5" xfId="36717"/>
    <cellStyle name="Обычный 12 2 6 6" xfId="22053"/>
    <cellStyle name="Обычный 12 2 7" xfId="20028"/>
    <cellStyle name="Обычный 12 2 8" xfId="19131"/>
    <cellStyle name="Обычный 12 2 8 2" xfId="26503"/>
    <cellStyle name="Обычный 12 2 8 2 2" xfId="33814"/>
    <cellStyle name="Обычный 12 2 8 2 2 2" xfId="48634"/>
    <cellStyle name="Обычный 12 2 8 2 3" xfId="41343"/>
    <cellStyle name="Обычный 12 2 8 3" xfId="30160"/>
    <cellStyle name="Обычный 12 2 8 3 2" xfId="44983"/>
    <cellStyle name="Обычный 12 2 8 4" xfId="37657"/>
    <cellStyle name="Обычный 12 2 8 5" xfId="22845"/>
    <cellStyle name="Обычный 12 2 9" xfId="24656"/>
    <cellStyle name="Обычный 12 2 9 2" xfId="31967"/>
    <cellStyle name="Обычный 12 2 9 2 2" xfId="46790"/>
    <cellStyle name="Обычный 12 2 9 3" xfId="39576"/>
    <cellStyle name="Обычный 12 2 9 4" xfId="36602"/>
    <cellStyle name="Обычный 12 3" xfId="17091"/>
    <cellStyle name="Обычный 12 3 10" xfId="21023"/>
    <cellStyle name="Обычный 12 3 2" xfId="17448"/>
    <cellStyle name="Обычный 12 3 2 2" xfId="17898"/>
    <cellStyle name="Обычный 12 3 2 2 2" xfId="19012"/>
    <cellStyle name="Обычный 12 3 2 2 2 2" xfId="20891"/>
    <cellStyle name="Обычный 12 3 2 2 2 2 2" xfId="24559"/>
    <cellStyle name="Обычный 12 3 2 2 2 2 2 2" xfId="28217"/>
    <cellStyle name="Обычный 12 3 2 2 2 2 2 2 2" xfId="35528"/>
    <cellStyle name="Обычный 12 3 2 2 2 2 2 2 2 2" xfId="50348"/>
    <cellStyle name="Обычный 12 3 2 2 2 2 2 2 3" xfId="43056"/>
    <cellStyle name="Обычный 12 3 2 2 2 2 2 3" xfId="31874"/>
    <cellStyle name="Обычный 12 3 2 2 2 2 2 3 2" xfId="46697"/>
    <cellStyle name="Обычный 12 3 2 2 2 2 2 4" xfId="39492"/>
    <cellStyle name="Обычный 12 3 2 2 2 2 3" xfId="26391"/>
    <cellStyle name="Обычный 12 3 2 2 2 2 3 2" xfId="33702"/>
    <cellStyle name="Обычный 12 3 2 2 2 2 3 2 2" xfId="48522"/>
    <cellStyle name="Обычный 12 3 2 2 2 2 3 3" xfId="41235"/>
    <cellStyle name="Обычный 12 3 2 2 2 2 4" xfId="30048"/>
    <cellStyle name="Обычный 12 3 2 2 2 2 4 2" xfId="44872"/>
    <cellStyle name="Обычный 12 3 2 2 2 2 5" xfId="39372"/>
    <cellStyle name="Обычный 12 3 2 2 2 2 6" xfId="22730"/>
    <cellStyle name="Обычный 12 3 2 2 2 3" xfId="19942"/>
    <cellStyle name="Обычный 12 3 2 2 2 3 2" xfId="27311"/>
    <cellStyle name="Обычный 12 3 2 2 2 3 2 2" xfId="34622"/>
    <cellStyle name="Обычный 12 3 2 2 2 3 2 2 2" xfId="49442"/>
    <cellStyle name="Обычный 12 3 2 2 2 3 2 3" xfId="42151"/>
    <cellStyle name="Обычный 12 3 2 2 2 3 3" xfId="30968"/>
    <cellStyle name="Обычный 12 3 2 2 2 3 3 2" xfId="45791"/>
    <cellStyle name="Обычный 12 3 2 2 2 3 4" xfId="38465"/>
    <cellStyle name="Обычный 12 3 2 2 2 3 5" xfId="23653"/>
    <cellStyle name="Обычный 12 3 2 2 2 4" xfId="25470"/>
    <cellStyle name="Обычный 12 3 2 2 2 4 2" xfId="32781"/>
    <cellStyle name="Обычный 12 3 2 2 2 4 2 2" xfId="47604"/>
    <cellStyle name="Обычный 12 3 2 2 2 4 3" xfId="40358"/>
    <cellStyle name="Обычный 12 3 2 2 2 5" xfId="29127"/>
    <cellStyle name="Обычный 12 3 2 2 2 5 2" xfId="43964"/>
    <cellStyle name="Обычный 12 3 2 2 2 6" xfId="36206"/>
    <cellStyle name="Обычный 12 3 2 2 2 7" xfId="21809"/>
    <cellStyle name="Обычный 12 3 2 2 3" xfId="18342"/>
    <cellStyle name="Обычный 12 3 2 2 3 2" xfId="20224"/>
    <cellStyle name="Обычный 12 3 2 2 3 2 2" xfId="27550"/>
    <cellStyle name="Обычный 12 3 2 2 3 2 2 2" xfId="34861"/>
    <cellStyle name="Обычный 12 3 2 2 3 2 2 2 2" xfId="49681"/>
    <cellStyle name="Обычный 12 3 2 2 3 2 2 3" xfId="42389"/>
    <cellStyle name="Обычный 12 3 2 2 3 2 3" xfId="31207"/>
    <cellStyle name="Обычный 12 3 2 2 3 2 3 2" xfId="46030"/>
    <cellStyle name="Обычный 12 3 2 2 3 2 4" xfId="38705"/>
    <cellStyle name="Обычный 12 3 2 2 3 2 5" xfId="23892"/>
    <cellStyle name="Обычный 12 3 2 2 3 3" xfId="25724"/>
    <cellStyle name="Обычный 12 3 2 2 3 3 2" xfId="33035"/>
    <cellStyle name="Обычный 12 3 2 2 3 3 2 2" xfId="47855"/>
    <cellStyle name="Обычный 12 3 2 2 3 3 3" xfId="40577"/>
    <cellStyle name="Обычный 12 3 2 2 3 4" xfId="29381"/>
    <cellStyle name="Обычный 12 3 2 2 3 4 2" xfId="44205"/>
    <cellStyle name="Обычный 12 3 2 2 3 5" xfId="36982"/>
    <cellStyle name="Обычный 12 3 2 2 3 6" xfId="22063"/>
    <cellStyle name="Обычный 12 3 2 2 4" xfId="19491"/>
    <cellStyle name="Обычный 12 3 2 2 4 2" xfId="26861"/>
    <cellStyle name="Обычный 12 3 2 2 4 2 2" xfId="34172"/>
    <cellStyle name="Обычный 12 3 2 2 4 2 2 2" xfId="48992"/>
    <cellStyle name="Обычный 12 3 2 2 4 2 3" xfId="41701"/>
    <cellStyle name="Обычный 12 3 2 2 4 3" xfId="30518"/>
    <cellStyle name="Обычный 12 3 2 2 4 3 2" xfId="45341"/>
    <cellStyle name="Обычный 12 3 2 2 4 4" xfId="38015"/>
    <cellStyle name="Обычный 12 3 2 2 4 5" xfId="23203"/>
    <cellStyle name="Обычный 12 3 2 2 5" xfId="25020"/>
    <cellStyle name="Обычный 12 3 2 2 5 2" xfId="32331"/>
    <cellStyle name="Обычный 12 3 2 2 5 2 2" xfId="47154"/>
    <cellStyle name="Обычный 12 3 2 2 5 3" xfId="39915"/>
    <cellStyle name="Обычный 12 3 2 2 6" xfId="28677"/>
    <cellStyle name="Обычный 12 3 2 2 6 2" xfId="43514"/>
    <cellStyle name="Обычный 12 3 2 2 7" xfId="35757"/>
    <cellStyle name="Обычный 12 3 2 2 8" xfId="21359"/>
    <cellStyle name="Обычный 12 3 2 3" xfId="17674"/>
    <cellStyle name="Обычный 12 3 2 3 2" xfId="18788"/>
    <cellStyle name="Обычный 12 3 2 3 2 2" xfId="20667"/>
    <cellStyle name="Обычный 12 3 2 3 2 2 2" xfId="27993"/>
    <cellStyle name="Обычный 12 3 2 3 2 2 2 2" xfId="35304"/>
    <cellStyle name="Обычный 12 3 2 3 2 2 2 2 2" xfId="50124"/>
    <cellStyle name="Обычный 12 3 2 3 2 2 2 3" xfId="42832"/>
    <cellStyle name="Обычный 12 3 2 3 2 2 3" xfId="31650"/>
    <cellStyle name="Обычный 12 3 2 3 2 2 3 2" xfId="46473"/>
    <cellStyle name="Обычный 12 3 2 3 2 2 4" xfId="39148"/>
    <cellStyle name="Обычный 12 3 2 3 2 2 5" xfId="24335"/>
    <cellStyle name="Обычный 12 3 2 3 2 3" xfId="26167"/>
    <cellStyle name="Обычный 12 3 2 3 2 3 2" xfId="33478"/>
    <cellStyle name="Обычный 12 3 2 3 2 3 2 2" xfId="48298"/>
    <cellStyle name="Обычный 12 3 2 3 2 3 3" xfId="41011"/>
    <cellStyle name="Обычный 12 3 2 3 2 4" xfId="29824"/>
    <cellStyle name="Обычный 12 3 2 3 2 4 2" xfId="44648"/>
    <cellStyle name="Обычный 12 3 2 3 2 5" xfId="37425"/>
    <cellStyle name="Обычный 12 3 2 3 2 6" xfId="22506"/>
    <cellStyle name="Обычный 12 3 2 3 3" xfId="19718"/>
    <cellStyle name="Обычный 12 3 2 3 3 2" xfId="27087"/>
    <cellStyle name="Обычный 12 3 2 3 3 2 2" xfId="34398"/>
    <cellStyle name="Обычный 12 3 2 3 3 2 2 2" xfId="49218"/>
    <cellStyle name="Обычный 12 3 2 3 3 2 3" xfId="41927"/>
    <cellStyle name="Обычный 12 3 2 3 3 3" xfId="30744"/>
    <cellStyle name="Обычный 12 3 2 3 3 3 2" xfId="45567"/>
    <cellStyle name="Обычный 12 3 2 3 3 4" xfId="38241"/>
    <cellStyle name="Обычный 12 3 2 3 3 5" xfId="23429"/>
    <cellStyle name="Обычный 12 3 2 3 4" xfId="25246"/>
    <cellStyle name="Обычный 12 3 2 3 4 2" xfId="32557"/>
    <cellStyle name="Обычный 12 3 2 3 4 2 2" xfId="47380"/>
    <cellStyle name="Обычный 12 3 2 3 4 3" xfId="40138"/>
    <cellStyle name="Обычный 12 3 2 3 5" xfId="28903"/>
    <cellStyle name="Обычный 12 3 2 3 5 2" xfId="43740"/>
    <cellStyle name="Обычный 12 3 2 3 6" xfId="36205"/>
    <cellStyle name="Обычный 12 3 2 3 7" xfId="21585"/>
    <cellStyle name="Обычный 12 3 2 4" xfId="18341"/>
    <cellStyle name="Обычный 12 3 2 4 2" xfId="20223"/>
    <cellStyle name="Обычный 12 3 2 4 2 2" xfId="27549"/>
    <cellStyle name="Обычный 12 3 2 4 2 2 2" xfId="34860"/>
    <cellStyle name="Обычный 12 3 2 4 2 2 2 2" xfId="49680"/>
    <cellStyle name="Обычный 12 3 2 4 2 2 3" xfId="42388"/>
    <cellStyle name="Обычный 12 3 2 4 2 3" xfId="31206"/>
    <cellStyle name="Обычный 12 3 2 4 2 3 2" xfId="46029"/>
    <cellStyle name="Обычный 12 3 2 4 2 4" xfId="38704"/>
    <cellStyle name="Обычный 12 3 2 4 2 5" xfId="23891"/>
    <cellStyle name="Обычный 12 3 2 4 3" xfId="25723"/>
    <cellStyle name="Обычный 12 3 2 4 3 2" xfId="33034"/>
    <cellStyle name="Обычный 12 3 2 4 3 2 2" xfId="47854"/>
    <cellStyle name="Обычный 12 3 2 4 3 3" xfId="40576"/>
    <cellStyle name="Обычный 12 3 2 4 4" xfId="29380"/>
    <cellStyle name="Обычный 12 3 2 4 4 2" xfId="44204"/>
    <cellStyle name="Обычный 12 3 2 4 5" xfId="36981"/>
    <cellStyle name="Обычный 12 3 2 4 6" xfId="22062"/>
    <cellStyle name="Обычный 12 3 2 5" xfId="19268"/>
    <cellStyle name="Обычный 12 3 2 5 2" xfId="26638"/>
    <cellStyle name="Обычный 12 3 2 5 2 2" xfId="33949"/>
    <cellStyle name="Обычный 12 3 2 5 2 2 2" xfId="48769"/>
    <cellStyle name="Обычный 12 3 2 5 2 3" xfId="41478"/>
    <cellStyle name="Обычный 12 3 2 5 3" xfId="30295"/>
    <cellStyle name="Обычный 12 3 2 5 3 2" xfId="45118"/>
    <cellStyle name="Обычный 12 3 2 5 4" xfId="37792"/>
    <cellStyle name="Обычный 12 3 2 5 5" xfId="22980"/>
    <cellStyle name="Обычный 12 3 2 6" xfId="24796"/>
    <cellStyle name="Обычный 12 3 2 6 2" xfId="32107"/>
    <cellStyle name="Обычный 12 3 2 6 2 2" xfId="46930"/>
    <cellStyle name="Обычный 12 3 2 6 3" xfId="39695"/>
    <cellStyle name="Обычный 12 3 2 7" xfId="28453"/>
    <cellStyle name="Обычный 12 3 2 7 2" xfId="43290"/>
    <cellStyle name="Обычный 12 3 2 8" xfId="35756"/>
    <cellStyle name="Обычный 12 3 2 9" xfId="21135"/>
    <cellStyle name="Обычный 12 3 3" xfId="17333"/>
    <cellStyle name="Обычный 12 3 3 2" xfId="17786"/>
    <cellStyle name="Обычный 12 3 3 2 2" xfId="18900"/>
    <cellStyle name="Обычный 12 3 3 2 2 2" xfId="20779"/>
    <cellStyle name="Обычный 12 3 3 2 2 2 2" xfId="28105"/>
    <cellStyle name="Обычный 12 3 3 2 2 2 2 2" xfId="35416"/>
    <cellStyle name="Обычный 12 3 3 2 2 2 2 2 2" xfId="50236"/>
    <cellStyle name="Обычный 12 3 3 2 2 2 2 3" xfId="42944"/>
    <cellStyle name="Обычный 12 3 3 2 2 2 3" xfId="31762"/>
    <cellStyle name="Обычный 12 3 3 2 2 2 3 2" xfId="46585"/>
    <cellStyle name="Обычный 12 3 3 2 2 2 4" xfId="39260"/>
    <cellStyle name="Обычный 12 3 3 2 2 2 5" xfId="24447"/>
    <cellStyle name="Обычный 12 3 3 2 2 3" xfId="26279"/>
    <cellStyle name="Обычный 12 3 3 2 2 3 2" xfId="33590"/>
    <cellStyle name="Обычный 12 3 3 2 2 3 2 2" xfId="48410"/>
    <cellStyle name="Обычный 12 3 3 2 2 3 3" xfId="41123"/>
    <cellStyle name="Обычный 12 3 3 2 2 4" xfId="29936"/>
    <cellStyle name="Обычный 12 3 3 2 2 4 2" xfId="44760"/>
    <cellStyle name="Обычный 12 3 3 2 2 5" xfId="37536"/>
    <cellStyle name="Обычный 12 3 3 2 2 6" xfId="22618"/>
    <cellStyle name="Обычный 12 3 3 2 3" xfId="19830"/>
    <cellStyle name="Обычный 12 3 3 2 3 2" xfId="27199"/>
    <cellStyle name="Обычный 12 3 3 2 3 2 2" xfId="34510"/>
    <cellStyle name="Обычный 12 3 3 2 3 2 2 2" xfId="49330"/>
    <cellStyle name="Обычный 12 3 3 2 3 2 3" xfId="42039"/>
    <cellStyle name="Обычный 12 3 3 2 3 3" xfId="30856"/>
    <cellStyle name="Обычный 12 3 3 2 3 3 2" xfId="45679"/>
    <cellStyle name="Обычный 12 3 3 2 3 4" xfId="38353"/>
    <cellStyle name="Обычный 12 3 3 2 3 5" xfId="23541"/>
    <cellStyle name="Обычный 12 3 3 2 4" xfId="25358"/>
    <cellStyle name="Обычный 12 3 3 2 4 2" xfId="32669"/>
    <cellStyle name="Обычный 12 3 3 2 4 2 2" xfId="47492"/>
    <cellStyle name="Обычный 12 3 3 2 4 3" xfId="40246"/>
    <cellStyle name="Обычный 12 3 3 2 5" xfId="29015"/>
    <cellStyle name="Обычный 12 3 3 2 5 2" xfId="43852"/>
    <cellStyle name="Обычный 12 3 3 2 6" xfId="36207"/>
    <cellStyle name="Обычный 12 3 3 2 7" xfId="21697"/>
    <cellStyle name="Обычный 12 3 3 3" xfId="18343"/>
    <cellStyle name="Обычный 12 3 3 3 2" xfId="20225"/>
    <cellStyle name="Обычный 12 3 3 3 2 2" xfId="27551"/>
    <cellStyle name="Обычный 12 3 3 3 2 2 2" xfId="34862"/>
    <cellStyle name="Обычный 12 3 3 3 2 2 2 2" xfId="49682"/>
    <cellStyle name="Обычный 12 3 3 3 2 2 3" xfId="42390"/>
    <cellStyle name="Обычный 12 3 3 3 2 3" xfId="31208"/>
    <cellStyle name="Обычный 12 3 3 3 2 3 2" xfId="46031"/>
    <cellStyle name="Обычный 12 3 3 3 2 4" xfId="38706"/>
    <cellStyle name="Обычный 12 3 3 3 2 5" xfId="23893"/>
    <cellStyle name="Обычный 12 3 3 3 3" xfId="25725"/>
    <cellStyle name="Обычный 12 3 3 3 3 2" xfId="33036"/>
    <cellStyle name="Обычный 12 3 3 3 3 2 2" xfId="47856"/>
    <cellStyle name="Обычный 12 3 3 3 3 3" xfId="40578"/>
    <cellStyle name="Обычный 12 3 3 3 4" xfId="29382"/>
    <cellStyle name="Обычный 12 3 3 3 4 2" xfId="44206"/>
    <cellStyle name="Обычный 12 3 3 3 5" xfId="36983"/>
    <cellStyle name="Обычный 12 3 3 3 6" xfId="22064"/>
    <cellStyle name="Обычный 12 3 3 4" xfId="19379"/>
    <cellStyle name="Обычный 12 3 3 4 2" xfId="26749"/>
    <cellStyle name="Обычный 12 3 3 4 2 2" xfId="34060"/>
    <cellStyle name="Обычный 12 3 3 4 2 2 2" xfId="48880"/>
    <cellStyle name="Обычный 12 3 3 4 2 3" xfId="41589"/>
    <cellStyle name="Обычный 12 3 3 4 3" xfId="30406"/>
    <cellStyle name="Обычный 12 3 3 4 3 2" xfId="45229"/>
    <cellStyle name="Обычный 12 3 3 4 4" xfId="37903"/>
    <cellStyle name="Обычный 12 3 3 4 5" xfId="23091"/>
    <cellStyle name="Обычный 12 3 3 5" xfId="24908"/>
    <cellStyle name="Обычный 12 3 3 5 2" xfId="32219"/>
    <cellStyle name="Обычный 12 3 3 5 2 2" xfId="47042"/>
    <cellStyle name="Обычный 12 3 3 5 3" xfId="39803"/>
    <cellStyle name="Обычный 12 3 3 6" xfId="28565"/>
    <cellStyle name="Обычный 12 3 3 6 2" xfId="43402"/>
    <cellStyle name="Обычный 12 3 3 7" xfId="35758"/>
    <cellStyle name="Обычный 12 3 3 8" xfId="21247"/>
    <cellStyle name="Обычный 12 3 4" xfId="17562"/>
    <cellStyle name="Обычный 12 3 4 2" xfId="18676"/>
    <cellStyle name="Обычный 12 3 4 2 2" xfId="20555"/>
    <cellStyle name="Обычный 12 3 4 2 2 2" xfId="27881"/>
    <cellStyle name="Обычный 12 3 4 2 2 2 2" xfId="35192"/>
    <cellStyle name="Обычный 12 3 4 2 2 2 2 2" xfId="50012"/>
    <cellStyle name="Обычный 12 3 4 2 2 2 3" xfId="42720"/>
    <cellStyle name="Обычный 12 3 4 2 2 3" xfId="31538"/>
    <cellStyle name="Обычный 12 3 4 2 2 3 2" xfId="46361"/>
    <cellStyle name="Обычный 12 3 4 2 2 4" xfId="39036"/>
    <cellStyle name="Обычный 12 3 4 2 2 5" xfId="24223"/>
    <cellStyle name="Обычный 12 3 4 2 3" xfId="26055"/>
    <cellStyle name="Обычный 12 3 4 2 3 2" xfId="33366"/>
    <cellStyle name="Обычный 12 3 4 2 3 2 2" xfId="48186"/>
    <cellStyle name="Обычный 12 3 4 2 3 3" xfId="40899"/>
    <cellStyle name="Обычный 12 3 4 2 4" xfId="29712"/>
    <cellStyle name="Обычный 12 3 4 2 4 2" xfId="44536"/>
    <cellStyle name="Обычный 12 3 4 2 5" xfId="37313"/>
    <cellStyle name="Обычный 12 3 4 2 6" xfId="22394"/>
    <cellStyle name="Обычный 12 3 4 3" xfId="19606"/>
    <cellStyle name="Обычный 12 3 4 3 2" xfId="26975"/>
    <cellStyle name="Обычный 12 3 4 3 2 2" xfId="34286"/>
    <cellStyle name="Обычный 12 3 4 3 2 2 2" xfId="49106"/>
    <cellStyle name="Обычный 12 3 4 3 2 3" xfId="41815"/>
    <cellStyle name="Обычный 12 3 4 3 3" xfId="30632"/>
    <cellStyle name="Обычный 12 3 4 3 3 2" xfId="45455"/>
    <cellStyle name="Обычный 12 3 4 3 4" xfId="38129"/>
    <cellStyle name="Обычный 12 3 4 3 5" xfId="23317"/>
    <cellStyle name="Обычный 12 3 4 4" xfId="25134"/>
    <cellStyle name="Обычный 12 3 4 4 2" xfId="32445"/>
    <cellStyle name="Обычный 12 3 4 4 2 2" xfId="47268"/>
    <cellStyle name="Обычный 12 3 4 4 3" xfId="40028"/>
    <cellStyle name="Обычный 12 3 4 5" xfId="28791"/>
    <cellStyle name="Обычный 12 3 4 5 2" xfId="43628"/>
    <cellStyle name="Обычный 12 3 4 6" xfId="36204"/>
    <cellStyle name="Обычный 12 3 4 7" xfId="21473"/>
    <cellStyle name="Обычный 12 3 5" xfId="18075"/>
    <cellStyle name="Обычный 12 3 5 2" xfId="20222"/>
    <cellStyle name="Обычный 12 3 5 2 2" xfId="27548"/>
    <cellStyle name="Обычный 12 3 5 2 2 2" xfId="34859"/>
    <cellStyle name="Обычный 12 3 5 2 2 2 2" xfId="49679"/>
    <cellStyle name="Обычный 12 3 5 2 2 3" xfId="42387"/>
    <cellStyle name="Обычный 12 3 5 2 3" xfId="31205"/>
    <cellStyle name="Обычный 12 3 5 2 3 2" xfId="46028"/>
    <cellStyle name="Обычный 12 3 5 2 4" xfId="38703"/>
    <cellStyle name="Обычный 12 3 5 2 5" xfId="23890"/>
    <cellStyle name="Обычный 12 3 5 3" xfId="25722"/>
    <cellStyle name="Обычный 12 3 5 3 2" xfId="33033"/>
    <cellStyle name="Обычный 12 3 5 3 2 2" xfId="47853"/>
    <cellStyle name="Обычный 12 3 5 3 3" xfId="40575"/>
    <cellStyle name="Обычный 12 3 5 4" xfId="29379"/>
    <cellStyle name="Обычный 12 3 5 4 2" xfId="44203"/>
    <cellStyle name="Обычный 12 3 5 5" xfId="36731"/>
    <cellStyle name="Обычный 12 3 5 6" xfId="22061"/>
    <cellStyle name="Обычный 12 3 6" xfId="18340"/>
    <cellStyle name="Обычный 12 3 6 2" xfId="26530"/>
    <cellStyle name="Обычный 12 3 6 2 2" xfId="33841"/>
    <cellStyle name="Обычный 12 3 6 2 2 2" xfId="48661"/>
    <cellStyle name="Обычный 12 3 6 2 3" xfId="41370"/>
    <cellStyle name="Обычный 12 3 6 3" xfId="30187"/>
    <cellStyle name="Обычный 12 3 6 3 2" xfId="45010"/>
    <cellStyle name="Обычный 12 3 6 4" xfId="36980"/>
    <cellStyle name="Обычный 12 3 6 5" xfId="22872"/>
    <cellStyle name="Обычный 12 3 7" xfId="19159"/>
    <cellStyle name="Обычный 12 3 7 2" xfId="31995"/>
    <cellStyle name="Обычный 12 3 7 2 2" xfId="46818"/>
    <cellStyle name="Обычный 12 3 7 3" xfId="37684"/>
    <cellStyle name="Обычный 12 3 7 4" xfId="24684"/>
    <cellStyle name="Обычный 12 3 8" xfId="28341"/>
    <cellStyle name="Обычный 12 3 8 2" xfId="43178"/>
    <cellStyle name="Обычный 12 3 8 3" xfId="36623"/>
    <cellStyle name="Обычный 12 3 9" xfId="35755"/>
    <cellStyle name="Обычный 12 4" xfId="17044"/>
    <cellStyle name="Обычный 12 4 2" xfId="17392"/>
    <cellStyle name="Обычный 12 4 2 2" xfId="17842"/>
    <cellStyle name="Обычный 12 4 2 2 2" xfId="18956"/>
    <cellStyle name="Обычный 12 4 2 2 2 2" xfId="20835"/>
    <cellStyle name="Обычный 12 4 2 2 2 2 2" xfId="28161"/>
    <cellStyle name="Обычный 12 4 2 2 2 2 2 2" xfId="35472"/>
    <cellStyle name="Обычный 12 4 2 2 2 2 2 2 2" xfId="50292"/>
    <cellStyle name="Обычный 12 4 2 2 2 2 2 3" xfId="43000"/>
    <cellStyle name="Обычный 12 4 2 2 2 2 3" xfId="31818"/>
    <cellStyle name="Обычный 12 4 2 2 2 2 3 2" xfId="46641"/>
    <cellStyle name="Обычный 12 4 2 2 2 2 4" xfId="39316"/>
    <cellStyle name="Обычный 12 4 2 2 2 2 5" xfId="24503"/>
    <cellStyle name="Обычный 12 4 2 2 2 3" xfId="26335"/>
    <cellStyle name="Обычный 12 4 2 2 2 3 2" xfId="33646"/>
    <cellStyle name="Обычный 12 4 2 2 2 3 2 2" xfId="48466"/>
    <cellStyle name="Обычный 12 4 2 2 2 3 3" xfId="41179"/>
    <cellStyle name="Обычный 12 4 2 2 2 4" xfId="29992"/>
    <cellStyle name="Обычный 12 4 2 2 2 4 2" xfId="44816"/>
    <cellStyle name="Обычный 12 4 2 2 2 5" xfId="37567"/>
    <cellStyle name="Обычный 12 4 2 2 2 6" xfId="22674"/>
    <cellStyle name="Обычный 12 4 2 2 3" xfId="19886"/>
    <cellStyle name="Обычный 12 4 2 2 3 2" xfId="27255"/>
    <cellStyle name="Обычный 12 4 2 2 3 2 2" xfId="34566"/>
    <cellStyle name="Обычный 12 4 2 2 3 2 2 2" xfId="49386"/>
    <cellStyle name="Обычный 12 4 2 2 3 2 3" xfId="42095"/>
    <cellStyle name="Обычный 12 4 2 2 3 3" xfId="30912"/>
    <cellStyle name="Обычный 12 4 2 2 3 3 2" xfId="45735"/>
    <cellStyle name="Обычный 12 4 2 2 3 4" xfId="38409"/>
    <cellStyle name="Обычный 12 4 2 2 3 5" xfId="23597"/>
    <cellStyle name="Обычный 12 4 2 2 4" xfId="25414"/>
    <cellStyle name="Обычный 12 4 2 2 4 2" xfId="32725"/>
    <cellStyle name="Обычный 12 4 2 2 4 2 2" xfId="47548"/>
    <cellStyle name="Обычный 12 4 2 2 4 3" xfId="40302"/>
    <cellStyle name="Обычный 12 4 2 2 5" xfId="29071"/>
    <cellStyle name="Обычный 12 4 2 2 5 2" xfId="43908"/>
    <cellStyle name="Обычный 12 4 2 2 6" xfId="36209"/>
    <cellStyle name="Обычный 12 4 2 2 7" xfId="21753"/>
    <cellStyle name="Обычный 12 4 2 3" xfId="18345"/>
    <cellStyle name="Обычный 12 4 2 3 2" xfId="20227"/>
    <cellStyle name="Обычный 12 4 2 3 2 2" xfId="27553"/>
    <cellStyle name="Обычный 12 4 2 3 2 2 2" xfId="34864"/>
    <cellStyle name="Обычный 12 4 2 3 2 2 2 2" xfId="49684"/>
    <cellStyle name="Обычный 12 4 2 3 2 2 3" xfId="42392"/>
    <cellStyle name="Обычный 12 4 2 3 2 3" xfId="31210"/>
    <cellStyle name="Обычный 12 4 2 3 2 3 2" xfId="46033"/>
    <cellStyle name="Обычный 12 4 2 3 2 4" xfId="38708"/>
    <cellStyle name="Обычный 12 4 2 3 2 5" xfId="23895"/>
    <cellStyle name="Обычный 12 4 2 3 3" xfId="25727"/>
    <cellStyle name="Обычный 12 4 2 3 3 2" xfId="33038"/>
    <cellStyle name="Обычный 12 4 2 3 3 2 2" xfId="47858"/>
    <cellStyle name="Обычный 12 4 2 3 3 3" xfId="40580"/>
    <cellStyle name="Обычный 12 4 2 3 4" xfId="29384"/>
    <cellStyle name="Обычный 12 4 2 3 4 2" xfId="44208"/>
    <cellStyle name="Обычный 12 4 2 3 5" xfId="36985"/>
    <cellStyle name="Обычный 12 4 2 3 6" xfId="22066"/>
    <cellStyle name="Обычный 12 4 2 4" xfId="19435"/>
    <cellStyle name="Обычный 12 4 2 4 2" xfId="26805"/>
    <cellStyle name="Обычный 12 4 2 4 2 2" xfId="34116"/>
    <cellStyle name="Обычный 12 4 2 4 2 2 2" xfId="48936"/>
    <cellStyle name="Обычный 12 4 2 4 2 3" xfId="41645"/>
    <cellStyle name="Обычный 12 4 2 4 3" xfId="30462"/>
    <cellStyle name="Обычный 12 4 2 4 3 2" xfId="45285"/>
    <cellStyle name="Обычный 12 4 2 4 4" xfId="37959"/>
    <cellStyle name="Обычный 12 4 2 4 5" xfId="23147"/>
    <cellStyle name="Обычный 12 4 2 5" xfId="24964"/>
    <cellStyle name="Обычный 12 4 2 5 2" xfId="32275"/>
    <cellStyle name="Обычный 12 4 2 5 2 2" xfId="47098"/>
    <cellStyle name="Обычный 12 4 2 5 3" xfId="39859"/>
    <cellStyle name="Обычный 12 4 2 6" xfId="28621"/>
    <cellStyle name="Обычный 12 4 2 6 2" xfId="43458"/>
    <cellStyle name="Обычный 12 4 2 7" xfId="35760"/>
    <cellStyle name="Обычный 12 4 2 8" xfId="21303"/>
    <cellStyle name="Обычный 12 4 3" xfId="17618"/>
    <cellStyle name="Обычный 12 4 3 2" xfId="18732"/>
    <cellStyle name="Обычный 12 4 3 2 2" xfId="20611"/>
    <cellStyle name="Обычный 12 4 3 2 2 2" xfId="27937"/>
    <cellStyle name="Обычный 12 4 3 2 2 2 2" xfId="35248"/>
    <cellStyle name="Обычный 12 4 3 2 2 2 2 2" xfId="50068"/>
    <cellStyle name="Обычный 12 4 3 2 2 2 3" xfId="42776"/>
    <cellStyle name="Обычный 12 4 3 2 2 3" xfId="31594"/>
    <cellStyle name="Обычный 12 4 3 2 2 3 2" xfId="46417"/>
    <cellStyle name="Обычный 12 4 3 2 2 4" xfId="39092"/>
    <cellStyle name="Обычный 12 4 3 2 2 5" xfId="24279"/>
    <cellStyle name="Обычный 12 4 3 2 3" xfId="26111"/>
    <cellStyle name="Обычный 12 4 3 2 3 2" xfId="33422"/>
    <cellStyle name="Обычный 12 4 3 2 3 2 2" xfId="48242"/>
    <cellStyle name="Обычный 12 4 3 2 3 3" xfId="40955"/>
    <cellStyle name="Обычный 12 4 3 2 4" xfId="29768"/>
    <cellStyle name="Обычный 12 4 3 2 4 2" xfId="44592"/>
    <cellStyle name="Обычный 12 4 3 2 5" xfId="37369"/>
    <cellStyle name="Обычный 12 4 3 2 6" xfId="22450"/>
    <cellStyle name="Обычный 12 4 3 3" xfId="19662"/>
    <cellStyle name="Обычный 12 4 3 3 2" xfId="27031"/>
    <cellStyle name="Обычный 12 4 3 3 2 2" xfId="34342"/>
    <cellStyle name="Обычный 12 4 3 3 2 2 2" xfId="49162"/>
    <cellStyle name="Обычный 12 4 3 3 2 3" xfId="41871"/>
    <cellStyle name="Обычный 12 4 3 3 3" xfId="30688"/>
    <cellStyle name="Обычный 12 4 3 3 3 2" xfId="45511"/>
    <cellStyle name="Обычный 12 4 3 3 4" xfId="38185"/>
    <cellStyle name="Обычный 12 4 3 3 5" xfId="23373"/>
    <cellStyle name="Обычный 12 4 3 4" xfId="25190"/>
    <cellStyle name="Обычный 12 4 3 4 2" xfId="32501"/>
    <cellStyle name="Обычный 12 4 3 4 2 2" xfId="47324"/>
    <cellStyle name="Обычный 12 4 3 4 3" xfId="40082"/>
    <cellStyle name="Обычный 12 4 3 5" xfId="28847"/>
    <cellStyle name="Обычный 12 4 3 5 2" xfId="43684"/>
    <cellStyle name="Обычный 12 4 3 6" xfId="36208"/>
    <cellStyle name="Обычный 12 4 3 7" xfId="21529"/>
    <cellStyle name="Обычный 12 4 4" xfId="18344"/>
    <cellStyle name="Обычный 12 4 4 2" xfId="20226"/>
    <cellStyle name="Обычный 12 4 4 2 2" xfId="27552"/>
    <cellStyle name="Обычный 12 4 4 2 2 2" xfId="34863"/>
    <cellStyle name="Обычный 12 4 4 2 2 2 2" xfId="49683"/>
    <cellStyle name="Обычный 12 4 4 2 2 3" xfId="42391"/>
    <cellStyle name="Обычный 12 4 4 2 3" xfId="31209"/>
    <cellStyle name="Обычный 12 4 4 2 3 2" xfId="46032"/>
    <cellStyle name="Обычный 12 4 4 2 4" xfId="38707"/>
    <cellStyle name="Обычный 12 4 4 2 5" xfId="23894"/>
    <cellStyle name="Обычный 12 4 4 3" xfId="25726"/>
    <cellStyle name="Обычный 12 4 4 3 2" xfId="33037"/>
    <cellStyle name="Обычный 12 4 4 3 2 2" xfId="47857"/>
    <cellStyle name="Обычный 12 4 4 3 3" xfId="40579"/>
    <cellStyle name="Обычный 12 4 4 4" xfId="29383"/>
    <cellStyle name="Обычный 12 4 4 4 2" xfId="44207"/>
    <cellStyle name="Обычный 12 4 4 5" xfId="36984"/>
    <cellStyle name="Обычный 12 4 4 6" xfId="22065"/>
    <cellStyle name="Обычный 12 4 5" xfId="19213"/>
    <cellStyle name="Обычный 12 4 5 2" xfId="26583"/>
    <cellStyle name="Обычный 12 4 5 2 2" xfId="33894"/>
    <cellStyle name="Обычный 12 4 5 2 2 2" xfId="48714"/>
    <cellStyle name="Обычный 12 4 5 2 3" xfId="41423"/>
    <cellStyle name="Обычный 12 4 5 3" xfId="30240"/>
    <cellStyle name="Обычный 12 4 5 3 2" xfId="45063"/>
    <cellStyle name="Обычный 12 4 5 4" xfId="37737"/>
    <cellStyle name="Обычный 12 4 5 5" xfId="22925"/>
    <cellStyle name="Обычный 12 4 6" xfId="24740"/>
    <cellStyle name="Обычный 12 4 6 2" xfId="32051"/>
    <cellStyle name="Обычный 12 4 6 2 2" xfId="46874"/>
    <cellStyle name="Обычный 12 4 6 3" xfId="39643"/>
    <cellStyle name="Обычный 12 4 7" xfId="28397"/>
    <cellStyle name="Обычный 12 4 7 2" xfId="43234"/>
    <cellStyle name="Обычный 12 4 8" xfId="35759"/>
    <cellStyle name="Обычный 12 4 9" xfId="21079"/>
    <cellStyle name="Обычный 12 5" xfId="17169"/>
    <cellStyle name="Обычный 12 5 2" xfId="17272"/>
    <cellStyle name="Обычный 12 5 2 2" xfId="18119"/>
    <cellStyle name="Обычный 12 5 2 2 2" xfId="20723"/>
    <cellStyle name="Обычный 12 5 2 2 2 2" xfId="28049"/>
    <cellStyle name="Обычный 12 5 2 2 2 2 2" xfId="35360"/>
    <cellStyle name="Обычный 12 5 2 2 2 2 2 2" xfId="50180"/>
    <cellStyle name="Обычный 12 5 2 2 2 2 3" xfId="42888"/>
    <cellStyle name="Обычный 12 5 2 2 2 3" xfId="31706"/>
    <cellStyle name="Обычный 12 5 2 2 2 3 2" xfId="46529"/>
    <cellStyle name="Обычный 12 5 2 2 2 4" xfId="39204"/>
    <cellStyle name="Обычный 12 5 2 2 2 5" xfId="24391"/>
    <cellStyle name="Обычный 12 5 2 2 3" xfId="26223"/>
    <cellStyle name="Обычный 12 5 2 2 3 2" xfId="33534"/>
    <cellStyle name="Обычный 12 5 2 2 3 2 2" xfId="48354"/>
    <cellStyle name="Обычный 12 5 2 2 3 3" xfId="41067"/>
    <cellStyle name="Обычный 12 5 2 2 4" xfId="29880"/>
    <cellStyle name="Обычный 12 5 2 2 4 2" xfId="44704"/>
    <cellStyle name="Обычный 12 5 2 2 5" xfId="36775"/>
    <cellStyle name="Обычный 12 5 2 2 6" xfId="22562"/>
    <cellStyle name="Обычный 12 5 2 3" xfId="18844"/>
    <cellStyle name="Обычный 12 5 2 3 2" xfId="27143"/>
    <cellStyle name="Обычный 12 5 2 3 2 2" xfId="34454"/>
    <cellStyle name="Обычный 12 5 2 3 2 2 2" xfId="49274"/>
    <cellStyle name="Обычный 12 5 2 3 2 3" xfId="41983"/>
    <cellStyle name="Обычный 12 5 2 3 3" xfId="30800"/>
    <cellStyle name="Обычный 12 5 2 3 3 2" xfId="45623"/>
    <cellStyle name="Обычный 12 5 2 3 4" xfId="37480"/>
    <cellStyle name="Обычный 12 5 2 3 5" xfId="23485"/>
    <cellStyle name="Обычный 12 5 2 4" xfId="19774"/>
    <cellStyle name="Обычный 12 5 2 4 2" xfId="32613"/>
    <cellStyle name="Обычный 12 5 2 4 2 2" xfId="47436"/>
    <cellStyle name="Обычный 12 5 2 4 3" xfId="38297"/>
    <cellStyle name="Обычный 12 5 2 4 4" xfId="25302"/>
    <cellStyle name="Обычный 12 5 2 5" xfId="28959"/>
    <cellStyle name="Обычный 12 5 2 5 2" xfId="43796"/>
    <cellStyle name="Обычный 12 5 2 6" xfId="36210"/>
    <cellStyle name="Обычный 12 5 2 7" xfId="21641"/>
    <cellStyle name="Обычный 12 5 3" xfId="17730"/>
    <cellStyle name="Обычный 12 5 3 2" xfId="20228"/>
    <cellStyle name="Обычный 12 5 3 2 2" xfId="27554"/>
    <cellStyle name="Обычный 12 5 3 2 2 2" xfId="34865"/>
    <cellStyle name="Обычный 12 5 3 2 2 2 2" xfId="49685"/>
    <cellStyle name="Обычный 12 5 3 2 2 3" xfId="42393"/>
    <cellStyle name="Обычный 12 5 3 2 3" xfId="31211"/>
    <cellStyle name="Обычный 12 5 3 2 3 2" xfId="46034"/>
    <cellStyle name="Обычный 12 5 3 2 4" xfId="38709"/>
    <cellStyle name="Обычный 12 5 3 2 5" xfId="23896"/>
    <cellStyle name="Обычный 12 5 3 3" xfId="25728"/>
    <cellStyle name="Обычный 12 5 3 3 2" xfId="33039"/>
    <cellStyle name="Обычный 12 5 3 3 2 2" xfId="47859"/>
    <cellStyle name="Обычный 12 5 3 3 3" xfId="40581"/>
    <cellStyle name="Обычный 12 5 3 4" xfId="29385"/>
    <cellStyle name="Обычный 12 5 3 4 2" xfId="44209"/>
    <cellStyle name="Обычный 12 5 3 5" xfId="36686"/>
    <cellStyle name="Обычный 12 5 3 6" xfId="22067"/>
    <cellStyle name="Обычный 12 5 4" xfId="18346"/>
    <cellStyle name="Обычный 12 5 4 2" xfId="26693"/>
    <cellStyle name="Обычный 12 5 4 2 2" xfId="34004"/>
    <cellStyle name="Обычный 12 5 4 2 2 2" xfId="48824"/>
    <cellStyle name="Обычный 12 5 4 2 3" xfId="41533"/>
    <cellStyle name="Обычный 12 5 4 3" xfId="30350"/>
    <cellStyle name="Обычный 12 5 4 3 2" xfId="45173"/>
    <cellStyle name="Обычный 12 5 4 4" xfId="36986"/>
    <cellStyle name="Обычный 12 5 4 5" xfId="23035"/>
    <cellStyle name="Обычный 12 5 5" xfId="19323"/>
    <cellStyle name="Обычный 12 5 5 2" xfId="32163"/>
    <cellStyle name="Обычный 12 5 5 2 2" xfId="46986"/>
    <cellStyle name="Обычный 12 5 5 3" xfId="37847"/>
    <cellStyle name="Обычный 12 5 5 4" xfId="24852"/>
    <cellStyle name="Обычный 12 5 6" xfId="28509"/>
    <cellStyle name="Обычный 12 5 6 2" xfId="43346"/>
    <cellStyle name="Обычный 12 5 7" xfId="35761"/>
    <cellStyle name="Обычный 12 5 8" xfId="21191"/>
    <cellStyle name="Обычный 12 6" xfId="17506"/>
    <cellStyle name="Обычный 12 6 2" xfId="18620"/>
    <cellStyle name="Обычный 12 6 2 2" xfId="20499"/>
    <cellStyle name="Обычный 12 6 2 2 2" xfId="27825"/>
    <cellStyle name="Обычный 12 6 2 2 2 2" xfId="35136"/>
    <cellStyle name="Обычный 12 6 2 2 2 2 2" xfId="49956"/>
    <cellStyle name="Обычный 12 6 2 2 2 3" xfId="42664"/>
    <cellStyle name="Обычный 12 6 2 2 3" xfId="31482"/>
    <cellStyle name="Обычный 12 6 2 2 3 2" xfId="46305"/>
    <cellStyle name="Обычный 12 6 2 2 4" xfId="38980"/>
    <cellStyle name="Обычный 12 6 2 2 5" xfId="24167"/>
    <cellStyle name="Обычный 12 6 2 3" xfId="25999"/>
    <cellStyle name="Обычный 12 6 2 3 2" xfId="33310"/>
    <cellStyle name="Обычный 12 6 2 3 2 2" xfId="48130"/>
    <cellStyle name="Обычный 12 6 2 3 3" xfId="40843"/>
    <cellStyle name="Обычный 12 6 2 4" xfId="29656"/>
    <cellStyle name="Обычный 12 6 2 4 2" xfId="44480"/>
    <cellStyle name="Обычный 12 6 2 5" xfId="37257"/>
    <cellStyle name="Обычный 12 6 2 6" xfId="22338"/>
    <cellStyle name="Обычный 12 6 3" xfId="19550"/>
    <cellStyle name="Обычный 12 6 3 2" xfId="26919"/>
    <cellStyle name="Обычный 12 6 3 2 2" xfId="34230"/>
    <cellStyle name="Обычный 12 6 3 2 2 2" xfId="49050"/>
    <cellStyle name="Обычный 12 6 3 2 3" xfId="41759"/>
    <cellStyle name="Обычный 12 6 3 3" xfId="30576"/>
    <cellStyle name="Обычный 12 6 3 3 2" xfId="45399"/>
    <cellStyle name="Обычный 12 6 3 4" xfId="38073"/>
    <cellStyle name="Обычный 12 6 3 5" xfId="23261"/>
    <cellStyle name="Обычный 12 6 4" xfId="25078"/>
    <cellStyle name="Обычный 12 6 4 2" xfId="32389"/>
    <cellStyle name="Обычный 12 6 4 2 2" xfId="47212"/>
    <cellStyle name="Обычный 12 6 4 3" xfId="39973"/>
    <cellStyle name="Обычный 12 6 5" xfId="28735"/>
    <cellStyle name="Обычный 12 6 5 2" xfId="43572"/>
    <cellStyle name="Обычный 12 6 6" xfId="36037"/>
    <cellStyle name="Обычный 12 6 7" xfId="21417"/>
    <cellStyle name="Обычный 12 7" xfId="17992"/>
    <cellStyle name="Обычный 12 7 2" xfId="18177"/>
    <cellStyle name="Обычный 12 7 2 2" xfId="27385"/>
    <cellStyle name="Обычный 12 7 2 2 2" xfId="34696"/>
    <cellStyle name="Обычный 12 7 2 2 2 2" xfId="49516"/>
    <cellStyle name="Обычный 12 7 2 2 3" xfId="42224"/>
    <cellStyle name="Обычный 12 7 2 3" xfId="31042"/>
    <cellStyle name="Обычный 12 7 2 3 2" xfId="45865"/>
    <cellStyle name="Обычный 12 7 2 4" xfId="36817"/>
    <cellStyle name="Обычный 12 7 2 5" xfId="23727"/>
    <cellStyle name="Обычный 12 7 3" xfId="20059"/>
    <cellStyle name="Обычный 12 7 3 2" xfId="32870"/>
    <cellStyle name="Обычный 12 7 3 2 2" xfId="47690"/>
    <cellStyle name="Обычный 12 7 3 3" xfId="38540"/>
    <cellStyle name="Обычный 12 7 3 4" xfId="25559"/>
    <cellStyle name="Обычный 12 7 4" xfId="29216"/>
    <cellStyle name="Обычный 12 7 4 2" xfId="44040"/>
    <cellStyle name="Обычный 12 7 5" xfId="36697"/>
    <cellStyle name="Обычный 12 7 6" xfId="21898"/>
    <cellStyle name="Обычный 12 8" xfId="20008"/>
    <cellStyle name="Обычный 12 9" xfId="19106"/>
    <cellStyle name="Обычный 12 9 2" xfId="26483"/>
    <cellStyle name="Обычный 12 9 2 2" xfId="33794"/>
    <cellStyle name="Обычный 12 9 2 2 2" xfId="48614"/>
    <cellStyle name="Обычный 12 9 2 3" xfId="41323"/>
    <cellStyle name="Обычный 12 9 3" xfId="30140"/>
    <cellStyle name="Обычный 12 9 3 2" xfId="44963"/>
    <cellStyle name="Обычный 12 9 4" xfId="37637"/>
    <cellStyle name="Обычный 12 9 5" xfId="22825"/>
    <cellStyle name="Обычный 121 2" xfId="16915"/>
    <cellStyle name="Обычный 124" xfId="16916"/>
    <cellStyle name="Обычный 124 10" xfId="18607"/>
    <cellStyle name="Обычный 124 10 2" xfId="20487"/>
    <cellStyle name="Обычный 124 10 2 2" xfId="24155"/>
    <cellStyle name="Обычный 124 10 2 2 2" xfId="27813"/>
    <cellStyle name="Обычный 124 10 2 2 2 2" xfId="35124"/>
    <cellStyle name="Обычный 124 10 2 2 2 2 2" xfId="49944"/>
    <cellStyle name="Обычный 124 10 2 2 2 3" xfId="42652"/>
    <cellStyle name="Обычный 124 10 2 2 3" xfId="31470"/>
    <cellStyle name="Обычный 124 10 2 2 3 2" xfId="46293"/>
    <cellStyle name="Обычный 124 10 2 2 4" xfId="39427"/>
    <cellStyle name="Обычный 124 10 2 3" xfId="25987"/>
    <cellStyle name="Обычный 124 10 2 3 2" xfId="33298"/>
    <cellStyle name="Обычный 124 10 2 3 2 2" xfId="48118"/>
    <cellStyle name="Обычный 124 10 2 3 3" xfId="40831"/>
    <cellStyle name="Обычный 124 10 2 4" xfId="29644"/>
    <cellStyle name="Обычный 124 10 2 4 2" xfId="44468"/>
    <cellStyle name="Обычный 124 10 2 5" xfId="38968"/>
    <cellStyle name="Обычный 124 10 2 6" xfId="22326"/>
    <cellStyle name="Обычный 124 10 3" xfId="19537"/>
    <cellStyle name="Обычный 124 10 3 2" xfId="26907"/>
    <cellStyle name="Обычный 124 10 3 2 2" xfId="34218"/>
    <cellStyle name="Обычный 124 10 3 2 2 2" xfId="49038"/>
    <cellStyle name="Обычный 124 10 3 2 3" xfId="41747"/>
    <cellStyle name="Обычный 124 10 3 3" xfId="30564"/>
    <cellStyle name="Обычный 124 10 3 3 2" xfId="45387"/>
    <cellStyle name="Обычный 124 10 3 4" xfId="38061"/>
    <cellStyle name="Обычный 124 10 3 5" xfId="23249"/>
    <cellStyle name="Обычный 124 10 4" xfId="25066"/>
    <cellStyle name="Обычный 124 10 4 2" xfId="32377"/>
    <cellStyle name="Обычный 124 10 4 2 2" xfId="47200"/>
    <cellStyle name="Обычный 124 10 4 3" xfId="39961"/>
    <cellStyle name="Обычный 124 10 5" xfId="28723"/>
    <cellStyle name="Обычный 124 10 5 2" xfId="43560"/>
    <cellStyle name="Обычный 124 10 6" xfId="37245"/>
    <cellStyle name="Обычный 124 10 7" xfId="21405"/>
    <cellStyle name="Обычный 124 11" xfId="19058"/>
    <cellStyle name="Обычный 124 11 2" xfId="20937"/>
    <cellStyle name="Обычный 124 11 2 2" xfId="24605"/>
    <cellStyle name="Обычный 124 11 2 2 2" xfId="28263"/>
    <cellStyle name="Обычный 124 11 2 2 2 2" xfId="35574"/>
    <cellStyle name="Обычный 124 11 2 2 2 2 2" xfId="50394"/>
    <cellStyle name="Обычный 124 11 2 2 2 3" xfId="43102"/>
    <cellStyle name="Обычный 124 11 2 2 3" xfId="31920"/>
    <cellStyle name="Обычный 124 11 2 2 3 2" xfId="46743"/>
    <cellStyle name="Обычный 124 11 2 2 4" xfId="39535"/>
    <cellStyle name="Обычный 124 11 2 3" xfId="26437"/>
    <cellStyle name="Обычный 124 11 2 3 2" xfId="33748"/>
    <cellStyle name="Обычный 124 11 2 3 2 2" xfId="48568"/>
    <cellStyle name="Обычный 124 11 2 3 3" xfId="41281"/>
    <cellStyle name="Обычный 124 11 2 4" xfId="30094"/>
    <cellStyle name="Обычный 124 11 2 4 2" xfId="44918"/>
    <cellStyle name="Обычный 124 11 2 5" xfId="39418"/>
    <cellStyle name="Обычный 124 11 2 6" xfId="22776"/>
    <cellStyle name="Обычный 124 11 3" xfId="19988"/>
    <cellStyle name="Обычный 124 11 3 2" xfId="27357"/>
    <cellStyle name="Обычный 124 11 3 2 2" xfId="34668"/>
    <cellStyle name="Обычный 124 11 3 2 2 2" xfId="49488"/>
    <cellStyle name="Обычный 124 11 3 2 3" xfId="42197"/>
    <cellStyle name="Обычный 124 11 3 3" xfId="31014"/>
    <cellStyle name="Обычный 124 11 3 3 2" xfId="45837"/>
    <cellStyle name="Обычный 124 11 3 4" xfId="38511"/>
    <cellStyle name="Обычный 124 11 3 5" xfId="23699"/>
    <cellStyle name="Обычный 124 11 4" xfId="25516"/>
    <cellStyle name="Обычный 124 11 4 2" xfId="32827"/>
    <cellStyle name="Обычный 124 11 4 2 2" xfId="47650"/>
    <cellStyle name="Обычный 124 11 4 3" xfId="40404"/>
    <cellStyle name="Обычный 124 11 5" xfId="29173"/>
    <cellStyle name="Обычный 124 11 5 2" xfId="44010"/>
    <cellStyle name="Обычный 124 11 6" xfId="37591"/>
    <cellStyle name="Обычный 124 11 7" xfId="21855"/>
    <cellStyle name="Обычный 124 12" xfId="18128"/>
    <cellStyle name="Обычный 124 12 2" xfId="20035"/>
    <cellStyle name="Обычный 124 12 2 2" xfId="27363"/>
    <cellStyle name="Обычный 124 12 2 2 2" xfId="34674"/>
    <cellStyle name="Обычный 124 12 2 2 2 2" xfId="49494"/>
    <cellStyle name="Обычный 124 12 2 2 3" xfId="42203"/>
    <cellStyle name="Обычный 124 12 2 3" xfId="31020"/>
    <cellStyle name="Обычный 124 12 2 3 2" xfId="45843"/>
    <cellStyle name="Обычный 124 12 2 4" xfId="38518"/>
    <cellStyle name="Обычный 124 12 2 5" xfId="23705"/>
    <cellStyle name="Обычный 124 12 3" xfId="25525"/>
    <cellStyle name="Обычный 124 12 3 2" xfId="32836"/>
    <cellStyle name="Обычный 124 12 3 2 2" xfId="47657"/>
    <cellStyle name="Обычный 124 12 3 3" xfId="40410"/>
    <cellStyle name="Обычный 124 12 4" xfId="29182"/>
    <cellStyle name="Обычный 124 12 4 2" xfId="44017"/>
    <cellStyle name="Обычный 124 12 5" xfId="36783"/>
    <cellStyle name="Обычный 124 12 6" xfId="21864"/>
    <cellStyle name="Обычный 124 13" xfId="19066"/>
    <cellStyle name="Обычный 124 13 2" xfId="26445"/>
    <cellStyle name="Обычный 124 13 2 2" xfId="33756"/>
    <cellStyle name="Обычный 124 13 2 2 2" xfId="48576"/>
    <cellStyle name="Обычный 124 13 2 3" xfId="41287"/>
    <cellStyle name="Обычный 124 13 3" xfId="30102"/>
    <cellStyle name="Обычный 124 13 3 2" xfId="44926"/>
    <cellStyle name="Обычный 124 13 4" xfId="37599"/>
    <cellStyle name="Обычный 124 13 5" xfId="22787"/>
    <cellStyle name="Обычный 124 14" xfId="24613"/>
    <cellStyle name="Обычный 124 14 2" xfId="31927"/>
    <cellStyle name="Обычный 124 14 2 2" xfId="46750"/>
    <cellStyle name="Обычный 124 14 3" xfId="39538"/>
    <cellStyle name="Обычный 124 15" xfId="28271"/>
    <cellStyle name="Обычный 124 15 2" xfId="43110"/>
    <cellStyle name="Обычный 124 16" xfId="35583"/>
    <cellStyle name="Обычный 124 17" xfId="20953"/>
    <cellStyle name="Обычный 124 2" xfId="16979"/>
    <cellStyle name="Обычный 124 2 10" xfId="19069"/>
    <cellStyle name="Обычный 124 2 10 2" xfId="26448"/>
    <cellStyle name="Обычный 124 2 10 2 2" xfId="33759"/>
    <cellStyle name="Обычный 124 2 10 2 2 2" xfId="48579"/>
    <cellStyle name="Обычный 124 2 10 2 3" xfId="41290"/>
    <cellStyle name="Обычный 124 2 10 3" xfId="30105"/>
    <cellStyle name="Обычный 124 2 10 3 2" xfId="44929"/>
    <cellStyle name="Обычный 124 2 10 4" xfId="37602"/>
    <cellStyle name="Обычный 124 2 10 5" xfId="22790"/>
    <cellStyle name="Обычный 124 2 11" xfId="24619"/>
    <cellStyle name="Обычный 124 2 11 2" xfId="31930"/>
    <cellStyle name="Обычный 124 2 11 2 2" xfId="46753"/>
    <cellStyle name="Обычный 124 2 11 3" xfId="39541"/>
    <cellStyle name="Обычный 124 2 12" xfId="28276"/>
    <cellStyle name="Обычный 124 2 12 2" xfId="43113"/>
    <cellStyle name="Обычный 124 2 13" xfId="35586"/>
    <cellStyle name="Обычный 124 2 14" xfId="20958"/>
    <cellStyle name="Обычный 124 2 2" xfId="17032"/>
    <cellStyle name="Обычный 124 2 2 10" xfId="24626"/>
    <cellStyle name="Обычный 124 2 2 10 2" xfId="31937"/>
    <cellStyle name="Обычный 124 2 2 10 2 2" xfId="46760"/>
    <cellStyle name="Обычный 124 2 2 10 3" xfId="39548"/>
    <cellStyle name="Обычный 124 2 2 11" xfId="28283"/>
    <cellStyle name="Обычный 124 2 2 11 2" xfId="43120"/>
    <cellStyle name="Обычный 124 2 2 12" xfId="35762"/>
    <cellStyle name="Обычный 124 2 2 13" xfId="20965"/>
    <cellStyle name="Обычный 124 2 2 2" xfId="17150"/>
    <cellStyle name="Обычный 124 2 2 2 10" xfId="28297"/>
    <cellStyle name="Обычный 124 2 2 2 10 2" xfId="43134"/>
    <cellStyle name="Обычный 124 2 2 2 11" xfId="35763"/>
    <cellStyle name="Обычный 124 2 2 2 12" xfId="20979"/>
    <cellStyle name="Обычный 124 2 2 2 2" xfId="17216"/>
    <cellStyle name="Обычный 124 2 2 2 2 10" xfId="35764"/>
    <cellStyle name="Обычный 124 2 2 2 2 11" xfId="21007"/>
    <cellStyle name="Обычный 124 2 2 2 2 2" xfId="17373"/>
    <cellStyle name="Обычный 124 2 2 2 2 2 10" xfId="21063"/>
    <cellStyle name="Обычный 124 2 2 2 2 2 2" xfId="17488"/>
    <cellStyle name="Обычный 124 2 2 2 2 2 2 2" xfId="17938"/>
    <cellStyle name="Обычный 124 2 2 2 2 2 2 2 2" xfId="19052"/>
    <cellStyle name="Обычный 124 2 2 2 2 2 2 2 2 2" xfId="20931"/>
    <cellStyle name="Обычный 124 2 2 2 2 2 2 2 2 2 2" xfId="24599"/>
    <cellStyle name="Обычный 124 2 2 2 2 2 2 2 2 2 2 2" xfId="28257"/>
    <cellStyle name="Обычный 124 2 2 2 2 2 2 2 2 2 2 2 2" xfId="35568"/>
    <cellStyle name="Обычный 124 2 2 2 2 2 2 2 2 2 2 2 2 2" xfId="50388"/>
    <cellStyle name="Обычный 124 2 2 2 2 2 2 2 2 2 2 2 3" xfId="43096"/>
    <cellStyle name="Обычный 124 2 2 2 2 2 2 2 2 2 2 3" xfId="31914"/>
    <cellStyle name="Обычный 124 2 2 2 2 2 2 2 2 2 2 3 2" xfId="46737"/>
    <cellStyle name="Обычный 124 2 2 2 2 2 2 2 2 2 2 4" xfId="39531"/>
    <cellStyle name="Обычный 124 2 2 2 2 2 2 2 2 2 3" xfId="26431"/>
    <cellStyle name="Обычный 124 2 2 2 2 2 2 2 2 2 3 2" xfId="33742"/>
    <cellStyle name="Обычный 124 2 2 2 2 2 2 2 2 2 3 2 2" xfId="48562"/>
    <cellStyle name="Обычный 124 2 2 2 2 2 2 2 2 2 3 3" xfId="41275"/>
    <cellStyle name="Обычный 124 2 2 2 2 2 2 2 2 2 4" xfId="30088"/>
    <cellStyle name="Обычный 124 2 2 2 2 2 2 2 2 2 4 2" xfId="44912"/>
    <cellStyle name="Обычный 124 2 2 2 2 2 2 2 2 2 5" xfId="39412"/>
    <cellStyle name="Обычный 124 2 2 2 2 2 2 2 2 2 6" xfId="22770"/>
    <cellStyle name="Обычный 124 2 2 2 2 2 2 2 2 3" xfId="19982"/>
    <cellStyle name="Обычный 124 2 2 2 2 2 2 2 2 3 2" xfId="27351"/>
    <cellStyle name="Обычный 124 2 2 2 2 2 2 2 2 3 2 2" xfId="34662"/>
    <cellStyle name="Обычный 124 2 2 2 2 2 2 2 2 3 2 2 2" xfId="49482"/>
    <cellStyle name="Обычный 124 2 2 2 2 2 2 2 2 3 2 3" xfId="42191"/>
    <cellStyle name="Обычный 124 2 2 2 2 2 2 2 2 3 3" xfId="31008"/>
    <cellStyle name="Обычный 124 2 2 2 2 2 2 2 2 3 3 2" xfId="45831"/>
    <cellStyle name="Обычный 124 2 2 2 2 2 2 2 2 3 4" xfId="38505"/>
    <cellStyle name="Обычный 124 2 2 2 2 2 2 2 2 3 5" xfId="23693"/>
    <cellStyle name="Обычный 124 2 2 2 2 2 2 2 2 4" xfId="25510"/>
    <cellStyle name="Обычный 124 2 2 2 2 2 2 2 2 4 2" xfId="32821"/>
    <cellStyle name="Обычный 124 2 2 2 2 2 2 2 2 4 2 2" xfId="47644"/>
    <cellStyle name="Обычный 124 2 2 2 2 2 2 2 2 4 3" xfId="40398"/>
    <cellStyle name="Обычный 124 2 2 2 2 2 2 2 2 5" xfId="29167"/>
    <cellStyle name="Обычный 124 2 2 2 2 2 2 2 2 5 2" xfId="44004"/>
    <cellStyle name="Обычный 124 2 2 2 2 2 2 2 2 6" xfId="36216"/>
    <cellStyle name="Обычный 124 2 2 2 2 2 2 2 2 7" xfId="21849"/>
    <cellStyle name="Обычный 124 2 2 2 2 2 2 2 3" xfId="18350"/>
    <cellStyle name="Обычный 124 2 2 2 2 2 2 2 3 2" xfId="20232"/>
    <cellStyle name="Обычный 124 2 2 2 2 2 2 2 3 2 2" xfId="27558"/>
    <cellStyle name="Обычный 124 2 2 2 2 2 2 2 3 2 2 2" xfId="34869"/>
    <cellStyle name="Обычный 124 2 2 2 2 2 2 2 3 2 2 2 2" xfId="49689"/>
    <cellStyle name="Обычный 124 2 2 2 2 2 2 2 3 2 2 3" xfId="42397"/>
    <cellStyle name="Обычный 124 2 2 2 2 2 2 2 3 2 3" xfId="31215"/>
    <cellStyle name="Обычный 124 2 2 2 2 2 2 2 3 2 3 2" xfId="46038"/>
    <cellStyle name="Обычный 124 2 2 2 2 2 2 2 3 2 4" xfId="38713"/>
    <cellStyle name="Обычный 124 2 2 2 2 2 2 2 3 2 5" xfId="23900"/>
    <cellStyle name="Обычный 124 2 2 2 2 2 2 2 3 3" xfId="25732"/>
    <cellStyle name="Обычный 124 2 2 2 2 2 2 2 3 3 2" xfId="33043"/>
    <cellStyle name="Обычный 124 2 2 2 2 2 2 2 3 3 2 2" xfId="47863"/>
    <cellStyle name="Обычный 124 2 2 2 2 2 2 2 3 3 3" xfId="40585"/>
    <cellStyle name="Обычный 124 2 2 2 2 2 2 2 3 4" xfId="29389"/>
    <cellStyle name="Обычный 124 2 2 2 2 2 2 2 3 4 2" xfId="44213"/>
    <cellStyle name="Обычный 124 2 2 2 2 2 2 2 3 5" xfId="36990"/>
    <cellStyle name="Обычный 124 2 2 2 2 2 2 2 3 6" xfId="22071"/>
    <cellStyle name="Обычный 124 2 2 2 2 2 2 2 4" xfId="19531"/>
    <cellStyle name="Обычный 124 2 2 2 2 2 2 2 4 2" xfId="26901"/>
    <cellStyle name="Обычный 124 2 2 2 2 2 2 2 4 2 2" xfId="34212"/>
    <cellStyle name="Обычный 124 2 2 2 2 2 2 2 4 2 2 2" xfId="49032"/>
    <cellStyle name="Обычный 124 2 2 2 2 2 2 2 4 2 3" xfId="41741"/>
    <cellStyle name="Обычный 124 2 2 2 2 2 2 2 4 3" xfId="30558"/>
    <cellStyle name="Обычный 124 2 2 2 2 2 2 2 4 3 2" xfId="45381"/>
    <cellStyle name="Обычный 124 2 2 2 2 2 2 2 4 4" xfId="38055"/>
    <cellStyle name="Обычный 124 2 2 2 2 2 2 2 4 5" xfId="23243"/>
    <cellStyle name="Обычный 124 2 2 2 2 2 2 2 5" xfId="25060"/>
    <cellStyle name="Обычный 124 2 2 2 2 2 2 2 5 2" xfId="32371"/>
    <cellStyle name="Обычный 124 2 2 2 2 2 2 2 5 2 2" xfId="47194"/>
    <cellStyle name="Обычный 124 2 2 2 2 2 2 2 5 3" xfId="39955"/>
    <cellStyle name="Обычный 124 2 2 2 2 2 2 2 6" xfId="28717"/>
    <cellStyle name="Обычный 124 2 2 2 2 2 2 2 6 2" xfId="43554"/>
    <cellStyle name="Обычный 124 2 2 2 2 2 2 2 7" xfId="35767"/>
    <cellStyle name="Обычный 124 2 2 2 2 2 2 2 8" xfId="21399"/>
    <cellStyle name="Обычный 124 2 2 2 2 2 2 3" xfId="17714"/>
    <cellStyle name="Обычный 124 2 2 2 2 2 2 3 2" xfId="18828"/>
    <cellStyle name="Обычный 124 2 2 2 2 2 2 3 2 2" xfId="20707"/>
    <cellStyle name="Обычный 124 2 2 2 2 2 2 3 2 2 2" xfId="28033"/>
    <cellStyle name="Обычный 124 2 2 2 2 2 2 3 2 2 2 2" xfId="35344"/>
    <cellStyle name="Обычный 124 2 2 2 2 2 2 3 2 2 2 2 2" xfId="50164"/>
    <cellStyle name="Обычный 124 2 2 2 2 2 2 3 2 2 2 3" xfId="42872"/>
    <cellStyle name="Обычный 124 2 2 2 2 2 2 3 2 2 3" xfId="31690"/>
    <cellStyle name="Обычный 124 2 2 2 2 2 2 3 2 2 3 2" xfId="46513"/>
    <cellStyle name="Обычный 124 2 2 2 2 2 2 3 2 2 4" xfId="39188"/>
    <cellStyle name="Обычный 124 2 2 2 2 2 2 3 2 2 5" xfId="24375"/>
    <cellStyle name="Обычный 124 2 2 2 2 2 2 3 2 3" xfId="26207"/>
    <cellStyle name="Обычный 124 2 2 2 2 2 2 3 2 3 2" xfId="33518"/>
    <cellStyle name="Обычный 124 2 2 2 2 2 2 3 2 3 2 2" xfId="48338"/>
    <cellStyle name="Обычный 124 2 2 2 2 2 2 3 2 3 3" xfId="41051"/>
    <cellStyle name="Обычный 124 2 2 2 2 2 2 3 2 4" xfId="29864"/>
    <cellStyle name="Обычный 124 2 2 2 2 2 2 3 2 4 2" xfId="44688"/>
    <cellStyle name="Обычный 124 2 2 2 2 2 2 3 2 5" xfId="37465"/>
    <cellStyle name="Обычный 124 2 2 2 2 2 2 3 2 6" xfId="22546"/>
    <cellStyle name="Обычный 124 2 2 2 2 2 2 3 3" xfId="19758"/>
    <cellStyle name="Обычный 124 2 2 2 2 2 2 3 3 2" xfId="27127"/>
    <cellStyle name="Обычный 124 2 2 2 2 2 2 3 3 2 2" xfId="34438"/>
    <cellStyle name="Обычный 124 2 2 2 2 2 2 3 3 2 2 2" xfId="49258"/>
    <cellStyle name="Обычный 124 2 2 2 2 2 2 3 3 2 3" xfId="41967"/>
    <cellStyle name="Обычный 124 2 2 2 2 2 2 3 3 3" xfId="30784"/>
    <cellStyle name="Обычный 124 2 2 2 2 2 2 3 3 3 2" xfId="45607"/>
    <cellStyle name="Обычный 124 2 2 2 2 2 2 3 3 4" xfId="38281"/>
    <cellStyle name="Обычный 124 2 2 2 2 2 2 3 3 5" xfId="23469"/>
    <cellStyle name="Обычный 124 2 2 2 2 2 2 3 4" xfId="25286"/>
    <cellStyle name="Обычный 124 2 2 2 2 2 2 3 4 2" xfId="32597"/>
    <cellStyle name="Обычный 124 2 2 2 2 2 2 3 4 2 2" xfId="47420"/>
    <cellStyle name="Обычный 124 2 2 2 2 2 2 3 4 3" xfId="40178"/>
    <cellStyle name="Обычный 124 2 2 2 2 2 2 3 5" xfId="28943"/>
    <cellStyle name="Обычный 124 2 2 2 2 2 2 3 5 2" xfId="43780"/>
    <cellStyle name="Обычный 124 2 2 2 2 2 2 3 6" xfId="36215"/>
    <cellStyle name="Обычный 124 2 2 2 2 2 2 3 7" xfId="21625"/>
    <cellStyle name="Обычный 124 2 2 2 2 2 2 4" xfId="18349"/>
    <cellStyle name="Обычный 124 2 2 2 2 2 2 4 2" xfId="20231"/>
    <cellStyle name="Обычный 124 2 2 2 2 2 2 4 2 2" xfId="27557"/>
    <cellStyle name="Обычный 124 2 2 2 2 2 2 4 2 2 2" xfId="34868"/>
    <cellStyle name="Обычный 124 2 2 2 2 2 2 4 2 2 2 2" xfId="49688"/>
    <cellStyle name="Обычный 124 2 2 2 2 2 2 4 2 2 3" xfId="42396"/>
    <cellStyle name="Обычный 124 2 2 2 2 2 2 4 2 3" xfId="31214"/>
    <cellStyle name="Обычный 124 2 2 2 2 2 2 4 2 3 2" xfId="46037"/>
    <cellStyle name="Обычный 124 2 2 2 2 2 2 4 2 4" xfId="38712"/>
    <cellStyle name="Обычный 124 2 2 2 2 2 2 4 2 5" xfId="23899"/>
    <cellStyle name="Обычный 124 2 2 2 2 2 2 4 3" xfId="25731"/>
    <cellStyle name="Обычный 124 2 2 2 2 2 2 4 3 2" xfId="33042"/>
    <cellStyle name="Обычный 124 2 2 2 2 2 2 4 3 2 2" xfId="47862"/>
    <cellStyle name="Обычный 124 2 2 2 2 2 2 4 3 3" xfId="40584"/>
    <cellStyle name="Обычный 124 2 2 2 2 2 2 4 4" xfId="29388"/>
    <cellStyle name="Обычный 124 2 2 2 2 2 2 4 4 2" xfId="44212"/>
    <cellStyle name="Обычный 124 2 2 2 2 2 2 4 5" xfId="36989"/>
    <cellStyle name="Обычный 124 2 2 2 2 2 2 4 6" xfId="22070"/>
    <cellStyle name="Обычный 124 2 2 2 2 2 2 5" xfId="19307"/>
    <cellStyle name="Обычный 124 2 2 2 2 2 2 5 2" xfId="26677"/>
    <cellStyle name="Обычный 124 2 2 2 2 2 2 5 2 2" xfId="33988"/>
    <cellStyle name="Обычный 124 2 2 2 2 2 2 5 2 2 2" xfId="48808"/>
    <cellStyle name="Обычный 124 2 2 2 2 2 2 5 2 3" xfId="41517"/>
    <cellStyle name="Обычный 124 2 2 2 2 2 2 5 3" xfId="30334"/>
    <cellStyle name="Обычный 124 2 2 2 2 2 2 5 3 2" xfId="45157"/>
    <cellStyle name="Обычный 124 2 2 2 2 2 2 5 4" xfId="37831"/>
    <cellStyle name="Обычный 124 2 2 2 2 2 2 5 5" xfId="23019"/>
    <cellStyle name="Обычный 124 2 2 2 2 2 2 6" xfId="24836"/>
    <cellStyle name="Обычный 124 2 2 2 2 2 2 6 2" xfId="32147"/>
    <cellStyle name="Обычный 124 2 2 2 2 2 2 6 2 2" xfId="46970"/>
    <cellStyle name="Обычный 124 2 2 2 2 2 2 6 3" xfId="39735"/>
    <cellStyle name="Обычный 124 2 2 2 2 2 2 7" xfId="28493"/>
    <cellStyle name="Обычный 124 2 2 2 2 2 2 7 2" xfId="43330"/>
    <cellStyle name="Обычный 124 2 2 2 2 2 2 8" xfId="35766"/>
    <cellStyle name="Обычный 124 2 2 2 2 2 2 9" xfId="21175"/>
    <cellStyle name="Обычный 124 2 2 2 2 2 3" xfId="17826"/>
    <cellStyle name="Обычный 124 2 2 2 2 2 3 2" xfId="18940"/>
    <cellStyle name="Обычный 124 2 2 2 2 2 3 2 2" xfId="20819"/>
    <cellStyle name="Обычный 124 2 2 2 2 2 3 2 2 2" xfId="24487"/>
    <cellStyle name="Обычный 124 2 2 2 2 2 3 2 2 2 2" xfId="28145"/>
    <cellStyle name="Обычный 124 2 2 2 2 2 3 2 2 2 2 2" xfId="35456"/>
    <cellStyle name="Обычный 124 2 2 2 2 2 3 2 2 2 2 2 2" xfId="50276"/>
    <cellStyle name="Обычный 124 2 2 2 2 2 3 2 2 2 2 3" xfId="42984"/>
    <cellStyle name="Обычный 124 2 2 2 2 2 3 2 2 2 3" xfId="31802"/>
    <cellStyle name="Обычный 124 2 2 2 2 2 3 2 2 2 3 2" xfId="46625"/>
    <cellStyle name="Обычный 124 2 2 2 2 2 3 2 2 2 4" xfId="39447"/>
    <cellStyle name="Обычный 124 2 2 2 2 2 3 2 2 3" xfId="26319"/>
    <cellStyle name="Обычный 124 2 2 2 2 2 3 2 2 3 2" xfId="33630"/>
    <cellStyle name="Обычный 124 2 2 2 2 2 3 2 2 3 2 2" xfId="48450"/>
    <cellStyle name="Обычный 124 2 2 2 2 2 3 2 2 3 3" xfId="41163"/>
    <cellStyle name="Обычный 124 2 2 2 2 2 3 2 2 4" xfId="29976"/>
    <cellStyle name="Обычный 124 2 2 2 2 2 3 2 2 4 2" xfId="44800"/>
    <cellStyle name="Обычный 124 2 2 2 2 2 3 2 2 5" xfId="39300"/>
    <cellStyle name="Обычный 124 2 2 2 2 2 3 2 2 6" xfId="22658"/>
    <cellStyle name="Обычный 124 2 2 2 2 2 3 2 3" xfId="19870"/>
    <cellStyle name="Обычный 124 2 2 2 2 2 3 2 3 2" xfId="27239"/>
    <cellStyle name="Обычный 124 2 2 2 2 2 3 2 3 2 2" xfId="34550"/>
    <cellStyle name="Обычный 124 2 2 2 2 2 3 2 3 2 2 2" xfId="49370"/>
    <cellStyle name="Обычный 124 2 2 2 2 2 3 2 3 2 3" xfId="42079"/>
    <cellStyle name="Обычный 124 2 2 2 2 2 3 2 3 3" xfId="30896"/>
    <cellStyle name="Обычный 124 2 2 2 2 2 3 2 3 3 2" xfId="45719"/>
    <cellStyle name="Обычный 124 2 2 2 2 2 3 2 3 4" xfId="38393"/>
    <cellStyle name="Обычный 124 2 2 2 2 2 3 2 3 5" xfId="23581"/>
    <cellStyle name="Обычный 124 2 2 2 2 2 3 2 4" xfId="25398"/>
    <cellStyle name="Обычный 124 2 2 2 2 2 3 2 4 2" xfId="32709"/>
    <cellStyle name="Обычный 124 2 2 2 2 2 3 2 4 2 2" xfId="47532"/>
    <cellStyle name="Обычный 124 2 2 2 2 2 3 2 4 3" xfId="40286"/>
    <cellStyle name="Обычный 124 2 2 2 2 2 3 2 5" xfId="29055"/>
    <cellStyle name="Обычный 124 2 2 2 2 2 3 2 5 2" xfId="43892"/>
    <cellStyle name="Обычный 124 2 2 2 2 2 3 2 6" xfId="36217"/>
    <cellStyle name="Обычный 124 2 2 2 2 2 3 2 7" xfId="21737"/>
    <cellStyle name="Обычный 124 2 2 2 2 2 3 3" xfId="18351"/>
    <cellStyle name="Обычный 124 2 2 2 2 2 3 3 2" xfId="20233"/>
    <cellStyle name="Обычный 124 2 2 2 2 2 3 3 2 2" xfId="27559"/>
    <cellStyle name="Обычный 124 2 2 2 2 2 3 3 2 2 2" xfId="34870"/>
    <cellStyle name="Обычный 124 2 2 2 2 2 3 3 2 2 2 2" xfId="49690"/>
    <cellStyle name="Обычный 124 2 2 2 2 2 3 3 2 2 3" xfId="42398"/>
    <cellStyle name="Обычный 124 2 2 2 2 2 3 3 2 3" xfId="31216"/>
    <cellStyle name="Обычный 124 2 2 2 2 2 3 3 2 3 2" xfId="46039"/>
    <cellStyle name="Обычный 124 2 2 2 2 2 3 3 2 4" xfId="38714"/>
    <cellStyle name="Обычный 124 2 2 2 2 2 3 3 2 5" xfId="23901"/>
    <cellStyle name="Обычный 124 2 2 2 2 2 3 3 3" xfId="25733"/>
    <cellStyle name="Обычный 124 2 2 2 2 2 3 3 3 2" xfId="33044"/>
    <cellStyle name="Обычный 124 2 2 2 2 2 3 3 3 2 2" xfId="47864"/>
    <cellStyle name="Обычный 124 2 2 2 2 2 3 3 3 3" xfId="40586"/>
    <cellStyle name="Обычный 124 2 2 2 2 2 3 3 4" xfId="29390"/>
    <cellStyle name="Обычный 124 2 2 2 2 2 3 3 4 2" xfId="44214"/>
    <cellStyle name="Обычный 124 2 2 2 2 2 3 3 5" xfId="36991"/>
    <cellStyle name="Обычный 124 2 2 2 2 2 3 3 6" xfId="22072"/>
    <cellStyle name="Обычный 124 2 2 2 2 2 3 4" xfId="19419"/>
    <cellStyle name="Обычный 124 2 2 2 2 2 3 4 2" xfId="26789"/>
    <cellStyle name="Обычный 124 2 2 2 2 2 3 4 2 2" xfId="34100"/>
    <cellStyle name="Обычный 124 2 2 2 2 2 3 4 2 2 2" xfId="48920"/>
    <cellStyle name="Обычный 124 2 2 2 2 2 3 4 2 3" xfId="41629"/>
    <cellStyle name="Обычный 124 2 2 2 2 2 3 4 3" xfId="30446"/>
    <cellStyle name="Обычный 124 2 2 2 2 2 3 4 3 2" xfId="45269"/>
    <cellStyle name="Обычный 124 2 2 2 2 2 3 4 4" xfId="37943"/>
    <cellStyle name="Обычный 124 2 2 2 2 2 3 4 5" xfId="23131"/>
    <cellStyle name="Обычный 124 2 2 2 2 2 3 5" xfId="24948"/>
    <cellStyle name="Обычный 124 2 2 2 2 2 3 5 2" xfId="32259"/>
    <cellStyle name="Обычный 124 2 2 2 2 2 3 5 2 2" xfId="47082"/>
    <cellStyle name="Обычный 124 2 2 2 2 2 3 5 3" xfId="39843"/>
    <cellStyle name="Обычный 124 2 2 2 2 2 3 6" xfId="28605"/>
    <cellStyle name="Обычный 124 2 2 2 2 2 3 6 2" xfId="43442"/>
    <cellStyle name="Обычный 124 2 2 2 2 2 3 7" xfId="35768"/>
    <cellStyle name="Обычный 124 2 2 2 2 2 3 8" xfId="21287"/>
    <cellStyle name="Обычный 124 2 2 2 2 2 4" xfId="17602"/>
    <cellStyle name="Обычный 124 2 2 2 2 2 4 2" xfId="18716"/>
    <cellStyle name="Обычный 124 2 2 2 2 2 4 2 2" xfId="20595"/>
    <cellStyle name="Обычный 124 2 2 2 2 2 4 2 2 2" xfId="27921"/>
    <cellStyle name="Обычный 124 2 2 2 2 2 4 2 2 2 2" xfId="35232"/>
    <cellStyle name="Обычный 124 2 2 2 2 2 4 2 2 2 2 2" xfId="50052"/>
    <cellStyle name="Обычный 124 2 2 2 2 2 4 2 2 2 3" xfId="42760"/>
    <cellStyle name="Обычный 124 2 2 2 2 2 4 2 2 3" xfId="31578"/>
    <cellStyle name="Обычный 124 2 2 2 2 2 4 2 2 3 2" xfId="46401"/>
    <cellStyle name="Обычный 124 2 2 2 2 2 4 2 2 4" xfId="39076"/>
    <cellStyle name="Обычный 124 2 2 2 2 2 4 2 2 5" xfId="24263"/>
    <cellStyle name="Обычный 124 2 2 2 2 2 4 2 3" xfId="26095"/>
    <cellStyle name="Обычный 124 2 2 2 2 2 4 2 3 2" xfId="33406"/>
    <cellStyle name="Обычный 124 2 2 2 2 2 4 2 3 2 2" xfId="48226"/>
    <cellStyle name="Обычный 124 2 2 2 2 2 4 2 3 3" xfId="40939"/>
    <cellStyle name="Обычный 124 2 2 2 2 2 4 2 4" xfId="29752"/>
    <cellStyle name="Обычный 124 2 2 2 2 2 4 2 4 2" xfId="44576"/>
    <cellStyle name="Обычный 124 2 2 2 2 2 4 2 5" xfId="37353"/>
    <cellStyle name="Обычный 124 2 2 2 2 2 4 2 6" xfId="22434"/>
    <cellStyle name="Обычный 124 2 2 2 2 2 4 3" xfId="19646"/>
    <cellStyle name="Обычный 124 2 2 2 2 2 4 3 2" xfId="27015"/>
    <cellStyle name="Обычный 124 2 2 2 2 2 4 3 2 2" xfId="34326"/>
    <cellStyle name="Обычный 124 2 2 2 2 2 4 3 2 2 2" xfId="49146"/>
    <cellStyle name="Обычный 124 2 2 2 2 2 4 3 2 3" xfId="41855"/>
    <cellStyle name="Обычный 124 2 2 2 2 2 4 3 3" xfId="30672"/>
    <cellStyle name="Обычный 124 2 2 2 2 2 4 3 3 2" xfId="45495"/>
    <cellStyle name="Обычный 124 2 2 2 2 2 4 3 4" xfId="38169"/>
    <cellStyle name="Обычный 124 2 2 2 2 2 4 3 5" xfId="23357"/>
    <cellStyle name="Обычный 124 2 2 2 2 2 4 4" xfId="25174"/>
    <cellStyle name="Обычный 124 2 2 2 2 2 4 4 2" xfId="32485"/>
    <cellStyle name="Обычный 124 2 2 2 2 2 4 4 2 2" xfId="47308"/>
    <cellStyle name="Обычный 124 2 2 2 2 2 4 4 3" xfId="40068"/>
    <cellStyle name="Обычный 124 2 2 2 2 2 4 5" xfId="28831"/>
    <cellStyle name="Обычный 124 2 2 2 2 2 4 5 2" xfId="43668"/>
    <cellStyle name="Обычный 124 2 2 2 2 2 4 6" xfId="36214"/>
    <cellStyle name="Обычный 124 2 2 2 2 2 4 7" xfId="21513"/>
    <cellStyle name="Обычный 124 2 2 2 2 2 5" xfId="18348"/>
    <cellStyle name="Обычный 124 2 2 2 2 2 5 2" xfId="20230"/>
    <cellStyle name="Обычный 124 2 2 2 2 2 5 2 2" xfId="27556"/>
    <cellStyle name="Обычный 124 2 2 2 2 2 5 2 2 2" xfId="34867"/>
    <cellStyle name="Обычный 124 2 2 2 2 2 5 2 2 2 2" xfId="49687"/>
    <cellStyle name="Обычный 124 2 2 2 2 2 5 2 2 3" xfId="42395"/>
    <cellStyle name="Обычный 124 2 2 2 2 2 5 2 3" xfId="31213"/>
    <cellStyle name="Обычный 124 2 2 2 2 2 5 2 3 2" xfId="46036"/>
    <cellStyle name="Обычный 124 2 2 2 2 2 5 2 4" xfId="38711"/>
    <cellStyle name="Обычный 124 2 2 2 2 2 5 2 5" xfId="23898"/>
    <cellStyle name="Обычный 124 2 2 2 2 2 5 3" xfId="25730"/>
    <cellStyle name="Обычный 124 2 2 2 2 2 5 3 2" xfId="33041"/>
    <cellStyle name="Обычный 124 2 2 2 2 2 5 3 2 2" xfId="47861"/>
    <cellStyle name="Обычный 124 2 2 2 2 2 5 3 3" xfId="40583"/>
    <cellStyle name="Обычный 124 2 2 2 2 2 5 4" xfId="29387"/>
    <cellStyle name="Обычный 124 2 2 2 2 2 5 4 2" xfId="44211"/>
    <cellStyle name="Обычный 124 2 2 2 2 2 5 5" xfId="36988"/>
    <cellStyle name="Обычный 124 2 2 2 2 2 5 6" xfId="22069"/>
    <cellStyle name="Обычный 124 2 2 2 2 2 6" xfId="19196"/>
    <cellStyle name="Обычный 124 2 2 2 2 2 6 2" xfId="26567"/>
    <cellStyle name="Обычный 124 2 2 2 2 2 6 2 2" xfId="33878"/>
    <cellStyle name="Обычный 124 2 2 2 2 2 6 2 2 2" xfId="48698"/>
    <cellStyle name="Обычный 124 2 2 2 2 2 6 2 3" xfId="41407"/>
    <cellStyle name="Обычный 124 2 2 2 2 2 6 3" xfId="30224"/>
    <cellStyle name="Обычный 124 2 2 2 2 2 6 3 2" xfId="45047"/>
    <cellStyle name="Обычный 124 2 2 2 2 2 6 4" xfId="37721"/>
    <cellStyle name="Обычный 124 2 2 2 2 2 6 5" xfId="22909"/>
    <cellStyle name="Обычный 124 2 2 2 2 2 7" xfId="24724"/>
    <cellStyle name="Обычный 124 2 2 2 2 2 7 2" xfId="32035"/>
    <cellStyle name="Обычный 124 2 2 2 2 2 7 2 2" xfId="46858"/>
    <cellStyle name="Обычный 124 2 2 2 2 2 7 3" xfId="39628"/>
    <cellStyle name="Обычный 124 2 2 2 2 2 8" xfId="28381"/>
    <cellStyle name="Обычный 124 2 2 2 2 2 8 2" xfId="43218"/>
    <cellStyle name="Обычный 124 2 2 2 2 2 9" xfId="35765"/>
    <cellStyle name="Обычный 124 2 2 2 2 3" xfId="17432"/>
    <cellStyle name="Обычный 124 2 2 2 2 3 2" xfId="17882"/>
    <cellStyle name="Обычный 124 2 2 2 2 3 2 2" xfId="18996"/>
    <cellStyle name="Обычный 124 2 2 2 2 3 2 2 2" xfId="20875"/>
    <cellStyle name="Обычный 124 2 2 2 2 3 2 2 2 2" xfId="24543"/>
    <cellStyle name="Обычный 124 2 2 2 2 3 2 2 2 2 2" xfId="28201"/>
    <cellStyle name="Обычный 124 2 2 2 2 3 2 2 2 2 2 2" xfId="35512"/>
    <cellStyle name="Обычный 124 2 2 2 2 3 2 2 2 2 2 2 2" xfId="50332"/>
    <cellStyle name="Обычный 124 2 2 2 2 3 2 2 2 2 2 3" xfId="43040"/>
    <cellStyle name="Обычный 124 2 2 2 2 3 2 2 2 2 3" xfId="31858"/>
    <cellStyle name="Обычный 124 2 2 2 2 3 2 2 2 2 3 2" xfId="46681"/>
    <cellStyle name="Обычный 124 2 2 2 2 3 2 2 2 2 4" xfId="39479"/>
    <cellStyle name="Обычный 124 2 2 2 2 3 2 2 2 3" xfId="26375"/>
    <cellStyle name="Обычный 124 2 2 2 2 3 2 2 2 3 2" xfId="33686"/>
    <cellStyle name="Обычный 124 2 2 2 2 3 2 2 2 3 2 2" xfId="48506"/>
    <cellStyle name="Обычный 124 2 2 2 2 3 2 2 2 3 3" xfId="41219"/>
    <cellStyle name="Обычный 124 2 2 2 2 3 2 2 2 4" xfId="30032"/>
    <cellStyle name="Обычный 124 2 2 2 2 3 2 2 2 4 2" xfId="44856"/>
    <cellStyle name="Обычный 124 2 2 2 2 3 2 2 2 5" xfId="39356"/>
    <cellStyle name="Обычный 124 2 2 2 2 3 2 2 2 6" xfId="22714"/>
    <cellStyle name="Обычный 124 2 2 2 2 3 2 2 3" xfId="19926"/>
    <cellStyle name="Обычный 124 2 2 2 2 3 2 2 3 2" xfId="27295"/>
    <cellStyle name="Обычный 124 2 2 2 2 3 2 2 3 2 2" xfId="34606"/>
    <cellStyle name="Обычный 124 2 2 2 2 3 2 2 3 2 2 2" xfId="49426"/>
    <cellStyle name="Обычный 124 2 2 2 2 3 2 2 3 2 3" xfId="42135"/>
    <cellStyle name="Обычный 124 2 2 2 2 3 2 2 3 3" xfId="30952"/>
    <cellStyle name="Обычный 124 2 2 2 2 3 2 2 3 3 2" xfId="45775"/>
    <cellStyle name="Обычный 124 2 2 2 2 3 2 2 3 4" xfId="38449"/>
    <cellStyle name="Обычный 124 2 2 2 2 3 2 2 3 5" xfId="23637"/>
    <cellStyle name="Обычный 124 2 2 2 2 3 2 2 4" xfId="25454"/>
    <cellStyle name="Обычный 124 2 2 2 2 3 2 2 4 2" xfId="32765"/>
    <cellStyle name="Обычный 124 2 2 2 2 3 2 2 4 2 2" xfId="47588"/>
    <cellStyle name="Обычный 124 2 2 2 2 3 2 2 4 3" xfId="40342"/>
    <cellStyle name="Обычный 124 2 2 2 2 3 2 2 5" xfId="29111"/>
    <cellStyle name="Обычный 124 2 2 2 2 3 2 2 5 2" xfId="43948"/>
    <cellStyle name="Обычный 124 2 2 2 2 3 2 2 6" xfId="36219"/>
    <cellStyle name="Обычный 124 2 2 2 2 3 2 2 7" xfId="21793"/>
    <cellStyle name="Обычный 124 2 2 2 2 3 2 3" xfId="18353"/>
    <cellStyle name="Обычный 124 2 2 2 2 3 2 3 2" xfId="20235"/>
    <cellStyle name="Обычный 124 2 2 2 2 3 2 3 2 2" xfId="27561"/>
    <cellStyle name="Обычный 124 2 2 2 2 3 2 3 2 2 2" xfId="34872"/>
    <cellStyle name="Обычный 124 2 2 2 2 3 2 3 2 2 2 2" xfId="49692"/>
    <cellStyle name="Обычный 124 2 2 2 2 3 2 3 2 2 3" xfId="42400"/>
    <cellStyle name="Обычный 124 2 2 2 2 3 2 3 2 3" xfId="31218"/>
    <cellStyle name="Обычный 124 2 2 2 2 3 2 3 2 3 2" xfId="46041"/>
    <cellStyle name="Обычный 124 2 2 2 2 3 2 3 2 4" xfId="38716"/>
    <cellStyle name="Обычный 124 2 2 2 2 3 2 3 2 5" xfId="23903"/>
    <cellStyle name="Обычный 124 2 2 2 2 3 2 3 3" xfId="25735"/>
    <cellStyle name="Обычный 124 2 2 2 2 3 2 3 3 2" xfId="33046"/>
    <cellStyle name="Обычный 124 2 2 2 2 3 2 3 3 2 2" xfId="47866"/>
    <cellStyle name="Обычный 124 2 2 2 2 3 2 3 3 3" xfId="40588"/>
    <cellStyle name="Обычный 124 2 2 2 2 3 2 3 4" xfId="29392"/>
    <cellStyle name="Обычный 124 2 2 2 2 3 2 3 4 2" xfId="44216"/>
    <cellStyle name="Обычный 124 2 2 2 2 3 2 3 5" xfId="36993"/>
    <cellStyle name="Обычный 124 2 2 2 2 3 2 3 6" xfId="22074"/>
    <cellStyle name="Обычный 124 2 2 2 2 3 2 4" xfId="19475"/>
    <cellStyle name="Обычный 124 2 2 2 2 3 2 4 2" xfId="26845"/>
    <cellStyle name="Обычный 124 2 2 2 2 3 2 4 2 2" xfId="34156"/>
    <cellStyle name="Обычный 124 2 2 2 2 3 2 4 2 2 2" xfId="48976"/>
    <cellStyle name="Обычный 124 2 2 2 2 3 2 4 2 3" xfId="41685"/>
    <cellStyle name="Обычный 124 2 2 2 2 3 2 4 3" xfId="30502"/>
    <cellStyle name="Обычный 124 2 2 2 2 3 2 4 3 2" xfId="45325"/>
    <cellStyle name="Обычный 124 2 2 2 2 3 2 4 4" xfId="37999"/>
    <cellStyle name="Обычный 124 2 2 2 2 3 2 4 5" xfId="23187"/>
    <cellStyle name="Обычный 124 2 2 2 2 3 2 5" xfId="25004"/>
    <cellStyle name="Обычный 124 2 2 2 2 3 2 5 2" xfId="32315"/>
    <cellStyle name="Обычный 124 2 2 2 2 3 2 5 2 2" xfId="47138"/>
    <cellStyle name="Обычный 124 2 2 2 2 3 2 5 3" xfId="39899"/>
    <cellStyle name="Обычный 124 2 2 2 2 3 2 6" xfId="28661"/>
    <cellStyle name="Обычный 124 2 2 2 2 3 2 6 2" xfId="43498"/>
    <cellStyle name="Обычный 124 2 2 2 2 3 2 7" xfId="35770"/>
    <cellStyle name="Обычный 124 2 2 2 2 3 2 8" xfId="21343"/>
    <cellStyle name="Обычный 124 2 2 2 2 3 3" xfId="17658"/>
    <cellStyle name="Обычный 124 2 2 2 2 3 3 2" xfId="18772"/>
    <cellStyle name="Обычный 124 2 2 2 2 3 3 2 2" xfId="20651"/>
    <cellStyle name="Обычный 124 2 2 2 2 3 3 2 2 2" xfId="27977"/>
    <cellStyle name="Обычный 124 2 2 2 2 3 3 2 2 2 2" xfId="35288"/>
    <cellStyle name="Обычный 124 2 2 2 2 3 3 2 2 2 2 2" xfId="50108"/>
    <cellStyle name="Обычный 124 2 2 2 2 3 3 2 2 2 3" xfId="42816"/>
    <cellStyle name="Обычный 124 2 2 2 2 3 3 2 2 3" xfId="31634"/>
    <cellStyle name="Обычный 124 2 2 2 2 3 3 2 2 3 2" xfId="46457"/>
    <cellStyle name="Обычный 124 2 2 2 2 3 3 2 2 4" xfId="39132"/>
    <cellStyle name="Обычный 124 2 2 2 2 3 3 2 2 5" xfId="24319"/>
    <cellStyle name="Обычный 124 2 2 2 2 3 3 2 3" xfId="26151"/>
    <cellStyle name="Обычный 124 2 2 2 2 3 3 2 3 2" xfId="33462"/>
    <cellStyle name="Обычный 124 2 2 2 2 3 3 2 3 2 2" xfId="48282"/>
    <cellStyle name="Обычный 124 2 2 2 2 3 3 2 3 3" xfId="40995"/>
    <cellStyle name="Обычный 124 2 2 2 2 3 3 2 4" xfId="29808"/>
    <cellStyle name="Обычный 124 2 2 2 2 3 3 2 4 2" xfId="44632"/>
    <cellStyle name="Обычный 124 2 2 2 2 3 3 2 5" xfId="37409"/>
    <cellStyle name="Обычный 124 2 2 2 2 3 3 2 6" xfId="22490"/>
    <cellStyle name="Обычный 124 2 2 2 2 3 3 3" xfId="19702"/>
    <cellStyle name="Обычный 124 2 2 2 2 3 3 3 2" xfId="27071"/>
    <cellStyle name="Обычный 124 2 2 2 2 3 3 3 2 2" xfId="34382"/>
    <cellStyle name="Обычный 124 2 2 2 2 3 3 3 2 2 2" xfId="49202"/>
    <cellStyle name="Обычный 124 2 2 2 2 3 3 3 2 3" xfId="41911"/>
    <cellStyle name="Обычный 124 2 2 2 2 3 3 3 3" xfId="30728"/>
    <cellStyle name="Обычный 124 2 2 2 2 3 3 3 3 2" xfId="45551"/>
    <cellStyle name="Обычный 124 2 2 2 2 3 3 3 4" xfId="38225"/>
    <cellStyle name="Обычный 124 2 2 2 2 3 3 3 5" xfId="23413"/>
    <cellStyle name="Обычный 124 2 2 2 2 3 3 4" xfId="25230"/>
    <cellStyle name="Обычный 124 2 2 2 2 3 3 4 2" xfId="32541"/>
    <cellStyle name="Обычный 124 2 2 2 2 3 3 4 2 2" xfId="47364"/>
    <cellStyle name="Обычный 124 2 2 2 2 3 3 4 3" xfId="40122"/>
    <cellStyle name="Обычный 124 2 2 2 2 3 3 5" xfId="28887"/>
    <cellStyle name="Обычный 124 2 2 2 2 3 3 5 2" xfId="43724"/>
    <cellStyle name="Обычный 124 2 2 2 2 3 3 6" xfId="36218"/>
    <cellStyle name="Обычный 124 2 2 2 2 3 3 7" xfId="21569"/>
    <cellStyle name="Обычный 124 2 2 2 2 3 4" xfId="18352"/>
    <cellStyle name="Обычный 124 2 2 2 2 3 4 2" xfId="20234"/>
    <cellStyle name="Обычный 124 2 2 2 2 3 4 2 2" xfId="27560"/>
    <cellStyle name="Обычный 124 2 2 2 2 3 4 2 2 2" xfId="34871"/>
    <cellStyle name="Обычный 124 2 2 2 2 3 4 2 2 2 2" xfId="49691"/>
    <cellStyle name="Обычный 124 2 2 2 2 3 4 2 2 3" xfId="42399"/>
    <cellStyle name="Обычный 124 2 2 2 2 3 4 2 3" xfId="31217"/>
    <cellStyle name="Обычный 124 2 2 2 2 3 4 2 3 2" xfId="46040"/>
    <cellStyle name="Обычный 124 2 2 2 2 3 4 2 4" xfId="38715"/>
    <cellStyle name="Обычный 124 2 2 2 2 3 4 2 5" xfId="23902"/>
    <cellStyle name="Обычный 124 2 2 2 2 3 4 3" xfId="25734"/>
    <cellStyle name="Обычный 124 2 2 2 2 3 4 3 2" xfId="33045"/>
    <cellStyle name="Обычный 124 2 2 2 2 3 4 3 2 2" xfId="47865"/>
    <cellStyle name="Обычный 124 2 2 2 2 3 4 3 3" xfId="40587"/>
    <cellStyle name="Обычный 124 2 2 2 2 3 4 4" xfId="29391"/>
    <cellStyle name="Обычный 124 2 2 2 2 3 4 4 2" xfId="44215"/>
    <cellStyle name="Обычный 124 2 2 2 2 3 4 5" xfId="36992"/>
    <cellStyle name="Обычный 124 2 2 2 2 3 4 6" xfId="22073"/>
    <cellStyle name="Обычный 124 2 2 2 2 3 5" xfId="19252"/>
    <cellStyle name="Обычный 124 2 2 2 2 3 5 2" xfId="26622"/>
    <cellStyle name="Обычный 124 2 2 2 2 3 5 2 2" xfId="33933"/>
    <cellStyle name="Обычный 124 2 2 2 2 3 5 2 2 2" xfId="48753"/>
    <cellStyle name="Обычный 124 2 2 2 2 3 5 2 3" xfId="41462"/>
    <cellStyle name="Обычный 124 2 2 2 2 3 5 3" xfId="30279"/>
    <cellStyle name="Обычный 124 2 2 2 2 3 5 3 2" xfId="45102"/>
    <cellStyle name="Обычный 124 2 2 2 2 3 5 4" xfId="37776"/>
    <cellStyle name="Обычный 124 2 2 2 2 3 5 5" xfId="22964"/>
    <cellStyle name="Обычный 124 2 2 2 2 3 6" xfId="24780"/>
    <cellStyle name="Обычный 124 2 2 2 2 3 6 2" xfId="32091"/>
    <cellStyle name="Обычный 124 2 2 2 2 3 6 2 2" xfId="46914"/>
    <cellStyle name="Обычный 124 2 2 2 2 3 6 3" xfId="39681"/>
    <cellStyle name="Обычный 124 2 2 2 2 3 7" xfId="28437"/>
    <cellStyle name="Обычный 124 2 2 2 2 3 7 2" xfId="43274"/>
    <cellStyle name="Обычный 124 2 2 2 2 3 8" xfId="35769"/>
    <cellStyle name="Обычный 124 2 2 2 2 3 9" xfId="21119"/>
    <cellStyle name="Обычный 124 2 2 2 2 4" xfId="17315"/>
    <cellStyle name="Обычный 124 2 2 2 2 4 2" xfId="17770"/>
    <cellStyle name="Обычный 124 2 2 2 2 4 2 2" xfId="18884"/>
    <cellStyle name="Обычный 124 2 2 2 2 4 2 2 2" xfId="20763"/>
    <cellStyle name="Обычный 124 2 2 2 2 4 2 2 2 2" xfId="28089"/>
    <cellStyle name="Обычный 124 2 2 2 2 4 2 2 2 2 2" xfId="35400"/>
    <cellStyle name="Обычный 124 2 2 2 2 4 2 2 2 2 2 2" xfId="50220"/>
    <cellStyle name="Обычный 124 2 2 2 2 4 2 2 2 2 3" xfId="42928"/>
    <cellStyle name="Обычный 124 2 2 2 2 4 2 2 2 3" xfId="31746"/>
    <cellStyle name="Обычный 124 2 2 2 2 4 2 2 2 3 2" xfId="46569"/>
    <cellStyle name="Обычный 124 2 2 2 2 4 2 2 2 4" xfId="39244"/>
    <cellStyle name="Обычный 124 2 2 2 2 4 2 2 2 5" xfId="24431"/>
    <cellStyle name="Обычный 124 2 2 2 2 4 2 2 3" xfId="26263"/>
    <cellStyle name="Обычный 124 2 2 2 2 4 2 2 3 2" xfId="33574"/>
    <cellStyle name="Обычный 124 2 2 2 2 4 2 2 3 2 2" xfId="48394"/>
    <cellStyle name="Обычный 124 2 2 2 2 4 2 2 3 3" xfId="41107"/>
    <cellStyle name="Обычный 124 2 2 2 2 4 2 2 4" xfId="29920"/>
    <cellStyle name="Обычный 124 2 2 2 2 4 2 2 4 2" xfId="44744"/>
    <cellStyle name="Обычный 124 2 2 2 2 4 2 2 5" xfId="37520"/>
    <cellStyle name="Обычный 124 2 2 2 2 4 2 2 6" xfId="22602"/>
    <cellStyle name="Обычный 124 2 2 2 2 4 2 3" xfId="19814"/>
    <cellStyle name="Обычный 124 2 2 2 2 4 2 3 2" xfId="27183"/>
    <cellStyle name="Обычный 124 2 2 2 2 4 2 3 2 2" xfId="34494"/>
    <cellStyle name="Обычный 124 2 2 2 2 4 2 3 2 2 2" xfId="49314"/>
    <cellStyle name="Обычный 124 2 2 2 2 4 2 3 2 3" xfId="42023"/>
    <cellStyle name="Обычный 124 2 2 2 2 4 2 3 3" xfId="30840"/>
    <cellStyle name="Обычный 124 2 2 2 2 4 2 3 3 2" xfId="45663"/>
    <cellStyle name="Обычный 124 2 2 2 2 4 2 3 4" xfId="38337"/>
    <cellStyle name="Обычный 124 2 2 2 2 4 2 3 5" xfId="23525"/>
    <cellStyle name="Обычный 124 2 2 2 2 4 2 4" xfId="25342"/>
    <cellStyle name="Обычный 124 2 2 2 2 4 2 4 2" xfId="32653"/>
    <cellStyle name="Обычный 124 2 2 2 2 4 2 4 2 2" xfId="47476"/>
    <cellStyle name="Обычный 124 2 2 2 2 4 2 4 3" xfId="40230"/>
    <cellStyle name="Обычный 124 2 2 2 2 4 2 5" xfId="28999"/>
    <cellStyle name="Обычный 124 2 2 2 2 4 2 5 2" xfId="43836"/>
    <cellStyle name="Обычный 124 2 2 2 2 4 2 6" xfId="36220"/>
    <cellStyle name="Обычный 124 2 2 2 2 4 2 7" xfId="21681"/>
    <cellStyle name="Обычный 124 2 2 2 2 4 3" xfId="18354"/>
    <cellStyle name="Обычный 124 2 2 2 2 4 3 2" xfId="20236"/>
    <cellStyle name="Обычный 124 2 2 2 2 4 3 2 2" xfId="27562"/>
    <cellStyle name="Обычный 124 2 2 2 2 4 3 2 2 2" xfId="34873"/>
    <cellStyle name="Обычный 124 2 2 2 2 4 3 2 2 2 2" xfId="49693"/>
    <cellStyle name="Обычный 124 2 2 2 2 4 3 2 2 3" xfId="42401"/>
    <cellStyle name="Обычный 124 2 2 2 2 4 3 2 3" xfId="31219"/>
    <cellStyle name="Обычный 124 2 2 2 2 4 3 2 3 2" xfId="46042"/>
    <cellStyle name="Обычный 124 2 2 2 2 4 3 2 4" xfId="38717"/>
    <cellStyle name="Обычный 124 2 2 2 2 4 3 2 5" xfId="23904"/>
    <cellStyle name="Обычный 124 2 2 2 2 4 3 3" xfId="25736"/>
    <cellStyle name="Обычный 124 2 2 2 2 4 3 3 2" xfId="33047"/>
    <cellStyle name="Обычный 124 2 2 2 2 4 3 3 2 2" xfId="47867"/>
    <cellStyle name="Обычный 124 2 2 2 2 4 3 3 3" xfId="40589"/>
    <cellStyle name="Обычный 124 2 2 2 2 4 3 4" xfId="29393"/>
    <cellStyle name="Обычный 124 2 2 2 2 4 3 4 2" xfId="44217"/>
    <cellStyle name="Обычный 124 2 2 2 2 4 3 5" xfId="36994"/>
    <cellStyle name="Обычный 124 2 2 2 2 4 3 6" xfId="22075"/>
    <cellStyle name="Обычный 124 2 2 2 2 4 4" xfId="19363"/>
    <cellStyle name="Обычный 124 2 2 2 2 4 4 2" xfId="26733"/>
    <cellStyle name="Обычный 124 2 2 2 2 4 4 2 2" xfId="34044"/>
    <cellStyle name="Обычный 124 2 2 2 2 4 4 2 2 2" xfId="48864"/>
    <cellStyle name="Обычный 124 2 2 2 2 4 4 2 3" xfId="41573"/>
    <cellStyle name="Обычный 124 2 2 2 2 4 4 3" xfId="30390"/>
    <cellStyle name="Обычный 124 2 2 2 2 4 4 3 2" xfId="45213"/>
    <cellStyle name="Обычный 124 2 2 2 2 4 4 4" xfId="37887"/>
    <cellStyle name="Обычный 124 2 2 2 2 4 4 5" xfId="23075"/>
    <cellStyle name="Обычный 124 2 2 2 2 4 5" xfId="24892"/>
    <cellStyle name="Обычный 124 2 2 2 2 4 5 2" xfId="32203"/>
    <cellStyle name="Обычный 124 2 2 2 2 4 5 2 2" xfId="47026"/>
    <cellStyle name="Обычный 124 2 2 2 2 4 5 3" xfId="39787"/>
    <cellStyle name="Обычный 124 2 2 2 2 4 6" xfId="28549"/>
    <cellStyle name="Обычный 124 2 2 2 2 4 6 2" xfId="43386"/>
    <cellStyle name="Обычный 124 2 2 2 2 4 7" xfId="35771"/>
    <cellStyle name="Обычный 124 2 2 2 2 4 8" xfId="21231"/>
    <cellStyle name="Обычный 124 2 2 2 2 5" xfId="17546"/>
    <cellStyle name="Обычный 124 2 2 2 2 5 2" xfId="18660"/>
    <cellStyle name="Обычный 124 2 2 2 2 5 2 2" xfId="20539"/>
    <cellStyle name="Обычный 124 2 2 2 2 5 2 2 2" xfId="27865"/>
    <cellStyle name="Обычный 124 2 2 2 2 5 2 2 2 2" xfId="35176"/>
    <cellStyle name="Обычный 124 2 2 2 2 5 2 2 2 2 2" xfId="49996"/>
    <cellStyle name="Обычный 124 2 2 2 2 5 2 2 2 3" xfId="42704"/>
    <cellStyle name="Обычный 124 2 2 2 2 5 2 2 3" xfId="31522"/>
    <cellStyle name="Обычный 124 2 2 2 2 5 2 2 3 2" xfId="46345"/>
    <cellStyle name="Обычный 124 2 2 2 2 5 2 2 4" xfId="39020"/>
    <cellStyle name="Обычный 124 2 2 2 2 5 2 2 5" xfId="24207"/>
    <cellStyle name="Обычный 124 2 2 2 2 5 2 3" xfId="26039"/>
    <cellStyle name="Обычный 124 2 2 2 2 5 2 3 2" xfId="33350"/>
    <cellStyle name="Обычный 124 2 2 2 2 5 2 3 2 2" xfId="48170"/>
    <cellStyle name="Обычный 124 2 2 2 2 5 2 3 3" xfId="40883"/>
    <cellStyle name="Обычный 124 2 2 2 2 5 2 4" xfId="29696"/>
    <cellStyle name="Обычный 124 2 2 2 2 5 2 4 2" xfId="44520"/>
    <cellStyle name="Обычный 124 2 2 2 2 5 2 5" xfId="37297"/>
    <cellStyle name="Обычный 124 2 2 2 2 5 2 6" xfId="22378"/>
    <cellStyle name="Обычный 124 2 2 2 2 5 3" xfId="19590"/>
    <cellStyle name="Обычный 124 2 2 2 2 5 3 2" xfId="26959"/>
    <cellStyle name="Обычный 124 2 2 2 2 5 3 2 2" xfId="34270"/>
    <cellStyle name="Обычный 124 2 2 2 2 5 3 2 2 2" xfId="49090"/>
    <cellStyle name="Обычный 124 2 2 2 2 5 3 2 3" xfId="41799"/>
    <cellStyle name="Обычный 124 2 2 2 2 5 3 3" xfId="30616"/>
    <cellStyle name="Обычный 124 2 2 2 2 5 3 3 2" xfId="45439"/>
    <cellStyle name="Обычный 124 2 2 2 2 5 3 4" xfId="38113"/>
    <cellStyle name="Обычный 124 2 2 2 2 5 3 5" xfId="23301"/>
    <cellStyle name="Обычный 124 2 2 2 2 5 4" xfId="25118"/>
    <cellStyle name="Обычный 124 2 2 2 2 5 4 2" xfId="32429"/>
    <cellStyle name="Обычный 124 2 2 2 2 5 4 2 2" xfId="47252"/>
    <cellStyle name="Обычный 124 2 2 2 2 5 4 3" xfId="40012"/>
    <cellStyle name="Обычный 124 2 2 2 2 5 5" xfId="28775"/>
    <cellStyle name="Обычный 124 2 2 2 2 5 5 2" xfId="43612"/>
    <cellStyle name="Обычный 124 2 2 2 2 5 6" xfId="36213"/>
    <cellStyle name="Обычный 124 2 2 2 2 5 7" xfId="21457"/>
    <cellStyle name="Обычный 124 2 2 2 2 6" xfId="18347"/>
    <cellStyle name="Обычный 124 2 2 2 2 6 2" xfId="20229"/>
    <cellStyle name="Обычный 124 2 2 2 2 6 2 2" xfId="27555"/>
    <cellStyle name="Обычный 124 2 2 2 2 6 2 2 2" xfId="34866"/>
    <cellStyle name="Обычный 124 2 2 2 2 6 2 2 2 2" xfId="49686"/>
    <cellStyle name="Обычный 124 2 2 2 2 6 2 2 3" xfId="42394"/>
    <cellStyle name="Обычный 124 2 2 2 2 6 2 3" xfId="31212"/>
    <cellStyle name="Обычный 124 2 2 2 2 6 2 3 2" xfId="46035"/>
    <cellStyle name="Обычный 124 2 2 2 2 6 2 4" xfId="38710"/>
    <cellStyle name="Обычный 124 2 2 2 2 6 2 5" xfId="23897"/>
    <cellStyle name="Обычный 124 2 2 2 2 6 3" xfId="25729"/>
    <cellStyle name="Обычный 124 2 2 2 2 6 3 2" xfId="33040"/>
    <cellStyle name="Обычный 124 2 2 2 2 6 3 2 2" xfId="47860"/>
    <cellStyle name="Обычный 124 2 2 2 2 6 3 3" xfId="40582"/>
    <cellStyle name="Обычный 124 2 2 2 2 6 4" xfId="29386"/>
    <cellStyle name="Обычный 124 2 2 2 2 6 4 2" xfId="44210"/>
    <cellStyle name="Обычный 124 2 2 2 2 6 5" xfId="36987"/>
    <cellStyle name="Обычный 124 2 2 2 2 6 6" xfId="22068"/>
    <cellStyle name="Обычный 124 2 2 2 2 7" xfId="19142"/>
    <cellStyle name="Обычный 124 2 2 2 2 7 2" xfId="26514"/>
    <cellStyle name="Обычный 124 2 2 2 2 7 2 2" xfId="33825"/>
    <cellStyle name="Обычный 124 2 2 2 2 7 2 2 2" xfId="48645"/>
    <cellStyle name="Обычный 124 2 2 2 2 7 2 3" xfId="41354"/>
    <cellStyle name="Обычный 124 2 2 2 2 7 3" xfId="30171"/>
    <cellStyle name="Обычный 124 2 2 2 2 7 3 2" xfId="44994"/>
    <cellStyle name="Обычный 124 2 2 2 2 7 4" xfId="37668"/>
    <cellStyle name="Обычный 124 2 2 2 2 7 5" xfId="22856"/>
    <cellStyle name="Обычный 124 2 2 2 2 8" xfId="24668"/>
    <cellStyle name="Обычный 124 2 2 2 2 8 2" xfId="31979"/>
    <cellStyle name="Обычный 124 2 2 2 2 8 2 2" xfId="46802"/>
    <cellStyle name="Обычный 124 2 2 2 2 8 3" xfId="39588"/>
    <cellStyle name="Обычный 124 2 2 2 2 9" xfId="28325"/>
    <cellStyle name="Обычный 124 2 2 2 2 9 2" xfId="43162"/>
    <cellStyle name="Обычный 124 2 2 2 3" xfId="17185"/>
    <cellStyle name="Обычный 124 2 2 2 3 10" xfId="21035"/>
    <cellStyle name="Обычный 124 2 2 2 3 2" xfId="17460"/>
    <cellStyle name="Обычный 124 2 2 2 3 2 2" xfId="17910"/>
    <cellStyle name="Обычный 124 2 2 2 3 2 2 2" xfId="19024"/>
    <cellStyle name="Обычный 124 2 2 2 3 2 2 2 2" xfId="20903"/>
    <cellStyle name="Обычный 124 2 2 2 3 2 2 2 2 2" xfId="24571"/>
    <cellStyle name="Обычный 124 2 2 2 3 2 2 2 2 2 2" xfId="28229"/>
    <cellStyle name="Обычный 124 2 2 2 3 2 2 2 2 2 2 2" xfId="35540"/>
    <cellStyle name="Обычный 124 2 2 2 3 2 2 2 2 2 2 2 2" xfId="50360"/>
    <cellStyle name="Обычный 124 2 2 2 3 2 2 2 2 2 2 3" xfId="43068"/>
    <cellStyle name="Обычный 124 2 2 2 3 2 2 2 2 2 3" xfId="31886"/>
    <cellStyle name="Обычный 124 2 2 2 3 2 2 2 2 2 3 2" xfId="46709"/>
    <cellStyle name="Обычный 124 2 2 2 3 2 2 2 2 2 4" xfId="39504"/>
    <cellStyle name="Обычный 124 2 2 2 3 2 2 2 2 3" xfId="26403"/>
    <cellStyle name="Обычный 124 2 2 2 3 2 2 2 2 3 2" xfId="33714"/>
    <cellStyle name="Обычный 124 2 2 2 3 2 2 2 2 3 2 2" xfId="48534"/>
    <cellStyle name="Обычный 124 2 2 2 3 2 2 2 2 3 3" xfId="41247"/>
    <cellStyle name="Обычный 124 2 2 2 3 2 2 2 2 4" xfId="30060"/>
    <cellStyle name="Обычный 124 2 2 2 3 2 2 2 2 4 2" xfId="44884"/>
    <cellStyle name="Обычный 124 2 2 2 3 2 2 2 2 5" xfId="39384"/>
    <cellStyle name="Обычный 124 2 2 2 3 2 2 2 2 6" xfId="22742"/>
    <cellStyle name="Обычный 124 2 2 2 3 2 2 2 3" xfId="19954"/>
    <cellStyle name="Обычный 124 2 2 2 3 2 2 2 3 2" xfId="27323"/>
    <cellStyle name="Обычный 124 2 2 2 3 2 2 2 3 2 2" xfId="34634"/>
    <cellStyle name="Обычный 124 2 2 2 3 2 2 2 3 2 2 2" xfId="49454"/>
    <cellStyle name="Обычный 124 2 2 2 3 2 2 2 3 2 3" xfId="42163"/>
    <cellStyle name="Обычный 124 2 2 2 3 2 2 2 3 3" xfId="30980"/>
    <cellStyle name="Обычный 124 2 2 2 3 2 2 2 3 3 2" xfId="45803"/>
    <cellStyle name="Обычный 124 2 2 2 3 2 2 2 3 4" xfId="38477"/>
    <cellStyle name="Обычный 124 2 2 2 3 2 2 2 3 5" xfId="23665"/>
    <cellStyle name="Обычный 124 2 2 2 3 2 2 2 4" xfId="25482"/>
    <cellStyle name="Обычный 124 2 2 2 3 2 2 2 4 2" xfId="32793"/>
    <cellStyle name="Обычный 124 2 2 2 3 2 2 2 4 2 2" xfId="47616"/>
    <cellStyle name="Обычный 124 2 2 2 3 2 2 2 4 3" xfId="40370"/>
    <cellStyle name="Обычный 124 2 2 2 3 2 2 2 5" xfId="29139"/>
    <cellStyle name="Обычный 124 2 2 2 3 2 2 2 5 2" xfId="43976"/>
    <cellStyle name="Обычный 124 2 2 2 3 2 2 2 6" xfId="36223"/>
    <cellStyle name="Обычный 124 2 2 2 3 2 2 2 7" xfId="21821"/>
    <cellStyle name="Обычный 124 2 2 2 3 2 2 3" xfId="18357"/>
    <cellStyle name="Обычный 124 2 2 2 3 2 2 3 2" xfId="20239"/>
    <cellStyle name="Обычный 124 2 2 2 3 2 2 3 2 2" xfId="27565"/>
    <cellStyle name="Обычный 124 2 2 2 3 2 2 3 2 2 2" xfId="34876"/>
    <cellStyle name="Обычный 124 2 2 2 3 2 2 3 2 2 2 2" xfId="49696"/>
    <cellStyle name="Обычный 124 2 2 2 3 2 2 3 2 2 3" xfId="42404"/>
    <cellStyle name="Обычный 124 2 2 2 3 2 2 3 2 3" xfId="31222"/>
    <cellStyle name="Обычный 124 2 2 2 3 2 2 3 2 3 2" xfId="46045"/>
    <cellStyle name="Обычный 124 2 2 2 3 2 2 3 2 4" xfId="38720"/>
    <cellStyle name="Обычный 124 2 2 2 3 2 2 3 2 5" xfId="23907"/>
    <cellStyle name="Обычный 124 2 2 2 3 2 2 3 3" xfId="25739"/>
    <cellStyle name="Обычный 124 2 2 2 3 2 2 3 3 2" xfId="33050"/>
    <cellStyle name="Обычный 124 2 2 2 3 2 2 3 3 2 2" xfId="47870"/>
    <cellStyle name="Обычный 124 2 2 2 3 2 2 3 3 3" xfId="40592"/>
    <cellStyle name="Обычный 124 2 2 2 3 2 2 3 4" xfId="29396"/>
    <cellStyle name="Обычный 124 2 2 2 3 2 2 3 4 2" xfId="44220"/>
    <cellStyle name="Обычный 124 2 2 2 3 2 2 3 5" xfId="36997"/>
    <cellStyle name="Обычный 124 2 2 2 3 2 2 3 6" xfId="22078"/>
    <cellStyle name="Обычный 124 2 2 2 3 2 2 4" xfId="19503"/>
    <cellStyle name="Обычный 124 2 2 2 3 2 2 4 2" xfId="26873"/>
    <cellStyle name="Обычный 124 2 2 2 3 2 2 4 2 2" xfId="34184"/>
    <cellStyle name="Обычный 124 2 2 2 3 2 2 4 2 2 2" xfId="49004"/>
    <cellStyle name="Обычный 124 2 2 2 3 2 2 4 2 3" xfId="41713"/>
    <cellStyle name="Обычный 124 2 2 2 3 2 2 4 3" xfId="30530"/>
    <cellStyle name="Обычный 124 2 2 2 3 2 2 4 3 2" xfId="45353"/>
    <cellStyle name="Обычный 124 2 2 2 3 2 2 4 4" xfId="38027"/>
    <cellStyle name="Обычный 124 2 2 2 3 2 2 4 5" xfId="23215"/>
    <cellStyle name="Обычный 124 2 2 2 3 2 2 5" xfId="25032"/>
    <cellStyle name="Обычный 124 2 2 2 3 2 2 5 2" xfId="32343"/>
    <cellStyle name="Обычный 124 2 2 2 3 2 2 5 2 2" xfId="47166"/>
    <cellStyle name="Обычный 124 2 2 2 3 2 2 5 3" xfId="39927"/>
    <cellStyle name="Обычный 124 2 2 2 3 2 2 6" xfId="28689"/>
    <cellStyle name="Обычный 124 2 2 2 3 2 2 6 2" xfId="43526"/>
    <cellStyle name="Обычный 124 2 2 2 3 2 2 7" xfId="35774"/>
    <cellStyle name="Обычный 124 2 2 2 3 2 2 8" xfId="21371"/>
    <cellStyle name="Обычный 124 2 2 2 3 2 3" xfId="17686"/>
    <cellStyle name="Обычный 124 2 2 2 3 2 3 2" xfId="18800"/>
    <cellStyle name="Обычный 124 2 2 2 3 2 3 2 2" xfId="20679"/>
    <cellStyle name="Обычный 124 2 2 2 3 2 3 2 2 2" xfId="28005"/>
    <cellStyle name="Обычный 124 2 2 2 3 2 3 2 2 2 2" xfId="35316"/>
    <cellStyle name="Обычный 124 2 2 2 3 2 3 2 2 2 2 2" xfId="50136"/>
    <cellStyle name="Обычный 124 2 2 2 3 2 3 2 2 2 3" xfId="42844"/>
    <cellStyle name="Обычный 124 2 2 2 3 2 3 2 2 3" xfId="31662"/>
    <cellStyle name="Обычный 124 2 2 2 3 2 3 2 2 3 2" xfId="46485"/>
    <cellStyle name="Обычный 124 2 2 2 3 2 3 2 2 4" xfId="39160"/>
    <cellStyle name="Обычный 124 2 2 2 3 2 3 2 2 5" xfId="24347"/>
    <cellStyle name="Обычный 124 2 2 2 3 2 3 2 3" xfId="26179"/>
    <cellStyle name="Обычный 124 2 2 2 3 2 3 2 3 2" xfId="33490"/>
    <cellStyle name="Обычный 124 2 2 2 3 2 3 2 3 2 2" xfId="48310"/>
    <cellStyle name="Обычный 124 2 2 2 3 2 3 2 3 3" xfId="41023"/>
    <cellStyle name="Обычный 124 2 2 2 3 2 3 2 4" xfId="29836"/>
    <cellStyle name="Обычный 124 2 2 2 3 2 3 2 4 2" xfId="44660"/>
    <cellStyle name="Обычный 124 2 2 2 3 2 3 2 5" xfId="37437"/>
    <cellStyle name="Обычный 124 2 2 2 3 2 3 2 6" xfId="22518"/>
    <cellStyle name="Обычный 124 2 2 2 3 2 3 3" xfId="19730"/>
    <cellStyle name="Обычный 124 2 2 2 3 2 3 3 2" xfId="27099"/>
    <cellStyle name="Обычный 124 2 2 2 3 2 3 3 2 2" xfId="34410"/>
    <cellStyle name="Обычный 124 2 2 2 3 2 3 3 2 2 2" xfId="49230"/>
    <cellStyle name="Обычный 124 2 2 2 3 2 3 3 2 3" xfId="41939"/>
    <cellStyle name="Обычный 124 2 2 2 3 2 3 3 3" xfId="30756"/>
    <cellStyle name="Обычный 124 2 2 2 3 2 3 3 3 2" xfId="45579"/>
    <cellStyle name="Обычный 124 2 2 2 3 2 3 3 4" xfId="38253"/>
    <cellStyle name="Обычный 124 2 2 2 3 2 3 3 5" xfId="23441"/>
    <cellStyle name="Обычный 124 2 2 2 3 2 3 4" xfId="25258"/>
    <cellStyle name="Обычный 124 2 2 2 3 2 3 4 2" xfId="32569"/>
    <cellStyle name="Обычный 124 2 2 2 3 2 3 4 2 2" xfId="47392"/>
    <cellStyle name="Обычный 124 2 2 2 3 2 3 4 3" xfId="40150"/>
    <cellStyle name="Обычный 124 2 2 2 3 2 3 5" xfId="28915"/>
    <cellStyle name="Обычный 124 2 2 2 3 2 3 5 2" xfId="43752"/>
    <cellStyle name="Обычный 124 2 2 2 3 2 3 6" xfId="36222"/>
    <cellStyle name="Обычный 124 2 2 2 3 2 3 7" xfId="21597"/>
    <cellStyle name="Обычный 124 2 2 2 3 2 4" xfId="18356"/>
    <cellStyle name="Обычный 124 2 2 2 3 2 4 2" xfId="20238"/>
    <cellStyle name="Обычный 124 2 2 2 3 2 4 2 2" xfId="27564"/>
    <cellStyle name="Обычный 124 2 2 2 3 2 4 2 2 2" xfId="34875"/>
    <cellStyle name="Обычный 124 2 2 2 3 2 4 2 2 2 2" xfId="49695"/>
    <cellStyle name="Обычный 124 2 2 2 3 2 4 2 2 3" xfId="42403"/>
    <cellStyle name="Обычный 124 2 2 2 3 2 4 2 3" xfId="31221"/>
    <cellStyle name="Обычный 124 2 2 2 3 2 4 2 3 2" xfId="46044"/>
    <cellStyle name="Обычный 124 2 2 2 3 2 4 2 4" xfId="38719"/>
    <cellStyle name="Обычный 124 2 2 2 3 2 4 2 5" xfId="23906"/>
    <cellStyle name="Обычный 124 2 2 2 3 2 4 3" xfId="25738"/>
    <cellStyle name="Обычный 124 2 2 2 3 2 4 3 2" xfId="33049"/>
    <cellStyle name="Обычный 124 2 2 2 3 2 4 3 2 2" xfId="47869"/>
    <cellStyle name="Обычный 124 2 2 2 3 2 4 3 3" xfId="40591"/>
    <cellStyle name="Обычный 124 2 2 2 3 2 4 4" xfId="29395"/>
    <cellStyle name="Обычный 124 2 2 2 3 2 4 4 2" xfId="44219"/>
    <cellStyle name="Обычный 124 2 2 2 3 2 4 5" xfId="36996"/>
    <cellStyle name="Обычный 124 2 2 2 3 2 4 6" xfId="22077"/>
    <cellStyle name="Обычный 124 2 2 2 3 2 5" xfId="19280"/>
    <cellStyle name="Обычный 124 2 2 2 3 2 5 2" xfId="26650"/>
    <cellStyle name="Обычный 124 2 2 2 3 2 5 2 2" xfId="33961"/>
    <cellStyle name="Обычный 124 2 2 2 3 2 5 2 2 2" xfId="48781"/>
    <cellStyle name="Обычный 124 2 2 2 3 2 5 2 3" xfId="41490"/>
    <cellStyle name="Обычный 124 2 2 2 3 2 5 3" xfId="30307"/>
    <cellStyle name="Обычный 124 2 2 2 3 2 5 3 2" xfId="45130"/>
    <cellStyle name="Обычный 124 2 2 2 3 2 5 4" xfId="37804"/>
    <cellStyle name="Обычный 124 2 2 2 3 2 5 5" xfId="22992"/>
    <cellStyle name="Обычный 124 2 2 2 3 2 6" xfId="24808"/>
    <cellStyle name="Обычный 124 2 2 2 3 2 6 2" xfId="32119"/>
    <cellStyle name="Обычный 124 2 2 2 3 2 6 2 2" xfId="46942"/>
    <cellStyle name="Обычный 124 2 2 2 3 2 6 3" xfId="39707"/>
    <cellStyle name="Обычный 124 2 2 2 3 2 7" xfId="28465"/>
    <cellStyle name="Обычный 124 2 2 2 3 2 7 2" xfId="43302"/>
    <cellStyle name="Обычный 124 2 2 2 3 2 8" xfId="35773"/>
    <cellStyle name="Обычный 124 2 2 2 3 2 9" xfId="21147"/>
    <cellStyle name="Обычный 124 2 2 2 3 3" xfId="17345"/>
    <cellStyle name="Обычный 124 2 2 2 3 3 2" xfId="17798"/>
    <cellStyle name="Обычный 124 2 2 2 3 3 2 2" xfId="18912"/>
    <cellStyle name="Обычный 124 2 2 2 3 3 2 2 2" xfId="20791"/>
    <cellStyle name="Обычный 124 2 2 2 3 3 2 2 2 2" xfId="28117"/>
    <cellStyle name="Обычный 124 2 2 2 3 3 2 2 2 2 2" xfId="35428"/>
    <cellStyle name="Обычный 124 2 2 2 3 3 2 2 2 2 2 2" xfId="50248"/>
    <cellStyle name="Обычный 124 2 2 2 3 3 2 2 2 2 3" xfId="42956"/>
    <cellStyle name="Обычный 124 2 2 2 3 3 2 2 2 3" xfId="31774"/>
    <cellStyle name="Обычный 124 2 2 2 3 3 2 2 2 3 2" xfId="46597"/>
    <cellStyle name="Обычный 124 2 2 2 3 3 2 2 2 4" xfId="39272"/>
    <cellStyle name="Обычный 124 2 2 2 3 3 2 2 2 5" xfId="24459"/>
    <cellStyle name="Обычный 124 2 2 2 3 3 2 2 3" xfId="26291"/>
    <cellStyle name="Обычный 124 2 2 2 3 3 2 2 3 2" xfId="33602"/>
    <cellStyle name="Обычный 124 2 2 2 3 3 2 2 3 2 2" xfId="48422"/>
    <cellStyle name="Обычный 124 2 2 2 3 3 2 2 3 3" xfId="41135"/>
    <cellStyle name="Обычный 124 2 2 2 3 3 2 2 4" xfId="29948"/>
    <cellStyle name="Обычный 124 2 2 2 3 3 2 2 4 2" xfId="44772"/>
    <cellStyle name="Обычный 124 2 2 2 3 3 2 2 5" xfId="37548"/>
    <cellStyle name="Обычный 124 2 2 2 3 3 2 2 6" xfId="22630"/>
    <cellStyle name="Обычный 124 2 2 2 3 3 2 3" xfId="19842"/>
    <cellStyle name="Обычный 124 2 2 2 3 3 2 3 2" xfId="27211"/>
    <cellStyle name="Обычный 124 2 2 2 3 3 2 3 2 2" xfId="34522"/>
    <cellStyle name="Обычный 124 2 2 2 3 3 2 3 2 2 2" xfId="49342"/>
    <cellStyle name="Обычный 124 2 2 2 3 3 2 3 2 3" xfId="42051"/>
    <cellStyle name="Обычный 124 2 2 2 3 3 2 3 3" xfId="30868"/>
    <cellStyle name="Обычный 124 2 2 2 3 3 2 3 3 2" xfId="45691"/>
    <cellStyle name="Обычный 124 2 2 2 3 3 2 3 4" xfId="38365"/>
    <cellStyle name="Обычный 124 2 2 2 3 3 2 3 5" xfId="23553"/>
    <cellStyle name="Обычный 124 2 2 2 3 3 2 4" xfId="25370"/>
    <cellStyle name="Обычный 124 2 2 2 3 3 2 4 2" xfId="32681"/>
    <cellStyle name="Обычный 124 2 2 2 3 3 2 4 2 2" xfId="47504"/>
    <cellStyle name="Обычный 124 2 2 2 3 3 2 4 3" xfId="40258"/>
    <cellStyle name="Обычный 124 2 2 2 3 3 2 5" xfId="29027"/>
    <cellStyle name="Обычный 124 2 2 2 3 3 2 5 2" xfId="43864"/>
    <cellStyle name="Обычный 124 2 2 2 3 3 2 6" xfId="36224"/>
    <cellStyle name="Обычный 124 2 2 2 3 3 2 7" xfId="21709"/>
    <cellStyle name="Обычный 124 2 2 2 3 3 3" xfId="18358"/>
    <cellStyle name="Обычный 124 2 2 2 3 3 3 2" xfId="20240"/>
    <cellStyle name="Обычный 124 2 2 2 3 3 3 2 2" xfId="27566"/>
    <cellStyle name="Обычный 124 2 2 2 3 3 3 2 2 2" xfId="34877"/>
    <cellStyle name="Обычный 124 2 2 2 3 3 3 2 2 2 2" xfId="49697"/>
    <cellStyle name="Обычный 124 2 2 2 3 3 3 2 2 3" xfId="42405"/>
    <cellStyle name="Обычный 124 2 2 2 3 3 3 2 3" xfId="31223"/>
    <cellStyle name="Обычный 124 2 2 2 3 3 3 2 3 2" xfId="46046"/>
    <cellStyle name="Обычный 124 2 2 2 3 3 3 2 4" xfId="38721"/>
    <cellStyle name="Обычный 124 2 2 2 3 3 3 2 5" xfId="23908"/>
    <cellStyle name="Обычный 124 2 2 2 3 3 3 3" xfId="25740"/>
    <cellStyle name="Обычный 124 2 2 2 3 3 3 3 2" xfId="33051"/>
    <cellStyle name="Обычный 124 2 2 2 3 3 3 3 2 2" xfId="47871"/>
    <cellStyle name="Обычный 124 2 2 2 3 3 3 3 3" xfId="40593"/>
    <cellStyle name="Обычный 124 2 2 2 3 3 3 4" xfId="29397"/>
    <cellStyle name="Обычный 124 2 2 2 3 3 3 4 2" xfId="44221"/>
    <cellStyle name="Обычный 124 2 2 2 3 3 3 5" xfId="36998"/>
    <cellStyle name="Обычный 124 2 2 2 3 3 3 6" xfId="22079"/>
    <cellStyle name="Обычный 124 2 2 2 3 3 4" xfId="19391"/>
    <cellStyle name="Обычный 124 2 2 2 3 3 4 2" xfId="26761"/>
    <cellStyle name="Обычный 124 2 2 2 3 3 4 2 2" xfId="34072"/>
    <cellStyle name="Обычный 124 2 2 2 3 3 4 2 2 2" xfId="48892"/>
    <cellStyle name="Обычный 124 2 2 2 3 3 4 2 3" xfId="41601"/>
    <cellStyle name="Обычный 124 2 2 2 3 3 4 3" xfId="30418"/>
    <cellStyle name="Обычный 124 2 2 2 3 3 4 3 2" xfId="45241"/>
    <cellStyle name="Обычный 124 2 2 2 3 3 4 4" xfId="37915"/>
    <cellStyle name="Обычный 124 2 2 2 3 3 4 5" xfId="23103"/>
    <cellStyle name="Обычный 124 2 2 2 3 3 5" xfId="24920"/>
    <cellStyle name="Обычный 124 2 2 2 3 3 5 2" xfId="32231"/>
    <cellStyle name="Обычный 124 2 2 2 3 3 5 2 2" xfId="47054"/>
    <cellStyle name="Обычный 124 2 2 2 3 3 5 3" xfId="39815"/>
    <cellStyle name="Обычный 124 2 2 2 3 3 6" xfId="28577"/>
    <cellStyle name="Обычный 124 2 2 2 3 3 6 2" xfId="43414"/>
    <cellStyle name="Обычный 124 2 2 2 3 3 7" xfId="35775"/>
    <cellStyle name="Обычный 124 2 2 2 3 3 8" xfId="21259"/>
    <cellStyle name="Обычный 124 2 2 2 3 4" xfId="17574"/>
    <cellStyle name="Обычный 124 2 2 2 3 4 2" xfId="18688"/>
    <cellStyle name="Обычный 124 2 2 2 3 4 2 2" xfId="20567"/>
    <cellStyle name="Обычный 124 2 2 2 3 4 2 2 2" xfId="27893"/>
    <cellStyle name="Обычный 124 2 2 2 3 4 2 2 2 2" xfId="35204"/>
    <cellStyle name="Обычный 124 2 2 2 3 4 2 2 2 2 2" xfId="50024"/>
    <cellStyle name="Обычный 124 2 2 2 3 4 2 2 2 3" xfId="42732"/>
    <cellStyle name="Обычный 124 2 2 2 3 4 2 2 3" xfId="31550"/>
    <cellStyle name="Обычный 124 2 2 2 3 4 2 2 3 2" xfId="46373"/>
    <cellStyle name="Обычный 124 2 2 2 3 4 2 2 4" xfId="39048"/>
    <cellStyle name="Обычный 124 2 2 2 3 4 2 2 5" xfId="24235"/>
    <cellStyle name="Обычный 124 2 2 2 3 4 2 3" xfId="26067"/>
    <cellStyle name="Обычный 124 2 2 2 3 4 2 3 2" xfId="33378"/>
    <cellStyle name="Обычный 124 2 2 2 3 4 2 3 2 2" xfId="48198"/>
    <cellStyle name="Обычный 124 2 2 2 3 4 2 3 3" xfId="40911"/>
    <cellStyle name="Обычный 124 2 2 2 3 4 2 4" xfId="29724"/>
    <cellStyle name="Обычный 124 2 2 2 3 4 2 4 2" xfId="44548"/>
    <cellStyle name="Обычный 124 2 2 2 3 4 2 5" xfId="37325"/>
    <cellStyle name="Обычный 124 2 2 2 3 4 2 6" xfId="22406"/>
    <cellStyle name="Обычный 124 2 2 2 3 4 3" xfId="19618"/>
    <cellStyle name="Обычный 124 2 2 2 3 4 3 2" xfId="26987"/>
    <cellStyle name="Обычный 124 2 2 2 3 4 3 2 2" xfId="34298"/>
    <cellStyle name="Обычный 124 2 2 2 3 4 3 2 2 2" xfId="49118"/>
    <cellStyle name="Обычный 124 2 2 2 3 4 3 2 3" xfId="41827"/>
    <cellStyle name="Обычный 124 2 2 2 3 4 3 3" xfId="30644"/>
    <cellStyle name="Обычный 124 2 2 2 3 4 3 3 2" xfId="45467"/>
    <cellStyle name="Обычный 124 2 2 2 3 4 3 4" xfId="38141"/>
    <cellStyle name="Обычный 124 2 2 2 3 4 3 5" xfId="23329"/>
    <cellStyle name="Обычный 124 2 2 2 3 4 4" xfId="25146"/>
    <cellStyle name="Обычный 124 2 2 2 3 4 4 2" xfId="32457"/>
    <cellStyle name="Обычный 124 2 2 2 3 4 4 2 2" xfId="47280"/>
    <cellStyle name="Обычный 124 2 2 2 3 4 4 3" xfId="40040"/>
    <cellStyle name="Обычный 124 2 2 2 3 4 5" xfId="28803"/>
    <cellStyle name="Обычный 124 2 2 2 3 4 5 2" xfId="43640"/>
    <cellStyle name="Обычный 124 2 2 2 3 4 6" xfId="36221"/>
    <cellStyle name="Обычный 124 2 2 2 3 4 7" xfId="21485"/>
    <cellStyle name="Обычный 124 2 2 2 3 5" xfId="18355"/>
    <cellStyle name="Обычный 124 2 2 2 3 5 2" xfId="20237"/>
    <cellStyle name="Обычный 124 2 2 2 3 5 2 2" xfId="27563"/>
    <cellStyle name="Обычный 124 2 2 2 3 5 2 2 2" xfId="34874"/>
    <cellStyle name="Обычный 124 2 2 2 3 5 2 2 2 2" xfId="49694"/>
    <cellStyle name="Обычный 124 2 2 2 3 5 2 2 3" xfId="42402"/>
    <cellStyle name="Обычный 124 2 2 2 3 5 2 3" xfId="31220"/>
    <cellStyle name="Обычный 124 2 2 2 3 5 2 3 2" xfId="46043"/>
    <cellStyle name="Обычный 124 2 2 2 3 5 2 4" xfId="38718"/>
    <cellStyle name="Обычный 124 2 2 2 3 5 2 5" xfId="23905"/>
    <cellStyle name="Обычный 124 2 2 2 3 5 3" xfId="25737"/>
    <cellStyle name="Обычный 124 2 2 2 3 5 3 2" xfId="33048"/>
    <cellStyle name="Обычный 124 2 2 2 3 5 3 2 2" xfId="47868"/>
    <cellStyle name="Обычный 124 2 2 2 3 5 3 3" xfId="40590"/>
    <cellStyle name="Обычный 124 2 2 2 3 5 4" xfId="29394"/>
    <cellStyle name="Обычный 124 2 2 2 3 5 4 2" xfId="44218"/>
    <cellStyle name="Обычный 124 2 2 2 3 5 5" xfId="36995"/>
    <cellStyle name="Обычный 124 2 2 2 3 5 6" xfId="22076"/>
    <cellStyle name="Обычный 124 2 2 2 3 6" xfId="19170"/>
    <cellStyle name="Обычный 124 2 2 2 3 6 2" xfId="26541"/>
    <cellStyle name="Обычный 124 2 2 2 3 6 2 2" xfId="33852"/>
    <cellStyle name="Обычный 124 2 2 2 3 6 2 2 2" xfId="48672"/>
    <cellStyle name="Обычный 124 2 2 2 3 6 2 3" xfId="41381"/>
    <cellStyle name="Обычный 124 2 2 2 3 6 3" xfId="30198"/>
    <cellStyle name="Обычный 124 2 2 2 3 6 3 2" xfId="45021"/>
    <cellStyle name="Обычный 124 2 2 2 3 6 4" xfId="37695"/>
    <cellStyle name="Обычный 124 2 2 2 3 6 5" xfId="22883"/>
    <cellStyle name="Обычный 124 2 2 2 3 7" xfId="24696"/>
    <cellStyle name="Обычный 124 2 2 2 3 7 2" xfId="32007"/>
    <cellStyle name="Обычный 124 2 2 2 3 7 2 2" xfId="46830"/>
    <cellStyle name="Обычный 124 2 2 2 3 7 3" xfId="39605"/>
    <cellStyle name="Обычный 124 2 2 2 3 8" xfId="28353"/>
    <cellStyle name="Обычный 124 2 2 2 3 8 2" xfId="43190"/>
    <cellStyle name="Обычный 124 2 2 2 3 9" xfId="35772"/>
    <cellStyle name="Обычный 124 2 2 2 4" xfId="17404"/>
    <cellStyle name="Обычный 124 2 2 2 4 2" xfId="17854"/>
    <cellStyle name="Обычный 124 2 2 2 4 2 2" xfId="18968"/>
    <cellStyle name="Обычный 124 2 2 2 4 2 2 2" xfId="20847"/>
    <cellStyle name="Обычный 124 2 2 2 4 2 2 2 2" xfId="24515"/>
    <cellStyle name="Обычный 124 2 2 2 4 2 2 2 2 2" xfId="28173"/>
    <cellStyle name="Обычный 124 2 2 2 4 2 2 2 2 2 2" xfId="35484"/>
    <cellStyle name="Обычный 124 2 2 2 4 2 2 2 2 2 2 2" xfId="50304"/>
    <cellStyle name="Обычный 124 2 2 2 4 2 2 2 2 2 3" xfId="43012"/>
    <cellStyle name="Обычный 124 2 2 2 4 2 2 2 2 3" xfId="31830"/>
    <cellStyle name="Обычный 124 2 2 2 4 2 2 2 2 3 2" xfId="46653"/>
    <cellStyle name="Обычный 124 2 2 2 4 2 2 2 2 4" xfId="39459"/>
    <cellStyle name="Обычный 124 2 2 2 4 2 2 2 3" xfId="26347"/>
    <cellStyle name="Обычный 124 2 2 2 4 2 2 2 3 2" xfId="33658"/>
    <cellStyle name="Обычный 124 2 2 2 4 2 2 2 3 2 2" xfId="48478"/>
    <cellStyle name="Обычный 124 2 2 2 4 2 2 2 3 3" xfId="41191"/>
    <cellStyle name="Обычный 124 2 2 2 4 2 2 2 4" xfId="30004"/>
    <cellStyle name="Обычный 124 2 2 2 4 2 2 2 4 2" xfId="44828"/>
    <cellStyle name="Обычный 124 2 2 2 4 2 2 2 5" xfId="39328"/>
    <cellStyle name="Обычный 124 2 2 2 4 2 2 2 6" xfId="22686"/>
    <cellStyle name="Обычный 124 2 2 2 4 2 2 3" xfId="19898"/>
    <cellStyle name="Обычный 124 2 2 2 4 2 2 3 2" xfId="27267"/>
    <cellStyle name="Обычный 124 2 2 2 4 2 2 3 2 2" xfId="34578"/>
    <cellStyle name="Обычный 124 2 2 2 4 2 2 3 2 2 2" xfId="49398"/>
    <cellStyle name="Обычный 124 2 2 2 4 2 2 3 2 3" xfId="42107"/>
    <cellStyle name="Обычный 124 2 2 2 4 2 2 3 3" xfId="30924"/>
    <cellStyle name="Обычный 124 2 2 2 4 2 2 3 3 2" xfId="45747"/>
    <cellStyle name="Обычный 124 2 2 2 4 2 2 3 4" xfId="38421"/>
    <cellStyle name="Обычный 124 2 2 2 4 2 2 3 5" xfId="23609"/>
    <cellStyle name="Обычный 124 2 2 2 4 2 2 4" xfId="25426"/>
    <cellStyle name="Обычный 124 2 2 2 4 2 2 4 2" xfId="32737"/>
    <cellStyle name="Обычный 124 2 2 2 4 2 2 4 2 2" xfId="47560"/>
    <cellStyle name="Обычный 124 2 2 2 4 2 2 4 3" xfId="40314"/>
    <cellStyle name="Обычный 124 2 2 2 4 2 2 5" xfId="29083"/>
    <cellStyle name="Обычный 124 2 2 2 4 2 2 5 2" xfId="43920"/>
    <cellStyle name="Обычный 124 2 2 2 4 2 2 6" xfId="36226"/>
    <cellStyle name="Обычный 124 2 2 2 4 2 2 7" xfId="21765"/>
    <cellStyle name="Обычный 124 2 2 2 4 2 3" xfId="18360"/>
    <cellStyle name="Обычный 124 2 2 2 4 2 3 2" xfId="20242"/>
    <cellStyle name="Обычный 124 2 2 2 4 2 3 2 2" xfId="27568"/>
    <cellStyle name="Обычный 124 2 2 2 4 2 3 2 2 2" xfId="34879"/>
    <cellStyle name="Обычный 124 2 2 2 4 2 3 2 2 2 2" xfId="49699"/>
    <cellStyle name="Обычный 124 2 2 2 4 2 3 2 2 3" xfId="42407"/>
    <cellStyle name="Обычный 124 2 2 2 4 2 3 2 3" xfId="31225"/>
    <cellStyle name="Обычный 124 2 2 2 4 2 3 2 3 2" xfId="46048"/>
    <cellStyle name="Обычный 124 2 2 2 4 2 3 2 4" xfId="38723"/>
    <cellStyle name="Обычный 124 2 2 2 4 2 3 2 5" xfId="23910"/>
    <cellStyle name="Обычный 124 2 2 2 4 2 3 3" xfId="25742"/>
    <cellStyle name="Обычный 124 2 2 2 4 2 3 3 2" xfId="33053"/>
    <cellStyle name="Обычный 124 2 2 2 4 2 3 3 2 2" xfId="47873"/>
    <cellStyle name="Обычный 124 2 2 2 4 2 3 3 3" xfId="40595"/>
    <cellStyle name="Обычный 124 2 2 2 4 2 3 4" xfId="29399"/>
    <cellStyle name="Обычный 124 2 2 2 4 2 3 4 2" xfId="44223"/>
    <cellStyle name="Обычный 124 2 2 2 4 2 3 5" xfId="37000"/>
    <cellStyle name="Обычный 124 2 2 2 4 2 3 6" xfId="22081"/>
    <cellStyle name="Обычный 124 2 2 2 4 2 4" xfId="19447"/>
    <cellStyle name="Обычный 124 2 2 2 4 2 4 2" xfId="26817"/>
    <cellStyle name="Обычный 124 2 2 2 4 2 4 2 2" xfId="34128"/>
    <cellStyle name="Обычный 124 2 2 2 4 2 4 2 2 2" xfId="48948"/>
    <cellStyle name="Обычный 124 2 2 2 4 2 4 2 3" xfId="41657"/>
    <cellStyle name="Обычный 124 2 2 2 4 2 4 3" xfId="30474"/>
    <cellStyle name="Обычный 124 2 2 2 4 2 4 3 2" xfId="45297"/>
    <cellStyle name="Обычный 124 2 2 2 4 2 4 4" xfId="37971"/>
    <cellStyle name="Обычный 124 2 2 2 4 2 4 5" xfId="23159"/>
    <cellStyle name="Обычный 124 2 2 2 4 2 5" xfId="24976"/>
    <cellStyle name="Обычный 124 2 2 2 4 2 5 2" xfId="32287"/>
    <cellStyle name="Обычный 124 2 2 2 4 2 5 2 2" xfId="47110"/>
    <cellStyle name="Обычный 124 2 2 2 4 2 5 3" xfId="39871"/>
    <cellStyle name="Обычный 124 2 2 2 4 2 6" xfId="28633"/>
    <cellStyle name="Обычный 124 2 2 2 4 2 6 2" xfId="43470"/>
    <cellStyle name="Обычный 124 2 2 2 4 2 7" xfId="35777"/>
    <cellStyle name="Обычный 124 2 2 2 4 2 8" xfId="21315"/>
    <cellStyle name="Обычный 124 2 2 2 4 3" xfId="17630"/>
    <cellStyle name="Обычный 124 2 2 2 4 3 2" xfId="18744"/>
    <cellStyle name="Обычный 124 2 2 2 4 3 2 2" xfId="20623"/>
    <cellStyle name="Обычный 124 2 2 2 4 3 2 2 2" xfId="27949"/>
    <cellStyle name="Обычный 124 2 2 2 4 3 2 2 2 2" xfId="35260"/>
    <cellStyle name="Обычный 124 2 2 2 4 3 2 2 2 2 2" xfId="50080"/>
    <cellStyle name="Обычный 124 2 2 2 4 3 2 2 2 3" xfId="42788"/>
    <cellStyle name="Обычный 124 2 2 2 4 3 2 2 3" xfId="31606"/>
    <cellStyle name="Обычный 124 2 2 2 4 3 2 2 3 2" xfId="46429"/>
    <cellStyle name="Обычный 124 2 2 2 4 3 2 2 4" xfId="39104"/>
    <cellStyle name="Обычный 124 2 2 2 4 3 2 2 5" xfId="24291"/>
    <cellStyle name="Обычный 124 2 2 2 4 3 2 3" xfId="26123"/>
    <cellStyle name="Обычный 124 2 2 2 4 3 2 3 2" xfId="33434"/>
    <cellStyle name="Обычный 124 2 2 2 4 3 2 3 2 2" xfId="48254"/>
    <cellStyle name="Обычный 124 2 2 2 4 3 2 3 3" xfId="40967"/>
    <cellStyle name="Обычный 124 2 2 2 4 3 2 4" xfId="29780"/>
    <cellStyle name="Обычный 124 2 2 2 4 3 2 4 2" xfId="44604"/>
    <cellStyle name="Обычный 124 2 2 2 4 3 2 5" xfId="37381"/>
    <cellStyle name="Обычный 124 2 2 2 4 3 2 6" xfId="22462"/>
    <cellStyle name="Обычный 124 2 2 2 4 3 3" xfId="19674"/>
    <cellStyle name="Обычный 124 2 2 2 4 3 3 2" xfId="27043"/>
    <cellStyle name="Обычный 124 2 2 2 4 3 3 2 2" xfId="34354"/>
    <cellStyle name="Обычный 124 2 2 2 4 3 3 2 2 2" xfId="49174"/>
    <cellStyle name="Обычный 124 2 2 2 4 3 3 2 3" xfId="41883"/>
    <cellStyle name="Обычный 124 2 2 2 4 3 3 3" xfId="30700"/>
    <cellStyle name="Обычный 124 2 2 2 4 3 3 3 2" xfId="45523"/>
    <cellStyle name="Обычный 124 2 2 2 4 3 3 4" xfId="38197"/>
    <cellStyle name="Обычный 124 2 2 2 4 3 3 5" xfId="23385"/>
    <cellStyle name="Обычный 124 2 2 2 4 3 4" xfId="25202"/>
    <cellStyle name="Обычный 124 2 2 2 4 3 4 2" xfId="32513"/>
    <cellStyle name="Обычный 124 2 2 2 4 3 4 2 2" xfId="47336"/>
    <cellStyle name="Обычный 124 2 2 2 4 3 4 3" xfId="40094"/>
    <cellStyle name="Обычный 124 2 2 2 4 3 5" xfId="28859"/>
    <cellStyle name="Обычный 124 2 2 2 4 3 5 2" xfId="43696"/>
    <cellStyle name="Обычный 124 2 2 2 4 3 6" xfId="36225"/>
    <cellStyle name="Обычный 124 2 2 2 4 3 7" xfId="21541"/>
    <cellStyle name="Обычный 124 2 2 2 4 4" xfId="18359"/>
    <cellStyle name="Обычный 124 2 2 2 4 4 2" xfId="20241"/>
    <cellStyle name="Обычный 124 2 2 2 4 4 2 2" xfId="27567"/>
    <cellStyle name="Обычный 124 2 2 2 4 4 2 2 2" xfId="34878"/>
    <cellStyle name="Обычный 124 2 2 2 4 4 2 2 2 2" xfId="49698"/>
    <cellStyle name="Обычный 124 2 2 2 4 4 2 2 3" xfId="42406"/>
    <cellStyle name="Обычный 124 2 2 2 4 4 2 3" xfId="31224"/>
    <cellStyle name="Обычный 124 2 2 2 4 4 2 3 2" xfId="46047"/>
    <cellStyle name="Обычный 124 2 2 2 4 4 2 4" xfId="38722"/>
    <cellStyle name="Обычный 124 2 2 2 4 4 2 5" xfId="23909"/>
    <cellStyle name="Обычный 124 2 2 2 4 4 3" xfId="25741"/>
    <cellStyle name="Обычный 124 2 2 2 4 4 3 2" xfId="33052"/>
    <cellStyle name="Обычный 124 2 2 2 4 4 3 2 2" xfId="47872"/>
    <cellStyle name="Обычный 124 2 2 2 4 4 3 3" xfId="40594"/>
    <cellStyle name="Обычный 124 2 2 2 4 4 4" xfId="29398"/>
    <cellStyle name="Обычный 124 2 2 2 4 4 4 2" xfId="44222"/>
    <cellStyle name="Обычный 124 2 2 2 4 4 5" xfId="36999"/>
    <cellStyle name="Обычный 124 2 2 2 4 4 6" xfId="22080"/>
    <cellStyle name="Обычный 124 2 2 2 4 5" xfId="19225"/>
    <cellStyle name="Обычный 124 2 2 2 4 5 2" xfId="26595"/>
    <cellStyle name="Обычный 124 2 2 2 4 5 2 2" xfId="33906"/>
    <cellStyle name="Обычный 124 2 2 2 4 5 2 2 2" xfId="48726"/>
    <cellStyle name="Обычный 124 2 2 2 4 5 2 3" xfId="41435"/>
    <cellStyle name="Обычный 124 2 2 2 4 5 3" xfId="30252"/>
    <cellStyle name="Обычный 124 2 2 2 4 5 3 2" xfId="45075"/>
    <cellStyle name="Обычный 124 2 2 2 4 5 4" xfId="37749"/>
    <cellStyle name="Обычный 124 2 2 2 4 5 5" xfId="22937"/>
    <cellStyle name="Обычный 124 2 2 2 4 6" xfId="24752"/>
    <cellStyle name="Обычный 124 2 2 2 4 6 2" xfId="32063"/>
    <cellStyle name="Обычный 124 2 2 2 4 6 2 2" xfId="46886"/>
    <cellStyle name="Обычный 124 2 2 2 4 6 3" xfId="39654"/>
    <cellStyle name="Обычный 124 2 2 2 4 7" xfId="28409"/>
    <cellStyle name="Обычный 124 2 2 2 4 7 2" xfId="43246"/>
    <cellStyle name="Обычный 124 2 2 2 4 8" xfId="35776"/>
    <cellStyle name="Обычный 124 2 2 2 4 9" xfId="21091"/>
    <cellStyle name="Обычный 124 2 2 2 5" xfId="17286"/>
    <cellStyle name="Обычный 124 2 2 2 5 2" xfId="17742"/>
    <cellStyle name="Обычный 124 2 2 2 5 2 2" xfId="18856"/>
    <cellStyle name="Обычный 124 2 2 2 5 2 2 2" xfId="20735"/>
    <cellStyle name="Обычный 124 2 2 2 5 2 2 2 2" xfId="28061"/>
    <cellStyle name="Обычный 124 2 2 2 5 2 2 2 2 2" xfId="35372"/>
    <cellStyle name="Обычный 124 2 2 2 5 2 2 2 2 2 2" xfId="50192"/>
    <cellStyle name="Обычный 124 2 2 2 5 2 2 2 2 3" xfId="42900"/>
    <cellStyle name="Обычный 124 2 2 2 5 2 2 2 3" xfId="31718"/>
    <cellStyle name="Обычный 124 2 2 2 5 2 2 2 3 2" xfId="46541"/>
    <cellStyle name="Обычный 124 2 2 2 5 2 2 2 4" xfId="39216"/>
    <cellStyle name="Обычный 124 2 2 2 5 2 2 2 5" xfId="24403"/>
    <cellStyle name="Обычный 124 2 2 2 5 2 2 3" xfId="26235"/>
    <cellStyle name="Обычный 124 2 2 2 5 2 2 3 2" xfId="33546"/>
    <cellStyle name="Обычный 124 2 2 2 5 2 2 3 2 2" xfId="48366"/>
    <cellStyle name="Обычный 124 2 2 2 5 2 2 3 3" xfId="41079"/>
    <cellStyle name="Обычный 124 2 2 2 5 2 2 4" xfId="29892"/>
    <cellStyle name="Обычный 124 2 2 2 5 2 2 4 2" xfId="44716"/>
    <cellStyle name="Обычный 124 2 2 2 5 2 2 5" xfId="37492"/>
    <cellStyle name="Обычный 124 2 2 2 5 2 2 6" xfId="22574"/>
    <cellStyle name="Обычный 124 2 2 2 5 2 3" xfId="19786"/>
    <cellStyle name="Обычный 124 2 2 2 5 2 3 2" xfId="27155"/>
    <cellStyle name="Обычный 124 2 2 2 5 2 3 2 2" xfId="34466"/>
    <cellStyle name="Обычный 124 2 2 2 5 2 3 2 2 2" xfId="49286"/>
    <cellStyle name="Обычный 124 2 2 2 5 2 3 2 3" xfId="41995"/>
    <cellStyle name="Обычный 124 2 2 2 5 2 3 3" xfId="30812"/>
    <cellStyle name="Обычный 124 2 2 2 5 2 3 3 2" xfId="45635"/>
    <cellStyle name="Обычный 124 2 2 2 5 2 3 4" xfId="38309"/>
    <cellStyle name="Обычный 124 2 2 2 5 2 3 5" xfId="23497"/>
    <cellStyle name="Обычный 124 2 2 2 5 2 4" xfId="25314"/>
    <cellStyle name="Обычный 124 2 2 2 5 2 4 2" xfId="32625"/>
    <cellStyle name="Обычный 124 2 2 2 5 2 4 2 2" xfId="47448"/>
    <cellStyle name="Обычный 124 2 2 2 5 2 4 3" xfId="40203"/>
    <cellStyle name="Обычный 124 2 2 2 5 2 5" xfId="28971"/>
    <cellStyle name="Обычный 124 2 2 2 5 2 5 2" xfId="43808"/>
    <cellStyle name="Обычный 124 2 2 2 5 2 6" xfId="36227"/>
    <cellStyle name="Обычный 124 2 2 2 5 2 7" xfId="21653"/>
    <cellStyle name="Обычный 124 2 2 2 5 3" xfId="18361"/>
    <cellStyle name="Обычный 124 2 2 2 5 3 2" xfId="20243"/>
    <cellStyle name="Обычный 124 2 2 2 5 3 2 2" xfId="27569"/>
    <cellStyle name="Обычный 124 2 2 2 5 3 2 2 2" xfId="34880"/>
    <cellStyle name="Обычный 124 2 2 2 5 3 2 2 2 2" xfId="49700"/>
    <cellStyle name="Обычный 124 2 2 2 5 3 2 2 3" xfId="42408"/>
    <cellStyle name="Обычный 124 2 2 2 5 3 2 3" xfId="31226"/>
    <cellStyle name="Обычный 124 2 2 2 5 3 2 3 2" xfId="46049"/>
    <cellStyle name="Обычный 124 2 2 2 5 3 2 4" xfId="38724"/>
    <cellStyle name="Обычный 124 2 2 2 5 3 2 5" xfId="23911"/>
    <cellStyle name="Обычный 124 2 2 2 5 3 3" xfId="25743"/>
    <cellStyle name="Обычный 124 2 2 2 5 3 3 2" xfId="33054"/>
    <cellStyle name="Обычный 124 2 2 2 5 3 3 2 2" xfId="47874"/>
    <cellStyle name="Обычный 124 2 2 2 5 3 3 3" xfId="40596"/>
    <cellStyle name="Обычный 124 2 2 2 5 3 4" xfId="29400"/>
    <cellStyle name="Обычный 124 2 2 2 5 3 4 2" xfId="44224"/>
    <cellStyle name="Обычный 124 2 2 2 5 3 5" xfId="37001"/>
    <cellStyle name="Обычный 124 2 2 2 5 3 6" xfId="22082"/>
    <cellStyle name="Обычный 124 2 2 2 5 4" xfId="19335"/>
    <cellStyle name="Обычный 124 2 2 2 5 4 2" xfId="26705"/>
    <cellStyle name="Обычный 124 2 2 2 5 4 2 2" xfId="34016"/>
    <cellStyle name="Обычный 124 2 2 2 5 4 2 2 2" xfId="48836"/>
    <cellStyle name="Обычный 124 2 2 2 5 4 2 3" xfId="41545"/>
    <cellStyle name="Обычный 124 2 2 2 5 4 3" xfId="30362"/>
    <cellStyle name="Обычный 124 2 2 2 5 4 3 2" xfId="45185"/>
    <cellStyle name="Обычный 124 2 2 2 5 4 4" xfId="37859"/>
    <cellStyle name="Обычный 124 2 2 2 5 4 5" xfId="23047"/>
    <cellStyle name="Обычный 124 2 2 2 5 5" xfId="24864"/>
    <cellStyle name="Обычный 124 2 2 2 5 5 2" xfId="32175"/>
    <cellStyle name="Обычный 124 2 2 2 5 5 2 2" xfId="46998"/>
    <cellStyle name="Обычный 124 2 2 2 5 5 3" xfId="39760"/>
    <cellStyle name="Обычный 124 2 2 2 5 6" xfId="28521"/>
    <cellStyle name="Обычный 124 2 2 2 5 6 2" xfId="43358"/>
    <cellStyle name="Обычный 124 2 2 2 5 7" xfId="35778"/>
    <cellStyle name="Обычный 124 2 2 2 5 8" xfId="21203"/>
    <cellStyle name="Обычный 124 2 2 2 6" xfId="17518"/>
    <cellStyle name="Обычный 124 2 2 2 6 2" xfId="18632"/>
    <cellStyle name="Обычный 124 2 2 2 6 2 2" xfId="20511"/>
    <cellStyle name="Обычный 124 2 2 2 6 2 2 2" xfId="27837"/>
    <cellStyle name="Обычный 124 2 2 2 6 2 2 2 2" xfId="35148"/>
    <cellStyle name="Обычный 124 2 2 2 6 2 2 2 2 2" xfId="49968"/>
    <cellStyle name="Обычный 124 2 2 2 6 2 2 2 3" xfId="42676"/>
    <cellStyle name="Обычный 124 2 2 2 6 2 2 3" xfId="31494"/>
    <cellStyle name="Обычный 124 2 2 2 6 2 2 3 2" xfId="46317"/>
    <cellStyle name="Обычный 124 2 2 2 6 2 2 4" xfId="38992"/>
    <cellStyle name="Обычный 124 2 2 2 6 2 2 5" xfId="24179"/>
    <cellStyle name="Обычный 124 2 2 2 6 2 3" xfId="26011"/>
    <cellStyle name="Обычный 124 2 2 2 6 2 3 2" xfId="33322"/>
    <cellStyle name="Обычный 124 2 2 2 6 2 3 2 2" xfId="48142"/>
    <cellStyle name="Обычный 124 2 2 2 6 2 3 3" xfId="40855"/>
    <cellStyle name="Обычный 124 2 2 2 6 2 4" xfId="29668"/>
    <cellStyle name="Обычный 124 2 2 2 6 2 4 2" xfId="44492"/>
    <cellStyle name="Обычный 124 2 2 2 6 2 5" xfId="37269"/>
    <cellStyle name="Обычный 124 2 2 2 6 2 6" xfId="22350"/>
    <cellStyle name="Обычный 124 2 2 2 6 3" xfId="19562"/>
    <cellStyle name="Обычный 124 2 2 2 6 3 2" xfId="26931"/>
    <cellStyle name="Обычный 124 2 2 2 6 3 2 2" xfId="34242"/>
    <cellStyle name="Обычный 124 2 2 2 6 3 2 2 2" xfId="49062"/>
    <cellStyle name="Обычный 124 2 2 2 6 3 2 3" xfId="41771"/>
    <cellStyle name="Обычный 124 2 2 2 6 3 3" xfId="30588"/>
    <cellStyle name="Обычный 124 2 2 2 6 3 3 2" xfId="45411"/>
    <cellStyle name="Обычный 124 2 2 2 6 3 4" xfId="38085"/>
    <cellStyle name="Обычный 124 2 2 2 6 3 5" xfId="23273"/>
    <cellStyle name="Обычный 124 2 2 2 6 4" xfId="25090"/>
    <cellStyle name="Обычный 124 2 2 2 6 4 2" xfId="32401"/>
    <cellStyle name="Обычный 124 2 2 2 6 4 2 2" xfId="47224"/>
    <cellStyle name="Обычный 124 2 2 2 6 4 3" xfId="39985"/>
    <cellStyle name="Обычный 124 2 2 2 6 5" xfId="28747"/>
    <cellStyle name="Обычный 124 2 2 2 6 5 2" xfId="43584"/>
    <cellStyle name="Обычный 124 2 2 2 6 6" xfId="36212"/>
    <cellStyle name="Обычный 124 2 2 2 6 7" xfId="21429"/>
    <cellStyle name="Обычный 124 2 2 2 7" xfId="18169"/>
    <cellStyle name="Обычный 124 2 2 2 7 2" xfId="20056"/>
    <cellStyle name="Обычный 124 2 2 2 7 2 2" xfId="27382"/>
    <cellStyle name="Обычный 124 2 2 2 7 2 2 2" xfId="34693"/>
    <cellStyle name="Обычный 124 2 2 2 7 2 2 2 2" xfId="49513"/>
    <cellStyle name="Обычный 124 2 2 2 7 2 2 3" xfId="42222"/>
    <cellStyle name="Обычный 124 2 2 2 7 2 3" xfId="31039"/>
    <cellStyle name="Обычный 124 2 2 2 7 2 3 2" xfId="45862"/>
    <cellStyle name="Обычный 124 2 2 2 7 2 4" xfId="38537"/>
    <cellStyle name="Обычный 124 2 2 2 7 2 5" xfId="23724"/>
    <cellStyle name="Обычный 124 2 2 2 7 3" xfId="25555"/>
    <cellStyle name="Обычный 124 2 2 2 7 3 2" xfId="32866"/>
    <cellStyle name="Обычный 124 2 2 2 7 3 2 2" xfId="47686"/>
    <cellStyle name="Обычный 124 2 2 2 7 3 3" xfId="40429"/>
    <cellStyle name="Обычный 124 2 2 2 7 4" xfId="29212"/>
    <cellStyle name="Обычный 124 2 2 2 7 4 2" xfId="44038"/>
    <cellStyle name="Обычный 124 2 2 2 7 5" xfId="36813"/>
    <cellStyle name="Обычный 124 2 2 2 7 6" xfId="21894"/>
    <cellStyle name="Обычный 124 2 2 2 8" xfId="19096"/>
    <cellStyle name="Обычный 124 2 2 2 8 2" xfId="26475"/>
    <cellStyle name="Обычный 124 2 2 2 8 2 2" xfId="33786"/>
    <cellStyle name="Обычный 124 2 2 2 8 2 2 2" xfId="48606"/>
    <cellStyle name="Обычный 124 2 2 2 8 2 3" xfId="41316"/>
    <cellStyle name="Обычный 124 2 2 2 8 3" xfId="30132"/>
    <cellStyle name="Обычный 124 2 2 2 8 3 2" xfId="44956"/>
    <cellStyle name="Обычный 124 2 2 2 8 4" xfId="37629"/>
    <cellStyle name="Обычный 124 2 2 2 8 5" xfId="22817"/>
    <cellStyle name="Обычный 124 2 2 2 9" xfId="24640"/>
    <cellStyle name="Обычный 124 2 2 2 9 2" xfId="31951"/>
    <cellStyle name="Обычный 124 2 2 2 9 2 2" xfId="46774"/>
    <cellStyle name="Обычный 124 2 2 2 9 3" xfId="39562"/>
    <cellStyle name="Обычный 124 2 2 3" xfId="17202"/>
    <cellStyle name="Обычный 124 2 2 3 10" xfId="35779"/>
    <cellStyle name="Обычный 124 2 2 3 11" xfId="20993"/>
    <cellStyle name="Обычный 124 2 2 3 2" xfId="17359"/>
    <cellStyle name="Обычный 124 2 2 3 2 10" xfId="21049"/>
    <cellStyle name="Обычный 124 2 2 3 2 2" xfId="17474"/>
    <cellStyle name="Обычный 124 2 2 3 2 2 2" xfId="17924"/>
    <cellStyle name="Обычный 124 2 2 3 2 2 2 2" xfId="19038"/>
    <cellStyle name="Обычный 124 2 2 3 2 2 2 2 2" xfId="20917"/>
    <cellStyle name="Обычный 124 2 2 3 2 2 2 2 2 2" xfId="24585"/>
    <cellStyle name="Обычный 124 2 2 3 2 2 2 2 2 2 2" xfId="28243"/>
    <cellStyle name="Обычный 124 2 2 3 2 2 2 2 2 2 2 2" xfId="35554"/>
    <cellStyle name="Обычный 124 2 2 3 2 2 2 2 2 2 2 2 2" xfId="50374"/>
    <cellStyle name="Обычный 124 2 2 3 2 2 2 2 2 2 2 3" xfId="43082"/>
    <cellStyle name="Обычный 124 2 2 3 2 2 2 2 2 2 3" xfId="31900"/>
    <cellStyle name="Обычный 124 2 2 3 2 2 2 2 2 2 3 2" xfId="46723"/>
    <cellStyle name="Обычный 124 2 2 3 2 2 2 2 2 2 4" xfId="39517"/>
    <cellStyle name="Обычный 124 2 2 3 2 2 2 2 2 3" xfId="26417"/>
    <cellStyle name="Обычный 124 2 2 3 2 2 2 2 2 3 2" xfId="33728"/>
    <cellStyle name="Обычный 124 2 2 3 2 2 2 2 2 3 2 2" xfId="48548"/>
    <cellStyle name="Обычный 124 2 2 3 2 2 2 2 2 3 3" xfId="41261"/>
    <cellStyle name="Обычный 124 2 2 3 2 2 2 2 2 4" xfId="30074"/>
    <cellStyle name="Обычный 124 2 2 3 2 2 2 2 2 4 2" xfId="44898"/>
    <cellStyle name="Обычный 124 2 2 3 2 2 2 2 2 5" xfId="39398"/>
    <cellStyle name="Обычный 124 2 2 3 2 2 2 2 2 6" xfId="22756"/>
    <cellStyle name="Обычный 124 2 2 3 2 2 2 2 3" xfId="19968"/>
    <cellStyle name="Обычный 124 2 2 3 2 2 2 2 3 2" xfId="27337"/>
    <cellStyle name="Обычный 124 2 2 3 2 2 2 2 3 2 2" xfId="34648"/>
    <cellStyle name="Обычный 124 2 2 3 2 2 2 2 3 2 2 2" xfId="49468"/>
    <cellStyle name="Обычный 124 2 2 3 2 2 2 2 3 2 3" xfId="42177"/>
    <cellStyle name="Обычный 124 2 2 3 2 2 2 2 3 3" xfId="30994"/>
    <cellStyle name="Обычный 124 2 2 3 2 2 2 2 3 3 2" xfId="45817"/>
    <cellStyle name="Обычный 124 2 2 3 2 2 2 2 3 4" xfId="38491"/>
    <cellStyle name="Обычный 124 2 2 3 2 2 2 2 3 5" xfId="23679"/>
    <cellStyle name="Обычный 124 2 2 3 2 2 2 2 4" xfId="25496"/>
    <cellStyle name="Обычный 124 2 2 3 2 2 2 2 4 2" xfId="32807"/>
    <cellStyle name="Обычный 124 2 2 3 2 2 2 2 4 2 2" xfId="47630"/>
    <cellStyle name="Обычный 124 2 2 3 2 2 2 2 4 3" xfId="40384"/>
    <cellStyle name="Обычный 124 2 2 3 2 2 2 2 5" xfId="29153"/>
    <cellStyle name="Обычный 124 2 2 3 2 2 2 2 5 2" xfId="43990"/>
    <cellStyle name="Обычный 124 2 2 3 2 2 2 2 6" xfId="36231"/>
    <cellStyle name="Обычный 124 2 2 3 2 2 2 2 7" xfId="21835"/>
    <cellStyle name="Обычный 124 2 2 3 2 2 2 3" xfId="18365"/>
    <cellStyle name="Обычный 124 2 2 3 2 2 2 3 2" xfId="20247"/>
    <cellStyle name="Обычный 124 2 2 3 2 2 2 3 2 2" xfId="27573"/>
    <cellStyle name="Обычный 124 2 2 3 2 2 2 3 2 2 2" xfId="34884"/>
    <cellStyle name="Обычный 124 2 2 3 2 2 2 3 2 2 2 2" xfId="49704"/>
    <cellStyle name="Обычный 124 2 2 3 2 2 2 3 2 2 3" xfId="42412"/>
    <cellStyle name="Обычный 124 2 2 3 2 2 2 3 2 3" xfId="31230"/>
    <cellStyle name="Обычный 124 2 2 3 2 2 2 3 2 3 2" xfId="46053"/>
    <cellStyle name="Обычный 124 2 2 3 2 2 2 3 2 4" xfId="38728"/>
    <cellStyle name="Обычный 124 2 2 3 2 2 2 3 2 5" xfId="23915"/>
    <cellStyle name="Обычный 124 2 2 3 2 2 2 3 3" xfId="25747"/>
    <cellStyle name="Обычный 124 2 2 3 2 2 2 3 3 2" xfId="33058"/>
    <cellStyle name="Обычный 124 2 2 3 2 2 2 3 3 2 2" xfId="47878"/>
    <cellStyle name="Обычный 124 2 2 3 2 2 2 3 3 3" xfId="40600"/>
    <cellStyle name="Обычный 124 2 2 3 2 2 2 3 4" xfId="29404"/>
    <cellStyle name="Обычный 124 2 2 3 2 2 2 3 4 2" xfId="44228"/>
    <cellStyle name="Обычный 124 2 2 3 2 2 2 3 5" xfId="37005"/>
    <cellStyle name="Обычный 124 2 2 3 2 2 2 3 6" xfId="22086"/>
    <cellStyle name="Обычный 124 2 2 3 2 2 2 4" xfId="19517"/>
    <cellStyle name="Обычный 124 2 2 3 2 2 2 4 2" xfId="26887"/>
    <cellStyle name="Обычный 124 2 2 3 2 2 2 4 2 2" xfId="34198"/>
    <cellStyle name="Обычный 124 2 2 3 2 2 2 4 2 2 2" xfId="49018"/>
    <cellStyle name="Обычный 124 2 2 3 2 2 2 4 2 3" xfId="41727"/>
    <cellStyle name="Обычный 124 2 2 3 2 2 2 4 3" xfId="30544"/>
    <cellStyle name="Обычный 124 2 2 3 2 2 2 4 3 2" xfId="45367"/>
    <cellStyle name="Обычный 124 2 2 3 2 2 2 4 4" xfId="38041"/>
    <cellStyle name="Обычный 124 2 2 3 2 2 2 4 5" xfId="23229"/>
    <cellStyle name="Обычный 124 2 2 3 2 2 2 5" xfId="25046"/>
    <cellStyle name="Обычный 124 2 2 3 2 2 2 5 2" xfId="32357"/>
    <cellStyle name="Обычный 124 2 2 3 2 2 2 5 2 2" xfId="47180"/>
    <cellStyle name="Обычный 124 2 2 3 2 2 2 5 3" xfId="39941"/>
    <cellStyle name="Обычный 124 2 2 3 2 2 2 6" xfId="28703"/>
    <cellStyle name="Обычный 124 2 2 3 2 2 2 6 2" xfId="43540"/>
    <cellStyle name="Обычный 124 2 2 3 2 2 2 7" xfId="35782"/>
    <cellStyle name="Обычный 124 2 2 3 2 2 2 8" xfId="21385"/>
    <cellStyle name="Обычный 124 2 2 3 2 2 3" xfId="17700"/>
    <cellStyle name="Обычный 124 2 2 3 2 2 3 2" xfId="18814"/>
    <cellStyle name="Обычный 124 2 2 3 2 2 3 2 2" xfId="20693"/>
    <cellStyle name="Обычный 124 2 2 3 2 2 3 2 2 2" xfId="28019"/>
    <cellStyle name="Обычный 124 2 2 3 2 2 3 2 2 2 2" xfId="35330"/>
    <cellStyle name="Обычный 124 2 2 3 2 2 3 2 2 2 2 2" xfId="50150"/>
    <cellStyle name="Обычный 124 2 2 3 2 2 3 2 2 2 3" xfId="42858"/>
    <cellStyle name="Обычный 124 2 2 3 2 2 3 2 2 3" xfId="31676"/>
    <cellStyle name="Обычный 124 2 2 3 2 2 3 2 2 3 2" xfId="46499"/>
    <cellStyle name="Обычный 124 2 2 3 2 2 3 2 2 4" xfId="39174"/>
    <cellStyle name="Обычный 124 2 2 3 2 2 3 2 2 5" xfId="24361"/>
    <cellStyle name="Обычный 124 2 2 3 2 2 3 2 3" xfId="26193"/>
    <cellStyle name="Обычный 124 2 2 3 2 2 3 2 3 2" xfId="33504"/>
    <cellStyle name="Обычный 124 2 2 3 2 2 3 2 3 2 2" xfId="48324"/>
    <cellStyle name="Обычный 124 2 2 3 2 2 3 2 3 3" xfId="41037"/>
    <cellStyle name="Обычный 124 2 2 3 2 2 3 2 4" xfId="29850"/>
    <cellStyle name="Обычный 124 2 2 3 2 2 3 2 4 2" xfId="44674"/>
    <cellStyle name="Обычный 124 2 2 3 2 2 3 2 5" xfId="37451"/>
    <cellStyle name="Обычный 124 2 2 3 2 2 3 2 6" xfId="22532"/>
    <cellStyle name="Обычный 124 2 2 3 2 2 3 3" xfId="19744"/>
    <cellStyle name="Обычный 124 2 2 3 2 2 3 3 2" xfId="27113"/>
    <cellStyle name="Обычный 124 2 2 3 2 2 3 3 2 2" xfId="34424"/>
    <cellStyle name="Обычный 124 2 2 3 2 2 3 3 2 2 2" xfId="49244"/>
    <cellStyle name="Обычный 124 2 2 3 2 2 3 3 2 3" xfId="41953"/>
    <cellStyle name="Обычный 124 2 2 3 2 2 3 3 3" xfId="30770"/>
    <cellStyle name="Обычный 124 2 2 3 2 2 3 3 3 2" xfId="45593"/>
    <cellStyle name="Обычный 124 2 2 3 2 2 3 3 4" xfId="38267"/>
    <cellStyle name="Обычный 124 2 2 3 2 2 3 3 5" xfId="23455"/>
    <cellStyle name="Обычный 124 2 2 3 2 2 3 4" xfId="25272"/>
    <cellStyle name="Обычный 124 2 2 3 2 2 3 4 2" xfId="32583"/>
    <cellStyle name="Обычный 124 2 2 3 2 2 3 4 2 2" xfId="47406"/>
    <cellStyle name="Обычный 124 2 2 3 2 2 3 4 3" xfId="40164"/>
    <cellStyle name="Обычный 124 2 2 3 2 2 3 5" xfId="28929"/>
    <cellStyle name="Обычный 124 2 2 3 2 2 3 5 2" xfId="43766"/>
    <cellStyle name="Обычный 124 2 2 3 2 2 3 6" xfId="36230"/>
    <cellStyle name="Обычный 124 2 2 3 2 2 3 7" xfId="21611"/>
    <cellStyle name="Обычный 124 2 2 3 2 2 4" xfId="18364"/>
    <cellStyle name="Обычный 124 2 2 3 2 2 4 2" xfId="20246"/>
    <cellStyle name="Обычный 124 2 2 3 2 2 4 2 2" xfId="27572"/>
    <cellStyle name="Обычный 124 2 2 3 2 2 4 2 2 2" xfId="34883"/>
    <cellStyle name="Обычный 124 2 2 3 2 2 4 2 2 2 2" xfId="49703"/>
    <cellStyle name="Обычный 124 2 2 3 2 2 4 2 2 3" xfId="42411"/>
    <cellStyle name="Обычный 124 2 2 3 2 2 4 2 3" xfId="31229"/>
    <cellStyle name="Обычный 124 2 2 3 2 2 4 2 3 2" xfId="46052"/>
    <cellStyle name="Обычный 124 2 2 3 2 2 4 2 4" xfId="38727"/>
    <cellStyle name="Обычный 124 2 2 3 2 2 4 2 5" xfId="23914"/>
    <cellStyle name="Обычный 124 2 2 3 2 2 4 3" xfId="25746"/>
    <cellStyle name="Обычный 124 2 2 3 2 2 4 3 2" xfId="33057"/>
    <cellStyle name="Обычный 124 2 2 3 2 2 4 3 2 2" xfId="47877"/>
    <cellStyle name="Обычный 124 2 2 3 2 2 4 3 3" xfId="40599"/>
    <cellStyle name="Обычный 124 2 2 3 2 2 4 4" xfId="29403"/>
    <cellStyle name="Обычный 124 2 2 3 2 2 4 4 2" xfId="44227"/>
    <cellStyle name="Обычный 124 2 2 3 2 2 4 5" xfId="37004"/>
    <cellStyle name="Обычный 124 2 2 3 2 2 4 6" xfId="22085"/>
    <cellStyle name="Обычный 124 2 2 3 2 2 5" xfId="19293"/>
    <cellStyle name="Обычный 124 2 2 3 2 2 5 2" xfId="26663"/>
    <cellStyle name="Обычный 124 2 2 3 2 2 5 2 2" xfId="33974"/>
    <cellStyle name="Обычный 124 2 2 3 2 2 5 2 2 2" xfId="48794"/>
    <cellStyle name="Обычный 124 2 2 3 2 2 5 2 3" xfId="41503"/>
    <cellStyle name="Обычный 124 2 2 3 2 2 5 3" xfId="30320"/>
    <cellStyle name="Обычный 124 2 2 3 2 2 5 3 2" xfId="45143"/>
    <cellStyle name="Обычный 124 2 2 3 2 2 5 4" xfId="37817"/>
    <cellStyle name="Обычный 124 2 2 3 2 2 5 5" xfId="23005"/>
    <cellStyle name="Обычный 124 2 2 3 2 2 6" xfId="24822"/>
    <cellStyle name="Обычный 124 2 2 3 2 2 6 2" xfId="32133"/>
    <cellStyle name="Обычный 124 2 2 3 2 2 6 2 2" xfId="46956"/>
    <cellStyle name="Обычный 124 2 2 3 2 2 6 3" xfId="39721"/>
    <cellStyle name="Обычный 124 2 2 3 2 2 7" xfId="28479"/>
    <cellStyle name="Обычный 124 2 2 3 2 2 7 2" xfId="43316"/>
    <cellStyle name="Обычный 124 2 2 3 2 2 8" xfId="35781"/>
    <cellStyle name="Обычный 124 2 2 3 2 2 9" xfId="21161"/>
    <cellStyle name="Обычный 124 2 2 3 2 3" xfId="17812"/>
    <cellStyle name="Обычный 124 2 2 3 2 3 2" xfId="18926"/>
    <cellStyle name="Обычный 124 2 2 3 2 3 2 2" xfId="20805"/>
    <cellStyle name="Обычный 124 2 2 3 2 3 2 2 2" xfId="24473"/>
    <cellStyle name="Обычный 124 2 2 3 2 3 2 2 2 2" xfId="28131"/>
    <cellStyle name="Обычный 124 2 2 3 2 3 2 2 2 2 2" xfId="35442"/>
    <cellStyle name="Обычный 124 2 2 3 2 3 2 2 2 2 2 2" xfId="50262"/>
    <cellStyle name="Обычный 124 2 2 3 2 3 2 2 2 2 3" xfId="42970"/>
    <cellStyle name="Обычный 124 2 2 3 2 3 2 2 2 3" xfId="31788"/>
    <cellStyle name="Обычный 124 2 2 3 2 3 2 2 2 3 2" xfId="46611"/>
    <cellStyle name="Обычный 124 2 2 3 2 3 2 2 2 4" xfId="39437"/>
    <cellStyle name="Обычный 124 2 2 3 2 3 2 2 3" xfId="26305"/>
    <cellStyle name="Обычный 124 2 2 3 2 3 2 2 3 2" xfId="33616"/>
    <cellStyle name="Обычный 124 2 2 3 2 3 2 2 3 2 2" xfId="48436"/>
    <cellStyle name="Обычный 124 2 2 3 2 3 2 2 3 3" xfId="41149"/>
    <cellStyle name="Обычный 124 2 2 3 2 3 2 2 4" xfId="29962"/>
    <cellStyle name="Обычный 124 2 2 3 2 3 2 2 4 2" xfId="44786"/>
    <cellStyle name="Обычный 124 2 2 3 2 3 2 2 5" xfId="39286"/>
    <cellStyle name="Обычный 124 2 2 3 2 3 2 2 6" xfId="22644"/>
    <cellStyle name="Обычный 124 2 2 3 2 3 2 3" xfId="19856"/>
    <cellStyle name="Обычный 124 2 2 3 2 3 2 3 2" xfId="27225"/>
    <cellStyle name="Обычный 124 2 2 3 2 3 2 3 2 2" xfId="34536"/>
    <cellStyle name="Обычный 124 2 2 3 2 3 2 3 2 2 2" xfId="49356"/>
    <cellStyle name="Обычный 124 2 2 3 2 3 2 3 2 3" xfId="42065"/>
    <cellStyle name="Обычный 124 2 2 3 2 3 2 3 3" xfId="30882"/>
    <cellStyle name="Обычный 124 2 2 3 2 3 2 3 3 2" xfId="45705"/>
    <cellStyle name="Обычный 124 2 2 3 2 3 2 3 4" xfId="38379"/>
    <cellStyle name="Обычный 124 2 2 3 2 3 2 3 5" xfId="23567"/>
    <cellStyle name="Обычный 124 2 2 3 2 3 2 4" xfId="25384"/>
    <cellStyle name="Обычный 124 2 2 3 2 3 2 4 2" xfId="32695"/>
    <cellStyle name="Обычный 124 2 2 3 2 3 2 4 2 2" xfId="47518"/>
    <cellStyle name="Обычный 124 2 2 3 2 3 2 4 3" xfId="40272"/>
    <cellStyle name="Обычный 124 2 2 3 2 3 2 5" xfId="29041"/>
    <cellStyle name="Обычный 124 2 2 3 2 3 2 5 2" xfId="43878"/>
    <cellStyle name="Обычный 124 2 2 3 2 3 2 6" xfId="36232"/>
    <cellStyle name="Обычный 124 2 2 3 2 3 2 7" xfId="21723"/>
    <cellStyle name="Обычный 124 2 2 3 2 3 3" xfId="18366"/>
    <cellStyle name="Обычный 124 2 2 3 2 3 3 2" xfId="20248"/>
    <cellStyle name="Обычный 124 2 2 3 2 3 3 2 2" xfId="27574"/>
    <cellStyle name="Обычный 124 2 2 3 2 3 3 2 2 2" xfId="34885"/>
    <cellStyle name="Обычный 124 2 2 3 2 3 3 2 2 2 2" xfId="49705"/>
    <cellStyle name="Обычный 124 2 2 3 2 3 3 2 2 3" xfId="42413"/>
    <cellStyle name="Обычный 124 2 2 3 2 3 3 2 3" xfId="31231"/>
    <cellStyle name="Обычный 124 2 2 3 2 3 3 2 3 2" xfId="46054"/>
    <cellStyle name="Обычный 124 2 2 3 2 3 3 2 4" xfId="38729"/>
    <cellStyle name="Обычный 124 2 2 3 2 3 3 2 5" xfId="23916"/>
    <cellStyle name="Обычный 124 2 2 3 2 3 3 3" xfId="25748"/>
    <cellStyle name="Обычный 124 2 2 3 2 3 3 3 2" xfId="33059"/>
    <cellStyle name="Обычный 124 2 2 3 2 3 3 3 2 2" xfId="47879"/>
    <cellStyle name="Обычный 124 2 2 3 2 3 3 3 3" xfId="40601"/>
    <cellStyle name="Обычный 124 2 2 3 2 3 3 4" xfId="29405"/>
    <cellStyle name="Обычный 124 2 2 3 2 3 3 4 2" xfId="44229"/>
    <cellStyle name="Обычный 124 2 2 3 2 3 3 5" xfId="37006"/>
    <cellStyle name="Обычный 124 2 2 3 2 3 3 6" xfId="22087"/>
    <cellStyle name="Обычный 124 2 2 3 2 3 4" xfId="19405"/>
    <cellStyle name="Обычный 124 2 2 3 2 3 4 2" xfId="26775"/>
    <cellStyle name="Обычный 124 2 2 3 2 3 4 2 2" xfId="34086"/>
    <cellStyle name="Обычный 124 2 2 3 2 3 4 2 2 2" xfId="48906"/>
    <cellStyle name="Обычный 124 2 2 3 2 3 4 2 3" xfId="41615"/>
    <cellStyle name="Обычный 124 2 2 3 2 3 4 3" xfId="30432"/>
    <cellStyle name="Обычный 124 2 2 3 2 3 4 3 2" xfId="45255"/>
    <cellStyle name="Обычный 124 2 2 3 2 3 4 4" xfId="37929"/>
    <cellStyle name="Обычный 124 2 2 3 2 3 4 5" xfId="23117"/>
    <cellStyle name="Обычный 124 2 2 3 2 3 5" xfId="24934"/>
    <cellStyle name="Обычный 124 2 2 3 2 3 5 2" xfId="32245"/>
    <cellStyle name="Обычный 124 2 2 3 2 3 5 2 2" xfId="47068"/>
    <cellStyle name="Обычный 124 2 2 3 2 3 5 3" xfId="39829"/>
    <cellStyle name="Обычный 124 2 2 3 2 3 6" xfId="28591"/>
    <cellStyle name="Обычный 124 2 2 3 2 3 6 2" xfId="43428"/>
    <cellStyle name="Обычный 124 2 2 3 2 3 7" xfId="35783"/>
    <cellStyle name="Обычный 124 2 2 3 2 3 8" xfId="21273"/>
    <cellStyle name="Обычный 124 2 2 3 2 4" xfId="17588"/>
    <cellStyle name="Обычный 124 2 2 3 2 4 2" xfId="18702"/>
    <cellStyle name="Обычный 124 2 2 3 2 4 2 2" xfId="20581"/>
    <cellStyle name="Обычный 124 2 2 3 2 4 2 2 2" xfId="27907"/>
    <cellStyle name="Обычный 124 2 2 3 2 4 2 2 2 2" xfId="35218"/>
    <cellStyle name="Обычный 124 2 2 3 2 4 2 2 2 2 2" xfId="50038"/>
    <cellStyle name="Обычный 124 2 2 3 2 4 2 2 2 3" xfId="42746"/>
    <cellStyle name="Обычный 124 2 2 3 2 4 2 2 3" xfId="31564"/>
    <cellStyle name="Обычный 124 2 2 3 2 4 2 2 3 2" xfId="46387"/>
    <cellStyle name="Обычный 124 2 2 3 2 4 2 2 4" xfId="39062"/>
    <cellStyle name="Обычный 124 2 2 3 2 4 2 2 5" xfId="24249"/>
    <cellStyle name="Обычный 124 2 2 3 2 4 2 3" xfId="26081"/>
    <cellStyle name="Обычный 124 2 2 3 2 4 2 3 2" xfId="33392"/>
    <cellStyle name="Обычный 124 2 2 3 2 4 2 3 2 2" xfId="48212"/>
    <cellStyle name="Обычный 124 2 2 3 2 4 2 3 3" xfId="40925"/>
    <cellStyle name="Обычный 124 2 2 3 2 4 2 4" xfId="29738"/>
    <cellStyle name="Обычный 124 2 2 3 2 4 2 4 2" xfId="44562"/>
    <cellStyle name="Обычный 124 2 2 3 2 4 2 5" xfId="37339"/>
    <cellStyle name="Обычный 124 2 2 3 2 4 2 6" xfId="22420"/>
    <cellStyle name="Обычный 124 2 2 3 2 4 3" xfId="19632"/>
    <cellStyle name="Обычный 124 2 2 3 2 4 3 2" xfId="27001"/>
    <cellStyle name="Обычный 124 2 2 3 2 4 3 2 2" xfId="34312"/>
    <cellStyle name="Обычный 124 2 2 3 2 4 3 2 2 2" xfId="49132"/>
    <cellStyle name="Обычный 124 2 2 3 2 4 3 2 3" xfId="41841"/>
    <cellStyle name="Обычный 124 2 2 3 2 4 3 3" xfId="30658"/>
    <cellStyle name="Обычный 124 2 2 3 2 4 3 3 2" xfId="45481"/>
    <cellStyle name="Обычный 124 2 2 3 2 4 3 4" xfId="38155"/>
    <cellStyle name="Обычный 124 2 2 3 2 4 3 5" xfId="23343"/>
    <cellStyle name="Обычный 124 2 2 3 2 4 4" xfId="25160"/>
    <cellStyle name="Обычный 124 2 2 3 2 4 4 2" xfId="32471"/>
    <cellStyle name="Обычный 124 2 2 3 2 4 4 2 2" xfId="47294"/>
    <cellStyle name="Обычный 124 2 2 3 2 4 4 3" xfId="40054"/>
    <cellStyle name="Обычный 124 2 2 3 2 4 5" xfId="28817"/>
    <cellStyle name="Обычный 124 2 2 3 2 4 5 2" xfId="43654"/>
    <cellStyle name="Обычный 124 2 2 3 2 4 6" xfId="36229"/>
    <cellStyle name="Обычный 124 2 2 3 2 4 7" xfId="21499"/>
    <cellStyle name="Обычный 124 2 2 3 2 5" xfId="18363"/>
    <cellStyle name="Обычный 124 2 2 3 2 5 2" xfId="20245"/>
    <cellStyle name="Обычный 124 2 2 3 2 5 2 2" xfId="27571"/>
    <cellStyle name="Обычный 124 2 2 3 2 5 2 2 2" xfId="34882"/>
    <cellStyle name="Обычный 124 2 2 3 2 5 2 2 2 2" xfId="49702"/>
    <cellStyle name="Обычный 124 2 2 3 2 5 2 2 3" xfId="42410"/>
    <cellStyle name="Обычный 124 2 2 3 2 5 2 3" xfId="31228"/>
    <cellStyle name="Обычный 124 2 2 3 2 5 2 3 2" xfId="46051"/>
    <cellStyle name="Обычный 124 2 2 3 2 5 2 4" xfId="38726"/>
    <cellStyle name="Обычный 124 2 2 3 2 5 2 5" xfId="23913"/>
    <cellStyle name="Обычный 124 2 2 3 2 5 3" xfId="25745"/>
    <cellStyle name="Обычный 124 2 2 3 2 5 3 2" xfId="33056"/>
    <cellStyle name="Обычный 124 2 2 3 2 5 3 2 2" xfId="47876"/>
    <cellStyle name="Обычный 124 2 2 3 2 5 3 3" xfId="40598"/>
    <cellStyle name="Обычный 124 2 2 3 2 5 4" xfId="29402"/>
    <cellStyle name="Обычный 124 2 2 3 2 5 4 2" xfId="44226"/>
    <cellStyle name="Обычный 124 2 2 3 2 5 5" xfId="37003"/>
    <cellStyle name="Обычный 124 2 2 3 2 5 6" xfId="22084"/>
    <cellStyle name="Обычный 124 2 2 3 2 6" xfId="19183"/>
    <cellStyle name="Обычный 124 2 2 3 2 6 2" xfId="26554"/>
    <cellStyle name="Обычный 124 2 2 3 2 6 2 2" xfId="33865"/>
    <cellStyle name="Обычный 124 2 2 3 2 6 2 2 2" xfId="48685"/>
    <cellStyle name="Обычный 124 2 2 3 2 6 2 3" xfId="41394"/>
    <cellStyle name="Обычный 124 2 2 3 2 6 3" xfId="30211"/>
    <cellStyle name="Обычный 124 2 2 3 2 6 3 2" xfId="45034"/>
    <cellStyle name="Обычный 124 2 2 3 2 6 4" xfId="37708"/>
    <cellStyle name="Обычный 124 2 2 3 2 6 5" xfId="22896"/>
    <cellStyle name="Обычный 124 2 2 3 2 7" xfId="24710"/>
    <cellStyle name="Обычный 124 2 2 3 2 7 2" xfId="32021"/>
    <cellStyle name="Обычный 124 2 2 3 2 7 2 2" xfId="46844"/>
    <cellStyle name="Обычный 124 2 2 3 2 7 3" xfId="39616"/>
    <cellStyle name="Обычный 124 2 2 3 2 8" xfId="28367"/>
    <cellStyle name="Обычный 124 2 2 3 2 8 2" xfId="43204"/>
    <cellStyle name="Обычный 124 2 2 3 2 9" xfId="35780"/>
    <cellStyle name="Обычный 124 2 2 3 3" xfId="17418"/>
    <cellStyle name="Обычный 124 2 2 3 3 2" xfId="17868"/>
    <cellStyle name="Обычный 124 2 2 3 3 2 2" xfId="18982"/>
    <cellStyle name="Обычный 124 2 2 3 3 2 2 2" xfId="20861"/>
    <cellStyle name="Обычный 124 2 2 3 3 2 2 2 2" xfId="24529"/>
    <cellStyle name="Обычный 124 2 2 3 3 2 2 2 2 2" xfId="28187"/>
    <cellStyle name="Обычный 124 2 2 3 3 2 2 2 2 2 2" xfId="35498"/>
    <cellStyle name="Обычный 124 2 2 3 3 2 2 2 2 2 2 2" xfId="50318"/>
    <cellStyle name="Обычный 124 2 2 3 3 2 2 2 2 2 3" xfId="43026"/>
    <cellStyle name="Обычный 124 2 2 3 3 2 2 2 2 3" xfId="31844"/>
    <cellStyle name="Обычный 124 2 2 3 3 2 2 2 2 3 2" xfId="46667"/>
    <cellStyle name="Обычный 124 2 2 3 3 2 2 2 2 4" xfId="39469"/>
    <cellStyle name="Обычный 124 2 2 3 3 2 2 2 3" xfId="26361"/>
    <cellStyle name="Обычный 124 2 2 3 3 2 2 2 3 2" xfId="33672"/>
    <cellStyle name="Обычный 124 2 2 3 3 2 2 2 3 2 2" xfId="48492"/>
    <cellStyle name="Обычный 124 2 2 3 3 2 2 2 3 3" xfId="41205"/>
    <cellStyle name="Обычный 124 2 2 3 3 2 2 2 4" xfId="30018"/>
    <cellStyle name="Обычный 124 2 2 3 3 2 2 2 4 2" xfId="44842"/>
    <cellStyle name="Обычный 124 2 2 3 3 2 2 2 5" xfId="39342"/>
    <cellStyle name="Обычный 124 2 2 3 3 2 2 2 6" xfId="22700"/>
    <cellStyle name="Обычный 124 2 2 3 3 2 2 3" xfId="19912"/>
    <cellStyle name="Обычный 124 2 2 3 3 2 2 3 2" xfId="27281"/>
    <cellStyle name="Обычный 124 2 2 3 3 2 2 3 2 2" xfId="34592"/>
    <cellStyle name="Обычный 124 2 2 3 3 2 2 3 2 2 2" xfId="49412"/>
    <cellStyle name="Обычный 124 2 2 3 3 2 2 3 2 3" xfId="42121"/>
    <cellStyle name="Обычный 124 2 2 3 3 2 2 3 3" xfId="30938"/>
    <cellStyle name="Обычный 124 2 2 3 3 2 2 3 3 2" xfId="45761"/>
    <cellStyle name="Обычный 124 2 2 3 3 2 2 3 4" xfId="38435"/>
    <cellStyle name="Обычный 124 2 2 3 3 2 2 3 5" xfId="23623"/>
    <cellStyle name="Обычный 124 2 2 3 3 2 2 4" xfId="25440"/>
    <cellStyle name="Обычный 124 2 2 3 3 2 2 4 2" xfId="32751"/>
    <cellStyle name="Обычный 124 2 2 3 3 2 2 4 2 2" xfId="47574"/>
    <cellStyle name="Обычный 124 2 2 3 3 2 2 4 3" xfId="40328"/>
    <cellStyle name="Обычный 124 2 2 3 3 2 2 5" xfId="29097"/>
    <cellStyle name="Обычный 124 2 2 3 3 2 2 5 2" xfId="43934"/>
    <cellStyle name="Обычный 124 2 2 3 3 2 2 6" xfId="36234"/>
    <cellStyle name="Обычный 124 2 2 3 3 2 2 7" xfId="21779"/>
    <cellStyle name="Обычный 124 2 2 3 3 2 3" xfId="18368"/>
    <cellStyle name="Обычный 124 2 2 3 3 2 3 2" xfId="20250"/>
    <cellStyle name="Обычный 124 2 2 3 3 2 3 2 2" xfId="27576"/>
    <cellStyle name="Обычный 124 2 2 3 3 2 3 2 2 2" xfId="34887"/>
    <cellStyle name="Обычный 124 2 2 3 3 2 3 2 2 2 2" xfId="49707"/>
    <cellStyle name="Обычный 124 2 2 3 3 2 3 2 2 3" xfId="42415"/>
    <cellStyle name="Обычный 124 2 2 3 3 2 3 2 3" xfId="31233"/>
    <cellStyle name="Обычный 124 2 2 3 3 2 3 2 3 2" xfId="46056"/>
    <cellStyle name="Обычный 124 2 2 3 3 2 3 2 4" xfId="38731"/>
    <cellStyle name="Обычный 124 2 2 3 3 2 3 2 5" xfId="23918"/>
    <cellStyle name="Обычный 124 2 2 3 3 2 3 3" xfId="25750"/>
    <cellStyle name="Обычный 124 2 2 3 3 2 3 3 2" xfId="33061"/>
    <cellStyle name="Обычный 124 2 2 3 3 2 3 3 2 2" xfId="47881"/>
    <cellStyle name="Обычный 124 2 2 3 3 2 3 3 3" xfId="40603"/>
    <cellStyle name="Обычный 124 2 2 3 3 2 3 4" xfId="29407"/>
    <cellStyle name="Обычный 124 2 2 3 3 2 3 4 2" xfId="44231"/>
    <cellStyle name="Обычный 124 2 2 3 3 2 3 5" xfId="37008"/>
    <cellStyle name="Обычный 124 2 2 3 3 2 3 6" xfId="22089"/>
    <cellStyle name="Обычный 124 2 2 3 3 2 4" xfId="19461"/>
    <cellStyle name="Обычный 124 2 2 3 3 2 4 2" xfId="26831"/>
    <cellStyle name="Обычный 124 2 2 3 3 2 4 2 2" xfId="34142"/>
    <cellStyle name="Обычный 124 2 2 3 3 2 4 2 2 2" xfId="48962"/>
    <cellStyle name="Обычный 124 2 2 3 3 2 4 2 3" xfId="41671"/>
    <cellStyle name="Обычный 124 2 2 3 3 2 4 3" xfId="30488"/>
    <cellStyle name="Обычный 124 2 2 3 3 2 4 3 2" xfId="45311"/>
    <cellStyle name="Обычный 124 2 2 3 3 2 4 4" xfId="37985"/>
    <cellStyle name="Обычный 124 2 2 3 3 2 4 5" xfId="23173"/>
    <cellStyle name="Обычный 124 2 2 3 3 2 5" xfId="24990"/>
    <cellStyle name="Обычный 124 2 2 3 3 2 5 2" xfId="32301"/>
    <cellStyle name="Обычный 124 2 2 3 3 2 5 2 2" xfId="47124"/>
    <cellStyle name="Обычный 124 2 2 3 3 2 5 3" xfId="39885"/>
    <cellStyle name="Обычный 124 2 2 3 3 2 6" xfId="28647"/>
    <cellStyle name="Обычный 124 2 2 3 3 2 6 2" xfId="43484"/>
    <cellStyle name="Обычный 124 2 2 3 3 2 7" xfId="35785"/>
    <cellStyle name="Обычный 124 2 2 3 3 2 8" xfId="21329"/>
    <cellStyle name="Обычный 124 2 2 3 3 3" xfId="17644"/>
    <cellStyle name="Обычный 124 2 2 3 3 3 2" xfId="18758"/>
    <cellStyle name="Обычный 124 2 2 3 3 3 2 2" xfId="20637"/>
    <cellStyle name="Обычный 124 2 2 3 3 3 2 2 2" xfId="27963"/>
    <cellStyle name="Обычный 124 2 2 3 3 3 2 2 2 2" xfId="35274"/>
    <cellStyle name="Обычный 124 2 2 3 3 3 2 2 2 2 2" xfId="50094"/>
    <cellStyle name="Обычный 124 2 2 3 3 3 2 2 2 3" xfId="42802"/>
    <cellStyle name="Обычный 124 2 2 3 3 3 2 2 3" xfId="31620"/>
    <cellStyle name="Обычный 124 2 2 3 3 3 2 2 3 2" xfId="46443"/>
    <cellStyle name="Обычный 124 2 2 3 3 3 2 2 4" xfId="39118"/>
    <cellStyle name="Обычный 124 2 2 3 3 3 2 2 5" xfId="24305"/>
    <cellStyle name="Обычный 124 2 2 3 3 3 2 3" xfId="26137"/>
    <cellStyle name="Обычный 124 2 2 3 3 3 2 3 2" xfId="33448"/>
    <cellStyle name="Обычный 124 2 2 3 3 3 2 3 2 2" xfId="48268"/>
    <cellStyle name="Обычный 124 2 2 3 3 3 2 3 3" xfId="40981"/>
    <cellStyle name="Обычный 124 2 2 3 3 3 2 4" xfId="29794"/>
    <cellStyle name="Обычный 124 2 2 3 3 3 2 4 2" xfId="44618"/>
    <cellStyle name="Обычный 124 2 2 3 3 3 2 5" xfId="37395"/>
    <cellStyle name="Обычный 124 2 2 3 3 3 2 6" xfId="22476"/>
    <cellStyle name="Обычный 124 2 2 3 3 3 3" xfId="19688"/>
    <cellStyle name="Обычный 124 2 2 3 3 3 3 2" xfId="27057"/>
    <cellStyle name="Обычный 124 2 2 3 3 3 3 2 2" xfId="34368"/>
    <cellStyle name="Обычный 124 2 2 3 3 3 3 2 2 2" xfId="49188"/>
    <cellStyle name="Обычный 124 2 2 3 3 3 3 2 3" xfId="41897"/>
    <cellStyle name="Обычный 124 2 2 3 3 3 3 3" xfId="30714"/>
    <cellStyle name="Обычный 124 2 2 3 3 3 3 3 2" xfId="45537"/>
    <cellStyle name="Обычный 124 2 2 3 3 3 3 4" xfId="38211"/>
    <cellStyle name="Обычный 124 2 2 3 3 3 3 5" xfId="23399"/>
    <cellStyle name="Обычный 124 2 2 3 3 3 4" xfId="25216"/>
    <cellStyle name="Обычный 124 2 2 3 3 3 4 2" xfId="32527"/>
    <cellStyle name="Обычный 124 2 2 3 3 3 4 2 2" xfId="47350"/>
    <cellStyle name="Обычный 124 2 2 3 3 3 4 3" xfId="40108"/>
    <cellStyle name="Обычный 124 2 2 3 3 3 5" xfId="28873"/>
    <cellStyle name="Обычный 124 2 2 3 3 3 5 2" xfId="43710"/>
    <cellStyle name="Обычный 124 2 2 3 3 3 6" xfId="36233"/>
    <cellStyle name="Обычный 124 2 2 3 3 3 7" xfId="21555"/>
    <cellStyle name="Обычный 124 2 2 3 3 4" xfId="18367"/>
    <cellStyle name="Обычный 124 2 2 3 3 4 2" xfId="20249"/>
    <cellStyle name="Обычный 124 2 2 3 3 4 2 2" xfId="27575"/>
    <cellStyle name="Обычный 124 2 2 3 3 4 2 2 2" xfId="34886"/>
    <cellStyle name="Обычный 124 2 2 3 3 4 2 2 2 2" xfId="49706"/>
    <cellStyle name="Обычный 124 2 2 3 3 4 2 2 3" xfId="42414"/>
    <cellStyle name="Обычный 124 2 2 3 3 4 2 3" xfId="31232"/>
    <cellStyle name="Обычный 124 2 2 3 3 4 2 3 2" xfId="46055"/>
    <cellStyle name="Обычный 124 2 2 3 3 4 2 4" xfId="38730"/>
    <cellStyle name="Обычный 124 2 2 3 3 4 2 5" xfId="23917"/>
    <cellStyle name="Обычный 124 2 2 3 3 4 3" xfId="25749"/>
    <cellStyle name="Обычный 124 2 2 3 3 4 3 2" xfId="33060"/>
    <cellStyle name="Обычный 124 2 2 3 3 4 3 2 2" xfId="47880"/>
    <cellStyle name="Обычный 124 2 2 3 3 4 3 3" xfId="40602"/>
    <cellStyle name="Обычный 124 2 2 3 3 4 4" xfId="29406"/>
    <cellStyle name="Обычный 124 2 2 3 3 4 4 2" xfId="44230"/>
    <cellStyle name="Обычный 124 2 2 3 3 4 5" xfId="37007"/>
    <cellStyle name="Обычный 124 2 2 3 3 4 6" xfId="22088"/>
    <cellStyle name="Обычный 124 2 2 3 3 5" xfId="19238"/>
    <cellStyle name="Обычный 124 2 2 3 3 5 2" xfId="26608"/>
    <cellStyle name="Обычный 124 2 2 3 3 5 2 2" xfId="33919"/>
    <cellStyle name="Обычный 124 2 2 3 3 5 2 2 2" xfId="48739"/>
    <cellStyle name="Обычный 124 2 2 3 3 5 2 3" xfId="41448"/>
    <cellStyle name="Обычный 124 2 2 3 3 5 3" xfId="30265"/>
    <cellStyle name="Обычный 124 2 2 3 3 5 3 2" xfId="45088"/>
    <cellStyle name="Обычный 124 2 2 3 3 5 4" xfId="37762"/>
    <cellStyle name="Обычный 124 2 2 3 3 5 5" xfId="22950"/>
    <cellStyle name="Обычный 124 2 2 3 3 6" xfId="24766"/>
    <cellStyle name="Обычный 124 2 2 3 3 6 2" xfId="32077"/>
    <cellStyle name="Обычный 124 2 2 3 3 6 2 2" xfId="46900"/>
    <cellStyle name="Обычный 124 2 2 3 3 6 3" xfId="39668"/>
    <cellStyle name="Обычный 124 2 2 3 3 7" xfId="28423"/>
    <cellStyle name="Обычный 124 2 2 3 3 7 2" xfId="43260"/>
    <cellStyle name="Обычный 124 2 2 3 3 8" xfId="35784"/>
    <cellStyle name="Обычный 124 2 2 3 3 9" xfId="21105"/>
    <cellStyle name="Обычный 124 2 2 3 4" xfId="17301"/>
    <cellStyle name="Обычный 124 2 2 3 4 2" xfId="17756"/>
    <cellStyle name="Обычный 124 2 2 3 4 2 2" xfId="18870"/>
    <cellStyle name="Обычный 124 2 2 3 4 2 2 2" xfId="20749"/>
    <cellStyle name="Обычный 124 2 2 3 4 2 2 2 2" xfId="28075"/>
    <cellStyle name="Обычный 124 2 2 3 4 2 2 2 2 2" xfId="35386"/>
    <cellStyle name="Обычный 124 2 2 3 4 2 2 2 2 2 2" xfId="50206"/>
    <cellStyle name="Обычный 124 2 2 3 4 2 2 2 2 3" xfId="42914"/>
    <cellStyle name="Обычный 124 2 2 3 4 2 2 2 3" xfId="31732"/>
    <cellStyle name="Обычный 124 2 2 3 4 2 2 2 3 2" xfId="46555"/>
    <cellStyle name="Обычный 124 2 2 3 4 2 2 2 4" xfId="39230"/>
    <cellStyle name="Обычный 124 2 2 3 4 2 2 2 5" xfId="24417"/>
    <cellStyle name="Обычный 124 2 2 3 4 2 2 3" xfId="26249"/>
    <cellStyle name="Обычный 124 2 2 3 4 2 2 3 2" xfId="33560"/>
    <cellStyle name="Обычный 124 2 2 3 4 2 2 3 2 2" xfId="48380"/>
    <cellStyle name="Обычный 124 2 2 3 4 2 2 3 3" xfId="41093"/>
    <cellStyle name="Обычный 124 2 2 3 4 2 2 4" xfId="29906"/>
    <cellStyle name="Обычный 124 2 2 3 4 2 2 4 2" xfId="44730"/>
    <cellStyle name="Обычный 124 2 2 3 4 2 2 5" xfId="37506"/>
    <cellStyle name="Обычный 124 2 2 3 4 2 2 6" xfId="22588"/>
    <cellStyle name="Обычный 124 2 2 3 4 2 3" xfId="19800"/>
    <cellStyle name="Обычный 124 2 2 3 4 2 3 2" xfId="27169"/>
    <cellStyle name="Обычный 124 2 2 3 4 2 3 2 2" xfId="34480"/>
    <cellStyle name="Обычный 124 2 2 3 4 2 3 2 2 2" xfId="49300"/>
    <cellStyle name="Обычный 124 2 2 3 4 2 3 2 3" xfId="42009"/>
    <cellStyle name="Обычный 124 2 2 3 4 2 3 3" xfId="30826"/>
    <cellStyle name="Обычный 124 2 2 3 4 2 3 3 2" xfId="45649"/>
    <cellStyle name="Обычный 124 2 2 3 4 2 3 4" xfId="38323"/>
    <cellStyle name="Обычный 124 2 2 3 4 2 3 5" xfId="23511"/>
    <cellStyle name="Обычный 124 2 2 3 4 2 4" xfId="25328"/>
    <cellStyle name="Обычный 124 2 2 3 4 2 4 2" xfId="32639"/>
    <cellStyle name="Обычный 124 2 2 3 4 2 4 2 2" xfId="47462"/>
    <cellStyle name="Обычный 124 2 2 3 4 2 4 3" xfId="40217"/>
    <cellStyle name="Обычный 124 2 2 3 4 2 5" xfId="28985"/>
    <cellStyle name="Обычный 124 2 2 3 4 2 5 2" xfId="43822"/>
    <cellStyle name="Обычный 124 2 2 3 4 2 6" xfId="36235"/>
    <cellStyle name="Обычный 124 2 2 3 4 2 7" xfId="21667"/>
    <cellStyle name="Обычный 124 2 2 3 4 3" xfId="18369"/>
    <cellStyle name="Обычный 124 2 2 3 4 3 2" xfId="20251"/>
    <cellStyle name="Обычный 124 2 2 3 4 3 2 2" xfId="27577"/>
    <cellStyle name="Обычный 124 2 2 3 4 3 2 2 2" xfId="34888"/>
    <cellStyle name="Обычный 124 2 2 3 4 3 2 2 2 2" xfId="49708"/>
    <cellStyle name="Обычный 124 2 2 3 4 3 2 2 3" xfId="42416"/>
    <cellStyle name="Обычный 124 2 2 3 4 3 2 3" xfId="31234"/>
    <cellStyle name="Обычный 124 2 2 3 4 3 2 3 2" xfId="46057"/>
    <cellStyle name="Обычный 124 2 2 3 4 3 2 4" xfId="38732"/>
    <cellStyle name="Обычный 124 2 2 3 4 3 2 5" xfId="23919"/>
    <cellStyle name="Обычный 124 2 2 3 4 3 3" xfId="25751"/>
    <cellStyle name="Обычный 124 2 2 3 4 3 3 2" xfId="33062"/>
    <cellStyle name="Обычный 124 2 2 3 4 3 3 2 2" xfId="47882"/>
    <cellStyle name="Обычный 124 2 2 3 4 3 3 3" xfId="40604"/>
    <cellStyle name="Обычный 124 2 2 3 4 3 4" xfId="29408"/>
    <cellStyle name="Обычный 124 2 2 3 4 3 4 2" xfId="44232"/>
    <cellStyle name="Обычный 124 2 2 3 4 3 5" xfId="37009"/>
    <cellStyle name="Обычный 124 2 2 3 4 3 6" xfId="22090"/>
    <cellStyle name="Обычный 124 2 2 3 4 4" xfId="19349"/>
    <cellStyle name="Обычный 124 2 2 3 4 4 2" xfId="26719"/>
    <cellStyle name="Обычный 124 2 2 3 4 4 2 2" xfId="34030"/>
    <cellStyle name="Обычный 124 2 2 3 4 4 2 2 2" xfId="48850"/>
    <cellStyle name="Обычный 124 2 2 3 4 4 2 3" xfId="41559"/>
    <cellStyle name="Обычный 124 2 2 3 4 4 3" xfId="30376"/>
    <cellStyle name="Обычный 124 2 2 3 4 4 3 2" xfId="45199"/>
    <cellStyle name="Обычный 124 2 2 3 4 4 4" xfId="37873"/>
    <cellStyle name="Обычный 124 2 2 3 4 4 5" xfId="23061"/>
    <cellStyle name="Обычный 124 2 2 3 4 5" xfId="24878"/>
    <cellStyle name="Обычный 124 2 2 3 4 5 2" xfId="32189"/>
    <cellStyle name="Обычный 124 2 2 3 4 5 2 2" xfId="47012"/>
    <cellStyle name="Обычный 124 2 2 3 4 5 3" xfId="39774"/>
    <cellStyle name="Обычный 124 2 2 3 4 6" xfId="28535"/>
    <cellStyle name="Обычный 124 2 2 3 4 6 2" xfId="43372"/>
    <cellStyle name="Обычный 124 2 2 3 4 7" xfId="35786"/>
    <cellStyle name="Обычный 124 2 2 3 4 8" xfId="21217"/>
    <cellStyle name="Обычный 124 2 2 3 5" xfId="17532"/>
    <cellStyle name="Обычный 124 2 2 3 5 2" xfId="18646"/>
    <cellStyle name="Обычный 124 2 2 3 5 2 2" xfId="20525"/>
    <cellStyle name="Обычный 124 2 2 3 5 2 2 2" xfId="27851"/>
    <cellStyle name="Обычный 124 2 2 3 5 2 2 2 2" xfId="35162"/>
    <cellStyle name="Обычный 124 2 2 3 5 2 2 2 2 2" xfId="49982"/>
    <cellStyle name="Обычный 124 2 2 3 5 2 2 2 3" xfId="42690"/>
    <cellStyle name="Обычный 124 2 2 3 5 2 2 3" xfId="31508"/>
    <cellStyle name="Обычный 124 2 2 3 5 2 2 3 2" xfId="46331"/>
    <cellStyle name="Обычный 124 2 2 3 5 2 2 4" xfId="39006"/>
    <cellStyle name="Обычный 124 2 2 3 5 2 2 5" xfId="24193"/>
    <cellStyle name="Обычный 124 2 2 3 5 2 3" xfId="26025"/>
    <cellStyle name="Обычный 124 2 2 3 5 2 3 2" xfId="33336"/>
    <cellStyle name="Обычный 124 2 2 3 5 2 3 2 2" xfId="48156"/>
    <cellStyle name="Обычный 124 2 2 3 5 2 3 3" xfId="40869"/>
    <cellStyle name="Обычный 124 2 2 3 5 2 4" xfId="29682"/>
    <cellStyle name="Обычный 124 2 2 3 5 2 4 2" xfId="44506"/>
    <cellStyle name="Обычный 124 2 2 3 5 2 5" xfId="37283"/>
    <cellStyle name="Обычный 124 2 2 3 5 2 6" xfId="22364"/>
    <cellStyle name="Обычный 124 2 2 3 5 3" xfId="19576"/>
    <cellStyle name="Обычный 124 2 2 3 5 3 2" xfId="26945"/>
    <cellStyle name="Обычный 124 2 2 3 5 3 2 2" xfId="34256"/>
    <cellStyle name="Обычный 124 2 2 3 5 3 2 2 2" xfId="49076"/>
    <cellStyle name="Обычный 124 2 2 3 5 3 2 3" xfId="41785"/>
    <cellStyle name="Обычный 124 2 2 3 5 3 3" xfId="30602"/>
    <cellStyle name="Обычный 124 2 2 3 5 3 3 2" xfId="45425"/>
    <cellStyle name="Обычный 124 2 2 3 5 3 4" xfId="38099"/>
    <cellStyle name="Обычный 124 2 2 3 5 3 5" xfId="23287"/>
    <cellStyle name="Обычный 124 2 2 3 5 4" xfId="25104"/>
    <cellStyle name="Обычный 124 2 2 3 5 4 2" xfId="32415"/>
    <cellStyle name="Обычный 124 2 2 3 5 4 2 2" xfId="47238"/>
    <cellStyle name="Обычный 124 2 2 3 5 4 3" xfId="39998"/>
    <cellStyle name="Обычный 124 2 2 3 5 5" xfId="28761"/>
    <cellStyle name="Обычный 124 2 2 3 5 5 2" xfId="43598"/>
    <cellStyle name="Обычный 124 2 2 3 5 6" xfId="36228"/>
    <cellStyle name="Обычный 124 2 2 3 5 7" xfId="21443"/>
    <cellStyle name="Обычный 124 2 2 3 6" xfId="18362"/>
    <cellStyle name="Обычный 124 2 2 3 6 2" xfId="20244"/>
    <cellStyle name="Обычный 124 2 2 3 6 2 2" xfId="27570"/>
    <cellStyle name="Обычный 124 2 2 3 6 2 2 2" xfId="34881"/>
    <cellStyle name="Обычный 124 2 2 3 6 2 2 2 2" xfId="49701"/>
    <cellStyle name="Обычный 124 2 2 3 6 2 2 3" xfId="42409"/>
    <cellStyle name="Обычный 124 2 2 3 6 2 3" xfId="31227"/>
    <cellStyle name="Обычный 124 2 2 3 6 2 3 2" xfId="46050"/>
    <cellStyle name="Обычный 124 2 2 3 6 2 4" xfId="38725"/>
    <cellStyle name="Обычный 124 2 2 3 6 2 5" xfId="23912"/>
    <cellStyle name="Обычный 124 2 2 3 6 3" xfId="25744"/>
    <cellStyle name="Обычный 124 2 2 3 6 3 2" xfId="33055"/>
    <cellStyle name="Обычный 124 2 2 3 6 3 2 2" xfId="47875"/>
    <cellStyle name="Обычный 124 2 2 3 6 3 3" xfId="40597"/>
    <cellStyle name="Обычный 124 2 2 3 6 4" xfId="29401"/>
    <cellStyle name="Обычный 124 2 2 3 6 4 2" xfId="44225"/>
    <cellStyle name="Обычный 124 2 2 3 6 5" xfId="37002"/>
    <cellStyle name="Обычный 124 2 2 3 6 6" xfId="22083"/>
    <cellStyle name="Обычный 124 2 2 3 7" xfId="19129"/>
    <cellStyle name="Обычный 124 2 2 3 7 2" xfId="26501"/>
    <cellStyle name="Обычный 124 2 2 3 7 2 2" xfId="33812"/>
    <cellStyle name="Обычный 124 2 2 3 7 2 2 2" xfId="48632"/>
    <cellStyle name="Обычный 124 2 2 3 7 2 3" xfId="41341"/>
    <cellStyle name="Обычный 124 2 2 3 7 3" xfId="30158"/>
    <cellStyle name="Обычный 124 2 2 3 7 3 2" xfId="44981"/>
    <cellStyle name="Обычный 124 2 2 3 7 4" xfId="37655"/>
    <cellStyle name="Обычный 124 2 2 3 7 5" xfId="22843"/>
    <cellStyle name="Обычный 124 2 2 3 8" xfId="24654"/>
    <cellStyle name="Обычный 124 2 2 3 8 2" xfId="31965"/>
    <cellStyle name="Обычный 124 2 2 3 8 2 2" xfId="46788"/>
    <cellStyle name="Обычный 124 2 2 3 8 3" xfId="39574"/>
    <cellStyle name="Обычный 124 2 2 3 9" xfId="28311"/>
    <cellStyle name="Обычный 124 2 2 3 9 2" xfId="43148"/>
    <cellStyle name="Обычный 124 2 2 4" xfId="17167"/>
    <cellStyle name="Обычный 124 2 2 4 10" xfId="21021"/>
    <cellStyle name="Обычный 124 2 2 4 2" xfId="17446"/>
    <cellStyle name="Обычный 124 2 2 4 2 2" xfId="17896"/>
    <cellStyle name="Обычный 124 2 2 4 2 2 2" xfId="19010"/>
    <cellStyle name="Обычный 124 2 2 4 2 2 2 2" xfId="20889"/>
    <cellStyle name="Обычный 124 2 2 4 2 2 2 2 2" xfId="24557"/>
    <cellStyle name="Обычный 124 2 2 4 2 2 2 2 2 2" xfId="28215"/>
    <cellStyle name="Обычный 124 2 2 4 2 2 2 2 2 2 2" xfId="35526"/>
    <cellStyle name="Обычный 124 2 2 4 2 2 2 2 2 2 2 2" xfId="50346"/>
    <cellStyle name="Обычный 124 2 2 4 2 2 2 2 2 2 3" xfId="43054"/>
    <cellStyle name="Обычный 124 2 2 4 2 2 2 2 2 3" xfId="31872"/>
    <cellStyle name="Обычный 124 2 2 4 2 2 2 2 2 3 2" xfId="46695"/>
    <cellStyle name="Обычный 124 2 2 4 2 2 2 2 2 4" xfId="39490"/>
    <cellStyle name="Обычный 124 2 2 4 2 2 2 2 3" xfId="26389"/>
    <cellStyle name="Обычный 124 2 2 4 2 2 2 2 3 2" xfId="33700"/>
    <cellStyle name="Обычный 124 2 2 4 2 2 2 2 3 2 2" xfId="48520"/>
    <cellStyle name="Обычный 124 2 2 4 2 2 2 2 3 3" xfId="41233"/>
    <cellStyle name="Обычный 124 2 2 4 2 2 2 2 4" xfId="30046"/>
    <cellStyle name="Обычный 124 2 2 4 2 2 2 2 4 2" xfId="44870"/>
    <cellStyle name="Обычный 124 2 2 4 2 2 2 2 5" xfId="39370"/>
    <cellStyle name="Обычный 124 2 2 4 2 2 2 2 6" xfId="22728"/>
    <cellStyle name="Обычный 124 2 2 4 2 2 2 3" xfId="19940"/>
    <cellStyle name="Обычный 124 2 2 4 2 2 2 3 2" xfId="27309"/>
    <cellStyle name="Обычный 124 2 2 4 2 2 2 3 2 2" xfId="34620"/>
    <cellStyle name="Обычный 124 2 2 4 2 2 2 3 2 2 2" xfId="49440"/>
    <cellStyle name="Обычный 124 2 2 4 2 2 2 3 2 3" xfId="42149"/>
    <cellStyle name="Обычный 124 2 2 4 2 2 2 3 3" xfId="30966"/>
    <cellStyle name="Обычный 124 2 2 4 2 2 2 3 3 2" xfId="45789"/>
    <cellStyle name="Обычный 124 2 2 4 2 2 2 3 4" xfId="38463"/>
    <cellStyle name="Обычный 124 2 2 4 2 2 2 3 5" xfId="23651"/>
    <cellStyle name="Обычный 124 2 2 4 2 2 2 4" xfId="25468"/>
    <cellStyle name="Обычный 124 2 2 4 2 2 2 4 2" xfId="32779"/>
    <cellStyle name="Обычный 124 2 2 4 2 2 2 4 2 2" xfId="47602"/>
    <cellStyle name="Обычный 124 2 2 4 2 2 2 4 3" xfId="40356"/>
    <cellStyle name="Обычный 124 2 2 4 2 2 2 5" xfId="29125"/>
    <cellStyle name="Обычный 124 2 2 4 2 2 2 5 2" xfId="43962"/>
    <cellStyle name="Обычный 124 2 2 4 2 2 2 6" xfId="36238"/>
    <cellStyle name="Обычный 124 2 2 4 2 2 2 7" xfId="21807"/>
    <cellStyle name="Обычный 124 2 2 4 2 2 3" xfId="18372"/>
    <cellStyle name="Обычный 124 2 2 4 2 2 3 2" xfId="20254"/>
    <cellStyle name="Обычный 124 2 2 4 2 2 3 2 2" xfId="27580"/>
    <cellStyle name="Обычный 124 2 2 4 2 2 3 2 2 2" xfId="34891"/>
    <cellStyle name="Обычный 124 2 2 4 2 2 3 2 2 2 2" xfId="49711"/>
    <cellStyle name="Обычный 124 2 2 4 2 2 3 2 2 3" xfId="42419"/>
    <cellStyle name="Обычный 124 2 2 4 2 2 3 2 3" xfId="31237"/>
    <cellStyle name="Обычный 124 2 2 4 2 2 3 2 3 2" xfId="46060"/>
    <cellStyle name="Обычный 124 2 2 4 2 2 3 2 4" xfId="38735"/>
    <cellStyle name="Обычный 124 2 2 4 2 2 3 2 5" xfId="23922"/>
    <cellStyle name="Обычный 124 2 2 4 2 2 3 3" xfId="25754"/>
    <cellStyle name="Обычный 124 2 2 4 2 2 3 3 2" xfId="33065"/>
    <cellStyle name="Обычный 124 2 2 4 2 2 3 3 2 2" xfId="47885"/>
    <cellStyle name="Обычный 124 2 2 4 2 2 3 3 3" xfId="40607"/>
    <cellStyle name="Обычный 124 2 2 4 2 2 3 4" xfId="29411"/>
    <cellStyle name="Обычный 124 2 2 4 2 2 3 4 2" xfId="44235"/>
    <cellStyle name="Обычный 124 2 2 4 2 2 3 5" xfId="37012"/>
    <cellStyle name="Обычный 124 2 2 4 2 2 3 6" xfId="22093"/>
    <cellStyle name="Обычный 124 2 2 4 2 2 4" xfId="19489"/>
    <cellStyle name="Обычный 124 2 2 4 2 2 4 2" xfId="26859"/>
    <cellStyle name="Обычный 124 2 2 4 2 2 4 2 2" xfId="34170"/>
    <cellStyle name="Обычный 124 2 2 4 2 2 4 2 2 2" xfId="48990"/>
    <cellStyle name="Обычный 124 2 2 4 2 2 4 2 3" xfId="41699"/>
    <cellStyle name="Обычный 124 2 2 4 2 2 4 3" xfId="30516"/>
    <cellStyle name="Обычный 124 2 2 4 2 2 4 3 2" xfId="45339"/>
    <cellStyle name="Обычный 124 2 2 4 2 2 4 4" xfId="38013"/>
    <cellStyle name="Обычный 124 2 2 4 2 2 4 5" xfId="23201"/>
    <cellStyle name="Обычный 124 2 2 4 2 2 5" xfId="25018"/>
    <cellStyle name="Обычный 124 2 2 4 2 2 5 2" xfId="32329"/>
    <cellStyle name="Обычный 124 2 2 4 2 2 5 2 2" xfId="47152"/>
    <cellStyle name="Обычный 124 2 2 4 2 2 5 3" xfId="39913"/>
    <cellStyle name="Обычный 124 2 2 4 2 2 6" xfId="28675"/>
    <cellStyle name="Обычный 124 2 2 4 2 2 6 2" xfId="43512"/>
    <cellStyle name="Обычный 124 2 2 4 2 2 7" xfId="35789"/>
    <cellStyle name="Обычный 124 2 2 4 2 2 8" xfId="21357"/>
    <cellStyle name="Обычный 124 2 2 4 2 3" xfId="17672"/>
    <cellStyle name="Обычный 124 2 2 4 2 3 2" xfId="18786"/>
    <cellStyle name="Обычный 124 2 2 4 2 3 2 2" xfId="20665"/>
    <cellStyle name="Обычный 124 2 2 4 2 3 2 2 2" xfId="27991"/>
    <cellStyle name="Обычный 124 2 2 4 2 3 2 2 2 2" xfId="35302"/>
    <cellStyle name="Обычный 124 2 2 4 2 3 2 2 2 2 2" xfId="50122"/>
    <cellStyle name="Обычный 124 2 2 4 2 3 2 2 2 3" xfId="42830"/>
    <cellStyle name="Обычный 124 2 2 4 2 3 2 2 3" xfId="31648"/>
    <cellStyle name="Обычный 124 2 2 4 2 3 2 2 3 2" xfId="46471"/>
    <cellStyle name="Обычный 124 2 2 4 2 3 2 2 4" xfId="39146"/>
    <cellStyle name="Обычный 124 2 2 4 2 3 2 2 5" xfId="24333"/>
    <cellStyle name="Обычный 124 2 2 4 2 3 2 3" xfId="26165"/>
    <cellStyle name="Обычный 124 2 2 4 2 3 2 3 2" xfId="33476"/>
    <cellStyle name="Обычный 124 2 2 4 2 3 2 3 2 2" xfId="48296"/>
    <cellStyle name="Обычный 124 2 2 4 2 3 2 3 3" xfId="41009"/>
    <cellStyle name="Обычный 124 2 2 4 2 3 2 4" xfId="29822"/>
    <cellStyle name="Обычный 124 2 2 4 2 3 2 4 2" xfId="44646"/>
    <cellStyle name="Обычный 124 2 2 4 2 3 2 5" xfId="37423"/>
    <cellStyle name="Обычный 124 2 2 4 2 3 2 6" xfId="22504"/>
    <cellStyle name="Обычный 124 2 2 4 2 3 3" xfId="19716"/>
    <cellStyle name="Обычный 124 2 2 4 2 3 3 2" xfId="27085"/>
    <cellStyle name="Обычный 124 2 2 4 2 3 3 2 2" xfId="34396"/>
    <cellStyle name="Обычный 124 2 2 4 2 3 3 2 2 2" xfId="49216"/>
    <cellStyle name="Обычный 124 2 2 4 2 3 3 2 3" xfId="41925"/>
    <cellStyle name="Обычный 124 2 2 4 2 3 3 3" xfId="30742"/>
    <cellStyle name="Обычный 124 2 2 4 2 3 3 3 2" xfId="45565"/>
    <cellStyle name="Обычный 124 2 2 4 2 3 3 4" xfId="38239"/>
    <cellStyle name="Обычный 124 2 2 4 2 3 3 5" xfId="23427"/>
    <cellStyle name="Обычный 124 2 2 4 2 3 4" xfId="25244"/>
    <cellStyle name="Обычный 124 2 2 4 2 3 4 2" xfId="32555"/>
    <cellStyle name="Обычный 124 2 2 4 2 3 4 2 2" xfId="47378"/>
    <cellStyle name="Обычный 124 2 2 4 2 3 4 3" xfId="40136"/>
    <cellStyle name="Обычный 124 2 2 4 2 3 5" xfId="28901"/>
    <cellStyle name="Обычный 124 2 2 4 2 3 5 2" xfId="43738"/>
    <cellStyle name="Обычный 124 2 2 4 2 3 6" xfId="36237"/>
    <cellStyle name="Обычный 124 2 2 4 2 3 7" xfId="21583"/>
    <cellStyle name="Обычный 124 2 2 4 2 4" xfId="18371"/>
    <cellStyle name="Обычный 124 2 2 4 2 4 2" xfId="20253"/>
    <cellStyle name="Обычный 124 2 2 4 2 4 2 2" xfId="27579"/>
    <cellStyle name="Обычный 124 2 2 4 2 4 2 2 2" xfId="34890"/>
    <cellStyle name="Обычный 124 2 2 4 2 4 2 2 2 2" xfId="49710"/>
    <cellStyle name="Обычный 124 2 2 4 2 4 2 2 3" xfId="42418"/>
    <cellStyle name="Обычный 124 2 2 4 2 4 2 3" xfId="31236"/>
    <cellStyle name="Обычный 124 2 2 4 2 4 2 3 2" xfId="46059"/>
    <cellStyle name="Обычный 124 2 2 4 2 4 2 4" xfId="38734"/>
    <cellStyle name="Обычный 124 2 2 4 2 4 2 5" xfId="23921"/>
    <cellStyle name="Обычный 124 2 2 4 2 4 3" xfId="25753"/>
    <cellStyle name="Обычный 124 2 2 4 2 4 3 2" xfId="33064"/>
    <cellStyle name="Обычный 124 2 2 4 2 4 3 2 2" xfId="47884"/>
    <cellStyle name="Обычный 124 2 2 4 2 4 3 3" xfId="40606"/>
    <cellStyle name="Обычный 124 2 2 4 2 4 4" xfId="29410"/>
    <cellStyle name="Обычный 124 2 2 4 2 4 4 2" xfId="44234"/>
    <cellStyle name="Обычный 124 2 2 4 2 4 5" xfId="37011"/>
    <cellStyle name="Обычный 124 2 2 4 2 4 6" xfId="22092"/>
    <cellStyle name="Обычный 124 2 2 4 2 5" xfId="19266"/>
    <cellStyle name="Обычный 124 2 2 4 2 5 2" xfId="26636"/>
    <cellStyle name="Обычный 124 2 2 4 2 5 2 2" xfId="33947"/>
    <cellStyle name="Обычный 124 2 2 4 2 5 2 2 2" xfId="48767"/>
    <cellStyle name="Обычный 124 2 2 4 2 5 2 3" xfId="41476"/>
    <cellStyle name="Обычный 124 2 2 4 2 5 3" xfId="30293"/>
    <cellStyle name="Обычный 124 2 2 4 2 5 3 2" xfId="45116"/>
    <cellStyle name="Обычный 124 2 2 4 2 5 4" xfId="37790"/>
    <cellStyle name="Обычный 124 2 2 4 2 5 5" xfId="22978"/>
    <cellStyle name="Обычный 124 2 2 4 2 6" xfId="24794"/>
    <cellStyle name="Обычный 124 2 2 4 2 6 2" xfId="32105"/>
    <cellStyle name="Обычный 124 2 2 4 2 6 2 2" xfId="46928"/>
    <cellStyle name="Обычный 124 2 2 4 2 6 3" xfId="39693"/>
    <cellStyle name="Обычный 124 2 2 4 2 7" xfId="28451"/>
    <cellStyle name="Обычный 124 2 2 4 2 7 2" xfId="43288"/>
    <cellStyle name="Обычный 124 2 2 4 2 8" xfId="35788"/>
    <cellStyle name="Обычный 124 2 2 4 2 9" xfId="21133"/>
    <cellStyle name="Обычный 124 2 2 4 3" xfId="17331"/>
    <cellStyle name="Обычный 124 2 2 4 3 2" xfId="17784"/>
    <cellStyle name="Обычный 124 2 2 4 3 2 2" xfId="18898"/>
    <cellStyle name="Обычный 124 2 2 4 3 2 2 2" xfId="20777"/>
    <cellStyle name="Обычный 124 2 2 4 3 2 2 2 2" xfId="28103"/>
    <cellStyle name="Обычный 124 2 2 4 3 2 2 2 2 2" xfId="35414"/>
    <cellStyle name="Обычный 124 2 2 4 3 2 2 2 2 2 2" xfId="50234"/>
    <cellStyle name="Обычный 124 2 2 4 3 2 2 2 2 3" xfId="42942"/>
    <cellStyle name="Обычный 124 2 2 4 3 2 2 2 3" xfId="31760"/>
    <cellStyle name="Обычный 124 2 2 4 3 2 2 2 3 2" xfId="46583"/>
    <cellStyle name="Обычный 124 2 2 4 3 2 2 2 4" xfId="39258"/>
    <cellStyle name="Обычный 124 2 2 4 3 2 2 2 5" xfId="24445"/>
    <cellStyle name="Обычный 124 2 2 4 3 2 2 3" xfId="26277"/>
    <cellStyle name="Обычный 124 2 2 4 3 2 2 3 2" xfId="33588"/>
    <cellStyle name="Обычный 124 2 2 4 3 2 2 3 2 2" xfId="48408"/>
    <cellStyle name="Обычный 124 2 2 4 3 2 2 3 3" xfId="41121"/>
    <cellStyle name="Обычный 124 2 2 4 3 2 2 4" xfId="29934"/>
    <cellStyle name="Обычный 124 2 2 4 3 2 2 4 2" xfId="44758"/>
    <cellStyle name="Обычный 124 2 2 4 3 2 2 5" xfId="37534"/>
    <cellStyle name="Обычный 124 2 2 4 3 2 2 6" xfId="22616"/>
    <cellStyle name="Обычный 124 2 2 4 3 2 3" xfId="19828"/>
    <cellStyle name="Обычный 124 2 2 4 3 2 3 2" xfId="27197"/>
    <cellStyle name="Обычный 124 2 2 4 3 2 3 2 2" xfId="34508"/>
    <cellStyle name="Обычный 124 2 2 4 3 2 3 2 2 2" xfId="49328"/>
    <cellStyle name="Обычный 124 2 2 4 3 2 3 2 3" xfId="42037"/>
    <cellStyle name="Обычный 124 2 2 4 3 2 3 3" xfId="30854"/>
    <cellStyle name="Обычный 124 2 2 4 3 2 3 3 2" xfId="45677"/>
    <cellStyle name="Обычный 124 2 2 4 3 2 3 4" xfId="38351"/>
    <cellStyle name="Обычный 124 2 2 4 3 2 3 5" xfId="23539"/>
    <cellStyle name="Обычный 124 2 2 4 3 2 4" xfId="25356"/>
    <cellStyle name="Обычный 124 2 2 4 3 2 4 2" xfId="32667"/>
    <cellStyle name="Обычный 124 2 2 4 3 2 4 2 2" xfId="47490"/>
    <cellStyle name="Обычный 124 2 2 4 3 2 4 3" xfId="40244"/>
    <cellStyle name="Обычный 124 2 2 4 3 2 5" xfId="29013"/>
    <cellStyle name="Обычный 124 2 2 4 3 2 5 2" xfId="43850"/>
    <cellStyle name="Обычный 124 2 2 4 3 2 6" xfId="36239"/>
    <cellStyle name="Обычный 124 2 2 4 3 2 7" xfId="21695"/>
    <cellStyle name="Обычный 124 2 2 4 3 3" xfId="18373"/>
    <cellStyle name="Обычный 124 2 2 4 3 3 2" xfId="20255"/>
    <cellStyle name="Обычный 124 2 2 4 3 3 2 2" xfId="27581"/>
    <cellStyle name="Обычный 124 2 2 4 3 3 2 2 2" xfId="34892"/>
    <cellStyle name="Обычный 124 2 2 4 3 3 2 2 2 2" xfId="49712"/>
    <cellStyle name="Обычный 124 2 2 4 3 3 2 2 3" xfId="42420"/>
    <cellStyle name="Обычный 124 2 2 4 3 3 2 3" xfId="31238"/>
    <cellStyle name="Обычный 124 2 2 4 3 3 2 3 2" xfId="46061"/>
    <cellStyle name="Обычный 124 2 2 4 3 3 2 4" xfId="38736"/>
    <cellStyle name="Обычный 124 2 2 4 3 3 2 5" xfId="23923"/>
    <cellStyle name="Обычный 124 2 2 4 3 3 3" xfId="25755"/>
    <cellStyle name="Обычный 124 2 2 4 3 3 3 2" xfId="33066"/>
    <cellStyle name="Обычный 124 2 2 4 3 3 3 2 2" xfId="47886"/>
    <cellStyle name="Обычный 124 2 2 4 3 3 3 3" xfId="40608"/>
    <cellStyle name="Обычный 124 2 2 4 3 3 4" xfId="29412"/>
    <cellStyle name="Обычный 124 2 2 4 3 3 4 2" xfId="44236"/>
    <cellStyle name="Обычный 124 2 2 4 3 3 5" xfId="37013"/>
    <cellStyle name="Обычный 124 2 2 4 3 3 6" xfId="22094"/>
    <cellStyle name="Обычный 124 2 2 4 3 4" xfId="19377"/>
    <cellStyle name="Обычный 124 2 2 4 3 4 2" xfId="26747"/>
    <cellStyle name="Обычный 124 2 2 4 3 4 2 2" xfId="34058"/>
    <cellStyle name="Обычный 124 2 2 4 3 4 2 2 2" xfId="48878"/>
    <cellStyle name="Обычный 124 2 2 4 3 4 2 3" xfId="41587"/>
    <cellStyle name="Обычный 124 2 2 4 3 4 3" xfId="30404"/>
    <cellStyle name="Обычный 124 2 2 4 3 4 3 2" xfId="45227"/>
    <cellStyle name="Обычный 124 2 2 4 3 4 4" xfId="37901"/>
    <cellStyle name="Обычный 124 2 2 4 3 4 5" xfId="23089"/>
    <cellStyle name="Обычный 124 2 2 4 3 5" xfId="24906"/>
    <cellStyle name="Обычный 124 2 2 4 3 5 2" xfId="32217"/>
    <cellStyle name="Обычный 124 2 2 4 3 5 2 2" xfId="47040"/>
    <cellStyle name="Обычный 124 2 2 4 3 5 3" xfId="39801"/>
    <cellStyle name="Обычный 124 2 2 4 3 6" xfId="28563"/>
    <cellStyle name="Обычный 124 2 2 4 3 6 2" xfId="43400"/>
    <cellStyle name="Обычный 124 2 2 4 3 7" xfId="35790"/>
    <cellStyle name="Обычный 124 2 2 4 3 8" xfId="21245"/>
    <cellStyle name="Обычный 124 2 2 4 4" xfId="17560"/>
    <cellStyle name="Обычный 124 2 2 4 4 2" xfId="18674"/>
    <cellStyle name="Обычный 124 2 2 4 4 2 2" xfId="20553"/>
    <cellStyle name="Обычный 124 2 2 4 4 2 2 2" xfId="27879"/>
    <cellStyle name="Обычный 124 2 2 4 4 2 2 2 2" xfId="35190"/>
    <cellStyle name="Обычный 124 2 2 4 4 2 2 2 2 2" xfId="50010"/>
    <cellStyle name="Обычный 124 2 2 4 4 2 2 2 3" xfId="42718"/>
    <cellStyle name="Обычный 124 2 2 4 4 2 2 3" xfId="31536"/>
    <cellStyle name="Обычный 124 2 2 4 4 2 2 3 2" xfId="46359"/>
    <cellStyle name="Обычный 124 2 2 4 4 2 2 4" xfId="39034"/>
    <cellStyle name="Обычный 124 2 2 4 4 2 2 5" xfId="24221"/>
    <cellStyle name="Обычный 124 2 2 4 4 2 3" xfId="26053"/>
    <cellStyle name="Обычный 124 2 2 4 4 2 3 2" xfId="33364"/>
    <cellStyle name="Обычный 124 2 2 4 4 2 3 2 2" xfId="48184"/>
    <cellStyle name="Обычный 124 2 2 4 4 2 3 3" xfId="40897"/>
    <cellStyle name="Обычный 124 2 2 4 4 2 4" xfId="29710"/>
    <cellStyle name="Обычный 124 2 2 4 4 2 4 2" xfId="44534"/>
    <cellStyle name="Обычный 124 2 2 4 4 2 5" xfId="37311"/>
    <cellStyle name="Обычный 124 2 2 4 4 2 6" xfId="22392"/>
    <cellStyle name="Обычный 124 2 2 4 4 3" xfId="19604"/>
    <cellStyle name="Обычный 124 2 2 4 4 3 2" xfId="26973"/>
    <cellStyle name="Обычный 124 2 2 4 4 3 2 2" xfId="34284"/>
    <cellStyle name="Обычный 124 2 2 4 4 3 2 2 2" xfId="49104"/>
    <cellStyle name="Обычный 124 2 2 4 4 3 2 3" xfId="41813"/>
    <cellStyle name="Обычный 124 2 2 4 4 3 3" xfId="30630"/>
    <cellStyle name="Обычный 124 2 2 4 4 3 3 2" xfId="45453"/>
    <cellStyle name="Обычный 124 2 2 4 4 3 4" xfId="38127"/>
    <cellStyle name="Обычный 124 2 2 4 4 3 5" xfId="23315"/>
    <cellStyle name="Обычный 124 2 2 4 4 4" xfId="25132"/>
    <cellStyle name="Обычный 124 2 2 4 4 4 2" xfId="32443"/>
    <cellStyle name="Обычный 124 2 2 4 4 4 2 2" xfId="47266"/>
    <cellStyle name="Обычный 124 2 2 4 4 4 3" xfId="40026"/>
    <cellStyle name="Обычный 124 2 2 4 4 5" xfId="28789"/>
    <cellStyle name="Обычный 124 2 2 4 4 5 2" xfId="43626"/>
    <cellStyle name="Обычный 124 2 2 4 4 6" xfId="36236"/>
    <cellStyle name="Обычный 124 2 2 4 4 7" xfId="21471"/>
    <cellStyle name="Обычный 124 2 2 4 5" xfId="18370"/>
    <cellStyle name="Обычный 124 2 2 4 5 2" xfId="20252"/>
    <cellStyle name="Обычный 124 2 2 4 5 2 2" xfId="27578"/>
    <cellStyle name="Обычный 124 2 2 4 5 2 2 2" xfId="34889"/>
    <cellStyle name="Обычный 124 2 2 4 5 2 2 2 2" xfId="49709"/>
    <cellStyle name="Обычный 124 2 2 4 5 2 2 3" xfId="42417"/>
    <cellStyle name="Обычный 124 2 2 4 5 2 3" xfId="31235"/>
    <cellStyle name="Обычный 124 2 2 4 5 2 3 2" xfId="46058"/>
    <cellStyle name="Обычный 124 2 2 4 5 2 4" xfId="38733"/>
    <cellStyle name="Обычный 124 2 2 4 5 2 5" xfId="23920"/>
    <cellStyle name="Обычный 124 2 2 4 5 3" xfId="25752"/>
    <cellStyle name="Обычный 124 2 2 4 5 3 2" xfId="33063"/>
    <cellStyle name="Обычный 124 2 2 4 5 3 2 2" xfId="47883"/>
    <cellStyle name="Обычный 124 2 2 4 5 3 3" xfId="40605"/>
    <cellStyle name="Обычный 124 2 2 4 5 4" xfId="29409"/>
    <cellStyle name="Обычный 124 2 2 4 5 4 2" xfId="44233"/>
    <cellStyle name="Обычный 124 2 2 4 5 5" xfId="37010"/>
    <cellStyle name="Обычный 124 2 2 4 5 6" xfId="22091"/>
    <cellStyle name="Обычный 124 2 2 4 6" xfId="19157"/>
    <cellStyle name="Обычный 124 2 2 4 6 2" xfId="26528"/>
    <cellStyle name="Обычный 124 2 2 4 6 2 2" xfId="33839"/>
    <cellStyle name="Обычный 124 2 2 4 6 2 2 2" xfId="48659"/>
    <cellStyle name="Обычный 124 2 2 4 6 2 3" xfId="41368"/>
    <cellStyle name="Обычный 124 2 2 4 6 3" xfId="30185"/>
    <cellStyle name="Обычный 124 2 2 4 6 3 2" xfId="45008"/>
    <cellStyle name="Обычный 124 2 2 4 6 4" xfId="37682"/>
    <cellStyle name="Обычный 124 2 2 4 6 5" xfId="22870"/>
    <cellStyle name="Обычный 124 2 2 4 7" xfId="24682"/>
    <cellStyle name="Обычный 124 2 2 4 7 2" xfId="31993"/>
    <cellStyle name="Обычный 124 2 2 4 7 2 2" xfId="46816"/>
    <cellStyle name="Обычный 124 2 2 4 7 3" xfId="39597"/>
    <cellStyle name="Обычный 124 2 2 4 8" xfId="28339"/>
    <cellStyle name="Обычный 124 2 2 4 8 2" xfId="43176"/>
    <cellStyle name="Обычный 124 2 2 4 9" xfId="35787"/>
    <cellStyle name="Обычный 124 2 2 5" xfId="17390"/>
    <cellStyle name="Обычный 124 2 2 5 2" xfId="17840"/>
    <cellStyle name="Обычный 124 2 2 5 2 2" xfId="18954"/>
    <cellStyle name="Обычный 124 2 2 5 2 2 2" xfId="20833"/>
    <cellStyle name="Обычный 124 2 2 5 2 2 2 2" xfId="24501"/>
    <cellStyle name="Обычный 124 2 2 5 2 2 2 2 2" xfId="28159"/>
    <cellStyle name="Обычный 124 2 2 5 2 2 2 2 2 2" xfId="35470"/>
    <cellStyle name="Обычный 124 2 2 5 2 2 2 2 2 2 2" xfId="50290"/>
    <cellStyle name="Обычный 124 2 2 5 2 2 2 2 2 3" xfId="42998"/>
    <cellStyle name="Обычный 124 2 2 5 2 2 2 2 3" xfId="31816"/>
    <cellStyle name="Обычный 124 2 2 5 2 2 2 2 3 2" xfId="46639"/>
    <cellStyle name="Обычный 124 2 2 5 2 2 2 2 4" xfId="39453"/>
    <cellStyle name="Обычный 124 2 2 5 2 2 2 3" xfId="26333"/>
    <cellStyle name="Обычный 124 2 2 5 2 2 2 3 2" xfId="33644"/>
    <cellStyle name="Обычный 124 2 2 5 2 2 2 3 2 2" xfId="48464"/>
    <cellStyle name="Обычный 124 2 2 5 2 2 2 3 3" xfId="41177"/>
    <cellStyle name="Обычный 124 2 2 5 2 2 2 4" xfId="29990"/>
    <cellStyle name="Обычный 124 2 2 5 2 2 2 4 2" xfId="44814"/>
    <cellStyle name="Обычный 124 2 2 5 2 2 2 5" xfId="39314"/>
    <cellStyle name="Обычный 124 2 2 5 2 2 2 6" xfId="22672"/>
    <cellStyle name="Обычный 124 2 2 5 2 2 3" xfId="19884"/>
    <cellStyle name="Обычный 124 2 2 5 2 2 3 2" xfId="27253"/>
    <cellStyle name="Обычный 124 2 2 5 2 2 3 2 2" xfId="34564"/>
    <cellStyle name="Обычный 124 2 2 5 2 2 3 2 2 2" xfId="49384"/>
    <cellStyle name="Обычный 124 2 2 5 2 2 3 2 3" xfId="42093"/>
    <cellStyle name="Обычный 124 2 2 5 2 2 3 3" xfId="30910"/>
    <cellStyle name="Обычный 124 2 2 5 2 2 3 3 2" xfId="45733"/>
    <cellStyle name="Обычный 124 2 2 5 2 2 3 4" xfId="38407"/>
    <cellStyle name="Обычный 124 2 2 5 2 2 3 5" xfId="23595"/>
    <cellStyle name="Обычный 124 2 2 5 2 2 4" xfId="25412"/>
    <cellStyle name="Обычный 124 2 2 5 2 2 4 2" xfId="32723"/>
    <cellStyle name="Обычный 124 2 2 5 2 2 4 2 2" xfId="47546"/>
    <cellStyle name="Обычный 124 2 2 5 2 2 4 3" xfId="40300"/>
    <cellStyle name="Обычный 124 2 2 5 2 2 5" xfId="29069"/>
    <cellStyle name="Обычный 124 2 2 5 2 2 5 2" xfId="43906"/>
    <cellStyle name="Обычный 124 2 2 5 2 2 6" xfId="36241"/>
    <cellStyle name="Обычный 124 2 2 5 2 2 7" xfId="21751"/>
    <cellStyle name="Обычный 124 2 2 5 2 3" xfId="18375"/>
    <cellStyle name="Обычный 124 2 2 5 2 3 2" xfId="20257"/>
    <cellStyle name="Обычный 124 2 2 5 2 3 2 2" xfId="27583"/>
    <cellStyle name="Обычный 124 2 2 5 2 3 2 2 2" xfId="34894"/>
    <cellStyle name="Обычный 124 2 2 5 2 3 2 2 2 2" xfId="49714"/>
    <cellStyle name="Обычный 124 2 2 5 2 3 2 2 3" xfId="42422"/>
    <cellStyle name="Обычный 124 2 2 5 2 3 2 3" xfId="31240"/>
    <cellStyle name="Обычный 124 2 2 5 2 3 2 3 2" xfId="46063"/>
    <cellStyle name="Обычный 124 2 2 5 2 3 2 4" xfId="38738"/>
    <cellStyle name="Обычный 124 2 2 5 2 3 2 5" xfId="23925"/>
    <cellStyle name="Обычный 124 2 2 5 2 3 3" xfId="25757"/>
    <cellStyle name="Обычный 124 2 2 5 2 3 3 2" xfId="33068"/>
    <cellStyle name="Обычный 124 2 2 5 2 3 3 2 2" xfId="47888"/>
    <cellStyle name="Обычный 124 2 2 5 2 3 3 3" xfId="40610"/>
    <cellStyle name="Обычный 124 2 2 5 2 3 4" xfId="29414"/>
    <cellStyle name="Обычный 124 2 2 5 2 3 4 2" xfId="44238"/>
    <cellStyle name="Обычный 124 2 2 5 2 3 5" xfId="37015"/>
    <cellStyle name="Обычный 124 2 2 5 2 3 6" xfId="22096"/>
    <cellStyle name="Обычный 124 2 2 5 2 4" xfId="19433"/>
    <cellStyle name="Обычный 124 2 2 5 2 4 2" xfId="26803"/>
    <cellStyle name="Обычный 124 2 2 5 2 4 2 2" xfId="34114"/>
    <cellStyle name="Обычный 124 2 2 5 2 4 2 2 2" xfId="48934"/>
    <cellStyle name="Обычный 124 2 2 5 2 4 2 3" xfId="41643"/>
    <cellStyle name="Обычный 124 2 2 5 2 4 3" xfId="30460"/>
    <cellStyle name="Обычный 124 2 2 5 2 4 3 2" xfId="45283"/>
    <cellStyle name="Обычный 124 2 2 5 2 4 4" xfId="37957"/>
    <cellStyle name="Обычный 124 2 2 5 2 4 5" xfId="23145"/>
    <cellStyle name="Обычный 124 2 2 5 2 5" xfId="24962"/>
    <cellStyle name="Обычный 124 2 2 5 2 5 2" xfId="32273"/>
    <cellStyle name="Обычный 124 2 2 5 2 5 2 2" xfId="47096"/>
    <cellStyle name="Обычный 124 2 2 5 2 5 3" xfId="39857"/>
    <cellStyle name="Обычный 124 2 2 5 2 6" xfId="28619"/>
    <cellStyle name="Обычный 124 2 2 5 2 6 2" xfId="43456"/>
    <cellStyle name="Обычный 124 2 2 5 2 7" xfId="35792"/>
    <cellStyle name="Обычный 124 2 2 5 2 8" xfId="21301"/>
    <cellStyle name="Обычный 124 2 2 5 3" xfId="17616"/>
    <cellStyle name="Обычный 124 2 2 5 3 2" xfId="18730"/>
    <cellStyle name="Обычный 124 2 2 5 3 2 2" xfId="20609"/>
    <cellStyle name="Обычный 124 2 2 5 3 2 2 2" xfId="27935"/>
    <cellStyle name="Обычный 124 2 2 5 3 2 2 2 2" xfId="35246"/>
    <cellStyle name="Обычный 124 2 2 5 3 2 2 2 2 2" xfId="50066"/>
    <cellStyle name="Обычный 124 2 2 5 3 2 2 2 3" xfId="42774"/>
    <cellStyle name="Обычный 124 2 2 5 3 2 2 3" xfId="31592"/>
    <cellStyle name="Обычный 124 2 2 5 3 2 2 3 2" xfId="46415"/>
    <cellStyle name="Обычный 124 2 2 5 3 2 2 4" xfId="39090"/>
    <cellStyle name="Обычный 124 2 2 5 3 2 2 5" xfId="24277"/>
    <cellStyle name="Обычный 124 2 2 5 3 2 3" xfId="26109"/>
    <cellStyle name="Обычный 124 2 2 5 3 2 3 2" xfId="33420"/>
    <cellStyle name="Обычный 124 2 2 5 3 2 3 2 2" xfId="48240"/>
    <cellStyle name="Обычный 124 2 2 5 3 2 3 3" xfId="40953"/>
    <cellStyle name="Обычный 124 2 2 5 3 2 4" xfId="29766"/>
    <cellStyle name="Обычный 124 2 2 5 3 2 4 2" xfId="44590"/>
    <cellStyle name="Обычный 124 2 2 5 3 2 5" xfId="37367"/>
    <cellStyle name="Обычный 124 2 2 5 3 2 6" xfId="22448"/>
    <cellStyle name="Обычный 124 2 2 5 3 3" xfId="19660"/>
    <cellStyle name="Обычный 124 2 2 5 3 3 2" xfId="27029"/>
    <cellStyle name="Обычный 124 2 2 5 3 3 2 2" xfId="34340"/>
    <cellStyle name="Обычный 124 2 2 5 3 3 2 2 2" xfId="49160"/>
    <cellStyle name="Обычный 124 2 2 5 3 3 2 3" xfId="41869"/>
    <cellStyle name="Обычный 124 2 2 5 3 3 3" xfId="30686"/>
    <cellStyle name="Обычный 124 2 2 5 3 3 3 2" xfId="45509"/>
    <cellStyle name="Обычный 124 2 2 5 3 3 4" xfId="38183"/>
    <cellStyle name="Обычный 124 2 2 5 3 3 5" xfId="23371"/>
    <cellStyle name="Обычный 124 2 2 5 3 4" xfId="25188"/>
    <cellStyle name="Обычный 124 2 2 5 3 4 2" xfId="32499"/>
    <cellStyle name="Обычный 124 2 2 5 3 4 2 2" xfId="47322"/>
    <cellStyle name="Обычный 124 2 2 5 3 4 3" xfId="40080"/>
    <cellStyle name="Обычный 124 2 2 5 3 5" xfId="28845"/>
    <cellStyle name="Обычный 124 2 2 5 3 5 2" xfId="43682"/>
    <cellStyle name="Обычный 124 2 2 5 3 6" xfId="36240"/>
    <cellStyle name="Обычный 124 2 2 5 3 7" xfId="21527"/>
    <cellStyle name="Обычный 124 2 2 5 4" xfId="18374"/>
    <cellStyle name="Обычный 124 2 2 5 4 2" xfId="20256"/>
    <cellStyle name="Обычный 124 2 2 5 4 2 2" xfId="27582"/>
    <cellStyle name="Обычный 124 2 2 5 4 2 2 2" xfId="34893"/>
    <cellStyle name="Обычный 124 2 2 5 4 2 2 2 2" xfId="49713"/>
    <cellStyle name="Обычный 124 2 2 5 4 2 2 3" xfId="42421"/>
    <cellStyle name="Обычный 124 2 2 5 4 2 3" xfId="31239"/>
    <cellStyle name="Обычный 124 2 2 5 4 2 3 2" xfId="46062"/>
    <cellStyle name="Обычный 124 2 2 5 4 2 4" xfId="38737"/>
    <cellStyle name="Обычный 124 2 2 5 4 2 5" xfId="23924"/>
    <cellStyle name="Обычный 124 2 2 5 4 3" xfId="25756"/>
    <cellStyle name="Обычный 124 2 2 5 4 3 2" xfId="33067"/>
    <cellStyle name="Обычный 124 2 2 5 4 3 2 2" xfId="47887"/>
    <cellStyle name="Обычный 124 2 2 5 4 3 3" xfId="40609"/>
    <cellStyle name="Обычный 124 2 2 5 4 4" xfId="29413"/>
    <cellStyle name="Обычный 124 2 2 5 4 4 2" xfId="44237"/>
    <cellStyle name="Обычный 124 2 2 5 4 5" xfId="37014"/>
    <cellStyle name="Обычный 124 2 2 5 4 6" xfId="22095"/>
    <cellStyle name="Обычный 124 2 2 5 5" xfId="19211"/>
    <cellStyle name="Обычный 124 2 2 5 5 2" xfId="26581"/>
    <cellStyle name="Обычный 124 2 2 5 5 2 2" xfId="33892"/>
    <cellStyle name="Обычный 124 2 2 5 5 2 2 2" xfId="48712"/>
    <cellStyle name="Обычный 124 2 2 5 5 2 3" xfId="41421"/>
    <cellStyle name="Обычный 124 2 2 5 5 3" xfId="30238"/>
    <cellStyle name="Обычный 124 2 2 5 5 3 2" xfId="45061"/>
    <cellStyle name="Обычный 124 2 2 5 5 4" xfId="37735"/>
    <cellStyle name="Обычный 124 2 2 5 5 5" xfId="22923"/>
    <cellStyle name="Обычный 124 2 2 5 6" xfId="24738"/>
    <cellStyle name="Обычный 124 2 2 5 6 2" xfId="32049"/>
    <cellStyle name="Обычный 124 2 2 5 6 2 2" xfId="46872"/>
    <cellStyle name="Обычный 124 2 2 5 6 3" xfId="39641"/>
    <cellStyle name="Обычный 124 2 2 5 7" xfId="28395"/>
    <cellStyle name="Обычный 124 2 2 5 7 2" xfId="43232"/>
    <cellStyle name="Обычный 124 2 2 5 8" xfId="35791"/>
    <cellStyle name="Обычный 124 2 2 5 9" xfId="21077"/>
    <cellStyle name="Обычный 124 2 2 6" xfId="17270"/>
    <cellStyle name="Обычный 124 2 2 6 2" xfId="17728"/>
    <cellStyle name="Обычный 124 2 2 6 2 2" xfId="18842"/>
    <cellStyle name="Обычный 124 2 2 6 2 2 2" xfId="20721"/>
    <cellStyle name="Обычный 124 2 2 6 2 2 2 2" xfId="28047"/>
    <cellStyle name="Обычный 124 2 2 6 2 2 2 2 2" xfId="35358"/>
    <cellStyle name="Обычный 124 2 2 6 2 2 2 2 2 2" xfId="50178"/>
    <cellStyle name="Обычный 124 2 2 6 2 2 2 2 3" xfId="42886"/>
    <cellStyle name="Обычный 124 2 2 6 2 2 2 3" xfId="31704"/>
    <cellStyle name="Обычный 124 2 2 6 2 2 2 3 2" xfId="46527"/>
    <cellStyle name="Обычный 124 2 2 6 2 2 2 4" xfId="39202"/>
    <cellStyle name="Обычный 124 2 2 6 2 2 2 5" xfId="24389"/>
    <cellStyle name="Обычный 124 2 2 6 2 2 3" xfId="26221"/>
    <cellStyle name="Обычный 124 2 2 6 2 2 3 2" xfId="33532"/>
    <cellStyle name="Обычный 124 2 2 6 2 2 3 2 2" xfId="48352"/>
    <cellStyle name="Обычный 124 2 2 6 2 2 3 3" xfId="41065"/>
    <cellStyle name="Обычный 124 2 2 6 2 2 4" xfId="29878"/>
    <cellStyle name="Обычный 124 2 2 6 2 2 4 2" xfId="44702"/>
    <cellStyle name="Обычный 124 2 2 6 2 2 5" xfId="37478"/>
    <cellStyle name="Обычный 124 2 2 6 2 2 6" xfId="22560"/>
    <cellStyle name="Обычный 124 2 2 6 2 3" xfId="19772"/>
    <cellStyle name="Обычный 124 2 2 6 2 3 2" xfId="27141"/>
    <cellStyle name="Обычный 124 2 2 6 2 3 2 2" xfId="34452"/>
    <cellStyle name="Обычный 124 2 2 6 2 3 2 2 2" xfId="49272"/>
    <cellStyle name="Обычный 124 2 2 6 2 3 2 3" xfId="41981"/>
    <cellStyle name="Обычный 124 2 2 6 2 3 3" xfId="30798"/>
    <cellStyle name="Обычный 124 2 2 6 2 3 3 2" xfId="45621"/>
    <cellStyle name="Обычный 124 2 2 6 2 3 4" xfId="38295"/>
    <cellStyle name="Обычный 124 2 2 6 2 3 5" xfId="23483"/>
    <cellStyle name="Обычный 124 2 2 6 2 4" xfId="25300"/>
    <cellStyle name="Обычный 124 2 2 6 2 4 2" xfId="32611"/>
    <cellStyle name="Обычный 124 2 2 6 2 4 2 2" xfId="47434"/>
    <cellStyle name="Обычный 124 2 2 6 2 4 3" xfId="40191"/>
    <cellStyle name="Обычный 124 2 2 6 2 5" xfId="28957"/>
    <cellStyle name="Обычный 124 2 2 6 2 5 2" xfId="43794"/>
    <cellStyle name="Обычный 124 2 2 6 2 6" xfId="36242"/>
    <cellStyle name="Обычный 124 2 2 6 2 7" xfId="21639"/>
    <cellStyle name="Обычный 124 2 2 6 3" xfId="18376"/>
    <cellStyle name="Обычный 124 2 2 6 3 2" xfId="20258"/>
    <cellStyle name="Обычный 124 2 2 6 3 2 2" xfId="27584"/>
    <cellStyle name="Обычный 124 2 2 6 3 2 2 2" xfId="34895"/>
    <cellStyle name="Обычный 124 2 2 6 3 2 2 2 2" xfId="49715"/>
    <cellStyle name="Обычный 124 2 2 6 3 2 2 3" xfId="42423"/>
    <cellStyle name="Обычный 124 2 2 6 3 2 3" xfId="31241"/>
    <cellStyle name="Обычный 124 2 2 6 3 2 3 2" xfId="46064"/>
    <cellStyle name="Обычный 124 2 2 6 3 2 4" xfId="38739"/>
    <cellStyle name="Обычный 124 2 2 6 3 2 5" xfId="23926"/>
    <cellStyle name="Обычный 124 2 2 6 3 3" xfId="25758"/>
    <cellStyle name="Обычный 124 2 2 6 3 3 2" xfId="33069"/>
    <cellStyle name="Обычный 124 2 2 6 3 3 2 2" xfId="47889"/>
    <cellStyle name="Обычный 124 2 2 6 3 3 3" xfId="40611"/>
    <cellStyle name="Обычный 124 2 2 6 3 4" xfId="29415"/>
    <cellStyle name="Обычный 124 2 2 6 3 4 2" xfId="44239"/>
    <cellStyle name="Обычный 124 2 2 6 3 5" xfId="37016"/>
    <cellStyle name="Обычный 124 2 2 6 3 6" xfId="22097"/>
    <cellStyle name="Обычный 124 2 2 6 4" xfId="19321"/>
    <cellStyle name="Обычный 124 2 2 6 4 2" xfId="26691"/>
    <cellStyle name="Обычный 124 2 2 6 4 2 2" xfId="34002"/>
    <cellStyle name="Обычный 124 2 2 6 4 2 2 2" xfId="48822"/>
    <cellStyle name="Обычный 124 2 2 6 4 2 3" xfId="41531"/>
    <cellStyle name="Обычный 124 2 2 6 4 3" xfId="30348"/>
    <cellStyle name="Обычный 124 2 2 6 4 3 2" xfId="45171"/>
    <cellStyle name="Обычный 124 2 2 6 4 4" xfId="37845"/>
    <cellStyle name="Обычный 124 2 2 6 4 5" xfId="23033"/>
    <cellStyle name="Обычный 124 2 2 6 5" xfId="24850"/>
    <cellStyle name="Обычный 124 2 2 6 5 2" xfId="32161"/>
    <cellStyle name="Обычный 124 2 2 6 5 2 2" xfId="46984"/>
    <cellStyle name="Обычный 124 2 2 6 5 3" xfId="39748"/>
    <cellStyle name="Обычный 124 2 2 6 6" xfId="28507"/>
    <cellStyle name="Обычный 124 2 2 6 6 2" xfId="43344"/>
    <cellStyle name="Обычный 124 2 2 6 7" xfId="35793"/>
    <cellStyle name="Обычный 124 2 2 6 8" xfId="21189"/>
    <cellStyle name="Обычный 124 2 2 7" xfId="17504"/>
    <cellStyle name="Обычный 124 2 2 7 2" xfId="18618"/>
    <cellStyle name="Обычный 124 2 2 7 2 2" xfId="20497"/>
    <cellStyle name="Обычный 124 2 2 7 2 2 2" xfId="27823"/>
    <cellStyle name="Обычный 124 2 2 7 2 2 2 2" xfId="35134"/>
    <cellStyle name="Обычный 124 2 2 7 2 2 2 2 2" xfId="49954"/>
    <cellStyle name="Обычный 124 2 2 7 2 2 2 3" xfId="42662"/>
    <cellStyle name="Обычный 124 2 2 7 2 2 3" xfId="31480"/>
    <cellStyle name="Обычный 124 2 2 7 2 2 3 2" xfId="46303"/>
    <cellStyle name="Обычный 124 2 2 7 2 2 4" xfId="38978"/>
    <cellStyle name="Обычный 124 2 2 7 2 2 5" xfId="24165"/>
    <cellStyle name="Обычный 124 2 2 7 2 3" xfId="25997"/>
    <cellStyle name="Обычный 124 2 2 7 2 3 2" xfId="33308"/>
    <cellStyle name="Обычный 124 2 2 7 2 3 2 2" xfId="48128"/>
    <cellStyle name="Обычный 124 2 2 7 2 3 3" xfId="40841"/>
    <cellStyle name="Обычный 124 2 2 7 2 4" xfId="29654"/>
    <cellStyle name="Обычный 124 2 2 7 2 4 2" xfId="44478"/>
    <cellStyle name="Обычный 124 2 2 7 2 5" xfId="37255"/>
    <cellStyle name="Обычный 124 2 2 7 2 6" xfId="22336"/>
    <cellStyle name="Обычный 124 2 2 7 3" xfId="19548"/>
    <cellStyle name="Обычный 124 2 2 7 3 2" xfId="26917"/>
    <cellStyle name="Обычный 124 2 2 7 3 2 2" xfId="34228"/>
    <cellStyle name="Обычный 124 2 2 7 3 2 2 2" xfId="49048"/>
    <cellStyle name="Обычный 124 2 2 7 3 2 3" xfId="41757"/>
    <cellStyle name="Обычный 124 2 2 7 3 3" xfId="30574"/>
    <cellStyle name="Обычный 124 2 2 7 3 3 2" xfId="45397"/>
    <cellStyle name="Обычный 124 2 2 7 3 4" xfId="38071"/>
    <cellStyle name="Обычный 124 2 2 7 3 5" xfId="23259"/>
    <cellStyle name="Обычный 124 2 2 7 4" xfId="25076"/>
    <cellStyle name="Обычный 124 2 2 7 4 2" xfId="32387"/>
    <cellStyle name="Обычный 124 2 2 7 4 2 2" xfId="47210"/>
    <cellStyle name="Обычный 124 2 2 7 4 3" xfId="39971"/>
    <cellStyle name="Обычный 124 2 2 7 5" xfId="28733"/>
    <cellStyle name="Обычный 124 2 2 7 5 2" xfId="43570"/>
    <cellStyle name="Обычный 124 2 2 7 6" xfId="36211"/>
    <cellStyle name="Обычный 124 2 2 7 7" xfId="21415"/>
    <cellStyle name="Обычный 124 2 2 8" xfId="18143"/>
    <cellStyle name="Обычный 124 2 2 8 2" xfId="20045"/>
    <cellStyle name="Обычный 124 2 2 8 2 2" xfId="27371"/>
    <cellStyle name="Обычный 124 2 2 8 2 2 2" xfId="34682"/>
    <cellStyle name="Обычный 124 2 2 8 2 2 2 2" xfId="49502"/>
    <cellStyle name="Обычный 124 2 2 8 2 2 3" xfId="42211"/>
    <cellStyle name="Обычный 124 2 2 8 2 3" xfId="31028"/>
    <cellStyle name="Обычный 124 2 2 8 2 3 2" xfId="45851"/>
    <cellStyle name="Обычный 124 2 2 8 2 4" xfId="38526"/>
    <cellStyle name="Обычный 124 2 2 8 2 5" xfId="23713"/>
    <cellStyle name="Обычный 124 2 2 8 3" xfId="25537"/>
    <cellStyle name="Обычный 124 2 2 8 3 2" xfId="32848"/>
    <cellStyle name="Обычный 124 2 2 8 3 2 2" xfId="47668"/>
    <cellStyle name="Обычный 124 2 2 8 3 3" xfId="40418"/>
    <cellStyle name="Обычный 124 2 2 8 4" xfId="29194"/>
    <cellStyle name="Обычный 124 2 2 8 4 2" xfId="44026"/>
    <cellStyle name="Обычный 124 2 2 8 5" xfId="36795"/>
    <cellStyle name="Обычный 124 2 2 8 6" xfId="21876"/>
    <cellStyle name="Обычный 124 2 2 9" xfId="19078"/>
    <cellStyle name="Обычный 124 2 2 9 2" xfId="26457"/>
    <cellStyle name="Обычный 124 2 2 9 2 2" xfId="33768"/>
    <cellStyle name="Обычный 124 2 2 9 2 2 2" xfId="48588"/>
    <cellStyle name="Обычный 124 2 2 9 2 3" xfId="41298"/>
    <cellStyle name="Обычный 124 2 2 9 3" xfId="30114"/>
    <cellStyle name="Обычный 124 2 2 9 3 2" xfId="44938"/>
    <cellStyle name="Обычный 124 2 2 9 4" xfId="37611"/>
    <cellStyle name="Обычный 124 2 2 9 5" xfId="22799"/>
    <cellStyle name="Обычный 124 2 3" xfId="17042"/>
    <cellStyle name="Обычный 124 2 3 10" xfId="28290"/>
    <cellStyle name="Обычный 124 2 3 10 2" xfId="43127"/>
    <cellStyle name="Обычный 124 2 3 11" xfId="35794"/>
    <cellStyle name="Обычный 124 2 3 12" xfId="20972"/>
    <cellStyle name="Обычный 124 2 3 2" xfId="17209"/>
    <cellStyle name="Обычный 124 2 3 2 10" xfId="35795"/>
    <cellStyle name="Обычный 124 2 3 2 11" xfId="21000"/>
    <cellStyle name="Обычный 124 2 3 2 2" xfId="17366"/>
    <cellStyle name="Обычный 124 2 3 2 2 10" xfId="21056"/>
    <cellStyle name="Обычный 124 2 3 2 2 2" xfId="17481"/>
    <cellStyle name="Обычный 124 2 3 2 2 2 2" xfId="17931"/>
    <cellStyle name="Обычный 124 2 3 2 2 2 2 2" xfId="19045"/>
    <cellStyle name="Обычный 124 2 3 2 2 2 2 2 2" xfId="20924"/>
    <cellStyle name="Обычный 124 2 3 2 2 2 2 2 2 2" xfId="24592"/>
    <cellStyle name="Обычный 124 2 3 2 2 2 2 2 2 2 2" xfId="28250"/>
    <cellStyle name="Обычный 124 2 3 2 2 2 2 2 2 2 2 2" xfId="35561"/>
    <cellStyle name="Обычный 124 2 3 2 2 2 2 2 2 2 2 2 2" xfId="50381"/>
    <cellStyle name="Обычный 124 2 3 2 2 2 2 2 2 2 2 3" xfId="43089"/>
    <cellStyle name="Обычный 124 2 3 2 2 2 2 2 2 2 3" xfId="31907"/>
    <cellStyle name="Обычный 124 2 3 2 2 2 2 2 2 2 3 2" xfId="46730"/>
    <cellStyle name="Обычный 124 2 3 2 2 2 2 2 2 2 4" xfId="39524"/>
    <cellStyle name="Обычный 124 2 3 2 2 2 2 2 2 3" xfId="26424"/>
    <cellStyle name="Обычный 124 2 3 2 2 2 2 2 2 3 2" xfId="33735"/>
    <cellStyle name="Обычный 124 2 3 2 2 2 2 2 2 3 2 2" xfId="48555"/>
    <cellStyle name="Обычный 124 2 3 2 2 2 2 2 2 3 3" xfId="41268"/>
    <cellStyle name="Обычный 124 2 3 2 2 2 2 2 2 4" xfId="30081"/>
    <cellStyle name="Обычный 124 2 3 2 2 2 2 2 2 4 2" xfId="44905"/>
    <cellStyle name="Обычный 124 2 3 2 2 2 2 2 2 5" xfId="39405"/>
    <cellStyle name="Обычный 124 2 3 2 2 2 2 2 2 6" xfId="22763"/>
    <cellStyle name="Обычный 124 2 3 2 2 2 2 2 3" xfId="19975"/>
    <cellStyle name="Обычный 124 2 3 2 2 2 2 2 3 2" xfId="27344"/>
    <cellStyle name="Обычный 124 2 3 2 2 2 2 2 3 2 2" xfId="34655"/>
    <cellStyle name="Обычный 124 2 3 2 2 2 2 2 3 2 2 2" xfId="49475"/>
    <cellStyle name="Обычный 124 2 3 2 2 2 2 2 3 2 3" xfId="42184"/>
    <cellStyle name="Обычный 124 2 3 2 2 2 2 2 3 3" xfId="31001"/>
    <cellStyle name="Обычный 124 2 3 2 2 2 2 2 3 3 2" xfId="45824"/>
    <cellStyle name="Обычный 124 2 3 2 2 2 2 2 3 4" xfId="38498"/>
    <cellStyle name="Обычный 124 2 3 2 2 2 2 2 3 5" xfId="23686"/>
    <cellStyle name="Обычный 124 2 3 2 2 2 2 2 4" xfId="25503"/>
    <cellStyle name="Обычный 124 2 3 2 2 2 2 2 4 2" xfId="32814"/>
    <cellStyle name="Обычный 124 2 3 2 2 2 2 2 4 2 2" xfId="47637"/>
    <cellStyle name="Обычный 124 2 3 2 2 2 2 2 4 3" xfId="40391"/>
    <cellStyle name="Обычный 124 2 3 2 2 2 2 2 5" xfId="29160"/>
    <cellStyle name="Обычный 124 2 3 2 2 2 2 2 5 2" xfId="43997"/>
    <cellStyle name="Обычный 124 2 3 2 2 2 2 2 6" xfId="36247"/>
    <cellStyle name="Обычный 124 2 3 2 2 2 2 2 7" xfId="21842"/>
    <cellStyle name="Обычный 124 2 3 2 2 2 2 3" xfId="18380"/>
    <cellStyle name="Обычный 124 2 3 2 2 2 2 3 2" xfId="20262"/>
    <cellStyle name="Обычный 124 2 3 2 2 2 2 3 2 2" xfId="27588"/>
    <cellStyle name="Обычный 124 2 3 2 2 2 2 3 2 2 2" xfId="34899"/>
    <cellStyle name="Обычный 124 2 3 2 2 2 2 3 2 2 2 2" xfId="49719"/>
    <cellStyle name="Обычный 124 2 3 2 2 2 2 3 2 2 3" xfId="42427"/>
    <cellStyle name="Обычный 124 2 3 2 2 2 2 3 2 3" xfId="31245"/>
    <cellStyle name="Обычный 124 2 3 2 2 2 2 3 2 3 2" xfId="46068"/>
    <cellStyle name="Обычный 124 2 3 2 2 2 2 3 2 4" xfId="38743"/>
    <cellStyle name="Обычный 124 2 3 2 2 2 2 3 2 5" xfId="23930"/>
    <cellStyle name="Обычный 124 2 3 2 2 2 2 3 3" xfId="25762"/>
    <cellStyle name="Обычный 124 2 3 2 2 2 2 3 3 2" xfId="33073"/>
    <cellStyle name="Обычный 124 2 3 2 2 2 2 3 3 2 2" xfId="47893"/>
    <cellStyle name="Обычный 124 2 3 2 2 2 2 3 3 3" xfId="40615"/>
    <cellStyle name="Обычный 124 2 3 2 2 2 2 3 4" xfId="29419"/>
    <cellStyle name="Обычный 124 2 3 2 2 2 2 3 4 2" xfId="44243"/>
    <cellStyle name="Обычный 124 2 3 2 2 2 2 3 5" xfId="37020"/>
    <cellStyle name="Обычный 124 2 3 2 2 2 2 3 6" xfId="22101"/>
    <cellStyle name="Обычный 124 2 3 2 2 2 2 4" xfId="19524"/>
    <cellStyle name="Обычный 124 2 3 2 2 2 2 4 2" xfId="26894"/>
    <cellStyle name="Обычный 124 2 3 2 2 2 2 4 2 2" xfId="34205"/>
    <cellStyle name="Обычный 124 2 3 2 2 2 2 4 2 2 2" xfId="49025"/>
    <cellStyle name="Обычный 124 2 3 2 2 2 2 4 2 3" xfId="41734"/>
    <cellStyle name="Обычный 124 2 3 2 2 2 2 4 3" xfId="30551"/>
    <cellStyle name="Обычный 124 2 3 2 2 2 2 4 3 2" xfId="45374"/>
    <cellStyle name="Обычный 124 2 3 2 2 2 2 4 4" xfId="38048"/>
    <cellStyle name="Обычный 124 2 3 2 2 2 2 4 5" xfId="23236"/>
    <cellStyle name="Обычный 124 2 3 2 2 2 2 5" xfId="25053"/>
    <cellStyle name="Обычный 124 2 3 2 2 2 2 5 2" xfId="32364"/>
    <cellStyle name="Обычный 124 2 3 2 2 2 2 5 2 2" xfId="47187"/>
    <cellStyle name="Обычный 124 2 3 2 2 2 2 5 3" xfId="39948"/>
    <cellStyle name="Обычный 124 2 3 2 2 2 2 6" xfId="28710"/>
    <cellStyle name="Обычный 124 2 3 2 2 2 2 6 2" xfId="43547"/>
    <cellStyle name="Обычный 124 2 3 2 2 2 2 7" xfId="35798"/>
    <cellStyle name="Обычный 124 2 3 2 2 2 2 8" xfId="21392"/>
    <cellStyle name="Обычный 124 2 3 2 2 2 3" xfId="17707"/>
    <cellStyle name="Обычный 124 2 3 2 2 2 3 2" xfId="18821"/>
    <cellStyle name="Обычный 124 2 3 2 2 2 3 2 2" xfId="20700"/>
    <cellStyle name="Обычный 124 2 3 2 2 2 3 2 2 2" xfId="28026"/>
    <cellStyle name="Обычный 124 2 3 2 2 2 3 2 2 2 2" xfId="35337"/>
    <cellStyle name="Обычный 124 2 3 2 2 2 3 2 2 2 2 2" xfId="50157"/>
    <cellStyle name="Обычный 124 2 3 2 2 2 3 2 2 2 3" xfId="42865"/>
    <cellStyle name="Обычный 124 2 3 2 2 2 3 2 2 3" xfId="31683"/>
    <cellStyle name="Обычный 124 2 3 2 2 2 3 2 2 3 2" xfId="46506"/>
    <cellStyle name="Обычный 124 2 3 2 2 2 3 2 2 4" xfId="39181"/>
    <cellStyle name="Обычный 124 2 3 2 2 2 3 2 2 5" xfId="24368"/>
    <cellStyle name="Обычный 124 2 3 2 2 2 3 2 3" xfId="26200"/>
    <cellStyle name="Обычный 124 2 3 2 2 2 3 2 3 2" xfId="33511"/>
    <cellStyle name="Обычный 124 2 3 2 2 2 3 2 3 2 2" xfId="48331"/>
    <cellStyle name="Обычный 124 2 3 2 2 2 3 2 3 3" xfId="41044"/>
    <cellStyle name="Обычный 124 2 3 2 2 2 3 2 4" xfId="29857"/>
    <cellStyle name="Обычный 124 2 3 2 2 2 3 2 4 2" xfId="44681"/>
    <cellStyle name="Обычный 124 2 3 2 2 2 3 2 5" xfId="37458"/>
    <cellStyle name="Обычный 124 2 3 2 2 2 3 2 6" xfId="22539"/>
    <cellStyle name="Обычный 124 2 3 2 2 2 3 3" xfId="19751"/>
    <cellStyle name="Обычный 124 2 3 2 2 2 3 3 2" xfId="27120"/>
    <cellStyle name="Обычный 124 2 3 2 2 2 3 3 2 2" xfId="34431"/>
    <cellStyle name="Обычный 124 2 3 2 2 2 3 3 2 2 2" xfId="49251"/>
    <cellStyle name="Обычный 124 2 3 2 2 2 3 3 2 3" xfId="41960"/>
    <cellStyle name="Обычный 124 2 3 2 2 2 3 3 3" xfId="30777"/>
    <cellStyle name="Обычный 124 2 3 2 2 2 3 3 3 2" xfId="45600"/>
    <cellStyle name="Обычный 124 2 3 2 2 2 3 3 4" xfId="38274"/>
    <cellStyle name="Обычный 124 2 3 2 2 2 3 3 5" xfId="23462"/>
    <cellStyle name="Обычный 124 2 3 2 2 2 3 4" xfId="25279"/>
    <cellStyle name="Обычный 124 2 3 2 2 2 3 4 2" xfId="32590"/>
    <cellStyle name="Обычный 124 2 3 2 2 2 3 4 2 2" xfId="47413"/>
    <cellStyle name="Обычный 124 2 3 2 2 2 3 4 3" xfId="40171"/>
    <cellStyle name="Обычный 124 2 3 2 2 2 3 5" xfId="28936"/>
    <cellStyle name="Обычный 124 2 3 2 2 2 3 5 2" xfId="43773"/>
    <cellStyle name="Обычный 124 2 3 2 2 2 3 6" xfId="36246"/>
    <cellStyle name="Обычный 124 2 3 2 2 2 3 7" xfId="21618"/>
    <cellStyle name="Обычный 124 2 3 2 2 2 4" xfId="18379"/>
    <cellStyle name="Обычный 124 2 3 2 2 2 4 2" xfId="20261"/>
    <cellStyle name="Обычный 124 2 3 2 2 2 4 2 2" xfId="27587"/>
    <cellStyle name="Обычный 124 2 3 2 2 2 4 2 2 2" xfId="34898"/>
    <cellStyle name="Обычный 124 2 3 2 2 2 4 2 2 2 2" xfId="49718"/>
    <cellStyle name="Обычный 124 2 3 2 2 2 4 2 2 3" xfId="42426"/>
    <cellStyle name="Обычный 124 2 3 2 2 2 4 2 3" xfId="31244"/>
    <cellStyle name="Обычный 124 2 3 2 2 2 4 2 3 2" xfId="46067"/>
    <cellStyle name="Обычный 124 2 3 2 2 2 4 2 4" xfId="38742"/>
    <cellStyle name="Обычный 124 2 3 2 2 2 4 2 5" xfId="23929"/>
    <cellStyle name="Обычный 124 2 3 2 2 2 4 3" xfId="25761"/>
    <cellStyle name="Обычный 124 2 3 2 2 2 4 3 2" xfId="33072"/>
    <cellStyle name="Обычный 124 2 3 2 2 2 4 3 2 2" xfId="47892"/>
    <cellStyle name="Обычный 124 2 3 2 2 2 4 3 3" xfId="40614"/>
    <cellStyle name="Обычный 124 2 3 2 2 2 4 4" xfId="29418"/>
    <cellStyle name="Обычный 124 2 3 2 2 2 4 4 2" xfId="44242"/>
    <cellStyle name="Обычный 124 2 3 2 2 2 4 5" xfId="37019"/>
    <cellStyle name="Обычный 124 2 3 2 2 2 4 6" xfId="22100"/>
    <cellStyle name="Обычный 124 2 3 2 2 2 5" xfId="19300"/>
    <cellStyle name="Обычный 124 2 3 2 2 2 5 2" xfId="26670"/>
    <cellStyle name="Обычный 124 2 3 2 2 2 5 2 2" xfId="33981"/>
    <cellStyle name="Обычный 124 2 3 2 2 2 5 2 2 2" xfId="48801"/>
    <cellStyle name="Обычный 124 2 3 2 2 2 5 2 3" xfId="41510"/>
    <cellStyle name="Обычный 124 2 3 2 2 2 5 3" xfId="30327"/>
    <cellStyle name="Обычный 124 2 3 2 2 2 5 3 2" xfId="45150"/>
    <cellStyle name="Обычный 124 2 3 2 2 2 5 4" xfId="37824"/>
    <cellStyle name="Обычный 124 2 3 2 2 2 5 5" xfId="23012"/>
    <cellStyle name="Обычный 124 2 3 2 2 2 6" xfId="24829"/>
    <cellStyle name="Обычный 124 2 3 2 2 2 6 2" xfId="32140"/>
    <cellStyle name="Обычный 124 2 3 2 2 2 6 2 2" xfId="46963"/>
    <cellStyle name="Обычный 124 2 3 2 2 2 6 3" xfId="39728"/>
    <cellStyle name="Обычный 124 2 3 2 2 2 7" xfId="28486"/>
    <cellStyle name="Обычный 124 2 3 2 2 2 7 2" xfId="43323"/>
    <cellStyle name="Обычный 124 2 3 2 2 2 8" xfId="35797"/>
    <cellStyle name="Обычный 124 2 3 2 2 2 9" xfId="21168"/>
    <cellStyle name="Обычный 124 2 3 2 2 3" xfId="17819"/>
    <cellStyle name="Обычный 124 2 3 2 2 3 2" xfId="18933"/>
    <cellStyle name="Обычный 124 2 3 2 2 3 2 2" xfId="20812"/>
    <cellStyle name="Обычный 124 2 3 2 2 3 2 2 2" xfId="24480"/>
    <cellStyle name="Обычный 124 2 3 2 2 3 2 2 2 2" xfId="28138"/>
    <cellStyle name="Обычный 124 2 3 2 2 3 2 2 2 2 2" xfId="35449"/>
    <cellStyle name="Обычный 124 2 3 2 2 3 2 2 2 2 2 2" xfId="50269"/>
    <cellStyle name="Обычный 124 2 3 2 2 3 2 2 2 2 3" xfId="42977"/>
    <cellStyle name="Обычный 124 2 3 2 2 3 2 2 2 3" xfId="31795"/>
    <cellStyle name="Обычный 124 2 3 2 2 3 2 2 2 3 2" xfId="46618"/>
    <cellStyle name="Обычный 124 2 3 2 2 3 2 2 2 4" xfId="39442"/>
    <cellStyle name="Обычный 124 2 3 2 2 3 2 2 3" xfId="26312"/>
    <cellStyle name="Обычный 124 2 3 2 2 3 2 2 3 2" xfId="33623"/>
    <cellStyle name="Обычный 124 2 3 2 2 3 2 2 3 2 2" xfId="48443"/>
    <cellStyle name="Обычный 124 2 3 2 2 3 2 2 3 3" xfId="41156"/>
    <cellStyle name="Обычный 124 2 3 2 2 3 2 2 4" xfId="29969"/>
    <cellStyle name="Обычный 124 2 3 2 2 3 2 2 4 2" xfId="44793"/>
    <cellStyle name="Обычный 124 2 3 2 2 3 2 2 5" xfId="39293"/>
    <cellStyle name="Обычный 124 2 3 2 2 3 2 2 6" xfId="22651"/>
    <cellStyle name="Обычный 124 2 3 2 2 3 2 3" xfId="19863"/>
    <cellStyle name="Обычный 124 2 3 2 2 3 2 3 2" xfId="27232"/>
    <cellStyle name="Обычный 124 2 3 2 2 3 2 3 2 2" xfId="34543"/>
    <cellStyle name="Обычный 124 2 3 2 2 3 2 3 2 2 2" xfId="49363"/>
    <cellStyle name="Обычный 124 2 3 2 2 3 2 3 2 3" xfId="42072"/>
    <cellStyle name="Обычный 124 2 3 2 2 3 2 3 3" xfId="30889"/>
    <cellStyle name="Обычный 124 2 3 2 2 3 2 3 3 2" xfId="45712"/>
    <cellStyle name="Обычный 124 2 3 2 2 3 2 3 4" xfId="38386"/>
    <cellStyle name="Обычный 124 2 3 2 2 3 2 3 5" xfId="23574"/>
    <cellStyle name="Обычный 124 2 3 2 2 3 2 4" xfId="25391"/>
    <cellStyle name="Обычный 124 2 3 2 2 3 2 4 2" xfId="32702"/>
    <cellStyle name="Обычный 124 2 3 2 2 3 2 4 2 2" xfId="47525"/>
    <cellStyle name="Обычный 124 2 3 2 2 3 2 4 3" xfId="40279"/>
    <cellStyle name="Обычный 124 2 3 2 2 3 2 5" xfId="29048"/>
    <cellStyle name="Обычный 124 2 3 2 2 3 2 5 2" xfId="43885"/>
    <cellStyle name="Обычный 124 2 3 2 2 3 2 6" xfId="36248"/>
    <cellStyle name="Обычный 124 2 3 2 2 3 2 7" xfId="21730"/>
    <cellStyle name="Обычный 124 2 3 2 2 3 3" xfId="18381"/>
    <cellStyle name="Обычный 124 2 3 2 2 3 3 2" xfId="20263"/>
    <cellStyle name="Обычный 124 2 3 2 2 3 3 2 2" xfId="27589"/>
    <cellStyle name="Обычный 124 2 3 2 2 3 3 2 2 2" xfId="34900"/>
    <cellStyle name="Обычный 124 2 3 2 2 3 3 2 2 2 2" xfId="49720"/>
    <cellStyle name="Обычный 124 2 3 2 2 3 3 2 2 3" xfId="42428"/>
    <cellStyle name="Обычный 124 2 3 2 2 3 3 2 3" xfId="31246"/>
    <cellStyle name="Обычный 124 2 3 2 2 3 3 2 3 2" xfId="46069"/>
    <cellStyle name="Обычный 124 2 3 2 2 3 3 2 4" xfId="38744"/>
    <cellStyle name="Обычный 124 2 3 2 2 3 3 2 5" xfId="23931"/>
    <cellStyle name="Обычный 124 2 3 2 2 3 3 3" xfId="25763"/>
    <cellStyle name="Обычный 124 2 3 2 2 3 3 3 2" xfId="33074"/>
    <cellStyle name="Обычный 124 2 3 2 2 3 3 3 2 2" xfId="47894"/>
    <cellStyle name="Обычный 124 2 3 2 2 3 3 3 3" xfId="40616"/>
    <cellStyle name="Обычный 124 2 3 2 2 3 3 4" xfId="29420"/>
    <cellStyle name="Обычный 124 2 3 2 2 3 3 4 2" xfId="44244"/>
    <cellStyle name="Обычный 124 2 3 2 2 3 3 5" xfId="37021"/>
    <cellStyle name="Обычный 124 2 3 2 2 3 3 6" xfId="22102"/>
    <cellStyle name="Обычный 124 2 3 2 2 3 4" xfId="19412"/>
    <cellStyle name="Обычный 124 2 3 2 2 3 4 2" xfId="26782"/>
    <cellStyle name="Обычный 124 2 3 2 2 3 4 2 2" xfId="34093"/>
    <cellStyle name="Обычный 124 2 3 2 2 3 4 2 2 2" xfId="48913"/>
    <cellStyle name="Обычный 124 2 3 2 2 3 4 2 3" xfId="41622"/>
    <cellStyle name="Обычный 124 2 3 2 2 3 4 3" xfId="30439"/>
    <cellStyle name="Обычный 124 2 3 2 2 3 4 3 2" xfId="45262"/>
    <cellStyle name="Обычный 124 2 3 2 2 3 4 4" xfId="37936"/>
    <cellStyle name="Обычный 124 2 3 2 2 3 4 5" xfId="23124"/>
    <cellStyle name="Обычный 124 2 3 2 2 3 5" xfId="24941"/>
    <cellStyle name="Обычный 124 2 3 2 2 3 5 2" xfId="32252"/>
    <cellStyle name="Обычный 124 2 3 2 2 3 5 2 2" xfId="47075"/>
    <cellStyle name="Обычный 124 2 3 2 2 3 5 3" xfId="39836"/>
    <cellStyle name="Обычный 124 2 3 2 2 3 6" xfId="28598"/>
    <cellStyle name="Обычный 124 2 3 2 2 3 6 2" xfId="43435"/>
    <cellStyle name="Обычный 124 2 3 2 2 3 7" xfId="35799"/>
    <cellStyle name="Обычный 124 2 3 2 2 3 8" xfId="21280"/>
    <cellStyle name="Обычный 124 2 3 2 2 4" xfId="17595"/>
    <cellStyle name="Обычный 124 2 3 2 2 4 2" xfId="18709"/>
    <cellStyle name="Обычный 124 2 3 2 2 4 2 2" xfId="20588"/>
    <cellStyle name="Обычный 124 2 3 2 2 4 2 2 2" xfId="27914"/>
    <cellStyle name="Обычный 124 2 3 2 2 4 2 2 2 2" xfId="35225"/>
    <cellStyle name="Обычный 124 2 3 2 2 4 2 2 2 2 2" xfId="50045"/>
    <cellStyle name="Обычный 124 2 3 2 2 4 2 2 2 3" xfId="42753"/>
    <cellStyle name="Обычный 124 2 3 2 2 4 2 2 3" xfId="31571"/>
    <cellStyle name="Обычный 124 2 3 2 2 4 2 2 3 2" xfId="46394"/>
    <cellStyle name="Обычный 124 2 3 2 2 4 2 2 4" xfId="39069"/>
    <cellStyle name="Обычный 124 2 3 2 2 4 2 2 5" xfId="24256"/>
    <cellStyle name="Обычный 124 2 3 2 2 4 2 3" xfId="26088"/>
    <cellStyle name="Обычный 124 2 3 2 2 4 2 3 2" xfId="33399"/>
    <cellStyle name="Обычный 124 2 3 2 2 4 2 3 2 2" xfId="48219"/>
    <cellStyle name="Обычный 124 2 3 2 2 4 2 3 3" xfId="40932"/>
    <cellStyle name="Обычный 124 2 3 2 2 4 2 4" xfId="29745"/>
    <cellStyle name="Обычный 124 2 3 2 2 4 2 4 2" xfId="44569"/>
    <cellStyle name="Обычный 124 2 3 2 2 4 2 5" xfId="37346"/>
    <cellStyle name="Обычный 124 2 3 2 2 4 2 6" xfId="22427"/>
    <cellStyle name="Обычный 124 2 3 2 2 4 3" xfId="19639"/>
    <cellStyle name="Обычный 124 2 3 2 2 4 3 2" xfId="27008"/>
    <cellStyle name="Обычный 124 2 3 2 2 4 3 2 2" xfId="34319"/>
    <cellStyle name="Обычный 124 2 3 2 2 4 3 2 2 2" xfId="49139"/>
    <cellStyle name="Обычный 124 2 3 2 2 4 3 2 3" xfId="41848"/>
    <cellStyle name="Обычный 124 2 3 2 2 4 3 3" xfId="30665"/>
    <cellStyle name="Обычный 124 2 3 2 2 4 3 3 2" xfId="45488"/>
    <cellStyle name="Обычный 124 2 3 2 2 4 3 4" xfId="38162"/>
    <cellStyle name="Обычный 124 2 3 2 2 4 3 5" xfId="23350"/>
    <cellStyle name="Обычный 124 2 3 2 2 4 4" xfId="25167"/>
    <cellStyle name="Обычный 124 2 3 2 2 4 4 2" xfId="32478"/>
    <cellStyle name="Обычный 124 2 3 2 2 4 4 2 2" xfId="47301"/>
    <cellStyle name="Обычный 124 2 3 2 2 4 4 3" xfId="40061"/>
    <cellStyle name="Обычный 124 2 3 2 2 4 5" xfId="28824"/>
    <cellStyle name="Обычный 124 2 3 2 2 4 5 2" xfId="43661"/>
    <cellStyle name="Обычный 124 2 3 2 2 4 6" xfId="36245"/>
    <cellStyle name="Обычный 124 2 3 2 2 4 7" xfId="21506"/>
    <cellStyle name="Обычный 124 2 3 2 2 5" xfId="18378"/>
    <cellStyle name="Обычный 124 2 3 2 2 5 2" xfId="20260"/>
    <cellStyle name="Обычный 124 2 3 2 2 5 2 2" xfId="27586"/>
    <cellStyle name="Обычный 124 2 3 2 2 5 2 2 2" xfId="34897"/>
    <cellStyle name="Обычный 124 2 3 2 2 5 2 2 2 2" xfId="49717"/>
    <cellStyle name="Обычный 124 2 3 2 2 5 2 2 3" xfId="42425"/>
    <cellStyle name="Обычный 124 2 3 2 2 5 2 3" xfId="31243"/>
    <cellStyle name="Обычный 124 2 3 2 2 5 2 3 2" xfId="46066"/>
    <cellStyle name="Обычный 124 2 3 2 2 5 2 4" xfId="38741"/>
    <cellStyle name="Обычный 124 2 3 2 2 5 2 5" xfId="23928"/>
    <cellStyle name="Обычный 124 2 3 2 2 5 3" xfId="25760"/>
    <cellStyle name="Обычный 124 2 3 2 2 5 3 2" xfId="33071"/>
    <cellStyle name="Обычный 124 2 3 2 2 5 3 2 2" xfId="47891"/>
    <cellStyle name="Обычный 124 2 3 2 2 5 3 3" xfId="40613"/>
    <cellStyle name="Обычный 124 2 3 2 2 5 4" xfId="29417"/>
    <cellStyle name="Обычный 124 2 3 2 2 5 4 2" xfId="44241"/>
    <cellStyle name="Обычный 124 2 3 2 2 5 5" xfId="37018"/>
    <cellStyle name="Обычный 124 2 3 2 2 5 6" xfId="22099"/>
    <cellStyle name="Обычный 124 2 3 2 2 6" xfId="19189"/>
    <cellStyle name="Обычный 124 2 3 2 2 6 2" xfId="26560"/>
    <cellStyle name="Обычный 124 2 3 2 2 6 2 2" xfId="33871"/>
    <cellStyle name="Обычный 124 2 3 2 2 6 2 2 2" xfId="48691"/>
    <cellStyle name="Обычный 124 2 3 2 2 6 2 3" xfId="41400"/>
    <cellStyle name="Обычный 124 2 3 2 2 6 3" xfId="30217"/>
    <cellStyle name="Обычный 124 2 3 2 2 6 3 2" xfId="45040"/>
    <cellStyle name="Обычный 124 2 3 2 2 6 4" xfId="37714"/>
    <cellStyle name="Обычный 124 2 3 2 2 6 5" xfId="22902"/>
    <cellStyle name="Обычный 124 2 3 2 2 7" xfId="24717"/>
    <cellStyle name="Обычный 124 2 3 2 2 7 2" xfId="32028"/>
    <cellStyle name="Обычный 124 2 3 2 2 7 2 2" xfId="46851"/>
    <cellStyle name="Обычный 124 2 3 2 2 7 3" xfId="39622"/>
    <cellStyle name="Обычный 124 2 3 2 2 8" xfId="28374"/>
    <cellStyle name="Обычный 124 2 3 2 2 8 2" xfId="43211"/>
    <cellStyle name="Обычный 124 2 3 2 2 9" xfId="35796"/>
    <cellStyle name="Обычный 124 2 3 2 3" xfId="17425"/>
    <cellStyle name="Обычный 124 2 3 2 3 2" xfId="17875"/>
    <cellStyle name="Обычный 124 2 3 2 3 2 2" xfId="18989"/>
    <cellStyle name="Обычный 124 2 3 2 3 2 2 2" xfId="20868"/>
    <cellStyle name="Обычный 124 2 3 2 3 2 2 2 2" xfId="24536"/>
    <cellStyle name="Обычный 124 2 3 2 3 2 2 2 2 2" xfId="28194"/>
    <cellStyle name="Обычный 124 2 3 2 3 2 2 2 2 2 2" xfId="35505"/>
    <cellStyle name="Обычный 124 2 3 2 3 2 2 2 2 2 2 2" xfId="50325"/>
    <cellStyle name="Обычный 124 2 3 2 3 2 2 2 2 2 3" xfId="43033"/>
    <cellStyle name="Обычный 124 2 3 2 3 2 2 2 2 3" xfId="31851"/>
    <cellStyle name="Обычный 124 2 3 2 3 2 2 2 2 3 2" xfId="46674"/>
    <cellStyle name="Обычный 124 2 3 2 3 2 2 2 2 4" xfId="39474"/>
    <cellStyle name="Обычный 124 2 3 2 3 2 2 2 3" xfId="26368"/>
    <cellStyle name="Обычный 124 2 3 2 3 2 2 2 3 2" xfId="33679"/>
    <cellStyle name="Обычный 124 2 3 2 3 2 2 2 3 2 2" xfId="48499"/>
    <cellStyle name="Обычный 124 2 3 2 3 2 2 2 3 3" xfId="41212"/>
    <cellStyle name="Обычный 124 2 3 2 3 2 2 2 4" xfId="30025"/>
    <cellStyle name="Обычный 124 2 3 2 3 2 2 2 4 2" xfId="44849"/>
    <cellStyle name="Обычный 124 2 3 2 3 2 2 2 5" xfId="39349"/>
    <cellStyle name="Обычный 124 2 3 2 3 2 2 2 6" xfId="22707"/>
    <cellStyle name="Обычный 124 2 3 2 3 2 2 3" xfId="19919"/>
    <cellStyle name="Обычный 124 2 3 2 3 2 2 3 2" xfId="27288"/>
    <cellStyle name="Обычный 124 2 3 2 3 2 2 3 2 2" xfId="34599"/>
    <cellStyle name="Обычный 124 2 3 2 3 2 2 3 2 2 2" xfId="49419"/>
    <cellStyle name="Обычный 124 2 3 2 3 2 2 3 2 3" xfId="42128"/>
    <cellStyle name="Обычный 124 2 3 2 3 2 2 3 3" xfId="30945"/>
    <cellStyle name="Обычный 124 2 3 2 3 2 2 3 3 2" xfId="45768"/>
    <cellStyle name="Обычный 124 2 3 2 3 2 2 3 4" xfId="38442"/>
    <cellStyle name="Обычный 124 2 3 2 3 2 2 3 5" xfId="23630"/>
    <cellStyle name="Обычный 124 2 3 2 3 2 2 4" xfId="25447"/>
    <cellStyle name="Обычный 124 2 3 2 3 2 2 4 2" xfId="32758"/>
    <cellStyle name="Обычный 124 2 3 2 3 2 2 4 2 2" xfId="47581"/>
    <cellStyle name="Обычный 124 2 3 2 3 2 2 4 3" xfId="40335"/>
    <cellStyle name="Обычный 124 2 3 2 3 2 2 5" xfId="29104"/>
    <cellStyle name="Обычный 124 2 3 2 3 2 2 5 2" xfId="43941"/>
    <cellStyle name="Обычный 124 2 3 2 3 2 2 6" xfId="36250"/>
    <cellStyle name="Обычный 124 2 3 2 3 2 2 7" xfId="21786"/>
    <cellStyle name="Обычный 124 2 3 2 3 2 3" xfId="18383"/>
    <cellStyle name="Обычный 124 2 3 2 3 2 3 2" xfId="20265"/>
    <cellStyle name="Обычный 124 2 3 2 3 2 3 2 2" xfId="27591"/>
    <cellStyle name="Обычный 124 2 3 2 3 2 3 2 2 2" xfId="34902"/>
    <cellStyle name="Обычный 124 2 3 2 3 2 3 2 2 2 2" xfId="49722"/>
    <cellStyle name="Обычный 124 2 3 2 3 2 3 2 2 3" xfId="42430"/>
    <cellStyle name="Обычный 124 2 3 2 3 2 3 2 3" xfId="31248"/>
    <cellStyle name="Обычный 124 2 3 2 3 2 3 2 3 2" xfId="46071"/>
    <cellStyle name="Обычный 124 2 3 2 3 2 3 2 4" xfId="38746"/>
    <cellStyle name="Обычный 124 2 3 2 3 2 3 2 5" xfId="23933"/>
    <cellStyle name="Обычный 124 2 3 2 3 2 3 3" xfId="25765"/>
    <cellStyle name="Обычный 124 2 3 2 3 2 3 3 2" xfId="33076"/>
    <cellStyle name="Обычный 124 2 3 2 3 2 3 3 2 2" xfId="47896"/>
    <cellStyle name="Обычный 124 2 3 2 3 2 3 3 3" xfId="40618"/>
    <cellStyle name="Обычный 124 2 3 2 3 2 3 4" xfId="29422"/>
    <cellStyle name="Обычный 124 2 3 2 3 2 3 4 2" xfId="44246"/>
    <cellStyle name="Обычный 124 2 3 2 3 2 3 5" xfId="37023"/>
    <cellStyle name="Обычный 124 2 3 2 3 2 3 6" xfId="22104"/>
    <cellStyle name="Обычный 124 2 3 2 3 2 4" xfId="19468"/>
    <cellStyle name="Обычный 124 2 3 2 3 2 4 2" xfId="26838"/>
    <cellStyle name="Обычный 124 2 3 2 3 2 4 2 2" xfId="34149"/>
    <cellStyle name="Обычный 124 2 3 2 3 2 4 2 2 2" xfId="48969"/>
    <cellStyle name="Обычный 124 2 3 2 3 2 4 2 3" xfId="41678"/>
    <cellStyle name="Обычный 124 2 3 2 3 2 4 3" xfId="30495"/>
    <cellStyle name="Обычный 124 2 3 2 3 2 4 3 2" xfId="45318"/>
    <cellStyle name="Обычный 124 2 3 2 3 2 4 4" xfId="37992"/>
    <cellStyle name="Обычный 124 2 3 2 3 2 4 5" xfId="23180"/>
    <cellStyle name="Обычный 124 2 3 2 3 2 5" xfId="24997"/>
    <cellStyle name="Обычный 124 2 3 2 3 2 5 2" xfId="32308"/>
    <cellStyle name="Обычный 124 2 3 2 3 2 5 2 2" xfId="47131"/>
    <cellStyle name="Обычный 124 2 3 2 3 2 5 3" xfId="39892"/>
    <cellStyle name="Обычный 124 2 3 2 3 2 6" xfId="28654"/>
    <cellStyle name="Обычный 124 2 3 2 3 2 6 2" xfId="43491"/>
    <cellStyle name="Обычный 124 2 3 2 3 2 7" xfId="35801"/>
    <cellStyle name="Обычный 124 2 3 2 3 2 8" xfId="21336"/>
    <cellStyle name="Обычный 124 2 3 2 3 3" xfId="17651"/>
    <cellStyle name="Обычный 124 2 3 2 3 3 2" xfId="18765"/>
    <cellStyle name="Обычный 124 2 3 2 3 3 2 2" xfId="20644"/>
    <cellStyle name="Обычный 124 2 3 2 3 3 2 2 2" xfId="27970"/>
    <cellStyle name="Обычный 124 2 3 2 3 3 2 2 2 2" xfId="35281"/>
    <cellStyle name="Обычный 124 2 3 2 3 3 2 2 2 2 2" xfId="50101"/>
    <cellStyle name="Обычный 124 2 3 2 3 3 2 2 2 3" xfId="42809"/>
    <cellStyle name="Обычный 124 2 3 2 3 3 2 2 3" xfId="31627"/>
    <cellStyle name="Обычный 124 2 3 2 3 3 2 2 3 2" xfId="46450"/>
    <cellStyle name="Обычный 124 2 3 2 3 3 2 2 4" xfId="39125"/>
    <cellStyle name="Обычный 124 2 3 2 3 3 2 2 5" xfId="24312"/>
    <cellStyle name="Обычный 124 2 3 2 3 3 2 3" xfId="26144"/>
    <cellStyle name="Обычный 124 2 3 2 3 3 2 3 2" xfId="33455"/>
    <cellStyle name="Обычный 124 2 3 2 3 3 2 3 2 2" xfId="48275"/>
    <cellStyle name="Обычный 124 2 3 2 3 3 2 3 3" xfId="40988"/>
    <cellStyle name="Обычный 124 2 3 2 3 3 2 4" xfId="29801"/>
    <cellStyle name="Обычный 124 2 3 2 3 3 2 4 2" xfId="44625"/>
    <cellStyle name="Обычный 124 2 3 2 3 3 2 5" xfId="37402"/>
    <cellStyle name="Обычный 124 2 3 2 3 3 2 6" xfId="22483"/>
    <cellStyle name="Обычный 124 2 3 2 3 3 3" xfId="19695"/>
    <cellStyle name="Обычный 124 2 3 2 3 3 3 2" xfId="27064"/>
    <cellStyle name="Обычный 124 2 3 2 3 3 3 2 2" xfId="34375"/>
    <cellStyle name="Обычный 124 2 3 2 3 3 3 2 2 2" xfId="49195"/>
    <cellStyle name="Обычный 124 2 3 2 3 3 3 2 3" xfId="41904"/>
    <cellStyle name="Обычный 124 2 3 2 3 3 3 3" xfId="30721"/>
    <cellStyle name="Обычный 124 2 3 2 3 3 3 3 2" xfId="45544"/>
    <cellStyle name="Обычный 124 2 3 2 3 3 3 4" xfId="38218"/>
    <cellStyle name="Обычный 124 2 3 2 3 3 3 5" xfId="23406"/>
    <cellStyle name="Обычный 124 2 3 2 3 3 4" xfId="25223"/>
    <cellStyle name="Обычный 124 2 3 2 3 3 4 2" xfId="32534"/>
    <cellStyle name="Обычный 124 2 3 2 3 3 4 2 2" xfId="47357"/>
    <cellStyle name="Обычный 124 2 3 2 3 3 4 3" xfId="40115"/>
    <cellStyle name="Обычный 124 2 3 2 3 3 5" xfId="28880"/>
    <cellStyle name="Обычный 124 2 3 2 3 3 5 2" xfId="43717"/>
    <cellStyle name="Обычный 124 2 3 2 3 3 6" xfId="36249"/>
    <cellStyle name="Обычный 124 2 3 2 3 3 7" xfId="21562"/>
    <cellStyle name="Обычный 124 2 3 2 3 4" xfId="18382"/>
    <cellStyle name="Обычный 124 2 3 2 3 4 2" xfId="20264"/>
    <cellStyle name="Обычный 124 2 3 2 3 4 2 2" xfId="27590"/>
    <cellStyle name="Обычный 124 2 3 2 3 4 2 2 2" xfId="34901"/>
    <cellStyle name="Обычный 124 2 3 2 3 4 2 2 2 2" xfId="49721"/>
    <cellStyle name="Обычный 124 2 3 2 3 4 2 2 3" xfId="42429"/>
    <cellStyle name="Обычный 124 2 3 2 3 4 2 3" xfId="31247"/>
    <cellStyle name="Обычный 124 2 3 2 3 4 2 3 2" xfId="46070"/>
    <cellStyle name="Обычный 124 2 3 2 3 4 2 4" xfId="38745"/>
    <cellStyle name="Обычный 124 2 3 2 3 4 2 5" xfId="23932"/>
    <cellStyle name="Обычный 124 2 3 2 3 4 3" xfId="25764"/>
    <cellStyle name="Обычный 124 2 3 2 3 4 3 2" xfId="33075"/>
    <cellStyle name="Обычный 124 2 3 2 3 4 3 2 2" xfId="47895"/>
    <cellStyle name="Обычный 124 2 3 2 3 4 3 3" xfId="40617"/>
    <cellStyle name="Обычный 124 2 3 2 3 4 4" xfId="29421"/>
    <cellStyle name="Обычный 124 2 3 2 3 4 4 2" xfId="44245"/>
    <cellStyle name="Обычный 124 2 3 2 3 4 5" xfId="37022"/>
    <cellStyle name="Обычный 124 2 3 2 3 4 6" xfId="22103"/>
    <cellStyle name="Обычный 124 2 3 2 3 5" xfId="19245"/>
    <cellStyle name="Обычный 124 2 3 2 3 5 2" xfId="26615"/>
    <cellStyle name="Обычный 124 2 3 2 3 5 2 2" xfId="33926"/>
    <cellStyle name="Обычный 124 2 3 2 3 5 2 2 2" xfId="48746"/>
    <cellStyle name="Обычный 124 2 3 2 3 5 2 3" xfId="41455"/>
    <cellStyle name="Обычный 124 2 3 2 3 5 3" xfId="30272"/>
    <cellStyle name="Обычный 124 2 3 2 3 5 3 2" xfId="45095"/>
    <cellStyle name="Обычный 124 2 3 2 3 5 4" xfId="37769"/>
    <cellStyle name="Обычный 124 2 3 2 3 5 5" xfId="22957"/>
    <cellStyle name="Обычный 124 2 3 2 3 6" xfId="24773"/>
    <cellStyle name="Обычный 124 2 3 2 3 6 2" xfId="32084"/>
    <cellStyle name="Обычный 124 2 3 2 3 6 2 2" xfId="46907"/>
    <cellStyle name="Обычный 124 2 3 2 3 6 3" xfId="39675"/>
    <cellStyle name="Обычный 124 2 3 2 3 7" xfId="28430"/>
    <cellStyle name="Обычный 124 2 3 2 3 7 2" xfId="43267"/>
    <cellStyle name="Обычный 124 2 3 2 3 8" xfId="35800"/>
    <cellStyle name="Обычный 124 2 3 2 3 9" xfId="21112"/>
    <cellStyle name="Обычный 124 2 3 2 4" xfId="17308"/>
    <cellStyle name="Обычный 124 2 3 2 4 2" xfId="17763"/>
    <cellStyle name="Обычный 124 2 3 2 4 2 2" xfId="18877"/>
    <cellStyle name="Обычный 124 2 3 2 4 2 2 2" xfId="20756"/>
    <cellStyle name="Обычный 124 2 3 2 4 2 2 2 2" xfId="28082"/>
    <cellStyle name="Обычный 124 2 3 2 4 2 2 2 2 2" xfId="35393"/>
    <cellStyle name="Обычный 124 2 3 2 4 2 2 2 2 2 2" xfId="50213"/>
    <cellStyle name="Обычный 124 2 3 2 4 2 2 2 2 3" xfId="42921"/>
    <cellStyle name="Обычный 124 2 3 2 4 2 2 2 3" xfId="31739"/>
    <cellStyle name="Обычный 124 2 3 2 4 2 2 2 3 2" xfId="46562"/>
    <cellStyle name="Обычный 124 2 3 2 4 2 2 2 4" xfId="39237"/>
    <cellStyle name="Обычный 124 2 3 2 4 2 2 2 5" xfId="24424"/>
    <cellStyle name="Обычный 124 2 3 2 4 2 2 3" xfId="26256"/>
    <cellStyle name="Обычный 124 2 3 2 4 2 2 3 2" xfId="33567"/>
    <cellStyle name="Обычный 124 2 3 2 4 2 2 3 2 2" xfId="48387"/>
    <cellStyle name="Обычный 124 2 3 2 4 2 2 3 3" xfId="41100"/>
    <cellStyle name="Обычный 124 2 3 2 4 2 2 4" xfId="29913"/>
    <cellStyle name="Обычный 124 2 3 2 4 2 2 4 2" xfId="44737"/>
    <cellStyle name="Обычный 124 2 3 2 4 2 2 5" xfId="37513"/>
    <cellStyle name="Обычный 124 2 3 2 4 2 2 6" xfId="22595"/>
    <cellStyle name="Обычный 124 2 3 2 4 2 3" xfId="19807"/>
    <cellStyle name="Обычный 124 2 3 2 4 2 3 2" xfId="27176"/>
    <cellStyle name="Обычный 124 2 3 2 4 2 3 2 2" xfId="34487"/>
    <cellStyle name="Обычный 124 2 3 2 4 2 3 2 2 2" xfId="49307"/>
    <cellStyle name="Обычный 124 2 3 2 4 2 3 2 3" xfId="42016"/>
    <cellStyle name="Обычный 124 2 3 2 4 2 3 3" xfId="30833"/>
    <cellStyle name="Обычный 124 2 3 2 4 2 3 3 2" xfId="45656"/>
    <cellStyle name="Обычный 124 2 3 2 4 2 3 4" xfId="38330"/>
    <cellStyle name="Обычный 124 2 3 2 4 2 3 5" xfId="23518"/>
    <cellStyle name="Обычный 124 2 3 2 4 2 4" xfId="25335"/>
    <cellStyle name="Обычный 124 2 3 2 4 2 4 2" xfId="32646"/>
    <cellStyle name="Обычный 124 2 3 2 4 2 4 2 2" xfId="47469"/>
    <cellStyle name="Обычный 124 2 3 2 4 2 4 3" xfId="40224"/>
    <cellStyle name="Обычный 124 2 3 2 4 2 5" xfId="28992"/>
    <cellStyle name="Обычный 124 2 3 2 4 2 5 2" xfId="43829"/>
    <cellStyle name="Обычный 124 2 3 2 4 2 6" xfId="36251"/>
    <cellStyle name="Обычный 124 2 3 2 4 2 7" xfId="21674"/>
    <cellStyle name="Обычный 124 2 3 2 4 3" xfId="18384"/>
    <cellStyle name="Обычный 124 2 3 2 4 3 2" xfId="20266"/>
    <cellStyle name="Обычный 124 2 3 2 4 3 2 2" xfId="27592"/>
    <cellStyle name="Обычный 124 2 3 2 4 3 2 2 2" xfId="34903"/>
    <cellStyle name="Обычный 124 2 3 2 4 3 2 2 2 2" xfId="49723"/>
    <cellStyle name="Обычный 124 2 3 2 4 3 2 2 3" xfId="42431"/>
    <cellStyle name="Обычный 124 2 3 2 4 3 2 3" xfId="31249"/>
    <cellStyle name="Обычный 124 2 3 2 4 3 2 3 2" xfId="46072"/>
    <cellStyle name="Обычный 124 2 3 2 4 3 2 4" xfId="38747"/>
    <cellStyle name="Обычный 124 2 3 2 4 3 2 5" xfId="23934"/>
    <cellStyle name="Обычный 124 2 3 2 4 3 3" xfId="25766"/>
    <cellStyle name="Обычный 124 2 3 2 4 3 3 2" xfId="33077"/>
    <cellStyle name="Обычный 124 2 3 2 4 3 3 2 2" xfId="47897"/>
    <cellStyle name="Обычный 124 2 3 2 4 3 3 3" xfId="40619"/>
    <cellStyle name="Обычный 124 2 3 2 4 3 4" xfId="29423"/>
    <cellStyle name="Обычный 124 2 3 2 4 3 4 2" xfId="44247"/>
    <cellStyle name="Обычный 124 2 3 2 4 3 5" xfId="37024"/>
    <cellStyle name="Обычный 124 2 3 2 4 3 6" xfId="22105"/>
    <cellStyle name="Обычный 124 2 3 2 4 4" xfId="19356"/>
    <cellStyle name="Обычный 124 2 3 2 4 4 2" xfId="26726"/>
    <cellStyle name="Обычный 124 2 3 2 4 4 2 2" xfId="34037"/>
    <cellStyle name="Обычный 124 2 3 2 4 4 2 2 2" xfId="48857"/>
    <cellStyle name="Обычный 124 2 3 2 4 4 2 3" xfId="41566"/>
    <cellStyle name="Обычный 124 2 3 2 4 4 3" xfId="30383"/>
    <cellStyle name="Обычный 124 2 3 2 4 4 3 2" xfId="45206"/>
    <cellStyle name="Обычный 124 2 3 2 4 4 4" xfId="37880"/>
    <cellStyle name="Обычный 124 2 3 2 4 4 5" xfId="23068"/>
    <cellStyle name="Обычный 124 2 3 2 4 5" xfId="24885"/>
    <cellStyle name="Обычный 124 2 3 2 4 5 2" xfId="32196"/>
    <cellStyle name="Обычный 124 2 3 2 4 5 2 2" xfId="47019"/>
    <cellStyle name="Обычный 124 2 3 2 4 5 3" xfId="39781"/>
    <cellStyle name="Обычный 124 2 3 2 4 6" xfId="28542"/>
    <cellStyle name="Обычный 124 2 3 2 4 6 2" xfId="43379"/>
    <cellStyle name="Обычный 124 2 3 2 4 7" xfId="35802"/>
    <cellStyle name="Обычный 124 2 3 2 4 8" xfId="21224"/>
    <cellStyle name="Обычный 124 2 3 2 5" xfId="17539"/>
    <cellStyle name="Обычный 124 2 3 2 5 2" xfId="18653"/>
    <cellStyle name="Обычный 124 2 3 2 5 2 2" xfId="20532"/>
    <cellStyle name="Обычный 124 2 3 2 5 2 2 2" xfId="27858"/>
    <cellStyle name="Обычный 124 2 3 2 5 2 2 2 2" xfId="35169"/>
    <cellStyle name="Обычный 124 2 3 2 5 2 2 2 2 2" xfId="49989"/>
    <cellStyle name="Обычный 124 2 3 2 5 2 2 2 3" xfId="42697"/>
    <cellStyle name="Обычный 124 2 3 2 5 2 2 3" xfId="31515"/>
    <cellStyle name="Обычный 124 2 3 2 5 2 2 3 2" xfId="46338"/>
    <cellStyle name="Обычный 124 2 3 2 5 2 2 4" xfId="39013"/>
    <cellStyle name="Обычный 124 2 3 2 5 2 2 5" xfId="24200"/>
    <cellStyle name="Обычный 124 2 3 2 5 2 3" xfId="26032"/>
    <cellStyle name="Обычный 124 2 3 2 5 2 3 2" xfId="33343"/>
    <cellStyle name="Обычный 124 2 3 2 5 2 3 2 2" xfId="48163"/>
    <cellStyle name="Обычный 124 2 3 2 5 2 3 3" xfId="40876"/>
    <cellStyle name="Обычный 124 2 3 2 5 2 4" xfId="29689"/>
    <cellStyle name="Обычный 124 2 3 2 5 2 4 2" xfId="44513"/>
    <cellStyle name="Обычный 124 2 3 2 5 2 5" xfId="37290"/>
    <cellStyle name="Обычный 124 2 3 2 5 2 6" xfId="22371"/>
    <cellStyle name="Обычный 124 2 3 2 5 3" xfId="19583"/>
    <cellStyle name="Обычный 124 2 3 2 5 3 2" xfId="26952"/>
    <cellStyle name="Обычный 124 2 3 2 5 3 2 2" xfId="34263"/>
    <cellStyle name="Обычный 124 2 3 2 5 3 2 2 2" xfId="49083"/>
    <cellStyle name="Обычный 124 2 3 2 5 3 2 3" xfId="41792"/>
    <cellStyle name="Обычный 124 2 3 2 5 3 3" xfId="30609"/>
    <cellStyle name="Обычный 124 2 3 2 5 3 3 2" xfId="45432"/>
    <cellStyle name="Обычный 124 2 3 2 5 3 4" xfId="38106"/>
    <cellStyle name="Обычный 124 2 3 2 5 3 5" xfId="23294"/>
    <cellStyle name="Обычный 124 2 3 2 5 4" xfId="25111"/>
    <cellStyle name="Обычный 124 2 3 2 5 4 2" xfId="32422"/>
    <cellStyle name="Обычный 124 2 3 2 5 4 2 2" xfId="47245"/>
    <cellStyle name="Обычный 124 2 3 2 5 4 3" xfId="40005"/>
    <cellStyle name="Обычный 124 2 3 2 5 5" xfId="28768"/>
    <cellStyle name="Обычный 124 2 3 2 5 5 2" xfId="43605"/>
    <cellStyle name="Обычный 124 2 3 2 5 6" xfId="36244"/>
    <cellStyle name="Обычный 124 2 3 2 5 7" xfId="21450"/>
    <cellStyle name="Обычный 124 2 3 2 6" xfId="18377"/>
    <cellStyle name="Обычный 124 2 3 2 6 2" xfId="20259"/>
    <cellStyle name="Обычный 124 2 3 2 6 2 2" xfId="27585"/>
    <cellStyle name="Обычный 124 2 3 2 6 2 2 2" xfId="34896"/>
    <cellStyle name="Обычный 124 2 3 2 6 2 2 2 2" xfId="49716"/>
    <cellStyle name="Обычный 124 2 3 2 6 2 2 3" xfId="42424"/>
    <cellStyle name="Обычный 124 2 3 2 6 2 3" xfId="31242"/>
    <cellStyle name="Обычный 124 2 3 2 6 2 3 2" xfId="46065"/>
    <cellStyle name="Обычный 124 2 3 2 6 2 4" xfId="38740"/>
    <cellStyle name="Обычный 124 2 3 2 6 2 5" xfId="23927"/>
    <cellStyle name="Обычный 124 2 3 2 6 3" xfId="25759"/>
    <cellStyle name="Обычный 124 2 3 2 6 3 2" xfId="33070"/>
    <cellStyle name="Обычный 124 2 3 2 6 3 2 2" xfId="47890"/>
    <cellStyle name="Обычный 124 2 3 2 6 3 3" xfId="40612"/>
    <cellStyle name="Обычный 124 2 3 2 6 4" xfId="29416"/>
    <cellStyle name="Обычный 124 2 3 2 6 4 2" xfId="44240"/>
    <cellStyle name="Обычный 124 2 3 2 6 5" xfId="37017"/>
    <cellStyle name="Обычный 124 2 3 2 6 6" xfId="22098"/>
    <cellStyle name="Обычный 124 2 3 2 7" xfId="19135"/>
    <cellStyle name="Обычный 124 2 3 2 7 2" xfId="26507"/>
    <cellStyle name="Обычный 124 2 3 2 7 2 2" xfId="33818"/>
    <cellStyle name="Обычный 124 2 3 2 7 2 2 2" xfId="48638"/>
    <cellStyle name="Обычный 124 2 3 2 7 2 3" xfId="41347"/>
    <cellStyle name="Обычный 124 2 3 2 7 3" xfId="30164"/>
    <cellStyle name="Обычный 124 2 3 2 7 3 2" xfId="44987"/>
    <cellStyle name="Обычный 124 2 3 2 7 4" xfId="37661"/>
    <cellStyle name="Обычный 124 2 3 2 7 5" xfId="22849"/>
    <cellStyle name="Обычный 124 2 3 2 8" xfId="24661"/>
    <cellStyle name="Обычный 124 2 3 2 8 2" xfId="31972"/>
    <cellStyle name="Обычный 124 2 3 2 8 2 2" xfId="46795"/>
    <cellStyle name="Обычный 124 2 3 2 8 3" xfId="39581"/>
    <cellStyle name="Обычный 124 2 3 2 9" xfId="28318"/>
    <cellStyle name="Обычный 124 2 3 2 9 2" xfId="43155"/>
    <cellStyle name="Обычный 124 2 3 3" xfId="17178"/>
    <cellStyle name="Обычный 124 2 3 3 10" xfId="21028"/>
    <cellStyle name="Обычный 124 2 3 3 2" xfId="17453"/>
    <cellStyle name="Обычный 124 2 3 3 2 2" xfId="17903"/>
    <cellStyle name="Обычный 124 2 3 3 2 2 2" xfId="19017"/>
    <cellStyle name="Обычный 124 2 3 3 2 2 2 2" xfId="20896"/>
    <cellStyle name="Обычный 124 2 3 3 2 2 2 2 2" xfId="24564"/>
    <cellStyle name="Обычный 124 2 3 3 2 2 2 2 2 2" xfId="28222"/>
    <cellStyle name="Обычный 124 2 3 3 2 2 2 2 2 2 2" xfId="35533"/>
    <cellStyle name="Обычный 124 2 3 3 2 2 2 2 2 2 2 2" xfId="50353"/>
    <cellStyle name="Обычный 124 2 3 3 2 2 2 2 2 2 3" xfId="43061"/>
    <cellStyle name="Обычный 124 2 3 3 2 2 2 2 2 3" xfId="31879"/>
    <cellStyle name="Обычный 124 2 3 3 2 2 2 2 2 3 2" xfId="46702"/>
    <cellStyle name="Обычный 124 2 3 3 2 2 2 2 2 4" xfId="39497"/>
    <cellStyle name="Обычный 124 2 3 3 2 2 2 2 3" xfId="26396"/>
    <cellStyle name="Обычный 124 2 3 3 2 2 2 2 3 2" xfId="33707"/>
    <cellStyle name="Обычный 124 2 3 3 2 2 2 2 3 2 2" xfId="48527"/>
    <cellStyle name="Обычный 124 2 3 3 2 2 2 2 3 3" xfId="41240"/>
    <cellStyle name="Обычный 124 2 3 3 2 2 2 2 4" xfId="30053"/>
    <cellStyle name="Обычный 124 2 3 3 2 2 2 2 4 2" xfId="44877"/>
    <cellStyle name="Обычный 124 2 3 3 2 2 2 2 5" xfId="39377"/>
    <cellStyle name="Обычный 124 2 3 3 2 2 2 2 6" xfId="22735"/>
    <cellStyle name="Обычный 124 2 3 3 2 2 2 3" xfId="19947"/>
    <cellStyle name="Обычный 124 2 3 3 2 2 2 3 2" xfId="27316"/>
    <cellStyle name="Обычный 124 2 3 3 2 2 2 3 2 2" xfId="34627"/>
    <cellStyle name="Обычный 124 2 3 3 2 2 2 3 2 2 2" xfId="49447"/>
    <cellStyle name="Обычный 124 2 3 3 2 2 2 3 2 3" xfId="42156"/>
    <cellStyle name="Обычный 124 2 3 3 2 2 2 3 3" xfId="30973"/>
    <cellStyle name="Обычный 124 2 3 3 2 2 2 3 3 2" xfId="45796"/>
    <cellStyle name="Обычный 124 2 3 3 2 2 2 3 4" xfId="38470"/>
    <cellStyle name="Обычный 124 2 3 3 2 2 2 3 5" xfId="23658"/>
    <cellStyle name="Обычный 124 2 3 3 2 2 2 4" xfId="25475"/>
    <cellStyle name="Обычный 124 2 3 3 2 2 2 4 2" xfId="32786"/>
    <cellStyle name="Обычный 124 2 3 3 2 2 2 4 2 2" xfId="47609"/>
    <cellStyle name="Обычный 124 2 3 3 2 2 2 4 3" xfId="40363"/>
    <cellStyle name="Обычный 124 2 3 3 2 2 2 5" xfId="29132"/>
    <cellStyle name="Обычный 124 2 3 3 2 2 2 5 2" xfId="43969"/>
    <cellStyle name="Обычный 124 2 3 3 2 2 2 6" xfId="36254"/>
    <cellStyle name="Обычный 124 2 3 3 2 2 2 7" xfId="21814"/>
    <cellStyle name="Обычный 124 2 3 3 2 2 3" xfId="18387"/>
    <cellStyle name="Обычный 124 2 3 3 2 2 3 2" xfId="20269"/>
    <cellStyle name="Обычный 124 2 3 3 2 2 3 2 2" xfId="27595"/>
    <cellStyle name="Обычный 124 2 3 3 2 2 3 2 2 2" xfId="34906"/>
    <cellStyle name="Обычный 124 2 3 3 2 2 3 2 2 2 2" xfId="49726"/>
    <cellStyle name="Обычный 124 2 3 3 2 2 3 2 2 3" xfId="42434"/>
    <cellStyle name="Обычный 124 2 3 3 2 2 3 2 3" xfId="31252"/>
    <cellStyle name="Обычный 124 2 3 3 2 2 3 2 3 2" xfId="46075"/>
    <cellStyle name="Обычный 124 2 3 3 2 2 3 2 4" xfId="38750"/>
    <cellStyle name="Обычный 124 2 3 3 2 2 3 2 5" xfId="23937"/>
    <cellStyle name="Обычный 124 2 3 3 2 2 3 3" xfId="25769"/>
    <cellStyle name="Обычный 124 2 3 3 2 2 3 3 2" xfId="33080"/>
    <cellStyle name="Обычный 124 2 3 3 2 2 3 3 2 2" xfId="47900"/>
    <cellStyle name="Обычный 124 2 3 3 2 2 3 3 3" xfId="40622"/>
    <cellStyle name="Обычный 124 2 3 3 2 2 3 4" xfId="29426"/>
    <cellStyle name="Обычный 124 2 3 3 2 2 3 4 2" xfId="44250"/>
    <cellStyle name="Обычный 124 2 3 3 2 2 3 5" xfId="37027"/>
    <cellStyle name="Обычный 124 2 3 3 2 2 3 6" xfId="22108"/>
    <cellStyle name="Обычный 124 2 3 3 2 2 4" xfId="19496"/>
    <cellStyle name="Обычный 124 2 3 3 2 2 4 2" xfId="26866"/>
    <cellStyle name="Обычный 124 2 3 3 2 2 4 2 2" xfId="34177"/>
    <cellStyle name="Обычный 124 2 3 3 2 2 4 2 2 2" xfId="48997"/>
    <cellStyle name="Обычный 124 2 3 3 2 2 4 2 3" xfId="41706"/>
    <cellStyle name="Обычный 124 2 3 3 2 2 4 3" xfId="30523"/>
    <cellStyle name="Обычный 124 2 3 3 2 2 4 3 2" xfId="45346"/>
    <cellStyle name="Обычный 124 2 3 3 2 2 4 4" xfId="38020"/>
    <cellStyle name="Обычный 124 2 3 3 2 2 4 5" xfId="23208"/>
    <cellStyle name="Обычный 124 2 3 3 2 2 5" xfId="25025"/>
    <cellStyle name="Обычный 124 2 3 3 2 2 5 2" xfId="32336"/>
    <cellStyle name="Обычный 124 2 3 3 2 2 5 2 2" xfId="47159"/>
    <cellStyle name="Обычный 124 2 3 3 2 2 5 3" xfId="39920"/>
    <cellStyle name="Обычный 124 2 3 3 2 2 6" xfId="28682"/>
    <cellStyle name="Обычный 124 2 3 3 2 2 6 2" xfId="43519"/>
    <cellStyle name="Обычный 124 2 3 3 2 2 7" xfId="35805"/>
    <cellStyle name="Обычный 124 2 3 3 2 2 8" xfId="21364"/>
    <cellStyle name="Обычный 124 2 3 3 2 3" xfId="17679"/>
    <cellStyle name="Обычный 124 2 3 3 2 3 2" xfId="18793"/>
    <cellStyle name="Обычный 124 2 3 3 2 3 2 2" xfId="20672"/>
    <cellStyle name="Обычный 124 2 3 3 2 3 2 2 2" xfId="27998"/>
    <cellStyle name="Обычный 124 2 3 3 2 3 2 2 2 2" xfId="35309"/>
    <cellStyle name="Обычный 124 2 3 3 2 3 2 2 2 2 2" xfId="50129"/>
    <cellStyle name="Обычный 124 2 3 3 2 3 2 2 2 3" xfId="42837"/>
    <cellStyle name="Обычный 124 2 3 3 2 3 2 2 3" xfId="31655"/>
    <cellStyle name="Обычный 124 2 3 3 2 3 2 2 3 2" xfId="46478"/>
    <cellStyle name="Обычный 124 2 3 3 2 3 2 2 4" xfId="39153"/>
    <cellStyle name="Обычный 124 2 3 3 2 3 2 2 5" xfId="24340"/>
    <cellStyle name="Обычный 124 2 3 3 2 3 2 3" xfId="26172"/>
    <cellStyle name="Обычный 124 2 3 3 2 3 2 3 2" xfId="33483"/>
    <cellStyle name="Обычный 124 2 3 3 2 3 2 3 2 2" xfId="48303"/>
    <cellStyle name="Обычный 124 2 3 3 2 3 2 3 3" xfId="41016"/>
    <cellStyle name="Обычный 124 2 3 3 2 3 2 4" xfId="29829"/>
    <cellStyle name="Обычный 124 2 3 3 2 3 2 4 2" xfId="44653"/>
    <cellStyle name="Обычный 124 2 3 3 2 3 2 5" xfId="37430"/>
    <cellStyle name="Обычный 124 2 3 3 2 3 2 6" xfId="22511"/>
    <cellStyle name="Обычный 124 2 3 3 2 3 3" xfId="19723"/>
    <cellStyle name="Обычный 124 2 3 3 2 3 3 2" xfId="27092"/>
    <cellStyle name="Обычный 124 2 3 3 2 3 3 2 2" xfId="34403"/>
    <cellStyle name="Обычный 124 2 3 3 2 3 3 2 2 2" xfId="49223"/>
    <cellStyle name="Обычный 124 2 3 3 2 3 3 2 3" xfId="41932"/>
    <cellStyle name="Обычный 124 2 3 3 2 3 3 3" xfId="30749"/>
    <cellStyle name="Обычный 124 2 3 3 2 3 3 3 2" xfId="45572"/>
    <cellStyle name="Обычный 124 2 3 3 2 3 3 4" xfId="38246"/>
    <cellStyle name="Обычный 124 2 3 3 2 3 3 5" xfId="23434"/>
    <cellStyle name="Обычный 124 2 3 3 2 3 4" xfId="25251"/>
    <cellStyle name="Обычный 124 2 3 3 2 3 4 2" xfId="32562"/>
    <cellStyle name="Обычный 124 2 3 3 2 3 4 2 2" xfId="47385"/>
    <cellStyle name="Обычный 124 2 3 3 2 3 4 3" xfId="40143"/>
    <cellStyle name="Обычный 124 2 3 3 2 3 5" xfId="28908"/>
    <cellStyle name="Обычный 124 2 3 3 2 3 5 2" xfId="43745"/>
    <cellStyle name="Обычный 124 2 3 3 2 3 6" xfId="36253"/>
    <cellStyle name="Обычный 124 2 3 3 2 3 7" xfId="21590"/>
    <cellStyle name="Обычный 124 2 3 3 2 4" xfId="18386"/>
    <cellStyle name="Обычный 124 2 3 3 2 4 2" xfId="20268"/>
    <cellStyle name="Обычный 124 2 3 3 2 4 2 2" xfId="27594"/>
    <cellStyle name="Обычный 124 2 3 3 2 4 2 2 2" xfId="34905"/>
    <cellStyle name="Обычный 124 2 3 3 2 4 2 2 2 2" xfId="49725"/>
    <cellStyle name="Обычный 124 2 3 3 2 4 2 2 3" xfId="42433"/>
    <cellStyle name="Обычный 124 2 3 3 2 4 2 3" xfId="31251"/>
    <cellStyle name="Обычный 124 2 3 3 2 4 2 3 2" xfId="46074"/>
    <cellStyle name="Обычный 124 2 3 3 2 4 2 4" xfId="38749"/>
    <cellStyle name="Обычный 124 2 3 3 2 4 2 5" xfId="23936"/>
    <cellStyle name="Обычный 124 2 3 3 2 4 3" xfId="25768"/>
    <cellStyle name="Обычный 124 2 3 3 2 4 3 2" xfId="33079"/>
    <cellStyle name="Обычный 124 2 3 3 2 4 3 2 2" xfId="47899"/>
    <cellStyle name="Обычный 124 2 3 3 2 4 3 3" xfId="40621"/>
    <cellStyle name="Обычный 124 2 3 3 2 4 4" xfId="29425"/>
    <cellStyle name="Обычный 124 2 3 3 2 4 4 2" xfId="44249"/>
    <cellStyle name="Обычный 124 2 3 3 2 4 5" xfId="37026"/>
    <cellStyle name="Обычный 124 2 3 3 2 4 6" xfId="22107"/>
    <cellStyle name="Обычный 124 2 3 3 2 5" xfId="19273"/>
    <cellStyle name="Обычный 124 2 3 3 2 5 2" xfId="26643"/>
    <cellStyle name="Обычный 124 2 3 3 2 5 2 2" xfId="33954"/>
    <cellStyle name="Обычный 124 2 3 3 2 5 2 2 2" xfId="48774"/>
    <cellStyle name="Обычный 124 2 3 3 2 5 2 3" xfId="41483"/>
    <cellStyle name="Обычный 124 2 3 3 2 5 3" xfId="30300"/>
    <cellStyle name="Обычный 124 2 3 3 2 5 3 2" xfId="45123"/>
    <cellStyle name="Обычный 124 2 3 3 2 5 4" xfId="37797"/>
    <cellStyle name="Обычный 124 2 3 3 2 5 5" xfId="22985"/>
    <cellStyle name="Обычный 124 2 3 3 2 6" xfId="24801"/>
    <cellStyle name="Обычный 124 2 3 3 2 6 2" xfId="32112"/>
    <cellStyle name="Обычный 124 2 3 3 2 6 2 2" xfId="46935"/>
    <cellStyle name="Обычный 124 2 3 3 2 6 3" xfId="39700"/>
    <cellStyle name="Обычный 124 2 3 3 2 7" xfId="28458"/>
    <cellStyle name="Обычный 124 2 3 3 2 7 2" xfId="43295"/>
    <cellStyle name="Обычный 124 2 3 3 2 8" xfId="35804"/>
    <cellStyle name="Обычный 124 2 3 3 2 9" xfId="21140"/>
    <cellStyle name="Обычный 124 2 3 3 3" xfId="17338"/>
    <cellStyle name="Обычный 124 2 3 3 3 2" xfId="17791"/>
    <cellStyle name="Обычный 124 2 3 3 3 2 2" xfId="18905"/>
    <cellStyle name="Обычный 124 2 3 3 3 2 2 2" xfId="20784"/>
    <cellStyle name="Обычный 124 2 3 3 3 2 2 2 2" xfId="28110"/>
    <cellStyle name="Обычный 124 2 3 3 3 2 2 2 2 2" xfId="35421"/>
    <cellStyle name="Обычный 124 2 3 3 3 2 2 2 2 2 2" xfId="50241"/>
    <cellStyle name="Обычный 124 2 3 3 3 2 2 2 2 3" xfId="42949"/>
    <cellStyle name="Обычный 124 2 3 3 3 2 2 2 3" xfId="31767"/>
    <cellStyle name="Обычный 124 2 3 3 3 2 2 2 3 2" xfId="46590"/>
    <cellStyle name="Обычный 124 2 3 3 3 2 2 2 4" xfId="39265"/>
    <cellStyle name="Обычный 124 2 3 3 3 2 2 2 5" xfId="24452"/>
    <cellStyle name="Обычный 124 2 3 3 3 2 2 3" xfId="26284"/>
    <cellStyle name="Обычный 124 2 3 3 3 2 2 3 2" xfId="33595"/>
    <cellStyle name="Обычный 124 2 3 3 3 2 2 3 2 2" xfId="48415"/>
    <cellStyle name="Обычный 124 2 3 3 3 2 2 3 3" xfId="41128"/>
    <cellStyle name="Обычный 124 2 3 3 3 2 2 4" xfId="29941"/>
    <cellStyle name="Обычный 124 2 3 3 3 2 2 4 2" xfId="44765"/>
    <cellStyle name="Обычный 124 2 3 3 3 2 2 5" xfId="37541"/>
    <cellStyle name="Обычный 124 2 3 3 3 2 2 6" xfId="22623"/>
    <cellStyle name="Обычный 124 2 3 3 3 2 3" xfId="19835"/>
    <cellStyle name="Обычный 124 2 3 3 3 2 3 2" xfId="27204"/>
    <cellStyle name="Обычный 124 2 3 3 3 2 3 2 2" xfId="34515"/>
    <cellStyle name="Обычный 124 2 3 3 3 2 3 2 2 2" xfId="49335"/>
    <cellStyle name="Обычный 124 2 3 3 3 2 3 2 3" xfId="42044"/>
    <cellStyle name="Обычный 124 2 3 3 3 2 3 3" xfId="30861"/>
    <cellStyle name="Обычный 124 2 3 3 3 2 3 3 2" xfId="45684"/>
    <cellStyle name="Обычный 124 2 3 3 3 2 3 4" xfId="38358"/>
    <cellStyle name="Обычный 124 2 3 3 3 2 3 5" xfId="23546"/>
    <cellStyle name="Обычный 124 2 3 3 3 2 4" xfId="25363"/>
    <cellStyle name="Обычный 124 2 3 3 3 2 4 2" xfId="32674"/>
    <cellStyle name="Обычный 124 2 3 3 3 2 4 2 2" xfId="47497"/>
    <cellStyle name="Обычный 124 2 3 3 3 2 4 3" xfId="40251"/>
    <cellStyle name="Обычный 124 2 3 3 3 2 5" xfId="29020"/>
    <cellStyle name="Обычный 124 2 3 3 3 2 5 2" xfId="43857"/>
    <cellStyle name="Обычный 124 2 3 3 3 2 6" xfId="36255"/>
    <cellStyle name="Обычный 124 2 3 3 3 2 7" xfId="21702"/>
    <cellStyle name="Обычный 124 2 3 3 3 3" xfId="18388"/>
    <cellStyle name="Обычный 124 2 3 3 3 3 2" xfId="20270"/>
    <cellStyle name="Обычный 124 2 3 3 3 3 2 2" xfId="27596"/>
    <cellStyle name="Обычный 124 2 3 3 3 3 2 2 2" xfId="34907"/>
    <cellStyle name="Обычный 124 2 3 3 3 3 2 2 2 2" xfId="49727"/>
    <cellStyle name="Обычный 124 2 3 3 3 3 2 2 3" xfId="42435"/>
    <cellStyle name="Обычный 124 2 3 3 3 3 2 3" xfId="31253"/>
    <cellStyle name="Обычный 124 2 3 3 3 3 2 3 2" xfId="46076"/>
    <cellStyle name="Обычный 124 2 3 3 3 3 2 4" xfId="38751"/>
    <cellStyle name="Обычный 124 2 3 3 3 3 2 5" xfId="23938"/>
    <cellStyle name="Обычный 124 2 3 3 3 3 3" xfId="25770"/>
    <cellStyle name="Обычный 124 2 3 3 3 3 3 2" xfId="33081"/>
    <cellStyle name="Обычный 124 2 3 3 3 3 3 2 2" xfId="47901"/>
    <cellStyle name="Обычный 124 2 3 3 3 3 3 3" xfId="40623"/>
    <cellStyle name="Обычный 124 2 3 3 3 3 4" xfId="29427"/>
    <cellStyle name="Обычный 124 2 3 3 3 3 4 2" xfId="44251"/>
    <cellStyle name="Обычный 124 2 3 3 3 3 5" xfId="37028"/>
    <cellStyle name="Обычный 124 2 3 3 3 3 6" xfId="22109"/>
    <cellStyle name="Обычный 124 2 3 3 3 4" xfId="19384"/>
    <cellStyle name="Обычный 124 2 3 3 3 4 2" xfId="26754"/>
    <cellStyle name="Обычный 124 2 3 3 3 4 2 2" xfId="34065"/>
    <cellStyle name="Обычный 124 2 3 3 3 4 2 2 2" xfId="48885"/>
    <cellStyle name="Обычный 124 2 3 3 3 4 2 3" xfId="41594"/>
    <cellStyle name="Обычный 124 2 3 3 3 4 3" xfId="30411"/>
    <cellStyle name="Обычный 124 2 3 3 3 4 3 2" xfId="45234"/>
    <cellStyle name="Обычный 124 2 3 3 3 4 4" xfId="37908"/>
    <cellStyle name="Обычный 124 2 3 3 3 4 5" xfId="23096"/>
    <cellStyle name="Обычный 124 2 3 3 3 5" xfId="24913"/>
    <cellStyle name="Обычный 124 2 3 3 3 5 2" xfId="32224"/>
    <cellStyle name="Обычный 124 2 3 3 3 5 2 2" xfId="47047"/>
    <cellStyle name="Обычный 124 2 3 3 3 5 3" xfId="39808"/>
    <cellStyle name="Обычный 124 2 3 3 3 6" xfId="28570"/>
    <cellStyle name="Обычный 124 2 3 3 3 6 2" xfId="43407"/>
    <cellStyle name="Обычный 124 2 3 3 3 7" xfId="35806"/>
    <cellStyle name="Обычный 124 2 3 3 3 8" xfId="21252"/>
    <cellStyle name="Обычный 124 2 3 3 4" xfId="17567"/>
    <cellStyle name="Обычный 124 2 3 3 4 2" xfId="18681"/>
    <cellStyle name="Обычный 124 2 3 3 4 2 2" xfId="20560"/>
    <cellStyle name="Обычный 124 2 3 3 4 2 2 2" xfId="27886"/>
    <cellStyle name="Обычный 124 2 3 3 4 2 2 2 2" xfId="35197"/>
    <cellStyle name="Обычный 124 2 3 3 4 2 2 2 2 2" xfId="50017"/>
    <cellStyle name="Обычный 124 2 3 3 4 2 2 2 3" xfId="42725"/>
    <cellStyle name="Обычный 124 2 3 3 4 2 2 3" xfId="31543"/>
    <cellStyle name="Обычный 124 2 3 3 4 2 2 3 2" xfId="46366"/>
    <cellStyle name="Обычный 124 2 3 3 4 2 2 4" xfId="39041"/>
    <cellStyle name="Обычный 124 2 3 3 4 2 2 5" xfId="24228"/>
    <cellStyle name="Обычный 124 2 3 3 4 2 3" xfId="26060"/>
    <cellStyle name="Обычный 124 2 3 3 4 2 3 2" xfId="33371"/>
    <cellStyle name="Обычный 124 2 3 3 4 2 3 2 2" xfId="48191"/>
    <cellStyle name="Обычный 124 2 3 3 4 2 3 3" xfId="40904"/>
    <cellStyle name="Обычный 124 2 3 3 4 2 4" xfId="29717"/>
    <cellStyle name="Обычный 124 2 3 3 4 2 4 2" xfId="44541"/>
    <cellStyle name="Обычный 124 2 3 3 4 2 5" xfId="37318"/>
    <cellStyle name="Обычный 124 2 3 3 4 2 6" xfId="22399"/>
    <cellStyle name="Обычный 124 2 3 3 4 3" xfId="19611"/>
    <cellStyle name="Обычный 124 2 3 3 4 3 2" xfId="26980"/>
    <cellStyle name="Обычный 124 2 3 3 4 3 2 2" xfId="34291"/>
    <cellStyle name="Обычный 124 2 3 3 4 3 2 2 2" xfId="49111"/>
    <cellStyle name="Обычный 124 2 3 3 4 3 2 3" xfId="41820"/>
    <cellStyle name="Обычный 124 2 3 3 4 3 3" xfId="30637"/>
    <cellStyle name="Обычный 124 2 3 3 4 3 3 2" xfId="45460"/>
    <cellStyle name="Обычный 124 2 3 3 4 3 4" xfId="38134"/>
    <cellStyle name="Обычный 124 2 3 3 4 3 5" xfId="23322"/>
    <cellStyle name="Обычный 124 2 3 3 4 4" xfId="25139"/>
    <cellStyle name="Обычный 124 2 3 3 4 4 2" xfId="32450"/>
    <cellStyle name="Обычный 124 2 3 3 4 4 2 2" xfId="47273"/>
    <cellStyle name="Обычный 124 2 3 3 4 4 3" xfId="40033"/>
    <cellStyle name="Обычный 124 2 3 3 4 5" xfId="28796"/>
    <cellStyle name="Обычный 124 2 3 3 4 5 2" xfId="43633"/>
    <cellStyle name="Обычный 124 2 3 3 4 6" xfId="36252"/>
    <cellStyle name="Обычный 124 2 3 3 4 7" xfId="21478"/>
    <cellStyle name="Обычный 124 2 3 3 5" xfId="18385"/>
    <cellStyle name="Обычный 124 2 3 3 5 2" xfId="20267"/>
    <cellStyle name="Обычный 124 2 3 3 5 2 2" xfId="27593"/>
    <cellStyle name="Обычный 124 2 3 3 5 2 2 2" xfId="34904"/>
    <cellStyle name="Обычный 124 2 3 3 5 2 2 2 2" xfId="49724"/>
    <cellStyle name="Обычный 124 2 3 3 5 2 2 3" xfId="42432"/>
    <cellStyle name="Обычный 124 2 3 3 5 2 3" xfId="31250"/>
    <cellStyle name="Обычный 124 2 3 3 5 2 3 2" xfId="46073"/>
    <cellStyle name="Обычный 124 2 3 3 5 2 4" xfId="38748"/>
    <cellStyle name="Обычный 124 2 3 3 5 2 5" xfId="23935"/>
    <cellStyle name="Обычный 124 2 3 3 5 3" xfId="25767"/>
    <cellStyle name="Обычный 124 2 3 3 5 3 2" xfId="33078"/>
    <cellStyle name="Обычный 124 2 3 3 5 3 2 2" xfId="47898"/>
    <cellStyle name="Обычный 124 2 3 3 5 3 3" xfId="40620"/>
    <cellStyle name="Обычный 124 2 3 3 5 4" xfId="29424"/>
    <cellStyle name="Обычный 124 2 3 3 5 4 2" xfId="44248"/>
    <cellStyle name="Обычный 124 2 3 3 5 5" xfId="37025"/>
    <cellStyle name="Обычный 124 2 3 3 5 6" xfId="22106"/>
    <cellStyle name="Обычный 124 2 3 3 6" xfId="19163"/>
    <cellStyle name="Обычный 124 2 3 3 6 2" xfId="26534"/>
    <cellStyle name="Обычный 124 2 3 3 6 2 2" xfId="33845"/>
    <cellStyle name="Обычный 124 2 3 3 6 2 2 2" xfId="48665"/>
    <cellStyle name="Обычный 124 2 3 3 6 2 3" xfId="41374"/>
    <cellStyle name="Обычный 124 2 3 3 6 3" xfId="30191"/>
    <cellStyle name="Обычный 124 2 3 3 6 3 2" xfId="45014"/>
    <cellStyle name="Обычный 124 2 3 3 6 4" xfId="37688"/>
    <cellStyle name="Обычный 124 2 3 3 6 5" xfId="22876"/>
    <cellStyle name="Обычный 124 2 3 3 7" xfId="24689"/>
    <cellStyle name="Обычный 124 2 3 3 7 2" xfId="32000"/>
    <cellStyle name="Обычный 124 2 3 3 7 2 2" xfId="46823"/>
    <cellStyle name="Обычный 124 2 3 3 7 3" xfId="39601"/>
    <cellStyle name="Обычный 124 2 3 3 8" xfId="28346"/>
    <cellStyle name="Обычный 124 2 3 3 8 2" xfId="43183"/>
    <cellStyle name="Обычный 124 2 3 3 9" xfId="35803"/>
    <cellStyle name="Обычный 124 2 3 4" xfId="17397"/>
    <cellStyle name="Обычный 124 2 3 4 2" xfId="17847"/>
    <cellStyle name="Обычный 124 2 3 4 2 2" xfId="18961"/>
    <cellStyle name="Обычный 124 2 3 4 2 2 2" xfId="20840"/>
    <cellStyle name="Обычный 124 2 3 4 2 2 2 2" xfId="24508"/>
    <cellStyle name="Обычный 124 2 3 4 2 2 2 2 2" xfId="28166"/>
    <cellStyle name="Обычный 124 2 3 4 2 2 2 2 2 2" xfId="35477"/>
    <cellStyle name="Обычный 124 2 3 4 2 2 2 2 2 2 2" xfId="50297"/>
    <cellStyle name="Обычный 124 2 3 4 2 2 2 2 2 3" xfId="43005"/>
    <cellStyle name="Обычный 124 2 3 4 2 2 2 2 3" xfId="31823"/>
    <cellStyle name="Обычный 124 2 3 4 2 2 2 2 3 2" xfId="46646"/>
    <cellStyle name="Обычный 124 2 3 4 2 2 2 2 4" xfId="39456"/>
    <cellStyle name="Обычный 124 2 3 4 2 2 2 3" xfId="26340"/>
    <cellStyle name="Обычный 124 2 3 4 2 2 2 3 2" xfId="33651"/>
    <cellStyle name="Обычный 124 2 3 4 2 2 2 3 2 2" xfId="48471"/>
    <cellStyle name="Обычный 124 2 3 4 2 2 2 3 3" xfId="41184"/>
    <cellStyle name="Обычный 124 2 3 4 2 2 2 4" xfId="29997"/>
    <cellStyle name="Обычный 124 2 3 4 2 2 2 4 2" xfId="44821"/>
    <cellStyle name="Обычный 124 2 3 4 2 2 2 5" xfId="39321"/>
    <cellStyle name="Обычный 124 2 3 4 2 2 2 6" xfId="22679"/>
    <cellStyle name="Обычный 124 2 3 4 2 2 3" xfId="19891"/>
    <cellStyle name="Обычный 124 2 3 4 2 2 3 2" xfId="27260"/>
    <cellStyle name="Обычный 124 2 3 4 2 2 3 2 2" xfId="34571"/>
    <cellStyle name="Обычный 124 2 3 4 2 2 3 2 2 2" xfId="49391"/>
    <cellStyle name="Обычный 124 2 3 4 2 2 3 2 3" xfId="42100"/>
    <cellStyle name="Обычный 124 2 3 4 2 2 3 3" xfId="30917"/>
    <cellStyle name="Обычный 124 2 3 4 2 2 3 3 2" xfId="45740"/>
    <cellStyle name="Обычный 124 2 3 4 2 2 3 4" xfId="38414"/>
    <cellStyle name="Обычный 124 2 3 4 2 2 3 5" xfId="23602"/>
    <cellStyle name="Обычный 124 2 3 4 2 2 4" xfId="25419"/>
    <cellStyle name="Обычный 124 2 3 4 2 2 4 2" xfId="32730"/>
    <cellStyle name="Обычный 124 2 3 4 2 2 4 2 2" xfId="47553"/>
    <cellStyle name="Обычный 124 2 3 4 2 2 4 3" xfId="40307"/>
    <cellStyle name="Обычный 124 2 3 4 2 2 5" xfId="29076"/>
    <cellStyle name="Обычный 124 2 3 4 2 2 5 2" xfId="43913"/>
    <cellStyle name="Обычный 124 2 3 4 2 2 6" xfId="36257"/>
    <cellStyle name="Обычный 124 2 3 4 2 2 7" xfId="21758"/>
    <cellStyle name="Обычный 124 2 3 4 2 3" xfId="18390"/>
    <cellStyle name="Обычный 124 2 3 4 2 3 2" xfId="20272"/>
    <cellStyle name="Обычный 124 2 3 4 2 3 2 2" xfId="27598"/>
    <cellStyle name="Обычный 124 2 3 4 2 3 2 2 2" xfId="34909"/>
    <cellStyle name="Обычный 124 2 3 4 2 3 2 2 2 2" xfId="49729"/>
    <cellStyle name="Обычный 124 2 3 4 2 3 2 2 3" xfId="42437"/>
    <cellStyle name="Обычный 124 2 3 4 2 3 2 3" xfId="31255"/>
    <cellStyle name="Обычный 124 2 3 4 2 3 2 3 2" xfId="46078"/>
    <cellStyle name="Обычный 124 2 3 4 2 3 2 4" xfId="38753"/>
    <cellStyle name="Обычный 124 2 3 4 2 3 2 5" xfId="23940"/>
    <cellStyle name="Обычный 124 2 3 4 2 3 3" xfId="25772"/>
    <cellStyle name="Обычный 124 2 3 4 2 3 3 2" xfId="33083"/>
    <cellStyle name="Обычный 124 2 3 4 2 3 3 2 2" xfId="47903"/>
    <cellStyle name="Обычный 124 2 3 4 2 3 3 3" xfId="40625"/>
    <cellStyle name="Обычный 124 2 3 4 2 3 4" xfId="29429"/>
    <cellStyle name="Обычный 124 2 3 4 2 3 4 2" xfId="44253"/>
    <cellStyle name="Обычный 124 2 3 4 2 3 5" xfId="37030"/>
    <cellStyle name="Обычный 124 2 3 4 2 3 6" xfId="22111"/>
    <cellStyle name="Обычный 124 2 3 4 2 4" xfId="19440"/>
    <cellStyle name="Обычный 124 2 3 4 2 4 2" xfId="26810"/>
    <cellStyle name="Обычный 124 2 3 4 2 4 2 2" xfId="34121"/>
    <cellStyle name="Обычный 124 2 3 4 2 4 2 2 2" xfId="48941"/>
    <cellStyle name="Обычный 124 2 3 4 2 4 2 3" xfId="41650"/>
    <cellStyle name="Обычный 124 2 3 4 2 4 3" xfId="30467"/>
    <cellStyle name="Обычный 124 2 3 4 2 4 3 2" xfId="45290"/>
    <cellStyle name="Обычный 124 2 3 4 2 4 4" xfId="37964"/>
    <cellStyle name="Обычный 124 2 3 4 2 4 5" xfId="23152"/>
    <cellStyle name="Обычный 124 2 3 4 2 5" xfId="24969"/>
    <cellStyle name="Обычный 124 2 3 4 2 5 2" xfId="32280"/>
    <cellStyle name="Обычный 124 2 3 4 2 5 2 2" xfId="47103"/>
    <cellStyle name="Обычный 124 2 3 4 2 5 3" xfId="39864"/>
    <cellStyle name="Обычный 124 2 3 4 2 6" xfId="28626"/>
    <cellStyle name="Обычный 124 2 3 4 2 6 2" xfId="43463"/>
    <cellStyle name="Обычный 124 2 3 4 2 7" xfId="35808"/>
    <cellStyle name="Обычный 124 2 3 4 2 8" xfId="21308"/>
    <cellStyle name="Обычный 124 2 3 4 3" xfId="17623"/>
    <cellStyle name="Обычный 124 2 3 4 3 2" xfId="18737"/>
    <cellStyle name="Обычный 124 2 3 4 3 2 2" xfId="20616"/>
    <cellStyle name="Обычный 124 2 3 4 3 2 2 2" xfId="27942"/>
    <cellStyle name="Обычный 124 2 3 4 3 2 2 2 2" xfId="35253"/>
    <cellStyle name="Обычный 124 2 3 4 3 2 2 2 2 2" xfId="50073"/>
    <cellStyle name="Обычный 124 2 3 4 3 2 2 2 3" xfId="42781"/>
    <cellStyle name="Обычный 124 2 3 4 3 2 2 3" xfId="31599"/>
    <cellStyle name="Обычный 124 2 3 4 3 2 2 3 2" xfId="46422"/>
    <cellStyle name="Обычный 124 2 3 4 3 2 2 4" xfId="39097"/>
    <cellStyle name="Обычный 124 2 3 4 3 2 2 5" xfId="24284"/>
    <cellStyle name="Обычный 124 2 3 4 3 2 3" xfId="26116"/>
    <cellStyle name="Обычный 124 2 3 4 3 2 3 2" xfId="33427"/>
    <cellStyle name="Обычный 124 2 3 4 3 2 3 2 2" xfId="48247"/>
    <cellStyle name="Обычный 124 2 3 4 3 2 3 3" xfId="40960"/>
    <cellStyle name="Обычный 124 2 3 4 3 2 4" xfId="29773"/>
    <cellStyle name="Обычный 124 2 3 4 3 2 4 2" xfId="44597"/>
    <cellStyle name="Обычный 124 2 3 4 3 2 5" xfId="37374"/>
    <cellStyle name="Обычный 124 2 3 4 3 2 6" xfId="22455"/>
    <cellStyle name="Обычный 124 2 3 4 3 3" xfId="19667"/>
    <cellStyle name="Обычный 124 2 3 4 3 3 2" xfId="27036"/>
    <cellStyle name="Обычный 124 2 3 4 3 3 2 2" xfId="34347"/>
    <cellStyle name="Обычный 124 2 3 4 3 3 2 2 2" xfId="49167"/>
    <cellStyle name="Обычный 124 2 3 4 3 3 2 3" xfId="41876"/>
    <cellStyle name="Обычный 124 2 3 4 3 3 3" xfId="30693"/>
    <cellStyle name="Обычный 124 2 3 4 3 3 3 2" xfId="45516"/>
    <cellStyle name="Обычный 124 2 3 4 3 3 4" xfId="38190"/>
    <cellStyle name="Обычный 124 2 3 4 3 3 5" xfId="23378"/>
    <cellStyle name="Обычный 124 2 3 4 3 4" xfId="25195"/>
    <cellStyle name="Обычный 124 2 3 4 3 4 2" xfId="32506"/>
    <cellStyle name="Обычный 124 2 3 4 3 4 2 2" xfId="47329"/>
    <cellStyle name="Обычный 124 2 3 4 3 4 3" xfId="40087"/>
    <cellStyle name="Обычный 124 2 3 4 3 5" xfId="28852"/>
    <cellStyle name="Обычный 124 2 3 4 3 5 2" xfId="43689"/>
    <cellStyle name="Обычный 124 2 3 4 3 6" xfId="36256"/>
    <cellStyle name="Обычный 124 2 3 4 3 7" xfId="21534"/>
    <cellStyle name="Обычный 124 2 3 4 4" xfId="18389"/>
    <cellStyle name="Обычный 124 2 3 4 4 2" xfId="20271"/>
    <cellStyle name="Обычный 124 2 3 4 4 2 2" xfId="27597"/>
    <cellStyle name="Обычный 124 2 3 4 4 2 2 2" xfId="34908"/>
    <cellStyle name="Обычный 124 2 3 4 4 2 2 2 2" xfId="49728"/>
    <cellStyle name="Обычный 124 2 3 4 4 2 2 3" xfId="42436"/>
    <cellStyle name="Обычный 124 2 3 4 4 2 3" xfId="31254"/>
    <cellStyle name="Обычный 124 2 3 4 4 2 3 2" xfId="46077"/>
    <cellStyle name="Обычный 124 2 3 4 4 2 4" xfId="38752"/>
    <cellStyle name="Обычный 124 2 3 4 4 2 5" xfId="23939"/>
    <cellStyle name="Обычный 124 2 3 4 4 3" xfId="25771"/>
    <cellStyle name="Обычный 124 2 3 4 4 3 2" xfId="33082"/>
    <cellStyle name="Обычный 124 2 3 4 4 3 2 2" xfId="47902"/>
    <cellStyle name="Обычный 124 2 3 4 4 3 3" xfId="40624"/>
    <cellStyle name="Обычный 124 2 3 4 4 4" xfId="29428"/>
    <cellStyle name="Обычный 124 2 3 4 4 4 2" xfId="44252"/>
    <cellStyle name="Обычный 124 2 3 4 4 5" xfId="37029"/>
    <cellStyle name="Обычный 124 2 3 4 4 6" xfId="22110"/>
    <cellStyle name="Обычный 124 2 3 4 5" xfId="19218"/>
    <cellStyle name="Обычный 124 2 3 4 5 2" xfId="26588"/>
    <cellStyle name="Обычный 124 2 3 4 5 2 2" xfId="33899"/>
    <cellStyle name="Обычный 124 2 3 4 5 2 2 2" xfId="48719"/>
    <cellStyle name="Обычный 124 2 3 4 5 2 3" xfId="41428"/>
    <cellStyle name="Обычный 124 2 3 4 5 3" xfId="30245"/>
    <cellStyle name="Обычный 124 2 3 4 5 3 2" xfId="45068"/>
    <cellStyle name="Обычный 124 2 3 4 5 4" xfId="37742"/>
    <cellStyle name="Обычный 124 2 3 4 5 5" xfId="22930"/>
    <cellStyle name="Обычный 124 2 3 4 6" xfId="24745"/>
    <cellStyle name="Обычный 124 2 3 4 6 2" xfId="32056"/>
    <cellStyle name="Обычный 124 2 3 4 6 2 2" xfId="46879"/>
    <cellStyle name="Обычный 124 2 3 4 6 3" xfId="39648"/>
    <cellStyle name="Обычный 124 2 3 4 7" xfId="28402"/>
    <cellStyle name="Обычный 124 2 3 4 7 2" xfId="43239"/>
    <cellStyle name="Обычный 124 2 3 4 8" xfId="35807"/>
    <cellStyle name="Обычный 124 2 3 4 9" xfId="21084"/>
    <cellStyle name="Обычный 124 2 3 5" xfId="17279"/>
    <cellStyle name="Обычный 124 2 3 5 2" xfId="17735"/>
    <cellStyle name="Обычный 124 2 3 5 2 2" xfId="18849"/>
    <cellStyle name="Обычный 124 2 3 5 2 2 2" xfId="20728"/>
    <cellStyle name="Обычный 124 2 3 5 2 2 2 2" xfId="28054"/>
    <cellStyle name="Обычный 124 2 3 5 2 2 2 2 2" xfId="35365"/>
    <cellStyle name="Обычный 124 2 3 5 2 2 2 2 2 2" xfId="50185"/>
    <cellStyle name="Обычный 124 2 3 5 2 2 2 2 3" xfId="42893"/>
    <cellStyle name="Обычный 124 2 3 5 2 2 2 3" xfId="31711"/>
    <cellStyle name="Обычный 124 2 3 5 2 2 2 3 2" xfId="46534"/>
    <cellStyle name="Обычный 124 2 3 5 2 2 2 4" xfId="39209"/>
    <cellStyle name="Обычный 124 2 3 5 2 2 2 5" xfId="24396"/>
    <cellStyle name="Обычный 124 2 3 5 2 2 3" xfId="26228"/>
    <cellStyle name="Обычный 124 2 3 5 2 2 3 2" xfId="33539"/>
    <cellStyle name="Обычный 124 2 3 5 2 2 3 2 2" xfId="48359"/>
    <cellStyle name="Обычный 124 2 3 5 2 2 3 3" xfId="41072"/>
    <cellStyle name="Обычный 124 2 3 5 2 2 4" xfId="29885"/>
    <cellStyle name="Обычный 124 2 3 5 2 2 4 2" xfId="44709"/>
    <cellStyle name="Обычный 124 2 3 5 2 2 5" xfId="37485"/>
    <cellStyle name="Обычный 124 2 3 5 2 2 6" xfId="22567"/>
    <cellStyle name="Обычный 124 2 3 5 2 3" xfId="19779"/>
    <cellStyle name="Обычный 124 2 3 5 2 3 2" xfId="27148"/>
    <cellStyle name="Обычный 124 2 3 5 2 3 2 2" xfId="34459"/>
    <cellStyle name="Обычный 124 2 3 5 2 3 2 2 2" xfId="49279"/>
    <cellStyle name="Обычный 124 2 3 5 2 3 2 3" xfId="41988"/>
    <cellStyle name="Обычный 124 2 3 5 2 3 3" xfId="30805"/>
    <cellStyle name="Обычный 124 2 3 5 2 3 3 2" xfId="45628"/>
    <cellStyle name="Обычный 124 2 3 5 2 3 4" xfId="38302"/>
    <cellStyle name="Обычный 124 2 3 5 2 3 5" xfId="23490"/>
    <cellStyle name="Обычный 124 2 3 5 2 4" xfId="25307"/>
    <cellStyle name="Обычный 124 2 3 5 2 4 2" xfId="32618"/>
    <cellStyle name="Обычный 124 2 3 5 2 4 2 2" xfId="47441"/>
    <cellStyle name="Обычный 124 2 3 5 2 4 3" xfId="40197"/>
    <cellStyle name="Обычный 124 2 3 5 2 5" xfId="28964"/>
    <cellStyle name="Обычный 124 2 3 5 2 5 2" xfId="43801"/>
    <cellStyle name="Обычный 124 2 3 5 2 6" xfId="36258"/>
    <cellStyle name="Обычный 124 2 3 5 2 7" xfId="21646"/>
    <cellStyle name="Обычный 124 2 3 5 3" xfId="18391"/>
    <cellStyle name="Обычный 124 2 3 5 3 2" xfId="20273"/>
    <cellStyle name="Обычный 124 2 3 5 3 2 2" xfId="27599"/>
    <cellStyle name="Обычный 124 2 3 5 3 2 2 2" xfId="34910"/>
    <cellStyle name="Обычный 124 2 3 5 3 2 2 2 2" xfId="49730"/>
    <cellStyle name="Обычный 124 2 3 5 3 2 2 3" xfId="42438"/>
    <cellStyle name="Обычный 124 2 3 5 3 2 3" xfId="31256"/>
    <cellStyle name="Обычный 124 2 3 5 3 2 3 2" xfId="46079"/>
    <cellStyle name="Обычный 124 2 3 5 3 2 4" xfId="38754"/>
    <cellStyle name="Обычный 124 2 3 5 3 2 5" xfId="23941"/>
    <cellStyle name="Обычный 124 2 3 5 3 3" xfId="25773"/>
    <cellStyle name="Обычный 124 2 3 5 3 3 2" xfId="33084"/>
    <cellStyle name="Обычный 124 2 3 5 3 3 2 2" xfId="47904"/>
    <cellStyle name="Обычный 124 2 3 5 3 3 3" xfId="40626"/>
    <cellStyle name="Обычный 124 2 3 5 3 4" xfId="29430"/>
    <cellStyle name="Обычный 124 2 3 5 3 4 2" xfId="44254"/>
    <cellStyle name="Обычный 124 2 3 5 3 5" xfId="37031"/>
    <cellStyle name="Обычный 124 2 3 5 3 6" xfId="22112"/>
    <cellStyle name="Обычный 124 2 3 5 4" xfId="19328"/>
    <cellStyle name="Обычный 124 2 3 5 4 2" xfId="26698"/>
    <cellStyle name="Обычный 124 2 3 5 4 2 2" xfId="34009"/>
    <cellStyle name="Обычный 124 2 3 5 4 2 2 2" xfId="48829"/>
    <cellStyle name="Обычный 124 2 3 5 4 2 3" xfId="41538"/>
    <cellStyle name="Обычный 124 2 3 5 4 3" xfId="30355"/>
    <cellStyle name="Обычный 124 2 3 5 4 3 2" xfId="45178"/>
    <cellStyle name="Обычный 124 2 3 5 4 4" xfId="37852"/>
    <cellStyle name="Обычный 124 2 3 5 4 5" xfId="23040"/>
    <cellStyle name="Обычный 124 2 3 5 5" xfId="24857"/>
    <cellStyle name="Обычный 124 2 3 5 5 2" xfId="32168"/>
    <cellStyle name="Обычный 124 2 3 5 5 2 2" xfId="46991"/>
    <cellStyle name="Обычный 124 2 3 5 5 3" xfId="39754"/>
    <cellStyle name="Обычный 124 2 3 5 6" xfId="28514"/>
    <cellStyle name="Обычный 124 2 3 5 6 2" xfId="43351"/>
    <cellStyle name="Обычный 124 2 3 5 7" xfId="35809"/>
    <cellStyle name="Обычный 124 2 3 5 8" xfId="21196"/>
    <cellStyle name="Обычный 124 2 3 6" xfId="17511"/>
    <cellStyle name="Обычный 124 2 3 6 2" xfId="18625"/>
    <cellStyle name="Обычный 124 2 3 6 2 2" xfId="20504"/>
    <cellStyle name="Обычный 124 2 3 6 2 2 2" xfId="27830"/>
    <cellStyle name="Обычный 124 2 3 6 2 2 2 2" xfId="35141"/>
    <cellStyle name="Обычный 124 2 3 6 2 2 2 2 2" xfId="49961"/>
    <cellStyle name="Обычный 124 2 3 6 2 2 2 3" xfId="42669"/>
    <cellStyle name="Обычный 124 2 3 6 2 2 3" xfId="31487"/>
    <cellStyle name="Обычный 124 2 3 6 2 2 3 2" xfId="46310"/>
    <cellStyle name="Обычный 124 2 3 6 2 2 4" xfId="38985"/>
    <cellStyle name="Обычный 124 2 3 6 2 2 5" xfId="24172"/>
    <cellStyle name="Обычный 124 2 3 6 2 3" xfId="26004"/>
    <cellStyle name="Обычный 124 2 3 6 2 3 2" xfId="33315"/>
    <cellStyle name="Обычный 124 2 3 6 2 3 2 2" xfId="48135"/>
    <cellStyle name="Обычный 124 2 3 6 2 3 3" xfId="40848"/>
    <cellStyle name="Обычный 124 2 3 6 2 4" xfId="29661"/>
    <cellStyle name="Обычный 124 2 3 6 2 4 2" xfId="44485"/>
    <cellStyle name="Обычный 124 2 3 6 2 5" xfId="37262"/>
    <cellStyle name="Обычный 124 2 3 6 2 6" xfId="22343"/>
    <cellStyle name="Обычный 124 2 3 6 3" xfId="19555"/>
    <cellStyle name="Обычный 124 2 3 6 3 2" xfId="26924"/>
    <cellStyle name="Обычный 124 2 3 6 3 2 2" xfId="34235"/>
    <cellStyle name="Обычный 124 2 3 6 3 2 2 2" xfId="49055"/>
    <cellStyle name="Обычный 124 2 3 6 3 2 3" xfId="41764"/>
    <cellStyle name="Обычный 124 2 3 6 3 3" xfId="30581"/>
    <cellStyle name="Обычный 124 2 3 6 3 3 2" xfId="45404"/>
    <cellStyle name="Обычный 124 2 3 6 3 4" xfId="38078"/>
    <cellStyle name="Обычный 124 2 3 6 3 5" xfId="23266"/>
    <cellStyle name="Обычный 124 2 3 6 4" xfId="25083"/>
    <cellStyle name="Обычный 124 2 3 6 4 2" xfId="32394"/>
    <cellStyle name="Обычный 124 2 3 6 4 2 2" xfId="47217"/>
    <cellStyle name="Обычный 124 2 3 6 4 3" xfId="39978"/>
    <cellStyle name="Обычный 124 2 3 6 5" xfId="28740"/>
    <cellStyle name="Обычный 124 2 3 6 5 2" xfId="43577"/>
    <cellStyle name="Обычный 124 2 3 6 6" xfId="36243"/>
    <cellStyle name="Обычный 124 2 3 6 7" xfId="21422"/>
    <cellStyle name="Обычный 124 2 3 7" xfId="18160"/>
    <cellStyle name="Обычный 124 2 3 7 2" xfId="20051"/>
    <cellStyle name="Обычный 124 2 3 7 2 2" xfId="27377"/>
    <cellStyle name="Обычный 124 2 3 7 2 2 2" xfId="34688"/>
    <cellStyle name="Обычный 124 2 3 7 2 2 2 2" xfId="49508"/>
    <cellStyle name="Обычный 124 2 3 7 2 2 3" xfId="42217"/>
    <cellStyle name="Обычный 124 2 3 7 2 3" xfId="31034"/>
    <cellStyle name="Обычный 124 2 3 7 2 3 2" xfId="45857"/>
    <cellStyle name="Обычный 124 2 3 7 2 4" xfId="38532"/>
    <cellStyle name="Обычный 124 2 3 7 2 5" xfId="23719"/>
    <cellStyle name="Обычный 124 2 3 7 3" xfId="25546"/>
    <cellStyle name="Обычный 124 2 3 7 3 2" xfId="32857"/>
    <cellStyle name="Обычный 124 2 3 7 3 2 2" xfId="47677"/>
    <cellStyle name="Обычный 124 2 3 7 3 3" xfId="40424"/>
    <cellStyle name="Обычный 124 2 3 7 4" xfId="29203"/>
    <cellStyle name="Обычный 124 2 3 7 4 2" xfId="44032"/>
    <cellStyle name="Обычный 124 2 3 7 5" xfId="36804"/>
    <cellStyle name="Обычный 124 2 3 7 6" xfId="21885"/>
    <cellStyle name="Обычный 124 2 3 8" xfId="19087"/>
    <cellStyle name="Обычный 124 2 3 8 2" xfId="26466"/>
    <cellStyle name="Обычный 124 2 3 8 2 2" xfId="33777"/>
    <cellStyle name="Обычный 124 2 3 8 2 2 2" xfId="48597"/>
    <cellStyle name="Обычный 124 2 3 8 2 3" xfId="41307"/>
    <cellStyle name="Обычный 124 2 3 8 3" xfId="30123"/>
    <cellStyle name="Обычный 124 2 3 8 3 2" xfId="44947"/>
    <cellStyle name="Обычный 124 2 3 8 4" xfId="37620"/>
    <cellStyle name="Обычный 124 2 3 8 5" xfId="22808"/>
    <cellStyle name="Обычный 124 2 3 9" xfId="24633"/>
    <cellStyle name="Обычный 124 2 3 9 2" xfId="31944"/>
    <cellStyle name="Обычный 124 2 3 9 2 2" xfId="46767"/>
    <cellStyle name="Обычный 124 2 3 9 3" xfId="39555"/>
    <cellStyle name="Обычный 124 2 4" xfId="17195"/>
    <cellStyle name="Обычный 124 2 4 10" xfId="35810"/>
    <cellStyle name="Обычный 124 2 4 11" xfId="20986"/>
    <cellStyle name="Обычный 124 2 4 2" xfId="17352"/>
    <cellStyle name="Обычный 124 2 4 2 10" xfId="21042"/>
    <cellStyle name="Обычный 124 2 4 2 2" xfId="17467"/>
    <cellStyle name="Обычный 124 2 4 2 2 2" xfId="17917"/>
    <cellStyle name="Обычный 124 2 4 2 2 2 2" xfId="19031"/>
    <cellStyle name="Обычный 124 2 4 2 2 2 2 2" xfId="20910"/>
    <cellStyle name="Обычный 124 2 4 2 2 2 2 2 2" xfId="24578"/>
    <cellStyle name="Обычный 124 2 4 2 2 2 2 2 2 2" xfId="28236"/>
    <cellStyle name="Обычный 124 2 4 2 2 2 2 2 2 2 2" xfId="35547"/>
    <cellStyle name="Обычный 124 2 4 2 2 2 2 2 2 2 2 2" xfId="50367"/>
    <cellStyle name="Обычный 124 2 4 2 2 2 2 2 2 2 3" xfId="43075"/>
    <cellStyle name="Обычный 124 2 4 2 2 2 2 2 2 3" xfId="31893"/>
    <cellStyle name="Обычный 124 2 4 2 2 2 2 2 2 3 2" xfId="46716"/>
    <cellStyle name="Обычный 124 2 4 2 2 2 2 2 2 4" xfId="39510"/>
    <cellStyle name="Обычный 124 2 4 2 2 2 2 2 3" xfId="26410"/>
    <cellStyle name="Обычный 124 2 4 2 2 2 2 2 3 2" xfId="33721"/>
    <cellStyle name="Обычный 124 2 4 2 2 2 2 2 3 2 2" xfId="48541"/>
    <cellStyle name="Обычный 124 2 4 2 2 2 2 2 3 3" xfId="41254"/>
    <cellStyle name="Обычный 124 2 4 2 2 2 2 2 4" xfId="30067"/>
    <cellStyle name="Обычный 124 2 4 2 2 2 2 2 4 2" xfId="44891"/>
    <cellStyle name="Обычный 124 2 4 2 2 2 2 2 5" xfId="39391"/>
    <cellStyle name="Обычный 124 2 4 2 2 2 2 2 6" xfId="22749"/>
    <cellStyle name="Обычный 124 2 4 2 2 2 2 3" xfId="19961"/>
    <cellStyle name="Обычный 124 2 4 2 2 2 2 3 2" xfId="27330"/>
    <cellStyle name="Обычный 124 2 4 2 2 2 2 3 2 2" xfId="34641"/>
    <cellStyle name="Обычный 124 2 4 2 2 2 2 3 2 2 2" xfId="49461"/>
    <cellStyle name="Обычный 124 2 4 2 2 2 2 3 2 3" xfId="42170"/>
    <cellStyle name="Обычный 124 2 4 2 2 2 2 3 3" xfId="30987"/>
    <cellStyle name="Обычный 124 2 4 2 2 2 2 3 3 2" xfId="45810"/>
    <cellStyle name="Обычный 124 2 4 2 2 2 2 3 4" xfId="38484"/>
    <cellStyle name="Обычный 124 2 4 2 2 2 2 3 5" xfId="23672"/>
    <cellStyle name="Обычный 124 2 4 2 2 2 2 4" xfId="25489"/>
    <cellStyle name="Обычный 124 2 4 2 2 2 2 4 2" xfId="32800"/>
    <cellStyle name="Обычный 124 2 4 2 2 2 2 4 2 2" xfId="47623"/>
    <cellStyle name="Обычный 124 2 4 2 2 2 2 4 3" xfId="40377"/>
    <cellStyle name="Обычный 124 2 4 2 2 2 2 5" xfId="29146"/>
    <cellStyle name="Обычный 124 2 4 2 2 2 2 5 2" xfId="43983"/>
    <cellStyle name="Обычный 124 2 4 2 2 2 2 6" xfId="36262"/>
    <cellStyle name="Обычный 124 2 4 2 2 2 2 7" xfId="21828"/>
    <cellStyle name="Обычный 124 2 4 2 2 2 3" xfId="18395"/>
    <cellStyle name="Обычный 124 2 4 2 2 2 3 2" xfId="20277"/>
    <cellStyle name="Обычный 124 2 4 2 2 2 3 2 2" xfId="27603"/>
    <cellStyle name="Обычный 124 2 4 2 2 2 3 2 2 2" xfId="34914"/>
    <cellStyle name="Обычный 124 2 4 2 2 2 3 2 2 2 2" xfId="49734"/>
    <cellStyle name="Обычный 124 2 4 2 2 2 3 2 2 3" xfId="42442"/>
    <cellStyle name="Обычный 124 2 4 2 2 2 3 2 3" xfId="31260"/>
    <cellStyle name="Обычный 124 2 4 2 2 2 3 2 3 2" xfId="46083"/>
    <cellStyle name="Обычный 124 2 4 2 2 2 3 2 4" xfId="38758"/>
    <cellStyle name="Обычный 124 2 4 2 2 2 3 2 5" xfId="23945"/>
    <cellStyle name="Обычный 124 2 4 2 2 2 3 3" xfId="25777"/>
    <cellStyle name="Обычный 124 2 4 2 2 2 3 3 2" xfId="33088"/>
    <cellStyle name="Обычный 124 2 4 2 2 2 3 3 2 2" xfId="47908"/>
    <cellStyle name="Обычный 124 2 4 2 2 2 3 3 3" xfId="40630"/>
    <cellStyle name="Обычный 124 2 4 2 2 2 3 4" xfId="29434"/>
    <cellStyle name="Обычный 124 2 4 2 2 2 3 4 2" xfId="44258"/>
    <cellStyle name="Обычный 124 2 4 2 2 2 3 5" xfId="37035"/>
    <cellStyle name="Обычный 124 2 4 2 2 2 3 6" xfId="22116"/>
    <cellStyle name="Обычный 124 2 4 2 2 2 4" xfId="19510"/>
    <cellStyle name="Обычный 124 2 4 2 2 2 4 2" xfId="26880"/>
    <cellStyle name="Обычный 124 2 4 2 2 2 4 2 2" xfId="34191"/>
    <cellStyle name="Обычный 124 2 4 2 2 2 4 2 2 2" xfId="49011"/>
    <cellStyle name="Обычный 124 2 4 2 2 2 4 2 3" xfId="41720"/>
    <cellStyle name="Обычный 124 2 4 2 2 2 4 3" xfId="30537"/>
    <cellStyle name="Обычный 124 2 4 2 2 2 4 3 2" xfId="45360"/>
    <cellStyle name="Обычный 124 2 4 2 2 2 4 4" xfId="38034"/>
    <cellStyle name="Обычный 124 2 4 2 2 2 4 5" xfId="23222"/>
    <cellStyle name="Обычный 124 2 4 2 2 2 5" xfId="25039"/>
    <cellStyle name="Обычный 124 2 4 2 2 2 5 2" xfId="32350"/>
    <cellStyle name="Обычный 124 2 4 2 2 2 5 2 2" xfId="47173"/>
    <cellStyle name="Обычный 124 2 4 2 2 2 5 3" xfId="39934"/>
    <cellStyle name="Обычный 124 2 4 2 2 2 6" xfId="28696"/>
    <cellStyle name="Обычный 124 2 4 2 2 2 6 2" xfId="43533"/>
    <cellStyle name="Обычный 124 2 4 2 2 2 7" xfId="35813"/>
    <cellStyle name="Обычный 124 2 4 2 2 2 8" xfId="21378"/>
    <cellStyle name="Обычный 124 2 4 2 2 3" xfId="17693"/>
    <cellStyle name="Обычный 124 2 4 2 2 3 2" xfId="18807"/>
    <cellStyle name="Обычный 124 2 4 2 2 3 2 2" xfId="20686"/>
    <cellStyle name="Обычный 124 2 4 2 2 3 2 2 2" xfId="28012"/>
    <cellStyle name="Обычный 124 2 4 2 2 3 2 2 2 2" xfId="35323"/>
    <cellStyle name="Обычный 124 2 4 2 2 3 2 2 2 2 2" xfId="50143"/>
    <cellStyle name="Обычный 124 2 4 2 2 3 2 2 2 3" xfId="42851"/>
    <cellStyle name="Обычный 124 2 4 2 2 3 2 2 3" xfId="31669"/>
    <cellStyle name="Обычный 124 2 4 2 2 3 2 2 3 2" xfId="46492"/>
    <cellStyle name="Обычный 124 2 4 2 2 3 2 2 4" xfId="39167"/>
    <cellStyle name="Обычный 124 2 4 2 2 3 2 2 5" xfId="24354"/>
    <cellStyle name="Обычный 124 2 4 2 2 3 2 3" xfId="26186"/>
    <cellStyle name="Обычный 124 2 4 2 2 3 2 3 2" xfId="33497"/>
    <cellStyle name="Обычный 124 2 4 2 2 3 2 3 2 2" xfId="48317"/>
    <cellStyle name="Обычный 124 2 4 2 2 3 2 3 3" xfId="41030"/>
    <cellStyle name="Обычный 124 2 4 2 2 3 2 4" xfId="29843"/>
    <cellStyle name="Обычный 124 2 4 2 2 3 2 4 2" xfId="44667"/>
    <cellStyle name="Обычный 124 2 4 2 2 3 2 5" xfId="37444"/>
    <cellStyle name="Обычный 124 2 4 2 2 3 2 6" xfId="22525"/>
    <cellStyle name="Обычный 124 2 4 2 2 3 3" xfId="19737"/>
    <cellStyle name="Обычный 124 2 4 2 2 3 3 2" xfId="27106"/>
    <cellStyle name="Обычный 124 2 4 2 2 3 3 2 2" xfId="34417"/>
    <cellStyle name="Обычный 124 2 4 2 2 3 3 2 2 2" xfId="49237"/>
    <cellStyle name="Обычный 124 2 4 2 2 3 3 2 3" xfId="41946"/>
    <cellStyle name="Обычный 124 2 4 2 2 3 3 3" xfId="30763"/>
    <cellStyle name="Обычный 124 2 4 2 2 3 3 3 2" xfId="45586"/>
    <cellStyle name="Обычный 124 2 4 2 2 3 3 4" xfId="38260"/>
    <cellStyle name="Обычный 124 2 4 2 2 3 3 5" xfId="23448"/>
    <cellStyle name="Обычный 124 2 4 2 2 3 4" xfId="25265"/>
    <cellStyle name="Обычный 124 2 4 2 2 3 4 2" xfId="32576"/>
    <cellStyle name="Обычный 124 2 4 2 2 3 4 2 2" xfId="47399"/>
    <cellStyle name="Обычный 124 2 4 2 2 3 4 3" xfId="40157"/>
    <cellStyle name="Обычный 124 2 4 2 2 3 5" xfId="28922"/>
    <cellStyle name="Обычный 124 2 4 2 2 3 5 2" xfId="43759"/>
    <cellStyle name="Обычный 124 2 4 2 2 3 6" xfId="36261"/>
    <cellStyle name="Обычный 124 2 4 2 2 3 7" xfId="21604"/>
    <cellStyle name="Обычный 124 2 4 2 2 4" xfId="18394"/>
    <cellStyle name="Обычный 124 2 4 2 2 4 2" xfId="20276"/>
    <cellStyle name="Обычный 124 2 4 2 2 4 2 2" xfId="27602"/>
    <cellStyle name="Обычный 124 2 4 2 2 4 2 2 2" xfId="34913"/>
    <cellStyle name="Обычный 124 2 4 2 2 4 2 2 2 2" xfId="49733"/>
    <cellStyle name="Обычный 124 2 4 2 2 4 2 2 3" xfId="42441"/>
    <cellStyle name="Обычный 124 2 4 2 2 4 2 3" xfId="31259"/>
    <cellStyle name="Обычный 124 2 4 2 2 4 2 3 2" xfId="46082"/>
    <cellStyle name="Обычный 124 2 4 2 2 4 2 4" xfId="38757"/>
    <cellStyle name="Обычный 124 2 4 2 2 4 2 5" xfId="23944"/>
    <cellStyle name="Обычный 124 2 4 2 2 4 3" xfId="25776"/>
    <cellStyle name="Обычный 124 2 4 2 2 4 3 2" xfId="33087"/>
    <cellStyle name="Обычный 124 2 4 2 2 4 3 2 2" xfId="47907"/>
    <cellStyle name="Обычный 124 2 4 2 2 4 3 3" xfId="40629"/>
    <cellStyle name="Обычный 124 2 4 2 2 4 4" xfId="29433"/>
    <cellStyle name="Обычный 124 2 4 2 2 4 4 2" xfId="44257"/>
    <cellStyle name="Обычный 124 2 4 2 2 4 5" xfId="37034"/>
    <cellStyle name="Обычный 124 2 4 2 2 4 6" xfId="22115"/>
    <cellStyle name="Обычный 124 2 4 2 2 5" xfId="19286"/>
    <cellStyle name="Обычный 124 2 4 2 2 5 2" xfId="26656"/>
    <cellStyle name="Обычный 124 2 4 2 2 5 2 2" xfId="33967"/>
    <cellStyle name="Обычный 124 2 4 2 2 5 2 2 2" xfId="48787"/>
    <cellStyle name="Обычный 124 2 4 2 2 5 2 3" xfId="41496"/>
    <cellStyle name="Обычный 124 2 4 2 2 5 3" xfId="30313"/>
    <cellStyle name="Обычный 124 2 4 2 2 5 3 2" xfId="45136"/>
    <cellStyle name="Обычный 124 2 4 2 2 5 4" xfId="37810"/>
    <cellStyle name="Обычный 124 2 4 2 2 5 5" xfId="22998"/>
    <cellStyle name="Обычный 124 2 4 2 2 6" xfId="24815"/>
    <cellStyle name="Обычный 124 2 4 2 2 6 2" xfId="32126"/>
    <cellStyle name="Обычный 124 2 4 2 2 6 2 2" xfId="46949"/>
    <cellStyle name="Обычный 124 2 4 2 2 6 3" xfId="39714"/>
    <cellStyle name="Обычный 124 2 4 2 2 7" xfId="28472"/>
    <cellStyle name="Обычный 124 2 4 2 2 7 2" xfId="43309"/>
    <cellStyle name="Обычный 124 2 4 2 2 8" xfId="35812"/>
    <cellStyle name="Обычный 124 2 4 2 2 9" xfId="21154"/>
    <cellStyle name="Обычный 124 2 4 2 3" xfId="17805"/>
    <cellStyle name="Обычный 124 2 4 2 3 2" xfId="18919"/>
    <cellStyle name="Обычный 124 2 4 2 3 2 2" xfId="20798"/>
    <cellStyle name="Обычный 124 2 4 2 3 2 2 2" xfId="24466"/>
    <cellStyle name="Обычный 124 2 4 2 3 2 2 2 2" xfId="28124"/>
    <cellStyle name="Обычный 124 2 4 2 3 2 2 2 2 2" xfId="35435"/>
    <cellStyle name="Обычный 124 2 4 2 3 2 2 2 2 2 2" xfId="50255"/>
    <cellStyle name="Обычный 124 2 4 2 3 2 2 2 2 3" xfId="42963"/>
    <cellStyle name="Обычный 124 2 4 2 3 2 2 2 3" xfId="31781"/>
    <cellStyle name="Обычный 124 2 4 2 3 2 2 2 3 2" xfId="46604"/>
    <cellStyle name="Обычный 124 2 4 2 3 2 2 2 4" xfId="39431"/>
    <cellStyle name="Обычный 124 2 4 2 3 2 2 3" xfId="26298"/>
    <cellStyle name="Обычный 124 2 4 2 3 2 2 3 2" xfId="33609"/>
    <cellStyle name="Обычный 124 2 4 2 3 2 2 3 2 2" xfId="48429"/>
    <cellStyle name="Обычный 124 2 4 2 3 2 2 3 3" xfId="41142"/>
    <cellStyle name="Обычный 124 2 4 2 3 2 2 4" xfId="29955"/>
    <cellStyle name="Обычный 124 2 4 2 3 2 2 4 2" xfId="44779"/>
    <cellStyle name="Обычный 124 2 4 2 3 2 2 5" xfId="39279"/>
    <cellStyle name="Обычный 124 2 4 2 3 2 2 6" xfId="22637"/>
    <cellStyle name="Обычный 124 2 4 2 3 2 3" xfId="19849"/>
    <cellStyle name="Обычный 124 2 4 2 3 2 3 2" xfId="27218"/>
    <cellStyle name="Обычный 124 2 4 2 3 2 3 2 2" xfId="34529"/>
    <cellStyle name="Обычный 124 2 4 2 3 2 3 2 2 2" xfId="49349"/>
    <cellStyle name="Обычный 124 2 4 2 3 2 3 2 3" xfId="42058"/>
    <cellStyle name="Обычный 124 2 4 2 3 2 3 3" xfId="30875"/>
    <cellStyle name="Обычный 124 2 4 2 3 2 3 3 2" xfId="45698"/>
    <cellStyle name="Обычный 124 2 4 2 3 2 3 4" xfId="38372"/>
    <cellStyle name="Обычный 124 2 4 2 3 2 3 5" xfId="23560"/>
    <cellStyle name="Обычный 124 2 4 2 3 2 4" xfId="25377"/>
    <cellStyle name="Обычный 124 2 4 2 3 2 4 2" xfId="32688"/>
    <cellStyle name="Обычный 124 2 4 2 3 2 4 2 2" xfId="47511"/>
    <cellStyle name="Обычный 124 2 4 2 3 2 4 3" xfId="40265"/>
    <cellStyle name="Обычный 124 2 4 2 3 2 5" xfId="29034"/>
    <cellStyle name="Обычный 124 2 4 2 3 2 5 2" xfId="43871"/>
    <cellStyle name="Обычный 124 2 4 2 3 2 6" xfId="36263"/>
    <cellStyle name="Обычный 124 2 4 2 3 2 7" xfId="21716"/>
    <cellStyle name="Обычный 124 2 4 2 3 3" xfId="18396"/>
    <cellStyle name="Обычный 124 2 4 2 3 3 2" xfId="20278"/>
    <cellStyle name="Обычный 124 2 4 2 3 3 2 2" xfId="27604"/>
    <cellStyle name="Обычный 124 2 4 2 3 3 2 2 2" xfId="34915"/>
    <cellStyle name="Обычный 124 2 4 2 3 3 2 2 2 2" xfId="49735"/>
    <cellStyle name="Обычный 124 2 4 2 3 3 2 2 3" xfId="42443"/>
    <cellStyle name="Обычный 124 2 4 2 3 3 2 3" xfId="31261"/>
    <cellStyle name="Обычный 124 2 4 2 3 3 2 3 2" xfId="46084"/>
    <cellStyle name="Обычный 124 2 4 2 3 3 2 4" xfId="38759"/>
    <cellStyle name="Обычный 124 2 4 2 3 3 2 5" xfId="23946"/>
    <cellStyle name="Обычный 124 2 4 2 3 3 3" xfId="25778"/>
    <cellStyle name="Обычный 124 2 4 2 3 3 3 2" xfId="33089"/>
    <cellStyle name="Обычный 124 2 4 2 3 3 3 2 2" xfId="47909"/>
    <cellStyle name="Обычный 124 2 4 2 3 3 3 3" xfId="40631"/>
    <cellStyle name="Обычный 124 2 4 2 3 3 4" xfId="29435"/>
    <cellStyle name="Обычный 124 2 4 2 3 3 4 2" xfId="44259"/>
    <cellStyle name="Обычный 124 2 4 2 3 3 5" xfId="37036"/>
    <cellStyle name="Обычный 124 2 4 2 3 3 6" xfId="22117"/>
    <cellStyle name="Обычный 124 2 4 2 3 4" xfId="19398"/>
    <cellStyle name="Обычный 124 2 4 2 3 4 2" xfId="26768"/>
    <cellStyle name="Обычный 124 2 4 2 3 4 2 2" xfId="34079"/>
    <cellStyle name="Обычный 124 2 4 2 3 4 2 2 2" xfId="48899"/>
    <cellStyle name="Обычный 124 2 4 2 3 4 2 3" xfId="41608"/>
    <cellStyle name="Обычный 124 2 4 2 3 4 3" xfId="30425"/>
    <cellStyle name="Обычный 124 2 4 2 3 4 3 2" xfId="45248"/>
    <cellStyle name="Обычный 124 2 4 2 3 4 4" xfId="37922"/>
    <cellStyle name="Обычный 124 2 4 2 3 4 5" xfId="23110"/>
    <cellStyle name="Обычный 124 2 4 2 3 5" xfId="24927"/>
    <cellStyle name="Обычный 124 2 4 2 3 5 2" xfId="32238"/>
    <cellStyle name="Обычный 124 2 4 2 3 5 2 2" xfId="47061"/>
    <cellStyle name="Обычный 124 2 4 2 3 5 3" xfId="39822"/>
    <cellStyle name="Обычный 124 2 4 2 3 6" xfId="28584"/>
    <cellStyle name="Обычный 124 2 4 2 3 6 2" xfId="43421"/>
    <cellStyle name="Обычный 124 2 4 2 3 7" xfId="35814"/>
    <cellStyle name="Обычный 124 2 4 2 3 8" xfId="21266"/>
    <cellStyle name="Обычный 124 2 4 2 4" xfId="17581"/>
    <cellStyle name="Обычный 124 2 4 2 4 2" xfId="18695"/>
    <cellStyle name="Обычный 124 2 4 2 4 2 2" xfId="20574"/>
    <cellStyle name="Обычный 124 2 4 2 4 2 2 2" xfId="27900"/>
    <cellStyle name="Обычный 124 2 4 2 4 2 2 2 2" xfId="35211"/>
    <cellStyle name="Обычный 124 2 4 2 4 2 2 2 2 2" xfId="50031"/>
    <cellStyle name="Обычный 124 2 4 2 4 2 2 2 3" xfId="42739"/>
    <cellStyle name="Обычный 124 2 4 2 4 2 2 3" xfId="31557"/>
    <cellStyle name="Обычный 124 2 4 2 4 2 2 3 2" xfId="46380"/>
    <cellStyle name="Обычный 124 2 4 2 4 2 2 4" xfId="39055"/>
    <cellStyle name="Обычный 124 2 4 2 4 2 2 5" xfId="24242"/>
    <cellStyle name="Обычный 124 2 4 2 4 2 3" xfId="26074"/>
    <cellStyle name="Обычный 124 2 4 2 4 2 3 2" xfId="33385"/>
    <cellStyle name="Обычный 124 2 4 2 4 2 3 2 2" xfId="48205"/>
    <cellStyle name="Обычный 124 2 4 2 4 2 3 3" xfId="40918"/>
    <cellStyle name="Обычный 124 2 4 2 4 2 4" xfId="29731"/>
    <cellStyle name="Обычный 124 2 4 2 4 2 4 2" xfId="44555"/>
    <cellStyle name="Обычный 124 2 4 2 4 2 5" xfId="37332"/>
    <cellStyle name="Обычный 124 2 4 2 4 2 6" xfId="22413"/>
    <cellStyle name="Обычный 124 2 4 2 4 3" xfId="19625"/>
    <cellStyle name="Обычный 124 2 4 2 4 3 2" xfId="26994"/>
    <cellStyle name="Обычный 124 2 4 2 4 3 2 2" xfId="34305"/>
    <cellStyle name="Обычный 124 2 4 2 4 3 2 2 2" xfId="49125"/>
    <cellStyle name="Обычный 124 2 4 2 4 3 2 3" xfId="41834"/>
    <cellStyle name="Обычный 124 2 4 2 4 3 3" xfId="30651"/>
    <cellStyle name="Обычный 124 2 4 2 4 3 3 2" xfId="45474"/>
    <cellStyle name="Обычный 124 2 4 2 4 3 4" xfId="38148"/>
    <cellStyle name="Обычный 124 2 4 2 4 3 5" xfId="23336"/>
    <cellStyle name="Обычный 124 2 4 2 4 4" xfId="25153"/>
    <cellStyle name="Обычный 124 2 4 2 4 4 2" xfId="32464"/>
    <cellStyle name="Обычный 124 2 4 2 4 4 2 2" xfId="47287"/>
    <cellStyle name="Обычный 124 2 4 2 4 4 3" xfId="40047"/>
    <cellStyle name="Обычный 124 2 4 2 4 5" xfId="28810"/>
    <cellStyle name="Обычный 124 2 4 2 4 5 2" xfId="43647"/>
    <cellStyle name="Обычный 124 2 4 2 4 6" xfId="36260"/>
    <cellStyle name="Обычный 124 2 4 2 4 7" xfId="21492"/>
    <cellStyle name="Обычный 124 2 4 2 5" xfId="18393"/>
    <cellStyle name="Обычный 124 2 4 2 5 2" xfId="20275"/>
    <cellStyle name="Обычный 124 2 4 2 5 2 2" xfId="27601"/>
    <cellStyle name="Обычный 124 2 4 2 5 2 2 2" xfId="34912"/>
    <cellStyle name="Обычный 124 2 4 2 5 2 2 2 2" xfId="49732"/>
    <cellStyle name="Обычный 124 2 4 2 5 2 2 3" xfId="42440"/>
    <cellStyle name="Обычный 124 2 4 2 5 2 3" xfId="31258"/>
    <cellStyle name="Обычный 124 2 4 2 5 2 3 2" xfId="46081"/>
    <cellStyle name="Обычный 124 2 4 2 5 2 4" xfId="38756"/>
    <cellStyle name="Обычный 124 2 4 2 5 2 5" xfId="23943"/>
    <cellStyle name="Обычный 124 2 4 2 5 3" xfId="25775"/>
    <cellStyle name="Обычный 124 2 4 2 5 3 2" xfId="33086"/>
    <cellStyle name="Обычный 124 2 4 2 5 3 2 2" xfId="47906"/>
    <cellStyle name="Обычный 124 2 4 2 5 3 3" xfId="40628"/>
    <cellStyle name="Обычный 124 2 4 2 5 4" xfId="29432"/>
    <cellStyle name="Обычный 124 2 4 2 5 4 2" xfId="44256"/>
    <cellStyle name="Обычный 124 2 4 2 5 5" xfId="37033"/>
    <cellStyle name="Обычный 124 2 4 2 5 6" xfId="22114"/>
    <cellStyle name="Обычный 124 2 4 2 6" xfId="19176"/>
    <cellStyle name="Обычный 124 2 4 2 6 2" xfId="26547"/>
    <cellStyle name="Обычный 124 2 4 2 6 2 2" xfId="33858"/>
    <cellStyle name="Обычный 124 2 4 2 6 2 2 2" xfId="48678"/>
    <cellStyle name="Обычный 124 2 4 2 6 2 3" xfId="41387"/>
    <cellStyle name="Обычный 124 2 4 2 6 3" xfId="30204"/>
    <cellStyle name="Обычный 124 2 4 2 6 3 2" xfId="45027"/>
    <cellStyle name="Обычный 124 2 4 2 6 4" xfId="37701"/>
    <cellStyle name="Обычный 124 2 4 2 6 5" xfId="22889"/>
    <cellStyle name="Обычный 124 2 4 2 7" xfId="24703"/>
    <cellStyle name="Обычный 124 2 4 2 7 2" xfId="32014"/>
    <cellStyle name="Обычный 124 2 4 2 7 2 2" xfId="46837"/>
    <cellStyle name="Обычный 124 2 4 2 7 3" xfId="39610"/>
    <cellStyle name="Обычный 124 2 4 2 8" xfId="28360"/>
    <cellStyle name="Обычный 124 2 4 2 8 2" xfId="43197"/>
    <cellStyle name="Обычный 124 2 4 2 9" xfId="35811"/>
    <cellStyle name="Обычный 124 2 4 3" xfId="17411"/>
    <cellStyle name="Обычный 124 2 4 3 2" xfId="17861"/>
    <cellStyle name="Обычный 124 2 4 3 2 2" xfId="18975"/>
    <cellStyle name="Обычный 124 2 4 3 2 2 2" xfId="20854"/>
    <cellStyle name="Обычный 124 2 4 3 2 2 2 2" xfId="24522"/>
    <cellStyle name="Обычный 124 2 4 3 2 2 2 2 2" xfId="28180"/>
    <cellStyle name="Обычный 124 2 4 3 2 2 2 2 2 2" xfId="35491"/>
    <cellStyle name="Обычный 124 2 4 3 2 2 2 2 2 2 2" xfId="50311"/>
    <cellStyle name="Обычный 124 2 4 3 2 2 2 2 2 3" xfId="43019"/>
    <cellStyle name="Обычный 124 2 4 3 2 2 2 2 3" xfId="31837"/>
    <cellStyle name="Обычный 124 2 4 3 2 2 2 2 3 2" xfId="46660"/>
    <cellStyle name="Обычный 124 2 4 3 2 2 2 2 4" xfId="39463"/>
    <cellStyle name="Обычный 124 2 4 3 2 2 2 3" xfId="26354"/>
    <cellStyle name="Обычный 124 2 4 3 2 2 2 3 2" xfId="33665"/>
    <cellStyle name="Обычный 124 2 4 3 2 2 2 3 2 2" xfId="48485"/>
    <cellStyle name="Обычный 124 2 4 3 2 2 2 3 3" xfId="41198"/>
    <cellStyle name="Обычный 124 2 4 3 2 2 2 4" xfId="30011"/>
    <cellStyle name="Обычный 124 2 4 3 2 2 2 4 2" xfId="44835"/>
    <cellStyle name="Обычный 124 2 4 3 2 2 2 5" xfId="39335"/>
    <cellStyle name="Обычный 124 2 4 3 2 2 2 6" xfId="22693"/>
    <cellStyle name="Обычный 124 2 4 3 2 2 3" xfId="19905"/>
    <cellStyle name="Обычный 124 2 4 3 2 2 3 2" xfId="27274"/>
    <cellStyle name="Обычный 124 2 4 3 2 2 3 2 2" xfId="34585"/>
    <cellStyle name="Обычный 124 2 4 3 2 2 3 2 2 2" xfId="49405"/>
    <cellStyle name="Обычный 124 2 4 3 2 2 3 2 3" xfId="42114"/>
    <cellStyle name="Обычный 124 2 4 3 2 2 3 3" xfId="30931"/>
    <cellStyle name="Обычный 124 2 4 3 2 2 3 3 2" xfId="45754"/>
    <cellStyle name="Обычный 124 2 4 3 2 2 3 4" xfId="38428"/>
    <cellStyle name="Обычный 124 2 4 3 2 2 3 5" xfId="23616"/>
    <cellStyle name="Обычный 124 2 4 3 2 2 4" xfId="25433"/>
    <cellStyle name="Обычный 124 2 4 3 2 2 4 2" xfId="32744"/>
    <cellStyle name="Обычный 124 2 4 3 2 2 4 2 2" xfId="47567"/>
    <cellStyle name="Обычный 124 2 4 3 2 2 4 3" xfId="40321"/>
    <cellStyle name="Обычный 124 2 4 3 2 2 5" xfId="29090"/>
    <cellStyle name="Обычный 124 2 4 3 2 2 5 2" xfId="43927"/>
    <cellStyle name="Обычный 124 2 4 3 2 2 6" xfId="36265"/>
    <cellStyle name="Обычный 124 2 4 3 2 2 7" xfId="21772"/>
    <cellStyle name="Обычный 124 2 4 3 2 3" xfId="18398"/>
    <cellStyle name="Обычный 124 2 4 3 2 3 2" xfId="20280"/>
    <cellStyle name="Обычный 124 2 4 3 2 3 2 2" xfId="27606"/>
    <cellStyle name="Обычный 124 2 4 3 2 3 2 2 2" xfId="34917"/>
    <cellStyle name="Обычный 124 2 4 3 2 3 2 2 2 2" xfId="49737"/>
    <cellStyle name="Обычный 124 2 4 3 2 3 2 2 3" xfId="42445"/>
    <cellStyle name="Обычный 124 2 4 3 2 3 2 3" xfId="31263"/>
    <cellStyle name="Обычный 124 2 4 3 2 3 2 3 2" xfId="46086"/>
    <cellStyle name="Обычный 124 2 4 3 2 3 2 4" xfId="38761"/>
    <cellStyle name="Обычный 124 2 4 3 2 3 2 5" xfId="23948"/>
    <cellStyle name="Обычный 124 2 4 3 2 3 3" xfId="25780"/>
    <cellStyle name="Обычный 124 2 4 3 2 3 3 2" xfId="33091"/>
    <cellStyle name="Обычный 124 2 4 3 2 3 3 2 2" xfId="47911"/>
    <cellStyle name="Обычный 124 2 4 3 2 3 3 3" xfId="40633"/>
    <cellStyle name="Обычный 124 2 4 3 2 3 4" xfId="29437"/>
    <cellStyle name="Обычный 124 2 4 3 2 3 4 2" xfId="44261"/>
    <cellStyle name="Обычный 124 2 4 3 2 3 5" xfId="37038"/>
    <cellStyle name="Обычный 124 2 4 3 2 3 6" xfId="22119"/>
    <cellStyle name="Обычный 124 2 4 3 2 4" xfId="19454"/>
    <cellStyle name="Обычный 124 2 4 3 2 4 2" xfId="26824"/>
    <cellStyle name="Обычный 124 2 4 3 2 4 2 2" xfId="34135"/>
    <cellStyle name="Обычный 124 2 4 3 2 4 2 2 2" xfId="48955"/>
    <cellStyle name="Обычный 124 2 4 3 2 4 2 3" xfId="41664"/>
    <cellStyle name="Обычный 124 2 4 3 2 4 3" xfId="30481"/>
    <cellStyle name="Обычный 124 2 4 3 2 4 3 2" xfId="45304"/>
    <cellStyle name="Обычный 124 2 4 3 2 4 4" xfId="37978"/>
    <cellStyle name="Обычный 124 2 4 3 2 4 5" xfId="23166"/>
    <cellStyle name="Обычный 124 2 4 3 2 5" xfId="24983"/>
    <cellStyle name="Обычный 124 2 4 3 2 5 2" xfId="32294"/>
    <cellStyle name="Обычный 124 2 4 3 2 5 2 2" xfId="47117"/>
    <cellStyle name="Обычный 124 2 4 3 2 5 3" xfId="39878"/>
    <cellStyle name="Обычный 124 2 4 3 2 6" xfId="28640"/>
    <cellStyle name="Обычный 124 2 4 3 2 6 2" xfId="43477"/>
    <cellStyle name="Обычный 124 2 4 3 2 7" xfId="35816"/>
    <cellStyle name="Обычный 124 2 4 3 2 8" xfId="21322"/>
    <cellStyle name="Обычный 124 2 4 3 3" xfId="17637"/>
    <cellStyle name="Обычный 124 2 4 3 3 2" xfId="18751"/>
    <cellStyle name="Обычный 124 2 4 3 3 2 2" xfId="20630"/>
    <cellStyle name="Обычный 124 2 4 3 3 2 2 2" xfId="27956"/>
    <cellStyle name="Обычный 124 2 4 3 3 2 2 2 2" xfId="35267"/>
    <cellStyle name="Обычный 124 2 4 3 3 2 2 2 2 2" xfId="50087"/>
    <cellStyle name="Обычный 124 2 4 3 3 2 2 2 3" xfId="42795"/>
    <cellStyle name="Обычный 124 2 4 3 3 2 2 3" xfId="31613"/>
    <cellStyle name="Обычный 124 2 4 3 3 2 2 3 2" xfId="46436"/>
    <cellStyle name="Обычный 124 2 4 3 3 2 2 4" xfId="39111"/>
    <cellStyle name="Обычный 124 2 4 3 3 2 2 5" xfId="24298"/>
    <cellStyle name="Обычный 124 2 4 3 3 2 3" xfId="26130"/>
    <cellStyle name="Обычный 124 2 4 3 3 2 3 2" xfId="33441"/>
    <cellStyle name="Обычный 124 2 4 3 3 2 3 2 2" xfId="48261"/>
    <cellStyle name="Обычный 124 2 4 3 3 2 3 3" xfId="40974"/>
    <cellStyle name="Обычный 124 2 4 3 3 2 4" xfId="29787"/>
    <cellStyle name="Обычный 124 2 4 3 3 2 4 2" xfId="44611"/>
    <cellStyle name="Обычный 124 2 4 3 3 2 5" xfId="37388"/>
    <cellStyle name="Обычный 124 2 4 3 3 2 6" xfId="22469"/>
    <cellStyle name="Обычный 124 2 4 3 3 3" xfId="19681"/>
    <cellStyle name="Обычный 124 2 4 3 3 3 2" xfId="27050"/>
    <cellStyle name="Обычный 124 2 4 3 3 3 2 2" xfId="34361"/>
    <cellStyle name="Обычный 124 2 4 3 3 3 2 2 2" xfId="49181"/>
    <cellStyle name="Обычный 124 2 4 3 3 3 2 3" xfId="41890"/>
    <cellStyle name="Обычный 124 2 4 3 3 3 3" xfId="30707"/>
    <cellStyle name="Обычный 124 2 4 3 3 3 3 2" xfId="45530"/>
    <cellStyle name="Обычный 124 2 4 3 3 3 4" xfId="38204"/>
    <cellStyle name="Обычный 124 2 4 3 3 3 5" xfId="23392"/>
    <cellStyle name="Обычный 124 2 4 3 3 4" xfId="25209"/>
    <cellStyle name="Обычный 124 2 4 3 3 4 2" xfId="32520"/>
    <cellStyle name="Обычный 124 2 4 3 3 4 2 2" xfId="47343"/>
    <cellStyle name="Обычный 124 2 4 3 3 4 3" xfId="40101"/>
    <cellStyle name="Обычный 124 2 4 3 3 5" xfId="28866"/>
    <cellStyle name="Обычный 124 2 4 3 3 5 2" xfId="43703"/>
    <cellStyle name="Обычный 124 2 4 3 3 6" xfId="36264"/>
    <cellStyle name="Обычный 124 2 4 3 3 7" xfId="21548"/>
    <cellStyle name="Обычный 124 2 4 3 4" xfId="18397"/>
    <cellStyle name="Обычный 124 2 4 3 4 2" xfId="20279"/>
    <cellStyle name="Обычный 124 2 4 3 4 2 2" xfId="27605"/>
    <cellStyle name="Обычный 124 2 4 3 4 2 2 2" xfId="34916"/>
    <cellStyle name="Обычный 124 2 4 3 4 2 2 2 2" xfId="49736"/>
    <cellStyle name="Обычный 124 2 4 3 4 2 2 3" xfId="42444"/>
    <cellStyle name="Обычный 124 2 4 3 4 2 3" xfId="31262"/>
    <cellStyle name="Обычный 124 2 4 3 4 2 3 2" xfId="46085"/>
    <cellStyle name="Обычный 124 2 4 3 4 2 4" xfId="38760"/>
    <cellStyle name="Обычный 124 2 4 3 4 2 5" xfId="23947"/>
    <cellStyle name="Обычный 124 2 4 3 4 3" xfId="25779"/>
    <cellStyle name="Обычный 124 2 4 3 4 3 2" xfId="33090"/>
    <cellStyle name="Обычный 124 2 4 3 4 3 2 2" xfId="47910"/>
    <cellStyle name="Обычный 124 2 4 3 4 3 3" xfId="40632"/>
    <cellStyle name="Обычный 124 2 4 3 4 4" xfId="29436"/>
    <cellStyle name="Обычный 124 2 4 3 4 4 2" xfId="44260"/>
    <cellStyle name="Обычный 124 2 4 3 4 5" xfId="37037"/>
    <cellStyle name="Обычный 124 2 4 3 4 6" xfId="22118"/>
    <cellStyle name="Обычный 124 2 4 3 5" xfId="19231"/>
    <cellStyle name="Обычный 124 2 4 3 5 2" xfId="26601"/>
    <cellStyle name="Обычный 124 2 4 3 5 2 2" xfId="33912"/>
    <cellStyle name="Обычный 124 2 4 3 5 2 2 2" xfId="48732"/>
    <cellStyle name="Обычный 124 2 4 3 5 2 3" xfId="41441"/>
    <cellStyle name="Обычный 124 2 4 3 5 3" xfId="30258"/>
    <cellStyle name="Обычный 124 2 4 3 5 3 2" xfId="45081"/>
    <cellStyle name="Обычный 124 2 4 3 5 4" xfId="37755"/>
    <cellStyle name="Обычный 124 2 4 3 5 5" xfId="22943"/>
    <cellStyle name="Обычный 124 2 4 3 6" xfId="24759"/>
    <cellStyle name="Обычный 124 2 4 3 6 2" xfId="32070"/>
    <cellStyle name="Обычный 124 2 4 3 6 2 2" xfId="46893"/>
    <cellStyle name="Обычный 124 2 4 3 6 3" xfId="39661"/>
    <cellStyle name="Обычный 124 2 4 3 7" xfId="28416"/>
    <cellStyle name="Обычный 124 2 4 3 7 2" xfId="43253"/>
    <cellStyle name="Обычный 124 2 4 3 8" xfId="35815"/>
    <cellStyle name="Обычный 124 2 4 3 9" xfId="21098"/>
    <cellStyle name="Обычный 124 2 4 4" xfId="17294"/>
    <cellStyle name="Обычный 124 2 4 4 2" xfId="17749"/>
    <cellStyle name="Обычный 124 2 4 4 2 2" xfId="18863"/>
    <cellStyle name="Обычный 124 2 4 4 2 2 2" xfId="20742"/>
    <cellStyle name="Обычный 124 2 4 4 2 2 2 2" xfId="28068"/>
    <cellStyle name="Обычный 124 2 4 4 2 2 2 2 2" xfId="35379"/>
    <cellStyle name="Обычный 124 2 4 4 2 2 2 2 2 2" xfId="50199"/>
    <cellStyle name="Обычный 124 2 4 4 2 2 2 2 3" xfId="42907"/>
    <cellStyle name="Обычный 124 2 4 4 2 2 2 3" xfId="31725"/>
    <cellStyle name="Обычный 124 2 4 4 2 2 2 3 2" xfId="46548"/>
    <cellStyle name="Обычный 124 2 4 4 2 2 2 4" xfId="39223"/>
    <cellStyle name="Обычный 124 2 4 4 2 2 2 5" xfId="24410"/>
    <cellStyle name="Обычный 124 2 4 4 2 2 3" xfId="26242"/>
    <cellStyle name="Обычный 124 2 4 4 2 2 3 2" xfId="33553"/>
    <cellStyle name="Обычный 124 2 4 4 2 2 3 2 2" xfId="48373"/>
    <cellStyle name="Обычный 124 2 4 4 2 2 3 3" xfId="41086"/>
    <cellStyle name="Обычный 124 2 4 4 2 2 4" xfId="29899"/>
    <cellStyle name="Обычный 124 2 4 4 2 2 4 2" xfId="44723"/>
    <cellStyle name="Обычный 124 2 4 4 2 2 5" xfId="37499"/>
    <cellStyle name="Обычный 124 2 4 4 2 2 6" xfId="22581"/>
    <cellStyle name="Обычный 124 2 4 4 2 3" xfId="19793"/>
    <cellStyle name="Обычный 124 2 4 4 2 3 2" xfId="27162"/>
    <cellStyle name="Обычный 124 2 4 4 2 3 2 2" xfId="34473"/>
    <cellStyle name="Обычный 124 2 4 4 2 3 2 2 2" xfId="49293"/>
    <cellStyle name="Обычный 124 2 4 4 2 3 2 3" xfId="42002"/>
    <cellStyle name="Обычный 124 2 4 4 2 3 3" xfId="30819"/>
    <cellStyle name="Обычный 124 2 4 4 2 3 3 2" xfId="45642"/>
    <cellStyle name="Обычный 124 2 4 4 2 3 4" xfId="38316"/>
    <cellStyle name="Обычный 124 2 4 4 2 3 5" xfId="23504"/>
    <cellStyle name="Обычный 124 2 4 4 2 4" xfId="25321"/>
    <cellStyle name="Обычный 124 2 4 4 2 4 2" xfId="32632"/>
    <cellStyle name="Обычный 124 2 4 4 2 4 2 2" xfId="47455"/>
    <cellStyle name="Обычный 124 2 4 4 2 4 3" xfId="40210"/>
    <cellStyle name="Обычный 124 2 4 4 2 5" xfId="28978"/>
    <cellStyle name="Обычный 124 2 4 4 2 5 2" xfId="43815"/>
    <cellStyle name="Обычный 124 2 4 4 2 6" xfId="36266"/>
    <cellStyle name="Обычный 124 2 4 4 2 7" xfId="21660"/>
    <cellStyle name="Обычный 124 2 4 4 3" xfId="18399"/>
    <cellStyle name="Обычный 124 2 4 4 3 2" xfId="20281"/>
    <cellStyle name="Обычный 124 2 4 4 3 2 2" xfId="27607"/>
    <cellStyle name="Обычный 124 2 4 4 3 2 2 2" xfId="34918"/>
    <cellStyle name="Обычный 124 2 4 4 3 2 2 2 2" xfId="49738"/>
    <cellStyle name="Обычный 124 2 4 4 3 2 2 3" xfId="42446"/>
    <cellStyle name="Обычный 124 2 4 4 3 2 3" xfId="31264"/>
    <cellStyle name="Обычный 124 2 4 4 3 2 3 2" xfId="46087"/>
    <cellStyle name="Обычный 124 2 4 4 3 2 4" xfId="38762"/>
    <cellStyle name="Обычный 124 2 4 4 3 2 5" xfId="23949"/>
    <cellStyle name="Обычный 124 2 4 4 3 3" xfId="25781"/>
    <cellStyle name="Обычный 124 2 4 4 3 3 2" xfId="33092"/>
    <cellStyle name="Обычный 124 2 4 4 3 3 2 2" xfId="47912"/>
    <cellStyle name="Обычный 124 2 4 4 3 3 3" xfId="40634"/>
    <cellStyle name="Обычный 124 2 4 4 3 4" xfId="29438"/>
    <cellStyle name="Обычный 124 2 4 4 3 4 2" xfId="44262"/>
    <cellStyle name="Обычный 124 2 4 4 3 5" xfId="37039"/>
    <cellStyle name="Обычный 124 2 4 4 3 6" xfId="22120"/>
    <cellStyle name="Обычный 124 2 4 4 4" xfId="19342"/>
    <cellStyle name="Обычный 124 2 4 4 4 2" xfId="26712"/>
    <cellStyle name="Обычный 124 2 4 4 4 2 2" xfId="34023"/>
    <cellStyle name="Обычный 124 2 4 4 4 2 2 2" xfId="48843"/>
    <cellStyle name="Обычный 124 2 4 4 4 2 3" xfId="41552"/>
    <cellStyle name="Обычный 124 2 4 4 4 3" xfId="30369"/>
    <cellStyle name="Обычный 124 2 4 4 4 3 2" xfId="45192"/>
    <cellStyle name="Обычный 124 2 4 4 4 4" xfId="37866"/>
    <cellStyle name="Обычный 124 2 4 4 4 5" xfId="23054"/>
    <cellStyle name="Обычный 124 2 4 4 5" xfId="24871"/>
    <cellStyle name="Обычный 124 2 4 4 5 2" xfId="32182"/>
    <cellStyle name="Обычный 124 2 4 4 5 2 2" xfId="47005"/>
    <cellStyle name="Обычный 124 2 4 4 5 3" xfId="39767"/>
    <cellStyle name="Обычный 124 2 4 4 6" xfId="28528"/>
    <cellStyle name="Обычный 124 2 4 4 6 2" xfId="43365"/>
    <cellStyle name="Обычный 124 2 4 4 7" xfId="35817"/>
    <cellStyle name="Обычный 124 2 4 4 8" xfId="21210"/>
    <cellStyle name="Обычный 124 2 4 5" xfId="17525"/>
    <cellStyle name="Обычный 124 2 4 5 2" xfId="18639"/>
    <cellStyle name="Обычный 124 2 4 5 2 2" xfId="20518"/>
    <cellStyle name="Обычный 124 2 4 5 2 2 2" xfId="27844"/>
    <cellStyle name="Обычный 124 2 4 5 2 2 2 2" xfId="35155"/>
    <cellStyle name="Обычный 124 2 4 5 2 2 2 2 2" xfId="49975"/>
    <cellStyle name="Обычный 124 2 4 5 2 2 2 3" xfId="42683"/>
    <cellStyle name="Обычный 124 2 4 5 2 2 3" xfId="31501"/>
    <cellStyle name="Обычный 124 2 4 5 2 2 3 2" xfId="46324"/>
    <cellStyle name="Обычный 124 2 4 5 2 2 4" xfId="38999"/>
    <cellStyle name="Обычный 124 2 4 5 2 2 5" xfId="24186"/>
    <cellStyle name="Обычный 124 2 4 5 2 3" xfId="26018"/>
    <cellStyle name="Обычный 124 2 4 5 2 3 2" xfId="33329"/>
    <cellStyle name="Обычный 124 2 4 5 2 3 2 2" xfId="48149"/>
    <cellStyle name="Обычный 124 2 4 5 2 3 3" xfId="40862"/>
    <cellStyle name="Обычный 124 2 4 5 2 4" xfId="29675"/>
    <cellStyle name="Обычный 124 2 4 5 2 4 2" xfId="44499"/>
    <cellStyle name="Обычный 124 2 4 5 2 5" xfId="37276"/>
    <cellStyle name="Обычный 124 2 4 5 2 6" xfId="22357"/>
    <cellStyle name="Обычный 124 2 4 5 3" xfId="19569"/>
    <cellStyle name="Обычный 124 2 4 5 3 2" xfId="26938"/>
    <cellStyle name="Обычный 124 2 4 5 3 2 2" xfId="34249"/>
    <cellStyle name="Обычный 124 2 4 5 3 2 2 2" xfId="49069"/>
    <cellStyle name="Обычный 124 2 4 5 3 2 3" xfId="41778"/>
    <cellStyle name="Обычный 124 2 4 5 3 3" xfId="30595"/>
    <cellStyle name="Обычный 124 2 4 5 3 3 2" xfId="45418"/>
    <cellStyle name="Обычный 124 2 4 5 3 4" xfId="38092"/>
    <cellStyle name="Обычный 124 2 4 5 3 5" xfId="23280"/>
    <cellStyle name="Обычный 124 2 4 5 4" xfId="25097"/>
    <cellStyle name="Обычный 124 2 4 5 4 2" xfId="32408"/>
    <cellStyle name="Обычный 124 2 4 5 4 2 2" xfId="47231"/>
    <cellStyle name="Обычный 124 2 4 5 4 3" xfId="39991"/>
    <cellStyle name="Обычный 124 2 4 5 5" xfId="28754"/>
    <cellStyle name="Обычный 124 2 4 5 5 2" xfId="43591"/>
    <cellStyle name="Обычный 124 2 4 5 6" xfId="36259"/>
    <cellStyle name="Обычный 124 2 4 5 7" xfId="21436"/>
    <cellStyle name="Обычный 124 2 4 6" xfId="18392"/>
    <cellStyle name="Обычный 124 2 4 6 2" xfId="20274"/>
    <cellStyle name="Обычный 124 2 4 6 2 2" xfId="27600"/>
    <cellStyle name="Обычный 124 2 4 6 2 2 2" xfId="34911"/>
    <cellStyle name="Обычный 124 2 4 6 2 2 2 2" xfId="49731"/>
    <cellStyle name="Обычный 124 2 4 6 2 2 3" xfId="42439"/>
    <cellStyle name="Обычный 124 2 4 6 2 3" xfId="31257"/>
    <cellStyle name="Обычный 124 2 4 6 2 3 2" xfId="46080"/>
    <cellStyle name="Обычный 124 2 4 6 2 4" xfId="38755"/>
    <cellStyle name="Обычный 124 2 4 6 2 5" xfId="23942"/>
    <cellStyle name="Обычный 124 2 4 6 3" xfId="25774"/>
    <cellStyle name="Обычный 124 2 4 6 3 2" xfId="33085"/>
    <cellStyle name="Обычный 124 2 4 6 3 2 2" xfId="47905"/>
    <cellStyle name="Обычный 124 2 4 6 3 3" xfId="40627"/>
    <cellStyle name="Обычный 124 2 4 6 4" xfId="29431"/>
    <cellStyle name="Обычный 124 2 4 6 4 2" xfId="44255"/>
    <cellStyle name="Обычный 124 2 4 6 5" xfId="37032"/>
    <cellStyle name="Обычный 124 2 4 6 6" xfId="22113"/>
    <cellStyle name="Обычный 124 2 4 7" xfId="19122"/>
    <cellStyle name="Обычный 124 2 4 7 2" xfId="26494"/>
    <cellStyle name="Обычный 124 2 4 7 2 2" xfId="33805"/>
    <cellStyle name="Обычный 124 2 4 7 2 2 2" xfId="48625"/>
    <cellStyle name="Обычный 124 2 4 7 2 3" xfId="41334"/>
    <cellStyle name="Обычный 124 2 4 7 3" xfId="30151"/>
    <cellStyle name="Обычный 124 2 4 7 3 2" xfId="44974"/>
    <cellStyle name="Обычный 124 2 4 7 4" xfId="37648"/>
    <cellStyle name="Обычный 124 2 4 7 5" xfId="22836"/>
    <cellStyle name="Обычный 124 2 4 8" xfId="24647"/>
    <cellStyle name="Обычный 124 2 4 8 2" xfId="31958"/>
    <cellStyle name="Обычный 124 2 4 8 2 2" xfId="46781"/>
    <cellStyle name="Обычный 124 2 4 8 3" xfId="39567"/>
    <cellStyle name="Обычный 124 2 4 9" xfId="28304"/>
    <cellStyle name="Обычный 124 2 4 9 2" xfId="43141"/>
    <cellStyle name="Обычный 124 2 5" xfId="17160"/>
    <cellStyle name="Обычный 124 2 5 10" xfId="21014"/>
    <cellStyle name="Обычный 124 2 5 2" xfId="17439"/>
    <cellStyle name="Обычный 124 2 5 2 2" xfId="17889"/>
    <cellStyle name="Обычный 124 2 5 2 2 2" xfId="19003"/>
    <cellStyle name="Обычный 124 2 5 2 2 2 2" xfId="20882"/>
    <cellStyle name="Обычный 124 2 5 2 2 2 2 2" xfId="24550"/>
    <cellStyle name="Обычный 124 2 5 2 2 2 2 2 2" xfId="28208"/>
    <cellStyle name="Обычный 124 2 5 2 2 2 2 2 2 2" xfId="35519"/>
    <cellStyle name="Обычный 124 2 5 2 2 2 2 2 2 2 2" xfId="50339"/>
    <cellStyle name="Обычный 124 2 5 2 2 2 2 2 2 3" xfId="43047"/>
    <cellStyle name="Обычный 124 2 5 2 2 2 2 2 3" xfId="31865"/>
    <cellStyle name="Обычный 124 2 5 2 2 2 2 2 3 2" xfId="46688"/>
    <cellStyle name="Обычный 124 2 5 2 2 2 2 2 4" xfId="39484"/>
    <cellStyle name="Обычный 124 2 5 2 2 2 2 3" xfId="26382"/>
    <cellStyle name="Обычный 124 2 5 2 2 2 2 3 2" xfId="33693"/>
    <cellStyle name="Обычный 124 2 5 2 2 2 2 3 2 2" xfId="48513"/>
    <cellStyle name="Обычный 124 2 5 2 2 2 2 3 3" xfId="41226"/>
    <cellStyle name="Обычный 124 2 5 2 2 2 2 4" xfId="30039"/>
    <cellStyle name="Обычный 124 2 5 2 2 2 2 4 2" xfId="44863"/>
    <cellStyle name="Обычный 124 2 5 2 2 2 2 5" xfId="39363"/>
    <cellStyle name="Обычный 124 2 5 2 2 2 2 6" xfId="22721"/>
    <cellStyle name="Обычный 124 2 5 2 2 2 3" xfId="19933"/>
    <cellStyle name="Обычный 124 2 5 2 2 2 3 2" xfId="27302"/>
    <cellStyle name="Обычный 124 2 5 2 2 2 3 2 2" xfId="34613"/>
    <cellStyle name="Обычный 124 2 5 2 2 2 3 2 2 2" xfId="49433"/>
    <cellStyle name="Обычный 124 2 5 2 2 2 3 2 3" xfId="42142"/>
    <cellStyle name="Обычный 124 2 5 2 2 2 3 3" xfId="30959"/>
    <cellStyle name="Обычный 124 2 5 2 2 2 3 3 2" xfId="45782"/>
    <cellStyle name="Обычный 124 2 5 2 2 2 3 4" xfId="38456"/>
    <cellStyle name="Обычный 124 2 5 2 2 2 3 5" xfId="23644"/>
    <cellStyle name="Обычный 124 2 5 2 2 2 4" xfId="25461"/>
    <cellStyle name="Обычный 124 2 5 2 2 2 4 2" xfId="32772"/>
    <cellStyle name="Обычный 124 2 5 2 2 2 4 2 2" xfId="47595"/>
    <cellStyle name="Обычный 124 2 5 2 2 2 4 3" xfId="40349"/>
    <cellStyle name="Обычный 124 2 5 2 2 2 5" xfId="29118"/>
    <cellStyle name="Обычный 124 2 5 2 2 2 5 2" xfId="43955"/>
    <cellStyle name="Обычный 124 2 5 2 2 2 6" xfId="36269"/>
    <cellStyle name="Обычный 124 2 5 2 2 2 7" xfId="21800"/>
    <cellStyle name="Обычный 124 2 5 2 2 3" xfId="18402"/>
    <cellStyle name="Обычный 124 2 5 2 2 3 2" xfId="20284"/>
    <cellStyle name="Обычный 124 2 5 2 2 3 2 2" xfId="27610"/>
    <cellStyle name="Обычный 124 2 5 2 2 3 2 2 2" xfId="34921"/>
    <cellStyle name="Обычный 124 2 5 2 2 3 2 2 2 2" xfId="49741"/>
    <cellStyle name="Обычный 124 2 5 2 2 3 2 2 3" xfId="42449"/>
    <cellStyle name="Обычный 124 2 5 2 2 3 2 3" xfId="31267"/>
    <cellStyle name="Обычный 124 2 5 2 2 3 2 3 2" xfId="46090"/>
    <cellStyle name="Обычный 124 2 5 2 2 3 2 4" xfId="38765"/>
    <cellStyle name="Обычный 124 2 5 2 2 3 2 5" xfId="23952"/>
    <cellStyle name="Обычный 124 2 5 2 2 3 3" xfId="25784"/>
    <cellStyle name="Обычный 124 2 5 2 2 3 3 2" xfId="33095"/>
    <cellStyle name="Обычный 124 2 5 2 2 3 3 2 2" xfId="47915"/>
    <cellStyle name="Обычный 124 2 5 2 2 3 3 3" xfId="40637"/>
    <cellStyle name="Обычный 124 2 5 2 2 3 4" xfId="29441"/>
    <cellStyle name="Обычный 124 2 5 2 2 3 4 2" xfId="44265"/>
    <cellStyle name="Обычный 124 2 5 2 2 3 5" xfId="37042"/>
    <cellStyle name="Обычный 124 2 5 2 2 3 6" xfId="22123"/>
    <cellStyle name="Обычный 124 2 5 2 2 4" xfId="19482"/>
    <cellStyle name="Обычный 124 2 5 2 2 4 2" xfId="26852"/>
    <cellStyle name="Обычный 124 2 5 2 2 4 2 2" xfId="34163"/>
    <cellStyle name="Обычный 124 2 5 2 2 4 2 2 2" xfId="48983"/>
    <cellStyle name="Обычный 124 2 5 2 2 4 2 3" xfId="41692"/>
    <cellStyle name="Обычный 124 2 5 2 2 4 3" xfId="30509"/>
    <cellStyle name="Обычный 124 2 5 2 2 4 3 2" xfId="45332"/>
    <cellStyle name="Обычный 124 2 5 2 2 4 4" xfId="38006"/>
    <cellStyle name="Обычный 124 2 5 2 2 4 5" xfId="23194"/>
    <cellStyle name="Обычный 124 2 5 2 2 5" xfId="25011"/>
    <cellStyle name="Обычный 124 2 5 2 2 5 2" xfId="32322"/>
    <cellStyle name="Обычный 124 2 5 2 2 5 2 2" xfId="47145"/>
    <cellStyle name="Обычный 124 2 5 2 2 5 3" xfId="39906"/>
    <cellStyle name="Обычный 124 2 5 2 2 6" xfId="28668"/>
    <cellStyle name="Обычный 124 2 5 2 2 6 2" xfId="43505"/>
    <cellStyle name="Обычный 124 2 5 2 2 7" xfId="35820"/>
    <cellStyle name="Обычный 124 2 5 2 2 8" xfId="21350"/>
    <cellStyle name="Обычный 124 2 5 2 3" xfId="17665"/>
    <cellStyle name="Обычный 124 2 5 2 3 2" xfId="18779"/>
    <cellStyle name="Обычный 124 2 5 2 3 2 2" xfId="20658"/>
    <cellStyle name="Обычный 124 2 5 2 3 2 2 2" xfId="27984"/>
    <cellStyle name="Обычный 124 2 5 2 3 2 2 2 2" xfId="35295"/>
    <cellStyle name="Обычный 124 2 5 2 3 2 2 2 2 2" xfId="50115"/>
    <cellStyle name="Обычный 124 2 5 2 3 2 2 2 3" xfId="42823"/>
    <cellStyle name="Обычный 124 2 5 2 3 2 2 3" xfId="31641"/>
    <cellStyle name="Обычный 124 2 5 2 3 2 2 3 2" xfId="46464"/>
    <cellStyle name="Обычный 124 2 5 2 3 2 2 4" xfId="39139"/>
    <cellStyle name="Обычный 124 2 5 2 3 2 2 5" xfId="24326"/>
    <cellStyle name="Обычный 124 2 5 2 3 2 3" xfId="26158"/>
    <cellStyle name="Обычный 124 2 5 2 3 2 3 2" xfId="33469"/>
    <cellStyle name="Обычный 124 2 5 2 3 2 3 2 2" xfId="48289"/>
    <cellStyle name="Обычный 124 2 5 2 3 2 3 3" xfId="41002"/>
    <cellStyle name="Обычный 124 2 5 2 3 2 4" xfId="29815"/>
    <cellStyle name="Обычный 124 2 5 2 3 2 4 2" xfId="44639"/>
    <cellStyle name="Обычный 124 2 5 2 3 2 5" xfId="37416"/>
    <cellStyle name="Обычный 124 2 5 2 3 2 6" xfId="22497"/>
    <cellStyle name="Обычный 124 2 5 2 3 3" xfId="19709"/>
    <cellStyle name="Обычный 124 2 5 2 3 3 2" xfId="27078"/>
    <cellStyle name="Обычный 124 2 5 2 3 3 2 2" xfId="34389"/>
    <cellStyle name="Обычный 124 2 5 2 3 3 2 2 2" xfId="49209"/>
    <cellStyle name="Обычный 124 2 5 2 3 3 2 3" xfId="41918"/>
    <cellStyle name="Обычный 124 2 5 2 3 3 3" xfId="30735"/>
    <cellStyle name="Обычный 124 2 5 2 3 3 3 2" xfId="45558"/>
    <cellStyle name="Обычный 124 2 5 2 3 3 4" xfId="38232"/>
    <cellStyle name="Обычный 124 2 5 2 3 3 5" xfId="23420"/>
    <cellStyle name="Обычный 124 2 5 2 3 4" xfId="25237"/>
    <cellStyle name="Обычный 124 2 5 2 3 4 2" xfId="32548"/>
    <cellStyle name="Обычный 124 2 5 2 3 4 2 2" xfId="47371"/>
    <cellStyle name="Обычный 124 2 5 2 3 4 3" xfId="40129"/>
    <cellStyle name="Обычный 124 2 5 2 3 5" xfId="28894"/>
    <cellStyle name="Обычный 124 2 5 2 3 5 2" xfId="43731"/>
    <cellStyle name="Обычный 124 2 5 2 3 6" xfId="36268"/>
    <cellStyle name="Обычный 124 2 5 2 3 7" xfId="21576"/>
    <cellStyle name="Обычный 124 2 5 2 4" xfId="18401"/>
    <cellStyle name="Обычный 124 2 5 2 4 2" xfId="20283"/>
    <cellStyle name="Обычный 124 2 5 2 4 2 2" xfId="27609"/>
    <cellStyle name="Обычный 124 2 5 2 4 2 2 2" xfId="34920"/>
    <cellStyle name="Обычный 124 2 5 2 4 2 2 2 2" xfId="49740"/>
    <cellStyle name="Обычный 124 2 5 2 4 2 2 3" xfId="42448"/>
    <cellStyle name="Обычный 124 2 5 2 4 2 3" xfId="31266"/>
    <cellStyle name="Обычный 124 2 5 2 4 2 3 2" xfId="46089"/>
    <cellStyle name="Обычный 124 2 5 2 4 2 4" xfId="38764"/>
    <cellStyle name="Обычный 124 2 5 2 4 2 5" xfId="23951"/>
    <cellStyle name="Обычный 124 2 5 2 4 3" xfId="25783"/>
    <cellStyle name="Обычный 124 2 5 2 4 3 2" xfId="33094"/>
    <cellStyle name="Обычный 124 2 5 2 4 3 2 2" xfId="47914"/>
    <cellStyle name="Обычный 124 2 5 2 4 3 3" xfId="40636"/>
    <cellStyle name="Обычный 124 2 5 2 4 4" xfId="29440"/>
    <cellStyle name="Обычный 124 2 5 2 4 4 2" xfId="44264"/>
    <cellStyle name="Обычный 124 2 5 2 4 5" xfId="37041"/>
    <cellStyle name="Обычный 124 2 5 2 4 6" xfId="22122"/>
    <cellStyle name="Обычный 124 2 5 2 5" xfId="19259"/>
    <cellStyle name="Обычный 124 2 5 2 5 2" xfId="26629"/>
    <cellStyle name="Обычный 124 2 5 2 5 2 2" xfId="33940"/>
    <cellStyle name="Обычный 124 2 5 2 5 2 2 2" xfId="48760"/>
    <cellStyle name="Обычный 124 2 5 2 5 2 3" xfId="41469"/>
    <cellStyle name="Обычный 124 2 5 2 5 3" xfId="30286"/>
    <cellStyle name="Обычный 124 2 5 2 5 3 2" xfId="45109"/>
    <cellStyle name="Обычный 124 2 5 2 5 4" xfId="37783"/>
    <cellStyle name="Обычный 124 2 5 2 5 5" xfId="22971"/>
    <cellStyle name="Обычный 124 2 5 2 6" xfId="24787"/>
    <cellStyle name="Обычный 124 2 5 2 6 2" xfId="32098"/>
    <cellStyle name="Обычный 124 2 5 2 6 2 2" xfId="46921"/>
    <cellStyle name="Обычный 124 2 5 2 6 3" xfId="39687"/>
    <cellStyle name="Обычный 124 2 5 2 7" xfId="28444"/>
    <cellStyle name="Обычный 124 2 5 2 7 2" xfId="43281"/>
    <cellStyle name="Обычный 124 2 5 2 8" xfId="35819"/>
    <cellStyle name="Обычный 124 2 5 2 9" xfId="21126"/>
    <cellStyle name="Обычный 124 2 5 3" xfId="17324"/>
    <cellStyle name="Обычный 124 2 5 3 2" xfId="17777"/>
    <cellStyle name="Обычный 124 2 5 3 2 2" xfId="18891"/>
    <cellStyle name="Обычный 124 2 5 3 2 2 2" xfId="20770"/>
    <cellStyle name="Обычный 124 2 5 3 2 2 2 2" xfId="28096"/>
    <cellStyle name="Обычный 124 2 5 3 2 2 2 2 2" xfId="35407"/>
    <cellStyle name="Обычный 124 2 5 3 2 2 2 2 2 2" xfId="50227"/>
    <cellStyle name="Обычный 124 2 5 3 2 2 2 2 3" xfId="42935"/>
    <cellStyle name="Обычный 124 2 5 3 2 2 2 3" xfId="31753"/>
    <cellStyle name="Обычный 124 2 5 3 2 2 2 3 2" xfId="46576"/>
    <cellStyle name="Обычный 124 2 5 3 2 2 2 4" xfId="39251"/>
    <cellStyle name="Обычный 124 2 5 3 2 2 2 5" xfId="24438"/>
    <cellStyle name="Обычный 124 2 5 3 2 2 3" xfId="26270"/>
    <cellStyle name="Обычный 124 2 5 3 2 2 3 2" xfId="33581"/>
    <cellStyle name="Обычный 124 2 5 3 2 2 3 2 2" xfId="48401"/>
    <cellStyle name="Обычный 124 2 5 3 2 2 3 3" xfId="41114"/>
    <cellStyle name="Обычный 124 2 5 3 2 2 4" xfId="29927"/>
    <cellStyle name="Обычный 124 2 5 3 2 2 4 2" xfId="44751"/>
    <cellStyle name="Обычный 124 2 5 3 2 2 5" xfId="37527"/>
    <cellStyle name="Обычный 124 2 5 3 2 2 6" xfId="22609"/>
    <cellStyle name="Обычный 124 2 5 3 2 3" xfId="19821"/>
    <cellStyle name="Обычный 124 2 5 3 2 3 2" xfId="27190"/>
    <cellStyle name="Обычный 124 2 5 3 2 3 2 2" xfId="34501"/>
    <cellStyle name="Обычный 124 2 5 3 2 3 2 2 2" xfId="49321"/>
    <cellStyle name="Обычный 124 2 5 3 2 3 2 3" xfId="42030"/>
    <cellStyle name="Обычный 124 2 5 3 2 3 3" xfId="30847"/>
    <cellStyle name="Обычный 124 2 5 3 2 3 3 2" xfId="45670"/>
    <cellStyle name="Обычный 124 2 5 3 2 3 4" xfId="38344"/>
    <cellStyle name="Обычный 124 2 5 3 2 3 5" xfId="23532"/>
    <cellStyle name="Обычный 124 2 5 3 2 4" xfId="25349"/>
    <cellStyle name="Обычный 124 2 5 3 2 4 2" xfId="32660"/>
    <cellStyle name="Обычный 124 2 5 3 2 4 2 2" xfId="47483"/>
    <cellStyle name="Обычный 124 2 5 3 2 4 3" xfId="40237"/>
    <cellStyle name="Обычный 124 2 5 3 2 5" xfId="29006"/>
    <cellStyle name="Обычный 124 2 5 3 2 5 2" xfId="43843"/>
    <cellStyle name="Обычный 124 2 5 3 2 6" xfId="36270"/>
    <cellStyle name="Обычный 124 2 5 3 2 7" xfId="21688"/>
    <cellStyle name="Обычный 124 2 5 3 3" xfId="18403"/>
    <cellStyle name="Обычный 124 2 5 3 3 2" xfId="20285"/>
    <cellStyle name="Обычный 124 2 5 3 3 2 2" xfId="27611"/>
    <cellStyle name="Обычный 124 2 5 3 3 2 2 2" xfId="34922"/>
    <cellStyle name="Обычный 124 2 5 3 3 2 2 2 2" xfId="49742"/>
    <cellStyle name="Обычный 124 2 5 3 3 2 2 3" xfId="42450"/>
    <cellStyle name="Обычный 124 2 5 3 3 2 3" xfId="31268"/>
    <cellStyle name="Обычный 124 2 5 3 3 2 3 2" xfId="46091"/>
    <cellStyle name="Обычный 124 2 5 3 3 2 4" xfId="38766"/>
    <cellStyle name="Обычный 124 2 5 3 3 2 5" xfId="23953"/>
    <cellStyle name="Обычный 124 2 5 3 3 3" xfId="25785"/>
    <cellStyle name="Обычный 124 2 5 3 3 3 2" xfId="33096"/>
    <cellStyle name="Обычный 124 2 5 3 3 3 2 2" xfId="47916"/>
    <cellStyle name="Обычный 124 2 5 3 3 3 3" xfId="40638"/>
    <cellStyle name="Обычный 124 2 5 3 3 4" xfId="29442"/>
    <cellStyle name="Обычный 124 2 5 3 3 4 2" xfId="44266"/>
    <cellStyle name="Обычный 124 2 5 3 3 5" xfId="37043"/>
    <cellStyle name="Обычный 124 2 5 3 3 6" xfId="22124"/>
    <cellStyle name="Обычный 124 2 5 3 4" xfId="19370"/>
    <cellStyle name="Обычный 124 2 5 3 4 2" xfId="26740"/>
    <cellStyle name="Обычный 124 2 5 3 4 2 2" xfId="34051"/>
    <cellStyle name="Обычный 124 2 5 3 4 2 2 2" xfId="48871"/>
    <cellStyle name="Обычный 124 2 5 3 4 2 3" xfId="41580"/>
    <cellStyle name="Обычный 124 2 5 3 4 3" xfId="30397"/>
    <cellStyle name="Обычный 124 2 5 3 4 3 2" xfId="45220"/>
    <cellStyle name="Обычный 124 2 5 3 4 4" xfId="37894"/>
    <cellStyle name="Обычный 124 2 5 3 4 5" xfId="23082"/>
    <cellStyle name="Обычный 124 2 5 3 5" xfId="24899"/>
    <cellStyle name="Обычный 124 2 5 3 5 2" xfId="32210"/>
    <cellStyle name="Обычный 124 2 5 3 5 2 2" xfId="47033"/>
    <cellStyle name="Обычный 124 2 5 3 5 3" xfId="39794"/>
    <cellStyle name="Обычный 124 2 5 3 6" xfId="28556"/>
    <cellStyle name="Обычный 124 2 5 3 6 2" xfId="43393"/>
    <cellStyle name="Обычный 124 2 5 3 7" xfId="35821"/>
    <cellStyle name="Обычный 124 2 5 3 8" xfId="21238"/>
    <cellStyle name="Обычный 124 2 5 4" xfId="17553"/>
    <cellStyle name="Обычный 124 2 5 4 2" xfId="18667"/>
    <cellStyle name="Обычный 124 2 5 4 2 2" xfId="20546"/>
    <cellStyle name="Обычный 124 2 5 4 2 2 2" xfId="27872"/>
    <cellStyle name="Обычный 124 2 5 4 2 2 2 2" xfId="35183"/>
    <cellStyle name="Обычный 124 2 5 4 2 2 2 2 2" xfId="50003"/>
    <cellStyle name="Обычный 124 2 5 4 2 2 2 3" xfId="42711"/>
    <cellStyle name="Обычный 124 2 5 4 2 2 3" xfId="31529"/>
    <cellStyle name="Обычный 124 2 5 4 2 2 3 2" xfId="46352"/>
    <cellStyle name="Обычный 124 2 5 4 2 2 4" xfId="39027"/>
    <cellStyle name="Обычный 124 2 5 4 2 2 5" xfId="24214"/>
    <cellStyle name="Обычный 124 2 5 4 2 3" xfId="26046"/>
    <cellStyle name="Обычный 124 2 5 4 2 3 2" xfId="33357"/>
    <cellStyle name="Обычный 124 2 5 4 2 3 2 2" xfId="48177"/>
    <cellStyle name="Обычный 124 2 5 4 2 3 3" xfId="40890"/>
    <cellStyle name="Обычный 124 2 5 4 2 4" xfId="29703"/>
    <cellStyle name="Обычный 124 2 5 4 2 4 2" xfId="44527"/>
    <cellStyle name="Обычный 124 2 5 4 2 5" xfId="37304"/>
    <cellStyle name="Обычный 124 2 5 4 2 6" xfId="22385"/>
    <cellStyle name="Обычный 124 2 5 4 3" xfId="19597"/>
    <cellStyle name="Обычный 124 2 5 4 3 2" xfId="26966"/>
    <cellStyle name="Обычный 124 2 5 4 3 2 2" xfId="34277"/>
    <cellStyle name="Обычный 124 2 5 4 3 2 2 2" xfId="49097"/>
    <cellStyle name="Обычный 124 2 5 4 3 2 3" xfId="41806"/>
    <cellStyle name="Обычный 124 2 5 4 3 3" xfId="30623"/>
    <cellStyle name="Обычный 124 2 5 4 3 3 2" xfId="45446"/>
    <cellStyle name="Обычный 124 2 5 4 3 4" xfId="38120"/>
    <cellStyle name="Обычный 124 2 5 4 3 5" xfId="23308"/>
    <cellStyle name="Обычный 124 2 5 4 4" xfId="25125"/>
    <cellStyle name="Обычный 124 2 5 4 4 2" xfId="32436"/>
    <cellStyle name="Обычный 124 2 5 4 4 2 2" xfId="47259"/>
    <cellStyle name="Обычный 124 2 5 4 4 3" xfId="40019"/>
    <cellStyle name="Обычный 124 2 5 4 5" xfId="28782"/>
    <cellStyle name="Обычный 124 2 5 4 5 2" xfId="43619"/>
    <cellStyle name="Обычный 124 2 5 4 6" xfId="36267"/>
    <cellStyle name="Обычный 124 2 5 4 7" xfId="21464"/>
    <cellStyle name="Обычный 124 2 5 5" xfId="18400"/>
    <cellStyle name="Обычный 124 2 5 5 2" xfId="20282"/>
    <cellStyle name="Обычный 124 2 5 5 2 2" xfId="27608"/>
    <cellStyle name="Обычный 124 2 5 5 2 2 2" xfId="34919"/>
    <cellStyle name="Обычный 124 2 5 5 2 2 2 2" xfId="49739"/>
    <cellStyle name="Обычный 124 2 5 5 2 2 3" xfId="42447"/>
    <cellStyle name="Обычный 124 2 5 5 2 3" xfId="31265"/>
    <cellStyle name="Обычный 124 2 5 5 2 3 2" xfId="46088"/>
    <cellStyle name="Обычный 124 2 5 5 2 4" xfId="38763"/>
    <cellStyle name="Обычный 124 2 5 5 2 5" xfId="23950"/>
    <cellStyle name="Обычный 124 2 5 5 3" xfId="25782"/>
    <cellStyle name="Обычный 124 2 5 5 3 2" xfId="33093"/>
    <cellStyle name="Обычный 124 2 5 5 3 2 2" xfId="47913"/>
    <cellStyle name="Обычный 124 2 5 5 3 3" xfId="40635"/>
    <cellStyle name="Обычный 124 2 5 5 4" xfId="29439"/>
    <cellStyle name="Обычный 124 2 5 5 4 2" xfId="44263"/>
    <cellStyle name="Обычный 124 2 5 5 5" xfId="37040"/>
    <cellStyle name="Обычный 124 2 5 5 6" xfId="22121"/>
    <cellStyle name="Обычный 124 2 5 6" xfId="19150"/>
    <cellStyle name="Обычный 124 2 5 6 2" xfId="26521"/>
    <cellStyle name="Обычный 124 2 5 6 2 2" xfId="33832"/>
    <cellStyle name="Обычный 124 2 5 6 2 2 2" xfId="48652"/>
    <cellStyle name="Обычный 124 2 5 6 2 3" xfId="41361"/>
    <cellStyle name="Обычный 124 2 5 6 3" xfId="30178"/>
    <cellStyle name="Обычный 124 2 5 6 3 2" xfId="45001"/>
    <cellStyle name="Обычный 124 2 5 6 4" xfId="37675"/>
    <cellStyle name="Обычный 124 2 5 6 5" xfId="22863"/>
    <cellStyle name="Обычный 124 2 5 7" xfId="24675"/>
    <cellStyle name="Обычный 124 2 5 7 2" xfId="31986"/>
    <cellStyle name="Обычный 124 2 5 7 2 2" xfId="46809"/>
    <cellStyle name="Обычный 124 2 5 7 3" xfId="39594"/>
    <cellStyle name="Обычный 124 2 5 8" xfId="28332"/>
    <cellStyle name="Обычный 124 2 5 8 2" xfId="43169"/>
    <cellStyle name="Обычный 124 2 5 9" xfId="35818"/>
    <cellStyle name="Обычный 124 2 6" xfId="17383"/>
    <cellStyle name="Обычный 124 2 6 2" xfId="17833"/>
    <cellStyle name="Обычный 124 2 6 2 2" xfId="18947"/>
    <cellStyle name="Обычный 124 2 6 2 2 2" xfId="20826"/>
    <cellStyle name="Обычный 124 2 6 2 2 2 2" xfId="24494"/>
    <cellStyle name="Обычный 124 2 6 2 2 2 2 2" xfId="28152"/>
    <cellStyle name="Обычный 124 2 6 2 2 2 2 2 2" xfId="35463"/>
    <cellStyle name="Обычный 124 2 6 2 2 2 2 2 2 2" xfId="50283"/>
    <cellStyle name="Обычный 124 2 6 2 2 2 2 2 3" xfId="42991"/>
    <cellStyle name="Обычный 124 2 6 2 2 2 2 3" xfId="31809"/>
    <cellStyle name="Обычный 124 2 6 2 2 2 2 3 2" xfId="46632"/>
    <cellStyle name="Обычный 124 2 6 2 2 2 2 4" xfId="39450"/>
    <cellStyle name="Обычный 124 2 6 2 2 2 3" xfId="26326"/>
    <cellStyle name="Обычный 124 2 6 2 2 2 3 2" xfId="33637"/>
    <cellStyle name="Обычный 124 2 6 2 2 2 3 2 2" xfId="48457"/>
    <cellStyle name="Обычный 124 2 6 2 2 2 3 3" xfId="41170"/>
    <cellStyle name="Обычный 124 2 6 2 2 2 4" xfId="29983"/>
    <cellStyle name="Обычный 124 2 6 2 2 2 4 2" xfId="44807"/>
    <cellStyle name="Обычный 124 2 6 2 2 2 5" xfId="39307"/>
    <cellStyle name="Обычный 124 2 6 2 2 2 6" xfId="22665"/>
    <cellStyle name="Обычный 124 2 6 2 2 3" xfId="19877"/>
    <cellStyle name="Обычный 124 2 6 2 2 3 2" xfId="27246"/>
    <cellStyle name="Обычный 124 2 6 2 2 3 2 2" xfId="34557"/>
    <cellStyle name="Обычный 124 2 6 2 2 3 2 2 2" xfId="49377"/>
    <cellStyle name="Обычный 124 2 6 2 2 3 2 3" xfId="42086"/>
    <cellStyle name="Обычный 124 2 6 2 2 3 3" xfId="30903"/>
    <cellStyle name="Обычный 124 2 6 2 2 3 3 2" xfId="45726"/>
    <cellStyle name="Обычный 124 2 6 2 2 3 4" xfId="38400"/>
    <cellStyle name="Обычный 124 2 6 2 2 3 5" xfId="23588"/>
    <cellStyle name="Обычный 124 2 6 2 2 4" xfId="25405"/>
    <cellStyle name="Обычный 124 2 6 2 2 4 2" xfId="32716"/>
    <cellStyle name="Обычный 124 2 6 2 2 4 2 2" xfId="47539"/>
    <cellStyle name="Обычный 124 2 6 2 2 4 3" xfId="40293"/>
    <cellStyle name="Обычный 124 2 6 2 2 5" xfId="29062"/>
    <cellStyle name="Обычный 124 2 6 2 2 5 2" xfId="43899"/>
    <cellStyle name="Обычный 124 2 6 2 2 6" xfId="36272"/>
    <cellStyle name="Обычный 124 2 6 2 2 7" xfId="21744"/>
    <cellStyle name="Обычный 124 2 6 2 3" xfId="18405"/>
    <cellStyle name="Обычный 124 2 6 2 3 2" xfId="20287"/>
    <cellStyle name="Обычный 124 2 6 2 3 2 2" xfId="27613"/>
    <cellStyle name="Обычный 124 2 6 2 3 2 2 2" xfId="34924"/>
    <cellStyle name="Обычный 124 2 6 2 3 2 2 2 2" xfId="49744"/>
    <cellStyle name="Обычный 124 2 6 2 3 2 2 3" xfId="42452"/>
    <cellStyle name="Обычный 124 2 6 2 3 2 3" xfId="31270"/>
    <cellStyle name="Обычный 124 2 6 2 3 2 3 2" xfId="46093"/>
    <cellStyle name="Обычный 124 2 6 2 3 2 4" xfId="38768"/>
    <cellStyle name="Обычный 124 2 6 2 3 2 5" xfId="23955"/>
    <cellStyle name="Обычный 124 2 6 2 3 3" xfId="25787"/>
    <cellStyle name="Обычный 124 2 6 2 3 3 2" xfId="33098"/>
    <cellStyle name="Обычный 124 2 6 2 3 3 2 2" xfId="47918"/>
    <cellStyle name="Обычный 124 2 6 2 3 3 3" xfId="40640"/>
    <cellStyle name="Обычный 124 2 6 2 3 4" xfId="29444"/>
    <cellStyle name="Обычный 124 2 6 2 3 4 2" xfId="44268"/>
    <cellStyle name="Обычный 124 2 6 2 3 5" xfId="37045"/>
    <cellStyle name="Обычный 124 2 6 2 3 6" xfId="22126"/>
    <cellStyle name="Обычный 124 2 6 2 4" xfId="19426"/>
    <cellStyle name="Обычный 124 2 6 2 4 2" xfId="26796"/>
    <cellStyle name="Обычный 124 2 6 2 4 2 2" xfId="34107"/>
    <cellStyle name="Обычный 124 2 6 2 4 2 2 2" xfId="48927"/>
    <cellStyle name="Обычный 124 2 6 2 4 2 3" xfId="41636"/>
    <cellStyle name="Обычный 124 2 6 2 4 3" xfId="30453"/>
    <cellStyle name="Обычный 124 2 6 2 4 3 2" xfId="45276"/>
    <cellStyle name="Обычный 124 2 6 2 4 4" xfId="37950"/>
    <cellStyle name="Обычный 124 2 6 2 4 5" xfId="23138"/>
    <cellStyle name="Обычный 124 2 6 2 5" xfId="24955"/>
    <cellStyle name="Обычный 124 2 6 2 5 2" xfId="32266"/>
    <cellStyle name="Обычный 124 2 6 2 5 2 2" xfId="47089"/>
    <cellStyle name="Обычный 124 2 6 2 5 3" xfId="39850"/>
    <cellStyle name="Обычный 124 2 6 2 6" xfId="28612"/>
    <cellStyle name="Обычный 124 2 6 2 6 2" xfId="43449"/>
    <cellStyle name="Обычный 124 2 6 2 7" xfId="35823"/>
    <cellStyle name="Обычный 124 2 6 2 8" xfId="21294"/>
    <cellStyle name="Обычный 124 2 6 3" xfId="17609"/>
    <cellStyle name="Обычный 124 2 6 3 2" xfId="18723"/>
    <cellStyle name="Обычный 124 2 6 3 2 2" xfId="20602"/>
    <cellStyle name="Обычный 124 2 6 3 2 2 2" xfId="27928"/>
    <cellStyle name="Обычный 124 2 6 3 2 2 2 2" xfId="35239"/>
    <cellStyle name="Обычный 124 2 6 3 2 2 2 2 2" xfId="50059"/>
    <cellStyle name="Обычный 124 2 6 3 2 2 2 3" xfId="42767"/>
    <cellStyle name="Обычный 124 2 6 3 2 2 3" xfId="31585"/>
    <cellStyle name="Обычный 124 2 6 3 2 2 3 2" xfId="46408"/>
    <cellStyle name="Обычный 124 2 6 3 2 2 4" xfId="39083"/>
    <cellStyle name="Обычный 124 2 6 3 2 2 5" xfId="24270"/>
    <cellStyle name="Обычный 124 2 6 3 2 3" xfId="26102"/>
    <cellStyle name="Обычный 124 2 6 3 2 3 2" xfId="33413"/>
    <cellStyle name="Обычный 124 2 6 3 2 3 2 2" xfId="48233"/>
    <cellStyle name="Обычный 124 2 6 3 2 3 3" xfId="40946"/>
    <cellStyle name="Обычный 124 2 6 3 2 4" xfId="29759"/>
    <cellStyle name="Обычный 124 2 6 3 2 4 2" xfId="44583"/>
    <cellStyle name="Обычный 124 2 6 3 2 5" xfId="37360"/>
    <cellStyle name="Обычный 124 2 6 3 2 6" xfId="22441"/>
    <cellStyle name="Обычный 124 2 6 3 3" xfId="19653"/>
    <cellStyle name="Обычный 124 2 6 3 3 2" xfId="27022"/>
    <cellStyle name="Обычный 124 2 6 3 3 2 2" xfId="34333"/>
    <cellStyle name="Обычный 124 2 6 3 3 2 2 2" xfId="49153"/>
    <cellStyle name="Обычный 124 2 6 3 3 2 3" xfId="41862"/>
    <cellStyle name="Обычный 124 2 6 3 3 3" xfId="30679"/>
    <cellStyle name="Обычный 124 2 6 3 3 3 2" xfId="45502"/>
    <cellStyle name="Обычный 124 2 6 3 3 4" xfId="38176"/>
    <cellStyle name="Обычный 124 2 6 3 3 5" xfId="23364"/>
    <cellStyle name="Обычный 124 2 6 3 4" xfId="25181"/>
    <cellStyle name="Обычный 124 2 6 3 4 2" xfId="32492"/>
    <cellStyle name="Обычный 124 2 6 3 4 2 2" xfId="47315"/>
    <cellStyle name="Обычный 124 2 6 3 4 3" xfId="40073"/>
    <cellStyle name="Обычный 124 2 6 3 5" xfId="28838"/>
    <cellStyle name="Обычный 124 2 6 3 5 2" xfId="43675"/>
    <cellStyle name="Обычный 124 2 6 3 6" xfId="36271"/>
    <cellStyle name="Обычный 124 2 6 3 7" xfId="21520"/>
    <cellStyle name="Обычный 124 2 6 4" xfId="18404"/>
    <cellStyle name="Обычный 124 2 6 4 2" xfId="20286"/>
    <cellStyle name="Обычный 124 2 6 4 2 2" xfId="27612"/>
    <cellStyle name="Обычный 124 2 6 4 2 2 2" xfId="34923"/>
    <cellStyle name="Обычный 124 2 6 4 2 2 2 2" xfId="49743"/>
    <cellStyle name="Обычный 124 2 6 4 2 2 3" xfId="42451"/>
    <cellStyle name="Обычный 124 2 6 4 2 3" xfId="31269"/>
    <cellStyle name="Обычный 124 2 6 4 2 3 2" xfId="46092"/>
    <cellStyle name="Обычный 124 2 6 4 2 4" xfId="38767"/>
    <cellStyle name="Обычный 124 2 6 4 2 5" xfId="23954"/>
    <cellStyle name="Обычный 124 2 6 4 3" xfId="25786"/>
    <cellStyle name="Обычный 124 2 6 4 3 2" xfId="33097"/>
    <cellStyle name="Обычный 124 2 6 4 3 2 2" xfId="47917"/>
    <cellStyle name="Обычный 124 2 6 4 3 3" xfId="40639"/>
    <cellStyle name="Обычный 124 2 6 4 4" xfId="29443"/>
    <cellStyle name="Обычный 124 2 6 4 4 2" xfId="44267"/>
    <cellStyle name="Обычный 124 2 6 4 5" xfId="37044"/>
    <cellStyle name="Обычный 124 2 6 4 6" xfId="22125"/>
    <cellStyle name="Обычный 124 2 6 5" xfId="19204"/>
    <cellStyle name="Обычный 124 2 6 5 2" xfId="26574"/>
    <cellStyle name="Обычный 124 2 6 5 2 2" xfId="33885"/>
    <cellStyle name="Обычный 124 2 6 5 2 2 2" xfId="48705"/>
    <cellStyle name="Обычный 124 2 6 5 2 3" xfId="41414"/>
    <cellStyle name="Обычный 124 2 6 5 3" xfId="30231"/>
    <cellStyle name="Обычный 124 2 6 5 3 2" xfId="45054"/>
    <cellStyle name="Обычный 124 2 6 5 4" xfId="37728"/>
    <cellStyle name="Обычный 124 2 6 5 5" xfId="22916"/>
    <cellStyle name="Обычный 124 2 6 6" xfId="24731"/>
    <cellStyle name="Обычный 124 2 6 6 2" xfId="32042"/>
    <cellStyle name="Обычный 124 2 6 6 2 2" xfId="46865"/>
    <cellStyle name="Обычный 124 2 6 6 3" xfId="39635"/>
    <cellStyle name="Обычный 124 2 6 7" xfId="28388"/>
    <cellStyle name="Обычный 124 2 6 7 2" xfId="43225"/>
    <cellStyle name="Обычный 124 2 6 8" xfId="35822"/>
    <cellStyle name="Обычный 124 2 6 9" xfId="21070"/>
    <cellStyle name="Обычный 124 2 7" xfId="17257"/>
    <cellStyle name="Обычный 124 2 7 2" xfId="17721"/>
    <cellStyle name="Обычный 124 2 7 2 2" xfId="18835"/>
    <cellStyle name="Обычный 124 2 7 2 2 2" xfId="20714"/>
    <cellStyle name="Обычный 124 2 7 2 2 2 2" xfId="28040"/>
    <cellStyle name="Обычный 124 2 7 2 2 2 2 2" xfId="35351"/>
    <cellStyle name="Обычный 124 2 7 2 2 2 2 2 2" xfId="50171"/>
    <cellStyle name="Обычный 124 2 7 2 2 2 2 3" xfId="42879"/>
    <cellStyle name="Обычный 124 2 7 2 2 2 3" xfId="31697"/>
    <cellStyle name="Обычный 124 2 7 2 2 2 3 2" xfId="46520"/>
    <cellStyle name="Обычный 124 2 7 2 2 2 4" xfId="39195"/>
    <cellStyle name="Обычный 124 2 7 2 2 2 5" xfId="24382"/>
    <cellStyle name="Обычный 124 2 7 2 2 3" xfId="26214"/>
    <cellStyle name="Обычный 124 2 7 2 2 3 2" xfId="33525"/>
    <cellStyle name="Обычный 124 2 7 2 2 3 2 2" xfId="48345"/>
    <cellStyle name="Обычный 124 2 7 2 2 3 3" xfId="41058"/>
    <cellStyle name="Обычный 124 2 7 2 2 4" xfId="29871"/>
    <cellStyle name="Обычный 124 2 7 2 2 4 2" xfId="44695"/>
    <cellStyle name="Обычный 124 2 7 2 2 5" xfId="37471"/>
    <cellStyle name="Обычный 124 2 7 2 2 6" xfId="22553"/>
    <cellStyle name="Обычный 124 2 7 2 3" xfId="19765"/>
    <cellStyle name="Обычный 124 2 7 2 3 2" xfId="27134"/>
    <cellStyle name="Обычный 124 2 7 2 3 2 2" xfId="34445"/>
    <cellStyle name="Обычный 124 2 7 2 3 2 2 2" xfId="49265"/>
    <cellStyle name="Обычный 124 2 7 2 3 2 3" xfId="41974"/>
    <cellStyle name="Обычный 124 2 7 2 3 3" xfId="30791"/>
    <cellStyle name="Обычный 124 2 7 2 3 3 2" xfId="45614"/>
    <cellStyle name="Обычный 124 2 7 2 3 4" xfId="38288"/>
    <cellStyle name="Обычный 124 2 7 2 3 5" xfId="23476"/>
    <cellStyle name="Обычный 124 2 7 2 4" xfId="25293"/>
    <cellStyle name="Обычный 124 2 7 2 4 2" xfId="32604"/>
    <cellStyle name="Обычный 124 2 7 2 4 2 2" xfId="47427"/>
    <cellStyle name="Обычный 124 2 7 2 4 3" xfId="40185"/>
    <cellStyle name="Обычный 124 2 7 2 5" xfId="28950"/>
    <cellStyle name="Обычный 124 2 7 2 5 2" xfId="43787"/>
    <cellStyle name="Обычный 124 2 7 2 6" xfId="36273"/>
    <cellStyle name="Обычный 124 2 7 2 7" xfId="21632"/>
    <cellStyle name="Обычный 124 2 7 3" xfId="18406"/>
    <cellStyle name="Обычный 124 2 7 3 2" xfId="20288"/>
    <cellStyle name="Обычный 124 2 7 3 2 2" xfId="27614"/>
    <cellStyle name="Обычный 124 2 7 3 2 2 2" xfId="34925"/>
    <cellStyle name="Обычный 124 2 7 3 2 2 2 2" xfId="49745"/>
    <cellStyle name="Обычный 124 2 7 3 2 2 3" xfId="42453"/>
    <cellStyle name="Обычный 124 2 7 3 2 3" xfId="31271"/>
    <cellStyle name="Обычный 124 2 7 3 2 3 2" xfId="46094"/>
    <cellStyle name="Обычный 124 2 7 3 2 4" xfId="38769"/>
    <cellStyle name="Обычный 124 2 7 3 2 5" xfId="23956"/>
    <cellStyle name="Обычный 124 2 7 3 3" xfId="25788"/>
    <cellStyle name="Обычный 124 2 7 3 3 2" xfId="33099"/>
    <cellStyle name="Обычный 124 2 7 3 3 2 2" xfId="47919"/>
    <cellStyle name="Обычный 124 2 7 3 3 3" xfId="40641"/>
    <cellStyle name="Обычный 124 2 7 3 4" xfId="29445"/>
    <cellStyle name="Обычный 124 2 7 3 4 2" xfId="44269"/>
    <cellStyle name="Обычный 124 2 7 3 5" xfId="37046"/>
    <cellStyle name="Обычный 124 2 7 3 6" xfId="22127"/>
    <cellStyle name="Обычный 124 2 7 4" xfId="19314"/>
    <cellStyle name="Обычный 124 2 7 4 2" xfId="26684"/>
    <cellStyle name="Обычный 124 2 7 4 2 2" xfId="33995"/>
    <cellStyle name="Обычный 124 2 7 4 2 2 2" xfId="48815"/>
    <cellStyle name="Обычный 124 2 7 4 2 3" xfId="41524"/>
    <cellStyle name="Обычный 124 2 7 4 3" xfId="30341"/>
    <cellStyle name="Обычный 124 2 7 4 3 2" xfId="45164"/>
    <cellStyle name="Обычный 124 2 7 4 4" xfId="37838"/>
    <cellStyle name="Обычный 124 2 7 4 5" xfId="23026"/>
    <cellStyle name="Обычный 124 2 7 5" xfId="24843"/>
    <cellStyle name="Обычный 124 2 7 5 2" xfId="32154"/>
    <cellStyle name="Обычный 124 2 7 5 2 2" xfId="46977"/>
    <cellStyle name="Обычный 124 2 7 5 3" xfId="39742"/>
    <cellStyle name="Обычный 124 2 7 6" xfId="28500"/>
    <cellStyle name="Обычный 124 2 7 6 2" xfId="43337"/>
    <cellStyle name="Обычный 124 2 7 7" xfId="35824"/>
    <cellStyle name="Обычный 124 2 7 8" xfId="21182"/>
    <cellStyle name="Обычный 124 2 8" xfId="17497"/>
    <cellStyle name="Обычный 124 2 8 2" xfId="18612"/>
    <cellStyle name="Обычный 124 2 8 2 2" xfId="20491"/>
    <cellStyle name="Обычный 124 2 8 2 2 2" xfId="27817"/>
    <cellStyle name="Обычный 124 2 8 2 2 2 2" xfId="35128"/>
    <cellStyle name="Обычный 124 2 8 2 2 2 2 2" xfId="49948"/>
    <cellStyle name="Обычный 124 2 8 2 2 2 3" xfId="42656"/>
    <cellStyle name="Обычный 124 2 8 2 2 3" xfId="31474"/>
    <cellStyle name="Обычный 124 2 8 2 2 3 2" xfId="46297"/>
    <cellStyle name="Обычный 124 2 8 2 2 4" xfId="38972"/>
    <cellStyle name="Обычный 124 2 8 2 2 5" xfId="24159"/>
    <cellStyle name="Обычный 124 2 8 2 3" xfId="25991"/>
    <cellStyle name="Обычный 124 2 8 2 3 2" xfId="33302"/>
    <cellStyle name="Обычный 124 2 8 2 3 2 2" xfId="48122"/>
    <cellStyle name="Обычный 124 2 8 2 3 3" xfId="40835"/>
    <cellStyle name="Обычный 124 2 8 2 4" xfId="29648"/>
    <cellStyle name="Обычный 124 2 8 2 4 2" xfId="44472"/>
    <cellStyle name="Обычный 124 2 8 2 5" xfId="37249"/>
    <cellStyle name="Обычный 124 2 8 2 6" xfId="22330"/>
    <cellStyle name="Обычный 124 2 8 3" xfId="19542"/>
    <cellStyle name="Обычный 124 2 8 3 2" xfId="26911"/>
    <cellStyle name="Обычный 124 2 8 3 2 2" xfId="34222"/>
    <cellStyle name="Обычный 124 2 8 3 2 2 2" xfId="49042"/>
    <cellStyle name="Обычный 124 2 8 3 2 3" xfId="41751"/>
    <cellStyle name="Обычный 124 2 8 3 3" xfId="30568"/>
    <cellStyle name="Обычный 124 2 8 3 3 2" xfId="45391"/>
    <cellStyle name="Обычный 124 2 8 3 4" xfId="38065"/>
    <cellStyle name="Обычный 124 2 8 3 5" xfId="23253"/>
    <cellStyle name="Обычный 124 2 8 4" xfId="25070"/>
    <cellStyle name="Обычный 124 2 8 4 2" xfId="32381"/>
    <cellStyle name="Обычный 124 2 8 4 2 2" xfId="47204"/>
    <cellStyle name="Обычный 124 2 8 4 3" xfId="39965"/>
    <cellStyle name="Обычный 124 2 8 5" xfId="28727"/>
    <cellStyle name="Обычный 124 2 8 5 2" xfId="43564"/>
    <cellStyle name="Обычный 124 2 8 6" xfId="36035"/>
    <cellStyle name="Обычный 124 2 8 7" xfId="21409"/>
    <cellStyle name="Обычный 124 2 9" xfId="18131"/>
    <cellStyle name="Обычный 124 2 9 2" xfId="20038"/>
    <cellStyle name="Обычный 124 2 9 2 2" xfId="27366"/>
    <cellStyle name="Обычный 124 2 9 2 2 2" xfId="34677"/>
    <cellStyle name="Обычный 124 2 9 2 2 2 2" xfId="49497"/>
    <cellStyle name="Обычный 124 2 9 2 2 3" xfId="42206"/>
    <cellStyle name="Обычный 124 2 9 2 3" xfId="31023"/>
    <cellStyle name="Обычный 124 2 9 2 3 2" xfId="45846"/>
    <cellStyle name="Обычный 124 2 9 2 4" xfId="38521"/>
    <cellStyle name="Обычный 124 2 9 2 5" xfId="23708"/>
    <cellStyle name="Обычный 124 2 9 3" xfId="25528"/>
    <cellStyle name="Обычный 124 2 9 3 2" xfId="32839"/>
    <cellStyle name="Обычный 124 2 9 3 2 2" xfId="47660"/>
    <cellStyle name="Обычный 124 2 9 3 3" xfId="40413"/>
    <cellStyle name="Обычный 124 2 9 4" xfId="29185"/>
    <cellStyle name="Обычный 124 2 9 4 2" xfId="44020"/>
    <cellStyle name="Обычный 124 2 9 5" xfId="36786"/>
    <cellStyle name="Обычный 124 2 9 6" xfId="21867"/>
    <cellStyle name="Обычный 124 3" xfId="17029"/>
    <cellStyle name="Обычный 124 3 10" xfId="24623"/>
    <cellStyle name="Обычный 124 3 10 2" xfId="31934"/>
    <cellStyle name="Обычный 124 3 10 2 2" xfId="46757"/>
    <cellStyle name="Обычный 124 3 10 3" xfId="39545"/>
    <cellStyle name="Обычный 124 3 11" xfId="28280"/>
    <cellStyle name="Обычный 124 3 11 2" xfId="43117"/>
    <cellStyle name="Обычный 124 3 12" xfId="35825"/>
    <cellStyle name="Обычный 124 3 13" xfId="20962"/>
    <cellStyle name="Обычный 124 3 2" xfId="17147"/>
    <cellStyle name="Обычный 124 3 2 10" xfId="28294"/>
    <cellStyle name="Обычный 124 3 2 10 2" xfId="43131"/>
    <cellStyle name="Обычный 124 3 2 11" xfId="35826"/>
    <cellStyle name="Обычный 124 3 2 12" xfId="20976"/>
    <cellStyle name="Обычный 124 3 2 2" xfId="17213"/>
    <cellStyle name="Обычный 124 3 2 2 10" xfId="35827"/>
    <cellStyle name="Обычный 124 3 2 2 11" xfId="21004"/>
    <cellStyle name="Обычный 124 3 2 2 2" xfId="17370"/>
    <cellStyle name="Обычный 124 3 2 2 2 10" xfId="21060"/>
    <cellStyle name="Обычный 124 3 2 2 2 2" xfId="17485"/>
    <cellStyle name="Обычный 124 3 2 2 2 2 2" xfId="17935"/>
    <cellStyle name="Обычный 124 3 2 2 2 2 2 2" xfId="19049"/>
    <cellStyle name="Обычный 124 3 2 2 2 2 2 2 2" xfId="20928"/>
    <cellStyle name="Обычный 124 3 2 2 2 2 2 2 2 2" xfId="24596"/>
    <cellStyle name="Обычный 124 3 2 2 2 2 2 2 2 2 2" xfId="28254"/>
    <cellStyle name="Обычный 124 3 2 2 2 2 2 2 2 2 2 2" xfId="35565"/>
    <cellStyle name="Обычный 124 3 2 2 2 2 2 2 2 2 2 2 2" xfId="50385"/>
    <cellStyle name="Обычный 124 3 2 2 2 2 2 2 2 2 2 3" xfId="43093"/>
    <cellStyle name="Обычный 124 3 2 2 2 2 2 2 2 2 3" xfId="31911"/>
    <cellStyle name="Обычный 124 3 2 2 2 2 2 2 2 2 3 2" xfId="46734"/>
    <cellStyle name="Обычный 124 3 2 2 2 2 2 2 2 2 4" xfId="39528"/>
    <cellStyle name="Обычный 124 3 2 2 2 2 2 2 2 3" xfId="26428"/>
    <cellStyle name="Обычный 124 3 2 2 2 2 2 2 2 3 2" xfId="33739"/>
    <cellStyle name="Обычный 124 3 2 2 2 2 2 2 2 3 2 2" xfId="48559"/>
    <cellStyle name="Обычный 124 3 2 2 2 2 2 2 2 3 3" xfId="41272"/>
    <cellStyle name="Обычный 124 3 2 2 2 2 2 2 2 4" xfId="30085"/>
    <cellStyle name="Обычный 124 3 2 2 2 2 2 2 2 4 2" xfId="44909"/>
    <cellStyle name="Обычный 124 3 2 2 2 2 2 2 2 5" xfId="39409"/>
    <cellStyle name="Обычный 124 3 2 2 2 2 2 2 2 6" xfId="22767"/>
    <cellStyle name="Обычный 124 3 2 2 2 2 2 2 3" xfId="19979"/>
    <cellStyle name="Обычный 124 3 2 2 2 2 2 2 3 2" xfId="27348"/>
    <cellStyle name="Обычный 124 3 2 2 2 2 2 2 3 2 2" xfId="34659"/>
    <cellStyle name="Обычный 124 3 2 2 2 2 2 2 3 2 2 2" xfId="49479"/>
    <cellStyle name="Обычный 124 3 2 2 2 2 2 2 3 2 3" xfId="42188"/>
    <cellStyle name="Обычный 124 3 2 2 2 2 2 2 3 3" xfId="31005"/>
    <cellStyle name="Обычный 124 3 2 2 2 2 2 2 3 3 2" xfId="45828"/>
    <cellStyle name="Обычный 124 3 2 2 2 2 2 2 3 4" xfId="38502"/>
    <cellStyle name="Обычный 124 3 2 2 2 2 2 2 3 5" xfId="23690"/>
    <cellStyle name="Обычный 124 3 2 2 2 2 2 2 4" xfId="25507"/>
    <cellStyle name="Обычный 124 3 2 2 2 2 2 2 4 2" xfId="32818"/>
    <cellStyle name="Обычный 124 3 2 2 2 2 2 2 4 2 2" xfId="47641"/>
    <cellStyle name="Обычный 124 3 2 2 2 2 2 2 4 3" xfId="40395"/>
    <cellStyle name="Обычный 124 3 2 2 2 2 2 2 5" xfId="29164"/>
    <cellStyle name="Обычный 124 3 2 2 2 2 2 2 5 2" xfId="44001"/>
    <cellStyle name="Обычный 124 3 2 2 2 2 2 2 6" xfId="36279"/>
    <cellStyle name="Обычный 124 3 2 2 2 2 2 2 7" xfId="21846"/>
    <cellStyle name="Обычный 124 3 2 2 2 2 2 3" xfId="18410"/>
    <cellStyle name="Обычный 124 3 2 2 2 2 2 3 2" xfId="20292"/>
    <cellStyle name="Обычный 124 3 2 2 2 2 2 3 2 2" xfId="27618"/>
    <cellStyle name="Обычный 124 3 2 2 2 2 2 3 2 2 2" xfId="34929"/>
    <cellStyle name="Обычный 124 3 2 2 2 2 2 3 2 2 2 2" xfId="49749"/>
    <cellStyle name="Обычный 124 3 2 2 2 2 2 3 2 2 3" xfId="42457"/>
    <cellStyle name="Обычный 124 3 2 2 2 2 2 3 2 3" xfId="31275"/>
    <cellStyle name="Обычный 124 3 2 2 2 2 2 3 2 3 2" xfId="46098"/>
    <cellStyle name="Обычный 124 3 2 2 2 2 2 3 2 4" xfId="38773"/>
    <cellStyle name="Обычный 124 3 2 2 2 2 2 3 2 5" xfId="23960"/>
    <cellStyle name="Обычный 124 3 2 2 2 2 2 3 3" xfId="25792"/>
    <cellStyle name="Обычный 124 3 2 2 2 2 2 3 3 2" xfId="33103"/>
    <cellStyle name="Обычный 124 3 2 2 2 2 2 3 3 2 2" xfId="47923"/>
    <cellStyle name="Обычный 124 3 2 2 2 2 2 3 3 3" xfId="40645"/>
    <cellStyle name="Обычный 124 3 2 2 2 2 2 3 4" xfId="29449"/>
    <cellStyle name="Обычный 124 3 2 2 2 2 2 3 4 2" xfId="44273"/>
    <cellStyle name="Обычный 124 3 2 2 2 2 2 3 5" xfId="37050"/>
    <cellStyle name="Обычный 124 3 2 2 2 2 2 3 6" xfId="22131"/>
    <cellStyle name="Обычный 124 3 2 2 2 2 2 4" xfId="19528"/>
    <cellStyle name="Обычный 124 3 2 2 2 2 2 4 2" xfId="26898"/>
    <cellStyle name="Обычный 124 3 2 2 2 2 2 4 2 2" xfId="34209"/>
    <cellStyle name="Обычный 124 3 2 2 2 2 2 4 2 2 2" xfId="49029"/>
    <cellStyle name="Обычный 124 3 2 2 2 2 2 4 2 3" xfId="41738"/>
    <cellStyle name="Обычный 124 3 2 2 2 2 2 4 3" xfId="30555"/>
    <cellStyle name="Обычный 124 3 2 2 2 2 2 4 3 2" xfId="45378"/>
    <cellStyle name="Обычный 124 3 2 2 2 2 2 4 4" xfId="38052"/>
    <cellStyle name="Обычный 124 3 2 2 2 2 2 4 5" xfId="23240"/>
    <cellStyle name="Обычный 124 3 2 2 2 2 2 5" xfId="25057"/>
    <cellStyle name="Обычный 124 3 2 2 2 2 2 5 2" xfId="32368"/>
    <cellStyle name="Обычный 124 3 2 2 2 2 2 5 2 2" xfId="47191"/>
    <cellStyle name="Обычный 124 3 2 2 2 2 2 5 3" xfId="39952"/>
    <cellStyle name="Обычный 124 3 2 2 2 2 2 6" xfId="28714"/>
    <cellStyle name="Обычный 124 3 2 2 2 2 2 6 2" xfId="43551"/>
    <cellStyle name="Обычный 124 3 2 2 2 2 2 7" xfId="35830"/>
    <cellStyle name="Обычный 124 3 2 2 2 2 2 8" xfId="21396"/>
    <cellStyle name="Обычный 124 3 2 2 2 2 3" xfId="17711"/>
    <cellStyle name="Обычный 124 3 2 2 2 2 3 2" xfId="18825"/>
    <cellStyle name="Обычный 124 3 2 2 2 2 3 2 2" xfId="20704"/>
    <cellStyle name="Обычный 124 3 2 2 2 2 3 2 2 2" xfId="28030"/>
    <cellStyle name="Обычный 124 3 2 2 2 2 3 2 2 2 2" xfId="35341"/>
    <cellStyle name="Обычный 124 3 2 2 2 2 3 2 2 2 2 2" xfId="50161"/>
    <cellStyle name="Обычный 124 3 2 2 2 2 3 2 2 2 3" xfId="42869"/>
    <cellStyle name="Обычный 124 3 2 2 2 2 3 2 2 3" xfId="31687"/>
    <cellStyle name="Обычный 124 3 2 2 2 2 3 2 2 3 2" xfId="46510"/>
    <cellStyle name="Обычный 124 3 2 2 2 2 3 2 2 4" xfId="39185"/>
    <cellStyle name="Обычный 124 3 2 2 2 2 3 2 2 5" xfId="24372"/>
    <cellStyle name="Обычный 124 3 2 2 2 2 3 2 3" xfId="26204"/>
    <cellStyle name="Обычный 124 3 2 2 2 2 3 2 3 2" xfId="33515"/>
    <cellStyle name="Обычный 124 3 2 2 2 2 3 2 3 2 2" xfId="48335"/>
    <cellStyle name="Обычный 124 3 2 2 2 2 3 2 3 3" xfId="41048"/>
    <cellStyle name="Обычный 124 3 2 2 2 2 3 2 4" xfId="29861"/>
    <cellStyle name="Обычный 124 3 2 2 2 2 3 2 4 2" xfId="44685"/>
    <cellStyle name="Обычный 124 3 2 2 2 2 3 2 5" xfId="37462"/>
    <cellStyle name="Обычный 124 3 2 2 2 2 3 2 6" xfId="22543"/>
    <cellStyle name="Обычный 124 3 2 2 2 2 3 3" xfId="19755"/>
    <cellStyle name="Обычный 124 3 2 2 2 2 3 3 2" xfId="27124"/>
    <cellStyle name="Обычный 124 3 2 2 2 2 3 3 2 2" xfId="34435"/>
    <cellStyle name="Обычный 124 3 2 2 2 2 3 3 2 2 2" xfId="49255"/>
    <cellStyle name="Обычный 124 3 2 2 2 2 3 3 2 3" xfId="41964"/>
    <cellStyle name="Обычный 124 3 2 2 2 2 3 3 3" xfId="30781"/>
    <cellStyle name="Обычный 124 3 2 2 2 2 3 3 3 2" xfId="45604"/>
    <cellStyle name="Обычный 124 3 2 2 2 2 3 3 4" xfId="38278"/>
    <cellStyle name="Обычный 124 3 2 2 2 2 3 3 5" xfId="23466"/>
    <cellStyle name="Обычный 124 3 2 2 2 2 3 4" xfId="25283"/>
    <cellStyle name="Обычный 124 3 2 2 2 2 3 4 2" xfId="32594"/>
    <cellStyle name="Обычный 124 3 2 2 2 2 3 4 2 2" xfId="47417"/>
    <cellStyle name="Обычный 124 3 2 2 2 2 3 4 3" xfId="40175"/>
    <cellStyle name="Обычный 124 3 2 2 2 2 3 5" xfId="28940"/>
    <cellStyle name="Обычный 124 3 2 2 2 2 3 5 2" xfId="43777"/>
    <cellStyle name="Обычный 124 3 2 2 2 2 3 6" xfId="36278"/>
    <cellStyle name="Обычный 124 3 2 2 2 2 3 7" xfId="21622"/>
    <cellStyle name="Обычный 124 3 2 2 2 2 4" xfId="18409"/>
    <cellStyle name="Обычный 124 3 2 2 2 2 4 2" xfId="20291"/>
    <cellStyle name="Обычный 124 3 2 2 2 2 4 2 2" xfId="27617"/>
    <cellStyle name="Обычный 124 3 2 2 2 2 4 2 2 2" xfId="34928"/>
    <cellStyle name="Обычный 124 3 2 2 2 2 4 2 2 2 2" xfId="49748"/>
    <cellStyle name="Обычный 124 3 2 2 2 2 4 2 2 3" xfId="42456"/>
    <cellStyle name="Обычный 124 3 2 2 2 2 4 2 3" xfId="31274"/>
    <cellStyle name="Обычный 124 3 2 2 2 2 4 2 3 2" xfId="46097"/>
    <cellStyle name="Обычный 124 3 2 2 2 2 4 2 4" xfId="38772"/>
    <cellStyle name="Обычный 124 3 2 2 2 2 4 2 5" xfId="23959"/>
    <cellStyle name="Обычный 124 3 2 2 2 2 4 3" xfId="25791"/>
    <cellStyle name="Обычный 124 3 2 2 2 2 4 3 2" xfId="33102"/>
    <cellStyle name="Обычный 124 3 2 2 2 2 4 3 2 2" xfId="47922"/>
    <cellStyle name="Обычный 124 3 2 2 2 2 4 3 3" xfId="40644"/>
    <cellStyle name="Обычный 124 3 2 2 2 2 4 4" xfId="29448"/>
    <cellStyle name="Обычный 124 3 2 2 2 2 4 4 2" xfId="44272"/>
    <cellStyle name="Обычный 124 3 2 2 2 2 4 5" xfId="37049"/>
    <cellStyle name="Обычный 124 3 2 2 2 2 4 6" xfId="22130"/>
    <cellStyle name="Обычный 124 3 2 2 2 2 5" xfId="19304"/>
    <cellStyle name="Обычный 124 3 2 2 2 2 5 2" xfId="26674"/>
    <cellStyle name="Обычный 124 3 2 2 2 2 5 2 2" xfId="33985"/>
    <cellStyle name="Обычный 124 3 2 2 2 2 5 2 2 2" xfId="48805"/>
    <cellStyle name="Обычный 124 3 2 2 2 2 5 2 3" xfId="41514"/>
    <cellStyle name="Обычный 124 3 2 2 2 2 5 3" xfId="30331"/>
    <cellStyle name="Обычный 124 3 2 2 2 2 5 3 2" xfId="45154"/>
    <cellStyle name="Обычный 124 3 2 2 2 2 5 4" xfId="37828"/>
    <cellStyle name="Обычный 124 3 2 2 2 2 5 5" xfId="23016"/>
    <cellStyle name="Обычный 124 3 2 2 2 2 6" xfId="24833"/>
    <cellStyle name="Обычный 124 3 2 2 2 2 6 2" xfId="32144"/>
    <cellStyle name="Обычный 124 3 2 2 2 2 6 2 2" xfId="46967"/>
    <cellStyle name="Обычный 124 3 2 2 2 2 6 3" xfId="39732"/>
    <cellStyle name="Обычный 124 3 2 2 2 2 7" xfId="28490"/>
    <cellStyle name="Обычный 124 3 2 2 2 2 7 2" xfId="43327"/>
    <cellStyle name="Обычный 124 3 2 2 2 2 8" xfId="35829"/>
    <cellStyle name="Обычный 124 3 2 2 2 2 9" xfId="21172"/>
    <cellStyle name="Обычный 124 3 2 2 2 3" xfId="17823"/>
    <cellStyle name="Обычный 124 3 2 2 2 3 2" xfId="18937"/>
    <cellStyle name="Обычный 124 3 2 2 2 3 2 2" xfId="20816"/>
    <cellStyle name="Обычный 124 3 2 2 2 3 2 2 2" xfId="24484"/>
    <cellStyle name="Обычный 124 3 2 2 2 3 2 2 2 2" xfId="28142"/>
    <cellStyle name="Обычный 124 3 2 2 2 3 2 2 2 2 2" xfId="35453"/>
    <cellStyle name="Обычный 124 3 2 2 2 3 2 2 2 2 2 2" xfId="50273"/>
    <cellStyle name="Обычный 124 3 2 2 2 3 2 2 2 2 3" xfId="42981"/>
    <cellStyle name="Обычный 124 3 2 2 2 3 2 2 2 3" xfId="31799"/>
    <cellStyle name="Обычный 124 3 2 2 2 3 2 2 2 3 2" xfId="46622"/>
    <cellStyle name="Обычный 124 3 2 2 2 3 2 2 2 4" xfId="39444"/>
    <cellStyle name="Обычный 124 3 2 2 2 3 2 2 3" xfId="26316"/>
    <cellStyle name="Обычный 124 3 2 2 2 3 2 2 3 2" xfId="33627"/>
    <cellStyle name="Обычный 124 3 2 2 2 3 2 2 3 2 2" xfId="48447"/>
    <cellStyle name="Обычный 124 3 2 2 2 3 2 2 3 3" xfId="41160"/>
    <cellStyle name="Обычный 124 3 2 2 2 3 2 2 4" xfId="29973"/>
    <cellStyle name="Обычный 124 3 2 2 2 3 2 2 4 2" xfId="44797"/>
    <cellStyle name="Обычный 124 3 2 2 2 3 2 2 5" xfId="39297"/>
    <cellStyle name="Обычный 124 3 2 2 2 3 2 2 6" xfId="22655"/>
    <cellStyle name="Обычный 124 3 2 2 2 3 2 3" xfId="19867"/>
    <cellStyle name="Обычный 124 3 2 2 2 3 2 3 2" xfId="27236"/>
    <cellStyle name="Обычный 124 3 2 2 2 3 2 3 2 2" xfId="34547"/>
    <cellStyle name="Обычный 124 3 2 2 2 3 2 3 2 2 2" xfId="49367"/>
    <cellStyle name="Обычный 124 3 2 2 2 3 2 3 2 3" xfId="42076"/>
    <cellStyle name="Обычный 124 3 2 2 2 3 2 3 3" xfId="30893"/>
    <cellStyle name="Обычный 124 3 2 2 2 3 2 3 3 2" xfId="45716"/>
    <cellStyle name="Обычный 124 3 2 2 2 3 2 3 4" xfId="38390"/>
    <cellStyle name="Обычный 124 3 2 2 2 3 2 3 5" xfId="23578"/>
    <cellStyle name="Обычный 124 3 2 2 2 3 2 4" xfId="25395"/>
    <cellStyle name="Обычный 124 3 2 2 2 3 2 4 2" xfId="32706"/>
    <cellStyle name="Обычный 124 3 2 2 2 3 2 4 2 2" xfId="47529"/>
    <cellStyle name="Обычный 124 3 2 2 2 3 2 4 3" xfId="40283"/>
    <cellStyle name="Обычный 124 3 2 2 2 3 2 5" xfId="29052"/>
    <cellStyle name="Обычный 124 3 2 2 2 3 2 5 2" xfId="43889"/>
    <cellStyle name="Обычный 124 3 2 2 2 3 2 6" xfId="36280"/>
    <cellStyle name="Обычный 124 3 2 2 2 3 2 7" xfId="21734"/>
    <cellStyle name="Обычный 124 3 2 2 2 3 3" xfId="18411"/>
    <cellStyle name="Обычный 124 3 2 2 2 3 3 2" xfId="20293"/>
    <cellStyle name="Обычный 124 3 2 2 2 3 3 2 2" xfId="27619"/>
    <cellStyle name="Обычный 124 3 2 2 2 3 3 2 2 2" xfId="34930"/>
    <cellStyle name="Обычный 124 3 2 2 2 3 3 2 2 2 2" xfId="49750"/>
    <cellStyle name="Обычный 124 3 2 2 2 3 3 2 2 3" xfId="42458"/>
    <cellStyle name="Обычный 124 3 2 2 2 3 3 2 3" xfId="31276"/>
    <cellStyle name="Обычный 124 3 2 2 2 3 3 2 3 2" xfId="46099"/>
    <cellStyle name="Обычный 124 3 2 2 2 3 3 2 4" xfId="38774"/>
    <cellStyle name="Обычный 124 3 2 2 2 3 3 2 5" xfId="23961"/>
    <cellStyle name="Обычный 124 3 2 2 2 3 3 3" xfId="25793"/>
    <cellStyle name="Обычный 124 3 2 2 2 3 3 3 2" xfId="33104"/>
    <cellStyle name="Обычный 124 3 2 2 2 3 3 3 2 2" xfId="47924"/>
    <cellStyle name="Обычный 124 3 2 2 2 3 3 3 3" xfId="40646"/>
    <cellStyle name="Обычный 124 3 2 2 2 3 3 4" xfId="29450"/>
    <cellStyle name="Обычный 124 3 2 2 2 3 3 4 2" xfId="44274"/>
    <cellStyle name="Обычный 124 3 2 2 2 3 3 5" xfId="37051"/>
    <cellStyle name="Обычный 124 3 2 2 2 3 3 6" xfId="22132"/>
    <cellStyle name="Обычный 124 3 2 2 2 3 4" xfId="19416"/>
    <cellStyle name="Обычный 124 3 2 2 2 3 4 2" xfId="26786"/>
    <cellStyle name="Обычный 124 3 2 2 2 3 4 2 2" xfId="34097"/>
    <cellStyle name="Обычный 124 3 2 2 2 3 4 2 2 2" xfId="48917"/>
    <cellStyle name="Обычный 124 3 2 2 2 3 4 2 3" xfId="41626"/>
    <cellStyle name="Обычный 124 3 2 2 2 3 4 3" xfId="30443"/>
    <cellStyle name="Обычный 124 3 2 2 2 3 4 3 2" xfId="45266"/>
    <cellStyle name="Обычный 124 3 2 2 2 3 4 4" xfId="37940"/>
    <cellStyle name="Обычный 124 3 2 2 2 3 4 5" xfId="23128"/>
    <cellStyle name="Обычный 124 3 2 2 2 3 5" xfId="24945"/>
    <cellStyle name="Обычный 124 3 2 2 2 3 5 2" xfId="32256"/>
    <cellStyle name="Обычный 124 3 2 2 2 3 5 2 2" xfId="47079"/>
    <cellStyle name="Обычный 124 3 2 2 2 3 5 3" xfId="39840"/>
    <cellStyle name="Обычный 124 3 2 2 2 3 6" xfId="28602"/>
    <cellStyle name="Обычный 124 3 2 2 2 3 6 2" xfId="43439"/>
    <cellStyle name="Обычный 124 3 2 2 2 3 7" xfId="35831"/>
    <cellStyle name="Обычный 124 3 2 2 2 3 8" xfId="21284"/>
    <cellStyle name="Обычный 124 3 2 2 2 4" xfId="17599"/>
    <cellStyle name="Обычный 124 3 2 2 2 4 2" xfId="18713"/>
    <cellStyle name="Обычный 124 3 2 2 2 4 2 2" xfId="20592"/>
    <cellStyle name="Обычный 124 3 2 2 2 4 2 2 2" xfId="27918"/>
    <cellStyle name="Обычный 124 3 2 2 2 4 2 2 2 2" xfId="35229"/>
    <cellStyle name="Обычный 124 3 2 2 2 4 2 2 2 2 2" xfId="50049"/>
    <cellStyle name="Обычный 124 3 2 2 2 4 2 2 2 3" xfId="42757"/>
    <cellStyle name="Обычный 124 3 2 2 2 4 2 2 3" xfId="31575"/>
    <cellStyle name="Обычный 124 3 2 2 2 4 2 2 3 2" xfId="46398"/>
    <cellStyle name="Обычный 124 3 2 2 2 4 2 2 4" xfId="39073"/>
    <cellStyle name="Обычный 124 3 2 2 2 4 2 2 5" xfId="24260"/>
    <cellStyle name="Обычный 124 3 2 2 2 4 2 3" xfId="26092"/>
    <cellStyle name="Обычный 124 3 2 2 2 4 2 3 2" xfId="33403"/>
    <cellStyle name="Обычный 124 3 2 2 2 4 2 3 2 2" xfId="48223"/>
    <cellStyle name="Обычный 124 3 2 2 2 4 2 3 3" xfId="40936"/>
    <cellStyle name="Обычный 124 3 2 2 2 4 2 4" xfId="29749"/>
    <cellStyle name="Обычный 124 3 2 2 2 4 2 4 2" xfId="44573"/>
    <cellStyle name="Обычный 124 3 2 2 2 4 2 5" xfId="37350"/>
    <cellStyle name="Обычный 124 3 2 2 2 4 2 6" xfId="22431"/>
    <cellStyle name="Обычный 124 3 2 2 2 4 3" xfId="19643"/>
    <cellStyle name="Обычный 124 3 2 2 2 4 3 2" xfId="27012"/>
    <cellStyle name="Обычный 124 3 2 2 2 4 3 2 2" xfId="34323"/>
    <cellStyle name="Обычный 124 3 2 2 2 4 3 2 2 2" xfId="49143"/>
    <cellStyle name="Обычный 124 3 2 2 2 4 3 2 3" xfId="41852"/>
    <cellStyle name="Обычный 124 3 2 2 2 4 3 3" xfId="30669"/>
    <cellStyle name="Обычный 124 3 2 2 2 4 3 3 2" xfId="45492"/>
    <cellStyle name="Обычный 124 3 2 2 2 4 3 4" xfId="38166"/>
    <cellStyle name="Обычный 124 3 2 2 2 4 3 5" xfId="23354"/>
    <cellStyle name="Обычный 124 3 2 2 2 4 4" xfId="25171"/>
    <cellStyle name="Обычный 124 3 2 2 2 4 4 2" xfId="32482"/>
    <cellStyle name="Обычный 124 3 2 2 2 4 4 2 2" xfId="47305"/>
    <cellStyle name="Обычный 124 3 2 2 2 4 4 3" xfId="40065"/>
    <cellStyle name="Обычный 124 3 2 2 2 4 5" xfId="28828"/>
    <cellStyle name="Обычный 124 3 2 2 2 4 5 2" xfId="43665"/>
    <cellStyle name="Обычный 124 3 2 2 2 4 6" xfId="36277"/>
    <cellStyle name="Обычный 124 3 2 2 2 4 7" xfId="21510"/>
    <cellStyle name="Обычный 124 3 2 2 2 5" xfId="18408"/>
    <cellStyle name="Обычный 124 3 2 2 2 5 2" xfId="20290"/>
    <cellStyle name="Обычный 124 3 2 2 2 5 2 2" xfId="27616"/>
    <cellStyle name="Обычный 124 3 2 2 2 5 2 2 2" xfId="34927"/>
    <cellStyle name="Обычный 124 3 2 2 2 5 2 2 2 2" xfId="49747"/>
    <cellStyle name="Обычный 124 3 2 2 2 5 2 2 3" xfId="42455"/>
    <cellStyle name="Обычный 124 3 2 2 2 5 2 3" xfId="31273"/>
    <cellStyle name="Обычный 124 3 2 2 2 5 2 3 2" xfId="46096"/>
    <cellStyle name="Обычный 124 3 2 2 2 5 2 4" xfId="38771"/>
    <cellStyle name="Обычный 124 3 2 2 2 5 2 5" xfId="23958"/>
    <cellStyle name="Обычный 124 3 2 2 2 5 3" xfId="25790"/>
    <cellStyle name="Обычный 124 3 2 2 2 5 3 2" xfId="33101"/>
    <cellStyle name="Обычный 124 3 2 2 2 5 3 2 2" xfId="47921"/>
    <cellStyle name="Обычный 124 3 2 2 2 5 3 3" xfId="40643"/>
    <cellStyle name="Обычный 124 3 2 2 2 5 4" xfId="29447"/>
    <cellStyle name="Обычный 124 3 2 2 2 5 4 2" xfId="44271"/>
    <cellStyle name="Обычный 124 3 2 2 2 5 5" xfId="37048"/>
    <cellStyle name="Обычный 124 3 2 2 2 5 6" xfId="22129"/>
    <cellStyle name="Обычный 124 3 2 2 2 6" xfId="19193"/>
    <cellStyle name="Обычный 124 3 2 2 2 6 2" xfId="26564"/>
    <cellStyle name="Обычный 124 3 2 2 2 6 2 2" xfId="33875"/>
    <cellStyle name="Обычный 124 3 2 2 2 6 2 2 2" xfId="48695"/>
    <cellStyle name="Обычный 124 3 2 2 2 6 2 3" xfId="41404"/>
    <cellStyle name="Обычный 124 3 2 2 2 6 3" xfId="30221"/>
    <cellStyle name="Обычный 124 3 2 2 2 6 3 2" xfId="45044"/>
    <cellStyle name="Обычный 124 3 2 2 2 6 4" xfId="37718"/>
    <cellStyle name="Обычный 124 3 2 2 2 6 5" xfId="22906"/>
    <cellStyle name="Обычный 124 3 2 2 2 7" xfId="24721"/>
    <cellStyle name="Обычный 124 3 2 2 2 7 2" xfId="32032"/>
    <cellStyle name="Обычный 124 3 2 2 2 7 2 2" xfId="46855"/>
    <cellStyle name="Обычный 124 3 2 2 2 7 3" xfId="39625"/>
    <cellStyle name="Обычный 124 3 2 2 2 8" xfId="28378"/>
    <cellStyle name="Обычный 124 3 2 2 2 8 2" xfId="43215"/>
    <cellStyle name="Обычный 124 3 2 2 2 9" xfId="35828"/>
    <cellStyle name="Обычный 124 3 2 2 3" xfId="17429"/>
    <cellStyle name="Обычный 124 3 2 2 3 2" xfId="17879"/>
    <cellStyle name="Обычный 124 3 2 2 3 2 2" xfId="18993"/>
    <cellStyle name="Обычный 124 3 2 2 3 2 2 2" xfId="20872"/>
    <cellStyle name="Обычный 124 3 2 2 3 2 2 2 2" xfId="24540"/>
    <cellStyle name="Обычный 124 3 2 2 3 2 2 2 2 2" xfId="28198"/>
    <cellStyle name="Обычный 124 3 2 2 3 2 2 2 2 2 2" xfId="35509"/>
    <cellStyle name="Обычный 124 3 2 2 3 2 2 2 2 2 2 2" xfId="50329"/>
    <cellStyle name="Обычный 124 3 2 2 3 2 2 2 2 2 3" xfId="43037"/>
    <cellStyle name="Обычный 124 3 2 2 3 2 2 2 2 3" xfId="31855"/>
    <cellStyle name="Обычный 124 3 2 2 3 2 2 2 2 3 2" xfId="46678"/>
    <cellStyle name="Обычный 124 3 2 2 3 2 2 2 2 4" xfId="39476"/>
    <cellStyle name="Обычный 124 3 2 2 3 2 2 2 3" xfId="26372"/>
    <cellStyle name="Обычный 124 3 2 2 3 2 2 2 3 2" xfId="33683"/>
    <cellStyle name="Обычный 124 3 2 2 3 2 2 2 3 2 2" xfId="48503"/>
    <cellStyle name="Обычный 124 3 2 2 3 2 2 2 3 3" xfId="41216"/>
    <cellStyle name="Обычный 124 3 2 2 3 2 2 2 4" xfId="30029"/>
    <cellStyle name="Обычный 124 3 2 2 3 2 2 2 4 2" xfId="44853"/>
    <cellStyle name="Обычный 124 3 2 2 3 2 2 2 5" xfId="39353"/>
    <cellStyle name="Обычный 124 3 2 2 3 2 2 2 6" xfId="22711"/>
    <cellStyle name="Обычный 124 3 2 2 3 2 2 3" xfId="19923"/>
    <cellStyle name="Обычный 124 3 2 2 3 2 2 3 2" xfId="27292"/>
    <cellStyle name="Обычный 124 3 2 2 3 2 2 3 2 2" xfId="34603"/>
    <cellStyle name="Обычный 124 3 2 2 3 2 2 3 2 2 2" xfId="49423"/>
    <cellStyle name="Обычный 124 3 2 2 3 2 2 3 2 3" xfId="42132"/>
    <cellStyle name="Обычный 124 3 2 2 3 2 2 3 3" xfId="30949"/>
    <cellStyle name="Обычный 124 3 2 2 3 2 2 3 3 2" xfId="45772"/>
    <cellStyle name="Обычный 124 3 2 2 3 2 2 3 4" xfId="38446"/>
    <cellStyle name="Обычный 124 3 2 2 3 2 2 3 5" xfId="23634"/>
    <cellStyle name="Обычный 124 3 2 2 3 2 2 4" xfId="25451"/>
    <cellStyle name="Обычный 124 3 2 2 3 2 2 4 2" xfId="32762"/>
    <cellStyle name="Обычный 124 3 2 2 3 2 2 4 2 2" xfId="47585"/>
    <cellStyle name="Обычный 124 3 2 2 3 2 2 4 3" xfId="40339"/>
    <cellStyle name="Обычный 124 3 2 2 3 2 2 5" xfId="29108"/>
    <cellStyle name="Обычный 124 3 2 2 3 2 2 5 2" xfId="43945"/>
    <cellStyle name="Обычный 124 3 2 2 3 2 2 6" xfId="36282"/>
    <cellStyle name="Обычный 124 3 2 2 3 2 2 7" xfId="21790"/>
    <cellStyle name="Обычный 124 3 2 2 3 2 3" xfId="18413"/>
    <cellStyle name="Обычный 124 3 2 2 3 2 3 2" xfId="20295"/>
    <cellStyle name="Обычный 124 3 2 2 3 2 3 2 2" xfId="27621"/>
    <cellStyle name="Обычный 124 3 2 2 3 2 3 2 2 2" xfId="34932"/>
    <cellStyle name="Обычный 124 3 2 2 3 2 3 2 2 2 2" xfId="49752"/>
    <cellStyle name="Обычный 124 3 2 2 3 2 3 2 2 3" xfId="42460"/>
    <cellStyle name="Обычный 124 3 2 2 3 2 3 2 3" xfId="31278"/>
    <cellStyle name="Обычный 124 3 2 2 3 2 3 2 3 2" xfId="46101"/>
    <cellStyle name="Обычный 124 3 2 2 3 2 3 2 4" xfId="38776"/>
    <cellStyle name="Обычный 124 3 2 2 3 2 3 2 5" xfId="23963"/>
    <cellStyle name="Обычный 124 3 2 2 3 2 3 3" xfId="25795"/>
    <cellStyle name="Обычный 124 3 2 2 3 2 3 3 2" xfId="33106"/>
    <cellStyle name="Обычный 124 3 2 2 3 2 3 3 2 2" xfId="47926"/>
    <cellStyle name="Обычный 124 3 2 2 3 2 3 3 3" xfId="40648"/>
    <cellStyle name="Обычный 124 3 2 2 3 2 3 4" xfId="29452"/>
    <cellStyle name="Обычный 124 3 2 2 3 2 3 4 2" xfId="44276"/>
    <cellStyle name="Обычный 124 3 2 2 3 2 3 5" xfId="37053"/>
    <cellStyle name="Обычный 124 3 2 2 3 2 3 6" xfId="22134"/>
    <cellStyle name="Обычный 124 3 2 2 3 2 4" xfId="19472"/>
    <cellStyle name="Обычный 124 3 2 2 3 2 4 2" xfId="26842"/>
    <cellStyle name="Обычный 124 3 2 2 3 2 4 2 2" xfId="34153"/>
    <cellStyle name="Обычный 124 3 2 2 3 2 4 2 2 2" xfId="48973"/>
    <cellStyle name="Обычный 124 3 2 2 3 2 4 2 3" xfId="41682"/>
    <cellStyle name="Обычный 124 3 2 2 3 2 4 3" xfId="30499"/>
    <cellStyle name="Обычный 124 3 2 2 3 2 4 3 2" xfId="45322"/>
    <cellStyle name="Обычный 124 3 2 2 3 2 4 4" xfId="37996"/>
    <cellStyle name="Обычный 124 3 2 2 3 2 4 5" xfId="23184"/>
    <cellStyle name="Обычный 124 3 2 2 3 2 5" xfId="25001"/>
    <cellStyle name="Обычный 124 3 2 2 3 2 5 2" xfId="32312"/>
    <cellStyle name="Обычный 124 3 2 2 3 2 5 2 2" xfId="47135"/>
    <cellStyle name="Обычный 124 3 2 2 3 2 5 3" xfId="39896"/>
    <cellStyle name="Обычный 124 3 2 2 3 2 6" xfId="28658"/>
    <cellStyle name="Обычный 124 3 2 2 3 2 6 2" xfId="43495"/>
    <cellStyle name="Обычный 124 3 2 2 3 2 7" xfId="35833"/>
    <cellStyle name="Обычный 124 3 2 2 3 2 8" xfId="21340"/>
    <cellStyle name="Обычный 124 3 2 2 3 3" xfId="17655"/>
    <cellStyle name="Обычный 124 3 2 2 3 3 2" xfId="18769"/>
    <cellStyle name="Обычный 124 3 2 2 3 3 2 2" xfId="20648"/>
    <cellStyle name="Обычный 124 3 2 2 3 3 2 2 2" xfId="27974"/>
    <cellStyle name="Обычный 124 3 2 2 3 3 2 2 2 2" xfId="35285"/>
    <cellStyle name="Обычный 124 3 2 2 3 3 2 2 2 2 2" xfId="50105"/>
    <cellStyle name="Обычный 124 3 2 2 3 3 2 2 2 3" xfId="42813"/>
    <cellStyle name="Обычный 124 3 2 2 3 3 2 2 3" xfId="31631"/>
    <cellStyle name="Обычный 124 3 2 2 3 3 2 2 3 2" xfId="46454"/>
    <cellStyle name="Обычный 124 3 2 2 3 3 2 2 4" xfId="39129"/>
    <cellStyle name="Обычный 124 3 2 2 3 3 2 2 5" xfId="24316"/>
    <cellStyle name="Обычный 124 3 2 2 3 3 2 3" xfId="26148"/>
    <cellStyle name="Обычный 124 3 2 2 3 3 2 3 2" xfId="33459"/>
    <cellStyle name="Обычный 124 3 2 2 3 3 2 3 2 2" xfId="48279"/>
    <cellStyle name="Обычный 124 3 2 2 3 3 2 3 3" xfId="40992"/>
    <cellStyle name="Обычный 124 3 2 2 3 3 2 4" xfId="29805"/>
    <cellStyle name="Обычный 124 3 2 2 3 3 2 4 2" xfId="44629"/>
    <cellStyle name="Обычный 124 3 2 2 3 3 2 5" xfId="37406"/>
    <cellStyle name="Обычный 124 3 2 2 3 3 2 6" xfId="22487"/>
    <cellStyle name="Обычный 124 3 2 2 3 3 3" xfId="19699"/>
    <cellStyle name="Обычный 124 3 2 2 3 3 3 2" xfId="27068"/>
    <cellStyle name="Обычный 124 3 2 2 3 3 3 2 2" xfId="34379"/>
    <cellStyle name="Обычный 124 3 2 2 3 3 3 2 2 2" xfId="49199"/>
    <cellStyle name="Обычный 124 3 2 2 3 3 3 2 3" xfId="41908"/>
    <cellStyle name="Обычный 124 3 2 2 3 3 3 3" xfId="30725"/>
    <cellStyle name="Обычный 124 3 2 2 3 3 3 3 2" xfId="45548"/>
    <cellStyle name="Обычный 124 3 2 2 3 3 3 4" xfId="38222"/>
    <cellStyle name="Обычный 124 3 2 2 3 3 3 5" xfId="23410"/>
    <cellStyle name="Обычный 124 3 2 2 3 3 4" xfId="25227"/>
    <cellStyle name="Обычный 124 3 2 2 3 3 4 2" xfId="32538"/>
    <cellStyle name="Обычный 124 3 2 2 3 3 4 2 2" xfId="47361"/>
    <cellStyle name="Обычный 124 3 2 2 3 3 4 3" xfId="40119"/>
    <cellStyle name="Обычный 124 3 2 2 3 3 5" xfId="28884"/>
    <cellStyle name="Обычный 124 3 2 2 3 3 5 2" xfId="43721"/>
    <cellStyle name="Обычный 124 3 2 2 3 3 6" xfId="36281"/>
    <cellStyle name="Обычный 124 3 2 2 3 3 7" xfId="21566"/>
    <cellStyle name="Обычный 124 3 2 2 3 4" xfId="18412"/>
    <cellStyle name="Обычный 124 3 2 2 3 4 2" xfId="20294"/>
    <cellStyle name="Обычный 124 3 2 2 3 4 2 2" xfId="27620"/>
    <cellStyle name="Обычный 124 3 2 2 3 4 2 2 2" xfId="34931"/>
    <cellStyle name="Обычный 124 3 2 2 3 4 2 2 2 2" xfId="49751"/>
    <cellStyle name="Обычный 124 3 2 2 3 4 2 2 3" xfId="42459"/>
    <cellStyle name="Обычный 124 3 2 2 3 4 2 3" xfId="31277"/>
    <cellStyle name="Обычный 124 3 2 2 3 4 2 3 2" xfId="46100"/>
    <cellStyle name="Обычный 124 3 2 2 3 4 2 4" xfId="38775"/>
    <cellStyle name="Обычный 124 3 2 2 3 4 2 5" xfId="23962"/>
    <cellStyle name="Обычный 124 3 2 2 3 4 3" xfId="25794"/>
    <cellStyle name="Обычный 124 3 2 2 3 4 3 2" xfId="33105"/>
    <cellStyle name="Обычный 124 3 2 2 3 4 3 2 2" xfId="47925"/>
    <cellStyle name="Обычный 124 3 2 2 3 4 3 3" xfId="40647"/>
    <cellStyle name="Обычный 124 3 2 2 3 4 4" xfId="29451"/>
    <cellStyle name="Обычный 124 3 2 2 3 4 4 2" xfId="44275"/>
    <cellStyle name="Обычный 124 3 2 2 3 4 5" xfId="37052"/>
    <cellStyle name="Обычный 124 3 2 2 3 4 6" xfId="22133"/>
    <cellStyle name="Обычный 124 3 2 2 3 5" xfId="19249"/>
    <cellStyle name="Обычный 124 3 2 2 3 5 2" xfId="26619"/>
    <cellStyle name="Обычный 124 3 2 2 3 5 2 2" xfId="33930"/>
    <cellStyle name="Обычный 124 3 2 2 3 5 2 2 2" xfId="48750"/>
    <cellStyle name="Обычный 124 3 2 2 3 5 2 3" xfId="41459"/>
    <cellStyle name="Обычный 124 3 2 2 3 5 3" xfId="30276"/>
    <cellStyle name="Обычный 124 3 2 2 3 5 3 2" xfId="45099"/>
    <cellStyle name="Обычный 124 3 2 2 3 5 4" xfId="37773"/>
    <cellStyle name="Обычный 124 3 2 2 3 5 5" xfId="22961"/>
    <cellStyle name="Обычный 124 3 2 2 3 6" xfId="24777"/>
    <cellStyle name="Обычный 124 3 2 2 3 6 2" xfId="32088"/>
    <cellStyle name="Обычный 124 3 2 2 3 6 2 2" xfId="46911"/>
    <cellStyle name="Обычный 124 3 2 2 3 6 3" xfId="39678"/>
    <cellStyle name="Обычный 124 3 2 2 3 7" xfId="28434"/>
    <cellStyle name="Обычный 124 3 2 2 3 7 2" xfId="43271"/>
    <cellStyle name="Обычный 124 3 2 2 3 8" xfId="35832"/>
    <cellStyle name="Обычный 124 3 2 2 3 9" xfId="21116"/>
    <cellStyle name="Обычный 124 3 2 2 4" xfId="17312"/>
    <cellStyle name="Обычный 124 3 2 2 4 2" xfId="17767"/>
    <cellStyle name="Обычный 124 3 2 2 4 2 2" xfId="18881"/>
    <cellStyle name="Обычный 124 3 2 2 4 2 2 2" xfId="20760"/>
    <cellStyle name="Обычный 124 3 2 2 4 2 2 2 2" xfId="28086"/>
    <cellStyle name="Обычный 124 3 2 2 4 2 2 2 2 2" xfId="35397"/>
    <cellStyle name="Обычный 124 3 2 2 4 2 2 2 2 2 2" xfId="50217"/>
    <cellStyle name="Обычный 124 3 2 2 4 2 2 2 2 3" xfId="42925"/>
    <cellStyle name="Обычный 124 3 2 2 4 2 2 2 3" xfId="31743"/>
    <cellStyle name="Обычный 124 3 2 2 4 2 2 2 3 2" xfId="46566"/>
    <cellStyle name="Обычный 124 3 2 2 4 2 2 2 4" xfId="39241"/>
    <cellStyle name="Обычный 124 3 2 2 4 2 2 2 5" xfId="24428"/>
    <cellStyle name="Обычный 124 3 2 2 4 2 2 3" xfId="26260"/>
    <cellStyle name="Обычный 124 3 2 2 4 2 2 3 2" xfId="33571"/>
    <cellStyle name="Обычный 124 3 2 2 4 2 2 3 2 2" xfId="48391"/>
    <cellStyle name="Обычный 124 3 2 2 4 2 2 3 3" xfId="41104"/>
    <cellStyle name="Обычный 124 3 2 2 4 2 2 4" xfId="29917"/>
    <cellStyle name="Обычный 124 3 2 2 4 2 2 4 2" xfId="44741"/>
    <cellStyle name="Обычный 124 3 2 2 4 2 2 5" xfId="37517"/>
    <cellStyle name="Обычный 124 3 2 2 4 2 2 6" xfId="22599"/>
    <cellStyle name="Обычный 124 3 2 2 4 2 3" xfId="19811"/>
    <cellStyle name="Обычный 124 3 2 2 4 2 3 2" xfId="27180"/>
    <cellStyle name="Обычный 124 3 2 2 4 2 3 2 2" xfId="34491"/>
    <cellStyle name="Обычный 124 3 2 2 4 2 3 2 2 2" xfId="49311"/>
    <cellStyle name="Обычный 124 3 2 2 4 2 3 2 3" xfId="42020"/>
    <cellStyle name="Обычный 124 3 2 2 4 2 3 3" xfId="30837"/>
    <cellStyle name="Обычный 124 3 2 2 4 2 3 3 2" xfId="45660"/>
    <cellStyle name="Обычный 124 3 2 2 4 2 3 4" xfId="38334"/>
    <cellStyle name="Обычный 124 3 2 2 4 2 3 5" xfId="23522"/>
    <cellStyle name="Обычный 124 3 2 2 4 2 4" xfId="25339"/>
    <cellStyle name="Обычный 124 3 2 2 4 2 4 2" xfId="32650"/>
    <cellStyle name="Обычный 124 3 2 2 4 2 4 2 2" xfId="47473"/>
    <cellStyle name="Обычный 124 3 2 2 4 2 4 3" xfId="40227"/>
    <cellStyle name="Обычный 124 3 2 2 4 2 5" xfId="28996"/>
    <cellStyle name="Обычный 124 3 2 2 4 2 5 2" xfId="43833"/>
    <cellStyle name="Обычный 124 3 2 2 4 2 6" xfId="36283"/>
    <cellStyle name="Обычный 124 3 2 2 4 2 7" xfId="21678"/>
    <cellStyle name="Обычный 124 3 2 2 4 3" xfId="18414"/>
    <cellStyle name="Обычный 124 3 2 2 4 3 2" xfId="20296"/>
    <cellStyle name="Обычный 124 3 2 2 4 3 2 2" xfId="27622"/>
    <cellStyle name="Обычный 124 3 2 2 4 3 2 2 2" xfId="34933"/>
    <cellStyle name="Обычный 124 3 2 2 4 3 2 2 2 2" xfId="49753"/>
    <cellStyle name="Обычный 124 3 2 2 4 3 2 2 3" xfId="42461"/>
    <cellStyle name="Обычный 124 3 2 2 4 3 2 3" xfId="31279"/>
    <cellStyle name="Обычный 124 3 2 2 4 3 2 3 2" xfId="46102"/>
    <cellStyle name="Обычный 124 3 2 2 4 3 2 4" xfId="38777"/>
    <cellStyle name="Обычный 124 3 2 2 4 3 2 5" xfId="23964"/>
    <cellStyle name="Обычный 124 3 2 2 4 3 3" xfId="25796"/>
    <cellStyle name="Обычный 124 3 2 2 4 3 3 2" xfId="33107"/>
    <cellStyle name="Обычный 124 3 2 2 4 3 3 2 2" xfId="47927"/>
    <cellStyle name="Обычный 124 3 2 2 4 3 3 3" xfId="40649"/>
    <cellStyle name="Обычный 124 3 2 2 4 3 4" xfId="29453"/>
    <cellStyle name="Обычный 124 3 2 2 4 3 4 2" xfId="44277"/>
    <cellStyle name="Обычный 124 3 2 2 4 3 5" xfId="37054"/>
    <cellStyle name="Обычный 124 3 2 2 4 3 6" xfId="22135"/>
    <cellStyle name="Обычный 124 3 2 2 4 4" xfId="19360"/>
    <cellStyle name="Обычный 124 3 2 2 4 4 2" xfId="26730"/>
    <cellStyle name="Обычный 124 3 2 2 4 4 2 2" xfId="34041"/>
    <cellStyle name="Обычный 124 3 2 2 4 4 2 2 2" xfId="48861"/>
    <cellStyle name="Обычный 124 3 2 2 4 4 2 3" xfId="41570"/>
    <cellStyle name="Обычный 124 3 2 2 4 4 3" xfId="30387"/>
    <cellStyle name="Обычный 124 3 2 2 4 4 3 2" xfId="45210"/>
    <cellStyle name="Обычный 124 3 2 2 4 4 4" xfId="37884"/>
    <cellStyle name="Обычный 124 3 2 2 4 4 5" xfId="23072"/>
    <cellStyle name="Обычный 124 3 2 2 4 5" xfId="24889"/>
    <cellStyle name="Обычный 124 3 2 2 4 5 2" xfId="32200"/>
    <cellStyle name="Обычный 124 3 2 2 4 5 2 2" xfId="47023"/>
    <cellStyle name="Обычный 124 3 2 2 4 5 3" xfId="39784"/>
    <cellStyle name="Обычный 124 3 2 2 4 6" xfId="28546"/>
    <cellStyle name="Обычный 124 3 2 2 4 6 2" xfId="43383"/>
    <cellStyle name="Обычный 124 3 2 2 4 7" xfId="35834"/>
    <cellStyle name="Обычный 124 3 2 2 4 8" xfId="21228"/>
    <cellStyle name="Обычный 124 3 2 2 5" xfId="17543"/>
    <cellStyle name="Обычный 124 3 2 2 5 2" xfId="18657"/>
    <cellStyle name="Обычный 124 3 2 2 5 2 2" xfId="20536"/>
    <cellStyle name="Обычный 124 3 2 2 5 2 2 2" xfId="27862"/>
    <cellStyle name="Обычный 124 3 2 2 5 2 2 2 2" xfId="35173"/>
    <cellStyle name="Обычный 124 3 2 2 5 2 2 2 2 2" xfId="49993"/>
    <cellStyle name="Обычный 124 3 2 2 5 2 2 2 3" xfId="42701"/>
    <cellStyle name="Обычный 124 3 2 2 5 2 2 3" xfId="31519"/>
    <cellStyle name="Обычный 124 3 2 2 5 2 2 3 2" xfId="46342"/>
    <cellStyle name="Обычный 124 3 2 2 5 2 2 4" xfId="39017"/>
    <cellStyle name="Обычный 124 3 2 2 5 2 2 5" xfId="24204"/>
    <cellStyle name="Обычный 124 3 2 2 5 2 3" xfId="26036"/>
    <cellStyle name="Обычный 124 3 2 2 5 2 3 2" xfId="33347"/>
    <cellStyle name="Обычный 124 3 2 2 5 2 3 2 2" xfId="48167"/>
    <cellStyle name="Обычный 124 3 2 2 5 2 3 3" xfId="40880"/>
    <cellStyle name="Обычный 124 3 2 2 5 2 4" xfId="29693"/>
    <cellStyle name="Обычный 124 3 2 2 5 2 4 2" xfId="44517"/>
    <cellStyle name="Обычный 124 3 2 2 5 2 5" xfId="37294"/>
    <cellStyle name="Обычный 124 3 2 2 5 2 6" xfId="22375"/>
    <cellStyle name="Обычный 124 3 2 2 5 3" xfId="19587"/>
    <cellStyle name="Обычный 124 3 2 2 5 3 2" xfId="26956"/>
    <cellStyle name="Обычный 124 3 2 2 5 3 2 2" xfId="34267"/>
    <cellStyle name="Обычный 124 3 2 2 5 3 2 2 2" xfId="49087"/>
    <cellStyle name="Обычный 124 3 2 2 5 3 2 3" xfId="41796"/>
    <cellStyle name="Обычный 124 3 2 2 5 3 3" xfId="30613"/>
    <cellStyle name="Обычный 124 3 2 2 5 3 3 2" xfId="45436"/>
    <cellStyle name="Обычный 124 3 2 2 5 3 4" xfId="38110"/>
    <cellStyle name="Обычный 124 3 2 2 5 3 5" xfId="23298"/>
    <cellStyle name="Обычный 124 3 2 2 5 4" xfId="25115"/>
    <cellStyle name="Обычный 124 3 2 2 5 4 2" xfId="32426"/>
    <cellStyle name="Обычный 124 3 2 2 5 4 2 2" xfId="47249"/>
    <cellStyle name="Обычный 124 3 2 2 5 4 3" xfId="40009"/>
    <cellStyle name="Обычный 124 3 2 2 5 5" xfId="28772"/>
    <cellStyle name="Обычный 124 3 2 2 5 5 2" xfId="43609"/>
    <cellStyle name="Обычный 124 3 2 2 5 6" xfId="36276"/>
    <cellStyle name="Обычный 124 3 2 2 5 7" xfId="21454"/>
    <cellStyle name="Обычный 124 3 2 2 6" xfId="18407"/>
    <cellStyle name="Обычный 124 3 2 2 6 2" xfId="20289"/>
    <cellStyle name="Обычный 124 3 2 2 6 2 2" xfId="27615"/>
    <cellStyle name="Обычный 124 3 2 2 6 2 2 2" xfId="34926"/>
    <cellStyle name="Обычный 124 3 2 2 6 2 2 2 2" xfId="49746"/>
    <cellStyle name="Обычный 124 3 2 2 6 2 2 3" xfId="42454"/>
    <cellStyle name="Обычный 124 3 2 2 6 2 3" xfId="31272"/>
    <cellStyle name="Обычный 124 3 2 2 6 2 3 2" xfId="46095"/>
    <cellStyle name="Обычный 124 3 2 2 6 2 4" xfId="38770"/>
    <cellStyle name="Обычный 124 3 2 2 6 2 5" xfId="23957"/>
    <cellStyle name="Обычный 124 3 2 2 6 3" xfId="25789"/>
    <cellStyle name="Обычный 124 3 2 2 6 3 2" xfId="33100"/>
    <cellStyle name="Обычный 124 3 2 2 6 3 2 2" xfId="47920"/>
    <cellStyle name="Обычный 124 3 2 2 6 3 3" xfId="40642"/>
    <cellStyle name="Обычный 124 3 2 2 6 4" xfId="29446"/>
    <cellStyle name="Обычный 124 3 2 2 6 4 2" xfId="44270"/>
    <cellStyle name="Обычный 124 3 2 2 6 5" xfId="37047"/>
    <cellStyle name="Обычный 124 3 2 2 6 6" xfId="22128"/>
    <cellStyle name="Обычный 124 3 2 2 7" xfId="19139"/>
    <cellStyle name="Обычный 124 3 2 2 7 2" xfId="26511"/>
    <cellStyle name="Обычный 124 3 2 2 7 2 2" xfId="33822"/>
    <cellStyle name="Обычный 124 3 2 2 7 2 2 2" xfId="48642"/>
    <cellStyle name="Обычный 124 3 2 2 7 2 3" xfId="41351"/>
    <cellStyle name="Обычный 124 3 2 2 7 3" xfId="30168"/>
    <cellStyle name="Обычный 124 3 2 2 7 3 2" xfId="44991"/>
    <cellStyle name="Обычный 124 3 2 2 7 4" xfId="37665"/>
    <cellStyle name="Обычный 124 3 2 2 7 5" xfId="22853"/>
    <cellStyle name="Обычный 124 3 2 2 8" xfId="24665"/>
    <cellStyle name="Обычный 124 3 2 2 8 2" xfId="31976"/>
    <cellStyle name="Обычный 124 3 2 2 8 2 2" xfId="46799"/>
    <cellStyle name="Обычный 124 3 2 2 8 3" xfId="39585"/>
    <cellStyle name="Обычный 124 3 2 2 9" xfId="28322"/>
    <cellStyle name="Обычный 124 3 2 2 9 2" xfId="43159"/>
    <cellStyle name="Обычный 124 3 2 3" xfId="17182"/>
    <cellStyle name="Обычный 124 3 2 3 10" xfId="21032"/>
    <cellStyle name="Обычный 124 3 2 3 2" xfId="17457"/>
    <cellStyle name="Обычный 124 3 2 3 2 2" xfId="17907"/>
    <cellStyle name="Обычный 124 3 2 3 2 2 2" xfId="19021"/>
    <cellStyle name="Обычный 124 3 2 3 2 2 2 2" xfId="20900"/>
    <cellStyle name="Обычный 124 3 2 3 2 2 2 2 2" xfId="24568"/>
    <cellStyle name="Обычный 124 3 2 3 2 2 2 2 2 2" xfId="28226"/>
    <cellStyle name="Обычный 124 3 2 3 2 2 2 2 2 2 2" xfId="35537"/>
    <cellStyle name="Обычный 124 3 2 3 2 2 2 2 2 2 2 2" xfId="50357"/>
    <cellStyle name="Обычный 124 3 2 3 2 2 2 2 2 2 3" xfId="43065"/>
    <cellStyle name="Обычный 124 3 2 3 2 2 2 2 2 3" xfId="31883"/>
    <cellStyle name="Обычный 124 3 2 3 2 2 2 2 2 3 2" xfId="46706"/>
    <cellStyle name="Обычный 124 3 2 3 2 2 2 2 2 4" xfId="39501"/>
    <cellStyle name="Обычный 124 3 2 3 2 2 2 2 3" xfId="26400"/>
    <cellStyle name="Обычный 124 3 2 3 2 2 2 2 3 2" xfId="33711"/>
    <cellStyle name="Обычный 124 3 2 3 2 2 2 2 3 2 2" xfId="48531"/>
    <cellStyle name="Обычный 124 3 2 3 2 2 2 2 3 3" xfId="41244"/>
    <cellStyle name="Обычный 124 3 2 3 2 2 2 2 4" xfId="30057"/>
    <cellStyle name="Обычный 124 3 2 3 2 2 2 2 4 2" xfId="44881"/>
    <cellStyle name="Обычный 124 3 2 3 2 2 2 2 5" xfId="39381"/>
    <cellStyle name="Обычный 124 3 2 3 2 2 2 2 6" xfId="22739"/>
    <cellStyle name="Обычный 124 3 2 3 2 2 2 3" xfId="19951"/>
    <cellStyle name="Обычный 124 3 2 3 2 2 2 3 2" xfId="27320"/>
    <cellStyle name="Обычный 124 3 2 3 2 2 2 3 2 2" xfId="34631"/>
    <cellStyle name="Обычный 124 3 2 3 2 2 2 3 2 2 2" xfId="49451"/>
    <cellStyle name="Обычный 124 3 2 3 2 2 2 3 2 3" xfId="42160"/>
    <cellStyle name="Обычный 124 3 2 3 2 2 2 3 3" xfId="30977"/>
    <cellStyle name="Обычный 124 3 2 3 2 2 2 3 3 2" xfId="45800"/>
    <cellStyle name="Обычный 124 3 2 3 2 2 2 3 4" xfId="38474"/>
    <cellStyle name="Обычный 124 3 2 3 2 2 2 3 5" xfId="23662"/>
    <cellStyle name="Обычный 124 3 2 3 2 2 2 4" xfId="25479"/>
    <cellStyle name="Обычный 124 3 2 3 2 2 2 4 2" xfId="32790"/>
    <cellStyle name="Обычный 124 3 2 3 2 2 2 4 2 2" xfId="47613"/>
    <cellStyle name="Обычный 124 3 2 3 2 2 2 4 3" xfId="40367"/>
    <cellStyle name="Обычный 124 3 2 3 2 2 2 5" xfId="29136"/>
    <cellStyle name="Обычный 124 3 2 3 2 2 2 5 2" xfId="43973"/>
    <cellStyle name="Обычный 124 3 2 3 2 2 2 6" xfId="36286"/>
    <cellStyle name="Обычный 124 3 2 3 2 2 2 7" xfId="21818"/>
    <cellStyle name="Обычный 124 3 2 3 2 2 3" xfId="18417"/>
    <cellStyle name="Обычный 124 3 2 3 2 2 3 2" xfId="20299"/>
    <cellStyle name="Обычный 124 3 2 3 2 2 3 2 2" xfId="27625"/>
    <cellStyle name="Обычный 124 3 2 3 2 2 3 2 2 2" xfId="34936"/>
    <cellStyle name="Обычный 124 3 2 3 2 2 3 2 2 2 2" xfId="49756"/>
    <cellStyle name="Обычный 124 3 2 3 2 2 3 2 2 3" xfId="42464"/>
    <cellStyle name="Обычный 124 3 2 3 2 2 3 2 3" xfId="31282"/>
    <cellStyle name="Обычный 124 3 2 3 2 2 3 2 3 2" xfId="46105"/>
    <cellStyle name="Обычный 124 3 2 3 2 2 3 2 4" xfId="38780"/>
    <cellStyle name="Обычный 124 3 2 3 2 2 3 2 5" xfId="23967"/>
    <cellStyle name="Обычный 124 3 2 3 2 2 3 3" xfId="25799"/>
    <cellStyle name="Обычный 124 3 2 3 2 2 3 3 2" xfId="33110"/>
    <cellStyle name="Обычный 124 3 2 3 2 2 3 3 2 2" xfId="47930"/>
    <cellStyle name="Обычный 124 3 2 3 2 2 3 3 3" xfId="40652"/>
    <cellStyle name="Обычный 124 3 2 3 2 2 3 4" xfId="29456"/>
    <cellStyle name="Обычный 124 3 2 3 2 2 3 4 2" xfId="44280"/>
    <cellStyle name="Обычный 124 3 2 3 2 2 3 5" xfId="37057"/>
    <cellStyle name="Обычный 124 3 2 3 2 2 3 6" xfId="22138"/>
    <cellStyle name="Обычный 124 3 2 3 2 2 4" xfId="19500"/>
    <cellStyle name="Обычный 124 3 2 3 2 2 4 2" xfId="26870"/>
    <cellStyle name="Обычный 124 3 2 3 2 2 4 2 2" xfId="34181"/>
    <cellStyle name="Обычный 124 3 2 3 2 2 4 2 2 2" xfId="49001"/>
    <cellStyle name="Обычный 124 3 2 3 2 2 4 2 3" xfId="41710"/>
    <cellStyle name="Обычный 124 3 2 3 2 2 4 3" xfId="30527"/>
    <cellStyle name="Обычный 124 3 2 3 2 2 4 3 2" xfId="45350"/>
    <cellStyle name="Обычный 124 3 2 3 2 2 4 4" xfId="38024"/>
    <cellStyle name="Обычный 124 3 2 3 2 2 4 5" xfId="23212"/>
    <cellStyle name="Обычный 124 3 2 3 2 2 5" xfId="25029"/>
    <cellStyle name="Обычный 124 3 2 3 2 2 5 2" xfId="32340"/>
    <cellStyle name="Обычный 124 3 2 3 2 2 5 2 2" xfId="47163"/>
    <cellStyle name="Обычный 124 3 2 3 2 2 5 3" xfId="39924"/>
    <cellStyle name="Обычный 124 3 2 3 2 2 6" xfId="28686"/>
    <cellStyle name="Обычный 124 3 2 3 2 2 6 2" xfId="43523"/>
    <cellStyle name="Обычный 124 3 2 3 2 2 7" xfId="35837"/>
    <cellStyle name="Обычный 124 3 2 3 2 2 8" xfId="21368"/>
    <cellStyle name="Обычный 124 3 2 3 2 3" xfId="17683"/>
    <cellStyle name="Обычный 124 3 2 3 2 3 2" xfId="18797"/>
    <cellStyle name="Обычный 124 3 2 3 2 3 2 2" xfId="20676"/>
    <cellStyle name="Обычный 124 3 2 3 2 3 2 2 2" xfId="28002"/>
    <cellStyle name="Обычный 124 3 2 3 2 3 2 2 2 2" xfId="35313"/>
    <cellStyle name="Обычный 124 3 2 3 2 3 2 2 2 2 2" xfId="50133"/>
    <cellStyle name="Обычный 124 3 2 3 2 3 2 2 2 3" xfId="42841"/>
    <cellStyle name="Обычный 124 3 2 3 2 3 2 2 3" xfId="31659"/>
    <cellStyle name="Обычный 124 3 2 3 2 3 2 2 3 2" xfId="46482"/>
    <cellStyle name="Обычный 124 3 2 3 2 3 2 2 4" xfId="39157"/>
    <cellStyle name="Обычный 124 3 2 3 2 3 2 2 5" xfId="24344"/>
    <cellStyle name="Обычный 124 3 2 3 2 3 2 3" xfId="26176"/>
    <cellStyle name="Обычный 124 3 2 3 2 3 2 3 2" xfId="33487"/>
    <cellStyle name="Обычный 124 3 2 3 2 3 2 3 2 2" xfId="48307"/>
    <cellStyle name="Обычный 124 3 2 3 2 3 2 3 3" xfId="41020"/>
    <cellStyle name="Обычный 124 3 2 3 2 3 2 4" xfId="29833"/>
    <cellStyle name="Обычный 124 3 2 3 2 3 2 4 2" xfId="44657"/>
    <cellStyle name="Обычный 124 3 2 3 2 3 2 5" xfId="37434"/>
    <cellStyle name="Обычный 124 3 2 3 2 3 2 6" xfId="22515"/>
    <cellStyle name="Обычный 124 3 2 3 2 3 3" xfId="19727"/>
    <cellStyle name="Обычный 124 3 2 3 2 3 3 2" xfId="27096"/>
    <cellStyle name="Обычный 124 3 2 3 2 3 3 2 2" xfId="34407"/>
    <cellStyle name="Обычный 124 3 2 3 2 3 3 2 2 2" xfId="49227"/>
    <cellStyle name="Обычный 124 3 2 3 2 3 3 2 3" xfId="41936"/>
    <cellStyle name="Обычный 124 3 2 3 2 3 3 3" xfId="30753"/>
    <cellStyle name="Обычный 124 3 2 3 2 3 3 3 2" xfId="45576"/>
    <cellStyle name="Обычный 124 3 2 3 2 3 3 4" xfId="38250"/>
    <cellStyle name="Обычный 124 3 2 3 2 3 3 5" xfId="23438"/>
    <cellStyle name="Обычный 124 3 2 3 2 3 4" xfId="25255"/>
    <cellStyle name="Обычный 124 3 2 3 2 3 4 2" xfId="32566"/>
    <cellStyle name="Обычный 124 3 2 3 2 3 4 2 2" xfId="47389"/>
    <cellStyle name="Обычный 124 3 2 3 2 3 4 3" xfId="40147"/>
    <cellStyle name="Обычный 124 3 2 3 2 3 5" xfId="28912"/>
    <cellStyle name="Обычный 124 3 2 3 2 3 5 2" xfId="43749"/>
    <cellStyle name="Обычный 124 3 2 3 2 3 6" xfId="36285"/>
    <cellStyle name="Обычный 124 3 2 3 2 3 7" xfId="21594"/>
    <cellStyle name="Обычный 124 3 2 3 2 4" xfId="18416"/>
    <cellStyle name="Обычный 124 3 2 3 2 4 2" xfId="20298"/>
    <cellStyle name="Обычный 124 3 2 3 2 4 2 2" xfId="27624"/>
    <cellStyle name="Обычный 124 3 2 3 2 4 2 2 2" xfId="34935"/>
    <cellStyle name="Обычный 124 3 2 3 2 4 2 2 2 2" xfId="49755"/>
    <cellStyle name="Обычный 124 3 2 3 2 4 2 2 3" xfId="42463"/>
    <cellStyle name="Обычный 124 3 2 3 2 4 2 3" xfId="31281"/>
    <cellStyle name="Обычный 124 3 2 3 2 4 2 3 2" xfId="46104"/>
    <cellStyle name="Обычный 124 3 2 3 2 4 2 4" xfId="38779"/>
    <cellStyle name="Обычный 124 3 2 3 2 4 2 5" xfId="23966"/>
    <cellStyle name="Обычный 124 3 2 3 2 4 3" xfId="25798"/>
    <cellStyle name="Обычный 124 3 2 3 2 4 3 2" xfId="33109"/>
    <cellStyle name="Обычный 124 3 2 3 2 4 3 2 2" xfId="47929"/>
    <cellStyle name="Обычный 124 3 2 3 2 4 3 3" xfId="40651"/>
    <cellStyle name="Обычный 124 3 2 3 2 4 4" xfId="29455"/>
    <cellStyle name="Обычный 124 3 2 3 2 4 4 2" xfId="44279"/>
    <cellStyle name="Обычный 124 3 2 3 2 4 5" xfId="37056"/>
    <cellStyle name="Обычный 124 3 2 3 2 4 6" xfId="22137"/>
    <cellStyle name="Обычный 124 3 2 3 2 5" xfId="19277"/>
    <cellStyle name="Обычный 124 3 2 3 2 5 2" xfId="26647"/>
    <cellStyle name="Обычный 124 3 2 3 2 5 2 2" xfId="33958"/>
    <cellStyle name="Обычный 124 3 2 3 2 5 2 2 2" xfId="48778"/>
    <cellStyle name="Обычный 124 3 2 3 2 5 2 3" xfId="41487"/>
    <cellStyle name="Обычный 124 3 2 3 2 5 3" xfId="30304"/>
    <cellStyle name="Обычный 124 3 2 3 2 5 3 2" xfId="45127"/>
    <cellStyle name="Обычный 124 3 2 3 2 5 4" xfId="37801"/>
    <cellStyle name="Обычный 124 3 2 3 2 5 5" xfId="22989"/>
    <cellStyle name="Обычный 124 3 2 3 2 6" xfId="24805"/>
    <cellStyle name="Обычный 124 3 2 3 2 6 2" xfId="32116"/>
    <cellStyle name="Обычный 124 3 2 3 2 6 2 2" xfId="46939"/>
    <cellStyle name="Обычный 124 3 2 3 2 6 3" xfId="39704"/>
    <cellStyle name="Обычный 124 3 2 3 2 7" xfId="28462"/>
    <cellStyle name="Обычный 124 3 2 3 2 7 2" xfId="43299"/>
    <cellStyle name="Обычный 124 3 2 3 2 8" xfId="35836"/>
    <cellStyle name="Обычный 124 3 2 3 2 9" xfId="21144"/>
    <cellStyle name="Обычный 124 3 2 3 3" xfId="17342"/>
    <cellStyle name="Обычный 124 3 2 3 3 2" xfId="17795"/>
    <cellStyle name="Обычный 124 3 2 3 3 2 2" xfId="18909"/>
    <cellStyle name="Обычный 124 3 2 3 3 2 2 2" xfId="20788"/>
    <cellStyle name="Обычный 124 3 2 3 3 2 2 2 2" xfId="28114"/>
    <cellStyle name="Обычный 124 3 2 3 3 2 2 2 2 2" xfId="35425"/>
    <cellStyle name="Обычный 124 3 2 3 3 2 2 2 2 2 2" xfId="50245"/>
    <cellStyle name="Обычный 124 3 2 3 3 2 2 2 2 3" xfId="42953"/>
    <cellStyle name="Обычный 124 3 2 3 3 2 2 2 3" xfId="31771"/>
    <cellStyle name="Обычный 124 3 2 3 3 2 2 2 3 2" xfId="46594"/>
    <cellStyle name="Обычный 124 3 2 3 3 2 2 2 4" xfId="39269"/>
    <cellStyle name="Обычный 124 3 2 3 3 2 2 2 5" xfId="24456"/>
    <cellStyle name="Обычный 124 3 2 3 3 2 2 3" xfId="26288"/>
    <cellStyle name="Обычный 124 3 2 3 3 2 2 3 2" xfId="33599"/>
    <cellStyle name="Обычный 124 3 2 3 3 2 2 3 2 2" xfId="48419"/>
    <cellStyle name="Обычный 124 3 2 3 3 2 2 3 3" xfId="41132"/>
    <cellStyle name="Обычный 124 3 2 3 3 2 2 4" xfId="29945"/>
    <cellStyle name="Обычный 124 3 2 3 3 2 2 4 2" xfId="44769"/>
    <cellStyle name="Обычный 124 3 2 3 3 2 2 5" xfId="37545"/>
    <cellStyle name="Обычный 124 3 2 3 3 2 2 6" xfId="22627"/>
    <cellStyle name="Обычный 124 3 2 3 3 2 3" xfId="19839"/>
    <cellStyle name="Обычный 124 3 2 3 3 2 3 2" xfId="27208"/>
    <cellStyle name="Обычный 124 3 2 3 3 2 3 2 2" xfId="34519"/>
    <cellStyle name="Обычный 124 3 2 3 3 2 3 2 2 2" xfId="49339"/>
    <cellStyle name="Обычный 124 3 2 3 3 2 3 2 3" xfId="42048"/>
    <cellStyle name="Обычный 124 3 2 3 3 2 3 3" xfId="30865"/>
    <cellStyle name="Обычный 124 3 2 3 3 2 3 3 2" xfId="45688"/>
    <cellStyle name="Обычный 124 3 2 3 3 2 3 4" xfId="38362"/>
    <cellStyle name="Обычный 124 3 2 3 3 2 3 5" xfId="23550"/>
    <cellStyle name="Обычный 124 3 2 3 3 2 4" xfId="25367"/>
    <cellStyle name="Обычный 124 3 2 3 3 2 4 2" xfId="32678"/>
    <cellStyle name="Обычный 124 3 2 3 3 2 4 2 2" xfId="47501"/>
    <cellStyle name="Обычный 124 3 2 3 3 2 4 3" xfId="40255"/>
    <cellStyle name="Обычный 124 3 2 3 3 2 5" xfId="29024"/>
    <cellStyle name="Обычный 124 3 2 3 3 2 5 2" xfId="43861"/>
    <cellStyle name="Обычный 124 3 2 3 3 2 6" xfId="36287"/>
    <cellStyle name="Обычный 124 3 2 3 3 2 7" xfId="21706"/>
    <cellStyle name="Обычный 124 3 2 3 3 3" xfId="18418"/>
    <cellStyle name="Обычный 124 3 2 3 3 3 2" xfId="20300"/>
    <cellStyle name="Обычный 124 3 2 3 3 3 2 2" xfId="27626"/>
    <cellStyle name="Обычный 124 3 2 3 3 3 2 2 2" xfId="34937"/>
    <cellStyle name="Обычный 124 3 2 3 3 3 2 2 2 2" xfId="49757"/>
    <cellStyle name="Обычный 124 3 2 3 3 3 2 2 3" xfId="42465"/>
    <cellStyle name="Обычный 124 3 2 3 3 3 2 3" xfId="31283"/>
    <cellStyle name="Обычный 124 3 2 3 3 3 2 3 2" xfId="46106"/>
    <cellStyle name="Обычный 124 3 2 3 3 3 2 4" xfId="38781"/>
    <cellStyle name="Обычный 124 3 2 3 3 3 2 5" xfId="23968"/>
    <cellStyle name="Обычный 124 3 2 3 3 3 3" xfId="25800"/>
    <cellStyle name="Обычный 124 3 2 3 3 3 3 2" xfId="33111"/>
    <cellStyle name="Обычный 124 3 2 3 3 3 3 2 2" xfId="47931"/>
    <cellStyle name="Обычный 124 3 2 3 3 3 3 3" xfId="40653"/>
    <cellStyle name="Обычный 124 3 2 3 3 3 4" xfId="29457"/>
    <cellStyle name="Обычный 124 3 2 3 3 3 4 2" xfId="44281"/>
    <cellStyle name="Обычный 124 3 2 3 3 3 5" xfId="37058"/>
    <cellStyle name="Обычный 124 3 2 3 3 3 6" xfId="22139"/>
    <cellStyle name="Обычный 124 3 2 3 3 4" xfId="19388"/>
    <cellStyle name="Обычный 124 3 2 3 3 4 2" xfId="26758"/>
    <cellStyle name="Обычный 124 3 2 3 3 4 2 2" xfId="34069"/>
    <cellStyle name="Обычный 124 3 2 3 3 4 2 2 2" xfId="48889"/>
    <cellStyle name="Обычный 124 3 2 3 3 4 2 3" xfId="41598"/>
    <cellStyle name="Обычный 124 3 2 3 3 4 3" xfId="30415"/>
    <cellStyle name="Обычный 124 3 2 3 3 4 3 2" xfId="45238"/>
    <cellStyle name="Обычный 124 3 2 3 3 4 4" xfId="37912"/>
    <cellStyle name="Обычный 124 3 2 3 3 4 5" xfId="23100"/>
    <cellStyle name="Обычный 124 3 2 3 3 5" xfId="24917"/>
    <cellStyle name="Обычный 124 3 2 3 3 5 2" xfId="32228"/>
    <cellStyle name="Обычный 124 3 2 3 3 5 2 2" xfId="47051"/>
    <cellStyle name="Обычный 124 3 2 3 3 5 3" xfId="39812"/>
    <cellStyle name="Обычный 124 3 2 3 3 6" xfId="28574"/>
    <cellStyle name="Обычный 124 3 2 3 3 6 2" xfId="43411"/>
    <cellStyle name="Обычный 124 3 2 3 3 7" xfId="35838"/>
    <cellStyle name="Обычный 124 3 2 3 3 8" xfId="21256"/>
    <cellStyle name="Обычный 124 3 2 3 4" xfId="17571"/>
    <cellStyle name="Обычный 124 3 2 3 4 2" xfId="18685"/>
    <cellStyle name="Обычный 124 3 2 3 4 2 2" xfId="20564"/>
    <cellStyle name="Обычный 124 3 2 3 4 2 2 2" xfId="27890"/>
    <cellStyle name="Обычный 124 3 2 3 4 2 2 2 2" xfId="35201"/>
    <cellStyle name="Обычный 124 3 2 3 4 2 2 2 2 2" xfId="50021"/>
    <cellStyle name="Обычный 124 3 2 3 4 2 2 2 3" xfId="42729"/>
    <cellStyle name="Обычный 124 3 2 3 4 2 2 3" xfId="31547"/>
    <cellStyle name="Обычный 124 3 2 3 4 2 2 3 2" xfId="46370"/>
    <cellStyle name="Обычный 124 3 2 3 4 2 2 4" xfId="39045"/>
    <cellStyle name="Обычный 124 3 2 3 4 2 2 5" xfId="24232"/>
    <cellStyle name="Обычный 124 3 2 3 4 2 3" xfId="26064"/>
    <cellStyle name="Обычный 124 3 2 3 4 2 3 2" xfId="33375"/>
    <cellStyle name="Обычный 124 3 2 3 4 2 3 2 2" xfId="48195"/>
    <cellStyle name="Обычный 124 3 2 3 4 2 3 3" xfId="40908"/>
    <cellStyle name="Обычный 124 3 2 3 4 2 4" xfId="29721"/>
    <cellStyle name="Обычный 124 3 2 3 4 2 4 2" xfId="44545"/>
    <cellStyle name="Обычный 124 3 2 3 4 2 5" xfId="37322"/>
    <cellStyle name="Обычный 124 3 2 3 4 2 6" xfId="22403"/>
    <cellStyle name="Обычный 124 3 2 3 4 3" xfId="19615"/>
    <cellStyle name="Обычный 124 3 2 3 4 3 2" xfId="26984"/>
    <cellStyle name="Обычный 124 3 2 3 4 3 2 2" xfId="34295"/>
    <cellStyle name="Обычный 124 3 2 3 4 3 2 2 2" xfId="49115"/>
    <cellStyle name="Обычный 124 3 2 3 4 3 2 3" xfId="41824"/>
    <cellStyle name="Обычный 124 3 2 3 4 3 3" xfId="30641"/>
    <cellStyle name="Обычный 124 3 2 3 4 3 3 2" xfId="45464"/>
    <cellStyle name="Обычный 124 3 2 3 4 3 4" xfId="38138"/>
    <cellStyle name="Обычный 124 3 2 3 4 3 5" xfId="23326"/>
    <cellStyle name="Обычный 124 3 2 3 4 4" xfId="25143"/>
    <cellStyle name="Обычный 124 3 2 3 4 4 2" xfId="32454"/>
    <cellStyle name="Обычный 124 3 2 3 4 4 2 2" xfId="47277"/>
    <cellStyle name="Обычный 124 3 2 3 4 4 3" xfId="40037"/>
    <cellStyle name="Обычный 124 3 2 3 4 5" xfId="28800"/>
    <cellStyle name="Обычный 124 3 2 3 4 5 2" xfId="43637"/>
    <cellStyle name="Обычный 124 3 2 3 4 6" xfId="36284"/>
    <cellStyle name="Обычный 124 3 2 3 4 7" xfId="21482"/>
    <cellStyle name="Обычный 124 3 2 3 5" xfId="18415"/>
    <cellStyle name="Обычный 124 3 2 3 5 2" xfId="20297"/>
    <cellStyle name="Обычный 124 3 2 3 5 2 2" xfId="27623"/>
    <cellStyle name="Обычный 124 3 2 3 5 2 2 2" xfId="34934"/>
    <cellStyle name="Обычный 124 3 2 3 5 2 2 2 2" xfId="49754"/>
    <cellStyle name="Обычный 124 3 2 3 5 2 2 3" xfId="42462"/>
    <cellStyle name="Обычный 124 3 2 3 5 2 3" xfId="31280"/>
    <cellStyle name="Обычный 124 3 2 3 5 2 3 2" xfId="46103"/>
    <cellStyle name="Обычный 124 3 2 3 5 2 4" xfId="38778"/>
    <cellStyle name="Обычный 124 3 2 3 5 2 5" xfId="23965"/>
    <cellStyle name="Обычный 124 3 2 3 5 3" xfId="25797"/>
    <cellStyle name="Обычный 124 3 2 3 5 3 2" xfId="33108"/>
    <cellStyle name="Обычный 124 3 2 3 5 3 2 2" xfId="47928"/>
    <cellStyle name="Обычный 124 3 2 3 5 3 3" xfId="40650"/>
    <cellStyle name="Обычный 124 3 2 3 5 4" xfId="29454"/>
    <cellStyle name="Обычный 124 3 2 3 5 4 2" xfId="44278"/>
    <cellStyle name="Обычный 124 3 2 3 5 5" xfId="37055"/>
    <cellStyle name="Обычный 124 3 2 3 5 6" xfId="22136"/>
    <cellStyle name="Обычный 124 3 2 3 6" xfId="19167"/>
    <cellStyle name="Обычный 124 3 2 3 6 2" xfId="26538"/>
    <cellStyle name="Обычный 124 3 2 3 6 2 2" xfId="33849"/>
    <cellStyle name="Обычный 124 3 2 3 6 2 2 2" xfId="48669"/>
    <cellStyle name="Обычный 124 3 2 3 6 2 3" xfId="41378"/>
    <cellStyle name="Обычный 124 3 2 3 6 3" xfId="30195"/>
    <cellStyle name="Обычный 124 3 2 3 6 3 2" xfId="45018"/>
    <cellStyle name="Обычный 124 3 2 3 6 4" xfId="37692"/>
    <cellStyle name="Обычный 124 3 2 3 6 5" xfId="22880"/>
    <cellStyle name="Обычный 124 3 2 3 7" xfId="24693"/>
    <cellStyle name="Обычный 124 3 2 3 7 2" xfId="32004"/>
    <cellStyle name="Обычный 124 3 2 3 7 2 2" xfId="46827"/>
    <cellStyle name="Обычный 124 3 2 3 7 3" xfId="39604"/>
    <cellStyle name="Обычный 124 3 2 3 8" xfId="28350"/>
    <cellStyle name="Обычный 124 3 2 3 8 2" xfId="43187"/>
    <cellStyle name="Обычный 124 3 2 3 9" xfId="35835"/>
    <cellStyle name="Обычный 124 3 2 4" xfId="17401"/>
    <cellStyle name="Обычный 124 3 2 4 2" xfId="17851"/>
    <cellStyle name="Обычный 124 3 2 4 2 2" xfId="18965"/>
    <cellStyle name="Обычный 124 3 2 4 2 2 2" xfId="20844"/>
    <cellStyle name="Обычный 124 3 2 4 2 2 2 2" xfId="24512"/>
    <cellStyle name="Обычный 124 3 2 4 2 2 2 2 2" xfId="28170"/>
    <cellStyle name="Обычный 124 3 2 4 2 2 2 2 2 2" xfId="35481"/>
    <cellStyle name="Обычный 124 3 2 4 2 2 2 2 2 2 2" xfId="50301"/>
    <cellStyle name="Обычный 124 3 2 4 2 2 2 2 2 3" xfId="43009"/>
    <cellStyle name="Обычный 124 3 2 4 2 2 2 2 3" xfId="31827"/>
    <cellStyle name="Обычный 124 3 2 4 2 2 2 2 3 2" xfId="46650"/>
    <cellStyle name="Обычный 124 3 2 4 2 2 2 2 4" xfId="39458"/>
    <cellStyle name="Обычный 124 3 2 4 2 2 2 3" xfId="26344"/>
    <cellStyle name="Обычный 124 3 2 4 2 2 2 3 2" xfId="33655"/>
    <cellStyle name="Обычный 124 3 2 4 2 2 2 3 2 2" xfId="48475"/>
    <cellStyle name="Обычный 124 3 2 4 2 2 2 3 3" xfId="41188"/>
    <cellStyle name="Обычный 124 3 2 4 2 2 2 4" xfId="30001"/>
    <cellStyle name="Обычный 124 3 2 4 2 2 2 4 2" xfId="44825"/>
    <cellStyle name="Обычный 124 3 2 4 2 2 2 5" xfId="39325"/>
    <cellStyle name="Обычный 124 3 2 4 2 2 2 6" xfId="22683"/>
    <cellStyle name="Обычный 124 3 2 4 2 2 3" xfId="19895"/>
    <cellStyle name="Обычный 124 3 2 4 2 2 3 2" xfId="27264"/>
    <cellStyle name="Обычный 124 3 2 4 2 2 3 2 2" xfId="34575"/>
    <cellStyle name="Обычный 124 3 2 4 2 2 3 2 2 2" xfId="49395"/>
    <cellStyle name="Обычный 124 3 2 4 2 2 3 2 3" xfId="42104"/>
    <cellStyle name="Обычный 124 3 2 4 2 2 3 3" xfId="30921"/>
    <cellStyle name="Обычный 124 3 2 4 2 2 3 3 2" xfId="45744"/>
    <cellStyle name="Обычный 124 3 2 4 2 2 3 4" xfId="38418"/>
    <cellStyle name="Обычный 124 3 2 4 2 2 3 5" xfId="23606"/>
    <cellStyle name="Обычный 124 3 2 4 2 2 4" xfId="25423"/>
    <cellStyle name="Обычный 124 3 2 4 2 2 4 2" xfId="32734"/>
    <cellStyle name="Обычный 124 3 2 4 2 2 4 2 2" xfId="47557"/>
    <cellStyle name="Обычный 124 3 2 4 2 2 4 3" xfId="40311"/>
    <cellStyle name="Обычный 124 3 2 4 2 2 5" xfId="29080"/>
    <cellStyle name="Обычный 124 3 2 4 2 2 5 2" xfId="43917"/>
    <cellStyle name="Обычный 124 3 2 4 2 2 6" xfId="36289"/>
    <cellStyle name="Обычный 124 3 2 4 2 2 7" xfId="21762"/>
    <cellStyle name="Обычный 124 3 2 4 2 3" xfId="18420"/>
    <cellStyle name="Обычный 124 3 2 4 2 3 2" xfId="20302"/>
    <cellStyle name="Обычный 124 3 2 4 2 3 2 2" xfId="27628"/>
    <cellStyle name="Обычный 124 3 2 4 2 3 2 2 2" xfId="34939"/>
    <cellStyle name="Обычный 124 3 2 4 2 3 2 2 2 2" xfId="49759"/>
    <cellStyle name="Обычный 124 3 2 4 2 3 2 2 3" xfId="42467"/>
    <cellStyle name="Обычный 124 3 2 4 2 3 2 3" xfId="31285"/>
    <cellStyle name="Обычный 124 3 2 4 2 3 2 3 2" xfId="46108"/>
    <cellStyle name="Обычный 124 3 2 4 2 3 2 4" xfId="38783"/>
    <cellStyle name="Обычный 124 3 2 4 2 3 2 5" xfId="23970"/>
    <cellStyle name="Обычный 124 3 2 4 2 3 3" xfId="25802"/>
    <cellStyle name="Обычный 124 3 2 4 2 3 3 2" xfId="33113"/>
    <cellStyle name="Обычный 124 3 2 4 2 3 3 2 2" xfId="47933"/>
    <cellStyle name="Обычный 124 3 2 4 2 3 3 3" xfId="40655"/>
    <cellStyle name="Обычный 124 3 2 4 2 3 4" xfId="29459"/>
    <cellStyle name="Обычный 124 3 2 4 2 3 4 2" xfId="44283"/>
    <cellStyle name="Обычный 124 3 2 4 2 3 5" xfId="37060"/>
    <cellStyle name="Обычный 124 3 2 4 2 3 6" xfId="22141"/>
    <cellStyle name="Обычный 124 3 2 4 2 4" xfId="19444"/>
    <cellStyle name="Обычный 124 3 2 4 2 4 2" xfId="26814"/>
    <cellStyle name="Обычный 124 3 2 4 2 4 2 2" xfId="34125"/>
    <cellStyle name="Обычный 124 3 2 4 2 4 2 2 2" xfId="48945"/>
    <cellStyle name="Обычный 124 3 2 4 2 4 2 3" xfId="41654"/>
    <cellStyle name="Обычный 124 3 2 4 2 4 3" xfId="30471"/>
    <cellStyle name="Обычный 124 3 2 4 2 4 3 2" xfId="45294"/>
    <cellStyle name="Обычный 124 3 2 4 2 4 4" xfId="37968"/>
    <cellStyle name="Обычный 124 3 2 4 2 4 5" xfId="23156"/>
    <cellStyle name="Обычный 124 3 2 4 2 5" xfId="24973"/>
    <cellStyle name="Обычный 124 3 2 4 2 5 2" xfId="32284"/>
    <cellStyle name="Обычный 124 3 2 4 2 5 2 2" xfId="47107"/>
    <cellStyle name="Обычный 124 3 2 4 2 5 3" xfId="39868"/>
    <cellStyle name="Обычный 124 3 2 4 2 6" xfId="28630"/>
    <cellStyle name="Обычный 124 3 2 4 2 6 2" xfId="43467"/>
    <cellStyle name="Обычный 124 3 2 4 2 7" xfId="35840"/>
    <cellStyle name="Обычный 124 3 2 4 2 8" xfId="21312"/>
    <cellStyle name="Обычный 124 3 2 4 3" xfId="17627"/>
    <cellStyle name="Обычный 124 3 2 4 3 2" xfId="18741"/>
    <cellStyle name="Обычный 124 3 2 4 3 2 2" xfId="20620"/>
    <cellStyle name="Обычный 124 3 2 4 3 2 2 2" xfId="27946"/>
    <cellStyle name="Обычный 124 3 2 4 3 2 2 2 2" xfId="35257"/>
    <cellStyle name="Обычный 124 3 2 4 3 2 2 2 2 2" xfId="50077"/>
    <cellStyle name="Обычный 124 3 2 4 3 2 2 2 3" xfId="42785"/>
    <cellStyle name="Обычный 124 3 2 4 3 2 2 3" xfId="31603"/>
    <cellStyle name="Обычный 124 3 2 4 3 2 2 3 2" xfId="46426"/>
    <cellStyle name="Обычный 124 3 2 4 3 2 2 4" xfId="39101"/>
    <cellStyle name="Обычный 124 3 2 4 3 2 2 5" xfId="24288"/>
    <cellStyle name="Обычный 124 3 2 4 3 2 3" xfId="26120"/>
    <cellStyle name="Обычный 124 3 2 4 3 2 3 2" xfId="33431"/>
    <cellStyle name="Обычный 124 3 2 4 3 2 3 2 2" xfId="48251"/>
    <cellStyle name="Обычный 124 3 2 4 3 2 3 3" xfId="40964"/>
    <cellStyle name="Обычный 124 3 2 4 3 2 4" xfId="29777"/>
    <cellStyle name="Обычный 124 3 2 4 3 2 4 2" xfId="44601"/>
    <cellStyle name="Обычный 124 3 2 4 3 2 5" xfId="37378"/>
    <cellStyle name="Обычный 124 3 2 4 3 2 6" xfId="22459"/>
    <cellStyle name="Обычный 124 3 2 4 3 3" xfId="19671"/>
    <cellStyle name="Обычный 124 3 2 4 3 3 2" xfId="27040"/>
    <cellStyle name="Обычный 124 3 2 4 3 3 2 2" xfId="34351"/>
    <cellStyle name="Обычный 124 3 2 4 3 3 2 2 2" xfId="49171"/>
    <cellStyle name="Обычный 124 3 2 4 3 3 2 3" xfId="41880"/>
    <cellStyle name="Обычный 124 3 2 4 3 3 3" xfId="30697"/>
    <cellStyle name="Обычный 124 3 2 4 3 3 3 2" xfId="45520"/>
    <cellStyle name="Обычный 124 3 2 4 3 3 4" xfId="38194"/>
    <cellStyle name="Обычный 124 3 2 4 3 3 5" xfId="23382"/>
    <cellStyle name="Обычный 124 3 2 4 3 4" xfId="25199"/>
    <cellStyle name="Обычный 124 3 2 4 3 4 2" xfId="32510"/>
    <cellStyle name="Обычный 124 3 2 4 3 4 2 2" xfId="47333"/>
    <cellStyle name="Обычный 124 3 2 4 3 4 3" xfId="40091"/>
    <cellStyle name="Обычный 124 3 2 4 3 5" xfId="28856"/>
    <cellStyle name="Обычный 124 3 2 4 3 5 2" xfId="43693"/>
    <cellStyle name="Обычный 124 3 2 4 3 6" xfId="36288"/>
    <cellStyle name="Обычный 124 3 2 4 3 7" xfId="21538"/>
    <cellStyle name="Обычный 124 3 2 4 4" xfId="18419"/>
    <cellStyle name="Обычный 124 3 2 4 4 2" xfId="20301"/>
    <cellStyle name="Обычный 124 3 2 4 4 2 2" xfId="27627"/>
    <cellStyle name="Обычный 124 3 2 4 4 2 2 2" xfId="34938"/>
    <cellStyle name="Обычный 124 3 2 4 4 2 2 2 2" xfId="49758"/>
    <cellStyle name="Обычный 124 3 2 4 4 2 2 3" xfId="42466"/>
    <cellStyle name="Обычный 124 3 2 4 4 2 3" xfId="31284"/>
    <cellStyle name="Обычный 124 3 2 4 4 2 3 2" xfId="46107"/>
    <cellStyle name="Обычный 124 3 2 4 4 2 4" xfId="38782"/>
    <cellStyle name="Обычный 124 3 2 4 4 2 5" xfId="23969"/>
    <cellStyle name="Обычный 124 3 2 4 4 3" xfId="25801"/>
    <cellStyle name="Обычный 124 3 2 4 4 3 2" xfId="33112"/>
    <cellStyle name="Обычный 124 3 2 4 4 3 2 2" xfId="47932"/>
    <cellStyle name="Обычный 124 3 2 4 4 3 3" xfId="40654"/>
    <cellStyle name="Обычный 124 3 2 4 4 4" xfId="29458"/>
    <cellStyle name="Обычный 124 3 2 4 4 4 2" xfId="44282"/>
    <cellStyle name="Обычный 124 3 2 4 4 5" xfId="37059"/>
    <cellStyle name="Обычный 124 3 2 4 4 6" xfId="22140"/>
    <cellStyle name="Обычный 124 3 2 4 5" xfId="19222"/>
    <cellStyle name="Обычный 124 3 2 4 5 2" xfId="26592"/>
    <cellStyle name="Обычный 124 3 2 4 5 2 2" xfId="33903"/>
    <cellStyle name="Обычный 124 3 2 4 5 2 2 2" xfId="48723"/>
    <cellStyle name="Обычный 124 3 2 4 5 2 3" xfId="41432"/>
    <cellStyle name="Обычный 124 3 2 4 5 3" xfId="30249"/>
    <cellStyle name="Обычный 124 3 2 4 5 3 2" xfId="45072"/>
    <cellStyle name="Обычный 124 3 2 4 5 4" xfId="37746"/>
    <cellStyle name="Обычный 124 3 2 4 5 5" xfId="22934"/>
    <cellStyle name="Обычный 124 3 2 4 6" xfId="24749"/>
    <cellStyle name="Обычный 124 3 2 4 6 2" xfId="32060"/>
    <cellStyle name="Обычный 124 3 2 4 6 2 2" xfId="46883"/>
    <cellStyle name="Обычный 124 3 2 4 6 3" xfId="39651"/>
    <cellStyle name="Обычный 124 3 2 4 7" xfId="28406"/>
    <cellStyle name="Обычный 124 3 2 4 7 2" xfId="43243"/>
    <cellStyle name="Обычный 124 3 2 4 8" xfId="35839"/>
    <cellStyle name="Обычный 124 3 2 4 9" xfId="21088"/>
    <cellStyle name="Обычный 124 3 2 5" xfId="17283"/>
    <cellStyle name="Обычный 124 3 2 5 2" xfId="17739"/>
    <cellStyle name="Обычный 124 3 2 5 2 2" xfId="18853"/>
    <cellStyle name="Обычный 124 3 2 5 2 2 2" xfId="20732"/>
    <cellStyle name="Обычный 124 3 2 5 2 2 2 2" xfId="28058"/>
    <cellStyle name="Обычный 124 3 2 5 2 2 2 2 2" xfId="35369"/>
    <cellStyle name="Обычный 124 3 2 5 2 2 2 2 2 2" xfId="50189"/>
    <cellStyle name="Обычный 124 3 2 5 2 2 2 2 3" xfId="42897"/>
    <cellStyle name="Обычный 124 3 2 5 2 2 2 3" xfId="31715"/>
    <cellStyle name="Обычный 124 3 2 5 2 2 2 3 2" xfId="46538"/>
    <cellStyle name="Обычный 124 3 2 5 2 2 2 4" xfId="39213"/>
    <cellStyle name="Обычный 124 3 2 5 2 2 2 5" xfId="24400"/>
    <cellStyle name="Обычный 124 3 2 5 2 2 3" xfId="26232"/>
    <cellStyle name="Обычный 124 3 2 5 2 2 3 2" xfId="33543"/>
    <cellStyle name="Обычный 124 3 2 5 2 2 3 2 2" xfId="48363"/>
    <cellStyle name="Обычный 124 3 2 5 2 2 3 3" xfId="41076"/>
    <cellStyle name="Обычный 124 3 2 5 2 2 4" xfId="29889"/>
    <cellStyle name="Обычный 124 3 2 5 2 2 4 2" xfId="44713"/>
    <cellStyle name="Обычный 124 3 2 5 2 2 5" xfId="37489"/>
    <cellStyle name="Обычный 124 3 2 5 2 2 6" xfId="22571"/>
    <cellStyle name="Обычный 124 3 2 5 2 3" xfId="19783"/>
    <cellStyle name="Обычный 124 3 2 5 2 3 2" xfId="27152"/>
    <cellStyle name="Обычный 124 3 2 5 2 3 2 2" xfId="34463"/>
    <cellStyle name="Обычный 124 3 2 5 2 3 2 2 2" xfId="49283"/>
    <cellStyle name="Обычный 124 3 2 5 2 3 2 3" xfId="41992"/>
    <cellStyle name="Обычный 124 3 2 5 2 3 3" xfId="30809"/>
    <cellStyle name="Обычный 124 3 2 5 2 3 3 2" xfId="45632"/>
    <cellStyle name="Обычный 124 3 2 5 2 3 4" xfId="38306"/>
    <cellStyle name="Обычный 124 3 2 5 2 3 5" xfId="23494"/>
    <cellStyle name="Обычный 124 3 2 5 2 4" xfId="25311"/>
    <cellStyle name="Обычный 124 3 2 5 2 4 2" xfId="32622"/>
    <cellStyle name="Обычный 124 3 2 5 2 4 2 2" xfId="47445"/>
    <cellStyle name="Обычный 124 3 2 5 2 4 3" xfId="40200"/>
    <cellStyle name="Обычный 124 3 2 5 2 5" xfId="28968"/>
    <cellStyle name="Обычный 124 3 2 5 2 5 2" xfId="43805"/>
    <cellStyle name="Обычный 124 3 2 5 2 6" xfId="36290"/>
    <cellStyle name="Обычный 124 3 2 5 2 7" xfId="21650"/>
    <cellStyle name="Обычный 124 3 2 5 3" xfId="18421"/>
    <cellStyle name="Обычный 124 3 2 5 3 2" xfId="20303"/>
    <cellStyle name="Обычный 124 3 2 5 3 2 2" xfId="27629"/>
    <cellStyle name="Обычный 124 3 2 5 3 2 2 2" xfId="34940"/>
    <cellStyle name="Обычный 124 3 2 5 3 2 2 2 2" xfId="49760"/>
    <cellStyle name="Обычный 124 3 2 5 3 2 2 3" xfId="42468"/>
    <cellStyle name="Обычный 124 3 2 5 3 2 3" xfId="31286"/>
    <cellStyle name="Обычный 124 3 2 5 3 2 3 2" xfId="46109"/>
    <cellStyle name="Обычный 124 3 2 5 3 2 4" xfId="38784"/>
    <cellStyle name="Обычный 124 3 2 5 3 2 5" xfId="23971"/>
    <cellStyle name="Обычный 124 3 2 5 3 3" xfId="25803"/>
    <cellStyle name="Обычный 124 3 2 5 3 3 2" xfId="33114"/>
    <cellStyle name="Обычный 124 3 2 5 3 3 2 2" xfId="47934"/>
    <cellStyle name="Обычный 124 3 2 5 3 3 3" xfId="40656"/>
    <cellStyle name="Обычный 124 3 2 5 3 4" xfId="29460"/>
    <cellStyle name="Обычный 124 3 2 5 3 4 2" xfId="44284"/>
    <cellStyle name="Обычный 124 3 2 5 3 5" xfId="37061"/>
    <cellStyle name="Обычный 124 3 2 5 3 6" xfId="22142"/>
    <cellStyle name="Обычный 124 3 2 5 4" xfId="19332"/>
    <cellStyle name="Обычный 124 3 2 5 4 2" xfId="26702"/>
    <cellStyle name="Обычный 124 3 2 5 4 2 2" xfId="34013"/>
    <cellStyle name="Обычный 124 3 2 5 4 2 2 2" xfId="48833"/>
    <cellStyle name="Обычный 124 3 2 5 4 2 3" xfId="41542"/>
    <cellStyle name="Обычный 124 3 2 5 4 3" xfId="30359"/>
    <cellStyle name="Обычный 124 3 2 5 4 3 2" xfId="45182"/>
    <cellStyle name="Обычный 124 3 2 5 4 4" xfId="37856"/>
    <cellStyle name="Обычный 124 3 2 5 4 5" xfId="23044"/>
    <cellStyle name="Обычный 124 3 2 5 5" xfId="24861"/>
    <cellStyle name="Обычный 124 3 2 5 5 2" xfId="32172"/>
    <cellStyle name="Обычный 124 3 2 5 5 2 2" xfId="46995"/>
    <cellStyle name="Обычный 124 3 2 5 5 3" xfId="39757"/>
    <cellStyle name="Обычный 124 3 2 5 6" xfId="28518"/>
    <cellStyle name="Обычный 124 3 2 5 6 2" xfId="43355"/>
    <cellStyle name="Обычный 124 3 2 5 7" xfId="35841"/>
    <cellStyle name="Обычный 124 3 2 5 8" xfId="21200"/>
    <cellStyle name="Обычный 124 3 2 6" xfId="17515"/>
    <cellStyle name="Обычный 124 3 2 6 2" xfId="18629"/>
    <cellStyle name="Обычный 124 3 2 6 2 2" xfId="20508"/>
    <cellStyle name="Обычный 124 3 2 6 2 2 2" xfId="27834"/>
    <cellStyle name="Обычный 124 3 2 6 2 2 2 2" xfId="35145"/>
    <cellStyle name="Обычный 124 3 2 6 2 2 2 2 2" xfId="49965"/>
    <cellStyle name="Обычный 124 3 2 6 2 2 2 3" xfId="42673"/>
    <cellStyle name="Обычный 124 3 2 6 2 2 3" xfId="31491"/>
    <cellStyle name="Обычный 124 3 2 6 2 2 3 2" xfId="46314"/>
    <cellStyle name="Обычный 124 3 2 6 2 2 4" xfId="38989"/>
    <cellStyle name="Обычный 124 3 2 6 2 2 5" xfId="24176"/>
    <cellStyle name="Обычный 124 3 2 6 2 3" xfId="26008"/>
    <cellStyle name="Обычный 124 3 2 6 2 3 2" xfId="33319"/>
    <cellStyle name="Обычный 124 3 2 6 2 3 2 2" xfId="48139"/>
    <cellStyle name="Обычный 124 3 2 6 2 3 3" xfId="40852"/>
    <cellStyle name="Обычный 124 3 2 6 2 4" xfId="29665"/>
    <cellStyle name="Обычный 124 3 2 6 2 4 2" xfId="44489"/>
    <cellStyle name="Обычный 124 3 2 6 2 5" xfId="37266"/>
    <cellStyle name="Обычный 124 3 2 6 2 6" xfId="22347"/>
    <cellStyle name="Обычный 124 3 2 6 3" xfId="19559"/>
    <cellStyle name="Обычный 124 3 2 6 3 2" xfId="26928"/>
    <cellStyle name="Обычный 124 3 2 6 3 2 2" xfId="34239"/>
    <cellStyle name="Обычный 124 3 2 6 3 2 2 2" xfId="49059"/>
    <cellStyle name="Обычный 124 3 2 6 3 2 3" xfId="41768"/>
    <cellStyle name="Обычный 124 3 2 6 3 3" xfId="30585"/>
    <cellStyle name="Обычный 124 3 2 6 3 3 2" xfId="45408"/>
    <cellStyle name="Обычный 124 3 2 6 3 4" xfId="38082"/>
    <cellStyle name="Обычный 124 3 2 6 3 5" xfId="23270"/>
    <cellStyle name="Обычный 124 3 2 6 4" xfId="25087"/>
    <cellStyle name="Обычный 124 3 2 6 4 2" xfId="32398"/>
    <cellStyle name="Обычный 124 3 2 6 4 2 2" xfId="47221"/>
    <cellStyle name="Обычный 124 3 2 6 4 3" xfId="39982"/>
    <cellStyle name="Обычный 124 3 2 6 5" xfId="28744"/>
    <cellStyle name="Обычный 124 3 2 6 5 2" xfId="43581"/>
    <cellStyle name="Обычный 124 3 2 6 6" xfId="36275"/>
    <cellStyle name="Обычный 124 3 2 6 7" xfId="21426"/>
    <cellStyle name="Обычный 124 3 2 7" xfId="18166"/>
    <cellStyle name="Обычный 124 3 2 7 2" xfId="20053"/>
    <cellStyle name="Обычный 124 3 2 7 2 2" xfId="27379"/>
    <cellStyle name="Обычный 124 3 2 7 2 2 2" xfId="34690"/>
    <cellStyle name="Обычный 124 3 2 7 2 2 2 2" xfId="49510"/>
    <cellStyle name="Обычный 124 3 2 7 2 2 3" xfId="42219"/>
    <cellStyle name="Обычный 124 3 2 7 2 3" xfId="31036"/>
    <cellStyle name="Обычный 124 3 2 7 2 3 2" xfId="45859"/>
    <cellStyle name="Обычный 124 3 2 7 2 4" xfId="38534"/>
    <cellStyle name="Обычный 124 3 2 7 2 5" xfId="23721"/>
    <cellStyle name="Обычный 124 3 2 7 3" xfId="25552"/>
    <cellStyle name="Обычный 124 3 2 7 3 2" xfId="32863"/>
    <cellStyle name="Обычный 124 3 2 7 3 2 2" xfId="47683"/>
    <cellStyle name="Обычный 124 3 2 7 3 3" xfId="40426"/>
    <cellStyle name="Обычный 124 3 2 7 4" xfId="29209"/>
    <cellStyle name="Обычный 124 3 2 7 4 2" xfId="44035"/>
    <cellStyle name="Обычный 124 3 2 7 5" xfId="36810"/>
    <cellStyle name="Обычный 124 3 2 7 6" xfId="21891"/>
    <cellStyle name="Обычный 124 3 2 8" xfId="19093"/>
    <cellStyle name="Обычный 124 3 2 8 2" xfId="26472"/>
    <cellStyle name="Обычный 124 3 2 8 2 2" xfId="33783"/>
    <cellStyle name="Обычный 124 3 2 8 2 2 2" xfId="48603"/>
    <cellStyle name="Обычный 124 3 2 8 2 3" xfId="41313"/>
    <cellStyle name="Обычный 124 3 2 8 3" xfId="30129"/>
    <cellStyle name="Обычный 124 3 2 8 3 2" xfId="44953"/>
    <cellStyle name="Обычный 124 3 2 8 4" xfId="37626"/>
    <cellStyle name="Обычный 124 3 2 8 5" xfId="22814"/>
    <cellStyle name="Обычный 124 3 2 9" xfId="24637"/>
    <cellStyle name="Обычный 124 3 2 9 2" xfId="31948"/>
    <cellStyle name="Обычный 124 3 2 9 2 2" xfId="46771"/>
    <cellStyle name="Обычный 124 3 2 9 3" xfId="39559"/>
    <cellStyle name="Обычный 124 3 3" xfId="17199"/>
    <cellStyle name="Обычный 124 3 3 10" xfId="35842"/>
    <cellStyle name="Обычный 124 3 3 11" xfId="20990"/>
    <cellStyle name="Обычный 124 3 3 2" xfId="17356"/>
    <cellStyle name="Обычный 124 3 3 2 10" xfId="21046"/>
    <cellStyle name="Обычный 124 3 3 2 2" xfId="17471"/>
    <cellStyle name="Обычный 124 3 3 2 2 2" xfId="17921"/>
    <cellStyle name="Обычный 124 3 3 2 2 2 2" xfId="19035"/>
    <cellStyle name="Обычный 124 3 3 2 2 2 2 2" xfId="20914"/>
    <cellStyle name="Обычный 124 3 3 2 2 2 2 2 2" xfId="24582"/>
    <cellStyle name="Обычный 124 3 3 2 2 2 2 2 2 2" xfId="28240"/>
    <cellStyle name="Обычный 124 3 3 2 2 2 2 2 2 2 2" xfId="35551"/>
    <cellStyle name="Обычный 124 3 3 2 2 2 2 2 2 2 2 2" xfId="50371"/>
    <cellStyle name="Обычный 124 3 3 2 2 2 2 2 2 2 3" xfId="43079"/>
    <cellStyle name="Обычный 124 3 3 2 2 2 2 2 2 3" xfId="31897"/>
    <cellStyle name="Обычный 124 3 3 2 2 2 2 2 2 3 2" xfId="46720"/>
    <cellStyle name="Обычный 124 3 3 2 2 2 2 2 2 4" xfId="39514"/>
    <cellStyle name="Обычный 124 3 3 2 2 2 2 2 3" xfId="26414"/>
    <cellStyle name="Обычный 124 3 3 2 2 2 2 2 3 2" xfId="33725"/>
    <cellStyle name="Обычный 124 3 3 2 2 2 2 2 3 2 2" xfId="48545"/>
    <cellStyle name="Обычный 124 3 3 2 2 2 2 2 3 3" xfId="41258"/>
    <cellStyle name="Обычный 124 3 3 2 2 2 2 2 4" xfId="30071"/>
    <cellStyle name="Обычный 124 3 3 2 2 2 2 2 4 2" xfId="44895"/>
    <cellStyle name="Обычный 124 3 3 2 2 2 2 2 5" xfId="39395"/>
    <cellStyle name="Обычный 124 3 3 2 2 2 2 2 6" xfId="22753"/>
    <cellStyle name="Обычный 124 3 3 2 2 2 2 3" xfId="19965"/>
    <cellStyle name="Обычный 124 3 3 2 2 2 2 3 2" xfId="27334"/>
    <cellStyle name="Обычный 124 3 3 2 2 2 2 3 2 2" xfId="34645"/>
    <cellStyle name="Обычный 124 3 3 2 2 2 2 3 2 2 2" xfId="49465"/>
    <cellStyle name="Обычный 124 3 3 2 2 2 2 3 2 3" xfId="42174"/>
    <cellStyle name="Обычный 124 3 3 2 2 2 2 3 3" xfId="30991"/>
    <cellStyle name="Обычный 124 3 3 2 2 2 2 3 3 2" xfId="45814"/>
    <cellStyle name="Обычный 124 3 3 2 2 2 2 3 4" xfId="38488"/>
    <cellStyle name="Обычный 124 3 3 2 2 2 2 3 5" xfId="23676"/>
    <cellStyle name="Обычный 124 3 3 2 2 2 2 4" xfId="25493"/>
    <cellStyle name="Обычный 124 3 3 2 2 2 2 4 2" xfId="32804"/>
    <cellStyle name="Обычный 124 3 3 2 2 2 2 4 2 2" xfId="47627"/>
    <cellStyle name="Обычный 124 3 3 2 2 2 2 4 3" xfId="40381"/>
    <cellStyle name="Обычный 124 3 3 2 2 2 2 5" xfId="29150"/>
    <cellStyle name="Обычный 124 3 3 2 2 2 2 5 2" xfId="43987"/>
    <cellStyle name="Обычный 124 3 3 2 2 2 2 6" xfId="36294"/>
    <cellStyle name="Обычный 124 3 3 2 2 2 2 7" xfId="21832"/>
    <cellStyle name="Обычный 124 3 3 2 2 2 3" xfId="18425"/>
    <cellStyle name="Обычный 124 3 3 2 2 2 3 2" xfId="20307"/>
    <cellStyle name="Обычный 124 3 3 2 2 2 3 2 2" xfId="27633"/>
    <cellStyle name="Обычный 124 3 3 2 2 2 3 2 2 2" xfId="34944"/>
    <cellStyle name="Обычный 124 3 3 2 2 2 3 2 2 2 2" xfId="49764"/>
    <cellStyle name="Обычный 124 3 3 2 2 2 3 2 2 3" xfId="42472"/>
    <cellStyle name="Обычный 124 3 3 2 2 2 3 2 3" xfId="31290"/>
    <cellStyle name="Обычный 124 3 3 2 2 2 3 2 3 2" xfId="46113"/>
    <cellStyle name="Обычный 124 3 3 2 2 2 3 2 4" xfId="38788"/>
    <cellStyle name="Обычный 124 3 3 2 2 2 3 2 5" xfId="23975"/>
    <cellStyle name="Обычный 124 3 3 2 2 2 3 3" xfId="25807"/>
    <cellStyle name="Обычный 124 3 3 2 2 2 3 3 2" xfId="33118"/>
    <cellStyle name="Обычный 124 3 3 2 2 2 3 3 2 2" xfId="47938"/>
    <cellStyle name="Обычный 124 3 3 2 2 2 3 3 3" xfId="40660"/>
    <cellStyle name="Обычный 124 3 3 2 2 2 3 4" xfId="29464"/>
    <cellStyle name="Обычный 124 3 3 2 2 2 3 4 2" xfId="44288"/>
    <cellStyle name="Обычный 124 3 3 2 2 2 3 5" xfId="37065"/>
    <cellStyle name="Обычный 124 3 3 2 2 2 3 6" xfId="22146"/>
    <cellStyle name="Обычный 124 3 3 2 2 2 4" xfId="19514"/>
    <cellStyle name="Обычный 124 3 3 2 2 2 4 2" xfId="26884"/>
    <cellStyle name="Обычный 124 3 3 2 2 2 4 2 2" xfId="34195"/>
    <cellStyle name="Обычный 124 3 3 2 2 2 4 2 2 2" xfId="49015"/>
    <cellStyle name="Обычный 124 3 3 2 2 2 4 2 3" xfId="41724"/>
    <cellStyle name="Обычный 124 3 3 2 2 2 4 3" xfId="30541"/>
    <cellStyle name="Обычный 124 3 3 2 2 2 4 3 2" xfId="45364"/>
    <cellStyle name="Обычный 124 3 3 2 2 2 4 4" xfId="38038"/>
    <cellStyle name="Обычный 124 3 3 2 2 2 4 5" xfId="23226"/>
    <cellStyle name="Обычный 124 3 3 2 2 2 5" xfId="25043"/>
    <cellStyle name="Обычный 124 3 3 2 2 2 5 2" xfId="32354"/>
    <cellStyle name="Обычный 124 3 3 2 2 2 5 2 2" xfId="47177"/>
    <cellStyle name="Обычный 124 3 3 2 2 2 5 3" xfId="39938"/>
    <cellStyle name="Обычный 124 3 3 2 2 2 6" xfId="28700"/>
    <cellStyle name="Обычный 124 3 3 2 2 2 6 2" xfId="43537"/>
    <cellStyle name="Обычный 124 3 3 2 2 2 7" xfId="35845"/>
    <cellStyle name="Обычный 124 3 3 2 2 2 8" xfId="21382"/>
    <cellStyle name="Обычный 124 3 3 2 2 3" xfId="17697"/>
    <cellStyle name="Обычный 124 3 3 2 2 3 2" xfId="18811"/>
    <cellStyle name="Обычный 124 3 3 2 2 3 2 2" xfId="20690"/>
    <cellStyle name="Обычный 124 3 3 2 2 3 2 2 2" xfId="28016"/>
    <cellStyle name="Обычный 124 3 3 2 2 3 2 2 2 2" xfId="35327"/>
    <cellStyle name="Обычный 124 3 3 2 2 3 2 2 2 2 2" xfId="50147"/>
    <cellStyle name="Обычный 124 3 3 2 2 3 2 2 2 3" xfId="42855"/>
    <cellStyle name="Обычный 124 3 3 2 2 3 2 2 3" xfId="31673"/>
    <cellStyle name="Обычный 124 3 3 2 2 3 2 2 3 2" xfId="46496"/>
    <cellStyle name="Обычный 124 3 3 2 2 3 2 2 4" xfId="39171"/>
    <cellStyle name="Обычный 124 3 3 2 2 3 2 2 5" xfId="24358"/>
    <cellStyle name="Обычный 124 3 3 2 2 3 2 3" xfId="26190"/>
    <cellStyle name="Обычный 124 3 3 2 2 3 2 3 2" xfId="33501"/>
    <cellStyle name="Обычный 124 3 3 2 2 3 2 3 2 2" xfId="48321"/>
    <cellStyle name="Обычный 124 3 3 2 2 3 2 3 3" xfId="41034"/>
    <cellStyle name="Обычный 124 3 3 2 2 3 2 4" xfId="29847"/>
    <cellStyle name="Обычный 124 3 3 2 2 3 2 4 2" xfId="44671"/>
    <cellStyle name="Обычный 124 3 3 2 2 3 2 5" xfId="37448"/>
    <cellStyle name="Обычный 124 3 3 2 2 3 2 6" xfId="22529"/>
    <cellStyle name="Обычный 124 3 3 2 2 3 3" xfId="19741"/>
    <cellStyle name="Обычный 124 3 3 2 2 3 3 2" xfId="27110"/>
    <cellStyle name="Обычный 124 3 3 2 2 3 3 2 2" xfId="34421"/>
    <cellStyle name="Обычный 124 3 3 2 2 3 3 2 2 2" xfId="49241"/>
    <cellStyle name="Обычный 124 3 3 2 2 3 3 2 3" xfId="41950"/>
    <cellStyle name="Обычный 124 3 3 2 2 3 3 3" xfId="30767"/>
    <cellStyle name="Обычный 124 3 3 2 2 3 3 3 2" xfId="45590"/>
    <cellStyle name="Обычный 124 3 3 2 2 3 3 4" xfId="38264"/>
    <cellStyle name="Обычный 124 3 3 2 2 3 3 5" xfId="23452"/>
    <cellStyle name="Обычный 124 3 3 2 2 3 4" xfId="25269"/>
    <cellStyle name="Обычный 124 3 3 2 2 3 4 2" xfId="32580"/>
    <cellStyle name="Обычный 124 3 3 2 2 3 4 2 2" xfId="47403"/>
    <cellStyle name="Обычный 124 3 3 2 2 3 4 3" xfId="40161"/>
    <cellStyle name="Обычный 124 3 3 2 2 3 5" xfId="28926"/>
    <cellStyle name="Обычный 124 3 3 2 2 3 5 2" xfId="43763"/>
    <cellStyle name="Обычный 124 3 3 2 2 3 6" xfId="36293"/>
    <cellStyle name="Обычный 124 3 3 2 2 3 7" xfId="21608"/>
    <cellStyle name="Обычный 124 3 3 2 2 4" xfId="18424"/>
    <cellStyle name="Обычный 124 3 3 2 2 4 2" xfId="20306"/>
    <cellStyle name="Обычный 124 3 3 2 2 4 2 2" xfId="27632"/>
    <cellStyle name="Обычный 124 3 3 2 2 4 2 2 2" xfId="34943"/>
    <cellStyle name="Обычный 124 3 3 2 2 4 2 2 2 2" xfId="49763"/>
    <cellStyle name="Обычный 124 3 3 2 2 4 2 2 3" xfId="42471"/>
    <cellStyle name="Обычный 124 3 3 2 2 4 2 3" xfId="31289"/>
    <cellStyle name="Обычный 124 3 3 2 2 4 2 3 2" xfId="46112"/>
    <cellStyle name="Обычный 124 3 3 2 2 4 2 4" xfId="38787"/>
    <cellStyle name="Обычный 124 3 3 2 2 4 2 5" xfId="23974"/>
    <cellStyle name="Обычный 124 3 3 2 2 4 3" xfId="25806"/>
    <cellStyle name="Обычный 124 3 3 2 2 4 3 2" xfId="33117"/>
    <cellStyle name="Обычный 124 3 3 2 2 4 3 2 2" xfId="47937"/>
    <cellStyle name="Обычный 124 3 3 2 2 4 3 3" xfId="40659"/>
    <cellStyle name="Обычный 124 3 3 2 2 4 4" xfId="29463"/>
    <cellStyle name="Обычный 124 3 3 2 2 4 4 2" xfId="44287"/>
    <cellStyle name="Обычный 124 3 3 2 2 4 5" xfId="37064"/>
    <cellStyle name="Обычный 124 3 3 2 2 4 6" xfId="22145"/>
    <cellStyle name="Обычный 124 3 3 2 2 5" xfId="19290"/>
    <cellStyle name="Обычный 124 3 3 2 2 5 2" xfId="26660"/>
    <cellStyle name="Обычный 124 3 3 2 2 5 2 2" xfId="33971"/>
    <cellStyle name="Обычный 124 3 3 2 2 5 2 2 2" xfId="48791"/>
    <cellStyle name="Обычный 124 3 3 2 2 5 2 3" xfId="41500"/>
    <cellStyle name="Обычный 124 3 3 2 2 5 3" xfId="30317"/>
    <cellStyle name="Обычный 124 3 3 2 2 5 3 2" xfId="45140"/>
    <cellStyle name="Обычный 124 3 3 2 2 5 4" xfId="37814"/>
    <cellStyle name="Обычный 124 3 3 2 2 5 5" xfId="23002"/>
    <cellStyle name="Обычный 124 3 3 2 2 6" xfId="24819"/>
    <cellStyle name="Обычный 124 3 3 2 2 6 2" xfId="32130"/>
    <cellStyle name="Обычный 124 3 3 2 2 6 2 2" xfId="46953"/>
    <cellStyle name="Обычный 124 3 3 2 2 6 3" xfId="39718"/>
    <cellStyle name="Обычный 124 3 3 2 2 7" xfId="28476"/>
    <cellStyle name="Обычный 124 3 3 2 2 7 2" xfId="43313"/>
    <cellStyle name="Обычный 124 3 3 2 2 8" xfId="35844"/>
    <cellStyle name="Обычный 124 3 3 2 2 9" xfId="21158"/>
    <cellStyle name="Обычный 124 3 3 2 3" xfId="17809"/>
    <cellStyle name="Обычный 124 3 3 2 3 2" xfId="18923"/>
    <cellStyle name="Обычный 124 3 3 2 3 2 2" xfId="20802"/>
    <cellStyle name="Обычный 124 3 3 2 3 2 2 2" xfId="24470"/>
    <cellStyle name="Обычный 124 3 3 2 3 2 2 2 2" xfId="28128"/>
    <cellStyle name="Обычный 124 3 3 2 3 2 2 2 2 2" xfId="35439"/>
    <cellStyle name="Обычный 124 3 3 2 3 2 2 2 2 2 2" xfId="50259"/>
    <cellStyle name="Обычный 124 3 3 2 3 2 2 2 2 3" xfId="42967"/>
    <cellStyle name="Обычный 124 3 3 2 3 2 2 2 3" xfId="31785"/>
    <cellStyle name="Обычный 124 3 3 2 3 2 2 2 3 2" xfId="46608"/>
    <cellStyle name="Обычный 124 3 3 2 3 2 2 2 4" xfId="39434"/>
    <cellStyle name="Обычный 124 3 3 2 3 2 2 3" xfId="26302"/>
    <cellStyle name="Обычный 124 3 3 2 3 2 2 3 2" xfId="33613"/>
    <cellStyle name="Обычный 124 3 3 2 3 2 2 3 2 2" xfId="48433"/>
    <cellStyle name="Обычный 124 3 3 2 3 2 2 3 3" xfId="41146"/>
    <cellStyle name="Обычный 124 3 3 2 3 2 2 4" xfId="29959"/>
    <cellStyle name="Обычный 124 3 3 2 3 2 2 4 2" xfId="44783"/>
    <cellStyle name="Обычный 124 3 3 2 3 2 2 5" xfId="39283"/>
    <cellStyle name="Обычный 124 3 3 2 3 2 2 6" xfId="22641"/>
    <cellStyle name="Обычный 124 3 3 2 3 2 3" xfId="19853"/>
    <cellStyle name="Обычный 124 3 3 2 3 2 3 2" xfId="27222"/>
    <cellStyle name="Обычный 124 3 3 2 3 2 3 2 2" xfId="34533"/>
    <cellStyle name="Обычный 124 3 3 2 3 2 3 2 2 2" xfId="49353"/>
    <cellStyle name="Обычный 124 3 3 2 3 2 3 2 3" xfId="42062"/>
    <cellStyle name="Обычный 124 3 3 2 3 2 3 3" xfId="30879"/>
    <cellStyle name="Обычный 124 3 3 2 3 2 3 3 2" xfId="45702"/>
    <cellStyle name="Обычный 124 3 3 2 3 2 3 4" xfId="38376"/>
    <cellStyle name="Обычный 124 3 3 2 3 2 3 5" xfId="23564"/>
    <cellStyle name="Обычный 124 3 3 2 3 2 4" xfId="25381"/>
    <cellStyle name="Обычный 124 3 3 2 3 2 4 2" xfId="32692"/>
    <cellStyle name="Обычный 124 3 3 2 3 2 4 2 2" xfId="47515"/>
    <cellStyle name="Обычный 124 3 3 2 3 2 4 3" xfId="40269"/>
    <cellStyle name="Обычный 124 3 3 2 3 2 5" xfId="29038"/>
    <cellStyle name="Обычный 124 3 3 2 3 2 5 2" xfId="43875"/>
    <cellStyle name="Обычный 124 3 3 2 3 2 6" xfId="36295"/>
    <cellStyle name="Обычный 124 3 3 2 3 2 7" xfId="21720"/>
    <cellStyle name="Обычный 124 3 3 2 3 3" xfId="18426"/>
    <cellStyle name="Обычный 124 3 3 2 3 3 2" xfId="20308"/>
    <cellStyle name="Обычный 124 3 3 2 3 3 2 2" xfId="27634"/>
    <cellStyle name="Обычный 124 3 3 2 3 3 2 2 2" xfId="34945"/>
    <cellStyle name="Обычный 124 3 3 2 3 3 2 2 2 2" xfId="49765"/>
    <cellStyle name="Обычный 124 3 3 2 3 3 2 2 3" xfId="42473"/>
    <cellStyle name="Обычный 124 3 3 2 3 3 2 3" xfId="31291"/>
    <cellStyle name="Обычный 124 3 3 2 3 3 2 3 2" xfId="46114"/>
    <cellStyle name="Обычный 124 3 3 2 3 3 2 4" xfId="38789"/>
    <cellStyle name="Обычный 124 3 3 2 3 3 2 5" xfId="23976"/>
    <cellStyle name="Обычный 124 3 3 2 3 3 3" xfId="25808"/>
    <cellStyle name="Обычный 124 3 3 2 3 3 3 2" xfId="33119"/>
    <cellStyle name="Обычный 124 3 3 2 3 3 3 2 2" xfId="47939"/>
    <cellStyle name="Обычный 124 3 3 2 3 3 3 3" xfId="40661"/>
    <cellStyle name="Обычный 124 3 3 2 3 3 4" xfId="29465"/>
    <cellStyle name="Обычный 124 3 3 2 3 3 4 2" xfId="44289"/>
    <cellStyle name="Обычный 124 3 3 2 3 3 5" xfId="37066"/>
    <cellStyle name="Обычный 124 3 3 2 3 3 6" xfId="22147"/>
    <cellStyle name="Обычный 124 3 3 2 3 4" xfId="19402"/>
    <cellStyle name="Обычный 124 3 3 2 3 4 2" xfId="26772"/>
    <cellStyle name="Обычный 124 3 3 2 3 4 2 2" xfId="34083"/>
    <cellStyle name="Обычный 124 3 3 2 3 4 2 2 2" xfId="48903"/>
    <cellStyle name="Обычный 124 3 3 2 3 4 2 3" xfId="41612"/>
    <cellStyle name="Обычный 124 3 3 2 3 4 3" xfId="30429"/>
    <cellStyle name="Обычный 124 3 3 2 3 4 3 2" xfId="45252"/>
    <cellStyle name="Обычный 124 3 3 2 3 4 4" xfId="37926"/>
    <cellStyle name="Обычный 124 3 3 2 3 4 5" xfId="23114"/>
    <cellStyle name="Обычный 124 3 3 2 3 5" xfId="24931"/>
    <cellStyle name="Обычный 124 3 3 2 3 5 2" xfId="32242"/>
    <cellStyle name="Обычный 124 3 3 2 3 5 2 2" xfId="47065"/>
    <cellStyle name="Обычный 124 3 3 2 3 5 3" xfId="39826"/>
    <cellStyle name="Обычный 124 3 3 2 3 6" xfId="28588"/>
    <cellStyle name="Обычный 124 3 3 2 3 6 2" xfId="43425"/>
    <cellStyle name="Обычный 124 3 3 2 3 7" xfId="35846"/>
    <cellStyle name="Обычный 124 3 3 2 3 8" xfId="21270"/>
    <cellStyle name="Обычный 124 3 3 2 4" xfId="17585"/>
    <cellStyle name="Обычный 124 3 3 2 4 2" xfId="18699"/>
    <cellStyle name="Обычный 124 3 3 2 4 2 2" xfId="20578"/>
    <cellStyle name="Обычный 124 3 3 2 4 2 2 2" xfId="27904"/>
    <cellStyle name="Обычный 124 3 3 2 4 2 2 2 2" xfId="35215"/>
    <cellStyle name="Обычный 124 3 3 2 4 2 2 2 2 2" xfId="50035"/>
    <cellStyle name="Обычный 124 3 3 2 4 2 2 2 3" xfId="42743"/>
    <cellStyle name="Обычный 124 3 3 2 4 2 2 3" xfId="31561"/>
    <cellStyle name="Обычный 124 3 3 2 4 2 2 3 2" xfId="46384"/>
    <cellStyle name="Обычный 124 3 3 2 4 2 2 4" xfId="39059"/>
    <cellStyle name="Обычный 124 3 3 2 4 2 2 5" xfId="24246"/>
    <cellStyle name="Обычный 124 3 3 2 4 2 3" xfId="26078"/>
    <cellStyle name="Обычный 124 3 3 2 4 2 3 2" xfId="33389"/>
    <cellStyle name="Обычный 124 3 3 2 4 2 3 2 2" xfId="48209"/>
    <cellStyle name="Обычный 124 3 3 2 4 2 3 3" xfId="40922"/>
    <cellStyle name="Обычный 124 3 3 2 4 2 4" xfId="29735"/>
    <cellStyle name="Обычный 124 3 3 2 4 2 4 2" xfId="44559"/>
    <cellStyle name="Обычный 124 3 3 2 4 2 5" xfId="37336"/>
    <cellStyle name="Обычный 124 3 3 2 4 2 6" xfId="22417"/>
    <cellStyle name="Обычный 124 3 3 2 4 3" xfId="19629"/>
    <cellStyle name="Обычный 124 3 3 2 4 3 2" xfId="26998"/>
    <cellStyle name="Обычный 124 3 3 2 4 3 2 2" xfId="34309"/>
    <cellStyle name="Обычный 124 3 3 2 4 3 2 2 2" xfId="49129"/>
    <cellStyle name="Обычный 124 3 3 2 4 3 2 3" xfId="41838"/>
    <cellStyle name="Обычный 124 3 3 2 4 3 3" xfId="30655"/>
    <cellStyle name="Обычный 124 3 3 2 4 3 3 2" xfId="45478"/>
    <cellStyle name="Обычный 124 3 3 2 4 3 4" xfId="38152"/>
    <cellStyle name="Обычный 124 3 3 2 4 3 5" xfId="23340"/>
    <cellStyle name="Обычный 124 3 3 2 4 4" xfId="25157"/>
    <cellStyle name="Обычный 124 3 3 2 4 4 2" xfId="32468"/>
    <cellStyle name="Обычный 124 3 3 2 4 4 2 2" xfId="47291"/>
    <cellStyle name="Обычный 124 3 3 2 4 4 3" xfId="40051"/>
    <cellStyle name="Обычный 124 3 3 2 4 5" xfId="28814"/>
    <cellStyle name="Обычный 124 3 3 2 4 5 2" xfId="43651"/>
    <cellStyle name="Обычный 124 3 3 2 4 6" xfId="36292"/>
    <cellStyle name="Обычный 124 3 3 2 4 7" xfId="21496"/>
    <cellStyle name="Обычный 124 3 3 2 5" xfId="18423"/>
    <cellStyle name="Обычный 124 3 3 2 5 2" xfId="20305"/>
    <cellStyle name="Обычный 124 3 3 2 5 2 2" xfId="27631"/>
    <cellStyle name="Обычный 124 3 3 2 5 2 2 2" xfId="34942"/>
    <cellStyle name="Обычный 124 3 3 2 5 2 2 2 2" xfId="49762"/>
    <cellStyle name="Обычный 124 3 3 2 5 2 2 3" xfId="42470"/>
    <cellStyle name="Обычный 124 3 3 2 5 2 3" xfId="31288"/>
    <cellStyle name="Обычный 124 3 3 2 5 2 3 2" xfId="46111"/>
    <cellStyle name="Обычный 124 3 3 2 5 2 4" xfId="38786"/>
    <cellStyle name="Обычный 124 3 3 2 5 2 5" xfId="23973"/>
    <cellStyle name="Обычный 124 3 3 2 5 3" xfId="25805"/>
    <cellStyle name="Обычный 124 3 3 2 5 3 2" xfId="33116"/>
    <cellStyle name="Обычный 124 3 3 2 5 3 2 2" xfId="47936"/>
    <cellStyle name="Обычный 124 3 3 2 5 3 3" xfId="40658"/>
    <cellStyle name="Обычный 124 3 3 2 5 4" xfId="29462"/>
    <cellStyle name="Обычный 124 3 3 2 5 4 2" xfId="44286"/>
    <cellStyle name="Обычный 124 3 3 2 5 5" xfId="37063"/>
    <cellStyle name="Обычный 124 3 3 2 5 6" xfId="22144"/>
    <cellStyle name="Обычный 124 3 3 2 6" xfId="19180"/>
    <cellStyle name="Обычный 124 3 3 2 6 2" xfId="26551"/>
    <cellStyle name="Обычный 124 3 3 2 6 2 2" xfId="33862"/>
    <cellStyle name="Обычный 124 3 3 2 6 2 2 2" xfId="48682"/>
    <cellStyle name="Обычный 124 3 3 2 6 2 3" xfId="41391"/>
    <cellStyle name="Обычный 124 3 3 2 6 3" xfId="30208"/>
    <cellStyle name="Обычный 124 3 3 2 6 3 2" xfId="45031"/>
    <cellStyle name="Обычный 124 3 3 2 6 4" xfId="37705"/>
    <cellStyle name="Обычный 124 3 3 2 6 5" xfId="22893"/>
    <cellStyle name="Обычный 124 3 3 2 7" xfId="24707"/>
    <cellStyle name="Обычный 124 3 3 2 7 2" xfId="32018"/>
    <cellStyle name="Обычный 124 3 3 2 7 2 2" xfId="46841"/>
    <cellStyle name="Обычный 124 3 3 2 7 3" xfId="39613"/>
    <cellStyle name="Обычный 124 3 3 2 8" xfId="28364"/>
    <cellStyle name="Обычный 124 3 3 2 8 2" xfId="43201"/>
    <cellStyle name="Обычный 124 3 3 2 9" xfId="35843"/>
    <cellStyle name="Обычный 124 3 3 3" xfId="17415"/>
    <cellStyle name="Обычный 124 3 3 3 2" xfId="17865"/>
    <cellStyle name="Обычный 124 3 3 3 2 2" xfId="18979"/>
    <cellStyle name="Обычный 124 3 3 3 2 2 2" xfId="20858"/>
    <cellStyle name="Обычный 124 3 3 3 2 2 2 2" xfId="24526"/>
    <cellStyle name="Обычный 124 3 3 3 2 2 2 2 2" xfId="28184"/>
    <cellStyle name="Обычный 124 3 3 3 2 2 2 2 2 2" xfId="35495"/>
    <cellStyle name="Обычный 124 3 3 3 2 2 2 2 2 2 2" xfId="50315"/>
    <cellStyle name="Обычный 124 3 3 3 2 2 2 2 2 3" xfId="43023"/>
    <cellStyle name="Обычный 124 3 3 3 2 2 2 2 3" xfId="31841"/>
    <cellStyle name="Обычный 124 3 3 3 2 2 2 2 3 2" xfId="46664"/>
    <cellStyle name="Обычный 124 3 3 3 2 2 2 2 4" xfId="39466"/>
    <cellStyle name="Обычный 124 3 3 3 2 2 2 3" xfId="26358"/>
    <cellStyle name="Обычный 124 3 3 3 2 2 2 3 2" xfId="33669"/>
    <cellStyle name="Обычный 124 3 3 3 2 2 2 3 2 2" xfId="48489"/>
    <cellStyle name="Обычный 124 3 3 3 2 2 2 3 3" xfId="41202"/>
    <cellStyle name="Обычный 124 3 3 3 2 2 2 4" xfId="30015"/>
    <cellStyle name="Обычный 124 3 3 3 2 2 2 4 2" xfId="44839"/>
    <cellStyle name="Обычный 124 3 3 3 2 2 2 5" xfId="39339"/>
    <cellStyle name="Обычный 124 3 3 3 2 2 2 6" xfId="22697"/>
    <cellStyle name="Обычный 124 3 3 3 2 2 3" xfId="19909"/>
    <cellStyle name="Обычный 124 3 3 3 2 2 3 2" xfId="27278"/>
    <cellStyle name="Обычный 124 3 3 3 2 2 3 2 2" xfId="34589"/>
    <cellStyle name="Обычный 124 3 3 3 2 2 3 2 2 2" xfId="49409"/>
    <cellStyle name="Обычный 124 3 3 3 2 2 3 2 3" xfId="42118"/>
    <cellStyle name="Обычный 124 3 3 3 2 2 3 3" xfId="30935"/>
    <cellStyle name="Обычный 124 3 3 3 2 2 3 3 2" xfId="45758"/>
    <cellStyle name="Обычный 124 3 3 3 2 2 3 4" xfId="38432"/>
    <cellStyle name="Обычный 124 3 3 3 2 2 3 5" xfId="23620"/>
    <cellStyle name="Обычный 124 3 3 3 2 2 4" xfId="25437"/>
    <cellStyle name="Обычный 124 3 3 3 2 2 4 2" xfId="32748"/>
    <cellStyle name="Обычный 124 3 3 3 2 2 4 2 2" xfId="47571"/>
    <cellStyle name="Обычный 124 3 3 3 2 2 4 3" xfId="40325"/>
    <cellStyle name="Обычный 124 3 3 3 2 2 5" xfId="29094"/>
    <cellStyle name="Обычный 124 3 3 3 2 2 5 2" xfId="43931"/>
    <cellStyle name="Обычный 124 3 3 3 2 2 6" xfId="36297"/>
    <cellStyle name="Обычный 124 3 3 3 2 2 7" xfId="21776"/>
    <cellStyle name="Обычный 124 3 3 3 2 3" xfId="18428"/>
    <cellStyle name="Обычный 124 3 3 3 2 3 2" xfId="20310"/>
    <cellStyle name="Обычный 124 3 3 3 2 3 2 2" xfId="27636"/>
    <cellStyle name="Обычный 124 3 3 3 2 3 2 2 2" xfId="34947"/>
    <cellStyle name="Обычный 124 3 3 3 2 3 2 2 2 2" xfId="49767"/>
    <cellStyle name="Обычный 124 3 3 3 2 3 2 2 3" xfId="42475"/>
    <cellStyle name="Обычный 124 3 3 3 2 3 2 3" xfId="31293"/>
    <cellStyle name="Обычный 124 3 3 3 2 3 2 3 2" xfId="46116"/>
    <cellStyle name="Обычный 124 3 3 3 2 3 2 4" xfId="38791"/>
    <cellStyle name="Обычный 124 3 3 3 2 3 2 5" xfId="23978"/>
    <cellStyle name="Обычный 124 3 3 3 2 3 3" xfId="25810"/>
    <cellStyle name="Обычный 124 3 3 3 2 3 3 2" xfId="33121"/>
    <cellStyle name="Обычный 124 3 3 3 2 3 3 2 2" xfId="47941"/>
    <cellStyle name="Обычный 124 3 3 3 2 3 3 3" xfId="40663"/>
    <cellStyle name="Обычный 124 3 3 3 2 3 4" xfId="29467"/>
    <cellStyle name="Обычный 124 3 3 3 2 3 4 2" xfId="44291"/>
    <cellStyle name="Обычный 124 3 3 3 2 3 5" xfId="37068"/>
    <cellStyle name="Обычный 124 3 3 3 2 3 6" xfId="22149"/>
    <cellStyle name="Обычный 124 3 3 3 2 4" xfId="19458"/>
    <cellStyle name="Обычный 124 3 3 3 2 4 2" xfId="26828"/>
    <cellStyle name="Обычный 124 3 3 3 2 4 2 2" xfId="34139"/>
    <cellStyle name="Обычный 124 3 3 3 2 4 2 2 2" xfId="48959"/>
    <cellStyle name="Обычный 124 3 3 3 2 4 2 3" xfId="41668"/>
    <cellStyle name="Обычный 124 3 3 3 2 4 3" xfId="30485"/>
    <cellStyle name="Обычный 124 3 3 3 2 4 3 2" xfId="45308"/>
    <cellStyle name="Обычный 124 3 3 3 2 4 4" xfId="37982"/>
    <cellStyle name="Обычный 124 3 3 3 2 4 5" xfId="23170"/>
    <cellStyle name="Обычный 124 3 3 3 2 5" xfId="24987"/>
    <cellStyle name="Обычный 124 3 3 3 2 5 2" xfId="32298"/>
    <cellStyle name="Обычный 124 3 3 3 2 5 2 2" xfId="47121"/>
    <cellStyle name="Обычный 124 3 3 3 2 5 3" xfId="39882"/>
    <cellStyle name="Обычный 124 3 3 3 2 6" xfId="28644"/>
    <cellStyle name="Обычный 124 3 3 3 2 6 2" xfId="43481"/>
    <cellStyle name="Обычный 124 3 3 3 2 7" xfId="35848"/>
    <cellStyle name="Обычный 124 3 3 3 2 8" xfId="21326"/>
    <cellStyle name="Обычный 124 3 3 3 3" xfId="17641"/>
    <cellStyle name="Обычный 124 3 3 3 3 2" xfId="18755"/>
    <cellStyle name="Обычный 124 3 3 3 3 2 2" xfId="20634"/>
    <cellStyle name="Обычный 124 3 3 3 3 2 2 2" xfId="27960"/>
    <cellStyle name="Обычный 124 3 3 3 3 2 2 2 2" xfId="35271"/>
    <cellStyle name="Обычный 124 3 3 3 3 2 2 2 2 2" xfId="50091"/>
    <cellStyle name="Обычный 124 3 3 3 3 2 2 2 3" xfId="42799"/>
    <cellStyle name="Обычный 124 3 3 3 3 2 2 3" xfId="31617"/>
    <cellStyle name="Обычный 124 3 3 3 3 2 2 3 2" xfId="46440"/>
    <cellStyle name="Обычный 124 3 3 3 3 2 2 4" xfId="39115"/>
    <cellStyle name="Обычный 124 3 3 3 3 2 2 5" xfId="24302"/>
    <cellStyle name="Обычный 124 3 3 3 3 2 3" xfId="26134"/>
    <cellStyle name="Обычный 124 3 3 3 3 2 3 2" xfId="33445"/>
    <cellStyle name="Обычный 124 3 3 3 3 2 3 2 2" xfId="48265"/>
    <cellStyle name="Обычный 124 3 3 3 3 2 3 3" xfId="40978"/>
    <cellStyle name="Обычный 124 3 3 3 3 2 4" xfId="29791"/>
    <cellStyle name="Обычный 124 3 3 3 3 2 4 2" xfId="44615"/>
    <cellStyle name="Обычный 124 3 3 3 3 2 5" xfId="37392"/>
    <cellStyle name="Обычный 124 3 3 3 3 2 6" xfId="22473"/>
    <cellStyle name="Обычный 124 3 3 3 3 3" xfId="19685"/>
    <cellStyle name="Обычный 124 3 3 3 3 3 2" xfId="27054"/>
    <cellStyle name="Обычный 124 3 3 3 3 3 2 2" xfId="34365"/>
    <cellStyle name="Обычный 124 3 3 3 3 3 2 2 2" xfId="49185"/>
    <cellStyle name="Обычный 124 3 3 3 3 3 2 3" xfId="41894"/>
    <cellStyle name="Обычный 124 3 3 3 3 3 3" xfId="30711"/>
    <cellStyle name="Обычный 124 3 3 3 3 3 3 2" xfId="45534"/>
    <cellStyle name="Обычный 124 3 3 3 3 3 4" xfId="38208"/>
    <cellStyle name="Обычный 124 3 3 3 3 3 5" xfId="23396"/>
    <cellStyle name="Обычный 124 3 3 3 3 4" xfId="25213"/>
    <cellStyle name="Обычный 124 3 3 3 3 4 2" xfId="32524"/>
    <cellStyle name="Обычный 124 3 3 3 3 4 2 2" xfId="47347"/>
    <cellStyle name="Обычный 124 3 3 3 3 4 3" xfId="40105"/>
    <cellStyle name="Обычный 124 3 3 3 3 5" xfId="28870"/>
    <cellStyle name="Обычный 124 3 3 3 3 5 2" xfId="43707"/>
    <cellStyle name="Обычный 124 3 3 3 3 6" xfId="36296"/>
    <cellStyle name="Обычный 124 3 3 3 3 7" xfId="21552"/>
    <cellStyle name="Обычный 124 3 3 3 4" xfId="18427"/>
    <cellStyle name="Обычный 124 3 3 3 4 2" xfId="20309"/>
    <cellStyle name="Обычный 124 3 3 3 4 2 2" xfId="27635"/>
    <cellStyle name="Обычный 124 3 3 3 4 2 2 2" xfId="34946"/>
    <cellStyle name="Обычный 124 3 3 3 4 2 2 2 2" xfId="49766"/>
    <cellStyle name="Обычный 124 3 3 3 4 2 2 3" xfId="42474"/>
    <cellStyle name="Обычный 124 3 3 3 4 2 3" xfId="31292"/>
    <cellStyle name="Обычный 124 3 3 3 4 2 3 2" xfId="46115"/>
    <cellStyle name="Обычный 124 3 3 3 4 2 4" xfId="38790"/>
    <cellStyle name="Обычный 124 3 3 3 4 2 5" xfId="23977"/>
    <cellStyle name="Обычный 124 3 3 3 4 3" xfId="25809"/>
    <cellStyle name="Обычный 124 3 3 3 4 3 2" xfId="33120"/>
    <cellStyle name="Обычный 124 3 3 3 4 3 2 2" xfId="47940"/>
    <cellStyle name="Обычный 124 3 3 3 4 3 3" xfId="40662"/>
    <cellStyle name="Обычный 124 3 3 3 4 4" xfId="29466"/>
    <cellStyle name="Обычный 124 3 3 3 4 4 2" xfId="44290"/>
    <cellStyle name="Обычный 124 3 3 3 4 5" xfId="37067"/>
    <cellStyle name="Обычный 124 3 3 3 4 6" xfId="22148"/>
    <cellStyle name="Обычный 124 3 3 3 5" xfId="19235"/>
    <cellStyle name="Обычный 124 3 3 3 5 2" xfId="26605"/>
    <cellStyle name="Обычный 124 3 3 3 5 2 2" xfId="33916"/>
    <cellStyle name="Обычный 124 3 3 3 5 2 2 2" xfId="48736"/>
    <cellStyle name="Обычный 124 3 3 3 5 2 3" xfId="41445"/>
    <cellStyle name="Обычный 124 3 3 3 5 3" xfId="30262"/>
    <cellStyle name="Обычный 124 3 3 3 5 3 2" xfId="45085"/>
    <cellStyle name="Обычный 124 3 3 3 5 4" xfId="37759"/>
    <cellStyle name="Обычный 124 3 3 3 5 5" xfId="22947"/>
    <cellStyle name="Обычный 124 3 3 3 6" xfId="24763"/>
    <cellStyle name="Обычный 124 3 3 3 6 2" xfId="32074"/>
    <cellStyle name="Обычный 124 3 3 3 6 2 2" xfId="46897"/>
    <cellStyle name="Обычный 124 3 3 3 6 3" xfId="39665"/>
    <cellStyle name="Обычный 124 3 3 3 7" xfId="28420"/>
    <cellStyle name="Обычный 124 3 3 3 7 2" xfId="43257"/>
    <cellStyle name="Обычный 124 3 3 3 8" xfId="35847"/>
    <cellStyle name="Обычный 124 3 3 3 9" xfId="21102"/>
    <cellStyle name="Обычный 124 3 3 4" xfId="17298"/>
    <cellStyle name="Обычный 124 3 3 4 2" xfId="17753"/>
    <cellStyle name="Обычный 124 3 3 4 2 2" xfId="18867"/>
    <cellStyle name="Обычный 124 3 3 4 2 2 2" xfId="20746"/>
    <cellStyle name="Обычный 124 3 3 4 2 2 2 2" xfId="28072"/>
    <cellStyle name="Обычный 124 3 3 4 2 2 2 2 2" xfId="35383"/>
    <cellStyle name="Обычный 124 3 3 4 2 2 2 2 2 2" xfId="50203"/>
    <cellStyle name="Обычный 124 3 3 4 2 2 2 2 3" xfId="42911"/>
    <cellStyle name="Обычный 124 3 3 4 2 2 2 3" xfId="31729"/>
    <cellStyle name="Обычный 124 3 3 4 2 2 2 3 2" xfId="46552"/>
    <cellStyle name="Обычный 124 3 3 4 2 2 2 4" xfId="39227"/>
    <cellStyle name="Обычный 124 3 3 4 2 2 2 5" xfId="24414"/>
    <cellStyle name="Обычный 124 3 3 4 2 2 3" xfId="26246"/>
    <cellStyle name="Обычный 124 3 3 4 2 2 3 2" xfId="33557"/>
    <cellStyle name="Обычный 124 3 3 4 2 2 3 2 2" xfId="48377"/>
    <cellStyle name="Обычный 124 3 3 4 2 2 3 3" xfId="41090"/>
    <cellStyle name="Обычный 124 3 3 4 2 2 4" xfId="29903"/>
    <cellStyle name="Обычный 124 3 3 4 2 2 4 2" xfId="44727"/>
    <cellStyle name="Обычный 124 3 3 4 2 2 5" xfId="37503"/>
    <cellStyle name="Обычный 124 3 3 4 2 2 6" xfId="22585"/>
    <cellStyle name="Обычный 124 3 3 4 2 3" xfId="19797"/>
    <cellStyle name="Обычный 124 3 3 4 2 3 2" xfId="27166"/>
    <cellStyle name="Обычный 124 3 3 4 2 3 2 2" xfId="34477"/>
    <cellStyle name="Обычный 124 3 3 4 2 3 2 2 2" xfId="49297"/>
    <cellStyle name="Обычный 124 3 3 4 2 3 2 3" xfId="42006"/>
    <cellStyle name="Обычный 124 3 3 4 2 3 3" xfId="30823"/>
    <cellStyle name="Обычный 124 3 3 4 2 3 3 2" xfId="45646"/>
    <cellStyle name="Обычный 124 3 3 4 2 3 4" xfId="38320"/>
    <cellStyle name="Обычный 124 3 3 4 2 3 5" xfId="23508"/>
    <cellStyle name="Обычный 124 3 3 4 2 4" xfId="25325"/>
    <cellStyle name="Обычный 124 3 3 4 2 4 2" xfId="32636"/>
    <cellStyle name="Обычный 124 3 3 4 2 4 2 2" xfId="47459"/>
    <cellStyle name="Обычный 124 3 3 4 2 4 3" xfId="40214"/>
    <cellStyle name="Обычный 124 3 3 4 2 5" xfId="28982"/>
    <cellStyle name="Обычный 124 3 3 4 2 5 2" xfId="43819"/>
    <cellStyle name="Обычный 124 3 3 4 2 6" xfId="36298"/>
    <cellStyle name="Обычный 124 3 3 4 2 7" xfId="21664"/>
    <cellStyle name="Обычный 124 3 3 4 3" xfId="18429"/>
    <cellStyle name="Обычный 124 3 3 4 3 2" xfId="20311"/>
    <cellStyle name="Обычный 124 3 3 4 3 2 2" xfId="27637"/>
    <cellStyle name="Обычный 124 3 3 4 3 2 2 2" xfId="34948"/>
    <cellStyle name="Обычный 124 3 3 4 3 2 2 2 2" xfId="49768"/>
    <cellStyle name="Обычный 124 3 3 4 3 2 2 3" xfId="42476"/>
    <cellStyle name="Обычный 124 3 3 4 3 2 3" xfId="31294"/>
    <cellStyle name="Обычный 124 3 3 4 3 2 3 2" xfId="46117"/>
    <cellStyle name="Обычный 124 3 3 4 3 2 4" xfId="38792"/>
    <cellStyle name="Обычный 124 3 3 4 3 2 5" xfId="23979"/>
    <cellStyle name="Обычный 124 3 3 4 3 3" xfId="25811"/>
    <cellStyle name="Обычный 124 3 3 4 3 3 2" xfId="33122"/>
    <cellStyle name="Обычный 124 3 3 4 3 3 2 2" xfId="47942"/>
    <cellStyle name="Обычный 124 3 3 4 3 3 3" xfId="40664"/>
    <cellStyle name="Обычный 124 3 3 4 3 4" xfId="29468"/>
    <cellStyle name="Обычный 124 3 3 4 3 4 2" xfId="44292"/>
    <cellStyle name="Обычный 124 3 3 4 3 5" xfId="37069"/>
    <cellStyle name="Обычный 124 3 3 4 3 6" xfId="22150"/>
    <cellStyle name="Обычный 124 3 3 4 4" xfId="19346"/>
    <cellStyle name="Обычный 124 3 3 4 4 2" xfId="26716"/>
    <cellStyle name="Обычный 124 3 3 4 4 2 2" xfId="34027"/>
    <cellStyle name="Обычный 124 3 3 4 4 2 2 2" xfId="48847"/>
    <cellStyle name="Обычный 124 3 3 4 4 2 3" xfId="41556"/>
    <cellStyle name="Обычный 124 3 3 4 4 3" xfId="30373"/>
    <cellStyle name="Обычный 124 3 3 4 4 3 2" xfId="45196"/>
    <cellStyle name="Обычный 124 3 3 4 4 4" xfId="37870"/>
    <cellStyle name="Обычный 124 3 3 4 4 5" xfId="23058"/>
    <cellStyle name="Обычный 124 3 3 4 5" xfId="24875"/>
    <cellStyle name="Обычный 124 3 3 4 5 2" xfId="32186"/>
    <cellStyle name="Обычный 124 3 3 4 5 2 2" xfId="47009"/>
    <cellStyle name="Обычный 124 3 3 4 5 3" xfId="39771"/>
    <cellStyle name="Обычный 124 3 3 4 6" xfId="28532"/>
    <cellStyle name="Обычный 124 3 3 4 6 2" xfId="43369"/>
    <cellStyle name="Обычный 124 3 3 4 7" xfId="35849"/>
    <cellStyle name="Обычный 124 3 3 4 8" xfId="21214"/>
    <cellStyle name="Обычный 124 3 3 5" xfId="17529"/>
    <cellStyle name="Обычный 124 3 3 5 2" xfId="18643"/>
    <cellStyle name="Обычный 124 3 3 5 2 2" xfId="20522"/>
    <cellStyle name="Обычный 124 3 3 5 2 2 2" xfId="27848"/>
    <cellStyle name="Обычный 124 3 3 5 2 2 2 2" xfId="35159"/>
    <cellStyle name="Обычный 124 3 3 5 2 2 2 2 2" xfId="49979"/>
    <cellStyle name="Обычный 124 3 3 5 2 2 2 3" xfId="42687"/>
    <cellStyle name="Обычный 124 3 3 5 2 2 3" xfId="31505"/>
    <cellStyle name="Обычный 124 3 3 5 2 2 3 2" xfId="46328"/>
    <cellStyle name="Обычный 124 3 3 5 2 2 4" xfId="39003"/>
    <cellStyle name="Обычный 124 3 3 5 2 2 5" xfId="24190"/>
    <cellStyle name="Обычный 124 3 3 5 2 3" xfId="26022"/>
    <cellStyle name="Обычный 124 3 3 5 2 3 2" xfId="33333"/>
    <cellStyle name="Обычный 124 3 3 5 2 3 2 2" xfId="48153"/>
    <cellStyle name="Обычный 124 3 3 5 2 3 3" xfId="40866"/>
    <cellStyle name="Обычный 124 3 3 5 2 4" xfId="29679"/>
    <cellStyle name="Обычный 124 3 3 5 2 4 2" xfId="44503"/>
    <cellStyle name="Обычный 124 3 3 5 2 5" xfId="37280"/>
    <cellStyle name="Обычный 124 3 3 5 2 6" xfId="22361"/>
    <cellStyle name="Обычный 124 3 3 5 3" xfId="19573"/>
    <cellStyle name="Обычный 124 3 3 5 3 2" xfId="26942"/>
    <cellStyle name="Обычный 124 3 3 5 3 2 2" xfId="34253"/>
    <cellStyle name="Обычный 124 3 3 5 3 2 2 2" xfId="49073"/>
    <cellStyle name="Обычный 124 3 3 5 3 2 3" xfId="41782"/>
    <cellStyle name="Обычный 124 3 3 5 3 3" xfId="30599"/>
    <cellStyle name="Обычный 124 3 3 5 3 3 2" xfId="45422"/>
    <cellStyle name="Обычный 124 3 3 5 3 4" xfId="38096"/>
    <cellStyle name="Обычный 124 3 3 5 3 5" xfId="23284"/>
    <cellStyle name="Обычный 124 3 3 5 4" xfId="25101"/>
    <cellStyle name="Обычный 124 3 3 5 4 2" xfId="32412"/>
    <cellStyle name="Обычный 124 3 3 5 4 2 2" xfId="47235"/>
    <cellStyle name="Обычный 124 3 3 5 4 3" xfId="39995"/>
    <cellStyle name="Обычный 124 3 3 5 5" xfId="28758"/>
    <cellStyle name="Обычный 124 3 3 5 5 2" xfId="43595"/>
    <cellStyle name="Обычный 124 3 3 5 6" xfId="36291"/>
    <cellStyle name="Обычный 124 3 3 5 7" xfId="21440"/>
    <cellStyle name="Обычный 124 3 3 6" xfId="18422"/>
    <cellStyle name="Обычный 124 3 3 6 2" xfId="20304"/>
    <cellStyle name="Обычный 124 3 3 6 2 2" xfId="27630"/>
    <cellStyle name="Обычный 124 3 3 6 2 2 2" xfId="34941"/>
    <cellStyle name="Обычный 124 3 3 6 2 2 2 2" xfId="49761"/>
    <cellStyle name="Обычный 124 3 3 6 2 2 3" xfId="42469"/>
    <cellStyle name="Обычный 124 3 3 6 2 3" xfId="31287"/>
    <cellStyle name="Обычный 124 3 3 6 2 3 2" xfId="46110"/>
    <cellStyle name="Обычный 124 3 3 6 2 4" xfId="38785"/>
    <cellStyle name="Обычный 124 3 3 6 2 5" xfId="23972"/>
    <cellStyle name="Обычный 124 3 3 6 3" xfId="25804"/>
    <cellStyle name="Обычный 124 3 3 6 3 2" xfId="33115"/>
    <cellStyle name="Обычный 124 3 3 6 3 2 2" xfId="47935"/>
    <cellStyle name="Обычный 124 3 3 6 3 3" xfId="40657"/>
    <cellStyle name="Обычный 124 3 3 6 4" xfId="29461"/>
    <cellStyle name="Обычный 124 3 3 6 4 2" xfId="44285"/>
    <cellStyle name="Обычный 124 3 3 6 5" xfId="37062"/>
    <cellStyle name="Обычный 124 3 3 6 6" xfId="22143"/>
    <cellStyle name="Обычный 124 3 3 7" xfId="19126"/>
    <cellStyle name="Обычный 124 3 3 7 2" xfId="26498"/>
    <cellStyle name="Обычный 124 3 3 7 2 2" xfId="33809"/>
    <cellStyle name="Обычный 124 3 3 7 2 2 2" xfId="48629"/>
    <cellStyle name="Обычный 124 3 3 7 2 3" xfId="41338"/>
    <cellStyle name="Обычный 124 3 3 7 3" xfId="30155"/>
    <cellStyle name="Обычный 124 3 3 7 3 2" xfId="44978"/>
    <cellStyle name="Обычный 124 3 3 7 4" xfId="37652"/>
    <cellStyle name="Обычный 124 3 3 7 5" xfId="22840"/>
    <cellStyle name="Обычный 124 3 3 8" xfId="24651"/>
    <cellStyle name="Обычный 124 3 3 8 2" xfId="31962"/>
    <cellStyle name="Обычный 124 3 3 8 2 2" xfId="46785"/>
    <cellStyle name="Обычный 124 3 3 8 3" xfId="39571"/>
    <cellStyle name="Обычный 124 3 3 9" xfId="28308"/>
    <cellStyle name="Обычный 124 3 3 9 2" xfId="43145"/>
    <cellStyle name="Обычный 124 3 4" xfId="17164"/>
    <cellStyle name="Обычный 124 3 4 10" xfId="21018"/>
    <cellStyle name="Обычный 124 3 4 2" xfId="17443"/>
    <cellStyle name="Обычный 124 3 4 2 2" xfId="17893"/>
    <cellStyle name="Обычный 124 3 4 2 2 2" xfId="19007"/>
    <cellStyle name="Обычный 124 3 4 2 2 2 2" xfId="20886"/>
    <cellStyle name="Обычный 124 3 4 2 2 2 2 2" xfId="24554"/>
    <cellStyle name="Обычный 124 3 4 2 2 2 2 2 2" xfId="28212"/>
    <cellStyle name="Обычный 124 3 4 2 2 2 2 2 2 2" xfId="35523"/>
    <cellStyle name="Обычный 124 3 4 2 2 2 2 2 2 2 2" xfId="50343"/>
    <cellStyle name="Обычный 124 3 4 2 2 2 2 2 2 3" xfId="43051"/>
    <cellStyle name="Обычный 124 3 4 2 2 2 2 2 3" xfId="31869"/>
    <cellStyle name="Обычный 124 3 4 2 2 2 2 2 3 2" xfId="46692"/>
    <cellStyle name="Обычный 124 3 4 2 2 2 2 2 4" xfId="39487"/>
    <cellStyle name="Обычный 124 3 4 2 2 2 2 3" xfId="26386"/>
    <cellStyle name="Обычный 124 3 4 2 2 2 2 3 2" xfId="33697"/>
    <cellStyle name="Обычный 124 3 4 2 2 2 2 3 2 2" xfId="48517"/>
    <cellStyle name="Обычный 124 3 4 2 2 2 2 3 3" xfId="41230"/>
    <cellStyle name="Обычный 124 3 4 2 2 2 2 4" xfId="30043"/>
    <cellStyle name="Обычный 124 3 4 2 2 2 2 4 2" xfId="44867"/>
    <cellStyle name="Обычный 124 3 4 2 2 2 2 5" xfId="39367"/>
    <cellStyle name="Обычный 124 3 4 2 2 2 2 6" xfId="22725"/>
    <cellStyle name="Обычный 124 3 4 2 2 2 3" xfId="19937"/>
    <cellStyle name="Обычный 124 3 4 2 2 2 3 2" xfId="27306"/>
    <cellStyle name="Обычный 124 3 4 2 2 2 3 2 2" xfId="34617"/>
    <cellStyle name="Обычный 124 3 4 2 2 2 3 2 2 2" xfId="49437"/>
    <cellStyle name="Обычный 124 3 4 2 2 2 3 2 3" xfId="42146"/>
    <cellStyle name="Обычный 124 3 4 2 2 2 3 3" xfId="30963"/>
    <cellStyle name="Обычный 124 3 4 2 2 2 3 3 2" xfId="45786"/>
    <cellStyle name="Обычный 124 3 4 2 2 2 3 4" xfId="38460"/>
    <cellStyle name="Обычный 124 3 4 2 2 2 3 5" xfId="23648"/>
    <cellStyle name="Обычный 124 3 4 2 2 2 4" xfId="25465"/>
    <cellStyle name="Обычный 124 3 4 2 2 2 4 2" xfId="32776"/>
    <cellStyle name="Обычный 124 3 4 2 2 2 4 2 2" xfId="47599"/>
    <cellStyle name="Обычный 124 3 4 2 2 2 4 3" xfId="40353"/>
    <cellStyle name="Обычный 124 3 4 2 2 2 5" xfId="29122"/>
    <cellStyle name="Обычный 124 3 4 2 2 2 5 2" xfId="43959"/>
    <cellStyle name="Обычный 124 3 4 2 2 2 6" xfId="36301"/>
    <cellStyle name="Обычный 124 3 4 2 2 2 7" xfId="21804"/>
    <cellStyle name="Обычный 124 3 4 2 2 3" xfId="18432"/>
    <cellStyle name="Обычный 124 3 4 2 2 3 2" xfId="20314"/>
    <cellStyle name="Обычный 124 3 4 2 2 3 2 2" xfId="27640"/>
    <cellStyle name="Обычный 124 3 4 2 2 3 2 2 2" xfId="34951"/>
    <cellStyle name="Обычный 124 3 4 2 2 3 2 2 2 2" xfId="49771"/>
    <cellStyle name="Обычный 124 3 4 2 2 3 2 2 3" xfId="42479"/>
    <cellStyle name="Обычный 124 3 4 2 2 3 2 3" xfId="31297"/>
    <cellStyle name="Обычный 124 3 4 2 2 3 2 3 2" xfId="46120"/>
    <cellStyle name="Обычный 124 3 4 2 2 3 2 4" xfId="38795"/>
    <cellStyle name="Обычный 124 3 4 2 2 3 2 5" xfId="23982"/>
    <cellStyle name="Обычный 124 3 4 2 2 3 3" xfId="25814"/>
    <cellStyle name="Обычный 124 3 4 2 2 3 3 2" xfId="33125"/>
    <cellStyle name="Обычный 124 3 4 2 2 3 3 2 2" xfId="47945"/>
    <cellStyle name="Обычный 124 3 4 2 2 3 3 3" xfId="40667"/>
    <cellStyle name="Обычный 124 3 4 2 2 3 4" xfId="29471"/>
    <cellStyle name="Обычный 124 3 4 2 2 3 4 2" xfId="44295"/>
    <cellStyle name="Обычный 124 3 4 2 2 3 5" xfId="37072"/>
    <cellStyle name="Обычный 124 3 4 2 2 3 6" xfId="22153"/>
    <cellStyle name="Обычный 124 3 4 2 2 4" xfId="19486"/>
    <cellStyle name="Обычный 124 3 4 2 2 4 2" xfId="26856"/>
    <cellStyle name="Обычный 124 3 4 2 2 4 2 2" xfId="34167"/>
    <cellStyle name="Обычный 124 3 4 2 2 4 2 2 2" xfId="48987"/>
    <cellStyle name="Обычный 124 3 4 2 2 4 2 3" xfId="41696"/>
    <cellStyle name="Обычный 124 3 4 2 2 4 3" xfId="30513"/>
    <cellStyle name="Обычный 124 3 4 2 2 4 3 2" xfId="45336"/>
    <cellStyle name="Обычный 124 3 4 2 2 4 4" xfId="38010"/>
    <cellStyle name="Обычный 124 3 4 2 2 4 5" xfId="23198"/>
    <cellStyle name="Обычный 124 3 4 2 2 5" xfId="25015"/>
    <cellStyle name="Обычный 124 3 4 2 2 5 2" xfId="32326"/>
    <cellStyle name="Обычный 124 3 4 2 2 5 2 2" xfId="47149"/>
    <cellStyle name="Обычный 124 3 4 2 2 5 3" xfId="39910"/>
    <cellStyle name="Обычный 124 3 4 2 2 6" xfId="28672"/>
    <cellStyle name="Обычный 124 3 4 2 2 6 2" xfId="43509"/>
    <cellStyle name="Обычный 124 3 4 2 2 7" xfId="35852"/>
    <cellStyle name="Обычный 124 3 4 2 2 8" xfId="21354"/>
    <cellStyle name="Обычный 124 3 4 2 3" xfId="17669"/>
    <cellStyle name="Обычный 124 3 4 2 3 2" xfId="18783"/>
    <cellStyle name="Обычный 124 3 4 2 3 2 2" xfId="20662"/>
    <cellStyle name="Обычный 124 3 4 2 3 2 2 2" xfId="27988"/>
    <cellStyle name="Обычный 124 3 4 2 3 2 2 2 2" xfId="35299"/>
    <cellStyle name="Обычный 124 3 4 2 3 2 2 2 2 2" xfId="50119"/>
    <cellStyle name="Обычный 124 3 4 2 3 2 2 2 3" xfId="42827"/>
    <cellStyle name="Обычный 124 3 4 2 3 2 2 3" xfId="31645"/>
    <cellStyle name="Обычный 124 3 4 2 3 2 2 3 2" xfId="46468"/>
    <cellStyle name="Обычный 124 3 4 2 3 2 2 4" xfId="39143"/>
    <cellStyle name="Обычный 124 3 4 2 3 2 2 5" xfId="24330"/>
    <cellStyle name="Обычный 124 3 4 2 3 2 3" xfId="26162"/>
    <cellStyle name="Обычный 124 3 4 2 3 2 3 2" xfId="33473"/>
    <cellStyle name="Обычный 124 3 4 2 3 2 3 2 2" xfId="48293"/>
    <cellStyle name="Обычный 124 3 4 2 3 2 3 3" xfId="41006"/>
    <cellStyle name="Обычный 124 3 4 2 3 2 4" xfId="29819"/>
    <cellStyle name="Обычный 124 3 4 2 3 2 4 2" xfId="44643"/>
    <cellStyle name="Обычный 124 3 4 2 3 2 5" xfId="37420"/>
    <cellStyle name="Обычный 124 3 4 2 3 2 6" xfId="22501"/>
    <cellStyle name="Обычный 124 3 4 2 3 3" xfId="19713"/>
    <cellStyle name="Обычный 124 3 4 2 3 3 2" xfId="27082"/>
    <cellStyle name="Обычный 124 3 4 2 3 3 2 2" xfId="34393"/>
    <cellStyle name="Обычный 124 3 4 2 3 3 2 2 2" xfId="49213"/>
    <cellStyle name="Обычный 124 3 4 2 3 3 2 3" xfId="41922"/>
    <cellStyle name="Обычный 124 3 4 2 3 3 3" xfId="30739"/>
    <cellStyle name="Обычный 124 3 4 2 3 3 3 2" xfId="45562"/>
    <cellStyle name="Обычный 124 3 4 2 3 3 4" xfId="38236"/>
    <cellStyle name="Обычный 124 3 4 2 3 3 5" xfId="23424"/>
    <cellStyle name="Обычный 124 3 4 2 3 4" xfId="25241"/>
    <cellStyle name="Обычный 124 3 4 2 3 4 2" xfId="32552"/>
    <cellStyle name="Обычный 124 3 4 2 3 4 2 2" xfId="47375"/>
    <cellStyle name="Обычный 124 3 4 2 3 4 3" xfId="40133"/>
    <cellStyle name="Обычный 124 3 4 2 3 5" xfId="28898"/>
    <cellStyle name="Обычный 124 3 4 2 3 5 2" xfId="43735"/>
    <cellStyle name="Обычный 124 3 4 2 3 6" xfId="36300"/>
    <cellStyle name="Обычный 124 3 4 2 3 7" xfId="21580"/>
    <cellStyle name="Обычный 124 3 4 2 4" xfId="18431"/>
    <cellStyle name="Обычный 124 3 4 2 4 2" xfId="20313"/>
    <cellStyle name="Обычный 124 3 4 2 4 2 2" xfId="27639"/>
    <cellStyle name="Обычный 124 3 4 2 4 2 2 2" xfId="34950"/>
    <cellStyle name="Обычный 124 3 4 2 4 2 2 2 2" xfId="49770"/>
    <cellStyle name="Обычный 124 3 4 2 4 2 2 3" xfId="42478"/>
    <cellStyle name="Обычный 124 3 4 2 4 2 3" xfId="31296"/>
    <cellStyle name="Обычный 124 3 4 2 4 2 3 2" xfId="46119"/>
    <cellStyle name="Обычный 124 3 4 2 4 2 4" xfId="38794"/>
    <cellStyle name="Обычный 124 3 4 2 4 2 5" xfId="23981"/>
    <cellStyle name="Обычный 124 3 4 2 4 3" xfId="25813"/>
    <cellStyle name="Обычный 124 3 4 2 4 3 2" xfId="33124"/>
    <cellStyle name="Обычный 124 3 4 2 4 3 2 2" xfId="47944"/>
    <cellStyle name="Обычный 124 3 4 2 4 3 3" xfId="40666"/>
    <cellStyle name="Обычный 124 3 4 2 4 4" xfId="29470"/>
    <cellStyle name="Обычный 124 3 4 2 4 4 2" xfId="44294"/>
    <cellStyle name="Обычный 124 3 4 2 4 5" xfId="37071"/>
    <cellStyle name="Обычный 124 3 4 2 4 6" xfId="22152"/>
    <cellStyle name="Обычный 124 3 4 2 5" xfId="19263"/>
    <cellStyle name="Обычный 124 3 4 2 5 2" xfId="26633"/>
    <cellStyle name="Обычный 124 3 4 2 5 2 2" xfId="33944"/>
    <cellStyle name="Обычный 124 3 4 2 5 2 2 2" xfId="48764"/>
    <cellStyle name="Обычный 124 3 4 2 5 2 3" xfId="41473"/>
    <cellStyle name="Обычный 124 3 4 2 5 3" xfId="30290"/>
    <cellStyle name="Обычный 124 3 4 2 5 3 2" xfId="45113"/>
    <cellStyle name="Обычный 124 3 4 2 5 4" xfId="37787"/>
    <cellStyle name="Обычный 124 3 4 2 5 5" xfId="22975"/>
    <cellStyle name="Обычный 124 3 4 2 6" xfId="24791"/>
    <cellStyle name="Обычный 124 3 4 2 6 2" xfId="32102"/>
    <cellStyle name="Обычный 124 3 4 2 6 2 2" xfId="46925"/>
    <cellStyle name="Обычный 124 3 4 2 6 3" xfId="39690"/>
    <cellStyle name="Обычный 124 3 4 2 7" xfId="28448"/>
    <cellStyle name="Обычный 124 3 4 2 7 2" xfId="43285"/>
    <cellStyle name="Обычный 124 3 4 2 8" xfId="35851"/>
    <cellStyle name="Обычный 124 3 4 2 9" xfId="21130"/>
    <cellStyle name="Обычный 124 3 4 3" xfId="17328"/>
    <cellStyle name="Обычный 124 3 4 3 2" xfId="17781"/>
    <cellStyle name="Обычный 124 3 4 3 2 2" xfId="18895"/>
    <cellStyle name="Обычный 124 3 4 3 2 2 2" xfId="20774"/>
    <cellStyle name="Обычный 124 3 4 3 2 2 2 2" xfId="28100"/>
    <cellStyle name="Обычный 124 3 4 3 2 2 2 2 2" xfId="35411"/>
    <cellStyle name="Обычный 124 3 4 3 2 2 2 2 2 2" xfId="50231"/>
    <cellStyle name="Обычный 124 3 4 3 2 2 2 2 3" xfId="42939"/>
    <cellStyle name="Обычный 124 3 4 3 2 2 2 3" xfId="31757"/>
    <cellStyle name="Обычный 124 3 4 3 2 2 2 3 2" xfId="46580"/>
    <cellStyle name="Обычный 124 3 4 3 2 2 2 4" xfId="39255"/>
    <cellStyle name="Обычный 124 3 4 3 2 2 2 5" xfId="24442"/>
    <cellStyle name="Обычный 124 3 4 3 2 2 3" xfId="26274"/>
    <cellStyle name="Обычный 124 3 4 3 2 2 3 2" xfId="33585"/>
    <cellStyle name="Обычный 124 3 4 3 2 2 3 2 2" xfId="48405"/>
    <cellStyle name="Обычный 124 3 4 3 2 2 3 3" xfId="41118"/>
    <cellStyle name="Обычный 124 3 4 3 2 2 4" xfId="29931"/>
    <cellStyle name="Обычный 124 3 4 3 2 2 4 2" xfId="44755"/>
    <cellStyle name="Обычный 124 3 4 3 2 2 5" xfId="37531"/>
    <cellStyle name="Обычный 124 3 4 3 2 2 6" xfId="22613"/>
    <cellStyle name="Обычный 124 3 4 3 2 3" xfId="19825"/>
    <cellStyle name="Обычный 124 3 4 3 2 3 2" xfId="27194"/>
    <cellStyle name="Обычный 124 3 4 3 2 3 2 2" xfId="34505"/>
    <cellStyle name="Обычный 124 3 4 3 2 3 2 2 2" xfId="49325"/>
    <cellStyle name="Обычный 124 3 4 3 2 3 2 3" xfId="42034"/>
    <cellStyle name="Обычный 124 3 4 3 2 3 3" xfId="30851"/>
    <cellStyle name="Обычный 124 3 4 3 2 3 3 2" xfId="45674"/>
    <cellStyle name="Обычный 124 3 4 3 2 3 4" xfId="38348"/>
    <cellStyle name="Обычный 124 3 4 3 2 3 5" xfId="23536"/>
    <cellStyle name="Обычный 124 3 4 3 2 4" xfId="25353"/>
    <cellStyle name="Обычный 124 3 4 3 2 4 2" xfId="32664"/>
    <cellStyle name="Обычный 124 3 4 3 2 4 2 2" xfId="47487"/>
    <cellStyle name="Обычный 124 3 4 3 2 4 3" xfId="40241"/>
    <cellStyle name="Обычный 124 3 4 3 2 5" xfId="29010"/>
    <cellStyle name="Обычный 124 3 4 3 2 5 2" xfId="43847"/>
    <cellStyle name="Обычный 124 3 4 3 2 6" xfId="36302"/>
    <cellStyle name="Обычный 124 3 4 3 2 7" xfId="21692"/>
    <cellStyle name="Обычный 124 3 4 3 3" xfId="18433"/>
    <cellStyle name="Обычный 124 3 4 3 3 2" xfId="20315"/>
    <cellStyle name="Обычный 124 3 4 3 3 2 2" xfId="27641"/>
    <cellStyle name="Обычный 124 3 4 3 3 2 2 2" xfId="34952"/>
    <cellStyle name="Обычный 124 3 4 3 3 2 2 2 2" xfId="49772"/>
    <cellStyle name="Обычный 124 3 4 3 3 2 2 3" xfId="42480"/>
    <cellStyle name="Обычный 124 3 4 3 3 2 3" xfId="31298"/>
    <cellStyle name="Обычный 124 3 4 3 3 2 3 2" xfId="46121"/>
    <cellStyle name="Обычный 124 3 4 3 3 2 4" xfId="38796"/>
    <cellStyle name="Обычный 124 3 4 3 3 2 5" xfId="23983"/>
    <cellStyle name="Обычный 124 3 4 3 3 3" xfId="25815"/>
    <cellStyle name="Обычный 124 3 4 3 3 3 2" xfId="33126"/>
    <cellStyle name="Обычный 124 3 4 3 3 3 2 2" xfId="47946"/>
    <cellStyle name="Обычный 124 3 4 3 3 3 3" xfId="40668"/>
    <cellStyle name="Обычный 124 3 4 3 3 4" xfId="29472"/>
    <cellStyle name="Обычный 124 3 4 3 3 4 2" xfId="44296"/>
    <cellStyle name="Обычный 124 3 4 3 3 5" xfId="37073"/>
    <cellStyle name="Обычный 124 3 4 3 3 6" xfId="22154"/>
    <cellStyle name="Обычный 124 3 4 3 4" xfId="19374"/>
    <cellStyle name="Обычный 124 3 4 3 4 2" xfId="26744"/>
    <cellStyle name="Обычный 124 3 4 3 4 2 2" xfId="34055"/>
    <cellStyle name="Обычный 124 3 4 3 4 2 2 2" xfId="48875"/>
    <cellStyle name="Обычный 124 3 4 3 4 2 3" xfId="41584"/>
    <cellStyle name="Обычный 124 3 4 3 4 3" xfId="30401"/>
    <cellStyle name="Обычный 124 3 4 3 4 3 2" xfId="45224"/>
    <cellStyle name="Обычный 124 3 4 3 4 4" xfId="37898"/>
    <cellStyle name="Обычный 124 3 4 3 4 5" xfId="23086"/>
    <cellStyle name="Обычный 124 3 4 3 5" xfId="24903"/>
    <cellStyle name="Обычный 124 3 4 3 5 2" xfId="32214"/>
    <cellStyle name="Обычный 124 3 4 3 5 2 2" xfId="47037"/>
    <cellStyle name="Обычный 124 3 4 3 5 3" xfId="39798"/>
    <cellStyle name="Обычный 124 3 4 3 6" xfId="28560"/>
    <cellStyle name="Обычный 124 3 4 3 6 2" xfId="43397"/>
    <cellStyle name="Обычный 124 3 4 3 7" xfId="35853"/>
    <cellStyle name="Обычный 124 3 4 3 8" xfId="21242"/>
    <cellStyle name="Обычный 124 3 4 4" xfId="17557"/>
    <cellStyle name="Обычный 124 3 4 4 2" xfId="18671"/>
    <cellStyle name="Обычный 124 3 4 4 2 2" xfId="20550"/>
    <cellStyle name="Обычный 124 3 4 4 2 2 2" xfId="27876"/>
    <cellStyle name="Обычный 124 3 4 4 2 2 2 2" xfId="35187"/>
    <cellStyle name="Обычный 124 3 4 4 2 2 2 2 2" xfId="50007"/>
    <cellStyle name="Обычный 124 3 4 4 2 2 2 3" xfId="42715"/>
    <cellStyle name="Обычный 124 3 4 4 2 2 3" xfId="31533"/>
    <cellStyle name="Обычный 124 3 4 4 2 2 3 2" xfId="46356"/>
    <cellStyle name="Обычный 124 3 4 4 2 2 4" xfId="39031"/>
    <cellStyle name="Обычный 124 3 4 4 2 2 5" xfId="24218"/>
    <cellStyle name="Обычный 124 3 4 4 2 3" xfId="26050"/>
    <cellStyle name="Обычный 124 3 4 4 2 3 2" xfId="33361"/>
    <cellStyle name="Обычный 124 3 4 4 2 3 2 2" xfId="48181"/>
    <cellStyle name="Обычный 124 3 4 4 2 3 3" xfId="40894"/>
    <cellStyle name="Обычный 124 3 4 4 2 4" xfId="29707"/>
    <cellStyle name="Обычный 124 3 4 4 2 4 2" xfId="44531"/>
    <cellStyle name="Обычный 124 3 4 4 2 5" xfId="37308"/>
    <cellStyle name="Обычный 124 3 4 4 2 6" xfId="22389"/>
    <cellStyle name="Обычный 124 3 4 4 3" xfId="19601"/>
    <cellStyle name="Обычный 124 3 4 4 3 2" xfId="26970"/>
    <cellStyle name="Обычный 124 3 4 4 3 2 2" xfId="34281"/>
    <cellStyle name="Обычный 124 3 4 4 3 2 2 2" xfId="49101"/>
    <cellStyle name="Обычный 124 3 4 4 3 2 3" xfId="41810"/>
    <cellStyle name="Обычный 124 3 4 4 3 3" xfId="30627"/>
    <cellStyle name="Обычный 124 3 4 4 3 3 2" xfId="45450"/>
    <cellStyle name="Обычный 124 3 4 4 3 4" xfId="38124"/>
    <cellStyle name="Обычный 124 3 4 4 3 5" xfId="23312"/>
    <cellStyle name="Обычный 124 3 4 4 4" xfId="25129"/>
    <cellStyle name="Обычный 124 3 4 4 4 2" xfId="32440"/>
    <cellStyle name="Обычный 124 3 4 4 4 2 2" xfId="47263"/>
    <cellStyle name="Обычный 124 3 4 4 4 3" xfId="40023"/>
    <cellStyle name="Обычный 124 3 4 4 5" xfId="28786"/>
    <cellStyle name="Обычный 124 3 4 4 5 2" xfId="43623"/>
    <cellStyle name="Обычный 124 3 4 4 6" xfId="36299"/>
    <cellStyle name="Обычный 124 3 4 4 7" xfId="21468"/>
    <cellStyle name="Обычный 124 3 4 5" xfId="18430"/>
    <cellStyle name="Обычный 124 3 4 5 2" xfId="20312"/>
    <cellStyle name="Обычный 124 3 4 5 2 2" xfId="27638"/>
    <cellStyle name="Обычный 124 3 4 5 2 2 2" xfId="34949"/>
    <cellStyle name="Обычный 124 3 4 5 2 2 2 2" xfId="49769"/>
    <cellStyle name="Обычный 124 3 4 5 2 2 3" xfId="42477"/>
    <cellStyle name="Обычный 124 3 4 5 2 3" xfId="31295"/>
    <cellStyle name="Обычный 124 3 4 5 2 3 2" xfId="46118"/>
    <cellStyle name="Обычный 124 3 4 5 2 4" xfId="38793"/>
    <cellStyle name="Обычный 124 3 4 5 2 5" xfId="23980"/>
    <cellStyle name="Обычный 124 3 4 5 3" xfId="25812"/>
    <cellStyle name="Обычный 124 3 4 5 3 2" xfId="33123"/>
    <cellStyle name="Обычный 124 3 4 5 3 2 2" xfId="47943"/>
    <cellStyle name="Обычный 124 3 4 5 3 3" xfId="40665"/>
    <cellStyle name="Обычный 124 3 4 5 4" xfId="29469"/>
    <cellStyle name="Обычный 124 3 4 5 4 2" xfId="44293"/>
    <cellStyle name="Обычный 124 3 4 5 5" xfId="37070"/>
    <cellStyle name="Обычный 124 3 4 5 6" xfId="22151"/>
    <cellStyle name="Обычный 124 3 4 6" xfId="19154"/>
    <cellStyle name="Обычный 124 3 4 6 2" xfId="26525"/>
    <cellStyle name="Обычный 124 3 4 6 2 2" xfId="33836"/>
    <cellStyle name="Обычный 124 3 4 6 2 2 2" xfId="48656"/>
    <cellStyle name="Обычный 124 3 4 6 2 3" xfId="41365"/>
    <cellStyle name="Обычный 124 3 4 6 3" xfId="30182"/>
    <cellStyle name="Обычный 124 3 4 6 3 2" xfId="45005"/>
    <cellStyle name="Обычный 124 3 4 6 4" xfId="37679"/>
    <cellStyle name="Обычный 124 3 4 6 5" xfId="22867"/>
    <cellStyle name="Обычный 124 3 4 7" xfId="24679"/>
    <cellStyle name="Обычный 124 3 4 7 2" xfId="31990"/>
    <cellStyle name="Обычный 124 3 4 7 2 2" xfId="46813"/>
    <cellStyle name="Обычный 124 3 4 7 3" xfId="39596"/>
    <cellStyle name="Обычный 124 3 4 8" xfId="28336"/>
    <cellStyle name="Обычный 124 3 4 8 2" xfId="43173"/>
    <cellStyle name="Обычный 124 3 4 9" xfId="35850"/>
    <cellStyle name="Обычный 124 3 5" xfId="17387"/>
    <cellStyle name="Обычный 124 3 5 2" xfId="17837"/>
    <cellStyle name="Обычный 124 3 5 2 2" xfId="18951"/>
    <cellStyle name="Обычный 124 3 5 2 2 2" xfId="20830"/>
    <cellStyle name="Обычный 124 3 5 2 2 2 2" xfId="24498"/>
    <cellStyle name="Обычный 124 3 5 2 2 2 2 2" xfId="28156"/>
    <cellStyle name="Обычный 124 3 5 2 2 2 2 2 2" xfId="35467"/>
    <cellStyle name="Обычный 124 3 5 2 2 2 2 2 2 2" xfId="50287"/>
    <cellStyle name="Обычный 124 3 5 2 2 2 2 2 3" xfId="42995"/>
    <cellStyle name="Обычный 124 3 5 2 2 2 2 3" xfId="31813"/>
    <cellStyle name="Обычный 124 3 5 2 2 2 2 3 2" xfId="46636"/>
    <cellStyle name="Обычный 124 3 5 2 2 2 2 4" xfId="39452"/>
    <cellStyle name="Обычный 124 3 5 2 2 2 3" xfId="26330"/>
    <cellStyle name="Обычный 124 3 5 2 2 2 3 2" xfId="33641"/>
    <cellStyle name="Обычный 124 3 5 2 2 2 3 2 2" xfId="48461"/>
    <cellStyle name="Обычный 124 3 5 2 2 2 3 3" xfId="41174"/>
    <cellStyle name="Обычный 124 3 5 2 2 2 4" xfId="29987"/>
    <cellStyle name="Обычный 124 3 5 2 2 2 4 2" xfId="44811"/>
    <cellStyle name="Обычный 124 3 5 2 2 2 5" xfId="39311"/>
    <cellStyle name="Обычный 124 3 5 2 2 2 6" xfId="22669"/>
    <cellStyle name="Обычный 124 3 5 2 2 3" xfId="19881"/>
    <cellStyle name="Обычный 124 3 5 2 2 3 2" xfId="27250"/>
    <cellStyle name="Обычный 124 3 5 2 2 3 2 2" xfId="34561"/>
    <cellStyle name="Обычный 124 3 5 2 2 3 2 2 2" xfId="49381"/>
    <cellStyle name="Обычный 124 3 5 2 2 3 2 3" xfId="42090"/>
    <cellStyle name="Обычный 124 3 5 2 2 3 3" xfId="30907"/>
    <cellStyle name="Обычный 124 3 5 2 2 3 3 2" xfId="45730"/>
    <cellStyle name="Обычный 124 3 5 2 2 3 4" xfId="38404"/>
    <cellStyle name="Обычный 124 3 5 2 2 3 5" xfId="23592"/>
    <cellStyle name="Обычный 124 3 5 2 2 4" xfId="25409"/>
    <cellStyle name="Обычный 124 3 5 2 2 4 2" xfId="32720"/>
    <cellStyle name="Обычный 124 3 5 2 2 4 2 2" xfId="47543"/>
    <cellStyle name="Обычный 124 3 5 2 2 4 3" xfId="40297"/>
    <cellStyle name="Обычный 124 3 5 2 2 5" xfId="29066"/>
    <cellStyle name="Обычный 124 3 5 2 2 5 2" xfId="43903"/>
    <cellStyle name="Обычный 124 3 5 2 2 6" xfId="36304"/>
    <cellStyle name="Обычный 124 3 5 2 2 7" xfId="21748"/>
    <cellStyle name="Обычный 124 3 5 2 3" xfId="18435"/>
    <cellStyle name="Обычный 124 3 5 2 3 2" xfId="20317"/>
    <cellStyle name="Обычный 124 3 5 2 3 2 2" xfId="27643"/>
    <cellStyle name="Обычный 124 3 5 2 3 2 2 2" xfId="34954"/>
    <cellStyle name="Обычный 124 3 5 2 3 2 2 2 2" xfId="49774"/>
    <cellStyle name="Обычный 124 3 5 2 3 2 2 3" xfId="42482"/>
    <cellStyle name="Обычный 124 3 5 2 3 2 3" xfId="31300"/>
    <cellStyle name="Обычный 124 3 5 2 3 2 3 2" xfId="46123"/>
    <cellStyle name="Обычный 124 3 5 2 3 2 4" xfId="38798"/>
    <cellStyle name="Обычный 124 3 5 2 3 2 5" xfId="23985"/>
    <cellStyle name="Обычный 124 3 5 2 3 3" xfId="25817"/>
    <cellStyle name="Обычный 124 3 5 2 3 3 2" xfId="33128"/>
    <cellStyle name="Обычный 124 3 5 2 3 3 2 2" xfId="47948"/>
    <cellStyle name="Обычный 124 3 5 2 3 3 3" xfId="40670"/>
    <cellStyle name="Обычный 124 3 5 2 3 4" xfId="29474"/>
    <cellStyle name="Обычный 124 3 5 2 3 4 2" xfId="44298"/>
    <cellStyle name="Обычный 124 3 5 2 3 5" xfId="37075"/>
    <cellStyle name="Обычный 124 3 5 2 3 6" xfId="22156"/>
    <cellStyle name="Обычный 124 3 5 2 4" xfId="19430"/>
    <cellStyle name="Обычный 124 3 5 2 4 2" xfId="26800"/>
    <cellStyle name="Обычный 124 3 5 2 4 2 2" xfId="34111"/>
    <cellStyle name="Обычный 124 3 5 2 4 2 2 2" xfId="48931"/>
    <cellStyle name="Обычный 124 3 5 2 4 2 3" xfId="41640"/>
    <cellStyle name="Обычный 124 3 5 2 4 3" xfId="30457"/>
    <cellStyle name="Обычный 124 3 5 2 4 3 2" xfId="45280"/>
    <cellStyle name="Обычный 124 3 5 2 4 4" xfId="37954"/>
    <cellStyle name="Обычный 124 3 5 2 4 5" xfId="23142"/>
    <cellStyle name="Обычный 124 3 5 2 5" xfId="24959"/>
    <cellStyle name="Обычный 124 3 5 2 5 2" xfId="32270"/>
    <cellStyle name="Обычный 124 3 5 2 5 2 2" xfId="47093"/>
    <cellStyle name="Обычный 124 3 5 2 5 3" xfId="39854"/>
    <cellStyle name="Обычный 124 3 5 2 6" xfId="28616"/>
    <cellStyle name="Обычный 124 3 5 2 6 2" xfId="43453"/>
    <cellStyle name="Обычный 124 3 5 2 7" xfId="35855"/>
    <cellStyle name="Обычный 124 3 5 2 8" xfId="21298"/>
    <cellStyle name="Обычный 124 3 5 3" xfId="17613"/>
    <cellStyle name="Обычный 124 3 5 3 2" xfId="18727"/>
    <cellStyle name="Обычный 124 3 5 3 2 2" xfId="20606"/>
    <cellStyle name="Обычный 124 3 5 3 2 2 2" xfId="27932"/>
    <cellStyle name="Обычный 124 3 5 3 2 2 2 2" xfId="35243"/>
    <cellStyle name="Обычный 124 3 5 3 2 2 2 2 2" xfId="50063"/>
    <cellStyle name="Обычный 124 3 5 3 2 2 2 3" xfId="42771"/>
    <cellStyle name="Обычный 124 3 5 3 2 2 3" xfId="31589"/>
    <cellStyle name="Обычный 124 3 5 3 2 2 3 2" xfId="46412"/>
    <cellStyle name="Обычный 124 3 5 3 2 2 4" xfId="39087"/>
    <cellStyle name="Обычный 124 3 5 3 2 2 5" xfId="24274"/>
    <cellStyle name="Обычный 124 3 5 3 2 3" xfId="26106"/>
    <cellStyle name="Обычный 124 3 5 3 2 3 2" xfId="33417"/>
    <cellStyle name="Обычный 124 3 5 3 2 3 2 2" xfId="48237"/>
    <cellStyle name="Обычный 124 3 5 3 2 3 3" xfId="40950"/>
    <cellStyle name="Обычный 124 3 5 3 2 4" xfId="29763"/>
    <cellStyle name="Обычный 124 3 5 3 2 4 2" xfId="44587"/>
    <cellStyle name="Обычный 124 3 5 3 2 5" xfId="37364"/>
    <cellStyle name="Обычный 124 3 5 3 2 6" xfId="22445"/>
    <cellStyle name="Обычный 124 3 5 3 3" xfId="19657"/>
    <cellStyle name="Обычный 124 3 5 3 3 2" xfId="27026"/>
    <cellStyle name="Обычный 124 3 5 3 3 2 2" xfId="34337"/>
    <cellStyle name="Обычный 124 3 5 3 3 2 2 2" xfId="49157"/>
    <cellStyle name="Обычный 124 3 5 3 3 2 3" xfId="41866"/>
    <cellStyle name="Обычный 124 3 5 3 3 3" xfId="30683"/>
    <cellStyle name="Обычный 124 3 5 3 3 3 2" xfId="45506"/>
    <cellStyle name="Обычный 124 3 5 3 3 4" xfId="38180"/>
    <cellStyle name="Обычный 124 3 5 3 3 5" xfId="23368"/>
    <cellStyle name="Обычный 124 3 5 3 4" xfId="25185"/>
    <cellStyle name="Обычный 124 3 5 3 4 2" xfId="32496"/>
    <cellStyle name="Обычный 124 3 5 3 4 2 2" xfId="47319"/>
    <cellStyle name="Обычный 124 3 5 3 4 3" xfId="40077"/>
    <cellStyle name="Обычный 124 3 5 3 5" xfId="28842"/>
    <cellStyle name="Обычный 124 3 5 3 5 2" xfId="43679"/>
    <cellStyle name="Обычный 124 3 5 3 6" xfId="36303"/>
    <cellStyle name="Обычный 124 3 5 3 7" xfId="21524"/>
    <cellStyle name="Обычный 124 3 5 4" xfId="18434"/>
    <cellStyle name="Обычный 124 3 5 4 2" xfId="20316"/>
    <cellStyle name="Обычный 124 3 5 4 2 2" xfId="27642"/>
    <cellStyle name="Обычный 124 3 5 4 2 2 2" xfId="34953"/>
    <cellStyle name="Обычный 124 3 5 4 2 2 2 2" xfId="49773"/>
    <cellStyle name="Обычный 124 3 5 4 2 2 3" xfId="42481"/>
    <cellStyle name="Обычный 124 3 5 4 2 3" xfId="31299"/>
    <cellStyle name="Обычный 124 3 5 4 2 3 2" xfId="46122"/>
    <cellStyle name="Обычный 124 3 5 4 2 4" xfId="38797"/>
    <cellStyle name="Обычный 124 3 5 4 2 5" xfId="23984"/>
    <cellStyle name="Обычный 124 3 5 4 3" xfId="25816"/>
    <cellStyle name="Обычный 124 3 5 4 3 2" xfId="33127"/>
    <cellStyle name="Обычный 124 3 5 4 3 2 2" xfId="47947"/>
    <cellStyle name="Обычный 124 3 5 4 3 3" xfId="40669"/>
    <cellStyle name="Обычный 124 3 5 4 4" xfId="29473"/>
    <cellStyle name="Обычный 124 3 5 4 4 2" xfId="44297"/>
    <cellStyle name="Обычный 124 3 5 4 5" xfId="37074"/>
    <cellStyle name="Обычный 124 3 5 4 6" xfId="22155"/>
    <cellStyle name="Обычный 124 3 5 5" xfId="19208"/>
    <cellStyle name="Обычный 124 3 5 5 2" xfId="26578"/>
    <cellStyle name="Обычный 124 3 5 5 2 2" xfId="33889"/>
    <cellStyle name="Обычный 124 3 5 5 2 2 2" xfId="48709"/>
    <cellStyle name="Обычный 124 3 5 5 2 3" xfId="41418"/>
    <cellStyle name="Обычный 124 3 5 5 3" xfId="30235"/>
    <cellStyle name="Обычный 124 3 5 5 3 2" xfId="45058"/>
    <cellStyle name="Обычный 124 3 5 5 4" xfId="37732"/>
    <cellStyle name="Обычный 124 3 5 5 5" xfId="22920"/>
    <cellStyle name="Обычный 124 3 5 6" xfId="24735"/>
    <cellStyle name="Обычный 124 3 5 6 2" xfId="32046"/>
    <cellStyle name="Обычный 124 3 5 6 2 2" xfId="46869"/>
    <cellStyle name="Обычный 124 3 5 6 3" xfId="39638"/>
    <cellStyle name="Обычный 124 3 5 7" xfId="28392"/>
    <cellStyle name="Обычный 124 3 5 7 2" xfId="43229"/>
    <cellStyle name="Обычный 124 3 5 8" xfId="35854"/>
    <cellStyle name="Обычный 124 3 5 9" xfId="21074"/>
    <cellStyle name="Обычный 124 3 6" xfId="17266"/>
    <cellStyle name="Обычный 124 3 6 2" xfId="17725"/>
    <cellStyle name="Обычный 124 3 6 2 2" xfId="18839"/>
    <cellStyle name="Обычный 124 3 6 2 2 2" xfId="20718"/>
    <cellStyle name="Обычный 124 3 6 2 2 2 2" xfId="28044"/>
    <cellStyle name="Обычный 124 3 6 2 2 2 2 2" xfId="35355"/>
    <cellStyle name="Обычный 124 3 6 2 2 2 2 2 2" xfId="50175"/>
    <cellStyle name="Обычный 124 3 6 2 2 2 2 3" xfId="42883"/>
    <cellStyle name="Обычный 124 3 6 2 2 2 3" xfId="31701"/>
    <cellStyle name="Обычный 124 3 6 2 2 2 3 2" xfId="46524"/>
    <cellStyle name="Обычный 124 3 6 2 2 2 4" xfId="39199"/>
    <cellStyle name="Обычный 124 3 6 2 2 2 5" xfId="24386"/>
    <cellStyle name="Обычный 124 3 6 2 2 3" xfId="26218"/>
    <cellStyle name="Обычный 124 3 6 2 2 3 2" xfId="33529"/>
    <cellStyle name="Обычный 124 3 6 2 2 3 2 2" xfId="48349"/>
    <cellStyle name="Обычный 124 3 6 2 2 3 3" xfId="41062"/>
    <cellStyle name="Обычный 124 3 6 2 2 4" xfId="29875"/>
    <cellStyle name="Обычный 124 3 6 2 2 4 2" xfId="44699"/>
    <cellStyle name="Обычный 124 3 6 2 2 5" xfId="37475"/>
    <cellStyle name="Обычный 124 3 6 2 2 6" xfId="22557"/>
    <cellStyle name="Обычный 124 3 6 2 3" xfId="19769"/>
    <cellStyle name="Обычный 124 3 6 2 3 2" xfId="27138"/>
    <cellStyle name="Обычный 124 3 6 2 3 2 2" xfId="34449"/>
    <cellStyle name="Обычный 124 3 6 2 3 2 2 2" xfId="49269"/>
    <cellStyle name="Обычный 124 3 6 2 3 2 3" xfId="41978"/>
    <cellStyle name="Обычный 124 3 6 2 3 3" xfId="30795"/>
    <cellStyle name="Обычный 124 3 6 2 3 3 2" xfId="45618"/>
    <cellStyle name="Обычный 124 3 6 2 3 4" xfId="38292"/>
    <cellStyle name="Обычный 124 3 6 2 3 5" xfId="23480"/>
    <cellStyle name="Обычный 124 3 6 2 4" xfId="25297"/>
    <cellStyle name="Обычный 124 3 6 2 4 2" xfId="32608"/>
    <cellStyle name="Обычный 124 3 6 2 4 2 2" xfId="47431"/>
    <cellStyle name="Обычный 124 3 6 2 4 3" xfId="40188"/>
    <cellStyle name="Обычный 124 3 6 2 5" xfId="28954"/>
    <cellStyle name="Обычный 124 3 6 2 5 2" xfId="43791"/>
    <cellStyle name="Обычный 124 3 6 2 6" xfId="36305"/>
    <cellStyle name="Обычный 124 3 6 2 7" xfId="21636"/>
    <cellStyle name="Обычный 124 3 6 3" xfId="18436"/>
    <cellStyle name="Обычный 124 3 6 3 2" xfId="20318"/>
    <cellStyle name="Обычный 124 3 6 3 2 2" xfId="27644"/>
    <cellStyle name="Обычный 124 3 6 3 2 2 2" xfId="34955"/>
    <cellStyle name="Обычный 124 3 6 3 2 2 2 2" xfId="49775"/>
    <cellStyle name="Обычный 124 3 6 3 2 2 3" xfId="42483"/>
    <cellStyle name="Обычный 124 3 6 3 2 3" xfId="31301"/>
    <cellStyle name="Обычный 124 3 6 3 2 3 2" xfId="46124"/>
    <cellStyle name="Обычный 124 3 6 3 2 4" xfId="38799"/>
    <cellStyle name="Обычный 124 3 6 3 2 5" xfId="23986"/>
    <cellStyle name="Обычный 124 3 6 3 3" xfId="25818"/>
    <cellStyle name="Обычный 124 3 6 3 3 2" xfId="33129"/>
    <cellStyle name="Обычный 124 3 6 3 3 2 2" xfId="47949"/>
    <cellStyle name="Обычный 124 3 6 3 3 3" xfId="40671"/>
    <cellStyle name="Обычный 124 3 6 3 4" xfId="29475"/>
    <cellStyle name="Обычный 124 3 6 3 4 2" xfId="44299"/>
    <cellStyle name="Обычный 124 3 6 3 5" xfId="37076"/>
    <cellStyle name="Обычный 124 3 6 3 6" xfId="22157"/>
    <cellStyle name="Обычный 124 3 6 4" xfId="19318"/>
    <cellStyle name="Обычный 124 3 6 4 2" xfId="26688"/>
    <cellStyle name="Обычный 124 3 6 4 2 2" xfId="33999"/>
    <cellStyle name="Обычный 124 3 6 4 2 2 2" xfId="48819"/>
    <cellStyle name="Обычный 124 3 6 4 2 3" xfId="41528"/>
    <cellStyle name="Обычный 124 3 6 4 3" xfId="30345"/>
    <cellStyle name="Обычный 124 3 6 4 3 2" xfId="45168"/>
    <cellStyle name="Обычный 124 3 6 4 4" xfId="37842"/>
    <cellStyle name="Обычный 124 3 6 4 5" xfId="23030"/>
    <cellStyle name="Обычный 124 3 6 5" xfId="24847"/>
    <cellStyle name="Обычный 124 3 6 5 2" xfId="32158"/>
    <cellStyle name="Обычный 124 3 6 5 2 2" xfId="46981"/>
    <cellStyle name="Обычный 124 3 6 5 3" xfId="39745"/>
    <cellStyle name="Обычный 124 3 6 6" xfId="28504"/>
    <cellStyle name="Обычный 124 3 6 6 2" xfId="43341"/>
    <cellStyle name="Обычный 124 3 6 7" xfId="35856"/>
    <cellStyle name="Обычный 124 3 6 8" xfId="21186"/>
    <cellStyle name="Обычный 124 3 7" xfId="17501"/>
    <cellStyle name="Обычный 124 3 7 2" xfId="18615"/>
    <cellStyle name="Обычный 124 3 7 2 2" xfId="20494"/>
    <cellStyle name="Обычный 124 3 7 2 2 2" xfId="27820"/>
    <cellStyle name="Обычный 124 3 7 2 2 2 2" xfId="35131"/>
    <cellStyle name="Обычный 124 3 7 2 2 2 2 2" xfId="49951"/>
    <cellStyle name="Обычный 124 3 7 2 2 2 3" xfId="42659"/>
    <cellStyle name="Обычный 124 3 7 2 2 3" xfId="31477"/>
    <cellStyle name="Обычный 124 3 7 2 2 3 2" xfId="46300"/>
    <cellStyle name="Обычный 124 3 7 2 2 4" xfId="38975"/>
    <cellStyle name="Обычный 124 3 7 2 2 5" xfId="24162"/>
    <cellStyle name="Обычный 124 3 7 2 3" xfId="25994"/>
    <cellStyle name="Обычный 124 3 7 2 3 2" xfId="33305"/>
    <cellStyle name="Обычный 124 3 7 2 3 2 2" xfId="48125"/>
    <cellStyle name="Обычный 124 3 7 2 3 3" xfId="40838"/>
    <cellStyle name="Обычный 124 3 7 2 4" xfId="29651"/>
    <cellStyle name="Обычный 124 3 7 2 4 2" xfId="44475"/>
    <cellStyle name="Обычный 124 3 7 2 5" xfId="37252"/>
    <cellStyle name="Обычный 124 3 7 2 6" xfId="22333"/>
    <cellStyle name="Обычный 124 3 7 3" xfId="19545"/>
    <cellStyle name="Обычный 124 3 7 3 2" xfId="26914"/>
    <cellStyle name="Обычный 124 3 7 3 2 2" xfId="34225"/>
    <cellStyle name="Обычный 124 3 7 3 2 2 2" xfId="49045"/>
    <cellStyle name="Обычный 124 3 7 3 2 3" xfId="41754"/>
    <cellStyle name="Обычный 124 3 7 3 3" xfId="30571"/>
    <cellStyle name="Обычный 124 3 7 3 3 2" xfId="45394"/>
    <cellStyle name="Обычный 124 3 7 3 4" xfId="38068"/>
    <cellStyle name="Обычный 124 3 7 3 5" xfId="23256"/>
    <cellStyle name="Обычный 124 3 7 4" xfId="25073"/>
    <cellStyle name="Обычный 124 3 7 4 2" xfId="32384"/>
    <cellStyle name="Обычный 124 3 7 4 2 2" xfId="47207"/>
    <cellStyle name="Обычный 124 3 7 4 3" xfId="39968"/>
    <cellStyle name="Обычный 124 3 7 5" xfId="28730"/>
    <cellStyle name="Обычный 124 3 7 5 2" xfId="43567"/>
    <cellStyle name="Обычный 124 3 7 6" xfId="36274"/>
    <cellStyle name="Обычный 124 3 7 7" xfId="21412"/>
    <cellStyle name="Обычный 124 3 8" xfId="18140"/>
    <cellStyle name="Обычный 124 3 8 2" xfId="20042"/>
    <cellStyle name="Обычный 124 3 8 2 2" xfId="27368"/>
    <cellStyle name="Обычный 124 3 8 2 2 2" xfId="34679"/>
    <cellStyle name="Обычный 124 3 8 2 2 2 2" xfId="49499"/>
    <cellStyle name="Обычный 124 3 8 2 2 3" xfId="42208"/>
    <cellStyle name="Обычный 124 3 8 2 3" xfId="31025"/>
    <cellStyle name="Обычный 124 3 8 2 3 2" xfId="45848"/>
    <cellStyle name="Обычный 124 3 8 2 4" xfId="38523"/>
    <cellStyle name="Обычный 124 3 8 2 5" xfId="23710"/>
    <cellStyle name="Обычный 124 3 8 3" xfId="25534"/>
    <cellStyle name="Обычный 124 3 8 3 2" xfId="32845"/>
    <cellStyle name="Обычный 124 3 8 3 2 2" xfId="47665"/>
    <cellStyle name="Обычный 124 3 8 3 3" xfId="40415"/>
    <cellStyle name="Обычный 124 3 8 4" xfId="29191"/>
    <cellStyle name="Обычный 124 3 8 4 2" xfId="44023"/>
    <cellStyle name="Обычный 124 3 8 5" xfId="36792"/>
    <cellStyle name="Обычный 124 3 8 6" xfId="21873"/>
    <cellStyle name="Обычный 124 3 9" xfId="19075"/>
    <cellStyle name="Обычный 124 3 9 2" xfId="26454"/>
    <cellStyle name="Обычный 124 3 9 2 2" xfId="33765"/>
    <cellStyle name="Обычный 124 3 9 2 2 2" xfId="48585"/>
    <cellStyle name="Обычный 124 3 9 2 3" xfId="41295"/>
    <cellStyle name="Обычный 124 3 9 3" xfId="30111"/>
    <cellStyle name="Обычный 124 3 9 3 2" xfId="44935"/>
    <cellStyle name="Обычный 124 3 9 4" xfId="37608"/>
    <cellStyle name="Обычный 124 3 9 5" xfId="22796"/>
    <cellStyle name="Обычный 124 4" xfId="17037"/>
    <cellStyle name="Обычный 124 4 10" xfId="28287"/>
    <cellStyle name="Обычный 124 4 10 2" xfId="43124"/>
    <cellStyle name="Обычный 124 4 11" xfId="35857"/>
    <cellStyle name="Обычный 124 4 12" xfId="20969"/>
    <cellStyle name="Обычный 124 4 2" xfId="17206"/>
    <cellStyle name="Обычный 124 4 2 10" xfId="35858"/>
    <cellStyle name="Обычный 124 4 2 11" xfId="20997"/>
    <cellStyle name="Обычный 124 4 2 2" xfId="17363"/>
    <cellStyle name="Обычный 124 4 2 2 10" xfId="21053"/>
    <cellStyle name="Обычный 124 4 2 2 2" xfId="17478"/>
    <cellStyle name="Обычный 124 4 2 2 2 2" xfId="17928"/>
    <cellStyle name="Обычный 124 4 2 2 2 2 2" xfId="19042"/>
    <cellStyle name="Обычный 124 4 2 2 2 2 2 2" xfId="20921"/>
    <cellStyle name="Обычный 124 4 2 2 2 2 2 2 2" xfId="24589"/>
    <cellStyle name="Обычный 124 4 2 2 2 2 2 2 2 2" xfId="28247"/>
    <cellStyle name="Обычный 124 4 2 2 2 2 2 2 2 2 2" xfId="35558"/>
    <cellStyle name="Обычный 124 4 2 2 2 2 2 2 2 2 2 2" xfId="50378"/>
    <cellStyle name="Обычный 124 4 2 2 2 2 2 2 2 2 3" xfId="43086"/>
    <cellStyle name="Обычный 124 4 2 2 2 2 2 2 2 3" xfId="31904"/>
    <cellStyle name="Обычный 124 4 2 2 2 2 2 2 2 3 2" xfId="46727"/>
    <cellStyle name="Обычный 124 4 2 2 2 2 2 2 2 4" xfId="39521"/>
    <cellStyle name="Обычный 124 4 2 2 2 2 2 2 3" xfId="26421"/>
    <cellStyle name="Обычный 124 4 2 2 2 2 2 2 3 2" xfId="33732"/>
    <cellStyle name="Обычный 124 4 2 2 2 2 2 2 3 2 2" xfId="48552"/>
    <cellStyle name="Обычный 124 4 2 2 2 2 2 2 3 3" xfId="41265"/>
    <cellStyle name="Обычный 124 4 2 2 2 2 2 2 4" xfId="30078"/>
    <cellStyle name="Обычный 124 4 2 2 2 2 2 2 4 2" xfId="44902"/>
    <cellStyle name="Обычный 124 4 2 2 2 2 2 2 5" xfId="39402"/>
    <cellStyle name="Обычный 124 4 2 2 2 2 2 2 6" xfId="22760"/>
    <cellStyle name="Обычный 124 4 2 2 2 2 2 3" xfId="19972"/>
    <cellStyle name="Обычный 124 4 2 2 2 2 2 3 2" xfId="27341"/>
    <cellStyle name="Обычный 124 4 2 2 2 2 2 3 2 2" xfId="34652"/>
    <cellStyle name="Обычный 124 4 2 2 2 2 2 3 2 2 2" xfId="49472"/>
    <cellStyle name="Обычный 124 4 2 2 2 2 2 3 2 3" xfId="42181"/>
    <cellStyle name="Обычный 124 4 2 2 2 2 2 3 3" xfId="30998"/>
    <cellStyle name="Обычный 124 4 2 2 2 2 2 3 3 2" xfId="45821"/>
    <cellStyle name="Обычный 124 4 2 2 2 2 2 3 4" xfId="38495"/>
    <cellStyle name="Обычный 124 4 2 2 2 2 2 3 5" xfId="23683"/>
    <cellStyle name="Обычный 124 4 2 2 2 2 2 4" xfId="25500"/>
    <cellStyle name="Обычный 124 4 2 2 2 2 2 4 2" xfId="32811"/>
    <cellStyle name="Обычный 124 4 2 2 2 2 2 4 2 2" xfId="47634"/>
    <cellStyle name="Обычный 124 4 2 2 2 2 2 4 3" xfId="40388"/>
    <cellStyle name="Обычный 124 4 2 2 2 2 2 5" xfId="29157"/>
    <cellStyle name="Обычный 124 4 2 2 2 2 2 5 2" xfId="43994"/>
    <cellStyle name="Обычный 124 4 2 2 2 2 2 6" xfId="36310"/>
    <cellStyle name="Обычный 124 4 2 2 2 2 2 7" xfId="21839"/>
    <cellStyle name="Обычный 124 4 2 2 2 2 3" xfId="18440"/>
    <cellStyle name="Обычный 124 4 2 2 2 2 3 2" xfId="20322"/>
    <cellStyle name="Обычный 124 4 2 2 2 2 3 2 2" xfId="27648"/>
    <cellStyle name="Обычный 124 4 2 2 2 2 3 2 2 2" xfId="34959"/>
    <cellStyle name="Обычный 124 4 2 2 2 2 3 2 2 2 2" xfId="49779"/>
    <cellStyle name="Обычный 124 4 2 2 2 2 3 2 2 3" xfId="42487"/>
    <cellStyle name="Обычный 124 4 2 2 2 2 3 2 3" xfId="31305"/>
    <cellStyle name="Обычный 124 4 2 2 2 2 3 2 3 2" xfId="46128"/>
    <cellStyle name="Обычный 124 4 2 2 2 2 3 2 4" xfId="38803"/>
    <cellStyle name="Обычный 124 4 2 2 2 2 3 2 5" xfId="23990"/>
    <cellStyle name="Обычный 124 4 2 2 2 2 3 3" xfId="25822"/>
    <cellStyle name="Обычный 124 4 2 2 2 2 3 3 2" xfId="33133"/>
    <cellStyle name="Обычный 124 4 2 2 2 2 3 3 2 2" xfId="47953"/>
    <cellStyle name="Обычный 124 4 2 2 2 2 3 3 3" xfId="40675"/>
    <cellStyle name="Обычный 124 4 2 2 2 2 3 4" xfId="29479"/>
    <cellStyle name="Обычный 124 4 2 2 2 2 3 4 2" xfId="44303"/>
    <cellStyle name="Обычный 124 4 2 2 2 2 3 5" xfId="37080"/>
    <cellStyle name="Обычный 124 4 2 2 2 2 3 6" xfId="22161"/>
    <cellStyle name="Обычный 124 4 2 2 2 2 4" xfId="19521"/>
    <cellStyle name="Обычный 124 4 2 2 2 2 4 2" xfId="26891"/>
    <cellStyle name="Обычный 124 4 2 2 2 2 4 2 2" xfId="34202"/>
    <cellStyle name="Обычный 124 4 2 2 2 2 4 2 2 2" xfId="49022"/>
    <cellStyle name="Обычный 124 4 2 2 2 2 4 2 3" xfId="41731"/>
    <cellStyle name="Обычный 124 4 2 2 2 2 4 3" xfId="30548"/>
    <cellStyle name="Обычный 124 4 2 2 2 2 4 3 2" xfId="45371"/>
    <cellStyle name="Обычный 124 4 2 2 2 2 4 4" xfId="38045"/>
    <cellStyle name="Обычный 124 4 2 2 2 2 4 5" xfId="23233"/>
    <cellStyle name="Обычный 124 4 2 2 2 2 5" xfId="25050"/>
    <cellStyle name="Обычный 124 4 2 2 2 2 5 2" xfId="32361"/>
    <cellStyle name="Обычный 124 4 2 2 2 2 5 2 2" xfId="47184"/>
    <cellStyle name="Обычный 124 4 2 2 2 2 5 3" xfId="39945"/>
    <cellStyle name="Обычный 124 4 2 2 2 2 6" xfId="28707"/>
    <cellStyle name="Обычный 124 4 2 2 2 2 6 2" xfId="43544"/>
    <cellStyle name="Обычный 124 4 2 2 2 2 7" xfId="35861"/>
    <cellStyle name="Обычный 124 4 2 2 2 2 8" xfId="21389"/>
    <cellStyle name="Обычный 124 4 2 2 2 3" xfId="17704"/>
    <cellStyle name="Обычный 124 4 2 2 2 3 2" xfId="18818"/>
    <cellStyle name="Обычный 124 4 2 2 2 3 2 2" xfId="20697"/>
    <cellStyle name="Обычный 124 4 2 2 2 3 2 2 2" xfId="28023"/>
    <cellStyle name="Обычный 124 4 2 2 2 3 2 2 2 2" xfId="35334"/>
    <cellStyle name="Обычный 124 4 2 2 2 3 2 2 2 2 2" xfId="50154"/>
    <cellStyle name="Обычный 124 4 2 2 2 3 2 2 2 3" xfId="42862"/>
    <cellStyle name="Обычный 124 4 2 2 2 3 2 2 3" xfId="31680"/>
    <cellStyle name="Обычный 124 4 2 2 2 3 2 2 3 2" xfId="46503"/>
    <cellStyle name="Обычный 124 4 2 2 2 3 2 2 4" xfId="39178"/>
    <cellStyle name="Обычный 124 4 2 2 2 3 2 2 5" xfId="24365"/>
    <cellStyle name="Обычный 124 4 2 2 2 3 2 3" xfId="26197"/>
    <cellStyle name="Обычный 124 4 2 2 2 3 2 3 2" xfId="33508"/>
    <cellStyle name="Обычный 124 4 2 2 2 3 2 3 2 2" xfId="48328"/>
    <cellStyle name="Обычный 124 4 2 2 2 3 2 3 3" xfId="41041"/>
    <cellStyle name="Обычный 124 4 2 2 2 3 2 4" xfId="29854"/>
    <cellStyle name="Обычный 124 4 2 2 2 3 2 4 2" xfId="44678"/>
    <cellStyle name="Обычный 124 4 2 2 2 3 2 5" xfId="37455"/>
    <cellStyle name="Обычный 124 4 2 2 2 3 2 6" xfId="22536"/>
    <cellStyle name="Обычный 124 4 2 2 2 3 3" xfId="19748"/>
    <cellStyle name="Обычный 124 4 2 2 2 3 3 2" xfId="27117"/>
    <cellStyle name="Обычный 124 4 2 2 2 3 3 2 2" xfId="34428"/>
    <cellStyle name="Обычный 124 4 2 2 2 3 3 2 2 2" xfId="49248"/>
    <cellStyle name="Обычный 124 4 2 2 2 3 3 2 3" xfId="41957"/>
    <cellStyle name="Обычный 124 4 2 2 2 3 3 3" xfId="30774"/>
    <cellStyle name="Обычный 124 4 2 2 2 3 3 3 2" xfId="45597"/>
    <cellStyle name="Обычный 124 4 2 2 2 3 3 4" xfId="38271"/>
    <cellStyle name="Обычный 124 4 2 2 2 3 3 5" xfId="23459"/>
    <cellStyle name="Обычный 124 4 2 2 2 3 4" xfId="25276"/>
    <cellStyle name="Обычный 124 4 2 2 2 3 4 2" xfId="32587"/>
    <cellStyle name="Обычный 124 4 2 2 2 3 4 2 2" xfId="47410"/>
    <cellStyle name="Обычный 124 4 2 2 2 3 4 3" xfId="40168"/>
    <cellStyle name="Обычный 124 4 2 2 2 3 5" xfId="28933"/>
    <cellStyle name="Обычный 124 4 2 2 2 3 5 2" xfId="43770"/>
    <cellStyle name="Обычный 124 4 2 2 2 3 6" xfId="36309"/>
    <cellStyle name="Обычный 124 4 2 2 2 3 7" xfId="21615"/>
    <cellStyle name="Обычный 124 4 2 2 2 4" xfId="18439"/>
    <cellStyle name="Обычный 124 4 2 2 2 4 2" xfId="20321"/>
    <cellStyle name="Обычный 124 4 2 2 2 4 2 2" xfId="27647"/>
    <cellStyle name="Обычный 124 4 2 2 2 4 2 2 2" xfId="34958"/>
    <cellStyle name="Обычный 124 4 2 2 2 4 2 2 2 2" xfId="49778"/>
    <cellStyle name="Обычный 124 4 2 2 2 4 2 2 3" xfId="42486"/>
    <cellStyle name="Обычный 124 4 2 2 2 4 2 3" xfId="31304"/>
    <cellStyle name="Обычный 124 4 2 2 2 4 2 3 2" xfId="46127"/>
    <cellStyle name="Обычный 124 4 2 2 2 4 2 4" xfId="38802"/>
    <cellStyle name="Обычный 124 4 2 2 2 4 2 5" xfId="23989"/>
    <cellStyle name="Обычный 124 4 2 2 2 4 3" xfId="25821"/>
    <cellStyle name="Обычный 124 4 2 2 2 4 3 2" xfId="33132"/>
    <cellStyle name="Обычный 124 4 2 2 2 4 3 2 2" xfId="47952"/>
    <cellStyle name="Обычный 124 4 2 2 2 4 3 3" xfId="40674"/>
    <cellStyle name="Обычный 124 4 2 2 2 4 4" xfId="29478"/>
    <cellStyle name="Обычный 124 4 2 2 2 4 4 2" xfId="44302"/>
    <cellStyle name="Обычный 124 4 2 2 2 4 5" xfId="37079"/>
    <cellStyle name="Обычный 124 4 2 2 2 4 6" xfId="22160"/>
    <cellStyle name="Обычный 124 4 2 2 2 5" xfId="19297"/>
    <cellStyle name="Обычный 124 4 2 2 2 5 2" xfId="26667"/>
    <cellStyle name="Обычный 124 4 2 2 2 5 2 2" xfId="33978"/>
    <cellStyle name="Обычный 124 4 2 2 2 5 2 2 2" xfId="48798"/>
    <cellStyle name="Обычный 124 4 2 2 2 5 2 3" xfId="41507"/>
    <cellStyle name="Обычный 124 4 2 2 2 5 3" xfId="30324"/>
    <cellStyle name="Обычный 124 4 2 2 2 5 3 2" xfId="45147"/>
    <cellStyle name="Обычный 124 4 2 2 2 5 4" xfId="37821"/>
    <cellStyle name="Обычный 124 4 2 2 2 5 5" xfId="23009"/>
    <cellStyle name="Обычный 124 4 2 2 2 6" xfId="24826"/>
    <cellStyle name="Обычный 124 4 2 2 2 6 2" xfId="32137"/>
    <cellStyle name="Обычный 124 4 2 2 2 6 2 2" xfId="46960"/>
    <cellStyle name="Обычный 124 4 2 2 2 6 3" xfId="39725"/>
    <cellStyle name="Обычный 124 4 2 2 2 7" xfId="28483"/>
    <cellStyle name="Обычный 124 4 2 2 2 7 2" xfId="43320"/>
    <cellStyle name="Обычный 124 4 2 2 2 8" xfId="35860"/>
    <cellStyle name="Обычный 124 4 2 2 2 9" xfId="21165"/>
    <cellStyle name="Обычный 124 4 2 2 3" xfId="17816"/>
    <cellStyle name="Обычный 124 4 2 2 3 2" xfId="18930"/>
    <cellStyle name="Обычный 124 4 2 2 3 2 2" xfId="20809"/>
    <cellStyle name="Обычный 124 4 2 2 3 2 2 2" xfId="24477"/>
    <cellStyle name="Обычный 124 4 2 2 3 2 2 2 2" xfId="28135"/>
    <cellStyle name="Обычный 124 4 2 2 3 2 2 2 2 2" xfId="35446"/>
    <cellStyle name="Обычный 124 4 2 2 3 2 2 2 2 2 2" xfId="50266"/>
    <cellStyle name="Обычный 124 4 2 2 3 2 2 2 2 3" xfId="42974"/>
    <cellStyle name="Обычный 124 4 2 2 3 2 2 2 3" xfId="31792"/>
    <cellStyle name="Обычный 124 4 2 2 3 2 2 2 3 2" xfId="46615"/>
    <cellStyle name="Обычный 124 4 2 2 3 2 2 2 4" xfId="39440"/>
    <cellStyle name="Обычный 124 4 2 2 3 2 2 3" xfId="26309"/>
    <cellStyle name="Обычный 124 4 2 2 3 2 2 3 2" xfId="33620"/>
    <cellStyle name="Обычный 124 4 2 2 3 2 2 3 2 2" xfId="48440"/>
    <cellStyle name="Обычный 124 4 2 2 3 2 2 3 3" xfId="41153"/>
    <cellStyle name="Обычный 124 4 2 2 3 2 2 4" xfId="29966"/>
    <cellStyle name="Обычный 124 4 2 2 3 2 2 4 2" xfId="44790"/>
    <cellStyle name="Обычный 124 4 2 2 3 2 2 5" xfId="39290"/>
    <cellStyle name="Обычный 124 4 2 2 3 2 2 6" xfId="22648"/>
    <cellStyle name="Обычный 124 4 2 2 3 2 3" xfId="19860"/>
    <cellStyle name="Обычный 124 4 2 2 3 2 3 2" xfId="27229"/>
    <cellStyle name="Обычный 124 4 2 2 3 2 3 2 2" xfId="34540"/>
    <cellStyle name="Обычный 124 4 2 2 3 2 3 2 2 2" xfId="49360"/>
    <cellStyle name="Обычный 124 4 2 2 3 2 3 2 3" xfId="42069"/>
    <cellStyle name="Обычный 124 4 2 2 3 2 3 3" xfId="30886"/>
    <cellStyle name="Обычный 124 4 2 2 3 2 3 3 2" xfId="45709"/>
    <cellStyle name="Обычный 124 4 2 2 3 2 3 4" xfId="38383"/>
    <cellStyle name="Обычный 124 4 2 2 3 2 3 5" xfId="23571"/>
    <cellStyle name="Обычный 124 4 2 2 3 2 4" xfId="25388"/>
    <cellStyle name="Обычный 124 4 2 2 3 2 4 2" xfId="32699"/>
    <cellStyle name="Обычный 124 4 2 2 3 2 4 2 2" xfId="47522"/>
    <cellStyle name="Обычный 124 4 2 2 3 2 4 3" xfId="40276"/>
    <cellStyle name="Обычный 124 4 2 2 3 2 5" xfId="29045"/>
    <cellStyle name="Обычный 124 4 2 2 3 2 5 2" xfId="43882"/>
    <cellStyle name="Обычный 124 4 2 2 3 2 6" xfId="36311"/>
    <cellStyle name="Обычный 124 4 2 2 3 2 7" xfId="21727"/>
    <cellStyle name="Обычный 124 4 2 2 3 3" xfId="18441"/>
    <cellStyle name="Обычный 124 4 2 2 3 3 2" xfId="20323"/>
    <cellStyle name="Обычный 124 4 2 2 3 3 2 2" xfId="27649"/>
    <cellStyle name="Обычный 124 4 2 2 3 3 2 2 2" xfId="34960"/>
    <cellStyle name="Обычный 124 4 2 2 3 3 2 2 2 2" xfId="49780"/>
    <cellStyle name="Обычный 124 4 2 2 3 3 2 2 3" xfId="42488"/>
    <cellStyle name="Обычный 124 4 2 2 3 3 2 3" xfId="31306"/>
    <cellStyle name="Обычный 124 4 2 2 3 3 2 3 2" xfId="46129"/>
    <cellStyle name="Обычный 124 4 2 2 3 3 2 4" xfId="38804"/>
    <cellStyle name="Обычный 124 4 2 2 3 3 2 5" xfId="23991"/>
    <cellStyle name="Обычный 124 4 2 2 3 3 3" xfId="25823"/>
    <cellStyle name="Обычный 124 4 2 2 3 3 3 2" xfId="33134"/>
    <cellStyle name="Обычный 124 4 2 2 3 3 3 2 2" xfId="47954"/>
    <cellStyle name="Обычный 124 4 2 2 3 3 3 3" xfId="40676"/>
    <cellStyle name="Обычный 124 4 2 2 3 3 4" xfId="29480"/>
    <cellStyle name="Обычный 124 4 2 2 3 3 4 2" xfId="44304"/>
    <cellStyle name="Обычный 124 4 2 2 3 3 5" xfId="37081"/>
    <cellStyle name="Обычный 124 4 2 2 3 3 6" xfId="22162"/>
    <cellStyle name="Обычный 124 4 2 2 3 4" xfId="19409"/>
    <cellStyle name="Обычный 124 4 2 2 3 4 2" xfId="26779"/>
    <cellStyle name="Обычный 124 4 2 2 3 4 2 2" xfId="34090"/>
    <cellStyle name="Обычный 124 4 2 2 3 4 2 2 2" xfId="48910"/>
    <cellStyle name="Обычный 124 4 2 2 3 4 2 3" xfId="41619"/>
    <cellStyle name="Обычный 124 4 2 2 3 4 3" xfId="30436"/>
    <cellStyle name="Обычный 124 4 2 2 3 4 3 2" xfId="45259"/>
    <cellStyle name="Обычный 124 4 2 2 3 4 4" xfId="37933"/>
    <cellStyle name="Обычный 124 4 2 2 3 4 5" xfId="23121"/>
    <cellStyle name="Обычный 124 4 2 2 3 5" xfId="24938"/>
    <cellStyle name="Обычный 124 4 2 2 3 5 2" xfId="32249"/>
    <cellStyle name="Обычный 124 4 2 2 3 5 2 2" xfId="47072"/>
    <cellStyle name="Обычный 124 4 2 2 3 5 3" xfId="39833"/>
    <cellStyle name="Обычный 124 4 2 2 3 6" xfId="28595"/>
    <cellStyle name="Обычный 124 4 2 2 3 6 2" xfId="43432"/>
    <cellStyle name="Обычный 124 4 2 2 3 7" xfId="35862"/>
    <cellStyle name="Обычный 124 4 2 2 3 8" xfId="21277"/>
    <cellStyle name="Обычный 124 4 2 2 4" xfId="17592"/>
    <cellStyle name="Обычный 124 4 2 2 4 2" xfId="18706"/>
    <cellStyle name="Обычный 124 4 2 2 4 2 2" xfId="20585"/>
    <cellStyle name="Обычный 124 4 2 2 4 2 2 2" xfId="27911"/>
    <cellStyle name="Обычный 124 4 2 2 4 2 2 2 2" xfId="35222"/>
    <cellStyle name="Обычный 124 4 2 2 4 2 2 2 2 2" xfId="50042"/>
    <cellStyle name="Обычный 124 4 2 2 4 2 2 2 3" xfId="42750"/>
    <cellStyle name="Обычный 124 4 2 2 4 2 2 3" xfId="31568"/>
    <cellStyle name="Обычный 124 4 2 2 4 2 2 3 2" xfId="46391"/>
    <cellStyle name="Обычный 124 4 2 2 4 2 2 4" xfId="39066"/>
    <cellStyle name="Обычный 124 4 2 2 4 2 2 5" xfId="24253"/>
    <cellStyle name="Обычный 124 4 2 2 4 2 3" xfId="26085"/>
    <cellStyle name="Обычный 124 4 2 2 4 2 3 2" xfId="33396"/>
    <cellStyle name="Обычный 124 4 2 2 4 2 3 2 2" xfId="48216"/>
    <cellStyle name="Обычный 124 4 2 2 4 2 3 3" xfId="40929"/>
    <cellStyle name="Обычный 124 4 2 2 4 2 4" xfId="29742"/>
    <cellStyle name="Обычный 124 4 2 2 4 2 4 2" xfId="44566"/>
    <cellStyle name="Обычный 124 4 2 2 4 2 5" xfId="37343"/>
    <cellStyle name="Обычный 124 4 2 2 4 2 6" xfId="22424"/>
    <cellStyle name="Обычный 124 4 2 2 4 3" xfId="19636"/>
    <cellStyle name="Обычный 124 4 2 2 4 3 2" xfId="27005"/>
    <cellStyle name="Обычный 124 4 2 2 4 3 2 2" xfId="34316"/>
    <cellStyle name="Обычный 124 4 2 2 4 3 2 2 2" xfId="49136"/>
    <cellStyle name="Обычный 124 4 2 2 4 3 2 3" xfId="41845"/>
    <cellStyle name="Обычный 124 4 2 2 4 3 3" xfId="30662"/>
    <cellStyle name="Обычный 124 4 2 2 4 3 3 2" xfId="45485"/>
    <cellStyle name="Обычный 124 4 2 2 4 3 4" xfId="38159"/>
    <cellStyle name="Обычный 124 4 2 2 4 3 5" xfId="23347"/>
    <cellStyle name="Обычный 124 4 2 2 4 4" xfId="25164"/>
    <cellStyle name="Обычный 124 4 2 2 4 4 2" xfId="32475"/>
    <cellStyle name="Обычный 124 4 2 2 4 4 2 2" xfId="47298"/>
    <cellStyle name="Обычный 124 4 2 2 4 4 3" xfId="40058"/>
    <cellStyle name="Обычный 124 4 2 2 4 5" xfId="28821"/>
    <cellStyle name="Обычный 124 4 2 2 4 5 2" xfId="43658"/>
    <cellStyle name="Обычный 124 4 2 2 4 6" xfId="36308"/>
    <cellStyle name="Обычный 124 4 2 2 4 7" xfId="21503"/>
    <cellStyle name="Обычный 124 4 2 2 5" xfId="18438"/>
    <cellStyle name="Обычный 124 4 2 2 5 2" xfId="20320"/>
    <cellStyle name="Обычный 124 4 2 2 5 2 2" xfId="27646"/>
    <cellStyle name="Обычный 124 4 2 2 5 2 2 2" xfId="34957"/>
    <cellStyle name="Обычный 124 4 2 2 5 2 2 2 2" xfId="49777"/>
    <cellStyle name="Обычный 124 4 2 2 5 2 2 3" xfId="42485"/>
    <cellStyle name="Обычный 124 4 2 2 5 2 3" xfId="31303"/>
    <cellStyle name="Обычный 124 4 2 2 5 2 3 2" xfId="46126"/>
    <cellStyle name="Обычный 124 4 2 2 5 2 4" xfId="38801"/>
    <cellStyle name="Обычный 124 4 2 2 5 2 5" xfId="23988"/>
    <cellStyle name="Обычный 124 4 2 2 5 3" xfId="25820"/>
    <cellStyle name="Обычный 124 4 2 2 5 3 2" xfId="33131"/>
    <cellStyle name="Обычный 124 4 2 2 5 3 2 2" xfId="47951"/>
    <cellStyle name="Обычный 124 4 2 2 5 3 3" xfId="40673"/>
    <cellStyle name="Обычный 124 4 2 2 5 4" xfId="29477"/>
    <cellStyle name="Обычный 124 4 2 2 5 4 2" xfId="44301"/>
    <cellStyle name="Обычный 124 4 2 2 5 5" xfId="37078"/>
    <cellStyle name="Обычный 124 4 2 2 5 6" xfId="22159"/>
    <cellStyle name="Обычный 124 4 2 2 6" xfId="19187"/>
    <cellStyle name="Обычный 124 4 2 2 6 2" xfId="26558"/>
    <cellStyle name="Обычный 124 4 2 2 6 2 2" xfId="33869"/>
    <cellStyle name="Обычный 124 4 2 2 6 2 2 2" xfId="48689"/>
    <cellStyle name="Обычный 124 4 2 2 6 2 3" xfId="41398"/>
    <cellStyle name="Обычный 124 4 2 2 6 3" xfId="30215"/>
    <cellStyle name="Обычный 124 4 2 2 6 3 2" xfId="45038"/>
    <cellStyle name="Обычный 124 4 2 2 6 4" xfId="37712"/>
    <cellStyle name="Обычный 124 4 2 2 6 5" xfId="22900"/>
    <cellStyle name="Обычный 124 4 2 2 7" xfId="24714"/>
    <cellStyle name="Обычный 124 4 2 2 7 2" xfId="32025"/>
    <cellStyle name="Обычный 124 4 2 2 7 2 2" xfId="46848"/>
    <cellStyle name="Обычный 124 4 2 2 7 3" xfId="39619"/>
    <cellStyle name="Обычный 124 4 2 2 8" xfId="28371"/>
    <cellStyle name="Обычный 124 4 2 2 8 2" xfId="43208"/>
    <cellStyle name="Обычный 124 4 2 2 9" xfId="35859"/>
    <cellStyle name="Обычный 124 4 2 3" xfId="17422"/>
    <cellStyle name="Обычный 124 4 2 3 2" xfId="17872"/>
    <cellStyle name="Обычный 124 4 2 3 2 2" xfId="18986"/>
    <cellStyle name="Обычный 124 4 2 3 2 2 2" xfId="20865"/>
    <cellStyle name="Обычный 124 4 2 3 2 2 2 2" xfId="24533"/>
    <cellStyle name="Обычный 124 4 2 3 2 2 2 2 2" xfId="28191"/>
    <cellStyle name="Обычный 124 4 2 3 2 2 2 2 2 2" xfId="35502"/>
    <cellStyle name="Обычный 124 4 2 3 2 2 2 2 2 2 2" xfId="50322"/>
    <cellStyle name="Обычный 124 4 2 3 2 2 2 2 2 3" xfId="43030"/>
    <cellStyle name="Обычный 124 4 2 3 2 2 2 2 3" xfId="31848"/>
    <cellStyle name="Обычный 124 4 2 3 2 2 2 2 3 2" xfId="46671"/>
    <cellStyle name="Обычный 124 4 2 3 2 2 2 2 4" xfId="39472"/>
    <cellStyle name="Обычный 124 4 2 3 2 2 2 3" xfId="26365"/>
    <cellStyle name="Обычный 124 4 2 3 2 2 2 3 2" xfId="33676"/>
    <cellStyle name="Обычный 124 4 2 3 2 2 2 3 2 2" xfId="48496"/>
    <cellStyle name="Обычный 124 4 2 3 2 2 2 3 3" xfId="41209"/>
    <cellStyle name="Обычный 124 4 2 3 2 2 2 4" xfId="30022"/>
    <cellStyle name="Обычный 124 4 2 3 2 2 2 4 2" xfId="44846"/>
    <cellStyle name="Обычный 124 4 2 3 2 2 2 5" xfId="39346"/>
    <cellStyle name="Обычный 124 4 2 3 2 2 2 6" xfId="22704"/>
    <cellStyle name="Обычный 124 4 2 3 2 2 3" xfId="19916"/>
    <cellStyle name="Обычный 124 4 2 3 2 2 3 2" xfId="27285"/>
    <cellStyle name="Обычный 124 4 2 3 2 2 3 2 2" xfId="34596"/>
    <cellStyle name="Обычный 124 4 2 3 2 2 3 2 2 2" xfId="49416"/>
    <cellStyle name="Обычный 124 4 2 3 2 2 3 2 3" xfId="42125"/>
    <cellStyle name="Обычный 124 4 2 3 2 2 3 3" xfId="30942"/>
    <cellStyle name="Обычный 124 4 2 3 2 2 3 3 2" xfId="45765"/>
    <cellStyle name="Обычный 124 4 2 3 2 2 3 4" xfId="38439"/>
    <cellStyle name="Обычный 124 4 2 3 2 2 3 5" xfId="23627"/>
    <cellStyle name="Обычный 124 4 2 3 2 2 4" xfId="25444"/>
    <cellStyle name="Обычный 124 4 2 3 2 2 4 2" xfId="32755"/>
    <cellStyle name="Обычный 124 4 2 3 2 2 4 2 2" xfId="47578"/>
    <cellStyle name="Обычный 124 4 2 3 2 2 4 3" xfId="40332"/>
    <cellStyle name="Обычный 124 4 2 3 2 2 5" xfId="29101"/>
    <cellStyle name="Обычный 124 4 2 3 2 2 5 2" xfId="43938"/>
    <cellStyle name="Обычный 124 4 2 3 2 2 6" xfId="36313"/>
    <cellStyle name="Обычный 124 4 2 3 2 2 7" xfId="21783"/>
    <cellStyle name="Обычный 124 4 2 3 2 3" xfId="18443"/>
    <cellStyle name="Обычный 124 4 2 3 2 3 2" xfId="20325"/>
    <cellStyle name="Обычный 124 4 2 3 2 3 2 2" xfId="27651"/>
    <cellStyle name="Обычный 124 4 2 3 2 3 2 2 2" xfId="34962"/>
    <cellStyle name="Обычный 124 4 2 3 2 3 2 2 2 2" xfId="49782"/>
    <cellStyle name="Обычный 124 4 2 3 2 3 2 2 3" xfId="42490"/>
    <cellStyle name="Обычный 124 4 2 3 2 3 2 3" xfId="31308"/>
    <cellStyle name="Обычный 124 4 2 3 2 3 2 3 2" xfId="46131"/>
    <cellStyle name="Обычный 124 4 2 3 2 3 2 4" xfId="38806"/>
    <cellStyle name="Обычный 124 4 2 3 2 3 2 5" xfId="23993"/>
    <cellStyle name="Обычный 124 4 2 3 2 3 3" xfId="25825"/>
    <cellStyle name="Обычный 124 4 2 3 2 3 3 2" xfId="33136"/>
    <cellStyle name="Обычный 124 4 2 3 2 3 3 2 2" xfId="47956"/>
    <cellStyle name="Обычный 124 4 2 3 2 3 3 3" xfId="40678"/>
    <cellStyle name="Обычный 124 4 2 3 2 3 4" xfId="29482"/>
    <cellStyle name="Обычный 124 4 2 3 2 3 4 2" xfId="44306"/>
    <cellStyle name="Обычный 124 4 2 3 2 3 5" xfId="37083"/>
    <cellStyle name="Обычный 124 4 2 3 2 3 6" xfId="22164"/>
    <cellStyle name="Обычный 124 4 2 3 2 4" xfId="19465"/>
    <cellStyle name="Обычный 124 4 2 3 2 4 2" xfId="26835"/>
    <cellStyle name="Обычный 124 4 2 3 2 4 2 2" xfId="34146"/>
    <cellStyle name="Обычный 124 4 2 3 2 4 2 2 2" xfId="48966"/>
    <cellStyle name="Обычный 124 4 2 3 2 4 2 3" xfId="41675"/>
    <cellStyle name="Обычный 124 4 2 3 2 4 3" xfId="30492"/>
    <cellStyle name="Обычный 124 4 2 3 2 4 3 2" xfId="45315"/>
    <cellStyle name="Обычный 124 4 2 3 2 4 4" xfId="37989"/>
    <cellStyle name="Обычный 124 4 2 3 2 4 5" xfId="23177"/>
    <cellStyle name="Обычный 124 4 2 3 2 5" xfId="24994"/>
    <cellStyle name="Обычный 124 4 2 3 2 5 2" xfId="32305"/>
    <cellStyle name="Обычный 124 4 2 3 2 5 2 2" xfId="47128"/>
    <cellStyle name="Обычный 124 4 2 3 2 5 3" xfId="39889"/>
    <cellStyle name="Обычный 124 4 2 3 2 6" xfId="28651"/>
    <cellStyle name="Обычный 124 4 2 3 2 6 2" xfId="43488"/>
    <cellStyle name="Обычный 124 4 2 3 2 7" xfId="35864"/>
    <cellStyle name="Обычный 124 4 2 3 2 8" xfId="21333"/>
    <cellStyle name="Обычный 124 4 2 3 3" xfId="17648"/>
    <cellStyle name="Обычный 124 4 2 3 3 2" xfId="18762"/>
    <cellStyle name="Обычный 124 4 2 3 3 2 2" xfId="20641"/>
    <cellStyle name="Обычный 124 4 2 3 3 2 2 2" xfId="27967"/>
    <cellStyle name="Обычный 124 4 2 3 3 2 2 2 2" xfId="35278"/>
    <cellStyle name="Обычный 124 4 2 3 3 2 2 2 2 2" xfId="50098"/>
    <cellStyle name="Обычный 124 4 2 3 3 2 2 2 3" xfId="42806"/>
    <cellStyle name="Обычный 124 4 2 3 3 2 2 3" xfId="31624"/>
    <cellStyle name="Обычный 124 4 2 3 3 2 2 3 2" xfId="46447"/>
    <cellStyle name="Обычный 124 4 2 3 3 2 2 4" xfId="39122"/>
    <cellStyle name="Обычный 124 4 2 3 3 2 2 5" xfId="24309"/>
    <cellStyle name="Обычный 124 4 2 3 3 2 3" xfId="26141"/>
    <cellStyle name="Обычный 124 4 2 3 3 2 3 2" xfId="33452"/>
    <cellStyle name="Обычный 124 4 2 3 3 2 3 2 2" xfId="48272"/>
    <cellStyle name="Обычный 124 4 2 3 3 2 3 3" xfId="40985"/>
    <cellStyle name="Обычный 124 4 2 3 3 2 4" xfId="29798"/>
    <cellStyle name="Обычный 124 4 2 3 3 2 4 2" xfId="44622"/>
    <cellStyle name="Обычный 124 4 2 3 3 2 5" xfId="37399"/>
    <cellStyle name="Обычный 124 4 2 3 3 2 6" xfId="22480"/>
    <cellStyle name="Обычный 124 4 2 3 3 3" xfId="19692"/>
    <cellStyle name="Обычный 124 4 2 3 3 3 2" xfId="27061"/>
    <cellStyle name="Обычный 124 4 2 3 3 3 2 2" xfId="34372"/>
    <cellStyle name="Обычный 124 4 2 3 3 3 2 2 2" xfId="49192"/>
    <cellStyle name="Обычный 124 4 2 3 3 3 2 3" xfId="41901"/>
    <cellStyle name="Обычный 124 4 2 3 3 3 3" xfId="30718"/>
    <cellStyle name="Обычный 124 4 2 3 3 3 3 2" xfId="45541"/>
    <cellStyle name="Обычный 124 4 2 3 3 3 4" xfId="38215"/>
    <cellStyle name="Обычный 124 4 2 3 3 3 5" xfId="23403"/>
    <cellStyle name="Обычный 124 4 2 3 3 4" xfId="25220"/>
    <cellStyle name="Обычный 124 4 2 3 3 4 2" xfId="32531"/>
    <cellStyle name="Обычный 124 4 2 3 3 4 2 2" xfId="47354"/>
    <cellStyle name="Обычный 124 4 2 3 3 4 3" xfId="40112"/>
    <cellStyle name="Обычный 124 4 2 3 3 5" xfId="28877"/>
    <cellStyle name="Обычный 124 4 2 3 3 5 2" xfId="43714"/>
    <cellStyle name="Обычный 124 4 2 3 3 6" xfId="36312"/>
    <cellStyle name="Обычный 124 4 2 3 3 7" xfId="21559"/>
    <cellStyle name="Обычный 124 4 2 3 4" xfId="18442"/>
    <cellStyle name="Обычный 124 4 2 3 4 2" xfId="20324"/>
    <cellStyle name="Обычный 124 4 2 3 4 2 2" xfId="27650"/>
    <cellStyle name="Обычный 124 4 2 3 4 2 2 2" xfId="34961"/>
    <cellStyle name="Обычный 124 4 2 3 4 2 2 2 2" xfId="49781"/>
    <cellStyle name="Обычный 124 4 2 3 4 2 2 3" xfId="42489"/>
    <cellStyle name="Обычный 124 4 2 3 4 2 3" xfId="31307"/>
    <cellStyle name="Обычный 124 4 2 3 4 2 3 2" xfId="46130"/>
    <cellStyle name="Обычный 124 4 2 3 4 2 4" xfId="38805"/>
    <cellStyle name="Обычный 124 4 2 3 4 2 5" xfId="23992"/>
    <cellStyle name="Обычный 124 4 2 3 4 3" xfId="25824"/>
    <cellStyle name="Обычный 124 4 2 3 4 3 2" xfId="33135"/>
    <cellStyle name="Обычный 124 4 2 3 4 3 2 2" xfId="47955"/>
    <cellStyle name="Обычный 124 4 2 3 4 3 3" xfId="40677"/>
    <cellStyle name="Обычный 124 4 2 3 4 4" xfId="29481"/>
    <cellStyle name="Обычный 124 4 2 3 4 4 2" xfId="44305"/>
    <cellStyle name="Обычный 124 4 2 3 4 5" xfId="37082"/>
    <cellStyle name="Обычный 124 4 2 3 4 6" xfId="22163"/>
    <cellStyle name="Обычный 124 4 2 3 5" xfId="19242"/>
    <cellStyle name="Обычный 124 4 2 3 5 2" xfId="26612"/>
    <cellStyle name="Обычный 124 4 2 3 5 2 2" xfId="33923"/>
    <cellStyle name="Обычный 124 4 2 3 5 2 2 2" xfId="48743"/>
    <cellStyle name="Обычный 124 4 2 3 5 2 3" xfId="41452"/>
    <cellStyle name="Обычный 124 4 2 3 5 3" xfId="30269"/>
    <cellStyle name="Обычный 124 4 2 3 5 3 2" xfId="45092"/>
    <cellStyle name="Обычный 124 4 2 3 5 4" xfId="37766"/>
    <cellStyle name="Обычный 124 4 2 3 5 5" xfId="22954"/>
    <cellStyle name="Обычный 124 4 2 3 6" xfId="24770"/>
    <cellStyle name="Обычный 124 4 2 3 6 2" xfId="32081"/>
    <cellStyle name="Обычный 124 4 2 3 6 2 2" xfId="46904"/>
    <cellStyle name="Обычный 124 4 2 3 6 3" xfId="39672"/>
    <cellStyle name="Обычный 124 4 2 3 7" xfId="28427"/>
    <cellStyle name="Обычный 124 4 2 3 7 2" xfId="43264"/>
    <cellStyle name="Обычный 124 4 2 3 8" xfId="35863"/>
    <cellStyle name="Обычный 124 4 2 3 9" xfId="21109"/>
    <cellStyle name="Обычный 124 4 2 4" xfId="17305"/>
    <cellStyle name="Обычный 124 4 2 4 2" xfId="17760"/>
    <cellStyle name="Обычный 124 4 2 4 2 2" xfId="18874"/>
    <cellStyle name="Обычный 124 4 2 4 2 2 2" xfId="20753"/>
    <cellStyle name="Обычный 124 4 2 4 2 2 2 2" xfId="28079"/>
    <cellStyle name="Обычный 124 4 2 4 2 2 2 2 2" xfId="35390"/>
    <cellStyle name="Обычный 124 4 2 4 2 2 2 2 2 2" xfId="50210"/>
    <cellStyle name="Обычный 124 4 2 4 2 2 2 2 3" xfId="42918"/>
    <cellStyle name="Обычный 124 4 2 4 2 2 2 3" xfId="31736"/>
    <cellStyle name="Обычный 124 4 2 4 2 2 2 3 2" xfId="46559"/>
    <cellStyle name="Обычный 124 4 2 4 2 2 2 4" xfId="39234"/>
    <cellStyle name="Обычный 124 4 2 4 2 2 2 5" xfId="24421"/>
    <cellStyle name="Обычный 124 4 2 4 2 2 3" xfId="26253"/>
    <cellStyle name="Обычный 124 4 2 4 2 2 3 2" xfId="33564"/>
    <cellStyle name="Обычный 124 4 2 4 2 2 3 2 2" xfId="48384"/>
    <cellStyle name="Обычный 124 4 2 4 2 2 3 3" xfId="41097"/>
    <cellStyle name="Обычный 124 4 2 4 2 2 4" xfId="29910"/>
    <cellStyle name="Обычный 124 4 2 4 2 2 4 2" xfId="44734"/>
    <cellStyle name="Обычный 124 4 2 4 2 2 5" xfId="37510"/>
    <cellStyle name="Обычный 124 4 2 4 2 2 6" xfId="22592"/>
    <cellStyle name="Обычный 124 4 2 4 2 3" xfId="19804"/>
    <cellStyle name="Обычный 124 4 2 4 2 3 2" xfId="27173"/>
    <cellStyle name="Обычный 124 4 2 4 2 3 2 2" xfId="34484"/>
    <cellStyle name="Обычный 124 4 2 4 2 3 2 2 2" xfId="49304"/>
    <cellStyle name="Обычный 124 4 2 4 2 3 2 3" xfId="42013"/>
    <cellStyle name="Обычный 124 4 2 4 2 3 3" xfId="30830"/>
    <cellStyle name="Обычный 124 4 2 4 2 3 3 2" xfId="45653"/>
    <cellStyle name="Обычный 124 4 2 4 2 3 4" xfId="38327"/>
    <cellStyle name="Обычный 124 4 2 4 2 3 5" xfId="23515"/>
    <cellStyle name="Обычный 124 4 2 4 2 4" xfId="25332"/>
    <cellStyle name="Обычный 124 4 2 4 2 4 2" xfId="32643"/>
    <cellStyle name="Обычный 124 4 2 4 2 4 2 2" xfId="47466"/>
    <cellStyle name="Обычный 124 4 2 4 2 4 3" xfId="40221"/>
    <cellStyle name="Обычный 124 4 2 4 2 5" xfId="28989"/>
    <cellStyle name="Обычный 124 4 2 4 2 5 2" xfId="43826"/>
    <cellStyle name="Обычный 124 4 2 4 2 6" xfId="36314"/>
    <cellStyle name="Обычный 124 4 2 4 2 7" xfId="21671"/>
    <cellStyle name="Обычный 124 4 2 4 3" xfId="18444"/>
    <cellStyle name="Обычный 124 4 2 4 3 2" xfId="20326"/>
    <cellStyle name="Обычный 124 4 2 4 3 2 2" xfId="27652"/>
    <cellStyle name="Обычный 124 4 2 4 3 2 2 2" xfId="34963"/>
    <cellStyle name="Обычный 124 4 2 4 3 2 2 2 2" xfId="49783"/>
    <cellStyle name="Обычный 124 4 2 4 3 2 2 3" xfId="42491"/>
    <cellStyle name="Обычный 124 4 2 4 3 2 3" xfId="31309"/>
    <cellStyle name="Обычный 124 4 2 4 3 2 3 2" xfId="46132"/>
    <cellStyle name="Обычный 124 4 2 4 3 2 4" xfId="38807"/>
    <cellStyle name="Обычный 124 4 2 4 3 2 5" xfId="23994"/>
    <cellStyle name="Обычный 124 4 2 4 3 3" xfId="25826"/>
    <cellStyle name="Обычный 124 4 2 4 3 3 2" xfId="33137"/>
    <cellStyle name="Обычный 124 4 2 4 3 3 2 2" xfId="47957"/>
    <cellStyle name="Обычный 124 4 2 4 3 3 3" xfId="40679"/>
    <cellStyle name="Обычный 124 4 2 4 3 4" xfId="29483"/>
    <cellStyle name="Обычный 124 4 2 4 3 4 2" xfId="44307"/>
    <cellStyle name="Обычный 124 4 2 4 3 5" xfId="37084"/>
    <cellStyle name="Обычный 124 4 2 4 3 6" xfId="22165"/>
    <cellStyle name="Обычный 124 4 2 4 4" xfId="19353"/>
    <cellStyle name="Обычный 124 4 2 4 4 2" xfId="26723"/>
    <cellStyle name="Обычный 124 4 2 4 4 2 2" xfId="34034"/>
    <cellStyle name="Обычный 124 4 2 4 4 2 2 2" xfId="48854"/>
    <cellStyle name="Обычный 124 4 2 4 4 2 3" xfId="41563"/>
    <cellStyle name="Обычный 124 4 2 4 4 3" xfId="30380"/>
    <cellStyle name="Обычный 124 4 2 4 4 3 2" xfId="45203"/>
    <cellStyle name="Обычный 124 4 2 4 4 4" xfId="37877"/>
    <cellStyle name="Обычный 124 4 2 4 4 5" xfId="23065"/>
    <cellStyle name="Обычный 124 4 2 4 5" xfId="24882"/>
    <cellStyle name="Обычный 124 4 2 4 5 2" xfId="32193"/>
    <cellStyle name="Обычный 124 4 2 4 5 2 2" xfId="47016"/>
    <cellStyle name="Обычный 124 4 2 4 5 3" xfId="39778"/>
    <cellStyle name="Обычный 124 4 2 4 6" xfId="28539"/>
    <cellStyle name="Обычный 124 4 2 4 6 2" xfId="43376"/>
    <cellStyle name="Обычный 124 4 2 4 7" xfId="35865"/>
    <cellStyle name="Обычный 124 4 2 4 8" xfId="21221"/>
    <cellStyle name="Обычный 124 4 2 5" xfId="17536"/>
    <cellStyle name="Обычный 124 4 2 5 2" xfId="18650"/>
    <cellStyle name="Обычный 124 4 2 5 2 2" xfId="20529"/>
    <cellStyle name="Обычный 124 4 2 5 2 2 2" xfId="27855"/>
    <cellStyle name="Обычный 124 4 2 5 2 2 2 2" xfId="35166"/>
    <cellStyle name="Обычный 124 4 2 5 2 2 2 2 2" xfId="49986"/>
    <cellStyle name="Обычный 124 4 2 5 2 2 2 3" xfId="42694"/>
    <cellStyle name="Обычный 124 4 2 5 2 2 3" xfId="31512"/>
    <cellStyle name="Обычный 124 4 2 5 2 2 3 2" xfId="46335"/>
    <cellStyle name="Обычный 124 4 2 5 2 2 4" xfId="39010"/>
    <cellStyle name="Обычный 124 4 2 5 2 2 5" xfId="24197"/>
    <cellStyle name="Обычный 124 4 2 5 2 3" xfId="26029"/>
    <cellStyle name="Обычный 124 4 2 5 2 3 2" xfId="33340"/>
    <cellStyle name="Обычный 124 4 2 5 2 3 2 2" xfId="48160"/>
    <cellStyle name="Обычный 124 4 2 5 2 3 3" xfId="40873"/>
    <cellStyle name="Обычный 124 4 2 5 2 4" xfId="29686"/>
    <cellStyle name="Обычный 124 4 2 5 2 4 2" xfId="44510"/>
    <cellStyle name="Обычный 124 4 2 5 2 5" xfId="37287"/>
    <cellStyle name="Обычный 124 4 2 5 2 6" xfId="22368"/>
    <cellStyle name="Обычный 124 4 2 5 3" xfId="19580"/>
    <cellStyle name="Обычный 124 4 2 5 3 2" xfId="26949"/>
    <cellStyle name="Обычный 124 4 2 5 3 2 2" xfId="34260"/>
    <cellStyle name="Обычный 124 4 2 5 3 2 2 2" xfId="49080"/>
    <cellStyle name="Обычный 124 4 2 5 3 2 3" xfId="41789"/>
    <cellStyle name="Обычный 124 4 2 5 3 3" xfId="30606"/>
    <cellStyle name="Обычный 124 4 2 5 3 3 2" xfId="45429"/>
    <cellStyle name="Обычный 124 4 2 5 3 4" xfId="38103"/>
    <cellStyle name="Обычный 124 4 2 5 3 5" xfId="23291"/>
    <cellStyle name="Обычный 124 4 2 5 4" xfId="25108"/>
    <cellStyle name="Обычный 124 4 2 5 4 2" xfId="32419"/>
    <cellStyle name="Обычный 124 4 2 5 4 2 2" xfId="47242"/>
    <cellStyle name="Обычный 124 4 2 5 4 3" xfId="40002"/>
    <cellStyle name="Обычный 124 4 2 5 5" xfId="28765"/>
    <cellStyle name="Обычный 124 4 2 5 5 2" xfId="43602"/>
    <cellStyle name="Обычный 124 4 2 5 6" xfId="36307"/>
    <cellStyle name="Обычный 124 4 2 5 7" xfId="21447"/>
    <cellStyle name="Обычный 124 4 2 6" xfId="18437"/>
    <cellStyle name="Обычный 124 4 2 6 2" xfId="20319"/>
    <cellStyle name="Обычный 124 4 2 6 2 2" xfId="27645"/>
    <cellStyle name="Обычный 124 4 2 6 2 2 2" xfId="34956"/>
    <cellStyle name="Обычный 124 4 2 6 2 2 2 2" xfId="49776"/>
    <cellStyle name="Обычный 124 4 2 6 2 2 3" xfId="42484"/>
    <cellStyle name="Обычный 124 4 2 6 2 3" xfId="31302"/>
    <cellStyle name="Обычный 124 4 2 6 2 3 2" xfId="46125"/>
    <cellStyle name="Обычный 124 4 2 6 2 4" xfId="38800"/>
    <cellStyle name="Обычный 124 4 2 6 2 5" xfId="23987"/>
    <cellStyle name="Обычный 124 4 2 6 3" xfId="25819"/>
    <cellStyle name="Обычный 124 4 2 6 3 2" xfId="33130"/>
    <cellStyle name="Обычный 124 4 2 6 3 2 2" xfId="47950"/>
    <cellStyle name="Обычный 124 4 2 6 3 3" xfId="40672"/>
    <cellStyle name="Обычный 124 4 2 6 4" xfId="29476"/>
    <cellStyle name="Обычный 124 4 2 6 4 2" xfId="44300"/>
    <cellStyle name="Обычный 124 4 2 6 5" xfId="37077"/>
    <cellStyle name="Обычный 124 4 2 6 6" xfId="22158"/>
    <cellStyle name="Обычный 124 4 2 7" xfId="19133"/>
    <cellStyle name="Обычный 124 4 2 7 2" xfId="26505"/>
    <cellStyle name="Обычный 124 4 2 7 2 2" xfId="33816"/>
    <cellStyle name="Обычный 124 4 2 7 2 2 2" xfId="48636"/>
    <cellStyle name="Обычный 124 4 2 7 2 3" xfId="41345"/>
    <cellStyle name="Обычный 124 4 2 7 3" xfId="30162"/>
    <cellStyle name="Обычный 124 4 2 7 3 2" xfId="44985"/>
    <cellStyle name="Обычный 124 4 2 7 4" xfId="37659"/>
    <cellStyle name="Обычный 124 4 2 7 5" xfId="22847"/>
    <cellStyle name="Обычный 124 4 2 8" xfId="24658"/>
    <cellStyle name="Обычный 124 4 2 8 2" xfId="31969"/>
    <cellStyle name="Обычный 124 4 2 8 2 2" xfId="46792"/>
    <cellStyle name="Обычный 124 4 2 8 3" xfId="39578"/>
    <cellStyle name="Обычный 124 4 2 9" xfId="28315"/>
    <cellStyle name="Обычный 124 4 2 9 2" xfId="43152"/>
    <cellStyle name="Обычный 124 4 3" xfId="17172"/>
    <cellStyle name="Обычный 124 4 3 10" xfId="21025"/>
    <cellStyle name="Обычный 124 4 3 2" xfId="17450"/>
    <cellStyle name="Обычный 124 4 3 2 2" xfId="17900"/>
    <cellStyle name="Обычный 124 4 3 2 2 2" xfId="19014"/>
    <cellStyle name="Обычный 124 4 3 2 2 2 2" xfId="20893"/>
    <cellStyle name="Обычный 124 4 3 2 2 2 2 2" xfId="24561"/>
    <cellStyle name="Обычный 124 4 3 2 2 2 2 2 2" xfId="28219"/>
    <cellStyle name="Обычный 124 4 3 2 2 2 2 2 2 2" xfId="35530"/>
    <cellStyle name="Обычный 124 4 3 2 2 2 2 2 2 2 2" xfId="50350"/>
    <cellStyle name="Обычный 124 4 3 2 2 2 2 2 2 3" xfId="43058"/>
    <cellStyle name="Обычный 124 4 3 2 2 2 2 2 3" xfId="31876"/>
    <cellStyle name="Обычный 124 4 3 2 2 2 2 2 3 2" xfId="46699"/>
    <cellStyle name="Обычный 124 4 3 2 2 2 2 2 4" xfId="39494"/>
    <cellStyle name="Обычный 124 4 3 2 2 2 2 3" xfId="26393"/>
    <cellStyle name="Обычный 124 4 3 2 2 2 2 3 2" xfId="33704"/>
    <cellStyle name="Обычный 124 4 3 2 2 2 2 3 2 2" xfId="48524"/>
    <cellStyle name="Обычный 124 4 3 2 2 2 2 3 3" xfId="41237"/>
    <cellStyle name="Обычный 124 4 3 2 2 2 2 4" xfId="30050"/>
    <cellStyle name="Обычный 124 4 3 2 2 2 2 4 2" xfId="44874"/>
    <cellStyle name="Обычный 124 4 3 2 2 2 2 5" xfId="39374"/>
    <cellStyle name="Обычный 124 4 3 2 2 2 2 6" xfId="22732"/>
    <cellStyle name="Обычный 124 4 3 2 2 2 3" xfId="19944"/>
    <cellStyle name="Обычный 124 4 3 2 2 2 3 2" xfId="27313"/>
    <cellStyle name="Обычный 124 4 3 2 2 2 3 2 2" xfId="34624"/>
    <cellStyle name="Обычный 124 4 3 2 2 2 3 2 2 2" xfId="49444"/>
    <cellStyle name="Обычный 124 4 3 2 2 2 3 2 3" xfId="42153"/>
    <cellStyle name="Обычный 124 4 3 2 2 2 3 3" xfId="30970"/>
    <cellStyle name="Обычный 124 4 3 2 2 2 3 3 2" xfId="45793"/>
    <cellStyle name="Обычный 124 4 3 2 2 2 3 4" xfId="38467"/>
    <cellStyle name="Обычный 124 4 3 2 2 2 3 5" xfId="23655"/>
    <cellStyle name="Обычный 124 4 3 2 2 2 4" xfId="25472"/>
    <cellStyle name="Обычный 124 4 3 2 2 2 4 2" xfId="32783"/>
    <cellStyle name="Обычный 124 4 3 2 2 2 4 2 2" xfId="47606"/>
    <cellStyle name="Обычный 124 4 3 2 2 2 4 3" xfId="40360"/>
    <cellStyle name="Обычный 124 4 3 2 2 2 5" xfId="29129"/>
    <cellStyle name="Обычный 124 4 3 2 2 2 5 2" xfId="43966"/>
    <cellStyle name="Обычный 124 4 3 2 2 2 6" xfId="36317"/>
    <cellStyle name="Обычный 124 4 3 2 2 2 7" xfId="21811"/>
    <cellStyle name="Обычный 124 4 3 2 2 3" xfId="18447"/>
    <cellStyle name="Обычный 124 4 3 2 2 3 2" xfId="20329"/>
    <cellStyle name="Обычный 124 4 3 2 2 3 2 2" xfId="27655"/>
    <cellStyle name="Обычный 124 4 3 2 2 3 2 2 2" xfId="34966"/>
    <cellStyle name="Обычный 124 4 3 2 2 3 2 2 2 2" xfId="49786"/>
    <cellStyle name="Обычный 124 4 3 2 2 3 2 2 3" xfId="42494"/>
    <cellStyle name="Обычный 124 4 3 2 2 3 2 3" xfId="31312"/>
    <cellStyle name="Обычный 124 4 3 2 2 3 2 3 2" xfId="46135"/>
    <cellStyle name="Обычный 124 4 3 2 2 3 2 4" xfId="38810"/>
    <cellStyle name="Обычный 124 4 3 2 2 3 2 5" xfId="23997"/>
    <cellStyle name="Обычный 124 4 3 2 2 3 3" xfId="25829"/>
    <cellStyle name="Обычный 124 4 3 2 2 3 3 2" xfId="33140"/>
    <cellStyle name="Обычный 124 4 3 2 2 3 3 2 2" xfId="47960"/>
    <cellStyle name="Обычный 124 4 3 2 2 3 3 3" xfId="40682"/>
    <cellStyle name="Обычный 124 4 3 2 2 3 4" xfId="29486"/>
    <cellStyle name="Обычный 124 4 3 2 2 3 4 2" xfId="44310"/>
    <cellStyle name="Обычный 124 4 3 2 2 3 5" xfId="37087"/>
    <cellStyle name="Обычный 124 4 3 2 2 3 6" xfId="22168"/>
    <cellStyle name="Обычный 124 4 3 2 2 4" xfId="19493"/>
    <cellStyle name="Обычный 124 4 3 2 2 4 2" xfId="26863"/>
    <cellStyle name="Обычный 124 4 3 2 2 4 2 2" xfId="34174"/>
    <cellStyle name="Обычный 124 4 3 2 2 4 2 2 2" xfId="48994"/>
    <cellStyle name="Обычный 124 4 3 2 2 4 2 3" xfId="41703"/>
    <cellStyle name="Обычный 124 4 3 2 2 4 3" xfId="30520"/>
    <cellStyle name="Обычный 124 4 3 2 2 4 3 2" xfId="45343"/>
    <cellStyle name="Обычный 124 4 3 2 2 4 4" xfId="38017"/>
    <cellStyle name="Обычный 124 4 3 2 2 4 5" xfId="23205"/>
    <cellStyle name="Обычный 124 4 3 2 2 5" xfId="25022"/>
    <cellStyle name="Обычный 124 4 3 2 2 5 2" xfId="32333"/>
    <cellStyle name="Обычный 124 4 3 2 2 5 2 2" xfId="47156"/>
    <cellStyle name="Обычный 124 4 3 2 2 5 3" xfId="39917"/>
    <cellStyle name="Обычный 124 4 3 2 2 6" xfId="28679"/>
    <cellStyle name="Обычный 124 4 3 2 2 6 2" xfId="43516"/>
    <cellStyle name="Обычный 124 4 3 2 2 7" xfId="35868"/>
    <cellStyle name="Обычный 124 4 3 2 2 8" xfId="21361"/>
    <cellStyle name="Обычный 124 4 3 2 3" xfId="17676"/>
    <cellStyle name="Обычный 124 4 3 2 3 2" xfId="18790"/>
    <cellStyle name="Обычный 124 4 3 2 3 2 2" xfId="20669"/>
    <cellStyle name="Обычный 124 4 3 2 3 2 2 2" xfId="27995"/>
    <cellStyle name="Обычный 124 4 3 2 3 2 2 2 2" xfId="35306"/>
    <cellStyle name="Обычный 124 4 3 2 3 2 2 2 2 2" xfId="50126"/>
    <cellStyle name="Обычный 124 4 3 2 3 2 2 2 3" xfId="42834"/>
    <cellStyle name="Обычный 124 4 3 2 3 2 2 3" xfId="31652"/>
    <cellStyle name="Обычный 124 4 3 2 3 2 2 3 2" xfId="46475"/>
    <cellStyle name="Обычный 124 4 3 2 3 2 2 4" xfId="39150"/>
    <cellStyle name="Обычный 124 4 3 2 3 2 2 5" xfId="24337"/>
    <cellStyle name="Обычный 124 4 3 2 3 2 3" xfId="26169"/>
    <cellStyle name="Обычный 124 4 3 2 3 2 3 2" xfId="33480"/>
    <cellStyle name="Обычный 124 4 3 2 3 2 3 2 2" xfId="48300"/>
    <cellStyle name="Обычный 124 4 3 2 3 2 3 3" xfId="41013"/>
    <cellStyle name="Обычный 124 4 3 2 3 2 4" xfId="29826"/>
    <cellStyle name="Обычный 124 4 3 2 3 2 4 2" xfId="44650"/>
    <cellStyle name="Обычный 124 4 3 2 3 2 5" xfId="37427"/>
    <cellStyle name="Обычный 124 4 3 2 3 2 6" xfId="22508"/>
    <cellStyle name="Обычный 124 4 3 2 3 3" xfId="19720"/>
    <cellStyle name="Обычный 124 4 3 2 3 3 2" xfId="27089"/>
    <cellStyle name="Обычный 124 4 3 2 3 3 2 2" xfId="34400"/>
    <cellStyle name="Обычный 124 4 3 2 3 3 2 2 2" xfId="49220"/>
    <cellStyle name="Обычный 124 4 3 2 3 3 2 3" xfId="41929"/>
    <cellStyle name="Обычный 124 4 3 2 3 3 3" xfId="30746"/>
    <cellStyle name="Обычный 124 4 3 2 3 3 3 2" xfId="45569"/>
    <cellStyle name="Обычный 124 4 3 2 3 3 4" xfId="38243"/>
    <cellStyle name="Обычный 124 4 3 2 3 3 5" xfId="23431"/>
    <cellStyle name="Обычный 124 4 3 2 3 4" xfId="25248"/>
    <cellStyle name="Обычный 124 4 3 2 3 4 2" xfId="32559"/>
    <cellStyle name="Обычный 124 4 3 2 3 4 2 2" xfId="47382"/>
    <cellStyle name="Обычный 124 4 3 2 3 4 3" xfId="40140"/>
    <cellStyle name="Обычный 124 4 3 2 3 5" xfId="28905"/>
    <cellStyle name="Обычный 124 4 3 2 3 5 2" xfId="43742"/>
    <cellStyle name="Обычный 124 4 3 2 3 6" xfId="36316"/>
    <cellStyle name="Обычный 124 4 3 2 3 7" xfId="21587"/>
    <cellStyle name="Обычный 124 4 3 2 4" xfId="18446"/>
    <cellStyle name="Обычный 124 4 3 2 4 2" xfId="20328"/>
    <cellStyle name="Обычный 124 4 3 2 4 2 2" xfId="27654"/>
    <cellStyle name="Обычный 124 4 3 2 4 2 2 2" xfId="34965"/>
    <cellStyle name="Обычный 124 4 3 2 4 2 2 2 2" xfId="49785"/>
    <cellStyle name="Обычный 124 4 3 2 4 2 2 3" xfId="42493"/>
    <cellStyle name="Обычный 124 4 3 2 4 2 3" xfId="31311"/>
    <cellStyle name="Обычный 124 4 3 2 4 2 3 2" xfId="46134"/>
    <cellStyle name="Обычный 124 4 3 2 4 2 4" xfId="38809"/>
    <cellStyle name="Обычный 124 4 3 2 4 2 5" xfId="23996"/>
    <cellStyle name="Обычный 124 4 3 2 4 3" xfId="25828"/>
    <cellStyle name="Обычный 124 4 3 2 4 3 2" xfId="33139"/>
    <cellStyle name="Обычный 124 4 3 2 4 3 2 2" xfId="47959"/>
    <cellStyle name="Обычный 124 4 3 2 4 3 3" xfId="40681"/>
    <cellStyle name="Обычный 124 4 3 2 4 4" xfId="29485"/>
    <cellStyle name="Обычный 124 4 3 2 4 4 2" xfId="44309"/>
    <cellStyle name="Обычный 124 4 3 2 4 5" xfId="37086"/>
    <cellStyle name="Обычный 124 4 3 2 4 6" xfId="22167"/>
    <cellStyle name="Обычный 124 4 3 2 5" xfId="19270"/>
    <cellStyle name="Обычный 124 4 3 2 5 2" xfId="26640"/>
    <cellStyle name="Обычный 124 4 3 2 5 2 2" xfId="33951"/>
    <cellStyle name="Обычный 124 4 3 2 5 2 2 2" xfId="48771"/>
    <cellStyle name="Обычный 124 4 3 2 5 2 3" xfId="41480"/>
    <cellStyle name="Обычный 124 4 3 2 5 3" xfId="30297"/>
    <cellStyle name="Обычный 124 4 3 2 5 3 2" xfId="45120"/>
    <cellStyle name="Обычный 124 4 3 2 5 4" xfId="37794"/>
    <cellStyle name="Обычный 124 4 3 2 5 5" xfId="22982"/>
    <cellStyle name="Обычный 124 4 3 2 6" xfId="24798"/>
    <cellStyle name="Обычный 124 4 3 2 6 2" xfId="32109"/>
    <cellStyle name="Обычный 124 4 3 2 6 2 2" xfId="46932"/>
    <cellStyle name="Обычный 124 4 3 2 6 3" xfId="39697"/>
    <cellStyle name="Обычный 124 4 3 2 7" xfId="28455"/>
    <cellStyle name="Обычный 124 4 3 2 7 2" xfId="43292"/>
    <cellStyle name="Обычный 124 4 3 2 8" xfId="35867"/>
    <cellStyle name="Обычный 124 4 3 2 9" xfId="21137"/>
    <cellStyle name="Обычный 124 4 3 3" xfId="17335"/>
    <cellStyle name="Обычный 124 4 3 3 2" xfId="17788"/>
    <cellStyle name="Обычный 124 4 3 3 2 2" xfId="18902"/>
    <cellStyle name="Обычный 124 4 3 3 2 2 2" xfId="20781"/>
    <cellStyle name="Обычный 124 4 3 3 2 2 2 2" xfId="28107"/>
    <cellStyle name="Обычный 124 4 3 3 2 2 2 2 2" xfId="35418"/>
    <cellStyle name="Обычный 124 4 3 3 2 2 2 2 2 2" xfId="50238"/>
    <cellStyle name="Обычный 124 4 3 3 2 2 2 2 3" xfId="42946"/>
    <cellStyle name="Обычный 124 4 3 3 2 2 2 3" xfId="31764"/>
    <cellStyle name="Обычный 124 4 3 3 2 2 2 3 2" xfId="46587"/>
    <cellStyle name="Обычный 124 4 3 3 2 2 2 4" xfId="39262"/>
    <cellStyle name="Обычный 124 4 3 3 2 2 2 5" xfId="24449"/>
    <cellStyle name="Обычный 124 4 3 3 2 2 3" xfId="26281"/>
    <cellStyle name="Обычный 124 4 3 3 2 2 3 2" xfId="33592"/>
    <cellStyle name="Обычный 124 4 3 3 2 2 3 2 2" xfId="48412"/>
    <cellStyle name="Обычный 124 4 3 3 2 2 3 3" xfId="41125"/>
    <cellStyle name="Обычный 124 4 3 3 2 2 4" xfId="29938"/>
    <cellStyle name="Обычный 124 4 3 3 2 2 4 2" xfId="44762"/>
    <cellStyle name="Обычный 124 4 3 3 2 2 5" xfId="37538"/>
    <cellStyle name="Обычный 124 4 3 3 2 2 6" xfId="22620"/>
    <cellStyle name="Обычный 124 4 3 3 2 3" xfId="19832"/>
    <cellStyle name="Обычный 124 4 3 3 2 3 2" xfId="27201"/>
    <cellStyle name="Обычный 124 4 3 3 2 3 2 2" xfId="34512"/>
    <cellStyle name="Обычный 124 4 3 3 2 3 2 2 2" xfId="49332"/>
    <cellStyle name="Обычный 124 4 3 3 2 3 2 3" xfId="42041"/>
    <cellStyle name="Обычный 124 4 3 3 2 3 3" xfId="30858"/>
    <cellStyle name="Обычный 124 4 3 3 2 3 3 2" xfId="45681"/>
    <cellStyle name="Обычный 124 4 3 3 2 3 4" xfId="38355"/>
    <cellStyle name="Обычный 124 4 3 3 2 3 5" xfId="23543"/>
    <cellStyle name="Обычный 124 4 3 3 2 4" xfId="25360"/>
    <cellStyle name="Обычный 124 4 3 3 2 4 2" xfId="32671"/>
    <cellStyle name="Обычный 124 4 3 3 2 4 2 2" xfId="47494"/>
    <cellStyle name="Обычный 124 4 3 3 2 4 3" xfId="40248"/>
    <cellStyle name="Обычный 124 4 3 3 2 5" xfId="29017"/>
    <cellStyle name="Обычный 124 4 3 3 2 5 2" xfId="43854"/>
    <cellStyle name="Обычный 124 4 3 3 2 6" xfId="36318"/>
    <cellStyle name="Обычный 124 4 3 3 2 7" xfId="21699"/>
    <cellStyle name="Обычный 124 4 3 3 3" xfId="18448"/>
    <cellStyle name="Обычный 124 4 3 3 3 2" xfId="20330"/>
    <cellStyle name="Обычный 124 4 3 3 3 2 2" xfId="27656"/>
    <cellStyle name="Обычный 124 4 3 3 3 2 2 2" xfId="34967"/>
    <cellStyle name="Обычный 124 4 3 3 3 2 2 2 2" xfId="49787"/>
    <cellStyle name="Обычный 124 4 3 3 3 2 2 3" xfId="42495"/>
    <cellStyle name="Обычный 124 4 3 3 3 2 3" xfId="31313"/>
    <cellStyle name="Обычный 124 4 3 3 3 2 3 2" xfId="46136"/>
    <cellStyle name="Обычный 124 4 3 3 3 2 4" xfId="38811"/>
    <cellStyle name="Обычный 124 4 3 3 3 2 5" xfId="23998"/>
    <cellStyle name="Обычный 124 4 3 3 3 3" xfId="25830"/>
    <cellStyle name="Обычный 124 4 3 3 3 3 2" xfId="33141"/>
    <cellStyle name="Обычный 124 4 3 3 3 3 2 2" xfId="47961"/>
    <cellStyle name="Обычный 124 4 3 3 3 3 3" xfId="40683"/>
    <cellStyle name="Обычный 124 4 3 3 3 4" xfId="29487"/>
    <cellStyle name="Обычный 124 4 3 3 3 4 2" xfId="44311"/>
    <cellStyle name="Обычный 124 4 3 3 3 5" xfId="37088"/>
    <cellStyle name="Обычный 124 4 3 3 3 6" xfId="22169"/>
    <cellStyle name="Обычный 124 4 3 3 4" xfId="19381"/>
    <cellStyle name="Обычный 124 4 3 3 4 2" xfId="26751"/>
    <cellStyle name="Обычный 124 4 3 3 4 2 2" xfId="34062"/>
    <cellStyle name="Обычный 124 4 3 3 4 2 2 2" xfId="48882"/>
    <cellStyle name="Обычный 124 4 3 3 4 2 3" xfId="41591"/>
    <cellStyle name="Обычный 124 4 3 3 4 3" xfId="30408"/>
    <cellStyle name="Обычный 124 4 3 3 4 3 2" xfId="45231"/>
    <cellStyle name="Обычный 124 4 3 3 4 4" xfId="37905"/>
    <cellStyle name="Обычный 124 4 3 3 4 5" xfId="23093"/>
    <cellStyle name="Обычный 124 4 3 3 5" xfId="24910"/>
    <cellStyle name="Обычный 124 4 3 3 5 2" xfId="32221"/>
    <cellStyle name="Обычный 124 4 3 3 5 2 2" xfId="47044"/>
    <cellStyle name="Обычный 124 4 3 3 5 3" xfId="39805"/>
    <cellStyle name="Обычный 124 4 3 3 6" xfId="28567"/>
    <cellStyle name="Обычный 124 4 3 3 6 2" xfId="43404"/>
    <cellStyle name="Обычный 124 4 3 3 7" xfId="35869"/>
    <cellStyle name="Обычный 124 4 3 3 8" xfId="21249"/>
    <cellStyle name="Обычный 124 4 3 4" xfId="17564"/>
    <cellStyle name="Обычный 124 4 3 4 2" xfId="18678"/>
    <cellStyle name="Обычный 124 4 3 4 2 2" xfId="20557"/>
    <cellStyle name="Обычный 124 4 3 4 2 2 2" xfId="27883"/>
    <cellStyle name="Обычный 124 4 3 4 2 2 2 2" xfId="35194"/>
    <cellStyle name="Обычный 124 4 3 4 2 2 2 2 2" xfId="50014"/>
    <cellStyle name="Обычный 124 4 3 4 2 2 2 3" xfId="42722"/>
    <cellStyle name="Обычный 124 4 3 4 2 2 3" xfId="31540"/>
    <cellStyle name="Обычный 124 4 3 4 2 2 3 2" xfId="46363"/>
    <cellStyle name="Обычный 124 4 3 4 2 2 4" xfId="39038"/>
    <cellStyle name="Обычный 124 4 3 4 2 2 5" xfId="24225"/>
    <cellStyle name="Обычный 124 4 3 4 2 3" xfId="26057"/>
    <cellStyle name="Обычный 124 4 3 4 2 3 2" xfId="33368"/>
    <cellStyle name="Обычный 124 4 3 4 2 3 2 2" xfId="48188"/>
    <cellStyle name="Обычный 124 4 3 4 2 3 3" xfId="40901"/>
    <cellStyle name="Обычный 124 4 3 4 2 4" xfId="29714"/>
    <cellStyle name="Обычный 124 4 3 4 2 4 2" xfId="44538"/>
    <cellStyle name="Обычный 124 4 3 4 2 5" xfId="37315"/>
    <cellStyle name="Обычный 124 4 3 4 2 6" xfId="22396"/>
    <cellStyle name="Обычный 124 4 3 4 3" xfId="19608"/>
    <cellStyle name="Обычный 124 4 3 4 3 2" xfId="26977"/>
    <cellStyle name="Обычный 124 4 3 4 3 2 2" xfId="34288"/>
    <cellStyle name="Обычный 124 4 3 4 3 2 2 2" xfId="49108"/>
    <cellStyle name="Обычный 124 4 3 4 3 2 3" xfId="41817"/>
    <cellStyle name="Обычный 124 4 3 4 3 3" xfId="30634"/>
    <cellStyle name="Обычный 124 4 3 4 3 3 2" xfId="45457"/>
    <cellStyle name="Обычный 124 4 3 4 3 4" xfId="38131"/>
    <cellStyle name="Обычный 124 4 3 4 3 5" xfId="23319"/>
    <cellStyle name="Обычный 124 4 3 4 4" xfId="25136"/>
    <cellStyle name="Обычный 124 4 3 4 4 2" xfId="32447"/>
    <cellStyle name="Обычный 124 4 3 4 4 2 2" xfId="47270"/>
    <cellStyle name="Обычный 124 4 3 4 4 3" xfId="40030"/>
    <cellStyle name="Обычный 124 4 3 4 5" xfId="28793"/>
    <cellStyle name="Обычный 124 4 3 4 5 2" xfId="43630"/>
    <cellStyle name="Обычный 124 4 3 4 6" xfId="36315"/>
    <cellStyle name="Обычный 124 4 3 4 7" xfId="21475"/>
    <cellStyle name="Обычный 124 4 3 5" xfId="18445"/>
    <cellStyle name="Обычный 124 4 3 5 2" xfId="20327"/>
    <cellStyle name="Обычный 124 4 3 5 2 2" xfId="27653"/>
    <cellStyle name="Обычный 124 4 3 5 2 2 2" xfId="34964"/>
    <cellStyle name="Обычный 124 4 3 5 2 2 2 2" xfId="49784"/>
    <cellStyle name="Обычный 124 4 3 5 2 2 3" xfId="42492"/>
    <cellStyle name="Обычный 124 4 3 5 2 3" xfId="31310"/>
    <cellStyle name="Обычный 124 4 3 5 2 3 2" xfId="46133"/>
    <cellStyle name="Обычный 124 4 3 5 2 4" xfId="38808"/>
    <cellStyle name="Обычный 124 4 3 5 2 5" xfId="23995"/>
    <cellStyle name="Обычный 124 4 3 5 3" xfId="25827"/>
    <cellStyle name="Обычный 124 4 3 5 3 2" xfId="33138"/>
    <cellStyle name="Обычный 124 4 3 5 3 2 2" xfId="47958"/>
    <cellStyle name="Обычный 124 4 3 5 3 3" xfId="40680"/>
    <cellStyle name="Обычный 124 4 3 5 4" xfId="29484"/>
    <cellStyle name="Обычный 124 4 3 5 4 2" xfId="44308"/>
    <cellStyle name="Обычный 124 4 3 5 5" xfId="37085"/>
    <cellStyle name="Обычный 124 4 3 5 6" xfId="22166"/>
    <cellStyle name="Обычный 124 4 3 6" xfId="19161"/>
    <cellStyle name="Обычный 124 4 3 6 2" xfId="26532"/>
    <cellStyle name="Обычный 124 4 3 6 2 2" xfId="33843"/>
    <cellStyle name="Обычный 124 4 3 6 2 2 2" xfId="48663"/>
    <cellStyle name="Обычный 124 4 3 6 2 3" xfId="41372"/>
    <cellStyle name="Обычный 124 4 3 6 3" xfId="30189"/>
    <cellStyle name="Обычный 124 4 3 6 3 2" xfId="45012"/>
    <cellStyle name="Обычный 124 4 3 6 4" xfId="37686"/>
    <cellStyle name="Обычный 124 4 3 6 5" xfId="22874"/>
    <cellStyle name="Обычный 124 4 3 7" xfId="24686"/>
    <cellStyle name="Обычный 124 4 3 7 2" xfId="31997"/>
    <cellStyle name="Обычный 124 4 3 7 2 2" xfId="46820"/>
    <cellStyle name="Обычный 124 4 3 7 3" xfId="39599"/>
    <cellStyle name="Обычный 124 4 3 8" xfId="28343"/>
    <cellStyle name="Обычный 124 4 3 8 2" xfId="43180"/>
    <cellStyle name="Обычный 124 4 3 9" xfId="35866"/>
    <cellStyle name="Обычный 124 4 4" xfId="17394"/>
    <cellStyle name="Обычный 124 4 4 2" xfId="17844"/>
    <cellStyle name="Обычный 124 4 4 2 2" xfId="18958"/>
    <cellStyle name="Обычный 124 4 4 2 2 2" xfId="20837"/>
    <cellStyle name="Обычный 124 4 4 2 2 2 2" xfId="24505"/>
    <cellStyle name="Обычный 124 4 4 2 2 2 2 2" xfId="28163"/>
    <cellStyle name="Обычный 124 4 4 2 2 2 2 2 2" xfId="35474"/>
    <cellStyle name="Обычный 124 4 4 2 2 2 2 2 2 2" xfId="50294"/>
    <cellStyle name="Обычный 124 4 4 2 2 2 2 2 3" xfId="43002"/>
    <cellStyle name="Обычный 124 4 4 2 2 2 2 3" xfId="31820"/>
    <cellStyle name="Обычный 124 4 4 2 2 2 2 3 2" xfId="46643"/>
    <cellStyle name="Обычный 124 4 4 2 2 2 2 4" xfId="39455"/>
    <cellStyle name="Обычный 124 4 4 2 2 2 3" xfId="26337"/>
    <cellStyle name="Обычный 124 4 4 2 2 2 3 2" xfId="33648"/>
    <cellStyle name="Обычный 124 4 4 2 2 2 3 2 2" xfId="48468"/>
    <cellStyle name="Обычный 124 4 4 2 2 2 3 3" xfId="41181"/>
    <cellStyle name="Обычный 124 4 4 2 2 2 4" xfId="29994"/>
    <cellStyle name="Обычный 124 4 4 2 2 2 4 2" xfId="44818"/>
    <cellStyle name="Обычный 124 4 4 2 2 2 5" xfId="39318"/>
    <cellStyle name="Обычный 124 4 4 2 2 2 6" xfId="22676"/>
    <cellStyle name="Обычный 124 4 4 2 2 3" xfId="19888"/>
    <cellStyle name="Обычный 124 4 4 2 2 3 2" xfId="27257"/>
    <cellStyle name="Обычный 124 4 4 2 2 3 2 2" xfId="34568"/>
    <cellStyle name="Обычный 124 4 4 2 2 3 2 2 2" xfId="49388"/>
    <cellStyle name="Обычный 124 4 4 2 2 3 2 3" xfId="42097"/>
    <cellStyle name="Обычный 124 4 4 2 2 3 3" xfId="30914"/>
    <cellStyle name="Обычный 124 4 4 2 2 3 3 2" xfId="45737"/>
    <cellStyle name="Обычный 124 4 4 2 2 3 4" xfId="38411"/>
    <cellStyle name="Обычный 124 4 4 2 2 3 5" xfId="23599"/>
    <cellStyle name="Обычный 124 4 4 2 2 4" xfId="25416"/>
    <cellStyle name="Обычный 124 4 4 2 2 4 2" xfId="32727"/>
    <cellStyle name="Обычный 124 4 4 2 2 4 2 2" xfId="47550"/>
    <cellStyle name="Обычный 124 4 4 2 2 4 3" xfId="40304"/>
    <cellStyle name="Обычный 124 4 4 2 2 5" xfId="29073"/>
    <cellStyle name="Обычный 124 4 4 2 2 5 2" xfId="43910"/>
    <cellStyle name="Обычный 124 4 4 2 2 6" xfId="36320"/>
    <cellStyle name="Обычный 124 4 4 2 2 7" xfId="21755"/>
    <cellStyle name="Обычный 124 4 4 2 3" xfId="18450"/>
    <cellStyle name="Обычный 124 4 4 2 3 2" xfId="20332"/>
    <cellStyle name="Обычный 124 4 4 2 3 2 2" xfId="27658"/>
    <cellStyle name="Обычный 124 4 4 2 3 2 2 2" xfId="34969"/>
    <cellStyle name="Обычный 124 4 4 2 3 2 2 2 2" xfId="49789"/>
    <cellStyle name="Обычный 124 4 4 2 3 2 2 3" xfId="42497"/>
    <cellStyle name="Обычный 124 4 4 2 3 2 3" xfId="31315"/>
    <cellStyle name="Обычный 124 4 4 2 3 2 3 2" xfId="46138"/>
    <cellStyle name="Обычный 124 4 4 2 3 2 4" xfId="38813"/>
    <cellStyle name="Обычный 124 4 4 2 3 2 5" xfId="24000"/>
    <cellStyle name="Обычный 124 4 4 2 3 3" xfId="25832"/>
    <cellStyle name="Обычный 124 4 4 2 3 3 2" xfId="33143"/>
    <cellStyle name="Обычный 124 4 4 2 3 3 2 2" xfId="47963"/>
    <cellStyle name="Обычный 124 4 4 2 3 3 3" xfId="40685"/>
    <cellStyle name="Обычный 124 4 4 2 3 4" xfId="29489"/>
    <cellStyle name="Обычный 124 4 4 2 3 4 2" xfId="44313"/>
    <cellStyle name="Обычный 124 4 4 2 3 5" xfId="37090"/>
    <cellStyle name="Обычный 124 4 4 2 3 6" xfId="22171"/>
    <cellStyle name="Обычный 124 4 4 2 4" xfId="19437"/>
    <cellStyle name="Обычный 124 4 4 2 4 2" xfId="26807"/>
    <cellStyle name="Обычный 124 4 4 2 4 2 2" xfId="34118"/>
    <cellStyle name="Обычный 124 4 4 2 4 2 2 2" xfId="48938"/>
    <cellStyle name="Обычный 124 4 4 2 4 2 3" xfId="41647"/>
    <cellStyle name="Обычный 124 4 4 2 4 3" xfId="30464"/>
    <cellStyle name="Обычный 124 4 4 2 4 3 2" xfId="45287"/>
    <cellStyle name="Обычный 124 4 4 2 4 4" xfId="37961"/>
    <cellStyle name="Обычный 124 4 4 2 4 5" xfId="23149"/>
    <cellStyle name="Обычный 124 4 4 2 5" xfId="24966"/>
    <cellStyle name="Обычный 124 4 4 2 5 2" xfId="32277"/>
    <cellStyle name="Обычный 124 4 4 2 5 2 2" xfId="47100"/>
    <cellStyle name="Обычный 124 4 4 2 5 3" xfId="39861"/>
    <cellStyle name="Обычный 124 4 4 2 6" xfId="28623"/>
    <cellStyle name="Обычный 124 4 4 2 6 2" xfId="43460"/>
    <cellStyle name="Обычный 124 4 4 2 7" xfId="35871"/>
    <cellStyle name="Обычный 124 4 4 2 8" xfId="21305"/>
    <cellStyle name="Обычный 124 4 4 3" xfId="17620"/>
    <cellStyle name="Обычный 124 4 4 3 2" xfId="18734"/>
    <cellStyle name="Обычный 124 4 4 3 2 2" xfId="20613"/>
    <cellStyle name="Обычный 124 4 4 3 2 2 2" xfId="27939"/>
    <cellStyle name="Обычный 124 4 4 3 2 2 2 2" xfId="35250"/>
    <cellStyle name="Обычный 124 4 4 3 2 2 2 2 2" xfId="50070"/>
    <cellStyle name="Обычный 124 4 4 3 2 2 2 3" xfId="42778"/>
    <cellStyle name="Обычный 124 4 4 3 2 2 3" xfId="31596"/>
    <cellStyle name="Обычный 124 4 4 3 2 2 3 2" xfId="46419"/>
    <cellStyle name="Обычный 124 4 4 3 2 2 4" xfId="39094"/>
    <cellStyle name="Обычный 124 4 4 3 2 2 5" xfId="24281"/>
    <cellStyle name="Обычный 124 4 4 3 2 3" xfId="26113"/>
    <cellStyle name="Обычный 124 4 4 3 2 3 2" xfId="33424"/>
    <cellStyle name="Обычный 124 4 4 3 2 3 2 2" xfId="48244"/>
    <cellStyle name="Обычный 124 4 4 3 2 3 3" xfId="40957"/>
    <cellStyle name="Обычный 124 4 4 3 2 4" xfId="29770"/>
    <cellStyle name="Обычный 124 4 4 3 2 4 2" xfId="44594"/>
    <cellStyle name="Обычный 124 4 4 3 2 5" xfId="37371"/>
    <cellStyle name="Обычный 124 4 4 3 2 6" xfId="22452"/>
    <cellStyle name="Обычный 124 4 4 3 3" xfId="19664"/>
    <cellStyle name="Обычный 124 4 4 3 3 2" xfId="27033"/>
    <cellStyle name="Обычный 124 4 4 3 3 2 2" xfId="34344"/>
    <cellStyle name="Обычный 124 4 4 3 3 2 2 2" xfId="49164"/>
    <cellStyle name="Обычный 124 4 4 3 3 2 3" xfId="41873"/>
    <cellStyle name="Обычный 124 4 4 3 3 3" xfId="30690"/>
    <cellStyle name="Обычный 124 4 4 3 3 3 2" xfId="45513"/>
    <cellStyle name="Обычный 124 4 4 3 3 4" xfId="38187"/>
    <cellStyle name="Обычный 124 4 4 3 3 5" xfId="23375"/>
    <cellStyle name="Обычный 124 4 4 3 4" xfId="25192"/>
    <cellStyle name="Обычный 124 4 4 3 4 2" xfId="32503"/>
    <cellStyle name="Обычный 124 4 4 3 4 2 2" xfId="47326"/>
    <cellStyle name="Обычный 124 4 4 3 4 3" xfId="40084"/>
    <cellStyle name="Обычный 124 4 4 3 5" xfId="28849"/>
    <cellStyle name="Обычный 124 4 4 3 5 2" xfId="43686"/>
    <cellStyle name="Обычный 124 4 4 3 6" xfId="36319"/>
    <cellStyle name="Обычный 124 4 4 3 7" xfId="21531"/>
    <cellStyle name="Обычный 124 4 4 4" xfId="18449"/>
    <cellStyle name="Обычный 124 4 4 4 2" xfId="20331"/>
    <cellStyle name="Обычный 124 4 4 4 2 2" xfId="27657"/>
    <cellStyle name="Обычный 124 4 4 4 2 2 2" xfId="34968"/>
    <cellStyle name="Обычный 124 4 4 4 2 2 2 2" xfId="49788"/>
    <cellStyle name="Обычный 124 4 4 4 2 2 3" xfId="42496"/>
    <cellStyle name="Обычный 124 4 4 4 2 3" xfId="31314"/>
    <cellStyle name="Обычный 124 4 4 4 2 3 2" xfId="46137"/>
    <cellStyle name="Обычный 124 4 4 4 2 4" xfId="38812"/>
    <cellStyle name="Обычный 124 4 4 4 2 5" xfId="23999"/>
    <cellStyle name="Обычный 124 4 4 4 3" xfId="25831"/>
    <cellStyle name="Обычный 124 4 4 4 3 2" xfId="33142"/>
    <cellStyle name="Обычный 124 4 4 4 3 2 2" xfId="47962"/>
    <cellStyle name="Обычный 124 4 4 4 3 3" xfId="40684"/>
    <cellStyle name="Обычный 124 4 4 4 4" xfId="29488"/>
    <cellStyle name="Обычный 124 4 4 4 4 2" xfId="44312"/>
    <cellStyle name="Обычный 124 4 4 4 5" xfId="37089"/>
    <cellStyle name="Обычный 124 4 4 4 6" xfId="22170"/>
    <cellStyle name="Обычный 124 4 4 5" xfId="19215"/>
    <cellStyle name="Обычный 124 4 4 5 2" xfId="26585"/>
    <cellStyle name="Обычный 124 4 4 5 2 2" xfId="33896"/>
    <cellStyle name="Обычный 124 4 4 5 2 2 2" xfId="48716"/>
    <cellStyle name="Обычный 124 4 4 5 2 3" xfId="41425"/>
    <cellStyle name="Обычный 124 4 4 5 3" xfId="30242"/>
    <cellStyle name="Обычный 124 4 4 5 3 2" xfId="45065"/>
    <cellStyle name="Обычный 124 4 4 5 4" xfId="37739"/>
    <cellStyle name="Обычный 124 4 4 5 5" xfId="22927"/>
    <cellStyle name="Обычный 124 4 4 6" xfId="24742"/>
    <cellStyle name="Обычный 124 4 4 6 2" xfId="32053"/>
    <cellStyle name="Обычный 124 4 4 6 2 2" xfId="46876"/>
    <cellStyle name="Обычный 124 4 4 6 3" xfId="39645"/>
    <cellStyle name="Обычный 124 4 4 7" xfId="28399"/>
    <cellStyle name="Обычный 124 4 4 7 2" xfId="43236"/>
    <cellStyle name="Обычный 124 4 4 8" xfId="35870"/>
    <cellStyle name="Обычный 124 4 4 9" xfId="21081"/>
    <cellStyle name="Обычный 124 4 5" xfId="17275"/>
    <cellStyle name="Обычный 124 4 5 2" xfId="17732"/>
    <cellStyle name="Обычный 124 4 5 2 2" xfId="18846"/>
    <cellStyle name="Обычный 124 4 5 2 2 2" xfId="20725"/>
    <cellStyle name="Обычный 124 4 5 2 2 2 2" xfId="28051"/>
    <cellStyle name="Обычный 124 4 5 2 2 2 2 2" xfId="35362"/>
    <cellStyle name="Обычный 124 4 5 2 2 2 2 2 2" xfId="50182"/>
    <cellStyle name="Обычный 124 4 5 2 2 2 2 3" xfId="42890"/>
    <cellStyle name="Обычный 124 4 5 2 2 2 3" xfId="31708"/>
    <cellStyle name="Обычный 124 4 5 2 2 2 3 2" xfId="46531"/>
    <cellStyle name="Обычный 124 4 5 2 2 2 4" xfId="39206"/>
    <cellStyle name="Обычный 124 4 5 2 2 2 5" xfId="24393"/>
    <cellStyle name="Обычный 124 4 5 2 2 3" xfId="26225"/>
    <cellStyle name="Обычный 124 4 5 2 2 3 2" xfId="33536"/>
    <cellStyle name="Обычный 124 4 5 2 2 3 2 2" xfId="48356"/>
    <cellStyle name="Обычный 124 4 5 2 2 3 3" xfId="41069"/>
    <cellStyle name="Обычный 124 4 5 2 2 4" xfId="29882"/>
    <cellStyle name="Обычный 124 4 5 2 2 4 2" xfId="44706"/>
    <cellStyle name="Обычный 124 4 5 2 2 5" xfId="37482"/>
    <cellStyle name="Обычный 124 4 5 2 2 6" xfId="22564"/>
    <cellStyle name="Обычный 124 4 5 2 3" xfId="19776"/>
    <cellStyle name="Обычный 124 4 5 2 3 2" xfId="27145"/>
    <cellStyle name="Обычный 124 4 5 2 3 2 2" xfId="34456"/>
    <cellStyle name="Обычный 124 4 5 2 3 2 2 2" xfId="49276"/>
    <cellStyle name="Обычный 124 4 5 2 3 2 3" xfId="41985"/>
    <cellStyle name="Обычный 124 4 5 2 3 3" xfId="30802"/>
    <cellStyle name="Обычный 124 4 5 2 3 3 2" xfId="45625"/>
    <cellStyle name="Обычный 124 4 5 2 3 4" xfId="38299"/>
    <cellStyle name="Обычный 124 4 5 2 3 5" xfId="23487"/>
    <cellStyle name="Обычный 124 4 5 2 4" xfId="25304"/>
    <cellStyle name="Обычный 124 4 5 2 4 2" xfId="32615"/>
    <cellStyle name="Обычный 124 4 5 2 4 2 2" xfId="47438"/>
    <cellStyle name="Обычный 124 4 5 2 4 3" xfId="40194"/>
    <cellStyle name="Обычный 124 4 5 2 5" xfId="28961"/>
    <cellStyle name="Обычный 124 4 5 2 5 2" xfId="43798"/>
    <cellStyle name="Обычный 124 4 5 2 6" xfId="36321"/>
    <cellStyle name="Обычный 124 4 5 2 7" xfId="21643"/>
    <cellStyle name="Обычный 124 4 5 3" xfId="18451"/>
    <cellStyle name="Обычный 124 4 5 3 2" xfId="20333"/>
    <cellStyle name="Обычный 124 4 5 3 2 2" xfId="27659"/>
    <cellStyle name="Обычный 124 4 5 3 2 2 2" xfId="34970"/>
    <cellStyle name="Обычный 124 4 5 3 2 2 2 2" xfId="49790"/>
    <cellStyle name="Обычный 124 4 5 3 2 2 3" xfId="42498"/>
    <cellStyle name="Обычный 124 4 5 3 2 3" xfId="31316"/>
    <cellStyle name="Обычный 124 4 5 3 2 3 2" xfId="46139"/>
    <cellStyle name="Обычный 124 4 5 3 2 4" xfId="38814"/>
    <cellStyle name="Обычный 124 4 5 3 2 5" xfId="24001"/>
    <cellStyle name="Обычный 124 4 5 3 3" xfId="25833"/>
    <cellStyle name="Обычный 124 4 5 3 3 2" xfId="33144"/>
    <cellStyle name="Обычный 124 4 5 3 3 2 2" xfId="47964"/>
    <cellStyle name="Обычный 124 4 5 3 3 3" xfId="40686"/>
    <cellStyle name="Обычный 124 4 5 3 4" xfId="29490"/>
    <cellStyle name="Обычный 124 4 5 3 4 2" xfId="44314"/>
    <cellStyle name="Обычный 124 4 5 3 5" xfId="37091"/>
    <cellStyle name="Обычный 124 4 5 3 6" xfId="22172"/>
    <cellStyle name="Обычный 124 4 5 4" xfId="19325"/>
    <cellStyle name="Обычный 124 4 5 4 2" xfId="26695"/>
    <cellStyle name="Обычный 124 4 5 4 2 2" xfId="34006"/>
    <cellStyle name="Обычный 124 4 5 4 2 2 2" xfId="48826"/>
    <cellStyle name="Обычный 124 4 5 4 2 3" xfId="41535"/>
    <cellStyle name="Обычный 124 4 5 4 3" xfId="30352"/>
    <cellStyle name="Обычный 124 4 5 4 3 2" xfId="45175"/>
    <cellStyle name="Обычный 124 4 5 4 4" xfId="37849"/>
    <cellStyle name="Обычный 124 4 5 4 5" xfId="23037"/>
    <cellStyle name="Обычный 124 4 5 5" xfId="24854"/>
    <cellStyle name="Обычный 124 4 5 5 2" xfId="32165"/>
    <cellStyle name="Обычный 124 4 5 5 2 2" xfId="46988"/>
    <cellStyle name="Обычный 124 4 5 5 3" xfId="39751"/>
    <cellStyle name="Обычный 124 4 5 6" xfId="28511"/>
    <cellStyle name="Обычный 124 4 5 6 2" xfId="43348"/>
    <cellStyle name="Обычный 124 4 5 7" xfId="35872"/>
    <cellStyle name="Обычный 124 4 5 8" xfId="21193"/>
    <cellStyle name="Обычный 124 4 6" xfId="17508"/>
    <cellStyle name="Обычный 124 4 6 2" xfId="18622"/>
    <cellStyle name="Обычный 124 4 6 2 2" xfId="20501"/>
    <cellStyle name="Обычный 124 4 6 2 2 2" xfId="27827"/>
    <cellStyle name="Обычный 124 4 6 2 2 2 2" xfId="35138"/>
    <cellStyle name="Обычный 124 4 6 2 2 2 2 2" xfId="49958"/>
    <cellStyle name="Обычный 124 4 6 2 2 2 3" xfId="42666"/>
    <cellStyle name="Обычный 124 4 6 2 2 3" xfId="31484"/>
    <cellStyle name="Обычный 124 4 6 2 2 3 2" xfId="46307"/>
    <cellStyle name="Обычный 124 4 6 2 2 4" xfId="38982"/>
    <cellStyle name="Обычный 124 4 6 2 2 5" xfId="24169"/>
    <cellStyle name="Обычный 124 4 6 2 3" xfId="26001"/>
    <cellStyle name="Обычный 124 4 6 2 3 2" xfId="33312"/>
    <cellStyle name="Обычный 124 4 6 2 3 2 2" xfId="48132"/>
    <cellStyle name="Обычный 124 4 6 2 3 3" xfId="40845"/>
    <cellStyle name="Обычный 124 4 6 2 4" xfId="29658"/>
    <cellStyle name="Обычный 124 4 6 2 4 2" xfId="44482"/>
    <cellStyle name="Обычный 124 4 6 2 5" xfId="37259"/>
    <cellStyle name="Обычный 124 4 6 2 6" xfId="22340"/>
    <cellStyle name="Обычный 124 4 6 3" xfId="19552"/>
    <cellStyle name="Обычный 124 4 6 3 2" xfId="26921"/>
    <cellStyle name="Обычный 124 4 6 3 2 2" xfId="34232"/>
    <cellStyle name="Обычный 124 4 6 3 2 2 2" xfId="49052"/>
    <cellStyle name="Обычный 124 4 6 3 2 3" xfId="41761"/>
    <cellStyle name="Обычный 124 4 6 3 3" xfId="30578"/>
    <cellStyle name="Обычный 124 4 6 3 3 2" xfId="45401"/>
    <cellStyle name="Обычный 124 4 6 3 4" xfId="38075"/>
    <cellStyle name="Обычный 124 4 6 3 5" xfId="23263"/>
    <cellStyle name="Обычный 124 4 6 4" xfId="25080"/>
    <cellStyle name="Обычный 124 4 6 4 2" xfId="32391"/>
    <cellStyle name="Обычный 124 4 6 4 2 2" xfId="47214"/>
    <cellStyle name="Обычный 124 4 6 4 3" xfId="39975"/>
    <cellStyle name="Обычный 124 4 6 5" xfId="28737"/>
    <cellStyle name="Обычный 124 4 6 5 2" xfId="43574"/>
    <cellStyle name="Обычный 124 4 6 6" xfId="36306"/>
    <cellStyle name="Обычный 124 4 6 7" xfId="21419"/>
    <cellStyle name="Обычный 124 4 7" xfId="18157"/>
    <cellStyle name="Обычный 124 4 7 2" xfId="20048"/>
    <cellStyle name="Обычный 124 4 7 2 2" xfId="27374"/>
    <cellStyle name="Обычный 124 4 7 2 2 2" xfId="34685"/>
    <cellStyle name="Обычный 124 4 7 2 2 2 2" xfId="49505"/>
    <cellStyle name="Обычный 124 4 7 2 2 3" xfId="42214"/>
    <cellStyle name="Обычный 124 4 7 2 3" xfId="31031"/>
    <cellStyle name="Обычный 124 4 7 2 3 2" xfId="45854"/>
    <cellStyle name="Обычный 124 4 7 2 4" xfId="38529"/>
    <cellStyle name="Обычный 124 4 7 2 5" xfId="23716"/>
    <cellStyle name="Обычный 124 4 7 3" xfId="25543"/>
    <cellStyle name="Обычный 124 4 7 3 2" xfId="32854"/>
    <cellStyle name="Обычный 124 4 7 3 2 2" xfId="47674"/>
    <cellStyle name="Обычный 124 4 7 3 3" xfId="40421"/>
    <cellStyle name="Обычный 124 4 7 4" xfId="29200"/>
    <cellStyle name="Обычный 124 4 7 4 2" xfId="44029"/>
    <cellStyle name="Обычный 124 4 7 5" xfId="36801"/>
    <cellStyle name="Обычный 124 4 7 6" xfId="21882"/>
    <cellStyle name="Обычный 124 4 8" xfId="19084"/>
    <cellStyle name="Обычный 124 4 8 2" xfId="26463"/>
    <cellStyle name="Обычный 124 4 8 2 2" xfId="33774"/>
    <cellStyle name="Обычный 124 4 8 2 2 2" xfId="48594"/>
    <cellStyle name="Обычный 124 4 8 2 3" xfId="41304"/>
    <cellStyle name="Обычный 124 4 8 3" xfId="30120"/>
    <cellStyle name="Обычный 124 4 8 3 2" xfId="44944"/>
    <cellStyle name="Обычный 124 4 8 4" xfId="37617"/>
    <cellStyle name="Обычный 124 4 8 5" xfId="22805"/>
    <cellStyle name="Обычный 124 4 9" xfId="24630"/>
    <cellStyle name="Обычный 124 4 9 2" xfId="31941"/>
    <cellStyle name="Обычный 124 4 9 2 2" xfId="46764"/>
    <cellStyle name="Обычный 124 4 9 3" xfId="39552"/>
    <cellStyle name="Обычный 124 5" xfId="17190"/>
    <cellStyle name="Обычный 124 5 10" xfId="35873"/>
    <cellStyle name="Обычный 124 5 11" xfId="20983"/>
    <cellStyle name="Обычный 124 5 2" xfId="17349"/>
    <cellStyle name="Обычный 124 5 2 10" xfId="21039"/>
    <cellStyle name="Обычный 124 5 2 2" xfId="17464"/>
    <cellStyle name="Обычный 124 5 2 2 2" xfId="17914"/>
    <cellStyle name="Обычный 124 5 2 2 2 2" xfId="19028"/>
    <cellStyle name="Обычный 124 5 2 2 2 2 2" xfId="20907"/>
    <cellStyle name="Обычный 124 5 2 2 2 2 2 2" xfId="24575"/>
    <cellStyle name="Обычный 124 5 2 2 2 2 2 2 2" xfId="28233"/>
    <cellStyle name="Обычный 124 5 2 2 2 2 2 2 2 2" xfId="35544"/>
    <cellStyle name="Обычный 124 5 2 2 2 2 2 2 2 2 2" xfId="50364"/>
    <cellStyle name="Обычный 124 5 2 2 2 2 2 2 2 3" xfId="43072"/>
    <cellStyle name="Обычный 124 5 2 2 2 2 2 2 3" xfId="31890"/>
    <cellStyle name="Обычный 124 5 2 2 2 2 2 2 3 2" xfId="46713"/>
    <cellStyle name="Обычный 124 5 2 2 2 2 2 2 4" xfId="39508"/>
    <cellStyle name="Обычный 124 5 2 2 2 2 2 3" xfId="26407"/>
    <cellStyle name="Обычный 124 5 2 2 2 2 2 3 2" xfId="33718"/>
    <cellStyle name="Обычный 124 5 2 2 2 2 2 3 2 2" xfId="48538"/>
    <cellStyle name="Обычный 124 5 2 2 2 2 2 3 3" xfId="41251"/>
    <cellStyle name="Обычный 124 5 2 2 2 2 2 4" xfId="30064"/>
    <cellStyle name="Обычный 124 5 2 2 2 2 2 4 2" xfId="44888"/>
    <cellStyle name="Обычный 124 5 2 2 2 2 2 5" xfId="39388"/>
    <cellStyle name="Обычный 124 5 2 2 2 2 2 6" xfId="22746"/>
    <cellStyle name="Обычный 124 5 2 2 2 2 3" xfId="19958"/>
    <cellStyle name="Обычный 124 5 2 2 2 2 3 2" xfId="27327"/>
    <cellStyle name="Обычный 124 5 2 2 2 2 3 2 2" xfId="34638"/>
    <cellStyle name="Обычный 124 5 2 2 2 2 3 2 2 2" xfId="49458"/>
    <cellStyle name="Обычный 124 5 2 2 2 2 3 2 3" xfId="42167"/>
    <cellStyle name="Обычный 124 5 2 2 2 2 3 3" xfId="30984"/>
    <cellStyle name="Обычный 124 5 2 2 2 2 3 3 2" xfId="45807"/>
    <cellStyle name="Обычный 124 5 2 2 2 2 3 4" xfId="38481"/>
    <cellStyle name="Обычный 124 5 2 2 2 2 3 5" xfId="23669"/>
    <cellStyle name="Обычный 124 5 2 2 2 2 4" xfId="25486"/>
    <cellStyle name="Обычный 124 5 2 2 2 2 4 2" xfId="32797"/>
    <cellStyle name="Обычный 124 5 2 2 2 2 4 2 2" xfId="47620"/>
    <cellStyle name="Обычный 124 5 2 2 2 2 4 3" xfId="40374"/>
    <cellStyle name="Обычный 124 5 2 2 2 2 5" xfId="29143"/>
    <cellStyle name="Обычный 124 5 2 2 2 2 5 2" xfId="43980"/>
    <cellStyle name="Обычный 124 5 2 2 2 2 6" xfId="36325"/>
    <cellStyle name="Обычный 124 5 2 2 2 2 7" xfId="21825"/>
    <cellStyle name="Обычный 124 5 2 2 2 3" xfId="18455"/>
    <cellStyle name="Обычный 124 5 2 2 2 3 2" xfId="20337"/>
    <cellStyle name="Обычный 124 5 2 2 2 3 2 2" xfId="27663"/>
    <cellStyle name="Обычный 124 5 2 2 2 3 2 2 2" xfId="34974"/>
    <cellStyle name="Обычный 124 5 2 2 2 3 2 2 2 2" xfId="49794"/>
    <cellStyle name="Обычный 124 5 2 2 2 3 2 2 3" xfId="42502"/>
    <cellStyle name="Обычный 124 5 2 2 2 3 2 3" xfId="31320"/>
    <cellStyle name="Обычный 124 5 2 2 2 3 2 3 2" xfId="46143"/>
    <cellStyle name="Обычный 124 5 2 2 2 3 2 4" xfId="38818"/>
    <cellStyle name="Обычный 124 5 2 2 2 3 2 5" xfId="24005"/>
    <cellStyle name="Обычный 124 5 2 2 2 3 3" xfId="25837"/>
    <cellStyle name="Обычный 124 5 2 2 2 3 3 2" xfId="33148"/>
    <cellStyle name="Обычный 124 5 2 2 2 3 3 2 2" xfId="47968"/>
    <cellStyle name="Обычный 124 5 2 2 2 3 3 3" xfId="40690"/>
    <cellStyle name="Обычный 124 5 2 2 2 3 4" xfId="29494"/>
    <cellStyle name="Обычный 124 5 2 2 2 3 4 2" xfId="44318"/>
    <cellStyle name="Обычный 124 5 2 2 2 3 5" xfId="37095"/>
    <cellStyle name="Обычный 124 5 2 2 2 3 6" xfId="22176"/>
    <cellStyle name="Обычный 124 5 2 2 2 4" xfId="19507"/>
    <cellStyle name="Обычный 124 5 2 2 2 4 2" xfId="26877"/>
    <cellStyle name="Обычный 124 5 2 2 2 4 2 2" xfId="34188"/>
    <cellStyle name="Обычный 124 5 2 2 2 4 2 2 2" xfId="49008"/>
    <cellStyle name="Обычный 124 5 2 2 2 4 2 3" xfId="41717"/>
    <cellStyle name="Обычный 124 5 2 2 2 4 3" xfId="30534"/>
    <cellStyle name="Обычный 124 5 2 2 2 4 3 2" xfId="45357"/>
    <cellStyle name="Обычный 124 5 2 2 2 4 4" xfId="38031"/>
    <cellStyle name="Обычный 124 5 2 2 2 4 5" xfId="23219"/>
    <cellStyle name="Обычный 124 5 2 2 2 5" xfId="25036"/>
    <cellStyle name="Обычный 124 5 2 2 2 5 2" xfId="32347"/>
    <cellStyle name="Обычный 124 5 2 2 2 5 2 2" xfId="47170"/>
    <cellStyle name="Обычный 124 5 2 2 2 5 3" xfId="39931"/>
    <cellStyle name="Обычный 124 5 2 2 2 6" xfId="28693"/>
    <cellStyle name="Обычный 124 5 2 2 2 6 2" xfId="43530"/>
    <cellStyle name="Обычный 124 5 2 2 2 7" xfId="35876"/>
    <cellStyle name="Обычный 124 5 2 2 2 8" xfId="21375"/>
    <cellStyle name="Обычный 124 5 2 2 3" xfId="17690"/>
    <cellStyle name="Обычный 124 5 2 2 3 2" xfId="18804"/>
    <cellStyle name="Обычный 124 5 2 2 3 2 2" xfId="20683"/>
    <cellStyle name="Обычный 124 5 2 2 3 2 2 2" xfId="28009"/>
    <cellStyle name="Обычный 124 5 2 2 3 2 2 2 2" xfId="35320"/>
    <cellStyle name="Обычный 124 5 2 2 3 2 2 2 2 2" xfId="50140"/>
    <cellStyle name="Обычный 124 5 2 2 3 2 2 2 3" xfId="42848"/>
    <cellStyle name="Обычный 124 5 2 2 3 2 2 3" xfId="31666"/>
    <cellStyle name="Обычный 124 5 2 2 3 2 2 3 2" xfId="46489"/>
    <cellStyle name="Обычный 124 5 2 2 3 2 2 4" xfId="39164"/>
    <cellStyle name="Обычный 124 5 2 2 3 2 2 5" xfId="24351"/>
    <cellStyle name="Обычный 124 5 2 2 3 2 3" xfId="26183"/>
    <cellStyle name="Обычный 124 5 2 2 3 2 3 2" xfId="33494"/>
    <cellStyle name="Обычный 124 5 2 2 3 2 3 2 2" xfId="48314"/>
    <cellStyle name="Обычный 124 5 2 2 3 2 3 3" xfId="41027"/>
    <cellStyle name="Обычный 124 5 2 2 3 2 4" xfId="29840"/>
    <cellStyle name="Обычный 124 5 2 2 3 2 4 2" xfId="44664"/>
    <cellStyle name="Обычный 124 5 2 2 3 2 5" xfId="37441"/>
    <cellStyle name="Обычный 124 5 2 2 3 2 6" xfId="22522"/>
    <cellStyle name="Обычный 124 5 2 2 3 3" xfId="19734"/>
    <cellStyle name="Обычный 124 5 2 2 3 3 2" xfId="27103"/>
    <cellStyle name="Обычный 124 5 2 2 3 3 2 2" xfId="34414"/>
    <cellStyle name="Обычный 124 5 2 2 3 3 2 2 2" xfId="49234"/>
    <cellStyle name="Обычный 124 5 2 2 3 3 2 3" xfId="41943"/>
    <cellStyle name="Обычный 124 5 2 2 3 3 3" xfId="30760"/>
    <cellStyle name="Обычный 124 5 2 2 3 3 3 2" xfId="45583"/>
    <cellStyle name="Обычный 124 5 2 2 3 3 4" xfId="38257"/>
    <cellStyle name="Обычный 124 5 2 2 3 3 5" xfId="23445"/>
    <cellStyle name="Обычный 124 5 2 2 3 4" xfId="25262"/>
    <cellStyle name="Обычный 124 5 2 2 3 4 2" xfId="32573"/>
    <cellStyle name="Обычный 124 5 2 2 3 4 2 2" xfId="47396"/>
    <cellStyle name="Обычный 124 5 2 2 3 4 3" xfId="40154"/>
    <cellStyle name="Обычный 124 5 2 2 3 5" xfId="28919"/>
    <cellStyle name="Обычный 124 5 2 2 3 5 2" xfId="43756"/>
    <cellStyle name="Обычный 124 5 2 2 3 6" xfId="36324"/>
    <cellStyle name="Обычный 124 5 2 2 3 7" xfId="21601"/>
    <cellStyle name="Обычный 124 5 2 2 4" xfId="18454"/>
    <cellStyle name="Обычный 124 5 2 2 4 2" xfId="20336"/>
    <cellStyle name="Обычный 124 5 2 2 4 2 2" xfId="27662"/>
    <cellStyle name="Обычный 124 5 2 2 4 2 2 2" xfId="34973"/>
    <cellStyle name="Обычный 124 5 2 2 4 2 2 2 2" xfId="49793"/>
    <cellStyle name="Обычный 124 5 2 2 4 2 2 3" xfId="42501"/>
    <cellStyle name="Обычный 124 5 2 2 4 2 3" xfId="31319"/>
    <cellStyle name="Обычный 124 5 2 2 4 2 3 2" xfId="46142"/>
    <cellStyle name="Обычный 124 5 2 2 4 2 4" xfId="38817"/>
    <cellStyle name="Обычный 124 5 2 2 4 2 5" xfId="24004"/>
    <cellStyle name="Обычный 124 5 2 2 4 3" xfId="25836"/>
    <cellStyle name="Обычный 124 5 2 2 4 3 2" xfId="33147"/>
    <cellStyle name="Обычный 124 5 2 2 4 3 2 2" xfId="47967"/>
    <cellStyle name="Обычный 124 5 2 2 4 3 3" xfId="40689"/>
    <cellStyle name="Обычный 124 5 2 2 4 4" xfId="29493"/>
    <cellStyle name="Обычный 124 5 2 2 4 4 2" xfId="44317"/>
    <cellStyle name="Обычный 124 5 2 2 4 5" xfId="37094"/>
    <cellStyle name="Обычный 124 5 2 2 4 6" xfId="22175"/>
    <cellStyle name="Обычный 124 5 2 2 5" xfId="19284"/>
    <cellStyle name="Обычный 124 5 2 2 5 2" xfId="26654"/>
    <cellStyle name="Обычный 124 5 2 2 5 2 2" xfId="33965"/>
    <cellStyle name="Обычный 124 5 2 2 5 2 2 2" xfId="48785"/>
    <cellStyle name="Обычный 124 5 2 2 5 2 3" xfId="41494"/>
    <cellStyle name="Обычный 124 5 2 2 5 3" xfId="30311"/>
    <cellStyle name="Обычный 124 5 2 2 5 3 2" xfId="45134"/>
    <cellStyle name="Обычный 124 5 2 2 5 4" xfId="37808"/>
    <cellStyle name="Обычный 124 5 2 2 5 5" xfId="22996"/>
    <cellStyle name="Обычный 124 5 2 2 6" xfId="24812"/>
    <cellStyle name="Обычный 124 5 2 2 6 2" xfId="32123"/>
    <cellStyle name="Обычный 124 5 2 2 6 2 2" xfId="46946"/>
    <cellStyle name="Обычный 124 5 2 2 6 3" xfId="39711"/>
    <cellStyle name="Обычный 124 5 2 2 7" xfId="28469"/>
    <cellStyle name="Обычный 124 5 2 2 7 2" xfId="43306"/>
    <cellStyle name="Обычный 124 5 2 2 8" xfId="35875"/>
    <cellStyle name="Обычный 124 5 2 2 9" xfId="21151"/>
    <cellStyle name="Обычный 124 5 2 3" xfId="17802"/>
    <cellStyle name="Обычный 124 5 2 3 2" xfId="18916"/>
    <cellStyle name="Обычный 124 5 2 3 2 2" xfId="20795"/>
    <cellStyle name="Обычный 124 5 2 3 2 2 2" xfId="24463"/>
    <cellStyle name="Обычный 124 5 2 3 2 2 2 2" xfId="28121"/>
    <cellStyle name="Обычный 124 5 2 3 2 2 2 2 2" xfId="35432"/>
    <cellStyle name="Обычный 124 5 2 3 2 2 2 2 2 2" xfId="50252"/>
    <cellStyle name="Обычный 124 5 2 3 2 2 2 2 3" xfId="42960"/>
    <cellStyle name="Обычный 124 5 2 3 2 2 2 3" xfId="31778"/>
    <cellStyle name="Обычный 124 5 2 3 2 2 2 3 2" xfId="46601"/>
    <cellStyle name="Обычный 124 5 2 3 2 2 2 4" xfId="39430"/>
    <cellStyle name="Обычный 124 5 2 3 2 2 3" xfId="26295"/>
    <cellStyle name="Обычный 124 5 2 3 2 2 3 2" xfId="33606"/>
    <cellStyle name="Обычный 124 5 2 3 2 2 3 2 2" xfId="48426"/>
    <cellStyle name="Обычный 124 5 2 3 2 2 3 3" xfId="41139"/>
    <cellStyle name="Обычный 124 5 2 3 2 2 4" xfId="29952"/>
    <cellStyle name="Обычный 124 5 2 3 2 2 4 2" xfId="44776"/>
    <cellStyle name="Обычный 124 5 2 3 2 2 5" xfId="39276"/>
    <cellStyle name="Обычный 124 5 2 3 2 2 6" xfId="22634"/>
    <cellStyle name="Обычный 124 5 2 3 2 3" xfId="19846"/>
    <cellStyle name="Обычный 124 5 2 3 2 3 2" xfId="27215"/>
    <cellStyle name="Обычный 124 5 2 3 2 3 2 2" xfId="34526"/>
    <cellStyle name="Обычный 124 5 2 3 2 3 2 2 2" xfId="49346"/>
    <cellStyle name="Обычный 124 5 2 3 2 3 2 3" xfId="42055"/>
    <cellStyle name="Обычный 124 5 2 3 2 3 3" xfId="30872"/>
    <cellStyle name="Обычный 124 5 2 3 2 3 3 2" xfId="45695"/>
    <cellStyle name="Обычный 124 5 2 3 2 3 4" xfId="38369"/>
    <cellStyle name="Обычный 124 5 2 3 2 3 5" xfId="23557"/>
    <cellStyle name="Обычный 124 5 2 3 2 4" xfId="25374"/>
    <cellStyle name="Обычный 124 5 2 3 2 4 2" xfId="32685"/>
    <cellStyle name="Обычный 124 5 2 3 2 4 2 2" xfId="47508"/>
    <cellStyle name="Обычный 124 5 2 3 2 4 3" xfId="40262"/>
    <cellStyle name="Обычный 124 5 2 3 2 5" xfId="29031"/>
    <cellStyle name="Обычный 124 5 2 3 2 5 2" xfId="43868"/>
    <cellStyle name="Обычный 124 5 2 3 2 6" xfId="36326"/>
    <cellStyle name="Обычный 124 5 2 3 2 7" xfId="21713"/>
    <cellStyle name="Обычный 124 5 2 3 3" xfId="18456"/>
    <cellStyle name="Обычный 124 5 2 3 3 2" xfId="20338"/>
    <cellStyle name="Обычный 124 5 2 3 3 2 2" xfId="27664"/>
    <cellStyle name="Обычный 124 5 2 3 3 2 2 2" xfId="34975"/>
    <cellStyle name="Обычный 124 5 2 3 3 2 2 2 2" xfId="49795"/>
    <cellStyle name="Обычный 124 5 2 3 3 2 2 3" xfId="42503"/>
    <cellStyle name="Обычный 124 5 2 3 3 2 3" xfId="31321"/>
    <cellStyle name="Обычный 124 5 2 3 3 2 3 2" xfId="46144"/>
    <cellStyle name="Обычный 124 5 2 3 3 2 4" xfId="38819"/>
    <cellStyle name="Обычный 124 5 2 3 3 2 5" xfId="24006"/>
    <cellStyle name="Обычный 124 5 2 3 3 3" xfId="25838"/>
    <cellStyle name="Обычный 124 5 2 3 3 3 2" xfId="33149"/>
    <cellStyle name="Обычный 124 5 2 3 3 3 2 2" xfId="47969"/>
    <cellStyle name="Обычный 124 5 2 3 3 3 3" xfId="40691"/>
    <cellStyle name="Обычный 124 5 2 3 3 4" xfId="29495"/>
    <cellStyle name="Обычный 124 5 2 3 3 4 2" xfId="44319"/>
    <cellStyle name="Обычный 124 5 2 3 3 5" xfId="37096"/>
    <cellStyle name="Обычный 124 5 2 3 3 6" xfId="22177"/>
    <cellStyle name="Обычный 124 5 2 3 4" xfId="19395"/>
    <cellStyle name="Обычный 124 5 2 3 4 2" xfId="26765"/>
    <cellStyle name="Обычный 124 5 2 3 4 2 2" xfId="34076"/>
    <cellStyle name="Обычный 124 5 2 3 4 2 2 2" xfId="48896"/>
    <cellStyle name="Обычный 124 5 2 3 4 2 3" xfId="41605"/>
    <cellStyle name="Обычный 124 5 2 3 4 3" xfId="30422"/>
    <cellStyle name="Обычный 124 5 2 3 4 3 2" xfId="45245"/>
    <cellStyle name="Обычный 124 5 2 3 4 4" xfId="37919"/>
    <cellStyle name="Обычный 124 5 2 3 4 5" xfId="23107"/>
    <cellStyle name="Обычный 124 5 2 3 5" xfId="24924"/>
    <cellStyle name="Обычный 124 5 2 3 5 2" xfId="32235"/>
    <cellStyle name="Обычный 124 5 2 3 5 2 2" xfId="47058"/>
    <cellStyle name="Обычный 124 5 2 3 5 3" xfId="39819"/>
    <cellStyle name="Обычный 124 5 2 3 6" xfId="28581"/>
    <cellStyle name="Обычный 124 5 2 3 6 2" xfId="43418"/>
    <cellStyle name="Обычный 124 5 2 3 7" xfId="35877"/>
    <cellStyle name="Обычный 124 5 2 3 8" xfId="21263"/>
    <cellStyle name="Обычный 124 5 2 4" xfId="17578"/>
    <cellStyle name="Обычный 124 5 2 4 2" xfId="18692"/>
    <cellStyle name="Обычный 124 5 2 4 2 2" xfId="20571"/>
    <cellStyle name="Обычный 124 5 2 4 2 2 2" xfId="27897"/>
    <cellStyle name="Обычный 124 5 2 4 2 2 2 2" xfId="35208"/>
    <cellStyle name="Обычный 124 5 2 4 2 2 2 2 2" xfId="50028"/>
    <cellStyle name="Обычный 124 5 2 4 2 2 2 3" xfId="42736"/>
    <cellStyle name="Обычный 124 5 2 4 2 2 3" xfId="31554"/>
    <cellStyle name="Обычный 124 5 2 4 2 2 3 2" xfId="46377"/>
    <cellStyle name="Обычный 124 5 2 4 2 2 4" xfId="39052"/>
    <cellStyle name="Обычный 124 5 2 4 2 2 5" xfId="24239"/>
    <cellStyle name="Обычный 124 5 2 4 2 3" xfId="26071"/>
    <cellStyle name="Обычный 124 5 2 4 2 3 2" xfId="33382"/>
    <cellStyle name="Обычный 124 5 2 4 2 3 2 2" xfId="48202"/>
    <cellStyle name="Обычный 124 5 2 4 2 3 3" xfId="40915"/>
    <cellStyle name="Обычный 124 5 2 4 2 4" xfId="29728"/>
    <cellStyle name="Обычный 124 5 2 4 2 4 2" xfId="44552"/>
    <cellStyle name="Обычный 124 5 2 4 2 5" xfId="37329"/>
    <cellStyle name="Обычный 124 5 2 4 2 6" xfId="22410"/>
    <cellStyle name="Обычный 124 5 2 4 3" xfId="19622"/>
    <cellStyle name="Обычный 124 5 2 4 3 2" xfId="26991"/>
    <cellStyle name="Обычный 124 5 2 4 3 2 2" xfId="34302"/>
    <cellStyle name="Обычный 124 5 2 4 3 2 2 2" xfId="49122"/>
    <cellStyle name="Обычный 124 5 2 4 3 2 3" xfId="41831"/>
    <cellStyle name="Обычный 124 5 2 4 3 3" xfId="30648"/>
    <cellStyle name="Обычный 124 5 2 4 3 3 2" xfId="45471"/>
    <cellStyle name="Обычный 124 5 2 4 3 4" xfId="38145"/>
    <cellStyle name="Обычный 124 5 2 4 3 5" xfId="23333"/>
    <cellStyle name="Обычный 124 5 2 4 4" xfId="25150"/>
    <cellStyle name="Обычный 124 5 2 4 4 2" xfId="32461"/>
    <cellStyle name="Обычный 124 5 2 4 4 2 2" xfId="47284"/>
    <cellStyle name="Обычный 124 5 2 4 4 3" xfId="40044"/>
    <cellStyle name="Обычный 124 5 2 4 5" xfId="28807"/>
    <cellStyle name="Обычный 124 5 2 4 5 2" xfId="43644"/>
    <cellStyle name="Обычный 124 5 2 4 6" xfId="36323"/>
    <cellStyle name="Обычный 124 5 2 4 7" xfId="21489"/>
    <cellStyle name="Обычный 124 5 2 5" xfId="18453"/>
    <cellStyle name="Обычный 124 5 2 5 2" xfId="20335"/>
    <cellStyle name="Обычный 124 5 2 5 2 2" xfId="27661"/>
    <cellStyle name="Обычный 124 5 2 5 2 2 2" xfId="34972"/>
    <cellStyle name="Обычный 124 5 2 5 2 2 2 2" xfId="49792"/>
    <cellStyle name="Обычный 124 5 2 5 2 2 3" xfId="42500"/>
    <cellStyle name="Обычный 124 5 2 5 2 3" xfId="31318"/>
    <cellStyle name="Обычный 124 5 2 5 2 3 2" xfId="46141"/>
    <cellStyle name="Обычный 124 5 2 5 2 4" xfId="38816"/>
    <cellStyle name="Обычный 124 5 2 5 2 5" xfId="24003"/>
    <cellStyle name="Обычный 124 5 2 5 3" xfId="25835"/>
    <cellStyle name="Обычный 124 5 2 5 3 2" xfId="33146"/>
    <cellStyle name="Обычный 124 5 2 5 3 2 2" xfId="47966"/>
    <cellStyle name="Обычный 124 5 2 5 3 3" xfId="40688"/>
    <cellStyle name="Обычный 124 5 2 5 4" xfId="29492"/>
    <cellStyle name="Обычный 124 5 2 5 4 2" xfId="44316"/>
    <cellStyle name="Обычный 124 5 2 5 5" xfId="37093"/>
    <cellStyle name="Обычный 124 5 2 5 6" xfId="22174"/>
    <cellStyle name="Обычный 124 5 2 6" xfId="19174"/>
    <cellStyle name="Обычный 124 5 2 6 2" xfId="26545"/>
    <cellStyle name="Обычный 124 5 2 6 2 2" xfId="33856"/>
    <cellStyle name="Обычный 124 5 2 6 2 2 2" xfId="48676"/>
    <cellStyle name="Обычный 124 5 2 6 2 3" xfId="41385"/>
    <cellStyle name="Обычный 124 5 2 6 3" xfId="30202"/>
    <cellStyle name="Обычный 124 5 2 6 3 2" xfId="45025"/>
    <cellStyle name="Обычный 124 5 2 6 4" xfId="37699"/>
    <cellStyle name="Обычный 124 5 2 6 5" xfId="22887"/>
    <cellStyle name="Обычный 124 5 2 7" xfId="24700"/>
    <cellStyle name="Обычный 124 5 2 7 2" xfId="32011"/>
    <cellStyle name="Обычный 124 5 2 7 2 2" xfId="46834"/>
    <cellStyle name="Обычный 124 5 2 7 3" xfId="39607"/>
    <cellStyle name="Обычный 124 5 2 8" xfId="28357"/>
    <cellStyle name="Обычный 124 5 2 8 2" xfId="43194"/>
    <cellStyle name="Обычный 124 5 2 9" xfId="35874"/>
    <cellStyle name="Обычный 124 5 3" xfId="17408"/>
    <cellStyle name="Обычный 124 5 3 2" xfId="17858"/>
    <cellStyle name="Обычный 124 5 3 2 2" xfId="18972"/>
    <cellStyle name="Обычный 124 5 3 2 2 2" xfId="20851"/>
    <cellStyle name="Обычный 124 5 3 2 2 2 2" xfId="24519"/>
    <cellStyle name="Обычный 124 5 3 2 2 2 2 2" xfId="28177"/>
    <cellStyle name="Обычный 124 5 3 2 2 2 2 2 2" xfId="35488"/>
    <cellStyle name="Обычный 124 5 3 2 2 2 2 2 2 2" xfId="50308"/>
    <cellStyle name="Обычный 124 5 3 2 2 2 2 2 3" xfId="43016"/>
    <cellStyle name="Обычный 124 5 3 2 2 2 2 3" xfId="31834"/>
    <cellStyle name="Обычный 124 5 3 2 2 2 2 3 2" xfId="46657"/>
    <cellStyle name="Обычный 124 5 3 2 2 2 2 4" xfId="39461"/>
    <cellStyle name="Обычный 124 5 3 2 2 2 3" xfId="26351"/>
    <cellStyle name="Обычный 124 5 3 2 2 2 3 2" xfId="33662"/>
    <cellStyle name="Обычный 124 5 3 2 2 2 3 2 2" xfId="48482"/>
    <cellStyle name="Обычный 124 5 3 2 2 2 3 3" xfId="41195"/>
    <cellStyle name="Обычный 124 5 3 2 2 2 4" xfId="30008"/>
    <cellStyle name="Обычный 124 5 3 2 2 2 4 2" xfId="44832"/>
    <cellStyle name="Обычный 124 5 3 2 2 2 5" xfId="39332"/>
    <cellStyle name="Обычный 124 5 3 2 2 2 6" xfId="22690"/>
    <cellStyle name="Обычный 124 5 3 2 2 3" xfId="19902"/>
    <cellStyle name="Обычный 124 5 3 2 2 3 2" xfId="27271"/>
    <cellStyle name="Обычный 124 5 3 2 2 3 2 2" xfId="34582"/>
    <cellStyle name="Обычный 124 5 3 2 2 3 2 2 2" xfId="49402"/>
    <cellStyle name="Обычный 124 5 3 2 2 3 2 3" xfId="42111"/>
    <cellStyle name="Обычный 124 5 3 2 2 3 3" xfId="30928"/>
    <cellStyle name="Обычный 124 5 3 2 2 3 3 2" xfId="45751"/>
    <cellStyle name="Обычный 124 5 3 2 2 3 4" xfId="38425"/>
    <cellStyle name="Обычный 124 5 3 2 2 3 5" xfId="23613"/>
    <cellStyle name="Обычный 124 5 3 2 2 4" xfId="25430"/>
    <cellStyle name="Обычный 124 5 3 2 2 4 2" xfId="32741"/>
    <cellStyle name="Обычный 124 5 3 2 2 4 2 2" xfId="47564"/>
    <cellStyle name="Обычный 124 5 3 2 2 4 3" xfId="40318"/>
    <cellStyle name="Обычный 124 5 3 2 2 5" xfId="29087"/>
    <cellStyle name="Обычный 124 5 3 2 2 5 2" xfId="43924"/>
    <cellStyle name="Обычный 124 5 3 2 2 6" xfId="36328"/>
    <cellStyle name="Обычный 124 5 3 2 2 7" xfId="21769"/>
    <cellStyle name="Обычный 124 5 3 2 3" xfId="18458"/>
    <cellStyle name="Обычный 124 5 3 2 3 2" xfId="20340"/>
    <cellStyle name="Обычный 124 5 3 2 3 2 2" xfId="27666"/>
    <cellStyle name="Обычный 124 5 3 2 3 2 2 2" xfId="34977"/>
    <cellStyle name="Обычный 124 5 3 2 3 2 2 2 2" xfId="49797"/>
    <cellStyle name="Обычный 124 5 3 2 3 2 2 3" xfId="42505"/>
    <cellStyle name="Обычный 124 5 3 2 3 2 3" xfId="31323"/>
    <cellStyle name="Обычный 124 5 3 2 3 2 3 2" xfId="46146"/>
    <cellStyle name="Обычный 124 5 3 2 3 2 4" xfId="38821"/>
    <cellStyle name="Обычный 124 5 3 2 3 2 5" xfId="24008"/>
    <cellStyle name="Обычный 124 5 3 2 3 3" xfId="25840"/>
    <cellStyle name="Обычный 124 5 3 2 3 3 2" xfId="33151"/>
    <cellStyle name="Обычный 124 5 3 2 3 3 2 2" xfId="47971"/>
    <cellStyle name="Обычный 124 5 3 2 3 3 3" xfId="40693"/>
    <cellStyle name="Обычный 124 5 3 2 3 4" xfId="29497"/>
    <cellStyle name="Обычный 124 5 3 2 3 4 2" xfId="44321"/>
    <cellStyle name="Обычный 124 5 3 2 3 5" xfId="37098"/>
    <cellStyle name="Обычный 124 5 3 2 3 6" xfId="22179"/>
    <cellStyle name="Обычный 124 5 3 2 4" xfId="19451"/>
    <cellStyle name="Обычный 124 5 3 2 4 2" xfId="26821"/>
    <cellStyle name="Обычный 124 5 3 2 4 2 2" xfId="34132"/>
    <cellStyle name="Обычный 124 5 3 2 4 2 2 2" xfId="48952"/>
    <cellStyle name="Обычный 124 5 3 2 4 2 3" xfId="41661"/>
    <cellStyle name="Обычный 124 5 3 2 4 3" xfId="30478"/>
    <cellStyle name="Обычный 124 5 3 2 4 3 2" xfId="45301"/>
    <cellStyle name="Обычный 124 5 3 2 4 4" xfId="37975"/>
    <cellStyle name="Обычный 124 5 3 2 4 5" xfId="23163"/>
    <cellStyle name="Обычный 124 5 3 2 5" xfId="24980"/>
    <cellStyle name="Обычный 124 5 3 2 5 2" xfId="32291"/>
    <cellStyle name="Обычный 124 5 3 2 5 2 2" xfId="47114"/>
    <cellStyle name="Обычный 124 5 3 2 5 3" xfId="39875"/>
    <cellStyle name="Обычный 124 5 3 2 6" xfId="28637"/>
    <cellStyle name="Обычный 124 5 3 2 6 2" xfId="43474"/>
    <cellStyle name="Обычный 124 5 3 2 7" xfId="35879"/>
    <cellStyle name="Обычный 124 5 3 2 8" xfId="21319"/>
    <cellStyle name="Обычный 124 5 3 3" xfId="17634"/>
    <cellStyle name="Обычный 124 5 3 3 2" xfId="18748"/>
    <cellStyle name="Обычный 124 5 3 3 2 2" xfId="20627"/>
    <cellStyle name="Обычный 124 5 3 3 2 2 2" xfId="27953"/>
    <cellStyle name="Обычный 124 5 3 3 2 2 2 2" xfId="35264"/>
    <cellStyle name="Обычный 124 5 3 3 2 2 2 2 2" xfId="50084"/>
    <cellStyle name="Обычный 124 5 3 3 2 2 2 3" xfId="42792"/>
    <cellStyle name="Обычный 124 5 3 3 2 2 3" xfId="31610"/>
    <cellStyle name="Обычный 124 5 3 3 2 2 3 2" xfId="46433"/>
    <cellStyle name="Обычный 124 5 3 3 2 2 4" xfId="39108"/>
    <cellStyle name="Обычный 124 5 3 3 2 2 5" xfId="24295"/>
    <cellStyle name="Обычный 124 5 3 3 2 3" xfId="26127"/>
    <cellStyle name="Обычный 124 5 3 3 2 3 2" xfId="33438"/>
    <cellStyle name="Обычный 124 5 3 3 2 3 2 2" xfId="48258"/>
    <cellStyle name="Обычный 124 5 3 3 2 3 3" xfId="40971"/>
    <cellStyle name="Обычный 124 5 3 3 2 4" xfId="29784"/>
    <cellStyle name="Обычный 124 5 3 3 2 4 2" xfId="44608"/>
    <cellStyle name="Обычный 124 5 3 3 2 5" xfId="37385"/>
    <cellStyle name="Обычный 124 5 3 3 2 6" xfId="22466"/>
    <cellStyle name="Обычный 124 5 3 3 3" xfId="19678"/>
    <cellStyle name="Обычный 124 5 3 3 3 2" xfId="27047"/>
    <cellStyle name="Обычный 124 5 3 3 3 2 2" xfId="34358"/>
    <cellStyle name="Обычный 124 5 3 3 3 2 2 2" xfId="49178"/>
    <cellStyle name="Обычный 124 5 3 3 3 2 3" xfId="41887"/>
    <cellStyle name="Обычный 124 5 3 3 3 3" xfId="30704"/>
    <cellStyle name="Обычный 124 5 3 3 3 3 2" xfId="45527"/>
    <cellStyle name="Обычный 124 5 3 3 3 4" xfId="38201"/>
    <cellStyle name="Обычный 124 5 3 3 3 5" xfId="23389"/>
    <cellStyle name="Обычный 124 5 3 3 4" xfId="25206"/>
    <cellStyle name="Обычный 124 5 3 3 4 2" xfId="32517"/>
    <cellStyle name="Обычный 124 5 3 3 4 2 2" xfId="47340"/>
    <cellStyle name="Обычный 124 5 3 3 4 3" xfId="40098"/>
    <cellStyle name="Обычный 124 5 3 3 5" xfId="28863"/>
    <cellStyle name="Обычный 124 5 3 3 5 2" xfId="43700"/>
    <cellStyle name="Обычный 124 5 3 3 6" xfId="36327"/>
    <cellStyle name="Обычный 124 5 3 3 7" xfId="21545"/>
    <cellStyle name="Обычный 124 5 3 4" xfId="18457"/>
    <cellStyle name="Обычный 124 5 3 4 2" xfId="20339"/>
    <cellStyle name="Обычный 124 5 3 4 2 2" xfId="27665"/>
    <cellStyle name="Обычный 124 5 3 4 2 2 2" xfId="34976"/>
    <cellStyle name="Обычный 124 5 3 4 2 2 2 2" xfId="49796"/>
    <cellStyle name="Обычный 124 5 3 4 2 2 3" xfId="42504"/>
    <cellStyle name="Обычный 124 5 3 4 2 3" xfId="31322"/>
    <cellStyle name="Обычный 124 5 3 4 2 3 2" xfId="46145"/>
    <cellStyle name="Обычный 124 5 3 4 2 4" xfId="38820"/>
    <cellStyle name="Обычный 124 5 3 4 2 5" xfId="24007"/>
    <cellStyle name="Обычный 124 5 3 4 3" xfId="25839"/>
    <cellStyle name="Обычный 124 5 3 4 3 2" xfId="33150"/>
    <cellStyle name="Обычный 124 5 3 4 3 2 2" xfId="47970"/>
    <cellStyle name="Обычный 124 5 3 4 3 3" xfId="40692"/>
    <cellStyle name="Обычный 124 5 3 4 4" xfId="29496"/>
    <cellStyle name="Обычный 124 5 3 4 4 2" xfId="44320"/>
    <cellStyle name="Обычный 124 5 3 4 5" xfId="37097"/>
    <cellStyle name="Обычный 124 5 3 4 6" xfId="22178"/>
    <cellStyle name="Обычный 124 5 3 5" xfId="19229"/>
    <cellStyle name="Обычный 124 5 3 5 2" xfId="26599"/>
    <cellStyle name="Обычный 124 5 3 5 2 2" xfId="33910"/>
    <cellStyle name="Обычный 124 5 3 5 2 2 2" xfId="48730"/>
    <cellStyle name="Обычный 124 5 3 5 2 3" xfId="41439"/>
    <cellStyle name="Обычный 124 5 3 5 3" xfId="30256"/>
    <cellStyle name="Обычный 124 5 3 5 3 2" xfId="45079"/>
    <cellStyle name="Обычный 124 5 3 5 4" xfId="37753"/>
    <cellStyle name="Обычный 124 5 3 5 5" xfId="22941"/>
    <cellStyle name="Обычный 124 5 3 6" xfId="24756"/>
    <cellStyle name="Обычный 124 5 3 6 2" xfId="32067"/>
    <cellStyle name="Обычный 124 5 3 6 2 2" xfId="46890"/>
    <cellStyle name="Обычный 124 5 3 6 3" xfId="39658"/>
    <cellStyle name="Обычный 124 5 3 7" xfId="28413"/>
    <cellStyle name="Обычный 124 5 3 7 2" xfId="43250"/>
    <cellStyle name="Обычный 124 5 3 8" xfId="35878"/>
    <cellStyle name="Обычный 124 5 3 9" xfId="21095"/>
    <cellStyle name="Обычный 124 5 4" xfId="17291"/>
    <cellStyle name="Обычный 124 5 4 2" xfId="17746"/>
    <cellStyle name="Обычный 124 5 4 2 2" xfId="18860"/>
    <cellStyle name="Обычный 124 5 4 2 2 2" xfId="20739"/>
    <cellStyle name="Обычный 124 5 4 2 2 2 2" xfId="28065"/>
    <cellStyle name="Обычный 124 5 4 2 2 2 2 2" xfId="35376"/>
    <cellStyle name="Обычный 124 5 4 2 2 2 2 2 2" xfId="50196"/>
    <cellStyle name="Обычный 124 5 4 2 2 2 2 3" xfId="42904"/>
    <cellStyle name="Обычный 124 5 4 2 2 2 3" xfId="31722"/>
    <cellStyle name="Обычный 124 5 4 2 2 2 3 2" xfId="46545"/>
    <cellStyle name="Обычный 124 5 4 2 2 2 4" xfId="39220"/>
    <cellStyle name="Обычный 124 5 4 2 2 2 5" xfId="24407"/>
    <cellStyle name="Обычный 124 5 4 2 2 3" xfId="26239"/>
    <cellStyle name="Обычный 124 5 4 2 2 3 2" xfId="33550"/>
    <cellStyle name="Обычный 124 5 4 2 2 3 2 2" xfId="48370"/>
    <cellStyle name="Обычный 124 5 4 2 2 3 3" xfId="41083"/>
    <cellStyle name="Обычный 124 5 4 2 2 4" xfId="29896"/>
    <cellStyle name="Обычный 124 5 4 2 2 4 2" xfId="44720"/>
    <cellStyle name="Обычный 124 5 4 2 2 5" xfId="37496"/>
    <cellStyle name="Обычный 124 5 4 2 2 6" xfId="22578"/>
    <cellStyle name="Обычный 124 5 4 2 3" xfId="19790"/>
    <cellStyle name="Обычный 124 5 4 2 3 2" xfId="27159"/>
    <cellStyle name="Обычный 124 5 4 2 3 2 2" xfId="34470"/>
    <cellStyle name="Обычный 124 5 4 2 3 2 2 2" xfId="49290"/>
    <cellStyle name="Обычный 124 5 4 2 3 2 3" xfId="41999"/>
    <cellStyle name="Обычный 124 5 4 2 3 3" xfId="30816"/>
    <cellStyle name="Обычный 124 5 4 2 3 3 2" xfId="45639"/>
    <cellStyle name="Обычный 124 5 4 2 3 4" xfId="38313"/>
    <cellStyle name="Обычный 124 5 4 2 3 5" xfId="23501"/>
    <cellStyle name="Обычный 124 5 4 2 4" xfId="25318"/>
    <cellStyle name="Обычный 124 5 4 2 4 2" xfId="32629"/>
    <cellStyle name="Обычный 124 5 4 2 4 2 2" xfId="47452"/>
    <cellStyle name="Обычный 124 5 4 2 4 3" xfId="40207"/>
    <cellStyle name="Обычный 124 5 4 2 5" xfId="28975"/>
    <cellStyle name="Обычный 124 5 4 2 5 2" xfId="43812"/>
    <cellStyle name="Обычный 124 5 4 2 6" xfId="36329"/>
    <cellStyle name="Обычный 124 5 4 2 7" xfId="21657"/>
    <cellStyle name="Обычный 124 5 4 3" xfId="18459"/>
    <cellStyle name="Обычный 124 5 4 3 2" xfId="20341"/>
    <cellStyle name="Обычный 124 5 4 3 2 2" xfId="27667"/>
    <cellStyle name="Обычный 124 5 4 3 2 2 2" xfId="34978"/>
    <cellStyle name="Обычный 124 5 4 3 2 2 2 2" xfId="49798"/>
    <cellStyle name="Обычный 124 5 4 3 2 2 3" xfId="42506"/>
    <cellStyle name="Обычный 124 5 4 3 2 3" xfId="31324"/>
    <cellStyle name="Обычный 124 5 4 3 2 3 2" xfId="46147"/>
    <cellStyle name="Обычный 124 5 4 3 2 4" xfId="38822"/>
    <cellStyle name="Обычный 124 5 4 3 2 5" xfId="24009"/>
    <cellStyle name="Обычный 124 5 4 3 3" xfId="25841"/>
    <cellStyle name="Обычный 124 5 4 3 3 2" xfId="33152"/>
    <cellStyle name="Обычный 124 5 4 3 3 2 2" xfId="47972"/>
    <cellStyle name="Обычный 124 5 4 3 3 3" xfId="40694"/>
    <cellStyle name="Обычный 124 5 4 3 4" xfId="29498"/>
    <cellStyle name="Обычный 124 5 4 3 4 2" xfId="44322"/>
    <cellStyle name="Обычный 124 5 4 3 5" xfId="37099"/>
    <cellStyle name="Обычный 124 5 4 3 6" xfId="22180"/>
    <cellStyle name="Обычный 124 5 4 4" xfId="19339"/>
    <cellStyle name="Обычный 124 5 4 4 2" xfId="26709"/>
    <cellStyle name="Обычный 124 5 4 4 2 2" xfId="34020"/>
    <cellStyle name="Обычный 124 5 4 4 2 2 2" xfId="48840"/>
    <cellStyle name="Обычный 124 5 4 4 2 3" xfId="41549"/>
    <cellStyle name="Обычный 124 5 4 4 3" xfId="30366"/>
    <cellStyle name="Обычный 124 5 4 4 3 2" xfId="45189"/>
    <cellStyle name="Обычный 124 5 4 4 4" xfId="37863"/>
    <cellStyle name="Обычный 124 5 4 4 5" xfId="23051"/>
    <cellStyle name="Обычный 124 5 4 5" xfId="24868"/>
    <cellStyle name="Обычный 124 5 4 5 2" xfId="32179"/>
    <cellStyle name="Обычный 124 5 4 5 2 2" xfId="47002"/>
    <cellStyle name="Обычный 124 5 4 5 3" xfId="39764"/>
    <cellStyle name="Обычный 124 5 4 6" xfId="28525"/>
    <cellStyle name="Обычный 124 5 4 6 2" xfId="43362"/>
    <cellStyle name="Обычный 124 5 4 7" xfId="35880"/>
    <cellStyle name="Обычный 124 5 4 8" xfId="21207"/>
    <cellStyle name="Обычный 124 5 5" xfId="17522"/>
    <cellStyle name="Обычный 124 5 5 2" xfId="18636"/>
    <cellStyle name="Обычный 124 5 5 2 2" xfId="20515"/>
    <cellStyle name="Обычный 124 5 5 2 2 2" xfId="27841"/>
    <cellStyle name="Обычный 124 5 5 2 2 2 2" xfId="35152"/>
    <cellStyle name="Обычный 124 5 5 2 2 2 2 2" xfId="49972"/>
    <cellStyle name="Обычный 124 5 5 2 2 2 3" xfId="42680"/>
    <cellStyle name="Обычный 124 5 5 2 2 3" xfId="31498"/>
    <cellStyle name="Обычный 124 5 5 2 2 3 2" xfId="46321"/>
    <cellStyle name="Обычный 124 5 5 2 2 4" xfId="38996"/>
    <cellStyle name="Обычный 124 5 5 2 2 5" xfId="24183"/>
    <cellStyle name="Обычный 124 5 5 2 3" xfId="26015"/>
    <cellStyle name="Обычный 124 5 5 2 3 2" xfId="33326"/>
    <cellStyle name="Обычный 124 5 5 2 3 2 2" xfId="48146"/>
    <cellStyle name="Обычный 124 5 5 2 3 3" xfId="40859"/>
    <cellStyle name="Обычный 124 5 5 2 4" xfId="29672"/>
    <cellStyle name="Обычный 124 5 5 2 4 2" xfId="44496"/>
    <cellStyle name="Обычный 124 5 5 2 5" xfId="37273"/>
    <cellStyle name="Обычный 124 5 5 2 6" xfId="22354"/>
    <cellStyle name="Обычный 124 5 5 3" xfId="19566"/>
    <cellStyle name="Обычный 124 5 5 3 2" xfId="26935"/>
    <cellStyle name="Обычный 124 5 5 3 2 2" xfId="34246"/>
    <cellStyle name="Обычный 124 5 5 3 2 2 2" xfId="49066"/>
    <cellStyle name="Обычный 124 5 5 3 2 3" xfId="41775"/>
    <cellStyle name="Обычный 124 5 5 3 3" xfId="30592"/>
    <cellStyle name="Обычный 124 5 5 3 3 2" xfId="45415"/>
    <cellStyle name="Обычный 124 5 5 3 4" xfId="38089"/>
    <cellStyle name="Обычный 124 5 5 3 5" xfId="23277"/>
    <cellStyle name="Обычный 124 5 5 4" xfId="25094"/>
    <cellStyle name="Обычный 124 5 5 4 2" xfId="32405"/>
    <cellStyle name="Обычный 124 5 5 4 2 2" xfId="47228"/>
    <cellStyle name="Обычный 124 5 5 4 3" xfId="39989"/>
    <cellStyle name="Обычный 124 5 5 5" xfId="28751"/>
    <cellStyle name="Обычный 124 5 5 5 2" xfId="43588"/>
    <cellStyle name="Обычный 124 5 5 6" xfId="36322"/>
    <cellStyle name="Обычный 124 5 5 7" xfId="21433"/>
    <cellStyle name="Обычный 124 5 6" xfId="18452"/>
    <cellStyle name="Обычный 124 5 6 2" xfId="20334"/>
    <cellStyle name="Обычный 124 5 6 2 2" xfId="27660"/>
    <cellStyle name="Обычный 124 5 6 2 2 2" xfId="34971"/>
    <cellStyle name="Обычный 124 5 6 2 2 2 2" xfId="49791"/>
    <cellStyle name="Обычный 124 5 6 2 2 3" xfId="42499"/>
    <cellStyle name="Обычный 124 5 6 2 3" xfId="31317"/>
    <cellStyle name="Обычный 124 5 6 2 3 2" xfId="46140"/>
    <cellStyle name="Обычный 124 5 6 2 4" xfId="38815"/>
    <cellStyle name="Обычный 124 5 6 2 5" xfId="24002"/>
    <cellStyle name="Обычный 124 5 6 3" xfId="25834"/>
    <cellStyle name="Обычный 124 5 6 3 2" xfId="33145"/>
    <cellStyle name="Обычный 124 5 6 3 2 2" xfId="47965"/>
    <cellStyle name="Обычный 124 5 6 3 3" xfId="40687"/>
    <cellStyle name="Обычный 124 5 6 4" xfId="29491"/>
    <cellStyle name="Обычный 124 5 6 4 2" xfId="44315"/>
    <cellStyle name="Обычный 124 5 6 5" xfId="37092"/>
    <cellStyle name="Обычный 124 5 6 6" xfId="22173"/>
    <cellStyle name="Обычный 124 5 7" xfId="19119"/>
    <cellStyle name="Обычный 124 5 7 2" xfId="26492"/>
    <cellStyle name="Обычный 124 5 7 2 2" xfId="33803"/>
    <cellStyle name="Обычный 124 5 7 2 2 2" xfId="48623"/>
    <cellStyle name="Обычный 124 5 7 2 3" xfId="41332"/>
    <cellStyle name="Обычный 124 5 7 3" xfId="30149"/>
    <cellStyle name="Обычный 124 5 7 3 2" xfId="44972"/>
    <cellStyle name="Обычный 124 5 7 4" xfId="37646"/>
    <cellStyle name="Обычный 124 5 7 5" xfId="22834"/>
    <cellStyle name="Обычный 124 5 8" xfId="24644"/>
    <cellStyle name="Обычный 124 5 8 2" xfId="31955"/>
    <cellStyle name="Обычный 124 5 8 2 2" xfId="46778"/>
    <cellStyle name="Обычный 124 5 8 3" xfId="39566"/>
    <cellStyle name="Обычный 124 5 9" xfId="28301"/>
    <cellStyle name="Обычный 124 5 9 2" xfId="43138"/>
    <cellStyle name="Обычный 124 6" xfId="17155"/>
    <cellStyle name="Обычный 124 6 10" xfId="21011"/>
    <cellStyle name="Обычный 124 6 2" xfId="17436"/>
    <cellStyle name="Обычный 124 6 2 2" xfId="17886"/>
    <cellStyle name="Обычный 124 6 2 2 2" xfId="19000"/>
    <cellStyle name="Обычный 124 6 2 2 2 2" xfId="20879"/>
    <cellStyle name="Обычный 124 6 2 2 2 2 2" xfId="24547"/>
    <cellStyle name="Обычный 124 6 2 2 2 2 2 2" xfId="28205"/>
    <cellStyle name="Обычный 124 6 2 2 2 2 2 2 2" xfId="35516"/>
    <cellStyle name="Обычный 124 6 2 2 2 2 2 2 2 2" xfId="50336"/>
    <cellStyle name="Обычный 124 6 2 2 2 2 2 2 3" xfId="43044"/>
    <cellStyle name="Обычный 124 6 2 2 2 2 2 3" xfId="31862"/>
    <cellStyle name="Обычный 124 6 2 2 2 2 2 3 2" xfId="46685"/>
    <cellStyle name="Обычный 124 6 2 2 2 2 2 4" xfId="39482"/>
    <cellStyle name="Обычный 124 6 2 2 2 2 3" xfId="26379"/>
    <cellStyle name="Обычный 124 6 2 2 2 2 3 2" xfId="33690"/>
    <cellStyle name="Обычный 124 6 2 2 2 2 3 2 2" xfId="48510"/>
    <cellStyle name="Обычный 124 6 2 2 2 2 3 3" xfId="41223"/>
    <cellStyle name="Обычный 124 6 2 2 2 2 4" xfId="30036"/>
    <cellStyle name="Обычный 124 6 2 2 2 2 4 2" xfId="44860"/>
    <cellStyle name="Обычный 124 6 2 2 2 2 5" xfId="39360"/>
    <cellStyle name="Обычный 124 6 2 2 2 2 6" xfId="22718"/>
    <cellStyle name="Обычный 124 6 2 2 2 3" xfId="19930"/>
    <cellStyle name="Обычный 124 6 2 2 2 3 2" xfId="27299"/>
    <cellStyle name="Обычный 124 6 2 2 2 3 2 2" xfId="34610"/>
    <cellStyle name="Обычный 124 6 2 2 2 3 2 2 2" xfId="49430"/>
    <cellStyle name="Обычный 124 6 2 2 2 3 2 3" xfId="42139"/>
    <cellStyle name="Обычный 124 6 2 2 2 3 3" xfId="30956"/>
    <cellStyle name="Обычный 124 6 2 2 2 3 3 2" xfId="45779"/>
    <cellStyle name="Обычный 124 6 2 2 2 3 4" xfId="38453"/>
    <cellStyle name="Обычный 124 6 2 2 2 3 5" xfId="23641"/>
    <cellStyle name="Обычный 124 6 2 2 2 4" xfId="25458"/>
    <cellStyle name="Обычный 124 6 2 2 2 4 2" xfId="32769"/>
    <cellStyle name="Обычный 124 6 2 2 2 4 2 2" xfId="47592"/>
    <cellStyle name="Обычный 124 6 2 2 2 4 3" xfId="40346"/>
    <cellStyle name="Обычный 124 6 2 2 2 5" xfId="29115"/>
    <cellStyle name="Обычный 124 6 2 2 2 5 2" xfId="43952"/>
    <cellStyle name="Обычный 124 6 2 2 2 6" xfId="36332"/>
    <cellStyle name="Обычный 124 6 2 2 2 7" xfId="21797"/>
    <cellStyle name="Обычный 124 6 2 2 3" xfId="18462"/>
    <cellStyle name="Обычный 124 6 2 2 3 2" xfId="20344"/>
    <cellStyle name="Обычный 124 6 2 2 3 2 2" xfId="27670"/>
    <cellStyle name="Обычный 124 6 2 2 3 2 2 2" xfId="34981"/>
    <cellStyle name="Обычный 124 6 2 2 3 2 2 2 2" xfId="49801"/>
    <cellStyle name="Обычный 124 6 2 2 3 2 2 3" xfId="42509"/>
    <cellStyle name="Обычный 124 6 2 2 3 2 3" xfId="31327"/>
    <cellStyle name="Обычный 124 6 2 2 3 2 3 2" xfId="46150"/>
    <cellStyle name="Обычный 124 6 2 2 3 2 4" xfId="38825"/>
    <cellStyle name="Обычный 124 6 2 2 3 2 5" xfId="24012"/>
    <cellStyle name="Обычный 124 6 2 2 3 3" xfId="25844"/>
    <cellStyle name="Обычный 124 6 2 2 3 3 2" xfId="33155"/>
    <cellStyle name="Обычный 124 6 2 2 3 3 2 2" xfId="47975"/>
    <cellStyle name="Обычный 124 6 2 2 3 3 3" xfId="40697"/>
    <cellStyle name="Обычный 124 6 2 2 3 4" xfId="29501"/>
    <cellStyle name="Обычный 124 6 2 2 3 4 2" xfId="44325"/>
    <cellStyle name="Обычный 124 6 2 2 3 5" xfId="37102"/>
    <cellStyle name="Обычный 124 6 2 2 3 6" xfId="22183"/>
    <cellStyle name="Обычный 124 6 2 2 4" xfId="19479"/>
    <cellStyle name="Обычный 124 6 2 2 4 2" xfId="26849"/>
    <cellStyle name="Обычный 124 6 2 2 4 2 2" xfId="34160"/>
    <cellStyle name="Обычный 124 6 2 2 4 2 2 2" xfId="48980"/>
    <cellStyle name="Обычный 124 6 2 2 4 2 3" xfId="41689"/>
    <cellStyle name="Обычный 124 6 2 2 4 3" xfId="30506"/>
    <cellStyle name="Обычный 124 6 2 2 4 3 2" xfId="45329"/>
    <cellStyle name="Обычный 124 6 2 2 4 4" xfId="38003"/>
    <cellStyle name="Обычный 124 6 2 2 4 5" xfId="23191"/>
    <cellStyle name="Обычный 124 6 2 2 5" xfId="25008"/>
    <cellStyle name="Обычный 124 6 2 2 5 2" xfId="32319"/>
    <cellStyle name="Обычный 124 6 2 2 5 2 2" xfId="47142"/>
    <cellStyle name="Обычный 124 6 2 2 5 3" xfId="39903"/>
    <cellStyle name="Обычный 124 6 2 2 6" xfId="28665"/>
    <cellStyle name="Обычный 124 6 2 2 6 2" xfId="43502"/>
    <cellStyle name="Обычный 124 6 2 2 7" xfId="35883"/>
    <cellStyle name="Обычный 124 6 2 2 8" xfId="21347"/>
    <cellStyle name="Обычный 124 6 2 3" xfId="17662"/>
    <cellStyle name="Обычный 124 6 2 3 2" xfId="18776"/>
    <cellStyle name="Обычный 124 6 2 3 2 2" xfId="20655"/>
    <cellStyle name="Обычный 124 6 2 3 2 2 2" xfId="27981"/>
    <cellStyle name="Обычный 124 6 2 3 2 2 2 2" xfId="35292"/>
    <cellStyle name="Обычный 124 6 2 3 2 2 2 2 2" xfId="50112"/>
    <cellStyle name="Обычный 124 6 2 3 2 2 2 3" xfId="42820"/>
    <cellStyle name="Обычный 124 6 2 3 2 2 3" xfId="31638"/>
    <cellStyle name="Обычный 124 6 2 3 2 2 3 2" xfId="46461"/>
    <cellStyle name="Обычный 124 6 2 3 2 2 4" xfId="39136"/>
    <cellStyle name="Обычный 124 6 2 3 2 2 5" xfId="24323"/>
    <cellStyle name="Обычный 124 6 2 3 2 3" xfId="26155"/>
    <cellStyle name="Обычный 124 6 2 3 2 3 2" xfId="33466"/>
    <cellStyle name="Обычный 124 6 2 3 2 3 2 2" xfId="48286"/>
    <cellStyle name="Обычный 124 6 2 3 2 3 3" xfId="40999"/>
    <cellStyle name="Обычный 124 6 2 3 2 4" xfId="29812"/>
    <cellStyle name="Обычный 124 6 2 3 2 4 2" xfId="44636"/>
    <cellStyle name="Обычный 124 6 2 3 2 5" xfId="37413"/>
    <cellStyle name="Обычный 124 6 2 3 2 6" xfId="22494"/>
    <cellStyle name="Обычный 124 6 2 3 3" xfId="19706"/>
    <cellStyle name="Обычный 124 6 2 3 3 2" xfId="27075"/>
    <cellStyle name="Обычный 124 6 2 3 3 2 2" xfId="34386"/>
    <cellStyle name="Обычный 124 6 2 3 3 2 2 2" xfId="49206"/>
    <cellStyle name="Обычный 124 6 2 3 3 2 3" xfId="41915"/>
    <cellStyle name="Обычный 124 6 2 3 3 3" xfId="30732"/>
    <cellStyle name="Обычный 124 6 2 3 3 3 2" xfId="45555"/>
    <cellStyle name="Обычный 124 6 2 3 3 4" xfId="38229"/>
    <cellStyle name="Обычный 124 6 2 3 3 5" xfId="23417"/>
    <cellStyle name="Обычный 124 6 2 3 4" xfId="25234"/>
    <cellStyle name="Обычный 124 6 2 3 4 2" xfId="32545"/>
    <cellStyle name="Обычный 124 6 2 3 4 2 2" xfId="47368"/>
    <cellStyle name="Обычный 124 6 2 3 4 3" xfId="40126"/>
    <cellStyle name="Обычный 124 6 2 3 5" xfId="28891"/>
    <cellStyle name="Обычный 124 6 2 3 5 2" xfId="43728"/>
    <cellStyle name="Обычный 124 6 2 3 6" xfId="36331"/>
    <cellStyle name="Обычный 124 6 2 3 7" xfId="21573"/>
    <cellStyle name="Обычный 124 6 2 4" xfId="18461"/>
    <cellStyle name="Обычный 124 6 2 4 2" xfId="20343"/>
    <cellStyle name="Обычный 124 6 2 4 2 2" xfId="27669"/>
    <cellStyle name="Обычный 124 6 2 4 2 2 2" xfId="34980"/>
    <cellStyle name="Обычный 124 6 2 4 2 2 2 2" xfId="49800"/>
    <cellStyle name="Обычный 124 6 2 4 2 2 3" xfId="42508"/>
    <cellStyle name="Обычный 124 6 2 4 2 3" xfId="31326"/>
    <cellStyle name="Обычный 124 6 2 4 2 3 2" xfId="46149"/>
    <cellStyle name="Обычный 124 6 2 4 2 4" xfId="38824"/>
    <cellStyle name="Обычный 124 6 2 4 2 5" xfId="24011"/>
    <cellStyle name="Обычный 124 6 2 4 3" xfId="25843"/>
    <cellStyle name="Обычный 124 6 2 4 3 2" xfId="33154"/>
    <cellStyle name="Обычный 124 6 2 4 3 2 2" xfId="47974"/>
    <cellStyle name="Обычный 124 6 2 4 3 3" xfId="40696"/>
    <cellStyle name="Обычный 124 6 2 4 4" xfId="29500"/>
    <cellStyle name="Обычный 124 6 2 4 4 2" xfId="44324"/>
    <cellStyle name="Обычный 124 6 2 4 5" xfId="37101"/>
    <cellStyle name="Обычный 124 6 2 4 6" xfId="22182"/>
    <cellStyle name="Обычный 124 6 2 5" xfId="19256"/>
    <cellStyle name="Обычный 124 6 2 5 2" xfId="26626"/>
    <cellStyle name="Обычный 124 6 2 5 2 2" xfId="33937"/>
    <cellStyle name="Обычный 124 6 2 5 2 2 2" xfId="48757"/>
    <cellStyle name="Обычный 124 6 2 5 2 3" xfId="41466"/>
    <cellStyle name="Обычный 124 6 2 5 3" xfId="30283"/>
    <cellStyle name="Обычный 124 6 2 5 3 2" xfId="45106"/>
    <cellStyle name="Обычный 124 6 2 5 4" xfId="37780"/>
    <cellStyle name="Обычный 124 6 2 5 5" xfId="22968"/>
    <cellStyle name="Обычный 124 6 2 6" xfId="24784"/>
    <cellStyle name="Обычный 124 6 2 6 2" xfId="32095"/>
    <cellStyle name="Обычный 124 6 2 6 2 2" xfId="46918"/>
    <cellStyle name="Обычный 124 6 2 6 3" xfId="39685"/>
    <cellStyle name="Обычный 124 6 2 7" xfId="28441"/>
    <cellStyle name="Обычный 124 6 2 7 2" xfId="43278"/>
    <cellStyle name="Обычный 124 6 2 8" xfId="35882"/>
    <cellStyle name="Обычный 124 6 2 9" xfId="21123"/>
    <cellStyle name="Обычный 124 6 3" xfId="17320"/>
    <cellStyle name="Обычный 124 6 3 2" xfId="17774"/>
    <cellStyle name="Обычный 124 6 3 2 2" xfId="18888"/>
    <cellStyle name="Обычный 124 6 3 2 2 2" xfId="20767"/>
    <cellStyle name="Обычный 124 6 3 2 2 2 2" xfId="28093"/>
    <cellStyle name="Обычный 124 6 3 2 2 2 2 2" xfId="35404"/>
    <cellStyle name="Обычный 124 6 3 2 2 2 2 2 2" xfId="50224"/>
    <cellStyle name="Обычный 124 6 3 2 2 2 2 3" xfId="42932"/>
    <cellStyle name="Обычный 124 6 3 2 2 2 3" xfId="31750"/>
    <cellStyle name="Обычный 124 6 3 2 2 2 3 2" xfId="46573"/>
    <cellStyle name="Обычный 124 6 3 2 2 2 4" xfId="39248"/>
    <cellStyle name="Обычный 124 6 3 2 2 2 5" xfId="24435"/>
    <cellStyle name="Обычный 124 6 3 2 2 3" xfId="26267"/>
    <cellStyle name="Обычный 124 6 3 2 2 3 2" xfId="33578"/>
    <cellStyle name="Обычный 124 6 3 2 2 3 2 2" xfId="48398"/>
    <cellStyle name="Обычный 124 6 3 2 2 3 3" xfId="41111"/>
    <cellStyle name="Обычный 124 6 3 2 2 4" xfId="29924"/>
    <cellStyle name="Обычный 124 6 3 2 2 4 2" xfId="44748"/>
    <cellStyle name="Обычный 124 6 3 2 2 5" xfId="37524"/>
    <cellStyle name="Обычный 124 6 3 2 2 6" xfId="22606"/>
    <cellStyle name="Обычный 124 6 3 2 3" xfId="19818"/>
    <cellStyle name="Обычный 124 6 3 2 3 2" xfId="27187"/>
    <cellStyle name="Обычный 124 6 3 2 3 2 2" xfId="34498"/>
    <cellStyle name="Обычный 124 6 3 2 3 2 2 2" xfId="49318"/>
    <cellStyle name="Обычный 124 6 3 2 3 2 3" xfId="42027"/>
    <cellStyle name="Обычный 124 6 3 2 3 3" xfId="30844"/>
    <cellStyle name="Обычный 124 6 3 2 3 3 2" xfId="45667"/>
    <cellStyle name="Обычный 124 6 3 2 3 4" xfId="38341"/>
    <cellStyle name="Обычный 124 6 3 2 3 5" xfId="23529"/>
    <cellStyle name="Обычный 124 6 3 2 4" xfId="25346"/>
    <cellStyle name="Обычный 124 6 3 2 4 2" xfId="32657"/>
    <cellStyle name="Обычный 124 6 3 2 4 2 2" xfId="47480"/>
    <cellStyle name="Обычный 124 6 3 2 4 3" xfId="40234"/>
    <cellStyle name="Обычный 124 6 3 2 5" xfId="29003"/>
    <cellStyle name="Обычный 124 6 3 2 5 2" xfId="43840"/>
    <cellStyle name="Обычный 124 6 3 2 6" xfId="36333"/>
    <cellStyle name="Обычный 124 6 3 2 7" xfId="21685"/>
    <cellStyle name="Обычный 124 6 3 3" xfId="18463"/>
    <cellStyle name="Обычный 124 6 3 3 2" xfId="20345"/>
    <cellStyle name="Обычный 124 6 3 3 2 2" xfId="27671"/>
    <cellStyle name="Обычный 124 6 3 3 2 2 2" xfId="34982"/>
    <cellStyle name="Обычный 124 6 3 3 2 2 2 2" xfId="49802"/>
    <cellStyle name="Обычный 124 6 3 3 2 2 3" xfId="42510"/>
    <cellStyle name="Обычный 124 6 3 3 2 3" xfId="31328"/>
    <cellStyle name="Обычный 124 6 3 3 2 3 2" xfId="46151"/>
    <cellStyle name="Обычный 124 6 3 3 2 4" xfId="38826"/>
    <cellStyle name="Обычный 124 6 3 3 2 5" xfId="24013"/>
    <cellStyle name="Обычный 124 6 3 3 3" xfId="25845"/>
    <cellStyle name="Обычный 124 6 3 3 3 2" xfId="33156"/>
    <cellStyle name="Обычный 124 6 3 3 3 2 2" xfId="47976"/>
    <cellStyle name="Обычный 124 6 3 3 3 3" xfId="40698"/>
    <cellStyle name="Обычный 124 6 3 3 4" xfId="29502"/>
    <cellStyle name="Обычный 124 6 3 3 4 2" xfId="44326"/>
    <cellStyle name="Обычный 124 6 3 3 5" xfId="37103"/>
    <cellStyle name="Обычный 124 6 3 3 6" xfId="22184"/>
    <cellStyle name="Обычный 124 6 3 4" xfId="19367"/>
    <cellStyle name="Обычный 124 6 3 4 2" xfId="26737"/>
    <cellStyle name="Обычный 124 6 3 4 2 2" xfId="34048"/>
    <cellStyle name="Обычный 124 6 3 4 2 2 2" xfId="48868"/>
    <cellStyle name="Обычный 124 6 3 4 2 3" xfId="41577"/>
    <cellStyle name="Обычный 124 6 3 4 3" xfId="30394"/>
    <cellStyle name="Обычный 124 6 3 4 3 2" xfId="45217"/>
    <cellStyle name="Обычный 124 6 3 4 4" xfId="37891"/>
    <cellStyle name="Обычный 124 6 3 4 5" xfId="23079"/>
    <cellStyle name="Обычный 124 6 3 5" xfId="24896"/>
    <cellStyle name="Обычный 124 6 3 5 2" xfId="32207"/>
    <cellStyle name="Обычный 124 6 3 5 2 2" xfId="47030"/>
    <cellStyle name="Обычный 124 6 3 5 3" xfId="39791"/>
    <cellStyle name="Обычный 124 6 3 6" xfId="28553"/>
    <cellStyle name="Обычный 124 6 3 6 2" xfId="43390"/>
    <cellStyle name="Обычный 124 6 3 7" xfId="35884"/>
    <cellStyle name="Обычный 124 6 3 8" xfId="21235"/>
    <cellStyle name="Обычный 124 6 4" xfId="17550"/>
    <cellStyle name="Обычный 124 6 4 2" xfId="18664"/>
    <cellStyle name="Обычный 124 6 4 2 2" xfId="20543"/>
    <cellStyle name="Обычный 124 6 4 2 2 2" xfId="27869"/>
    <cellStyle name="Обычный 124 6 4 2 2 2 2" xfId="35180"/>
    <cellStyle name="Обычный 124 6 4 2 2 2 2 2" xfId="50000"/>
    <cellStyle name="Обычный 124 6 4 2 2 2 3" xfId="42708"/>
    <cellStyle name="Обычный 124 6 4 2 2 3" xfId="31526"/>
    <cellStyle name="Обычный 124 6 4 2 2 3 2" xfId="46349"/>
    <cellStyle name="Обычный 124 6 4 2 2 4" xfId="39024"/>
    <cellStyle name="Обычный 124 6 4 2 2 5" xfId="24211"/>
    <cellStyle name="Обычный 124 6 4 2 3" xfId="26043"/>
    <cellStyle name="Обычный 124 6 4 2 3 2" xfId="33354"/>
    <cellStyle name="Обычный 124 6 4 2 3 2 2" xfId="48174"/>
    <cellStyle name="Обычный 124 6 4 2 3 3" xfId="40887"/>
    <cellStyle name="Обычный 124 6 4 2 4" xfId="29700"/>
    <cellStyle name="Обычный 124 6 4 2 4 2" xfId="44524"/>
    <cellStyle name="Обычный 124 6 4 2 5" xfId="37301"/>
    <cellStyle name="Обычный 124 6 4 2 6" xfId="22382"/>
    <cellStyle name="Обычный 124 6 4 3" xfId="19594"/>
    <cellStyle name="Обычный 124 6 4 3 2" xfId="26963"/>
    <cellStyle name="Обычный 124 6 4 3 2 2" xfId="34274"/>
    <cellStyle name="Обычный 124 6 4 3 2 2 2" xfId="49094"/>
    <cellStyle name="Обычный 124 6 4 3 2 3" xfId="41803"/>
    <cellStyle name="Обычный 124 6 4 3 3" xfId="30620"/>
    <cellStyle name="Обычный 124 6 4 3 3 2" xfId="45443"/>
    <cellStyle name="Обычный 124 6 4 3 4" xfId="38117"/>
    <cellStyle name="Обычный 124 6 4 3 5" xfId="23305"/>
    <cellStyle name="Обычный 124 6 4 4" xfId="25122"/>
    <cellStyle name="Обычный 124 6 4 4 2" xfId="32433"/>
    <cellStyle name="Обычный 124 6 4 4 2 2" xfId="47256"/>
    <cellStyle name="Обычный 124 6 4 4 3" xfId="40016"/>
    <cellStyle name="Обычный 124 6 4 5" xfId="28779"/>
    <cellStyle name="Обычный 124 6 4 5 2" xfId="43616"/>
    <cellStyle name="Обычный 124 6 4 6" xfId="36330"/>
    <cellStyle name="Обычный 124 6 4 7" xfId="21461"/>
    <cellStyle name="Обычный 124 6 5" xfId="18460"/>
    <cellStyle name="Обычный 124 6 5 2" xfId="20342"/>
    <cellStyle name="Обычный 124 6 5 2 2" xfId="27668"/>
    <cellStyle name="Обычный 124 6 5 2 2 2" xfId="34979"/>
    <cellStyle name="Обычный 124 6 5 2 2 2 2" xfId="49799"/>
    <cellStyle name="Обычный 124 6 5 2 2 3" xfId="42507"/>
    <cellStyle name="Обычный 124 6 5 2 3" xfId="31325"/>
    <cellStyle name="Обычный 124 6 5 2 3 2" xfId="46148"/>
    <cellStyle name="Обычный 124 6 5 2 4" xfId="38823"/>
    <cellStyle name="Обычный 124 6 5 2 5" xfId="24010"/>
    <cellStyle name="Обычный 124 6 5 3" xfId="25842"/>
    <cellStyle name="Обычный 124 6 5 3 2" xfId="33153"/>
    <cellStyle name="Обычный 124 6 5 3 2 2" xfId="47973"/>
    <cellStyle name="Обычный 124 6 5 3 3" xfId="40695"/>
    <cellStyle name="Обычный 124 6 5 4" xfId="29499"/>
    <cellStyle name="Обычный 124 6 5 4 2" xfId="44323"/>
    <cellStyle name="Обычный 124 6 5 5" xfId="37100"/>
    <cellStyle name="Обычный 124 6 5 6" xfId="22181"/>
    <cellStyle name="Обычный 124 6 6" xfId="19146"/>
    <cellStyle name="Обычный 124 6 6 2" xfId="26518"/>
    <cellStyle name="Обычный 124 6 6 2 2" xfId="33829"/>
    <cellStyle name="Обычный 124 6 6 2 2 2" xfId="48649"/>
    <cellStyle name="Обычный 124 6 6 2 3" xfId="41358"/>
    <cellStyle name="Обычный 124 6 6 3" xfId="30175"/>
    <cellStyle name="Обычный 124 6 6 3 2" xfId="44998"/>
    <cellStyle name="Обычный 124 6 6 4" xfId="37672"/>
    <cellStyle name="Обычный 124 6 6 5" xfId="22860"/>
    <cellStyle name="Обычный 124 6 7" xfId="24672"/>
    <cellStyle name="Обычный 124 6 7 2" xfId="31983"/>
    <cellStyle name="Обычный 124 6 7 2 2" xfId="46806"/>
    <cellStyle name="Обычный 124 6 7 3" xfId="39592"/>
    <cellStyle name="Обычный 124 6 8" xfId="28329"/>
    <cellStyle name="Обычный 124 6 8 2" xfId="43166"/>
    <cellStyle name="Обычный 124 6 9" xfId="35881"/>
    <cellStyle name="Обычный 124 7" xfId="17378"/>
    <cellStyle name="Обычный 124 7 2" xfId="17830"/>
    <cellStyle name="Обычный 124 7 2 2" xfId="18944"/>
    <cellStyle name="Обычный 124 7 2 2 2" xfId="20823"/>
    <cellStyle name="Обычный 124 7 2 2 2 2" xfId="24491"/>
    <cellStyle name="Обычный 124 7 2 2 2 2 2" xfId="28149"/>
    <cellStyle name="Обычный 124 7 2 2 2 2 2 2" xfId="35460"/>
    <cellStyle name="Обычный 124 7 2 2 2 2 2 2 2" xfId="50280"/>
    <cellStyle name="Обычный 124 7 2 2 2 2 2 3" xfId="42988"/>
    <cellStyle name="Обычный 124 7 2 2 2 2 3" xfId="31806"/>
    <cellStyle name="Обычный 124 7 2 2 2 2 3 2" xfId="46629"/>
    <cellStyle name="Обычный 124 7 2 2 2 2 4" xfId="39449"/>
    <cellStyle name="Обычный 124 7 2 2 2 3" xfId="26323"/>
    <cellStyle name="Обычный 124 7 2 2 2 3 2" xfId="33634"/>
    <cellStyle name="Обычный 124 7 2 2 2 3 2 2" xfId="48454"/>
    <cellStyle name="Обычный 124 7 2 2 2 3 3" xfId="41167"/>
    <cellStyle name="Обычный 124 7 2 2 2 4" xfId="29980"/>
    <cellStyle name="Обычный 124 7 2 2 2 4 2" xfId="44804"/>
    <cellStyle name="Обычный 124 7 2 2 2 5" xfId="39304"/>
    <cellStyle name="Обычный 124 7 2 2 2 6" xfId="22662"/>
    <cellStyle name="Обычный 124 7 2 2 3" xfId="19874"/>
    <cellStyle name="Обычный 124 7 2 2 3 2" xfId="27243"/>
    <cellStyle name="Обычный 124 7 2 2 3 2 2" xfId="34554"/>
    <cellStyle name="Обычный 124 7 2 2 3 2 2 2" xfId="49374"/>
    <cellStyle name="Обычный 124 7 2 2 3 2 3" xfId="42083"/>
    <cellStyle name="Обычный 124 7 2 2 3 3" xfId="30900"/>
    <cellStyle name="Обычный 124 7 2 2 3 3 2" xfId="45723"/>
    <cellStyle name="Обычный 124 7 2 2 3 4" xfId="38397"/>
    <cellStyle name="Обычный 124 7 2 2 3 5" xfId="23585"/>
    <cellStyle name="Обычный 124 7 2 2 4" xfId="25402"/>
    <cellStyle name="Обычный 124 7 2 2 4 2" xfId="32713"/>
    <cellStyle name="Обычный 124 7 2 2 4 2 2" xfId="47536"/>
    <cellStyle name="Обычный 124 7 2 2 4 3" xfId="40290"/>
    <cellStyle name="Обычный 124 7 2 2 5" xfId="29059"/>
    <cellStyle name="Обычный 124 7 2 2 5 2" xfId="43896"/>
    <cellStyle name="Обычный 124 7 2 2 6" xfId="36335"/>
    <cellStyle name="Обычный 124 7 2 2 7" xfId="21741"/>
    <cellStyle name="Обычный 124 7 2 3" xfId="18465"/>
    <cellStyle name="Обычный 124 7 2 3 2" xfId="20347"/>
    <cellStyle name="Обычный 124 7 2 3 2 2" xfId="27673"/>
    <cellStyle name="Обычный 124 7 2 3 2 2 2" xfId="34984"/>
    <cellStyle name="Обычный 124 7 2 3 2 2 2 2" xfId="49804"/>
    <cellStyle name="Обычный 124 7 2 3 2 2 3" xfId="42512"/>
    <cellStyle name="Обычный 124 7 2 3 2 3" xfId="31330"/>
    <cellStyle name="Обычный 124 7 2 3 2 3 2" xfId="46153"/>
    <cellStyle name="Обычный 124 7 2 3 2 4" xfId="38828"/>
    <cellStyle name="Обычный 124 7 2 3 2 5" xfId="24015"/>
    <cellStyle name="Обычный 124 7 2 3 3" xfId="25847"/>
    <cellStyle name="Обычный 124 7 2 3 3 2" xfId="33158"/>
    <cellStyle name="Обычный 124 7 2 3 3 2 2" xfId="47978"/>
    <cellStyle name="Обычный 124 7 2 3 3 3" xfId="40700"/>
    <cellStyle name="Обычный 124 7 2 3 4" xfId="29504"/>
    <cellStyle name="Обычный 124 7 2 3 4 2" xfId="44328"/>
    <cellStyle name="Обычный 124 7 2 3 5" xfId="37105"/>
    <cellStyle name="Обычный 124 7 2 3 6" xfId="22186"/>
    <cellStyle name="Обычный 124 7 2 4" xfId="19423"/>
    <cellStyle name="Обычный 124 7 2 4 2" xfId="26793"/>
    <cellStyle name="Обычный 124 7 2 4 2 2" xfId="34104"/>
    <cellStyle name="Обычный 124 7 2 4 2 2 2" xfId="48924"/>
    <cellStyle name="Обычный 124 7 2 4 2 3" xfId="41633"/>
    <cellStyle name="Обычный 124 7 2 4 3" xfId="30450"/>
    <cellStyle name="Обычный 124 7 2 4 3 2" xfId="45273"/>
    <cellStyle name="Обычный 124 7 2 4 4" xfId="37947"/>
    <cellStyle name="Обычный 124 7 2 4 5" xfId="23135"/>
    <cellStyle name="Обычный 124 7 2 5" xfId="24952"/>
    <cellStyle name="Обычный 124 7 2 5 2" xfId="32263"/>
    <cellStyle name="Обычный 124 7 2 5 2 2" xfId="47086"/>
    <cellStyle name="Обычный 124 7 2 5 3" xfId="39847"/>
    <cellStyle name="Обычный 124 7 2 6" xfId="28609"/>
    <cellStyle name="Обычный 124 7 2 6 2" xfId="43446"/>
    <cellStyle name="Обычный 124 7 2 7" xfId="35886"/>
    <cellStyle name="Обычный 124 7 2 8" xfId="21291"/>
    <cellStyle name="Обычный 124 7 3" xfId="17606"/>
    <cellStyle name="Обычный 124 7 3 2" xfId="18720"/>
    <cellStyle name="Обычный 124 7 3 2 2" xfId="20599"/>
    <cellStyle name="Обычный 124 7 3 2 2 2" xfId="27925"/>
    <cellStyle name="Обычный 124 7 3 2 2 2 2" xfId="35236"/>
    <cellStyle name="Обычный 124 7 3 2 2 2 2 2" xfId="50056"/>
    <cellStyle name="Обычный 124 7 3 2 2 2 3" xfId="42764"/>
    <cellStyle name="Обычный 124 7 3 2 2 3" xfId="31582"/>
    <cellStyle name="Обычный 124 7 3 2 2 3 2" xfId="46405"/>
    <cellStyle name="Обычный 124 7 3 2 2 4" xfId="39080"/>
    <cellStyle name="Обычный 124 7 3 2 2 5" xfId="24267"/>
    <cellStyle name="Обычный 124 7 3 2 3" xfId="26099"/>
    <cellStyle name="Обычный 124 7 3 2 3 2" xfId="33410"/>
    <cellStyle name="Обычный 124 7 3 2 3 2 2" xfId="48230"/>
    <cellStyle name="Обычный 124 7 3 2 3 3" xfId="40943"/>
    <cellStyle name="Обычный 124 7 3 2 4" xfId="29756"/>
    <cellStyle name="Обычный 124 7 3 2 4 2" xfId="44580"/>
    <cellStyle name="Обычный 124 7 3 2 5" xfId="37357"/>
    <cellStyle name="Обычный 124 7 3 2 6" xfId="22438"/>
    <cellStyle name="Обычный 124 7 3 3" xfId="19650"/>
    <cellStyle name="Обычный 124 7 3 3 2" xfId="27019"/>
    <cellStyle name="Обычный 124 7 3 3 2 2" xfId="34330"/>
    <cellStyle name="Обычный 124 7 3 3 2 2 2" xfId="49150"/>
    <cellStyle name="Обычный 124 7 3 3 2 3" xfId="41859"/>
    <cellStyle name="Обычный 124 7 3 3 3" xfId="30676"/>
    <cellStyle name="Обычный 124 7 3 3 3 2" xfId="45499"/>
    <cellStyle name="Обычный 124 7 3 3 4" xfId="38173"/>
    <cellStyle name="Обычный 124 7 3 3 5" xfId="23361"/>
    <cellStyle name="Обычный 124 7 3 4" xfId="25178"/>
    <cellStyle name="Обычный 124 7 3 4 2" xfId="32489"/>
    <cellStyle name="Обычный 124 7 3 4 2 2" xfId="47312"/>
    <cellStyle name="Обычный 124 7 3 4 3" xfId="40070"/>
    <cellStyle name="Обычный 124 7 3 5" xfId="28835"/>
    <cellStyle name="Обычный 124 7 3 5 2" xfId="43672"/>
    <cellStyle name="Обычный 124 7 3 6" xfId="36334"/>
    <cellStyle name="Обычный 124 7 3 7" xfId="21517"/>
    <cellStyle name="Обычный 124 7 4" xfId="18464"/>
    <cellStyle name="Обычный 124 7 4 2" xfId="20346"/>
    <cellStyle name="Обычный 124 7 4 2 2" xfId="27672"/>
    <cellStyle name="Обычный 124 7 4 2 2 2" xfId="34983"/>
    <cellStyle name="Обычный 124 7 4 2 2 2 2" xfId="49803"/>
    <cellStyle name="Обычный 124 7 4 2 2 3" xfId="42511"/>
    <cellStyle name="Обычный 124 7 4 2 3" xfId="31329"/>
    <cellStyle name="Обычный 124 7 4 2 3 2" xfId="46152"/>
    <cellStyle name="Обычный 124 7 4 2 4" xfId="38827"/>
    <cellStyle name="Обычный 124 7 4 2 5" xfId="24014"/>
    <cellStyle name="Обычный 124 7 4 3" xfId="25846"/>
    <cellStyle name="Обычный 124 7 4 3 2" xfId="33157"/>
    <cellStyle name="Обычный 124 7 4 3 2 2" xfId="47977"/>
    <cellStyle name="Обычный 124 7 4 3 3" xfId="40699"/>
    <cellStyle name="Обычный 124 7 4 4" xfId="29503"/>
    <cellStyle name="Обычный 124 7 4 4 2" xfId="44327"/>
    <cellStyle name="Обычный 124 7 4 5" xfId="37104"/>
    <cellStyle name="Обычный 124 7 4 6" xfId="22185"/>
    <cellStyle name="Обычный 124 7 5" xfId="19201"/>
    <cellStyle name="Обычный 124 7 5 2" xfId="26571"/>
    <cellStyle name="Обычный 124 7 5 2 2" xfId="33882"/>
    <cellStyle name="Обычный 124 7 5 2 2 2" xfId="48702"/>
    <cellStyle name="Обычный 124 7 5 2 3" xfId="41411"/>
    <cellStyle name="Обычный 124 7 5 3" xfId="30228"/>
    <cellStyle name="Обычный 124 7 5 3 2" xfId="45051"/>
    <cellStyle name="Обычный 124 7 5 4" xfId="37725"/>
    <cellStyle name="Обычный 124 7 5 5" xfId="22913"/>
    <cellStyle name="Обычный 124 7 6" xfId="24728"/>
    <cellStyle name="Обычный 124 7 6 2" xfId="32039"/>
    <cellStyle name="Обычный 124 7 6 2 2" xfId="46862"/>
    <cellStyle name="Обычный 124 7 6 3" xfId="39632"/>
    <cellStyle name="Обычный 124 7 7" xfId="28385"/>
    <cellStyle name="Обычный 124 7 7 2" xfId="43222"/>
    <cellStyle name="Обычный 124 7 8" xfId="35885"/>
    <cellStyle name="Обычный 124 7 9" xfId="21067"/>
    <cellStyle name="Обычный 124 8" xfId="17254"/>
    <cellStyle name="Обычный 124 8 2" xfId="17718"/>
    <cellStyle name="Обычный 124 8 2 2" xfId="18832"/>
    <cellStyle name="Обычный 124 8 2 2 2" xfId="20711"/>
    <cellStyle name="Обычный 124 8 2 2 2 2" xfId="28037"/>
    <cellStyle name="Обычный 124 8 2 2 2 2 2" xfId="35348"/>
    <cellStyle name="Обычный 124 8 2 2 2 2 2 2" xfId="50168"/>
    <cellStyle name="Обычный 124 8 2 2 2 2 3" xfId="42876"/>
    <cellStyle name="Обычный 124 8 2 2 2 3" xfId="31694"/>
    <cellStyle name="Обычный 124 8 2 2 2 3 2" xfId="46517"/>
    <cellStyle name="Обычный 124 8 2 2 2 4" xfId="39192"/>
    <cellStyle name="Обычный 124 8 2 2 2 5" xfId="24379"/>
    <cellStyle name="Обычный 124 8 2 2 3" xfId="26211"/>
    <cellStyle name="Обычный 124 8 2 2 3 2" xfId="33522"/>
    <cellStyle name="Обычный 124 8 2 2 3 2 2" xfId="48342"/>
    <cellStyle name="Обычный 124 8 2 2 3 3" xfId="41055"/>
    <cellStyle name="Обычный 124 8 2 2 4" xfId="29868"/>
    <cellStyle name="Обычный 124 8 2 2 4 2" xfId="44692"/>
    <cellStyle name="Обычный 124 8 2 2 5" xfId="37469"/>
    <cellStyle name="Обычный 124 8 2 2 6" xfId="22550"/>
    <cellStyle name="Обычный 124 8 2 3" xfId="19762"/>
    <cellStyle name="Обычный 124 8 2 3 2" xfId="27131"/>
    <cellStyle name="Обычный 124 8 2 3 2 2" xfId="34442"/>
    <cellStyle name="Обычный 124 8 2 3 2 2 2" xfId="49262"/>
    <cellStyle name="Обычный 124 8 2 3 2 3" xfId="41971"/>
    <cellStyle name="Обычный 124 8 2 3 3" xfId="30788"/>
    <cellStyle name="Обычный 124 8 2 3 3 2" xfId="45611"/>
    <cellStyle name="Обычный 124 8 2 3 4" xfId="38285"/>
    <cellStyle name="Обычный 124 8 2 3 5" xfId="23473"/>
    <cellStyle name="Обычный 124 8 2 4" xfId="25290"/>
    <cellStyle name="Обычный 124 8 2 4 2" xfId="32601"/>
    <cellStyle name="Обычный 124 8 2 4 2 2" xfId="47424"/>
    <cellStyle name="Обычный 124 8 2 4 3" xfId="40182"/>
    <cellStyle name="Обычный 124 8 2 5" xfId="28947"/>
    <cellStyle name="Обычный 124 8 2 5 2" xfId="43784"/>
    <cellStyle name="Обычный 124 8 2 6" xfId="36336"/>
    <cellStyle name="Обычный 124 8 2 7" xfId="21629"/>
    <cellStyle name="Обычный 124 8 3" xfId="18466"/>
    <cellStyle name="Обычный 124 8 3 2" xfId="20348"/>
    <cellStyle name="Обычный 124 8 3 2 2" xfId="27674"/>
    <cellStyle name="Обычный 124 8 3 2 2 2" xfId="34985"/>
    <cellStyle name="Обычный 124 8 3 2 2 2 2" xfId="49805"/>
    <cellStyle name="Обычный 124 8 3 2 2 3" xfId="42513"/>
    <cellStyle name="Обычный 124 8 3 2 3" xfId="31331"/>
    <cellStyle name="Обычный 124 8 3 2 3 2" xfId="46154"/>
    <cellStyle name="Обычный 124 8 3 2 4" xfId="38829"/>
    <cellStyle name="Обычный 124 8 3 2 5" xfId="24016"/>
    <cellStyle name="Обычный 124 8 3 3" xfId="25848"/>
    <cellStyle name="Обычный 124 8 3 3 2" xfId="33159"/>
    <cellStyle name="Обычный 124 8 3 3 2 2" xfId="47979"/>
    <cellStyle name="Обычный 124 8 3 3 3" xfId="40701"/>
    <cellStyle name="Обычный 124 8 3 4" xfId="29505"/>
    <cellStyle name="Обычный 124 8 3 4 2" xfId="44329"/>
    <cellStyle name="Обычный 124 8 3 5" xfId="37106"/>
    <cellStyle name="Обычный 124 8 3 6" xfId="22187"/>
    <cellStyle name="Обычный 124 8 4" xfId="19311"/>
    <cellStyle name="Обычный 124 8 4 2" xfId="26681"/>
    <cellStyle name="Обычный 124 8 4 2 2" xfId="33992"/>
    <cellStyle name="Обычный 124 8 4 2 2 2" xfId="48812"/>
    <cellStyle name="Обычный 124 8 4 2 3" xfId="41521"/>
    <cellStyle name="Обычный 124 8 4 3" xfId="30338"/>
    <cellStyle name="Обычный 124 8 4 3 2" xfId="45161"/>
    <cellStyle name="Обычный 124 8 4 4" xfId="37835"/>
    <cellStyle name="Обычный 124 8 4 5" xfId="23023"/>
    <cellStyle name="Обычный 124 8 5" xfId="24840"/>
    <cellStyle name="Обычный 124 8 5 2" xfId="32151"/>
    <cellStyle name="Обычный 124 8 5 2 2" xfId="46974"/>
    <cellStyle name="Обычный 124 8 5 3" xfId="39739"/>
    <cellStyle name="Обычный 124 8 6" xfId="28497"/>
    <cellStyle name="Обычный 124 8 6 2" xfId="43334"/>
    <cellStyle name="Обычный 124 8 7" xfId="35887"/>
    <cellStyle name="Обычный 124 8 8" xfId="21179"/>
    <cellStyle name="Обычный 124 9" xfId="17494"/>
    <cellStyle name="Обычный 124 9 2" xfId="19055"/>
    <cellStyle name="Обычный 124 9 2 2" xfId="20934"/>
    <cellStyle name="Обычный 124 9 2 2 2" xfId="24602"/>
    <cellStyle name="Обычный 124 9 2 2 2 2" xfId="28260"/>
    <cellStyle name="Обычный 124 9 2 2 2 2 2" xfId="35571"/>
    <cellStyle name="Обычный 124 9 2 2 2 2 2 2" xfId="50391"/>
    <cellStyle name="Обычный 124 9 2 2 2 2 3" xfId="43099"/>
    <cellStyle name="Обычный 124 9 2 2 2 3" xfId="31917"/>
    <cellStyle name="Обычный 124 9 2 2 2 3 2" xfId="46740"/>
    <cellStyle name="Обычный 124 9 2 2 2 4" xfId="39533"/>
    <cellStyle name="Обычный 124 9 2 2 3" xfId="26434"/>
    <cellStyle name="Обычный 124 9 2 2 3 2" xfId="33745"/>
    <cellStyle name="Обычный 124 9 2 2 3 2 2" xfId="48565"/>
    <cellStyle name="Обычный 124 9 2 2 3 3" xfId="41278"/>
    <cellStyle name="Обычный 124 9 2 2 4" xfId="30091"/>
    <cellStyle name="Обычный 124 9 2 2 4 2" xfId="44915"/>
    <cellStyle name="Обычный 124 9 2 2 5" xfId="39415"/>
    <cellStyle name="Обычный 124 9 2 2 6" xfId="22773"/>
    <cellStyle name="Обычный 124 9 2 3" xfId="19985"/>
    <cellStyle name="Обычный 124 9 2 3 2" xfId="27354"/>
    <cellStyle name="Обычный 124 9 2 3 2 2" xfId="34665"/>
    <cellStyle name="Обычный 124 9 2 3 2 2 2" xfId="49485"/>
    <cellStyle name="Обычный 124 9 2 3 2 3" xfId="42194"/>
    <cellStyle name="Обычный 124 9 2 3 3" xfId="31011"/>
    <cellStyle name="Обычный 124 9 2 3 3 2" xfId="45834"/>
    <cellStyle name="Обычный 124 9 2 3 4" xfId="38508"/>
    <cellStyle name="Обычный 124 9 2 3 5" xfId="23696"/>
    <cellStyle name="Обычный 124 9 2 4" xfId="25513"/>
    <cellStyle name="Обычный 124 9 2 4 2" xfId="32824"/>
    <cellStyle name="Обычный 124 9 2 4 2 2" xfId="47647"/>
    <cellStyle name="Обычный 124 9 2 4 3" xfId="40401"/>
    <cellStyle name="Обычный 124 9 2 5" xfId="29170"/>
    <cellStyle name="Обычный 124 9 2 5 2" xfId="44007"/>
    <cellStyle name="Обычный 124 9 2 6" xfId="37588"/>
    <cellStyle name="Обычный 124 9 2 7" xfId="21852"/>
    <cellStyle name="Обычный 124 9 3" xfId="18604"/>
    <cellStyle name="Обычный 124 9 3 2" xfId="20484"/>
    <cellStyle name="Обычный 124 9 3 2 2" xfId="27810"/>
    <cellStyle name="Обычный 124 9 3 2 2 2" xfId="35121"/>
    <cellStyle name="Обычный 124 9 3 2 2 2 2" xfId="49941"/>
    <cellStyle name="Обычный 124 9 3 2 2 3" xfId="42649"/>
    <cellStyle name="Обычный 124 9 3 2 3" xfId="31467"/>
    <cellStyle name="Обычный 124 9 3 2 3 2" xfId="46290"/>
    <cellStyle name="Обычный 124 9 3 2 4" xfId="38965"/>
    <cellStyle name="Обычный 124 9 3 2 5" xfId="24152"/>
    <cellStyle name="Обычный 124 9 3 3" xfId="25984"/>
    <cellStyle name="Обычный 124 9 3 3 2" xfId="33295"/>
    <cellStyle name="Обычный 124 9 3 3 2 2" xfId="48115"/>
    <cellStyle name="Обычный 124 9 3 3 3" xfId="40828"/>
    <cellStyle name="Обычный 124 9 3 4" xfId="29641"/>
    <cellStyle name="Обычный 124 9 3 4 2" xfId="44465"/>
    <cellStyle name="Обычный 124 9 3 5" xfId="37242"/>
    <cellStyle name="Обычный 124 9 3 6" xfId="22323"/>
    <cellStyle name="Обычный 124 9 4" xfId="19534"/>
    <cellStyle name="Обычный 124 9 4 2" xfId="26904"/>
    <cellStyle name="Обычный 124 9 4 2 2" xfId="34215"/>
    <cellStyle name="Обычный 124 9 4 2 2 2" xfId="49035"/>
    <cellStyle name="Обычный 124 9 4 2 3" xfId="41744"/>
    <cellStyle name="Обычный 124 9 4 3" xfId="30561"/>
    <cellStyle name="Обычный 124 9 4 3 2" xfId="45384"/>
    <cellStyle name="Обычный 124 9 4 4" xfId="38058"/>
    <cellStyle name="Обычный 124 9 4 5" xfId="23246"/>
    <cellStyle name="Обычный 124 9 5" xfId="25063"/>
    <cellStyle name="Обычный 124 9 5 2" xfId="32374"/>
    <cellStyle name="Обычный 124 9 5 2 2" xfId="47197"/>
    <cellStyle name="Обычный 124 9 5 3" xfId="39958"/>
    <cellStyle name="Обычный 124 9 6" xfId="28720"/>
    <cellStyle name="Обычный 124 9 6 2" xfId="43557"/>
    <cellStyle name="Обычный 124 9 7" xfId="36032"/>
    <cellStyle name="Обычный 124 9 8" xfId="21402"/>
    <cellStyle name="Обычный 13" xfId="4202"/>
    <cellStyle name="Обычный 13 2" xfId="16865"/>
    <cellStyle name="Обычный 13 3" xfId="17229"/>
    <cellStyle name="Обычный 13 3 2" xfId="17289"/>
    <cellStyle name="Обычный 13 3 3" xfId="36653"/>
    <cellStyle name="Обычный 13 4" xfId="17188"/>
    <cellStyle name="Обычный 13 4 2" xfId="20009"/>
    <cellStyle name="Обычный 13 4 3" xfId="36641"/>
    <cellStyle name="Обычный 13 5" xfId="17993"/>
    <cellStyle name="Обычный 13 5 2" xfId="19117"/>
    <cellStyle name="Обычный 13 5 3" xfId="36698"/>
    <cellStyle name="Обычный 13 6" xfId="36529"/>
    <cellStyle name="Обычный 13 7" xfId="14361"/>
    <cellStyle name="Обычный 14" xfId="14362"/>
    <cellStyle name="Обычный 14 10" xfId="28299"/>
    <cellStyle name="Обычный 14 10 2" xfId="43136"/>
    <cellStyle name="Обычный 14 11" xfId="35888"/>
    <cellStyle name="Обычный 14 12" xfId="20981"/>
    <cellStyle name="Обычный 14 2" xfId="17230"/>
    <cellStyle name="Обычный 14 2 10" xfId="21037"/>
    <cellStyle name="Обычный 14 2 2" xfId="17462"/>
    <cellStyle name="Обычный 14 2 2 2" xfId="17912"/>
    <cellStyle name="Обычный 14 2 2 2 2" xfId="19026"/>
    <cellStyle name="Обычный 14 2 2 2 2 2" xfId="20905"/>
    <cellStyle name="Обычный 14 2 2 2 2 2 2" xfId="24573"/>
    <cellStyle name="Обычный 14 2 2 2 2 2 2 2" xfId="28231"/>
    <cellStyle name="Обычный 14 2 2 2 2 2 2 2 2" xfId="35542"/>
    <cellStyle name="Обычный 14 2 2 2 2 2 2 2 2 2" xfId="50362"/>
    <cellStyle name="Обычный 14 2 2 2 2 2 2 2 3" xfId="43070"/>
    <cellStyle name="Обычный 14 2 2 2 2 2 2 3" xfId="31888"/>
    <cellStyle name="Обычный 14 2 2 2 2 2 2 3 2" xfId="46711"/>
    <cellStyle name="Обычный 14 2 2 2 2 2 2 4" xfId="39506"/>
    <cellStyle name="Обычный 14 2 2 2 2 2 3" xfId="26405"/>
    <cellStyle name="Обычный 14 2 2 2 2 2 3 2" xfId="33716"/>
    <cellStyle name="Обычный 14 2 2 2 2 2 3 2 2" xfId="48536"/>
    <cellStyle name="Обычный 14 2 2 2 2 2 3 3" xfId="41249"/>
    <cellStyle name="Обычный 14 2 2 2 2 2 4" xfId="30062"/>
    <cellStyle name="Обычный 14 2 2 2 2 2 4 2" xfId="44886"/>
    <cellStyle name="Обычный 14 2 2 2 2 2 5" xfId="39386"/>
    <cellStyle name="Обычный 14 2 2 2 2 2 6" xfId="22744"/>
    <cellStyle name="Обычный 14 2 2 2 2 3" xfId="19956"/>
    <cellStyle name="Обычный 14 2 2 2 2 3 2" xfId="27325"/>
    <cellStyle name="Обычный 14 2 2 2 2 3 2 2" xfId="34636"/>
    <cellStyle name="Обычный 14 2 2 2 2 3 2 2 2" xfId="49456"/>
    <cellStyle name="Обычный 14 2 2 2 2 3 2 3" xfId="42165"/>
    <cellStyle name="Обычный 14 2 2 2 2 3 3" xfId="30982"/>
    <cellStyle name="Обычный 14 2 2 2 2 3 3 2" xfId="45805"/>
    <cellStyle name="Обычный 14 2 2 2 2 3 4" xfId="38479"/>
    <cellStyle name="Обычный 14 2 2 2 2 3 5" xfId="23667"/>
    <cellStyle name="Обычный 14 2 2 2 2 4" xfId="25484"/>
    <cellStyle name="Обычный 14 2 2 2 2 4 2" xfId="32795"/>
    <cellStyle name="Обычный 14 2 2 2 2 4 2 2" xfId="47618"/>
    <cellStyle name="Обычный 14 2 2 2 2 4 3" xfId="40372"/>
    <cellStyle name="Обычный 14 2 2 2 2 5" xfId="29141"/>
    <cellStyle name="Обычный 14 2 2 2 2 5 2" xfId="43978"/>
    <cellStyle name="Обычный 14 2 2 2 2 6" xfId="36340"/>
    <cellStyle name="Обычный 14 2 2 2 2 7" xfId="21823"/>
    <cellStyle name="Обычный 14 2 2 2 3" xfId="18470"/>
    <cellStyle name="Обычный 14 2 2 2 3 2" xfId="20352"/>
    <cellStyle name="Обычный 14 2 2 2 3 2 2" xfId="27678"/>
    <cellStyle name="Обычный 14 2 2 2 3 2 2 2" xfId="34989"/>
    <cellStyle name="Обычный 14 2 2 2 3 2 2 2 2" xfId="49809"/>
    <cellStyle name="Обычный 14 2 2 2 3 2 2 3" xfId="42517"/>
    <cellStyle name="Обычный 14 2 2 2 3 2 3" xfId="31335"/>
    <cellStyle name="Обычный 14 2 2 2 3 2 3 2" xfId="46158"/>
    <cellStyle name="Обычный 14 2 2 2 3 2 4" xfId="38833"/>
    <cellStyle name="Обычный 14 2 2 2 3 2 5" xfId="24020"/>
    <cellStyle name="Обычный 14 2 2 2 3 3" xfId="25852"/>
    <cellStyle name="Обычный 14 2 2 2 3 3 2" xfId="33163"/>
    <cellStyle name="Обычный 14 2 2 2 3 3 2 2" xfId="47983"/>
    <cellStyle name="Обычный 14 2 2 2 3 3 3" xfId="40704"/>
    <cellStyle name="Обычный 14 2 2 2 3 4" xfId="29509"/>
    <cellStyle name="Обычный 14 2 2 2 3 4 2" xfId="44333"/>
    <cellStyle name="Обычный 14 2 2 2 3 5" xfId="37110"/>
    <cellStyle name="Обычный 14 2 2 2 3 6" xfId="22191"/>
    <cellStyle name="Обычный 14 2 2 2 4" xfId="19505"/>
    <cellStyle name="Обычный 14 2 2 2 4 2" xfId="26875"/>
    <cellStyle name="Обычный 14 2 2 2 4 2 2" xfId="34186"/>
    <cellStyle name="Обычный 14 2 2 2 4 2 2 2" xfId="49006"/>
    <cellStyle name="Обычный 14 2 2 2 4 2 3" xfId="41715"/>
    <cellStyle name="Обычный 14 2 2 2 4 3" xfId="30532"/>
    <cellStyle name="Обычный 14 2 2 2 4 3 2" xfId="45355"/>
    <cellStyle name="Обычный 14 2 2 2 4 4" xfId="38029"/>
    <cellStyle name="Обычный 14 2 2 2 4 5" xfId="23217"/>
    <cellStyle name="Обычный 14 2 2 2 5" xfId="25034"/>
    <cellStyle name="Обычный 14 2 2 2 5 2" xfId="32345"/>
    <cellStyle name="Обычный 14 2 2 2 5 2 2" xfId="47168"/>
    <cellStyle name="Обычный 14 2 2 2 5 3" xfId="39929"/>
    <cellStyle name="Обычный 14 2 2 2 6" xfId="28691"/>
    <cellStyle name="Обычный 14 2 2 2 6 2" xfId="43528"/>
    <cellStyle name="Обычный 14 2 2 2 7" xfId="35891"/>
    <cellStyle name="Обычный 14 2 2 2 8" xfId="21373"/>
    <cellStyle name="Обычный 14 2 2 3" xfId="17688"/>
    <cellStyle name="Обычный 14 2 2 3 2" xfId="18802"/>
    <cellStyle name="Обычный 14 2 2 3 2 2" xfId="20681"/>
    <cellStyle name="Обычный 14 2 2 3 2 2 2" xfId="28007"/>
    <cellStyle name="Обычный 14 2 2 3 2 2 2 2" xfId="35318"/>
    <cellStyle name="Обычный 14 2 2 3 2 2 2 2 2" xfId="50138"/>
    <cellStyle name="Обычный 14 2 2 3 2 2 2 3" xfId="42846"/>
    <cellStyle name="Обычный 14 2 2 3 2 2 3" xfId="31664"/>
    <cellStyle name="Обычный 14 2 2 3 2 2 3 2" xfId="46487"/>
    <cellStyle name="Обычный 14 2 2 3 2 2 4" xfId="39162"/>
    <cellStyle name="Обычный 14 2 2 3 2 2 5" xfId="24349"/>
    <cellStyle name="Обычный 14 2 2 3 2 3" xfId="26181"/>
    <cellStyle name="Обычный 14 2 2 3 2 3 2" xfId="33492"/>
    <cellStyle name="Обычный 14 2 2 3 2 3 2 2" xfId="48312"/>
    <cellStyle name="Обычный 14 2 2 3 2 3 3" xfId="41025"/>
    <cellStyle name="Обычный 14 2 2 3 2 4" xfId="29838"/>
    <cellStyle name="Обычный 14 2 2 3 2 4 2" xfId="44662"/>
    <cellStyle name="Обычный 14 2 2 3 2 5" xfId="37439"/>
    <cellStyle name="Обычный 14 2 2 3 2 6" xfId="22520"/>
    <cellStyle name="Обычный 14 2 2 3 3" xfId="19732"/>
    <cellStyle name="Обычный 14 2 2 3 3 2" xfId="27101"/>
    <cellStyle name="Обычный 14 2 2 3 3 2 2" xfId="34412"/>
    <cellStyle name="Обычный 14 2 2 3 3 2 2 2" xfId="49232"/>
    <cellStyle name="Обычный 14 2 2 3 3 2 3" xfId="41941"/>
    <cellStyle name="Обычный 14 2 2 3 3 3" xfId="30758"/>
    <cellStyle name="Обычный 14 2 2 3 3 3 2" xfId="45581"/>
    <cellStyle name="Обычный 14 2 2 3 3 4" xfId="38255"/>
    <cellStyle name="Обычный 14 2 2 3 3 5" xfId="23443"/>
    <cellStyle name="Обычный 14 2 2 3 4" xfId="25260"/>
    <cellStyle name="Обычный 14 2 2 3 4 2" xfId="32571"/>
    <cellStyle name="Обычный 14 2 2 3 4 2 2" xfId="47394"/>
    <cellStyle name="Обычный 14 2 2 3 4 3" xfId="40152"/>
    <cellStyle name="Обычный 14 2 2 3 5" xfId="28917"/>
    <cellStyle name="Обычный 14 2 2 3 5 2" xfId="43754"/>
    <cellStyle name="Обычный 14 2 2 3 6" xfId="36339"/>
    <cellStyle name="Обычный 14 2 2 3 7" xfId="21599"/>
    <cellStyle name="Обычный 14 2 2 4" xfId="18469"/>
    <cellStyle name="Обычный 14 2 2 4 2" xfId="20351"/>
    <cellStyle name="Обычный 14 2 2 4 2 2" xfId="27677"/>
    <cellStyle name="Обычный 14 2 2 4 2 2 2" xfId="34988"/>
    <cellStyle name="Обычный 14 2 2 4 2 2 2 2" xfId="49808"/>
    <cellStyle name="Обычный 14 2 2 4 2 2 3" xfId="42516"/>
    <cellStyle name="Обычный 14 2 2 4 2 3" xfId="31334"/>
    <cellStyle name="Обычный 14 2 2 4 2 3 2" xfId="46157"/>
    <cellStyle name="Обычный 14 2 2 4 2 4" xfId="38832"/>
    <cellStyle name="Обычный 14 2 2 4 2 5" xfId="24019"/>
    <cellStyle name="Обычный 14 2 2 4 3" xfId="25851"/>
    <cellStyle name="Обычный 14 2 2 4 3 2" xfId="33162"/>
    <cellStyle name="Обычный 14 2 2 4 3 2 2" xfId="47982"/>
    <cellStyle name="Обычный 14 2 2 4 3 3" xfId="40703"/>
    <cellStyle name="Обычный 14 2 2 4 4" xfId="29508"/>
    <cellStyle name="Обычный 14 2 2 4 4 2" xfId="44332"/>
    <cellStyle name="Обычный 14 2 2 4 5" xfId="37109"/>
    <cellStyle name="Обычный 14 2 2 4 6" xfId="22190"/>
    <cellStyle name="Обычный 14 2 2 5" xfId="19282"/>
    <cellStyle name="Обычный 14 2 2 5 2" xfId="26652"/>
    <cellStyle name="Обычный 14 2 2 5 2 2" xfId="33963"/>
    <cellStyle name="Обычный 14 2 2 5 2 2 2" xfId="48783"/>
    <cellStyle name="Обычный 14 2 2 5 2 3" xfId="41492"/>
    <cellStyle name="Обычный 14 2 2 5 3" xfId="30309"/>
    <cellStyle name="Обычный 14 2 2 5 3 2" xfId="45132"/>
    <cellStyle name="Обычный 14 2 2 5 4" xfId="37806"/>
    <cellStyle name="Обычный 14 2 2 5 5" xfId="22994"/>
    <cellStyle name="Обычный 14 2 2 6" xfId="24810"/>
    <cellStyle name="Обычный 14 2 2 6 2" xfId="32121"/>
    <cellStyle name="Обычный 14 2 2 6 2 2" xfId="46944"/>
    <cellStyle name="Обычный 14 2 2 6 3" xfId="39709"/>
    <cellStyle name="Обычный 14 2 2 7" xfId="28467"/>
    <cellStyle name="Обычный 14 2 2 7 2" xfId="43304"/>
    <cellStyle name="Обычный 14 2 2 8" xfId="35890"/>
    <cellStyle name="Обычный 14 2 2 9" xfId="21149"/>
    <cellStyle name="Обычный 14 2 3" xfId="17347"/>
    <cellStyle name="Обычный 14 2 3 2" xfId="17800"/>
    <cellStyle name="Обычный 14 2 3 2 2" xfId="18914"/>
    <cellStyle name="Обычный 14 2 3 2 2 2" xfId="20793"/>
    <cellStyle name="Обычный 14 2 3 2 2 2 2" xfId="28119"/>
    <cellStyle name="Обычный 14 2 3 2 2 2 2 2" xfId="35430"/>
    <cellStyle name="Обычный 14 2 3 2 2 2 2 2 2" xfId="50250"/>
    <cellStyle name="Обычный 14 2 3 2 2 2 2 3" xfId="42958"/>
    <cellStyle name="Обычный 14 2 3 2 2 2 3" xfId="31776"/>
    <cellStyle name="Обычный 14 2 3 2 2 2 3 2" xfId="46599"/>
    <cellStyle name="Обычный 14 2 3 2 2 2 4" xfId="39274"/>
    <cellStyle name="Обычный 14 2 3 2 2 2 5" xfId="24461"/>
    <cellStyle name="Обычный 14 2 3 2 2 3" xfId="26293"/>
    <cellStyle name="Обычный 14 2 3 2 2 3 2" xfId="33604"/>
    <cellStyle name="Обычный 14 2 3 2 2 3 2 2" xfId="48424"/>
    <cellStyle name="Обычный 14 2 3 2 2 3 3" xfId="41137"/>
    <cellStyle name="Обычный 14 2 3 2 2 4" xfId="29950"/>
    <cellStyle name="Обычный 14 2 3 2 2 4 2" xfId="44774"/>
    <cellStyle name="Обычный 14 2 3 2 2 5" xfId="37550"/>
    <cellStyle name="Обычный 14 2 3 2 2 6" xfId="22632"/>
    <cellStyle name="Обычный 14 2 3 2 3" xfId="19844"/>
    <cellStyle name="Обычный 14 2 3 2 3 2" xfId="27213"/>
    <cellStyle name="Обычный 14 2 3 2 3 2 2" xfId="34524"/>
    <cellStyle name="Обычный 14 2 3 2 3 2 2 2" xfId="49344"/>
    <cellStyle name="Обычный 14 2 3 2 3 2 3" xfId="42053"/>
    <cellStyle name="Обычный 14 2 3 2 3 3" xfId="30870"/>
    <cellStyle name="Обычный 14 2 3 2 3 3 2" xfId="45693"/>
    <cellStyle name="Обычный 14 2 3 2 3 4" xfId="38367"/>
    <cellStyle name="Обычный 14 2 3 2 3 5" xfId="23555"/>
    <cellStyle name="Обычный 14 2 3 2 4" xfId="25372"/>
    <cellStyle name="Обычный 14 2 3 2 4 2" xfId="32683"/>
    <cellStyle name="Обычный 14 2 3 2 4 2 2" xfId="47506"/>
    <cellStyle name="Обычный 14 2 3 2 4 3" xfId="40260"/>
    <cellStyle name="Обычный 14 2 3 2 5" xfId="29029"/>
    <cellStyle name="Обычный 14 2 3 2 5 2" xfId="43866"/>
    <cellStyle name="Обычный 14 2 3 2 6" xfId="36341"/>
    <cellStyle name="Обычный 14 2 3 2 7" xfId="21711"/>
    <cellStyle name="Обычный 14 2 3 3" xfId="18471"/>
    <cellStyle name="Обычный 14 2 3 3 2" xfId="20353"/>
    <cellStyle name="Обычный 14 2 3 3 2 2" xfId="27679"/>
    <cellStyle name="Обычный 14 2 3 3 2 2 2" xfId="34990"/>
    <cellStyle name="Обычный 14 2 3 3 2 2 2 2" xfId="49810"/>
    <cellStyle name="Обычный 14 2 3 3 2 2 3" xfId="42518"/>
    <cellStyle name="Обычный 14 2 3 3 2 3" xfId="31336"/>
    <cellStyle name="Обычный 14 2 3 3 2 3 2" xfId="46159"/>
    <cellStyle name="Обычный 14 2 3 3 2 4" xfId="38834"/>
    <cellStyle name="Обычный 14 2 3 3 2 5" xfId="24021"/>
    <cellStyle name="Обычный 14 2 3 3 3" xfId="25853"/>
    <cellStyle name="Обычный 14 2 3 3 3 2" xfId="33164"/>
    <cellStyle name="Обычный 14 2 3 3 3 2 2" xfId="47984"/>
    <cellStyle name="Обычный 14 2 3 3 3 3" xfId="40705"/>
    <cellStyle name="Обычный 14 2 3 3 4" xfId="29510"/>
    <cellStyle name="Обычный 14 2 3 3 4 2" xfId="44334"/>
    <cellStyle name="Обычный 14 2 3 3 5" xfId="37111"/>
    <cellStyle name="Обычный 14 2 3 3 6" xfId="22192"/>
    <cellStyle name="Обычный 14 2 3 4" xfId="19393"/>
    <cellStyle name="Обычный 14 2 3 4 2" xfId="26763"/>
    <cellStyle name="Обычный 14 2 3 4 2 2" xfId="34074"/>
    <cellStyle name="Обычный 14 2 3 4 2 2 2" xfId="48894"/>
    <cellStyle name="Обычный 14 2 3 4 2 3" xfId="41603"/>
    <cellStyle name="Обычный 14 2 3 4 3" xfId="30420"/>
    <cellStyle name="Обычный 14 2 3 4 3 2" xfId="45243"/>
    <cellStyle name="Обычный 14 2 3 4 4" xfId="37917"/>
    <cellStyle name="Обычный 14 2 3 4 5" xfId="23105"/>
    <cellStyle name="Обычный 14 2 3 5" xfId="24922"/>
    <cellStyle name="Обычный 14 2 3 5 2" xfId="32233"/>
    <cellStyle name="Обычный 14 2 3 5 2 2" xfId="47056"/>
    <cellStyle name="Обычный 14 2 3 5 3" xfId="39817"/>
    <cellStyle name="Обычный 14 2 3 6" xfId="28579"/>
    <cellStyle name="Обычный 14 2 3 6 2" xfId="43416"/>
    <cellStyle name="Обычный 14 2 3 7" xfId="35892"/>
    <cellStyle name="Обычный 14 2 3 8" xfId="21261"/>
    <cellStyle name="Обычный 14 2 4" xfId="17576"/>
    <cellStyle name="Обычный 14 2 4 2" xfId="18690"/>
    <cellStyle name="Обычный 14 2 4 2 2" xfId="20569"/>
    <cellStyle name="Обычный 14 2 4 2 2 2" xfId="27895"/>
    <cellStyle name="Обычный 14 2 4 2 2 2 2" xfId="35206"/>
    <cellStyle name="Обычный 14 2 4 2 2 2 2 2" xfId="50026"/>
    <cellStyle name="Обычный 14 2 4 2 2 2 3" xfId="42734"/>
    <cellStyle name="Обычный 14 2 4 2 2 3" xfId="31552"/>
    <cellStyle name="Обычный 14 2 4 2 2 3 2" xfId="46375"/>
    <cellStyle name="Обычный 14 2 4 2 2 4" xfId="39050"/>
    <cellStyle name="Обычный 14 2 4 2 2 5" xfId="24237"/>
    <cellStyle name="Обычный 14 2 4 2 3" xfId="26069"/>
    <cellStyle name="Обычный 14 2 4 2 3 2" xfId="33380"/>
    <cellStyle name="Обычный 14 2 4 2 3 2 2" xfId="48200"/>
    <cellStyle name="Обычный 14 2 4 2 3 3" xfId="40913"/>
    <cellStyle name="Обычный 14 2 4 2 4" xfId="29726"/>
    <cellStyle name="Обычный 14 2 4 2 4 2" xfId="44550"/>
    <cellStyle name="Обычный 14 2 4 2 5" xfId="37327"/>
    <cellStyle name="Обычный 14 2 4 2 6" xfId="22408"/>
    <cellStyle name="Обычный 14 2 4 3" xfId="19620"/>
    <cellStyle name="Обычный 14 2 4 3 2" xfId="26989"/>
    <cellStyle name="Обычный 14 2 4 3 2 2" xfId="34300"/>
    <cellStyle name="Обычный 14 2 4 3 2 2 2" xfId="49120"/>
    <cellStyle name="Обычный 14 2 4 3 2 3" xfId="41829"/>
    <cellStyle name="Обычный 14 2 4 3 3" xfId="30646"/>
    <cellStyle name="Обычный 14 2 4 3 3 2" xfId="45469"/>
    <cellStyle name="Обычный 14 2 4 3 4" xfId="38143"/>
    <cellStyle name="Обычный 14 2 4 3 5" xfId="23331"/>
    <cellStyle name="Обычный 14 2 4 4" xfId="25148"/>
    <cellStyle name="Обычный 14 2 4 4 2" xfId="32459"/>
    <cellStyle name="Обычный 14 2 4 4 2 2" xfId="47282"/>
    <cellStyle name="Обычный 14 2 4 4 3" xfId="40042"/>
    <cellStyle name="Обычный 14 2 4 5" xfId="28805"/>
    <cellStyle name="Обычный 14 2 4 5 2" xfId="43642"/>
    <cellStyle name="Обычный 14 2 4 6" xfId="36338"/>
    <cellStyle name="Обычный 14 2 4 7" xfId="21487"/>
    <cellStyle name="Обычный 14 2 5" xfId="18097"/>
    <cellStyle name="Обычный 14 2 5 2" xfId="20350"/>
    <cellStyle name="Обычный 14 2 5 2 2" xfId="27676"/>
    <cellStyle name="Обычный 14 2 5 2 2 2" xfId="34987"/>
    <cellStyle name="Обычный 14 2 5 2 2 2 2" xfId="49807"/>
    <cellStyle name="Обычный 14 2 5 2 2 3" xfId="42515"/>
    <cellStyle name="Обычный 14 2 5 2 3" xfId="31333"/>
    <cellStyle name="Обычный 14 2 5 2 3 2" xfId="46156"/>
    <cellStyle name="Обычный 14 2 5 2 4" xfId="38831"/>
    <cellStyle name="Обычный 14 2 5 2 5" xfId="24018"/>
    <cellStyle name="Обычный 14 2 5 3" xfId="25850"/>
    <cellStyle name="Обычный 14 2 5 3 2" xfId="33161"/>
    <cellStyle name="Обычный 14 2 5 3 2 2" xfId="47981"/>
    <cellStyle name="Обычный 14 2 5 3 3" xfId="40702"/>
    <cellStyle name="Обычный 14 2 5 4" xfId="29507"/>
    <cellStyle name="Обычный 14 2 5 4 2" xfId="44331"/>
    <cellStyle name="Обычный 14 2 5 5" xfId="36753"/>
    <cellStyle name="Обычный 14 2 5 6" xfId="22189"/>
    <cellStyle name="Обычный 14 2 6" xfId="18468"/>
    <cellStyle name="Обычный 14 2 6 2" xfId="26543"/>
    <cellStyle name="Обычный 14 2 6 2 2" xfId="33854"/>
    <cellStyle name="Обычный 14 2 6 2 2 2" xfId="48674"/>
    <cellStyle name="Обычный 14 2 6 2 3" xfId="41383"/>
    <cellStyle name="Обычный 14 2 6 3" xfId="30200"/>
    <cellStyle name="Обычный 14 2 6 3 2" xfId="45023"/>
    <cellStyle name="Обычный 14 2 6 4" xfId="37108"/>
    <cellStyle name="Обычный 14 2 6 5" xfId="22885"/>
    <cellStyle name="Обычный 14 2 7" xfId="19172"/>
    <cellStyle name="Обычный 14 2 7 2" xfId="32009"/>
    <cellStyle name="Обычный 14 2 7 2 2" xfId="46832"/>
    <cellStyle name="Обычный 14 2 7 3" xfId="37697"/>
    <cellStyle name="Обычный 14 2 7 4" xfId="24698"/>
    <cellStyle name="Обычный 14 2 8" xfId="28355"/>
    <cellStyle name="Обычный 14 2 8 2" xfId="43192"/>
    <cellStyle name="Обычный 14 2 8 3" xfId="36654"/>
    <cellStyle name="Обычный 14 2 9" xfId="35889"/>
    <cellStyle name="Обычный 14 3" xfId="17187"/>
    <cellStyle name="Обычный 14 3 2" xfId="17406"/>
    <cellStyle name="Обычный 14 3 2 2" xfId="17856"/>
    <cellStyle name="Обычный 14 3 2 2 2" xfId="18970"/>
    <cellStyle name="Обычный 14 3 2 2 2 2" xfId="20849"/>
    <cellStyle name="Обычный 14 3 2 2 2 2 2" xfId="28175"/>
    <cellStyle name="Обычный 14 3 2 2 2 2 2 2" xfId="35486"/>
    <cellStyle name="Обычный 14 3 2 2 2 2 2 2 2" xfId="50306"/>
    <cellStyle name="Обычный 14 3 2 2 2 2 2 3" xfId="43014"/>
    <cellStyle name="Обычный 14 3 2 2 2 2 3" xfId="31832"/>
    <cellStyle name="Обычный 14 3 2 2 2 2 3 2" xfId="46655"/>
    <cellStyle name="Обычный 14 3 2 2 2 2 4" xfId="39330"/>
    <cellStyle name="Обычный 14 3 2 2 2 2 5" xfId="24517"/>
    <cellStyle name="Обычный 14 3 2 2 2 3" xfId="26349"/>
    <cellStyle name="Обычный 14 3 2 2 2 3 2" xfId="33660"/>
    <cellStyle name="Обычный 14 3 2 2 2 3 2 2" xfId="48480"/>
    <cellStyle name="Обычный 14 3 2 2 2 3 3" xfId="41193"/>
    <cellStyle name="Обычный 14 3 2 2 2 4" xfId="30006"/>
    <cellStyle name="Обычный 14 3 2 2 2 4 2" xfId="44830"/>
    <cellStyle name="Обычный 14 3 2 2 2 5" xfId="37575"/>
    <cellStyle name="Обычный 14 3 2 2 2 6" xfId="22688"/>
    <cellStyle name="Обычный 14 3 2 2 3" xfId="19900"/>
    <cellStyle name="Обычный 14 3 2 2 3 2" xfId="27269"/>
    <cellStyle name="Обычный 14 3 2 2 3 2 2" xfId="34580"/>
    <cellStyle name="Обычный 14 3 2 2 3 2 2 2" xfId="49400"/>
    <cellStyle name="Обычный 14 3 2 2 3 2 3" xfId="42109"/>
    <cellStyle name="Обычный 14 3 2 2 3 3" xfId="30926"/>
    <cellStyle name="Обычный 14 3 2 2 3 3 2" xfId="45749"/>
    <cellStyle name="Обычный 14 3 2 2 3 4" xfId="38423"/>
    <cellStyle name="Обычный 14 3 2 2 3 5" xfId="23611"/>
    <cellStyle name="Обычный 14 3 2 2 4" xfId="25428"/>
    <cellStyle name="Обычный 14 3 2 2 4 2" xfId="32739"/>
    <cellStyle name="Обычный 14 3 2 2 4 2 2" xfId="47562"/>
    <cellStyle name="Обычный 14 3 2 2 4 3" xfId="40316"/>
    <cellStyle name="Обычный 14 3 2 2 5" xfId="29085"/>
    <cellStyle name="Обычный 14 3 2 2 5 2" xfId="43922"/>
    <cellStyle name="Обычный 14 3 2 2 6" xfId="36343"/>
    <cellStyle name="Обычный 14 3 2 2 7" xfId="21767"/>
    <cellStyle name="Обычный 14 3 2 3" xfId="18473"/>
    <cellStyle name="Обычный 14 3 2 3 2" xfId="20355"/>
    <cellStyle name="Обычный 14 3 2 3 2 2" xfId="27681"/>
    <cellStyle name="Обычный 14 3 2 3 2 2 2" xfId="34992"/>
    <cellStyle name="Обычный 14 3 2 3 2 2 2 2" xfId="49812"/>
    <cellStyle name="Обычный 14 3 2 3 2 2 3" xfId="42520"/>
    <cellStyle name="Обычный 14 3 2 3 2 3" xfId="31338"/>
    <cellStyle name="Обычный 14 3 2 3 2 3 2" xfId="46161"/>
    <cellStyle name="Обычный 14 3 2 3 2 4" xfId="38836"/>
    <cellStyle name="Обычный 14 3 2 3 2 5" xfId="24023"/>
    <cellStyle name="Обычный 14 3 2 3 3" xfId="25855"/>
    <cellStyle name="Обычный 14 3 2 3 3 2" xfId="33166"/>
    <cellStyle name="Обычный 14 3 2 3 3 2 2" xfId="47986"/>
    <cellStyle name="Обычный 14 3 2 3 3 3" xfId="40707"/>
    <cellStyle name="Обычный 14 3 2 3 4" xfId="29512"/>
    <cellStyle name="Обычный 14 3 2 3 4 2" xfId="44336"/>
    <cellStyle name="Обычный 14 3 2 3 5" xfId="37113"/>
    <cellStyle name="Обычный 14 3 2 3 6" xfId="22194"/>
    <cellStyle name="Обычный 14 3 2 4" xfId="19449"/>
    <cellStyle name="Обычный 14 3 2 4 2" xfId="26819"/>
    <cellStyle name="Обычный 14 3 2 4 2 2" xfId="34130"/>
    <cellStyle name="Обычный 14 3 2 4 2 2 2" xfId="48950"/>
    <cellStyle name="Обычный 14 3 2 4 2 3" xfId="41659"/>
    <cellStyle name="Обычный 14 3 2 4 3" xfId="30476"/>
    <cellStyle name="Обычный 14 3 2 4 3 2" xfId="45299"/>
    <cellStyle name="Обычный 14 3 2 4 4" xfId="37973"/>
    <cellStyle name="Обычный 14 3 2 4 5" xfId="23161"/>
    <cellStyle name="Обычный 14 3 2 5" xfId="24978"/>
    <cellStyle name="Обычный 14 3 2 5 2" xfId="32289"/>
    <cellStyle name="Обычный 14 3 2 5 2 2" xfId="47112"/>
    <cellStyle name="Обычный 14 3 2 5 3" xfId="39873"/>
    <cellStyle name="Обычный 14 3 2 6" xfId="28635"/>
    <cellStyle name="Обычный 14 3 2 6 2" xfId="43472"/>
    <cellStyle name="Обычный 14 3 2 7" xfId="35894"/>
    <cellStyle name="Обычный 14 3 2 8" xfId="21317"/>
    <cellStyle name="Обычный 14 3 3" xfId="17632"/>
    <cellStyle name="Обычный 14 3 3 2" xfId="18746"/>
    <cellStyle name="Обычный 14 3 3 2 2" xfId="20625"/>
    <cellStyle name="Обычный 14 3 3 2 2 2" xfId="27951"/>
    <cellStyle name="Обычный 14 3 3 2 2 2 2" xfId="35262"/>
    <cellStyle name="Обычный 14 3 3 2 2 2 2 2" xfId="50082"/>
    <cellStyle name="Обычный 14 3 3 2 2 2 3" xfId="42790"/>
    <cellStyle name="Обычный 14 3 3 2 2 3" xfId="31608"/>
    <cellStyle name="Обычный 14 3 3 2 2 3 2" xfId="46431"/>
    <cellStyle name="Обычный 14 3 3 2 2 4" xfId="39106"/>
    <cellStyle name="Обычный 14 3 3 2 2 5" xfId="24293"/>
    <cellStyle name="Обычный 14 3 3 2 3" xfId="26125"/>
    <cellStyle name="Обычный 14 3 3 2 3 2" xfId="33436"/>
    <cellStyle name="Обычный 14 3 3 2 3 2 2" xfId="48256"/>
    <cellStyle name="Обычный 14 3 3 2 3 3" xfId="40969"/>
    <cellStyle name="Обычный 14 3 3 2 4" xfId="29782"/>
    <cellStyle name="Обычный 14 3 3 2 4 2" xfId="44606"/>
    <cellStyle name="Обычный 14 3 3 2 5" xfId="37383"/>
    <cellStyle name="Обычный 14 3 3 2 6" xfId="22464"/>
    <cellStyle name="Обычный 14 3 3 3" xfId="19676"/>
    <cellStyle name="Обычный 14 3 3 3 2" xfId="27045"/>
    <cellStyle name="Обычный 14 3 3 3 2 2" xfId="34356"/>
    <cellStyle name="Обычный 14 3 3 3 2 2 2" xfId="49176"/>
    <cellStyle name="Обычный 14 3 3 3 2 3" xfId="41885"/>
    <cellStyle name="Обычный 14 3 3 3 3" xfId="30702"/>
    <cellStyle name="Обычный 14 3 3 3 3 2" xfId="45525"/>
    <cellStyle name="Обычный 14 3 3 3 4" xfId="38199"/>
    <cellStyle name="Обычный 14 3 3 3 5" xfId="23387"/>
    <cellStyle name="Обычный 14 3 3 4" xfId="25204"/>
    <cellStyle name="Обычный 14 3 3 4 2" xfId="32515"/>
    <cellStyle name="Обычный 14 3 3 4 2 2" xfId="47338"/>
    <cellStyle name="Обычный 14 3 3 4 3" xfId="40096"/>
    <cellStyle name="Обычный 14 3 3 5" xfId="28861"/>
    <cellStyle name="Обычный 14 3 3 5 2" xfId="43698"/>
    <cellStyle name="Обычный 14 3 3 6" xfId="36342"/>
    <cellStyle name="Обычный 14 3 3 7" xfId="21543"/>
    <cellStyle name="Обычный 14 3 4" xfId="18472"/>
    <cellStyle name="Обычный 14 3 4 2" xfId="20354"/>
    <cellStyle name="Обычный 14 3 4 2 2" xfId="27680"/>
    <cellStyle name="Обычный 14 3 4 2 2 2" xfId="34991"/>
    <cellStyle name="Обычный 14 3 4 2 2 2 2" xfId="49811"/>
    <cellStyle name="Обычный 14 3 4 2 2 3" xfId="42519"/>
    <cellStyle name="Обычный 14 3 4 2 3" xfId="31337"/>
    <cellStyle name="Обычный 14 3 4 2 3 2" xfId="46160"/>
    <cellStyle name="Обычный 14 3 4 2 4" xfId="38835"/>
    <cellStyle name="Обычный 14 3 4 2 5" xfId="24022"/>
    <cellStyle name="Обычный 14 3 4 3" xfId="25854"/>
    <cellStyle name="Обычный 14 3 4 3 2" xfId="33165"/>
    <cellStyle name="Обычный 14 3 4 3 2 2" xfId="47985"/>
    <cellStyle name="Обычный 14 3 4 3 3" xfId="40706"/>
    <cellStyle name="Обычный 14 3 4 4" xfId="29511"/>
    <cellStyle name="Обычный 14 3 4 4 2" xfId="44335"/>
    <cellStyle name="Обычный 14 3 4 5" xfId="37112"/>
    <cellStyle name="Обычный 14 3 4 6" xfId="22193"/>
    <cellStyle name="Обычный 14 3 5" xfId="19227"/>
    <cellStyle name="Обычный 14 3 5 2" xfId="26597"/>
    <cellStyle name="Обычный 14 3 5 2 2" xfId="33908"/>
    <cellStyle name="Обычный 14 3 5 2 2 2" xfId="48728"/>
    <cellStyle name="Обычный 14 3 5 2 3" xfId="41437"/>
    <cellStyle name="Обычный 14 3 5 3" xfId="30254"/>
    <cellStyle name="Обычный 14 3 5 3 2" xfId="45077"/>
    <cellStyle name="Обычный 14 3 5 4" xfId="37751"/>
    <cellStyle name="Обычный 14 3 5 5" xfId="22939"/>
    <cellStyle name="Обычный 14 3 6" xfId="24754"/>
    <cellStyle name="Обычный 14 3 6 2" xfId="32065"/>
    <cellStyle name="Обычный 14 3 6 2 2" xfId="46888"/>
    <cellStyle name="Обычный 14 3 6 3" xfId="39656"/>
    <cellStyle name="Обычный 14 3 7" xfId="28411"/>
    <cellStyle name="Обычный 14 3 7 2" xfId="43248"/>
    <cellStyle name="Обычный 14 3 8" xfId="35893"/>
    <cellStyle name="Обычный 14 3 9" xfId="21093"/>
    <cellStyle name="Обычный 14 4" xfId="17288"/>
    <cellStyle name="Обычный 14 4 2" xfId="17744"/>
    <cellStyle name="Обычный 14 4 2 2" xfId="18858"/>
    <cellStyle name="Обычный 14 4 2 2 2" xfId="20737"/>
    <cellStyle name="Обычный 14 4 2 2 2 2" xfId="28063"/>
    <cellStyle name="Обычный 14 4 2 2 2 2 2" xfId="35374"/>
    <cellStyle name="Обычный 14 4 2 2 2 2 2 2" xfId="50194"/>
    <cellStyle name="Обычный 14 4 2 2 2 2 3" xfId="42902"/>
    <cellStyle name="Обычный 14 4 2 2 2 3" xfId="31720"/>
    <cellStyle name="Обычный 14 4 2 2 2 3 2" xfId="46543"/>
    <cellStyle name="Обычный 14 4 2 2 2 4" xfId="39218"/>
    <cellStyle name="Обычный 14 4 2 2 2 5" xfId="24405"/>
    <cellStyle name="Обычный 14 4 2 2 3" xfId="26237"/>
    <cellStyle name="Обычный 14 4 2 2 3 2" xfId="33548"/>
    <cellStyle name="Обычный 14 4 2 2 3 2 2" xfId="48368"/>
    <cellStyle name="Обычный 14 4 2 2 3 3" xfId="41081"/>
    <cellStyle name="Обычный 14 4 2 2 4" xfId="29894"/>
    <cellStyle name="Обычный 14 4 2 2 4 2" xfId="44718"/>
    <cellStyle name="Обычный 14 4 2 2 5" xfId="37494"/>
    <cellStyle name="Обычный 14 4 2 2 6" xfId="22576"/>
    <cellStyle name="Обычный 14 4 2 3" xfId="19788"/>
    <cellStyle name="Обычный 14 4 2 3 2" xfId="27157"/>
    <cellStyle name="Обычный 14 4 2 3 2 2" xfId="34468"/>
    <cellStyle name="Обычный 14 4 2 3 2 2 2" xfId="49288"/>
    <cellStyle name="Обычный 14 4 2 3 2 3" xfId="41997"/>
    <cellStyle name="Обычный 14 4 2 3 3" xfId="30814"/>
    <cellStyle name="Обычный 14 4 2 3 3 2" xfId="45637"/>
    <cellStyle name="Обычный 14 4 2 3 4" xfId="38311"/>
    <cellStyle name="Обычный 14 4 2 3 5" xfId="23499"/>
    <cellStyle name="Обычный 14 4 2 4" xfId="25316"/>
    <cellStyle name="Обычный 14 4 2 4 2" xfId="32627"/>
    <cellStyle name="Обычный 14 4 2 4 2 2" xfId="47450"/>
    <cellStyle name="Обычный 14 4 2 4 3" xfId="40205"/>
    <cellStyle name="Обычный 14 4 2 5" xfId="28973"/>
    <cellStyle name="Обычный 14 4 2 5 2" xfId="43810"/>
    <cellStyle name="Обычный 14 4 2 6" xfId="36344"/>
    <cellStyle name="Обычный 14 4 2 7" xfId="21655"/>
    <cellStyle name="Обычный 14 4 3" xfId="18474"/>
    <cellStyle name="Обычный 14 4 3 2" xfId="20356"/>
    <cellStyle name="Обычный 14 4 3 2 2" xfId="27682"/>
    <cellStyle name="Обычный 14 4 3 2 2 2" xfId="34993"/>
    <cellStyle name="Обычный 14 4 3 2 2 2 2" xfId="49813"/>
    <cellStyle name="Обычный 14 4 3 2 2 3" xfId="42521"/>
    <cellStyle name="Обычный 14 4 3 2 3" xfId="31339"/>
    <cellStyle name="Обычный 14 4 3 2 3 2" xfId="46162"/>
    <cellStyle name="Обычный 14 4 3 2 4" xfId="38837"/>
    <cellStyle name="Обычный 14 4 3 2 5" xfId="24024"/>
    <cellStyle name="Обычный 14 4 3 3" xfId="25856"/>
    <cellStyle name="Обычный 14 4 3 3 2" xfId="33167"/>
    <cellStyle name="Обычный 14 4 3 3 2 2" xfId="47987"/>
    <cellStyle name="Обычный 14 4 3 3 3" xfId="40708"/>
    <cellStyle name="Обычный 14 4 3 4" xfId="29513"/>
    <cellStyle name="Обычный 14 4 3 4 2" xfId="44337"/>
    <cellStyle name="Обычный 14 4 3 5" xfId="37114"/>
    <cellStyle name="Обычный 14 4 3 6" xfId="22195"/>
    <cellStyle name="Обычный 14 4 4" xfId="19337"/>
    <cellStyle name="Обычный 14 4 4 2" xfId="26707"/>
    <cellStyle name="Обычный 14 4 4 2 2" xfId="34018"/>
    <cellStyle name="Обычный 14 4 4 2 2 2" xfId="48838"/>
    <cellStyle name="Обычный 14 4 4 2 3" xfId="41547"/>
    <cellStyle name="Обычный 14 4 4 3" xfId="30364"/>
    <cellStyle name="Обычный 14 4 4 3 2" xfId="45187"/>
    <cellStyle name="Обычный 14 4 4 4" xfId="37861"/>
    <cellStyle name="Обычный 14 4 4 5" xfId="23049"/>
    <cellStyle name="Обычный 14 4 5" xfId="24866"/>
    <cellStyle name="Обычный 14 4 5 2" xfId="32177"/>
    <cellStyle name="Обычный 14 4 5 2 2" xfId="47000"/>
    <cellStyle name="Обычный 14 4 5 3" xfId="39762"/>
    <cellStyle name="Обычный 14 4 6" xfId="28523"/>
    <cellStyle name="Обычный 14 4 6 2" xfId="43360"/>
    <cellStyle name="Обычный 14 4 7" xfId="35895"/>
    <cellStyle name="Обычный 14 4 8" xfId="21205"/>
    <cellStyle name="Обычный 14 5" xfId="17520"/>
    <cellStyle name="Обычный 14 5 2" xfId="18634"/>
    <cellStyle name="Обычный 14 5 2 2" xfId="20513"/>
    <cellStyle name="Обычный 14 5 2 2 2" xfId="27839"/>
    <cellStyle name="Обычный 14 5 2 2 2 2" xfId="35150"/>
    <cellStyle name="Обычный 14 5 2 2 2 2 2" xfId="49970"/>
    <cellStyle name="Обычный 14 5 2 2 2 3" xfId="42678"/>
    <cellStyle name="Обычный 14 5 2 2 3" xfId="31496"/>
    <cellStyle name="Обычный 14 5 2 2 3 2" xfId="46319"/>
    <cellStyle name="Обычный 14 5 2 2 4" xfId="38994"/>
    <cellStyle name="Обычный 14 5 2 2 5" xfId="24181"/>
    <cellStyle name="Обычный 14 5 2 3" xfId="26013"/>
    <cellStyle name="Обычный 14 5 2 3 2" xfId="33324"/>
    <cellStyle name="Обычный 14 5 2 3 2 2" xfId="48144"/>
    <cellStyle name="Обычный 14 5 2 3 3" xfId="40857"/>
    <cellStyle name="Обычный 14 5 2 4" xfId="29670"/>
    <cellStyle name="Обычный 14 5 2 4 2" xfId="44494"/>
    <cellStyle name="Обычный 14 5 2 5" xfId="37271"/>
    <cellStyle name="Обычный 14 5 2 6" xfId="22352"/>
    <cellStyle name="Обычный 14 5 3" xfId="19564"/>
    <cellStyle name="Обычный 14 5 3 2" xfId="26933"/>
    <cellStyle name="Обычный 14 5 3 2 2" xfId="34244"/>
    <cellStyle name="Обычный 14 5 3 2 2 2" xfId="49064"/>
    <cellStyle name="Обычный 14 5 3 2 3" xfId="41773"/>
    <cellStyle name="Обычный 14 5 3 3" xfId="30590"/>
    <cellStyle name="Обычный 14 5 3 3 2" xfId="45413"/>
    <cellStyle name="Обычный 14 5 3 4" xfId="38087"/>
    <cellStyle name="Обычный 14 5 3 5" xfId="23275"/>
    <cellStyle name="Обычный 14 5 4" xfId="25092"/>
    <cellStyle name="Обычный 14 5 4 2" xfId="32403"/>
    <cellStyle name="Обычный 14 5 4 2 2" xfId="47226"/>
    <cellStyle name="Обычный 14 5 4 3" xfId="39987"/>
    <cellStyle name="Обычный 14 5 5" xfId="28749"/>
    <cellStyle name="Обычный 14 5 5 2" xfId="43586"/>
    <cellStyle name="Обычный 14 5 6" xfId="36337"/>
    <cellStyle name="Обычный 14 5 7" xfId="21431"/>
    <cellStyle name="Обычный 14 6" xfId="17994"/>
    <cellStyle name="Обычный 14 6 2" xfId="18467"/>
    <cellStyle name="Обычный 14 6 2 2" xfId="27675"/>
    <cellStyle name="Обычный 14 6 2 2 2" xfId="34986"/>
    <cellStyle name="Обычный 14 6 2 2 2 2" xfId="49806"/>
    <cellStyle name="Обычный 14 6 2 2 3" xfId="42514"/>
    <cellStyle name="Обычный 14 6 2 3" xfId="31332"/>
    <cellStyle name="Обычный 14 6 2 3 2" xfId="46155"/>
    <cellStyle name="Обычный 14 6 2 4" xfId="37107"/>
    <cellStyle name="Обычный 14 6 2 5" xfId="24017"/>
    <cellStyle name="Обычный 14 6 3" xfId="20349"/>
    <cellStyle name="Обычный 14 6 3 2" xfId="33160"/>
    <cellStyle name="Обычный 14 6 3 2 2" xfId="47980"/>
    <cellStyle name="Обычный 14 6 3 3" xfId="38830"/>
    <cellStyle name="Обычный 14 6 3 4" xfId="25849"/>
    <cellStyle name="Обычный 14 6 4" xfId="29506"/>
    <cellStyle name="Обычный 14 6 4 2" xfId="44330"/>
    <cellStyle name="Обычный 14 6 5" xfId="36699"/>
    <cellStyle name="Обычный 14 6 6" xfId="22188"/>
    <cellStyle name="Обычный 14 7" xfId="4144"/>
    <cellStyle name="Обычный 14 7 2" xfId="20010"/>
    <cellStyle name="Обычный 14 8" xfId="19116"/>
    <cellStyle name="Обычный 14 8 2" xfId="26490"/>
    <cellStyle name="Обычный 14 8 2 2" xfId="33801"/>
    <cellStyle name="Обычный 14 8 2 2 2" xfId="48621"/>
    <cellStyle name="Обычный 14 8 2 3" xfId="41330"/>
    <cellStyle name="Обычный 14 8 3" xfId="30147"/>
    <cellStyle name="Обычный 14 8 3 2" xfId="44970"/>
    <cellStyle name="Обычный 14 8 4" xfId="37644"/>
    <cellStyle name="Обычный 14 8 5" xfId="22832"/>
    <cellStyle name="Обычный 14 9" xfId="24642"/>
    <cellStyle name="Обычный 14 9 2" xfId="31953"/>
    <cellStyle name="Обычный 14 9 2 2" xfId="46776"/>
    <cellStyle name="Обычный 14 9 3" xfId="39564"/>
    <cellStyle name="Обычный 14 9 4" xfId="36530"/>
    <cellStyle name="Обычный 15" xfId="14363"/>
    <cellStyle name="Обычный 15 2" xfId="16866"/>
    <cellStyle name="Обычный 15 3" xfId="17231"/>
    <cellStyle name="Обычный 15 4" xfId="17153"/>
    <cellStyle name="Обычный 15 5" xfId="17995"/>
    <cellStyle name="Обычный 15 6" xfId="36531"/>
    <cellStyle name="Обычный 16" xfId="14364"/>
    <cellStyle name="Обычный 16 10" xfId="35896"/>
    <cellStyle name="Обычный 16 11" xfId="21009"/>
    <cellStyle name="Обычный 16 2" xfId="16867"/>
    <cellStyle name="Обычный 16 2 10" xfId="21121"/>
    <cellStyle name="Обычный 16 2 2" xfId="17434"/>
    <cellStyle name="Обычный 16 2 2 2" xfId="17884"/>
    <cellStyle name="Обычный 16 2 2 2 2" xfId="18998"/>
    <cellStyle name="Обычный 16 2 2 2 2 2" xfId="20877"/>
    <cellStyle name="Обычный 16 2 2 2 2 2 2" xfId="28203"/>
    <cellStyle name="Обычный 16 2 2 2 2 2 2 2" xfId="35514"/>
    <cellStyle name="Обычный 16 2 2 2 2 2 2 2 2" xfId="50334"/>
    <cellStyle name="Обычный 16 2 2 2 2 2 2 3" xfId="43042"/>
    <cellStyle name="Обычный 16 2 2 2 2 2 3" xfId="31860"/>
    <cellStyle name="Обычный 16 2 2 2 2 2 3 2" xfId="46683"/>
    <cellStyle name="Обычный 16 2 2 2 2 2 4" xfId="39358"/>
    <cellStyle name="Обычный 16 2 2 2 2 2 5" xfId="24545"/>
    <cellStyle name="Обычный 16 2 2 2 2 3" xfId="26377"/>
    <cellStyle name="Обычный 16 2 2 2 2 3 2" xfId="33688"/>
    <cellStyle name="Обычный 16 2 2 2 2 3 2 2" xfId="48508"/>
    <cellStyle name="Обычный 16 2 2 2 2 3 3" xfId="41221"/>
    <cellStyle name="Обычный 16 2 2 2 2 4" xfId="30034"/>
    <cellStyle name="Обычный 16 2 2 2 2 4 2" xfId="44858"/>
    <cellStyle name="Обычный 16 2 2 2 2 5" xfId="37583"/>
    <cellStyle name="Обычный 16 2 2 2 2 6" xfId="22716"/>
    <cellStyle name="Обычный 16 2 2 2 3" xfId="19928"/>
    <cellStyle name="Обычный 16 2 2 2 3 2" xfId="27297"/>
    <cellStyle name="Обычный 16 2 2 2 3 2 2" xfId="34608"/>
    <cellStyle name="Обычный 16 2 2 2 3 2 2 2" xfId="49428"/>
    <cellStyle name="Обычный 16 2 2 2 3 2 3" xfId="42137"/>
    <cellStyle name="Обычный 16 2 2 2 3 3" xfId="30954"/>
    <cellStyle name="Обычный 16 2 2 2 3 3 2" xfId="45777"/>
    <cellStyle name="Обычный 16 2 2 2 3 4" xfId="38451"/>
    <cellStyle name="Обычный 16 2 2 2 3 5" xfId="23639"/>
    <cellStyle name="Обычный 16 2 2 2 4" xfId="25456"/>
    <cellStyle name="Обычный 16 2 2 2 4 2" xfId="32767"/>
    <cellStyle name="Обычный 16 2 2 2 4 2 2" xfId="47590"/>
    <cellStyle name="Обычный 16 2 2 2 4 3" xfId="40344"/>
    <cellStyle name="Обычный 16 2 2 2 5" xfId="29113"/>
    <cellStyle name="Обычный 16 2 2 2 5 2" xfId="43950"/>
    <cellStyle name="Обычный 16 2 2 2 6" xfId="36347"/>
    <cellStyle name="Обычный 16 2 2 2 7" xfId="21795"/>
    <cellStyle name="Обычный 16 2 2 3" xfId="18477"/>
    <cellStyle name="Обычный 16 2 2 3 2" xfId="20359"/>
    <cellStyle name="Обычный 16 2 2 3 2 2" xfId="27685"/>
    <cellStyle name="Обычный 16 2 2 3 2 2 2" xfId="34996"/>
    <cellStyle name="Обычный 16 2 2 3 2 2 2 2" xfId="49816"/>
    <cellStyle name="Обычный 16 2 2 3 2 2 3" xfId="42524"/>
    <cellStyle name="Обычный 16 2 2 3 2 3" xfId="31342"/>
    <cellStyle name="Обычный 16 2 2 3 2 3 2" xfId="46165"/>
    <cellStyle name="Обычный 16 2 2 3 2 4" xfId="38840"/>
    <cellStyle name="Обычный 16 2 2 3 2 5" xfId="24027"/>
    <cellStyle name="Обычный 16 2 2 3 3" xfId="25859"/>
    <cellStyle name="Обычный 16 2 2 3 3 2" xfId="33170"/>
    <cellStyle name="Обычный 16 2 2 3 3 2 2" xfId="47990"/>
    <cellStyle name="Обычный 16 2 2 3 3 3" xfId="40709"/>
    <cellStyle name="Обычный 16 2 2 3 4" xfId="29516"/>
    <cellStyle name="Обычный 16 2 2 3 4 2" xfId="44340"/>
    <cellStyle name="Обычный 16 2 2 3 5" xfId="37117"/>
    <cellStyle name="Обычный 16 2 2 3 6" xfId="22198"/>
    <cellStyle name="Обычный 16 2 2 4" xfId="19477"/>
    <cellStyle name="Обычный 16 2 2 4 2" xfId="26847"/>
    <cellStyle name="Обычный 16 2 2 4 2 2" xfId="34158"/>
    <cellStyle name="Обычный 16 2 2 4 2 2 2" xfId="48978"/>
    <cellStyle name="Обычный 16 2 2 4 2 3" xfId="41687"/>
    <cellStyle name="Обычный 16 2 2 4 3" xfId="30504"/>
    <cellStyle name="Обычный 16 2 2 4 3 2" xfId="45327"/>
    <cellStyle name="Обычный 16 2 2 4 4" xfId="38001"/>
    <cellStyle name="Обычный 16 2 2 4 5" xfId="23189"/>
    <cellStyle name="Обычный 16 2 2 5" xfId="25006"/>
    <cellStyle name="Обычный 16 2 2 5 2" xfId="32317"/>
    <cellStyle name="Обычный 16 2 2 5 2 2" xfId="47140"/>
    <cellStyle name="Обычный 16 2 2 5 3" xfId="39901"/>
    <cellStyle name="Обычный 16 2 2 6" xfId="28663"/>
    <cellStyle name="Обычный 16 2 2 6 2" xfId="43500"/>
    <cellStyle name="Обычный 16 2 2 7" xfId="35898"/>
    <cellStyle name="Обычный 16 2 2 8" xfId="21345"/>
    <cellStyle name="Обычный 16 2 3" xfId="17660"/>
    <cellStyle name="Обычный 16 2 3 2" xfId="18774"/>
    <cellStyle name="Обычный 16 2 3 2 2" xfId="20653"/>
    <cellStyle name="Обычный 16 2 3 2 2 2" xfId="27979"/>
    <cellStyle name="Обычный 16 2 3 2 2 2 2" xfId="35290"/>
    <cellStyle name="Обычный 16 2 3 2 2 2 2 2" xfId="50110"/>
    <cellStyle name="Обычный 16 2 3 2 2 2 3" xfId="42818"/>
    <cellStyle name="Обычный 16 2 3 2 2 3" xfId="31636"/>
    <cellStyle name="Обычный 16 2 3 2 2 3 2" xfId="46459"/>
    <cellStyle name="Обычный 16 2 3 2 2 4" xfId="39134"/>
    <cellStyle name="Обычный 16 2 3 2 2 5" xfId="24321"/>
    <cellStyle name="Обычный 16 2 3 2 3" xfId="26153"/>
    <cellStyle name="Обычный 16 2 3 2 3 2" xfId="33464"/>
    <cellStyle name="Обычный 16 2 3 2 3 2 2" xfId="48284"/>
    <cellStyle name="Обычный 16 2 3 2 3 3" xfId="40997"/>
    <cellStyle name="Обычный 16 2 3 2 4" xfId="29810"/>
    <cellStyle name="Обычный 16 2 3 2 4 2" xfId="44634"/>
    <cellStyle name="Обычный 16 2 3 2 5" xfId="37411"/>
    <cellStyle name="Обычный 16 2 3 2 6" xfId="22492"/>
    <cellStyle name="Обычный 16 2 3 3" xfId="19704"/>
    <cellStyle name="Обычный 16 2 3 3 2" xfId="27073"/>
    <cellStyle name="Обычный 16 2 3 3 2 2" xfId="34384"/>
    <cellStyle name="Обычный 16 2 3 3 2 2 2" xfId="49204"/>
    <cellStyle name="Обычный 16 2 3 3 2 3" xfId="41913"/>
    <cellStyle name="Обычный 16 2 3 3 3" xfId="30730"/>
    <cellStyle name="Обычный 16 2 3 3 3 2" xfId="45553"/>
    <cellStyle name="Обычный 16 2 3 3 4" xfId="38227"/>
    <cellStyle name="Обычный 16 2 3 3 5" xfId="23415"/>
    <cellStyle name="Обычный 16 2 3 4" xfId="25232"/>
    <cellStyle name="Обычный 16 2 3 4 2" xfId="32543"/>
    <cellStyle name="Обычный 16 2 3 4 2 2" xfId="47366"/>
    <cellStyle name="Обычный 16 2 3 4 3" xfId="40124"/>
    <cellStyle name="Обычный 16 2 3 5" xfId="28889"/>
    <cellStyle name="Обычный 16 2 3 5 2" xfId="43726"/>
    <cellStyle name="Обычный 16 2 3 6" xfId="36346"/>
    <cellStyle name="Обычный 16 2 3 7" xfId="21571"/>
    <cellStyle name="Обычный 16 2 4" xfId="18061"/>
    <cellStyle name="Обычный 16 2 4 2" xfId="18476"/>
    <cellStyle name="Обычный 16 2 4 2 2" xfId="27684"/>
    <cellStyle name="Обычный 16 2 4 2 2 2" xfId="34995"/>
    <cellStyle name="Обычный 16 2 4 2 2 2 2" xfId="49815"/>
    <cellStyle name="Обычный 16 2 4 2 2 3" xfId="42523"/>
    <cellStyle name="Обычный 16 2 4 2 3" xfId="31341"/>
    <cellStyle name="Обычный 16 2 4 2 3 2" xfId="46164"/>
    <cellStyle name="Обычный 16 2 4 2 4" xfId="37116"/>
    <cellStyle name="Обычный 16 2 4 2 5" xfId="24026"/>
    <cellStyle name="Обычный 16 2 4 3" xfId="20358"/>
    <cellStyle name="Обычный 16 2 4 3 2" xfId="33169"/>
    <cellStyle name="Обычный 16 2 4 3 2 2" xfId="47989"/>
    <cellStyle name="Обычный 16 2 4 3 3" xfId="38839"/>
    <cellStyle name="Обычный 16 2 4 3 4" xfId="25858"/>
    <cellStyle name="Обычный 16 2 4 4" xfId="29515"/>
    <cellStyle name="Обычный 16 2 4 4 2" xfId="44339"/>
    <cellStyle name="Обычный 16 2 4 5" xfId="36718"/>
    <cellStyle name="Обычный 16 2 4 6" xfId="22197"/>
    <cellStyle name="Обычный 16 2 5" xfId="20029"/>
    <cellStyle name="Обычный 16 2 6" xfId="19254"/>
    <cellStyle name="Обычный 16 2 6 2" xfId="26624"/>
    <cellStyle name="Обычный 16 2 6 2 2" xfId="33935"/>
    <cellStyle name="Обычный 16 2 6 2 2 2" xfId="48755"/>
    <cellStyle name="Обычный 16 2 6 2 3" xfId="41464"/>
    <cellStyle name="Обычный 16 2 6 3" xfId="30281"/>
    <cellStyle name="Обычный 16 2 6 3 2" xfId="45104"/>
    <cellStyle name="Обычный 16 2 6 4" xfId="37778"/>
    <cellStyle name="Обычный 16 2 6 5" xfId="22966"/>
    <cellStyle name="Обычный 16 2 7" xfId="24782"/>
    <cellStyle name="Обычный 16 2 7 2" xfId="32093"/>
    <cellStyle name="Обычный 16 2 7 2 2" xfId="46916"/>
    <cellStyle name="Обычный 16 2 7 3" xfId="39683"/>
    <cellStyle name="Обычный 16 2 7 4" xfId="36603"/>
    <cellStyle name="Обычный 16 2 8" xfId="28439"/>
    <cellStyle name="Обычный 16 2 8 2" xfId="43276"/>
    <cellStyle name="Обычный 16 2 9" xfId="35897"/>
    <cellStyle name="Обычный 16 3" xfId="17318"/>
    <cellStyle name="Обычный 16 3 2" xfId="17772"/>
    <cellStyle name="Обычный 16 3 2 2" xfId="18886"/>
    <cellStyle name="Обычный 16 3 2 2 2" xfId="20765"/>
    <cellStyle name="Обычный 16 3 2 2 2 2" xfId="28091"/>
    <cellStyle name="Обычный 16 3 2 2 2 2 2" xfId="35402"/>
    <cellStyle name="Обычный 16 3 2 2 2 2 2 2" xfId="50222"/>
    <cellStyle name="Обычный 16 3 2 2 2 2 3" xfId="42930"/>
    <cellStyle name="Обычный 16 3 2 2 2 3" xfId="31748"/>
    <cellStyle name="Обычный 16 3 2 2 2 3 2" xfId="46571"/>
    <cellStyle name="Обычный 16 3 2 2 2 4" xfId="39246"/>
    <cellStyle name="Обычный 16 3 2 2 2 5" xfId="24433"/>
    <cellStyle name="Обычный 16 3 2 2 3" xfId="26265"/>
    <cellStyle name="Обычный 16 3 2 2 3 2" xfId="33576"/>
    <cellStyle name="Обычный 16 3 2 2 3 2 2" xfId="48396"/>
    <cellStyle name="Обычный 16 3 2 2 3 3" xfId="41109"/>
    <cellStyle name="Обычный 16 3 2 2 4" xfId="29922"/>
    <cellStyle name="Обычный 16 3 2 2 4 2" xfId="44746"/>
    <cellStyle name="Обычный 16 3 2 2 5" xfId="37522"/>
    <cellStyle name="Обычный 16 3 2 2 6" xfId="22604"/>
    <cellStyle name="Обычный 16 3 2 3" xfId="19816"/>
    <cellStyle name="Обычный 16 3 2 3 2" xfId="27185"/>
    <cellStyle name="Обычный 16 3 2 3 2 2" xfId="34496"/>
    <cellStyle name="Обычный 16 3 2 3 2 2 2" xfId="49316"/>
    <cellStyle name="Обычный 16 3 2 3 2 3" xfId="42025"/>
    <cellStyle name="Обычный 16 3 2 3 3" xfId="30842"/>
    <cellStyle name="Обычный 16 3 2 3 3 2" xfId="45665"/>
    <cellStyle name="Обычный 16 3 2 3 4" xfId="38339"/>
    <cellStyle name="Обычный 16 3 2 3 5" xfId="23527"/>
    <cellStyle name="Обычный 16 3 2 4" xfId="25344"/>
    <cellStyle name="Обычный 16 3 2 4 2" xfId="32655"/>
    <cellStyle name="Обычный 16 3 2 4 2 2" xfId="47478"/>
    <cellStyle name="Обычный 16 3 2 4 3" xfId="40232"/>
    <cellStyle name="Обычный 16 3 2 5" xfId="29001"/>
    <cellStyle name="Обычный 16 3 2 5 2" xfId="43838"/>
    <cellStyle name="Обычный 16 3 2 6" xfId="36348"/>
    <cellStyle name="Обычный 16 3 2 7" xfId="21683"/>
    <cellStyle name="Обычный 16 3 3" xfId="18478"/>
    <cellStyle name="Обычный 16 3 3 2" xfId="20360"/>
    <cellStyle name="Обычный 16 3 3 2 2" xfId="27686"/>
    <cellStyle name="Обычный 16 3 3 2 2 2" xfId="34997"/>
    <cellStyle name="Обычный 16 3 3 2 2 2 2" xfId="49817"/>
    <cellStyle name="Обычный 16 3 3 2 2 3" xfId="42525"/>
    <cellStyle name="Обычный 16 3 3 2 3" xfId="31343"/>
    <cellStyle name="Обычный 16 3 3 2 3 2" xfId="46166"/>
    <cellStyle name="Обычный 16 3 3 2 4" xfId="38841"/>
    <cellStyle name="Обычный 16 3 3 2 5" xfId="24028"/>
    <cellStyle name="Обычный 16 3 3 3" xfId="25860"/>
    <cellStyle name="Обычный 16 3 3 3 2" xfId="33171"/>
    <cellStyle name="Обычный 16 3 3 3 2 2" xfId="47991"/>
    <cellStyle name="Обычный 16 3 3 3 3" xfId="40710"/>
    <cellStyle name="Обычный 16 3 3 4" xfId="29517"/>
    <cellStyle name="Обычный 16 3 3 4 2" xfId="44341"/>
    <cellStyle name="Обычный 16 3 3 5" xfId="37118"/>
    <cellStyle name="Обычный 16 3 3 6" xfId="22199"/>
    <cellStyle name="Обычный 16 3 4" xfId="19365"/>
    <cellStyle name="Обычный 16 3 4 2" xfId="26735"/>
    <cellStyle name="Обычный 16 3 4 2 2" xfId="34046"/>
    <cellStyle name="Обычный 16 3 4 2 2 2" xfId="48866"/>
    <cellStyle name="Обычный 16 3 4 2 3" xfId="41575"/>
    <cellStyle name="Обычный 16 3 4 3" xfId="30392"/>
    <cellStyle name="Обычный 16 3 4 3 2" xfId="45215"/>
    <cellStyle name="Обычный 16 3 4 4" xfId="37889"/>
    <cellStyle name="Обычный 16 3 4 5" xfId="23077"/>
    <cellStyle name="Обычный 16 3 5" xfId="24894"/>
    <cellStyle name="Обычный 16 3 5 2" xfId="32205"/>
    <cellStyle name="Обычный 16 3 5 2 2" xfId="47028"/>
    <cellStyle name="Обычный 16 3 5 3" xfId="39789"/>
    <cellStyle name="Обычный 16 3 6" xfId="28551"/>
    <cellStyle name="Обычный 16 3 6 2" xfId="43388"/>
    <cellStyle name="Обычный 16 3 7" xfId="35899"/>
    <cellStyle name="Обычный 16 3 8" xfId="21233"/>
    <cellStyle name="Обычный 16 4" xfId="17548"/>
    <cellStyle name="Обычный 16 4 2" xfId="18662"/>
    <cellStyle name="Обычный 16 4 2 2" xfId="20541"/>
    <cellStyle name="Обычный 16 4 2 2 2" xfId="27867"/>
    <cellStyle name="Обычный 16 4 2 2 2 2" xfId="35178"/>
    <cellStyle name="Обычный 16 4 2 2 2 2 2" xfId="49998"/>
    <cellStyle name="Обычный 16 4 2 2 2 3" xfId="42706"/>
    <cellStyle name="Обычный 16 4 2 2 3" xfId="31524"/>
    <cellStyle name="Обычный 16 4 2 2 3 2" xfId="46347"/>
    <cellStyle name="Обычный 16 4 2 2 4" xfId="39022"/>
    <cellStyle name="Обычный 16 4 2 2 5" xfId="24209"/>
    <cellStyle name="Обычный 16 4 2 3" xfId="26041"/>
    <cellStyle name="Обычный 16 4 2 3 2" xfId="33352"/>
    <cellStyle name="Обычный 16 4 2 3 2 2" xfId="48172"/>
    <cellStyle name="Обычный 16 4 2 3 3" xfId="40885"/>
    <cellStyle name="Обычный 16 4 2 4" xfId="29698"/>
    <cellStyle name="Обычный 16 4 2 4 2" xfId="44522"/>
    <cellStyle name="Обычный 16 4 2 5" xfId="37299"/>
    <cellStyle name="Обычный 16 4 2 6" xfId="22380"/>
    <cellStyle name="Обычный 16 4 3" xfId="19592"/>
    <cellStyle name="Обычный 16 4 3 2" xfId="26961"/>
    <cellStyle name="Обычный 16 4 3 2 2" xfId="34272"/>
    <cellStyle name="Обычный 16 4 3 2 2 2" xfId="49092"/>
    <cellStyle name="Обычный 16 4 3 2 3" xfId="41801"/>
    <cellStyle name="Обычный 16 4 3 3" xfId="30618"/>
    <cellStyle name="Обычный 16 4 3 3 2" xfId="45441"/>
    <cellStyle name="Обычный 16 4 3 4" xfId="38115"/>
    <cellStyle name="Обычный 16 4 3 5" xfId="23303"/>
    <cellStyle name="Обычный 16 4 4" xfId="25120"/>
    <cellStyle name="Обычный 16 4 4 2" xfId="32431"/>
    <cellStyle name="Обычный 16 4 4 2 2" xfId="47254"/>
    <cellStyle name="Обычный 16 4 4 3" xfId="40014"/>
    <cellStyle name="Обычный 16 4 5" xfId="28777"/>
    <cellStyle name="Обычный 16 4 5 2" xfId="43614"/>
    <cellStyle name="Обычный 16 4 6" xfId="36345"/>
    <cellStyle name="Обычный 16 4 7" xfId="21459"/>
    <cellStyle name="Обычный 16 5" xfId="17996"/>
    <cellStyle name="Обычный 16 5 2" xfId="18475"/>
    <cellStyle name="Обычный 16 5 2 2" xfId="27683"/>
    <cellStyle name="Обычный 16 5 2 2 2" xfId="34994"/>
    <cellStyle name="Обычный 16 5 2 2 2 2" xfId="49814"/>
    <cellStyle name="Обычный 16 5 2 2 3" xfId="42522"/>
    <cellStyle name="Обычный 16 5 2 3" xfId="31340"/>
    <cellStyle name="Обычный 16 5 2 3 2" xfId="46163"/>
    <cellStyle name="Обычный 16 5 2 4" xfId="37115"/>
    <cellStyle name="Обычный 16 5 2 5" xfId="24025"/>
    <cellStyle name="Обычный 16 5 3" xfId="20357"/>
    <cellStyle name="Обычный 16 5 3 2" xfId="33168"/>
    <cellStyle name="Обычный 16 5 3 2 2" xfId="47988"/>
    <cellStyle name="Обычный 16 5 3 3" xfId="38838"/>
    <cellStyle name="Обычный 16 5 3 4" xfId="25857"/>
    <cellStyle name="Обычный 16 5 4" xfId="29514"/>
    <cellStyle name="Обычный 16 5 4 2" xfId="44338"/>
    <cellStyle name="Обычный 16 5 5" xfId="36700"/>
    <cellStyle name="Обычный 16 5 6" xfId="22196"/>
    <cellStyle name="Обычный 16 6" xfId="20011"/>
    <cellStyle name="Обычный 16 7" xfId="19144"/>
    <cellStyle name="Обычный 16 7 2" xfId="26516"/>
    <cellStyle name="Обычный 16 7 2 2" xfId="33827"/>
    <cellStyle name="Обычный 16 7 2 2 2" xfId="48647"/>
    <cellStyle name="Обычный 16 7 2 3" xfId="41356"/>
    <cellStyle name="Обычный 16 7 3" xfId="30173"/>
    <cellStyle name="Обычный 16 7 3 2" xfId="44996"/>
    <cellStyle name="Обычный 16 7 4" xfId="37670"/>
    <cellStyle name="Обычный 16 7 5" xfId="22858"/>
    <cellStyle name="Обычный 16 8" xfId="24670"/>
    <cellStyle name="Обычный 16 8 2" xfId="31981"/>
    <cellStyle name="Обычный 16 8 2 2" xfId="46804"/>
    <cellStyle name="Обычный 16 8 3" xfId="39590"/>
    <cellStyle name="Обычный 16 8 4" xfId="36532"/>
    <cellStyle name="Обычный 16 9" xfId="28327"/>
    <cellStyle name="Обычный 16 9 2" xfId="43164"/>
    <cellStyle name="Обычный 17" xfId="14365"/>
    <cellStyle name="Обычный 17 2" xfId="16868"/>
    <cellStyle name="Обычный 17 3" xfId="17376"/>
    <cellStyle name="Обычный 17 4" xfId="17997"/>
    <cellStyle name="Обычный 17 5" xfId="19199"/>
    <cellStyle name="Обычный 17 6" xfId="36533"/>
    <cellStyle name="Обычный 18" xfId="14366"/>
    <cellStyle name="Обычный 18 10" xfId="21065"/>
    <cellStyle name="Обычный 18 2" xfId="16869"/>
    <cellStyle name="Обычный 18 2 2" xfId="17828"/>
    <cellStyle name="Обычный 18 2 2 2" xfId="18942"/>
    <cellStyle name="Обычный 18 2 2 2 2" xfId="20821"/>
    <cellStyle name="Обычный 18 2 2 2 2 2" xfId="28147"/>
    <cellStyle name="Обычный 18 2 2 2 2 2 2" xfId="35458"/>
    <cellStyle name="Обычный 18 2 2 2 2 2 2 2" xfId="50278"/>
    <cellStyle name="Обычный 18 2 2 2 2 2 3" xfId="42986"/>
    <cellStyle name="Обычный 18 2 2 2 2 3" xfId="31804"/>
    <cellStyle name="Обычный 18 2 2 2 2 3 2" xfId="46627"/>
    <cellStyle name="Обычный 18 2 2 2 2 4" xfId="39302"/>
    <cellStyle name="Обычный 18 2 2 2 2 5" xfId="24489"/>
    <cellStyle name="Обычный 18 2 2 2 3" xfId="26321"/>
    <cellStyle name="Обычный 18 2 2 2 3 2" xfId="33632"/>
    <cellStyle name="Обычный 18 2 2 2 3 2 2" xfId="48452"/>
    <cellStyle name="Обычный 18 2 2 2 3 3" xfId="41165"/>
    <cellStyle name="Обычный 18 2 2 2 4" xfId="29978"/>
    <cellStyle name="Обычный 18 2 2 2 4 2" xfId="44802"/>
    <cellStyle name="Обычный 18 2 2 2 5" xfId="37559"/>
    <cellStyle name="Обычный 18 2 2 2 6" xfId="22660"/>
    <cellStyle name="Обычный 18 2 2 3" xfId="19872"/>
    <cellStyle name="Обычный 18 2 2 3 2" xfId="27241"/>
    <cellStyle name="Обычный 18 2 2 3 2 2" xfId="34552"/>
    <cellStyle name="Обычный 18 2 2 3 2 2 2" xfId="49372"/>
    <cellStyle name="Обычный 18 2 2 3 2 3" xfId="42081"/>
    <cellStyle name="Обычный 18 2 2 3 3" xfId="30898"/>
    <cellStyle name="Обычный 18 2 2 3 3 2" xfId="45721"/>
    <cellStyle name="Обычный 18 2 2 3 4" xfId="38395"/>
    <cellStyle name="Обычный 18 2 2 3 5" xfId="23583"/>
    <cellStyle name="Обычный 18 2 2 4" xfId="25400"/>
    <cellStyle name="Обычный 18 2 2 4 2" xfId="32711"/>
    <cellStyle name="Обычный 18 2 2 4 2 2" xfId="47534"/>
    <cellStyle name="Обычный 18 2 2 4 3" xfId="40288"/>
    <cellStyle name="Обычный 18 2 2 5" xfId="29057"/>
    <cellStyle name="Обычный 18 2 2 5 2" xfId="43894"/>
    <cellStyle name="Обычный 18 2 2 6" xfId="36350"/>
    <cellStyle name="Обычный 18 2 2 7" xfId="21739"/>
    <cellStyle name="Обычный 18 2 3" xfId="18062"/>
    <cellStyle name="Обычный 18 2 3 2" xfId="18480"/>
    <cellStyle name="Обычный 18 2 3 2 2" xfId="27688"/>
    <cellStyle name="Обычный 18 2 3 2 2 2" xfId="34999"/>
    <cellStyle name="Обычный 18 2 3 2 2 2 2" xfId="49819"/>
    <cellStyle name="Обычный 18 2 3 2 2 3" xfId="42527"/>
    <cellStyle name="Обычный 18 2 3 2 3" xfId="31345"/>
    <cellStyle name="Обычный 18 2 3 2 3 2" xfId="46168"/>
    <cellStyle name="Обычный 18 2 3 2 4" xfId="37120"/>
    <cellStyle name="Обычный 18 2 3 2 5" xfId="24030"/>
    <cellStyle name="Обычный 18 2 3 3" xfId="20362"/>
    <cellStyle name="Обычный 18 2 3 3 2" xfId="33173"/>
    <cellStyle name="Обычный 18 2 3 3 2 2" xfId="47993"/>
    <cellStyle name="Обычный 18 2 3 3 3" xfId="38843"/>
    <cellStyle name="Обычный 18 2 3 3 4" xfId="25862"/>
    <cellStyle name="Обычный 18 2 3 4" xfId="29519"/>
    <cellStyle name="Обычный 18 2 3 4 2" xfId="44343"/>
    <cellStyle name="Обычный 18 2 3 5" xfId="36719"/>
    <cellStyle name="Обычный 18 2 3 6" xfId="22201"/>
    <cellStyle name="Обычный 18 2 4" xfId="20030"/>
    <cellStyle name="Обычный 18 2 5" xfId="19421"/>
    <cellStyle name="Обычный 18 2 5 2" xfId="26791"/>
    <cellStyle name="Обычный 18 2 5 2 2" xfId="34102"/>
    <cellStyle name="Обычный 18 2 5 2 2 2" xfId="48922"/>
    <cellStyle name="Обычный 18 2 5 2 3" xfId="41631"/>
    <cellStyle name="Обычный 18 2 5 3" xfId="30448"/>
    <cellStyle name="Обычный 18 2 5 3 2" xfId="45271"/>
    <cellStyle name="Обычный 18 2 5 4" xfId="37945"/>
    <cellStyle name="Обычный 18 2 5 5" xfId="23133"/>
    <cellStyle name="Обычный 18 2 6" xfId="24950"/>
    <cellStyle name="Обычный 18 2 6 2" xfId="32261"/>
    <cellStyle name="Обычный 18 2 6 2 2" xfId="47084"/>
    <cellStyle name="Обычный 18 2 6 3" xfId="39845"/>
    <cellStyle name="Обычный 18 2 6 4" xfId="36604"/>
    <cellStyle name="Обычный 18 2 7" xfId="28607"/>
    <cellStyle name="Обычный 18 2 7 2" xfId="43444"/>
    <cellStyle name="Обычный 18 2 8" xfId="35901"/>
    <cellStyle name="Обычный 18 2 9" xfId="21289"/>
    <cellStyle name="Обычный 18 3" xfId="17375"/>
    <cellStyle name="Обычный 18 3 2" xfId="18122"/>
    <cellStyle name="Обычный 18 3 2 2" xfId="20597"/>
    <cellStyle name="Обычный 18 3 2 2 2" xfId="27923"/>
    <cellStyle name="Обычный 18 3 2 2 2 2" xfId="35234"/>
    <cellStyle name="Обычный 18 3 2 2 2 2 2" xfId="50054"/>
    <cellStyle name="Обычный 18 3 2 2 2 3" xfId="42762"/>
    <cellStyle name="Обычный 18 3 2 2 3" xfId="31580"/>
    <cellStyle name="Обычный 18 3 2 2 3 2" xfId="46403"/>
    <cellStyle name="Обычный 18 3 2 2 4" xfId="39078"/>
    <cellStyle name="Обычный 18 3 2 2 5" xfId="24265"/>
    <cellStyle name="Обычный 18 3 2 3" xfId="26097"/>
    <cellStyle name="Обычный 18 3 2 3 2" xfId="33408"/>
    <cellStyle name="Обычный 18 3 2 3 2 2" xfId="48228"/>
    <cellStyle name="Обычный 18 3 2 3 3" xfId="40941"/>
    <cellStyle name="Обычный 18 3 2 4" xfId="29754"/>
    <cellStyle name="Обычный 18 3 2 4 2" xfId="44578"/>
    <cellStyle name="Обычный 18 3 2 5" xfId="36778"/>
    <cellStyle name="Обычный 18 3 2 6" xfId="22436"/>
    <cellStyle name="Обычный 18 3 3" xfId="18718"/>
    <cellStyle name="Обычный 18 3 3 2" xfId="27017"/>
    <cellStyle name="Обычный 18 3 3 2 2" xfId="34328"/>
    <cellStyle name="Обычный 18 3 3 2 2 2" xfId="49148"/>
    <cellStyle name="Обычный 18 3 3 2 3" xfId="41857"/>
    <cellStyle name="Обычный 18 3 3 3" xfId="30674"/>
    <cellStyle name="Обычный 18 3 3 3 2" xfId="45497"/>
    <cellStyle name="Обычный 18 3 3 4" xfId="37355"/>
    <cellStyle name="Обычный 18 3 3 5" xfId="23359"/>
    <cellStyle name="Обычный 18 3 4" xfId="19648"/>
    <cellStyle name="Обычный 18 3 4 2" xfId="32487"/>
    <cellStyle name="Обычный 18 3 4 2 2" xfId="47310"/>
    <cellStyle name="Обычный 18 3 4 3" xfId="38171"/>
    <cellStyle name="Обычный 18 3 4 4" xfId="25176"/>
    <cellStyle name="Обычный 18 3 5" xfId="28833"/>
    <cellStyle name="Обычный 18 3 5 2" xfId="43670"/>
    <cellStyle name="Обычный 18 3 6" xfId="36349"/>
    <cellStyle name="Обычный 18 3 7" xfId="21515"/>
    <cellStyle name="Обычный 18 4" xfId="17604"/>
    <cellStyle name="Обычный 18 4 2" xfId="18479"/>
    <cellStyle name="Обычный 18 4 2 2" xfId="27687"/>
    <cellStyle name="Обычный 18 4 2 2 2" xfId="34998"/>
    <cellStyle name="Обычный 18 4 2 2 2 2" xfId="49818"/>
    <cellStyle name="Обычный 18 4 2 2 3" xfId="42526"/>
    <cellStyle name="Обычный 18 4 2 3" xfId="31344"/>
    <cellStyle name="Обычный 18 4 2 3 2" xfId="46167"/>
    <cellStyle name="Обычный 18 4 2 4" xfId="37119"/>
    <cellStyle name="Обычный 18 4 2 5" xfId="24029"/>
    <cellStyle name="Обычный 18 4 3" xfId="20361"/>
    <cellStyle name="Обычный 18 4 3 2" xfId="33172"/>
    <cellStyle name="Обычный 18 4 3 2 2" xfId="47992"/>
    <cellStyle name="Обычный 18 4 3 3" xfId="38842"/>
    <cellStyle name="Обычный 18 4 3 4" xfId="25861"/>
    <cellStyle name="Обычный 18 4 4" xfId="29518"/>
    <cellStyle name="Обычный 18 4 4 2" xfId="44342"/>
    <cellStyle name="Обычный 18 4 5" xfId="36681"/>
    <cellStyle name="Обычный 18 4 6" xfId="22200"/>
    <cellStyle name="Обычный 18 5" xfId="17998"/>
    <cellStyle name="Обычный 18 6" xfId="19198"/>
    <cellStyle name="Обычный 18 6 2" xfId="26569"/>
    <cellStyle name="Обычный 18 6 2 2" xfId="33880"/>
    <cellStyle name="Обычный 18 6 2 2 2" xfId="48700"/>
    <cellStyle name="Обычный 18 6 2 3" xfId="41409"/>
    <cellStyle name="Обычный 18 6 3" xfId="30226"/>
    <cellStyle name="Обычный 18 6 3 2" xfId="45049"/>
    <cellStyle name="Обычный 18 6 4" xfId="37723"/>
    <cellStyle name="Обычный 18 6 5" xfId="22911"/>
    <cellStyle name="Обычный 18 7" xfId="24726"/>
    <cellStyle name="Обычный 18 7 2" xfId="32037"/>
    <cellStyle name="Обычный 18 7 2 2" xfId="46860"/>
    <cellStyle name="Обычный 18 7 3" xfId="39630"/>
    <cellStyle name="Обычный 18 7 4" xfId="36534"/>
    <cellStyle name="Обычный 18 8" xfId="28383"/>
    <cellStyle name="Обычный 18 8 2" xfId="43220"/>
    <cellStyle name="Обычный 18 9" xfId="35900"/>
    <cellStyle name="Обычный 19" xfId="14367"/>
    <cellStyle name="Обычный 19 2" xfId="16870"/>
    <cellStyle name="Обычный 19 2 2" xfId="18830"/>
    <cellStyle name="Обычный 19 2 2 2" xfId="20709"/>
    <cellStyle name="Обычный 19 2 2 2 2" xfId="28035"/>
    <cellStyle name="Обычный 19 2 2 2 2 2" xfId="35346"/>
    <cellStyle name="Обычный 19 2 2 2 2 2 2" xfId="50166"/>
    <cellStyle name="Обычный 19 2 2 2 2 3" xfId="42874"/>
    <cellStyle name="Обычный 19 2 2 2 3" xfId="31692"/>
    <cellStyle name="Обычный 19 2 2 2 3 2" xfId="46515"/>
    <cellStyle name="Обычный 19 2 2 2 4" xfId="39190"/>
    <cellStyle name="Обычный 19 2 2 2 5" xfId="24377"/>
    <cellStyle name="Обычный 19 2 2 3" xfId="26209"/>
    <cellStyle name="Обычный 19 2 2 3 2" xfId="33520"/>
    <cellStyle name="Обычный 19 2 2 3 2 2" xfId="48340"/>
    <cellStyle name="Обычный 19 2 2 3 3" xfId="41053"/>
    <cellStyle name="Обычный 19 2 2 4" xfId="29866"/>
    <cellStyle name="Обычный 19 2 2 4 2" xfId="44690"/>
    <cellStyle name="Обычный 19 2 2 5" xfId="37467"/>
    <cellStyle name="Обычный 19 2 2 6" xfId="22548"/>
    <cellStyle name="Обычный 19 2 3" xfId="20031"/>
    <cellStyle name="Обычный 19 2 4" xfId="19760"/>
    <cellStyle name="Обычный 19 2 4 2" xfId="27129"/>
    <cellStyle name="Обычный 19 2 4 2 2" xfId="34440"/>
    <cellStyle name="Обычный 19 2 4 2 2 2" xfId="49260"/>
    <cellStyle name="Обычный 19 2 4 2 3" xfId="41969"/>
    <cellStyle name="Обычный 19 2 4 3" xfId="30786"/>
    <cellStyle name="Обычный 19 2 4 3 2" xfId="45609"/>
    <cellStyle name="Обычный 19 2 4 4" xfId="38283"/>
    <cellStyle name="Обычный 19 2 4 5" xfId="23471"/>
    <cellStyle name="Обычный 19 2 5" xfId="25288"/>
    <cellStyle name="Обычный 19 2 5 2" xfId="32599"/>
    <cellStyle name="Обычный 19 2 5 2 2" xfId="47422"/>
    <cellStyle name="Обычный 19 2 5 3" xfId="40180"/>
    <cellStyle name="Обычный 19 2 5 4" xfId="36605"/>
    <cellStyle name="Обычный 19 2 6" xfId="28945"/>
    <cellStyle name="Обычный 19 2 6 2" xfId="43782"/>
    <cellStyle name="Обычный 19 2 7" xfId="36351"/>
    <cellStyle name="Обычный 19 2 8" xfId="21627"/>
    <cellStyle name="Обычный 19 3" xfId="17716"/>
    <cellStyle name="Обычный 19 3 2" xfId="18481"/>
    <cellStyle name="Обычный 19 3 2 2" xfId="27689"/>
    <cellStyle name="Обычный 19 3 2 2 2" xfId="35000"/>
    <cellStyle name="Обычный 19 3 2 2 2 2" xfId="49820"/>
    <cellStyle name="Обычный 19 3 2 2 3" xfId="42528"/>
    <cellStyle name="Обычный 19 3 2 3" xfId="31346"/>
    <cellStyle name="Обычный 19 3 2 3 2" xfId="46169"/>
    <cellStyle name="Обычный 19 3 2 4" xfId="37121"/>
    <cellStyle name="Обычный 19 3 2 5" xfId="24031"/>
    <cellStyle name="Обычный 19 3 3" xfId="20363"/>
    <cellStyle name="Обычный 19 3 3 2" xfId="33174"/>
    <cellStyle name="Обычный 19 3 3 2 2" xfId="47994"/>
    <cellStyle name="Обычный 19 3 3 3" xfId="38844"/>
    <cellStyle name="Обычный 19 3 3 4" xfId="25863"/>
    <cellStyle name="Обычный 19 3 4" xfId="29520"/>
    <cellStyle name="Обычный 19 3 4 2" xfId="44344"/>
    <cellStyle name="Обычный 19 3 5" xfId="36683"/>
    <cellStyle name="Обычный 19 3 6" xfId="22202"/>
    <cellStyle name="Обычный 19 4" xfId="17999"/>
    <cellStyle name="Обычный 19 5" xfId="19309"/>
    <cellStyle name="Обычный 19 5 2" xfId="26679"/>
    <cellStyle name="Обычный 19 5 2 2" xfId="33990"/>
    <cellStyle name="Обычный 19 5 2 2 2" xfId="48810"/>
    <cellStyle name="Обычный 19 5 2 3" xfId="41519"/>
    <cellStyle name="Обычный 19 5 3" xfId="30336"/>
    <cellStyle name="Обычный 19 5 3 2" xfId="45159"/>
    <cellStyle name="Обычный 19 5 4" xfId="37833"/>
    <cellStyle name="Обычный 19 5 5" xfId="23021"/>
    <cellStyle name="Обычный 19 6" xfId="24838"/>
    <cellStyle name="Обычный 19 6 2" xfId="32149"/>
    <cellStyle name="Обычный 19 6 2 2" xfId="46972"/>
    <cellStyle name="Обычный 19 6 3" xfId="39737"/>
    <cellStyle name="Обычный 19 6 4" xfId="36535"/>
    <cellStyle name="Обычный 19 7" xfId="28495"/>
    <cellStyle name="Обычный 19 7 2" xfId="43332"/>
    <cellStyle name="Обычный 19 8" xfId="35902"/>
    <cellStyle name="Обычный 19 9" xfId="21177"/>
    <cellStyle name="Обычный 2" xfId="199"/>
    <cellStyle name="Обычный 2 10" xfId="14369"/>
    <cellStyle name="Обычный 2 10 2" xfId="16944"/>
    <cellStyle name="Обычный 2 10 3" xfId="16872"/>
    <cellStyle name="Обычный 2 10 4" xfId="17092"/>
    <cellStyle name="Обычный 2 10 5" xfId="18000"/>
    <cellStyle name="Обычный 2 10 6" xfId="36536"/>
    <cellStyle name="Обычный 2 11" xfId="14370"/>
    <cellStyle name="Обычный 2 11 2" xfId="16945"/>
    <cellStyle name="Обычный 2 11 3" xfId="17093"/>
    <cellStyle name="Обычный 2 11 4" xfId="18001"/>
    <cellStyle name="Обычный 2 11 5" xfId="36537"/>
    <cellStyle name="Обычный 2 12" xfId="14371"/>
    <cellStyle name="Обычный 2 12 2" xfId="16977"/>
    <cellStyle name="Обычный 2 12 3" xfId="17094"/>
    <cellStyle name="Обычный 2 12 4" xfId="18002"/>
    <cellStyle name="Обычный 2 12 5" xfId="36538"/>
    <cellStyle name="Обычный 2 13" xfId="16917"/>
    <cellStyle name="Обычный 2 14" xfId="16871"/>
    <cellStyle name="Обычный 2 14 2" xfId="17139"/>
    <cellStyle name="Обычный 2 14 2 2" xfId="17276"/>
    <cellStyle name="Обычный 2 14 2 3" xfId="36630"/>
    <cellStyle name="Обычный 2 14 3" xfId="233"/>
    <cellStyle name="Обычный 2 14 3 2" xfId="20032"/>
    <cellStyle name="Обычный 2 14 3 3" xfId="36618"/>
    <cellStyle name="Обычный 2 14 4" xfId="17173"/>
    <cellStyle name="Обычный 2 14 5" xfId="18063"/>
    <cellStyle name="Обычный 2 14 6" xfId="36606"/>
    <cellStyle name="Обычный 2 15" xfId="24614"/>
    <cellStyle name="Обычный 2 16" xfId="14368"/>
    <cellStyle name="Обычный 2 2" xfId="14372"/>
    <cellStyle name="Обычный 2 2 10" xfId="16946"/>
    <cellStyle name="Обычный 2 2 11" xfId="16873"/>
    <cellStyle name="Обычный 2 2 12" xfId="17095"/>
    <cellStyle name="Обычный 2 2 13" xfId="18003"/>
    <cellStyle name="Обычный 2 2 14" xfId="20945"/>
    <cellStyle name="Обычный 2 2 15" xfId="36539"/>
    <cellStyle name="Обычный 2 2 2" xfId="14373"/>
    <cellStyle name="Обычный 2 2 2 2" xfId="16947"/>
    <cellStyle name="Обычный 2 2 2 3" xfId="17096"/>
    <cellStyle name="Обычный 2 2 2 4" xfId="18004"/>
    <cellStyle name="Обычный 2 2 2 5" xfId="36540"/>
    <cellStyle name="Обычный 2 2 3" xfId="14374"/>
    <cellStyle name="Обычный 2 2 3 2" xfId="16948"/>
    <cellStyle name="Обычный 2 2 3 3" xfId="17097"/>
    <cellStyle name="Обычный 2 2 3 4" xfId="18005"/>
    <cellStyle name="Обычный 2 2 3 5" xfId="36541"/>
    <cellStyle name="Обычный 2 2 4" xfId="14375"/>
    <cellStyle name="Обычный 2 2 4 2" xfId="16949"/>
    <cellStyle name="Обычный 2 2 4 3" xfId="17098"/>
    <cellStyle name="Обычный 2 2 4 4" xfId="18006"/>
    <cellStyle name="Обычный 2 2 4 5" xfId="36542"/>
    <cellStyle name="Обычный 2 2 5" xfId="14376"/>
    <cellStyle name="Обычный 2 2 5 2" xfId="16950"/>
    <cellStyle name="Обычный 2 2 5 3" xfId="17099"/>
    <cellStyle name="Обычный 2 2 5 4" xfId="18007"/>
    <cellStyle name="Обычный 2 2 5 5" xfId="36543"/>
    <cellStyle name="Обычный 2 2 6" xfId="14377"/>
    <cellStyle name="Обычный 2 2 6 2" xfId="16951"/>
    <cellStyle name="Обычный 2 2 6 3" xfId="17100"/>
    <cellStyle name="Обычный 2 2 6 4" xfId="18008"/>
    <cellStyle name="Обычный 2 2 6 5" xfId="36544"/>
    <cellStyle name="Обычный 2 2 7" xfId="14378"/>
    <cellStyle name="Обычный 2 2 8" xfId="14379"/>
    <cellStyle name="Обычный 2 2 9" xfId="14380"/>
    <cellStyle name="Обычный 2 2_109_факт" xfId="14381"/>
    <cellStyle name="Обычный 2 3" xfId="14382"/>
    <cellStyle name="Обычный 2 3 2" xfId="14383"/>
    <cellStyle name="Обычный 2 3 3" xfId="14384"/>
    <cellStyle name="Обычный 2 3 4" xfId="16918"/>
    <cellStyle name="Обычный 2 3 5" xfId="16874"/>
    <cellStyle name="Обычный 2 3 6" xfId="17101"/>
    <cellStyle name="Обычный 2 3 7" xfId="18009"/>
    <cellStyle name="Обычный 2 3 8" xfId="36545"/>
    <cellStyle name="Обычный 2 3_001" xfId="14385"/>
    <cellStyle name="Обычный 2 4" xfId="14386"/>
    <cellStyle name="Обычный 2 4 2" xfId="16930"/>
    <cellStyle name="Обычный 2 4 3" xfId="17102"/>
    <cellStyle name="Обычный 2 4 4" xfId="18010"/>
    <cellStyle name="Обычный 2 4 5" xfId="36546"/>
    <cellStyle name="Обычный 2 5" xfId="14387"/>
    <cellStyle name="Обычный 2 5 2" xfId="16952"/>
    <cellStyle name="Обычный 2 5 3" xfId="16875"/>
    <cellStyle name="Обычный 2 5 4" xfId="17103"/>
    <cellStyle name="Обычный 2 5 5" xfId="18011"/>
    <cellStyle name="Обычный 2 5 6" xfId="36547"/>
    <cellStyle name="Обычный 2 6" xfId="14388"/>
    <cellStyle name="Обычный 2 6 2" xfId="16953"/>
    <cellStyle name="Обычный 2 6 3" xfId="16876"/>
    <cellStyle name="Обычный 2 6 4" xfId="17104"/>
    <cellStyle name="Обычный 2 6 5" xfId="18012"/>
    <cellStyle name="Обычный 2 6 6" xfId="36548"/>
    <cellStyle name="Обычный 2 7" xfId="14389"/>
    <cellStyle name="Обычный 2 7 2" xfId="16954"/>
    <cellStyle name="Обычный 2 7 3" xfId="16877"/>
    <cellStyle name="Обычный 2 7 4" xfId="17105"/>
    <cellStyle name="Обычный 2 7 5" xfId="18013"/>
    <cellStyle name="Обычный 2 7 6" xfId="36549"/>
    <cellStyle name="Обычный 2 8" xfId="14390"/>
    <cellStyle name="Обычный 2 8 2" xfId="16956"/>
    <cellStyle name="Обычный 2 8 3" xfId="16957"/>
    <cellStyle name="Обычный 2 8 4" xfId="16958"/>
    <cellStyle name="Обычный 2 8 5" xfId="16959"/>
    <cellStyle name="Обычный 2 8 6" xfId="16955"/>
    <cellStyle name="Обычный 2 8 7" xfId="16878"/>
    <cellStyle name="Обычный 2 9" xfId="14391"/>
    <cellStyle name="Обычный 2 9 2" xfId="16960"/>
    <cellStyle name="Обычный 2 9 3" xfId="16879"/>
    <cellStyle name="Обычный 2 9 4" xfId="17106"/>
    <cellStyle name="Обычный 2 9 5" xfId="18014"/>
    <cellStyle name="Обычный 2 9 6" xfId="36550"/>
    <cellStyle name="Обычный 2_~4245506" xfId="14392"/>
    <cellStyle name="Обычный 20" xfId="14393"/>
    <cellStyle name="Обычный 20 2" xfId="232"/>
    <cellStyle name="Обычный 20 2 2" xfId="19060"/>
    <cellStyle name="Обычный 20 2 2 2" xfId="20939"/>
    <cellStyle name="Обычный 20 2 2 2 2" xfId="28265"/>
    <cellStyle name="Обычный 20 2 2 2 2 2" xfId="35576"/>
    <cellStyle name="Обычный 20 2 2 2 2 2 2" xfId="50396"/>
    <cellStyle name="Обычный 20 2 2 2 2 3" xfId="43104"/>
    <cellStyle name="Обычный 20 2 2 2 3" xfId="31922"/>
    <cellStyle name="Обычный 20 2 2 2 3 2" xfId="46745"/>
    <cellStyle name="Обычный 20 2 2 2 4" xfId="39420"/>
    <cellStyle name="Обычный 20 2 2 2 5" xfId="24607"/>
    <cellStyle name="Обычный 20 2 2 3" xfId="26439"/>
    <cellStyle name="Обычный 20 2 2 3 2" xfId="33750"/>
    <cellStyle name="Обычный 20 2 2 3 2 2" xfId="48570"/>
    <cellStyle name="Обычный 20 2 2 3 3" xfId="41283"/>
    <cellStyle name="Обычный 20 2 2 4" xfId="30096"/>
    <cellStyle name="Обычный 20 2 2 4 2" xfId="44920"/>
    <cellStyle name="Обычный 20 2 2 5" xfId="37593"/>
    <cellStyle name="Обычный 20 2 2 6" xfId="22778"/>
    <cellStyle name="Обычный 20 3" xfId="18602"/>
    <cellStyle name="Обычный 20 4" xfId="20012"/>
    <cellStyle name="Обычный 20 5" xfId="19990"/>
    <cellStyle name="Обычный 20 5 2" xfId="27359"/>
    <cellStyle name="Обычный 20 5 2 2" xfId="34670"/>
    <cellStyle name="Обычный 20 5 2 2 2" xfId="49490"/>
    <cellStyle name="Обычный 20 5 2 3" xfId="42199"/>
    <cellStyle name="Обычный 20 5 3" xfId="31016"/>
    <cellStyle name="Обычный 20 5 3 2" xfId="45839"/>
    <cellStyle name="Обычный 20 5 4" xfId="38513"/>
    <cellStyle name="Обычный 20 5 5" xfId="23701"/>
    <cellStyle name="Обычный 20 6" xfId="25518"/>
    <cellStyle name="Обычный 20 6 2" xfId="32829"/>
    <cellStyle name="Обычный 20 6 2 2" xfId="47652"/>
    <cellStyle name="Обычный 20 6 3" xfId="40406"/>
    <cellStyle name="Обычный 20 6 4" xfId="36551"/>
    <cellStyle name="Обычный 20 7" xfId="29175"/>
    <cellStyle name="Обычный 20 7 2" xfId="44012"/>
    <cellStyle name="Обычный 20 8" xfId="21857"/>
    <cellStyle name="Обычный 21" xfId="14394"/>
    <cellStyle name="Обычный 21 2" xfId="16880"/>
    <cellStyle name="Обычный 21 3" xfId="18173"/>
    <cellStyle name="Обычный 21 4" xfId="20013"/>
    <cellStyle name="Обычный 21 5" xfId="19993"/>
    <cellStyle name="Обычный 21 6" xfId="36552"/>
    <cellStyle name="Обычный 22" xfId="14395"/>
    <cellStyle name="Обычный 22 2" xfId="16881"/>
    <cellStyle name="Обычный 22 3" xfId="36553"/>
    <cellStyle name="Обычный 22 4" xfId="35581"/>
    <cellStyle name="Обычный 23" xfId="14396"/>
    <cellStyle name="Обычный 23 2" xfId="16882"/>
    <cellStyle name="Обычный 23 3" xfId="36554"/>
    <cellStyle name="Обычный 23 4" xfId="36030"/>
    <cellStyle name="Обычный 24" xfId="14397"/>
    <cellStyle name="Обычный 25" xfId="14398"/>
    <cellStyle name="Обычный 25 2" xfId="16883"/>
    <cellStyle name="Обычный 26" xfId="14399"/>
    <cellStyle name="Обычный 26 2" xfId="16884"/>
    <cellStyle name="Обычный 27" xfId="14400"/>
    <cellStyle name="Обычный 28" xfId="14401"/>
    <cellStyle name="Обычный 29" xfId="4190"/>
    <cellStyle name="Обычный 3" xfId="202"/>
    <cellStyle name="Обычный 3 10" xfId="36555"/>
    <cellStyle name="Обычный 3 11" xfId="14402"/>
    <cellStyle name="Обычный 3 2" xfId="282"/>
    <cellStyle name="Обычный 3 2 2" xfId="4201"/>
    <cellStyle name="Обычный 3 2 3" xfId="16885"/>
    <cellStyle name="Обычный 3 2 4" xfId="17108"/>
    <cellStyle name="Обычный 3 2 5" xfId="18016"/>
    <cellStyle name="Обычный 3 2 6" xfId="36556"/>
    <cellStyle name="Обычный 3 3" xfId="14403"/>
    <cellStyle name="Обычный 3 3 2" xfId="16961"/>
    <cellStyle name="Обычный 3 3 3" xfId="16886"/>
    <cellStyle name="Обычный 3 3 4" xfId="17109"/>
    <cellStyle name="Обычный 3 3 5" xfId="18017"/>
    <cellStyle name="Обычный 3 3 6" xfId="36557"/>
    <cellStyle name="Обычный 3 4" xfId="16962"/>
    <cellStyle name="Обычный 3 5" xfId="16963"/>
    <cellStyle name="Обычный 3 6" xfId="16964"/>
    <cellStyle name="Обычный 3 7" xfId="16919"/>
    <cellStyle name="Обычный 3 8" xfId="17107"/>
    <cellStyle name="Обычный 3 9" xfId="18015"/>
    <cellStyle name="Обычный 3_109_факт" xfId="14404"/>
    <cellStyle name="Обычный 30" xfId="15706"/>
    <cellStyle name="Обычный 31" xfId="16905"/>
    <cellStyle name="Обычный 32" xfId="15705"/>
    <cellStyle name="Обычный 32 10" xfId="21862"/>
    <cellStyle name="Обычный 32 2" xfId="17027"/>
    <cellStyle name="Обычный 32 2 2" xfId="17145"/>
    <cellStyle name="Обычный 32 2 2 2" xfId="18084"/>
    <cellStyle name="Обычный 32 2 2 2 2" xfId="26470"/>
    <cellStyle name="Обычный 32 2 2 2 2 2" xfId="33781"/>
    <cellStyle name="Обычный 32 2 2 2 2 2 2" xfId="48601"/>
    <cellStyle name="Обычный 32 2 2 2 2 3" xfId="41311"/>
    <cellStyle name="Обычный 32 2 2 2 3" xfId="30127"/>
    <cellStyle name="Обычный 32 2 2 2 3 2" xfId="44951"/>
    <cellStyle name="Обычный 32 2 2 2 4" xfId="36740"/>
    <cellStyle name="Обычный 32 2 2 2 5" xfId="22812"/>
    <cellStyle name="Обычный 32 2 2 3" xfId="18164"/>
    <cellStyle name="Обычный 32 2 2 3 2" xfId="32861"/>
    <cellStyle name="Обычный 32 2 2 3 2 2" xfId="47681"/>
    <cellStyle name="Обычный 32 2 2 3 3" xfId="36808"/>
    <cellStyle name="Обычный 32 2 2 3 4" xfId="25550"/>
    <cellStyle name="Обычный 32 2 2 4" xfId="19091"/>
    <cellStyle name="Обычный 32 2 2 4 2" xfId="37624"/>
    <cellStyle name="Обычный 32 2 2 4 3" xfId="29207"/>
    <cellStyle name="Обычный 32 2 2 5" xfId="36634"/>
    <cellStyle name="Обычный 32 2 2 6" xfId="21889"/>
    <cellStyle name="Обычный 32 2 3" xfId="18069"/>
    <cellStyle name="Обычный 32 2 3 2" xfId="26452"/>
    <cellStyle name="Обычный 32 2 3 2 2" xfId="33763"/>
    <cellStyle name="Обычный 32 2 3 2 2 2" xfId="48583"/>
    <cellStyle name="Обычный 32 2 3 2 3" xfId="41293"/>
    <cellStyle name="Обычный 32 2 3 3" xfId="30109"/>
    <cellStyle name="Обычный 32 2 3 3 2" xfId="44933"/>
    <cellStyle name="Обычный 32 2 3 4" xfId="36725"/>
    <cellStyle name="Обычный 32 2 3 5" xfId="22794"/>
    <cellStyle name="Обычный 32 2 4" xfId="18138"/>
    <cellStyle name="Обычный 32 2 4 2" xfId="32843"/>
    <cellStyle name="Обычный 32 2 4 2 2" xfId="47663"/>
    <cellStyle name="Обычный 32 2 4 3" xfId="36790"/>
    <cellStyle name="Обычный 32 2 4 4" xfId="25532"/>
    <cellStyle name="Обычный 32 2 5" xfId="19073"/>
    <cellStyle name="Обычный 32 2 5 2" xfId="37606"/>
    <cellStyle name="Обычный 32 2 5 3" xfId="29189"/>
    <cellStyle name="Обычный 32 2 6" xfId="36612"/>
    <cellStyle name="Обычный 32 2 7" xfId="21871"/>
    <cellStyle name="Обычный 32 3" xfId="17138"/>
    <cellStyle name="Обычный 32 3 2" xfId="18080"/>
    <cellStyle name="Обычный 32 3 2 2" xfId="26461"/>
    <cellStyle name="Обычный 32 3 2 2 2" xfId="33772"/>
    <cellStyle name="Обычный 32 3 2 2 2 2" xfId="48592"/>
    <cellStyle name="Обычный 32 3 2 2 3" xfId="41302"/>
    <cellStyle name="Обычный 32 3 2 3" xfId="30118"/>
    <cellStyle name="Обычный 32 3 2 3 2" xfId="44942"/>
    <cellStyle name="Обычный 32 3 2 4" xfId="36736"/>
    <cellStyle name="Обычный 32 3 2 5" xfId="22803"/>
    <cellStyle name="Обычный 32 3 3" xfId="18154"/>
    <cellStyle name="Обычный 32 3 3 2" xfId="32852"/>
    <cellStyle name="Обычный 32 3 3 2 2" xfId="47672"/>
    <cellStyle name="Обычный 32 3 3 3" xfId="36799"/>
    <cellStyle name="Обычный 32 3 3 4" xfId="25541"/>
    <cellStyle name="Обычный 32 3 4" xfId="19082"/>
    <cellStyle name="Обычный 32 3 4 2" xfId="37615"/>
    <cellStyle name="Обычный 32 3 4 3" xfId="29198"/>
    <cellStyle name="Обычный 32 3 5" xfId="36629"/>
    <cellStyle name="Обычный 32 3 6" xfId="21880"/>
    <cellStyle name="Обычный 32 4" xfId="17236"/>
    <cellStyle name="Обычный 32 4 2" xfId="18101"/>
    <cellStyle name="Обычный 32 4 2 2" xfId="33754"/>
    <cellStyle name="Обычный 32 4 2 2 2" xfId="48574"/>
    <cellStyle name="Обычный 32 4 2 3" xfId="36757"/>
    <cellStyle name="Обычный 32 4 2 4" xfId="26443"/>
    <cellStyle name="Обычный 32 4 3" xfId="30100"/>
    <cellStyle name="Обычный 32 4 3 2" xfId="44924"/>
    <cellStyle name="Обычный 32 4 4" xfId="36659"/>
    <cellStyle name="Обычный 32 4 5" xfId="22784"/>
    <cellStyle name="Обычный 32 5" xfId="17252"/>
    <cellStyle name="Обычный 32 5 2" xfId="18111"/>
    <cellStyle name="Обычный 32 5 2 2" xfId="36767"/>
    <cellStyle name="Обычный 32 5 2 3" xfId="32834"/>
    <cellStyle name="Обычный 32 5 3" xfId="36671"/>
    <cellStyle name="Обычный 32 5 4" xfId="25523"/>
    <cellStyle name="Обычный 32 6" xfId="18053"/>
    <cellStyle name="Обычный 32 6 2" xfId="36710"/>
    <cellStyle name="Обычный 32 6 3" xfId="29180"/>
    <cellStyle name="Обычный 32 7" xfId="18126"/>
    <cellStyle name="Обычный 32 7 2" xfId="36781"/>
    <cellStyle name="Обычный 32 8" xfId="19064"/>
    <cellStyle name="Обычный 32 8 2" xfId="37597"/>
    <cellStyle name="Обычный 32 9" xfId="36594"/>
    <cellStyle name="Обычный 33" xfId="15662"/>
    <cellStyle name="Обычный 337" xfId="16982"/>
    <cellStyle name="Обычный 337 10" xfId="19059"/>
    <cellStyle name="Обычный 337 10 2" xfId="20938"/>
    <cellStyle name="Обычный 337 10 2 2" xfId="24606"/>
    <cellStyle name="Обычный 337 10 2 2 2" xfId="28264"/>
    <cellStyle name="Обычный 337 10 2 2 2 2" xfId="35575"/>
    <cellStyle name="Обычный 337 10 2 2 2 2 2" xfId="50395"/>
    <cellStyle name="Обычный 337 10 2 2 2 3" xfId="43103"/>
    <cellStyle name="Обычный 337 10 2 2 3" xfId="31921"/>
    <cellStyle name="Обычный 337 10 2 2 3 2" xfId="46744"/>
    <cellStyle name="Обычный 337 10 2 2 4" xfId="39536"/>
    <cellStyle name="Обычный 337 10 2 3" xfId="26438"/>
    <cellStyle name="Обычный 337 10 2 3 2" xfId="33749"/>
    <cellStyle name="Обычный 337 10 2 3 2 2" xfId="48569"/>
    <cellStyle name="Обычный 337 10 2 3 3" xfId="41282"/>
    <cellStyle name="Обычный 337 10 2 4" xfId="30095"/>
    <cellStyle name="Обычный 337 10 2 4 2" xfId="44919"/>
    <cellStyle name="Обычный 337 10 2 5" xfId="39419"/>
    <cellStyle name="Обычный 337 10 2 6" xfId="22777"/>
    <cellStyle name="Обычный 337 10 3" xfId="19989"/>
    <cellStyle name="Обычный 337 10 3 2" xfId="27358"/>
    <cellStyle name="Обычный 337 10 3 2 2" xfId="34669"/>
    <cellStyle name="Обычный 337 10 3 2 2 2" xfId="49489"/>
    <cellStyle name="Обычный 337 10 3 2 3" xfId="42198"/>
    <cellStyle name="Обычный 337 10 3 3" xfId="31015"/>
    <cellStyle name="Обычный 337 10 3 3 2" xfId="45838"/>
    <cellStyle name="Обычный 337 10 3 4" xfId="38512"/>
    <cellStyle name="Обычный 337 10 3 5" xfId="23700"/>
    <cellStyle name="Обычный 337 10 4" xfId="25517"/>
    <cellStyle name="Обычный 337 10 4 2" xfId="32828"/>
    <cellStyle name="Обычный 337 10 4 2 2" xfId="47651"/>
    <cellStyle name="Обычный 337 10 4 3" xfId="40405"/>
    <cellStyle name="Обычный 337 10 5" xfId="29174"/>
    <cellStyle name="Обычный 337 10 5 2" xfId="44011"/>
    <cellStyle name="Обычный 337 10 6" xfId="37592"/>
    <cellStyle name="Обычный 337 10 7" xfId="21856"/>
    <cellStyle name="Обычный 337 11" xfId="18132"/>
    <cellStyle name="Обычный 337 11 2" xfId="20039"/>
    <cellStyle name="Обычный 337 11 2 2" xfId="27367"/>
    <cellStyle name="Обычный 337 11 2 2 2" xfId="34678"/>
    <cellStyle name="Обычный 337 11 2 2 2 2" xfId="49498"/>
    <cellStyle name="Обычный 337 11 2 2 3" xfId="42207"/>
    <cellStyle name="Обычный 337 11 2 3" xfId="31024"/>
    <cellStyle name="Обычный 337 11 2 3 2" xfId="45847"/>
    <cellStyle name="Обычный 337 11 2 4" xfId="38522"/>
    <cellStyle name="Обычный 337 11 2 5" xfId="23709"/>
    <cellStyle name="Обычный 337 11 3" xfId="25529"/>
    <cellStyle name="Обычный 337 11 3 2" xfId="32840"/>
    <cellStyle name="Обычный 337 11 3 2 2" xfId="47661"/>
    <cellStyle name="Обычный 337 11 3 3" xfId="40414"/>
    <cellStyle name="Обычный 337 11 4" xfId="29186"/>
    <cellStyle name="Обычный 337 11 4 2" xfId="44021"/>
    <cellStyle name="Обычный 337 11 5" xfId="36787"/>
    <cellStyle name="Обычный 337 11 6" xfId="21868"/>
    <cellStyle name="Обычный 337 12" xfId="19070"/>
    <cellStyle name="Обычный 337 12 2" xfId="26449"/>
    <cellStyle name="Обычный 337 12 2 2" xfId="33760"/>
    <cellStyle name="Обычный 337 12 2 2 2" xfId="48580"/>
    <cellStyle name="Обычный 337 12 2 3" xfId="41291"/>
    <cellStyle name="Обычный 337 12 3" xfId="30106"/>
    <cellStyle name="Обычный 337 12 3 2" xfId="44930"/>
    <cellStyle name="Обычный 337 12 4" xfId="37603"/>
    <cellStyle name="Обычный 337 12 5" xfId="22791"/>
    <cellStyle name="Обычный 337 13" xfId="24620"/>
    <cellStyle name="Обычный 337 13 2" xfId="31931"/>
    <cellStyle name="Обычный 337 13 2 2" xfId="46754"/>
    <cellStyle name="Обычный 337 13 3" xfId="39542"/>
    <cellStyle name="Обычный 337 14" xfId="28277"/>
    <cellStyle name="Обычный 337 14 2" xfId="43114"/>
    <cellStyle name="Обычный 337 15" xfId="35587"/>
    <cellStyle name="Обычный 337 16" xfId="20959"/>
    <cellStyle name="Обычный 337 2" xfId="17033"/>
    <cellStyle name="Обычный 337 2 10" xfId="24627"/>
    <cellStyle name="Обычный 337 2 10 2" xfId="31938"/>
    <cellStyle name="Обычный 337 2 10 2 2" xfId="46761"/>
    <cellStyle name="Обычный 337 2 10 3" xfId="39549"/>
    <cellStyle name="Обычный 337 2 11" xfId="28284"/>
    <cellStyle name="Обычный 337 2 11 2" xfId="43121"/>
    <cellStyle name="Обычный 337 2 12" xfId="35903"/>
    <cellStyle name="Обычный 337 2 13" xfId="20966"/>
    <cellStyle name="Обычный 337 2 2" xfId="17151"/>
    <cellStyle name="Обычный 337 2 2 10" xfId="28298"/>
    <cellStyle name="Обычный 337 2 2 10 2" xfId="43135"/>
    <cellStyle name="Обычный 337 2 2 11" xfId="35904"/>
    <cellStyle name="Обычный 337 2 2 12" xfId="20980"/>
    <cellStyle name="Обычный 337 2 2 2" xfId="17217"/>
    <cellStyle name="Обычный 337 2 2 2 10" xfId="35905"/>
    <cellStyle name="Обычный 337 2 2 2 11" xfId="21008"/>
    <cellStyle name="Обычный 337 2 2 2 2" xfId="17374"/>
    <cellStyle name="Обычный 337 2 2 2 2 10" xfId="21064"/>
    <cellStyle name="Обычный 337 2 2 2 2 2" xfId="17489"/>
    <cellStyle name="Обычный 337 2 2 2 2 2 2" xfId="17939"/>
    <cellStyle name="Обычный 337 2 2 2 2 2 2 2" xfId="19053"/>
    <cellStyle name="Обычный 337 2 2 2 2 2 2 2 2" xfId="20932"/>
    <cellStyle name="Обычный 337 2 2 2 2 2 2 2 2 2" xfId="24600"/>
    <cellStyle name="Обычный 337 2 2 2 2 2 2 2 2 2 2" xfId="28258"/>
    <cellStyle name="Обычный 337 2 2 2 2 2 2 2 2 2 2 2" xfId="35569"/>
    <cellStyle name="Обычный 337 2 2 2 2 2 2 2 2 2 2 2 2" xfId="50389"/>
    <cellStyle name="Обычный 337 2 2 2 2 2 2 2 2 2 2 3" xfId="43097"/>
    <cellStyle name="Обычный 337 2 2 2 2 2 2 2 2 2 3" xfId="31915"/>
    <cellStyle name="Обычный 337 2 2 2 2 2 2 2 2 2 3 2" xfId="46738"/>
    <cellStyle name="Обычный 337 2 2 2 2 2 2 2 2 2 4" xfId="39532"/>
    <cellStyle name="Обычный 337 2 2 2 2 2 2 2 2 3" xfId="26432"/>
    <cellStyle name="Обычный 337 2 2 2 2 2 2 2 2 3 2" xfId="33743"/>
    <cellStyle name="Обычный 337 2 2 2 2 2 2 2 2 3 2 2" xfId="48563"/>
    <cellStyle name="Обычный 337 2 2 2 2 2 2 2 2 3 3" xfId="41276"/>
    <cellStyle name="Обычный 337 2 2 2 2 2 2 2 2 4" xfId="30089"/>
    <cellStyle name="Обычный 337 2 2 2 2 2 2 2 2 4 2" xfId="44913"/>
    <cellStyle name="Обычный 337 2 2 2 2 2 2 2 2 5" xfId="39413"/>
    <cellStyle name="Обычный 337 2 2 2 2 2 2 2 2 6" xfId="22771"/>
    <cellStyle name="Обычный 337 2 2 2 2 2 2 2 3" xfId="19983"/>
    <cellStyle name="Обычный 337 2 2 2 2 2 2 2 3 2" xfId="27352"/>
    <cellStyle name="Обычный 337 2 2 2 2 2 2 2 3 2 2" xfId="34663"/>
    <cellStyle name="Обычный 337 2 2 2 2 2 2 2 3 2 2 2" xfId="49483"/>
    <cellStyle name="Обычный 337 2 2 2 2 2 2 2 3 2 3" xfId="42192"/>
    <cellStyle name="Обычный 337 2 2 2 2 2 2 2 3 3" xfId="31009"/>
    <cellStyle name="Обычный 337 2 2 2 2 2 2 2 3 3 2" xfId="45832"/>
    <cellStyle name="Обычный 337 2 2 2 2 2 2 2 3 4" xfId="38506"/>
    <cellStyle name="Обычный 337 2 2 2 2 2 2 2 3 5" xfId="23694"/>
    <cellStyle name="Обычный 337 2 2 2 2 2 2 2 4" xfId="25511"/>
    <cellStyle name="Обычный 337 2 2 2 2 2 2 2 4 2" xfId="32822"/>
    <cellStyle name="Обычный 337 2 2 2 2 2 2 2 4 2 2" xfId="47645"/>
    <cellStyle name="Обычный 337 2 2 2 2 2 2 2 4 3" xfId="40399"/>
    <cellStyle name="Обычный 337 2 2 2 2 2 2 2 5" xfId="29168"/>
    <cellStyle name="Обычный 337 2 2 2 2 2 2 2 5 2" xfId="44005"/>
    <cellStyle name="Обычный 337 2 2 2 2 2 2 2 6" xfId="36357"/>
    <cellStyle name="Обычный 337 2 2 2 2 2 2 2 7" xfId="21850"/>
    <cellStyle name="Обычный 337 2 2 2 2 2 2 3" xfId="18485"/>
    <cellStyle name="Обычный 337 2 2 2 2 2 2 3 2" xfId="20367"/>
    <cellStyle name="Обычный 337 2 2 2 2 2 2 3 2 2" xfId="27693"/>
    <cellStyle name="Обычный 337 2 2 2 2 2 2 3 2 2 2" xfId="35004"/>
    <cellStyle name="Обычный 337 2 2 2 2 2 2 3 2 2 2 2" xfId="49824"/>
    <cellStyle name="Обычный 337 2 2 2 2 2 2 3 2 2 3" xfId="42532"/>
    <cellStyle name="Обычный 337 2 2 2 2 2 2 3 2 3" xfId="31350"/>
    <cellStyle name="Обычный 337 2 2 2 2 2 2 3 2 3 2" xfId="46173"/>
    <cellStyle name="Обычный 337 2 2 2 2 2 2 3 2 4" xfId="38848"/>
    <cellStyle name="Обычный 337 2 2 2 2 2 2 3 2 5" xfId="24035"/>
    <cellStyle name="Обычный 337 2 2 2 2 2 2 3 3" xfId="25867"/>
    <cellStyle name="Обычный 337 2 2 2 2 2 2 3 3 2" xfId="33178"/>
    <cellStyle name="Обычный 337 2 2 2 2 2 2 3 3 2 2" xfId="47998"/>
    <cellStyle name="Обычный 337 2 2 2 2 2 2 3 3 3" xfId="40714"/>
    <cellStyle name="Обычный 337 2 2 2 2 2 2 3 4" xfId="29524"/>
    <cellStyle name="Обычный 337 2 2 2 2 2 2 3 4 2" xfId="44348"/>
    <cellStyle name="Обычный 337 2 2 2 2 2 2 3 5" xfId="37125"/>
    <cellStyle name="Обычный 337 2 2 2 2 2 2 3 6" xfId="22206"/>
    <cellStyle name="Обычный 337 2 2 2 2 2 2 4" xfId="19532"/>
    <cellStyle name="Обычный 337 2 2 2 2 2 2 4 2" xfId="26902"/>
    <cellStyle name="Обычный 337 2 2 2 2 2 2 4 2 2" xfId="34213"/>
    <cellStyle name="Обычный 337 2 2 2 2 2 2 4 2 2 2" xfId="49033"/>
    <cellStyle name="Обычный 337 2 2 2 2 2 2 4 2 3" xfId="41742"/>
    <cellStyle name="Обычный 337 2 2 2 2 2 2 4 3" xfId="30559"/>
    <cellStyle name="Обычный 337 2 2 2 2 2 2 4 3 2" xfId="45382"/>
    <cellStyle name="Обычный 337 2 2 2 2 2 2 4 4" xfId="38056"/>
    <cellStyle name="Обычный 337 2 2 2 2 2 2 4 5" xfId="23244"/>
    <cellStyle name="Обычный 337 2 2 2 2 2 2 5" xfId="25061"/>
    <cellStyle name="Обычный 337 2 2 2 2 2 2 5 2" xfId="32372"/>
    <cellStyle name="Обычный 337 2 2 2 2 2 2 5 2 2" xfId="47195"/>
    <cellStyle name="Обычный 337 2 2 2 2 2 2 5 3" xfId="39956"/>
    <cellStyle name="Обычный 337 2 2 2 2 2 2 6" xfId="28718"/>
    <cellStyle name="Обычный 337 2 2 2 2 2 2 6 2" xfId="43555"/>
    <cellStyle name="Обычный 337 2 2 2 2 2 2 7" xfId="35908"/>
    <cellStyle name="Обычный 337 2 2 2 2 2 2 8" xfId="21400"/>
    <cellStyle name="Обычный 337 2 2 2 2 2 3" xfId="17715"/>
    <cellStyle name="Обычный 337 2 2 2 2 2 3 2" xfId="18829"/>
    <cellStyle name="Обычный 337 2 2 2 2 2 3 2 2" xfId="20708"/>
    <cellStyle name="Обычный 337 2 2 2 2 2 3 2 2 2" xfId="28034"/>
    <cellStyle name="Обычный 337 2 2 2 2 2 3 2 2 2 2" xfId="35345"/>
    <cellStyle name="Обычный 337 2 2 2 2 2 3 2 2 2 2 2" xfId="50165"/>
    <cellStyle name="Обычный 337 2 2 2 2 2 3 2 2 2 3" xfId="42873"/>
    <cellStyle name="Обычный 337 2 2 2 2 2 3 2 2 3" xfId="31691"/>
    <cellStyle name="Обычный 337 2 2 2 2 2 3 2 2 3 2" xfId="46514"/>
    <cellStyle name="Обычный 337 2 2 2 2 2 3 2 2 4" xfId="39189"/>
    <cellStyle name="Обычный 337 2 2 2 2 2 3 2 2 5" xfId="24376"/>
    <cellStyle name="Обычный 337 2 2 2 2 2 3 2 3" xfId="26208"/>
    <cellStyle name="Обычный 337 2 2 2 2 2 3 2 3 2" xfId="33519"/>
    <cellStyle name="Обычный 337 2 2 2 2 2 3 2 3 2 2" xfId="48339"/>
    <cellStyle name="Обычный 337 2 2 2 2 2 3 2 3 3" xfId="41052"/>
    <cellStyle name="Обычный 337 2 2 2 2 2 3 2 4" xfId="29865"/>
    <cellStyle name="Обычный 337 2 2 2 2 2 3 2 4 2" xfId="44689"/>
    <cellStyle name="Обычный 337 2 2 2 2 2 3 2 5" xfId="37466"/>
    <cellStyle name="Обычный 337 2 2 2 2 2 3 2 6" xfId="22547"/>
    <cellStyle name="Обычный 337 2 2 2 2 2 3 3" xfId="19759"/>
    <cellStyle name="Обычный 337 2 2 2 2 2 3 3 2" xfId="27128"/>
    <cellStyle name="Обычный 337 2 2 2 2 2 3 3 2 2" xfId="34439"/>
    <cellStyle name="Обычный 337 2 2 2 2 2 3 3 2 2 2" xfId="49259"/>
    <cellStyle name="Обычный 337 2 2 2 2 2 3 3 2 3" xfId="41968"/>
    <cellStyle name="Обычный 337 2 2 2 2 2 3 3 3" xfId="30785"/>
    <cellStyle name="Обычный 337 2 2 2 2 2 3 3 3 2" xfId="45608"/>
    <cellStyle name="Обычный 337 2 2 2 2 2 3 3 4" xfId="38282"/>
    <cellStyle name="Обычный 337 2 2 2 2 2 3 3 5" xfId="23470"/>
    <cellStyle name="Обычный 337 2 2 2 2 2 3 4" xfId="25287"/>
    <cellStyle name="Обычный 337 2 2 2 2 2 3 4 2" xfId="32598"/>
    <cellStyle name="Обычный 337 2 2 2 2 2 3 4 2 2" xfId="47421"/>
    <cellStyle name="Обычный 337 2 2 2 2 2 3 4 3" xfId="40179"/>
    <cellStyle name="Обычный 337 2 2 2 2 2 3 5" xfId="28944"/>
    <cellStyle name="Обычный 337 2 2 2 2 2 3 5 2" xfId="43781"/>
    <cellStyle name="Обычный 337 2 2 2 2 2 3 6" xfId="36356"/>
    <cellStyle name="Обычный 337 2 2 2 2 2 3 7" xfId="21626"/>
    <cellStyle name="Обычный 337 2 2 2 2 2 4" xfId="18484"/>
    <cellStyle name="Обычный 337 2 2 2 2 2 4 2" xfId="20366"/>
    <cellStyle name="Обычный 337 2 2 2 2 2 4 2 2" xfId="27692"/>
    <cellStyle name="Обычный 337 2 2 2 2 2 4 2 2 2" xfId="35003"/>
    <cellStyle name="Обычный 337 2 2 2 2 2 4 2 2 2 2" xfId="49823"/>
    <cellStyle name="Обычный 337 2 2 2 2 2 4 2 2 3" xfId="42531"/>
    <cellStyle name="Обычный 337 2 2 2 2 2 4 2 3" xfId="31349"/>
    <cellStyle name="Обычный 337 2 2 2 2 2 4 2 3 2" xfId="46172"/>
    <cellStyle name="Обычный 337 2 2 2 2 2 4 2 4" xfId="38847"/>
    <cellStyle name="Обычный 337 2 2 2 2 2 4 2 5" xfId="24034"/>
    <cellStyle name="Обычный 337 2 2 2 2 2 4 3" xfId="25866"/>
    <cellStyle name="Обычный 337 2 2 2 2 2 4 3 2" xfId="33177"/>
    <cellStyle name="Обычный 337 2 2 2 2 2 4 3 2 2" xfId="47997"/>
    <cellStyle name="Обычный 337 2 2 2 2 2 4 3 3" xfId="40713"/>
    <cellStyle name="Обычный 337 2 2 2 2 2 4 4" xfId="29523"/>
    <cellStyle name="Обычный 337 2 2 2 2 2 4 4 2" xfId="44347"/>
    <cellStyle name="Обычный 337 2 2 2 2 2 4 5" xfId="37124"/>
    <cellStyle name="Обычный 337 2 2 2 2 2 4 6" xfId="22205"/>
    <cellStyle name="Обычный 337 2 2 2 2 2 5" xfId="19308"/>
    <cellStyle name="Обычный 337 2 2 2 2 2 5 2" xfId="26678"/>
    <cellStyle name="Обычный 337 2 2 2 2 2 5 2 2" xfId="33989"/>
    <cellStyle name="Обычный 337 2 2 2 2 2 5 2 2 2" xfId="48809"/>
    <cellStyle name="Обычный 337 2 2 2 2 2 5 2 3" xfId="41518"/>
    <cellStyle name="Обычный 337 2 2 2 2 2 5 3" xfId="30335"/>
    <cellStyle name="Обычный 337 2 2 2 2 2 5 3 2" xfId="45158"/>
    <cellStyle name="Обычный 337 2 2 2 2 2 5 4" xfId="37832"/>
    <cellStyle name="Обычный 337 2 2 2 2 2 5 5" xfId="23020"/>
    <cellStyle name="Обычный 337 2 2 2 2 2 6" xfId="24837"/>
    <cellStyle name="Обычный 337 2 2 2 2 2 6 2" xfId="32148"/>
    <cellStyle name="Обычный 337 2 2 2 2 2 6 2 2" xfId="46971"/>
    <cellStyle name="Обычный 337 2 2 2 2 2 6 3" xfId="39736"/>
    <cellStyle name="Обычный 337 2 2 2 2 2 7" xfId="28494"/>
    <cellStyle name="Обычный 337 2 2 2 2 2 7 2" xfId="43331"/>
    <cellStyle name="Обычный 337 2 2 2 2 2 8" xfId="35907"/>
    <cellStyle name="Обычный 337 2 2 2 2 2 9" xfId="21176"/>
    <cellStyle name="Обычный 337 2 2 2 2 3" xfId="17827"/>
    <cellStyle name="Обычный 337 2 2 2 2 3 2" xfId="18941"/>
    <cellStyle name="Обычный 337 2 2 2 2 3 2 2" xfId="20820"/>
    <cellStyle name="Обычный 337 2 2 2 2 3 2 2 2" xfId="24488"/>
    <cellStyle name="Обычный 337 2 2 2 2 3 2 2 2 2" xfId="28146"/>
    <cellStyle name="Обычный 337 2 2 2 2 3 2 2 2 2 2" xfId="35457"/>
    <cellStyle name="Обычный 337 2 2 2 2 3 2 2 2 2 2 2" xfId="50277"/>
    <cellStyle name="Обычный 337 2 2 2 2 3 2 2 2 2 3" xfId="42985"/>
    <cellStyle name="Обычный 337 2 2 2 2 3 2 2 2 3" xfId="31803"/>
    <cellStyle name="Обычный 337 2 2 2 2 3 2 2 2 3 2" xfId="46626"/>
    <cellStyle name="Обычный 337 2 2 2 2 3 2 2 2 4" xfId="39448"/>
    <cellStyle name="Обычный 337 2 2 2 2 3 2 2 3" xfId="26320"/>
    <cellStyle name="Обычный 337 2 2 2 2 3 2 2 3 2" xfId="33631"/>
    <cellStyle name="Обычный 337 2 2 2 2 3 2 2 3 2 2" xfId="48451"/>
    <cellStyle name="Обычный 337 2 2 2 2 3 2 2 3 3" xfId="41164"/>
    <cellStyle name="Обычный 337 2 2 2 2 3 2 2 4" xfId="29977"/>
    <cellStyle name="Обычный 337 2 2 2 2 3 2 2 4 2" xfId="44801"/>
    <cellStyle name="Обычный 337 2 2 2 2 3 2 2 5" xfId="39301"/>
    <cellStyle name="Обычный 337 2 2 2 2 3 2 2 6" xfId="22659"/>
    <cellStyle name="Обычный 337 2 2 2 2 3 2 3" xfId="19871"/>
    <cellStyle name="Обычный 337 2 2 2 2 3 2 3 2" xfId="27240"/>
    <cellStyle name="Обычный 337 2 2 2 2 3 2 3 2 2" xfId="34551"/>
    <cellStyle name="Обычный 337 2 2 2 2 3 2 3 2 2 2" xfId="49371"/>
    <cellStyle name="Обычный 337 2 2 2 2 3 2 3 2 3" xfId="42080"/>
    <cellStyle name="Обычный 337 2 2 2 2 3 2 3 3" xfId="30897"/>
    <cellStyle name="Обычный 337 2 2 2 2 3 2 3 3 2" xfId="45720"/>
    <cellStyle name="Обычный 337 2 2 2 2 3 2 3 4" xfId="38394"/>
    <cellStyle name="Обычный 337 2 2 2 2 3 2 3 5" xfId="23582"/>
    <cellStyle name="Обычный 337 2 2 2 2 3 2 4" xfId="25399"/>
    <cellStyle name="Обычный 337 2 2 2 2 3 2 4 2" xfId="32710"/>
    <cellStyle name="Обычный 337 2 2 2 2 3 2 4 2 2" xfId="47533"/>
    <cellStyle name="Обычный 337 2 2 2 2 3 2 4 3" xfId="40287"/>
    <cellStyle name="Обычный 337 2 2 2 2 3 2 5" xfId="29056"/>
    <cellStyle name="Обычный 337 2 2 2 2 3 2 5 2" xfId="43893"/>
    <cellStyle name="Обычный 337 2 2 2 2 3 2 6" xfId="36358"/>
    <cellStyle name="Обычный 337 2 2 2 2 3 2 7" xfId="21738"/>
    <cellStyle name="Обычный 337 2 2 2 2 3 3" xfId="18486"/>
    <cellStyle name="Обычный 337 2 2 2 2 3 3 2" xfId="20368"/>
    <cellStyle name="Обычный 337 2 2 2 2 3 3 2 2" xfId="27694"/>
    <cellStyle name="Обычный 337 2 2 2 2 3 3 2 2 2" xfId="35005"/>
    <cellStyle name="Обычный 337 2 2 2 2 3 3 2 2 2 2" xfId="49825"/>
    <cellStyle name="Обычный 337 2 2 2 2 3 3 2 2 3" xfId="42533"/>
    <cellStyle name="Обычный 337 2 2 2 2 3 3 2 3" xfId="31351"/>
    <cellStyle name="Обычный 337 2 2 2 2 3 3 2 3 2" xfId="46174"/>
    <cellStyle name="Обычный 337 2 2 2 2 3 3 2 4" xfId="38849"/>
    <cellStyle name="Обычный 337 2 2 2 2 3 3 2 5" xfId="24036"/>
    <cellStyle name="Обычный 337 2 2 2 2 3 3 3" xfId="25868"/>
    <cellStyle name="Обычный 337 2 2 2 2 3 3 3 2" xfId="33179"/>
    <cellStyle name="Обычный 337 2 2 2 2 3 3 3 2 2" xfId="47999"/>
    <cellStyle name="Обычный 337 2 2 2 2 3 3 3 3" xfId="40715"/>
    <cellStyle name="Обычный 337 2 2 2 2 3 3 4" xfId="29525"/>
    <cellStyle name="Обычный 337 2 2 2 2 3 3 4 2" xfId="44349"/>
    <cellStyle name="Обычный 337 2 2 2 2 3 3 5" xfId="37126"/>
    <cellStyle name="Обычный 337 2 2 2 2 3 3 6" xfId="22207"/>
    <cellStyle name="Обычный 337 2 2 2 2 3 4" xfId="19420"/>
    <cellStyle name="Обычный 337 2 2 2 2 3 4 2" xfId="26790"/>
    <cellStyle name="Обычный 337 2 2 2 2 3 4 2 2" xfId="34101"/>
    <cellStyle name="Обычный 337 2 2 2 2 3 4 2 2 2" xfId="48921"/>
    <cellStyle name="Обычный 337 2 2 2 2 3 4 2 3" xfId="41630"/>
    <cellStyle name="Обычный 337 2 2 2 2 3 4 3" xfId="30447"/>
    <cellStyle name="Обычный 337 2 2 2 2 3 4 3 2" xfId="45270"/>
    <cellStyle name="Обычный 337 2 2 2 2 3 4 4" xfId="37944"/>
    <cellStyle name="Обычный 337 2 2 2 2 3 4 5" xfId="23132"/>
    <cellStyle name="Обычный 337 2 2 2 2 3 5" xfId="24949"/>
    <cellStyle name="Обычный 337 2 2 2 2 3 5 2" xfId="32260"/>
    <cellStyle name="Обычный 337 2 2 2 2 3 5 2 2" xfId="47083"/>
    <cellStyle name="Обычный 337 2 2 2 2 3 5 3" xfId="39844"/>
    <cellStyle name="Обычный 337 2 2 2 2 3 6" xfId="28606"/>
    <cellStyle name="Обычный 337 2 2 2 2 3 6 2" xfId="43443"/>
    <cellStyle name="Обычный 337 2 2 2 2 3 7" xfId="35909"/>
    <cellStyle name="Обычный 337 2 2 2 2 3 8" xfId="21288"/>
    <cellStyle name="Обычный 337 2 2 2 2 4" xfId="17603"/>
    <cellStyle name="Обычный 337 2 2 2 2 4 2" xfId="18717"/>
    <cellStyle name="Обычный 337 2 2 2 2 4 2 2" xfId="20596"/>
    <cellStyle name="Обычный 337 2 2 2 2 4 2 2 2" xfId="27922"/>
    <cellStyle name="Обычный 337 2 2 2 2 4 2 2 2 2" xfId="35233"/>
    <cellStyle name="Обычный 337 2 2 2 2 4 2 2 2 2 2" xfId="50053"/>
    <cellStyle name="Обычный 337 2 2 2 2 4 2 2 2 3" xfId="42761"/>
    <cellStyle name="Обычный 337 2 2 2 2 4 2 2 3" xfId="31579"/>
    <cellStyle name="Обычный 337 2 2 2 2 4 2 2 3 2" xfId="46402"/>
    <cellStyle name="Обычный 337 2 2 2 2 4 2 2 4" xfId="39077"/>
    <cellStyle name="Обычный 337 2 2 2 2 4 2 2 5" xfId="24264"/>
    <cellStyle name="Обычный 337 2 2 2 2 4 2 3" xfId="26096"/>
    <cellStyle name="Обычный 337 2 2 2 2 4 2 3 2" xfId="33407"/>
    <cellStyle name="Обычный 337 2 2 2 2 4 2 3 2 2" xfId="48227"/>
    <cellStyle name="Обычный 337 2 2 2 2 4 2 3 3" xfId="40940"/>
    <cellStyle name="Обычный 337 2 2 2 2 4 2 4" xfId="29753"/>
    <cellStyle name="Обычный 337 2 2 2 2 4 2 4 2" xfId="44577"/>
    <cellStyle name="Обычный 337 2 2 2 2 4 2 5" xfId="37354"/>
    <cellStyle name="Обычный 337 2 2 2 2 4 2 6" xfId="22435"/>
    <cellStyle name="Обычный 337 2 2 2 2 4 3" xfId="19647"/>
    <cellStyle name="Обычный 337 2 2 2 2 4 3 2" xfId="27016"/>
    <cellStyle name="Обычный 337 2 2 2 2 4 3 2 2" xfId="34327"/>
    <cellStyle name="Обычный 337 2 2 2 2 4 3 2 2 2" xfId="49147"/>
    <cellStyle name="Обычный 337 2 2 2 2 4 3 2 3" xfId="41856"/>
    <cellStyle name="Обычный 337 2 2 2 2 4 3 3" xfId="30673"/>
    <cellStyle name="Обычный 337 2 2 2 2 4 3 3 2" xfId="45496"/>
    <cellStyle name="Обычный 337 2 2 2 2 4 3 4" xfId="38170"/>
    <cellStyle name="Обычный 337 2 2 2 2 4 3 5" xfId="23358"/>
    <cellStyle name="Обычный 337 2 2 2 2 4 4" xfId="25175"/>
    <cellStyle name="Обычный 337 2 2 2 2 4 4 2" xfId="32486"/>
    <cellStyle name="Обычный 337 2 2 2 2 4 4 2 2" xfId="47309"/>
    <cellStyle name="Обычный 337 2 2 2 2 4 4 3" xfId="40069"/>
    <cellStyle name="Обычный 337 2 2 2 2 4 5" xfId="28832"/>
    <cellStyle name="Обычный 337 2 2 2 2 4 5 2" xfId="43669"/>
    <cellStyle name="Обычный 337 2 2 2 2 4 6" xfId="36355"/>
    <cellStyle name="Обычный 337 2 2 2 2 4 7" xfId="21514"/>
    <cellStyle name="Обычный 337 2 2 2 2 5" xfId="18483"/>
    <cellStyle name="Обычный 337 2 2 2 2 5 2" xfId="20365"/>
    <cellStyle name="Обычный 337 2 2 2 2 5 2 2" xfId="27691"/>
    <cellStyle name="Обычный 337 2 2 2 2 5 2 2 2" xfId="35002"/>
    <cellStyle name="Обычный 337 2 2 2 2 5 2 2 2 2" xfId="49822"/>
    <cellStyle name="Обычный 337 2 2 2 2 5 2 2 3" xfId="42530"/>
    <cellStyle name="Обычный 337 2 2 2 2 5 2 3" xfId="31348"/>
    <cellStyle name="Обычный 337 2 2 2 2 5 2 3 2" xfId="46171"/>
    <cellStyle name="Обычный 337 2 2 2 2 5 2 4" xfId="38846"/>
    <cellStyle name="Обычный 337 2 2 2 2 5 2 5" xfId="24033"/>
    <cellStyle name="Обычный 337 2 2 2 2 5 3" xfId="25865"/>
    <cellStyle name="Обычный 337 2 2 2 2 5 3 2" xfId="33176"/>
    <cellStyle name="Обычный 337 2 2 2 2 5 3 2 2" xfId="47996"/>
    <cellStyle name="Обычный 337 2 2 2 2 5 3 3" xfId="40712"/>
    <cellStyle name="Обычный 337 2 2 2 2 5 4" xfId="29522"/>
    <cellStyle name="Обычный 337 2 2 2 2 5 4 2" xfId="44346"/>
    <cellStyle name="Обычный 337 2 2 2 2 5 5" xfId="37123"/>
    <cellStyle name="Обычный 337 2 2 2 2 5 6" xfId="22204"/>
    <cellStyle name="Обычный 337 2 2 2 2 6" xfId="19197"/>
    <cellStyle name="Обычный 337 2 2 2 2 6 2" xfId="26568"/>
    <cellStyle name="Обычный 337 2 2 2 2 6 2 2" xfId="33879"/>
    <cellStyle name="Обычный 337 2 2 2 2 6 2 2 2" xfId="48699"/>
    <cellStyle name="Обычный 337 2 2 2 2 6 2 3" xfId="41408"/>
    <cellStyle name="Обычный 337 2 2 2 2 6 3" xfId="30225"/>
    <cellStyle name="Обычный 337 2 2 2 2 6 3 2" xfId="45048"/>
    <cellStyle name="Обычный 337 2 2 2 2 6 4" xfId="37722"/>
    <cellStyle name="Обычный 337 2 2 2 2 6 5" xfId="22910"/>
    <cellStyle name="Обычный 337 2 2 2 2 7" xfId="24725"/>
    <cellStyle name="Обычный 337 2 2 2 2 7 2" xfId="32036"/>
    <cellStyle name="Обычный 337 2 2 2 2 7 2 2" xfId="46859"/>
    <cellStyle name="Обычный 337 2 2 2 2 7 3" xfId="39629"/>
    <cellStyle name="Обычный 337 2 2 2 2 8" xfId="28382"/>
    <cellStyle name="Обычный 337 2 2 2 2 8 2" xfId="43219"/>
    <cellStyle name="Обычный 337 2 2 2 2 9" xfId="35906"/>
    <cellStyle name="Обычный 337 2 2 2 3" xfId="17433"/>
    <cellStyle name="Обычный 337 2 2 2 3 2" xfId="17883"/>
    <cellStyle name="Обычный 337 2 2 2 3 2 2" xfId="18997"/>
    <cellStyle name="Обычный 337 2 2 2 3 2 2 2" xfId="20876"/>
    <cellStyle name="Обычный 337 2 2 2 3 2 2 2 2" xfId="24544"/>
    <cellStyle name="Обычный 337 2 2 2 3 2 2 2 2 2" xfId="28202"/>
    <cellStyle name="Обычный 337 2 2 2 3 2 2 2 2 2 2" xfId="35513"/>
    <cellStyle name="Обычный 337 2 2 2 3 2 2 2 2 2 2 2" xfId="50333"/>
    <cellStyle name="Обычный 337 2 2 2 3 2 2 2 2 2 3" xfId="43041"/>
    <cellStyle name="Обычный 337 2 2 2 3 2 2 2 2 3" xfId="31859"/>
    <cellStyle name="Обычный 337 2 2 2 3 2 2 2 2 3 2" xfId="46682"/>
    <cellStyle name="Обычный 337 2 2 2 3 2 2 2 2 4" xfId="39480"/>
    <cellStyle name="Обычный 337 2 2 2 3 2 2 2 3" xfId="26376"/>
    <cellStyle name="Обычный 337 2 2 2 3 2 2 2 3 2" xfId="33687"/>
    <cellStyle name="Обычный 337 2 2 2 3 2 2 2 3 2 2" xfId="48507"/>
    <cellStyle name="Обычный 337 2 2 2 3 2 2 2 3 3" xfId="41220"/>
    <cellStyle name="Обычный 337 2 2 2 3 2 2 2 4" xfId="30033"/>
    <cellStyle name="Обычный 337 2 2 2 3 2 2 2 4 2" xfId="44857"/>
    <cellStyle name="Обычный 337 2 2 2 3 2 2 2 5" xfId="39357"/>
    <cellStyle name="Обычный 337 2 2 2 3 2 2 2 6" xfId="22715"/>
    <cellStyle name="Обычный 337 2 2 2 3 2 2 3" xfId="19927"/>
    <cellStyle name="Обычный 337 2 2 2 3 2 2 3 2" xfId="27296"/>
    <cellStyle name="Обычный 337 2 2 2 3 2 2 3 2 2" xfId="34607"/>
    <cellStyle name="Обычный 337 2 2 2 3 2 2 3 2 2 2" xfId="49427"/>
    <cellStyle name="Обычный 337 2 2 2 3 2 2 3 2 3" xfId="42136"/>
    <cellStyle name="Обычный 337 2 2 2 3 2 2 3 3" xfId="30953"/>
    <cellStyle name="Обычный 337 2 2 2 3 2 2 3 3 2" xfId="45776"/>
    <cellStyle name="Обычный 337 2 2 2 3 2 2 3 4" xfId="38450"/>
    <cellStyle name="Обычный 337 2 2 2 3 2 2 3 5" xfId="23638"/>
    <cellStyle name="Обычный 337 2 2 2 3 2 2 4" xfId="25455"/>
    <cellStyle name="Обычный 337 2 2 2 3 2 2 4 2" xfId="32766"/>
    <cellStyle name="Обычный 337 2 2 2 3 2 2 4 2 2" xfId="47589"/>
    <cellStyle name="Обычный 337 2 2 2 3 2 2 4 3" xfId="40343"/>
    <cellStyle name="Обычный 337 2 2 2 3 2 2 5" xfId="29112"/>
    <cellStyle name="Обычный 337 2 2 2 3 2 2 5 2" xfId="43949"/>
    <cellStyle name="Обычный 337 2 2 2 3 2 2 6" xfId="36360"/>
    <cellStyle name="Обычный 337 2 2 2 3 2 2 7" xfId="21794"/>
    <cellStyle name="Обычный 337 2 2 2 3 2 3" xfId="18488"/>
    <cellStyle name="Обычный 337 2 2 2 3 2 3 2" xfId="20370"/>
    <cellStyle name="Обычный 337 2 2 2 3 2 3 2 2" xfId="27696"/>
    <cellStyle name="Обычный 337 2 2 2 3 2 3 2 2 2" xfId="35007"/>
    <cellStyle name="Обычный 337 2 2 2 3 2 3 2 2 2 2" xfId="49827"/>
    <cellStyle name="Обычный 337 2 2 2 3 2 3 2 2 3" xfId="42535"/>
    <cellStyle name="Обычный 337 2 2 2 3 2 3 2 3" xfId="31353"/>
    <cellStyle name="Обычный 337 2 2 2 3 2 3 2 3 2" xfId="46176"/>
    <cellStyle name="Обычный 337 2 2 2 3 2 3 2 4" xfId="38851"/>
    <cellStyle name="Обычный 337 2 2 2 3 2 3 2 5" xfId="24038"/>
    <cellStyle name="Обычный 337 2 2 2 3 2 3 3" xfId="25870"/>
    <cellStyle name="Обычный 337 2 2 2 3 2 3 3 2" xfId="33181"/>
    <cellStyle name="Обычный 337 2 2 2 3 2 3 3 2 2" xfId="48001"/>
    <cellStyle name="Обычный 337 2 2 2 3 2 3 3 3" xfId="40717"/>
    <cellStyle name="Обычный 337 2 2 2 3 2 3 4" xfId="29527"/>
    <cellStyle name="Обычный 337 2 2 2 3 2 3 4 2" xfId="44351"/>
    <cellStyle name="Обычный 337 2 2 2 3 2 3 5" xfId="37128"/>
    <cellStyle name="Обычный 337 2 2 2 3 2 3 6" xfId="22209"/>
    <cellStyle name="Обычный 337 2 2 2 3 2 4" xfId="19476"/>
    <cellStyle name="Обычный 337 2 2 2 3 2 4 2" xfId="26846"/>
    <cellStyle name="Обычный 337 2 2 2 3 2 4 2 2" xfId="34157"/>
    <cellStyle name="Обычный 337 2 2 2 3 2 4 2 2 2" xfId="48977"/>
    <cellStyle name="Обычный 337 2 2 2 3 2 4 2 3" xfId="41686"/>
    <cellStyle name="Обычный 337 2 2 2 3 2 4 3" xfId="30503"/>
    <cellStyle name="Обычный 337 2 2 2 3 2 4 3 2" xfId="45326"/>
    <cellStyle name="Обычный 337 2 2 2 3 2 4 4" xfId="38000"/>
    <cellStyle name="Обычный 337 2 2 2 3 2 4 5" xfId="23188"/>
    <cellStyle name="Обычный 337 2 2 2 3 2 5" xfId="25005"/>
    <cellStyle name="Обычный 337 2 2 2 3 2 5 2" xfId="32316"/>
    <cellStyle name="Обычный 337 2 2 2 3 2 5 2 2" xfId="47139"/>
    <cellStyle name="Обычный 337 2 2 2 3 2 5 3" xfId="39900"/>
    <cellStyle name="Обычный 337 2 2 2 3 2 6" xfId="28662"/>
    <cellStyle name="Обычный 337 2 2 2 3 2 6 2" xfId="43499"/>
    <cellStyle name="Обычный 337 2 2 2 3 2 7" xfId="35911"/>
    <cellStyle name="Обычный 337 2 2 2 3 2 8" xfId="21344"/>
    <cellStyle name="Обычный 337 2 2 2 3 3" xfId="17659"/>
    <cellStyle name="Обычный 337 2 2 2 3 3 2" xfId="18773"/>
    <cellStyle name="Обычный 337 2 2 2 3 3 2 2" xfId="20652"/>
    <cellStyle name="Обычный 337 2 2 2 3 3 2 2 2" xfId="27978"/>
    <cellStyle name="Обычный 337 2 2 2 3 3 2 2 2 2" xfId="35289"/>
    <cellStyle name="Обычный 337 2 2 2 3 3 2 2 2 2 2" xfId="50109"/>
    <cellStyle name="Обычный 337 2 2 2 3 3 2 2 2 3" xfId="42817"/>
    <cellStyle name="Обычный 337 2 2 2 3 3 2 2 3" xfId="31635"/>
    <cellStyle name="Обычный 337 2 2 2 3 3 2 2 3 2" xfId="46458"/>
    <cellStyle name="Обычный 337 2 2 2 3 3 2 2 4" xfId="39133"/>
    <cellStyle name="Обычный 337 2 2 2 3 3 2 2 5" xfId="24320"/>
    <cellStyle name="Обычный 337 2 2 2 3 3 2 3" xfId="26152"/>
    <cellStyle name="Обычный 337 2 2 2 3 3 2 3 2" xfId="33463"/>
    <cellStyle name="Обычный 337 2 2 2 3 3 2 3 2 2" xfId="48283"/>
    <cellStyle name="Обычный 337 2 2 2 3 3 2 3 3" xfId="40996"/>
    <cellStyle name="Обычный 337 2 2 2 3 3 2 4" xfId="29809"/>
    <cellStyle name="Обычный 337 2 2 2 3 3 2 4 2" xfId="44633"/>
    <cellStyle name="Обычный 337 2 2 2 3 3 2 5" xfId="37410"/>
    <cellStyle name="Обычный 337 2 2 2 3 3 2 6" xfId="22491"/>
    <cellStyle name="Обычный 337 2 2 2 3 3 3" xfId="19703"/>
    <cellStyle name="Обычный 337 2 2 2 3 3 3 2" xfId="27072"/>
    <cellStyle name="Обычный 337 2 2 2 3 3 3 2 2" xfId="34383"/>
    <cellStyle name="Обычный 337 2 2 2 3 3 3 2 2 2" xfId="49203"/>
    <cellStyle name="Обычный 337 2 2 2 3 3 3 2 3" xfId="41912"/>
    <cellStyle name="Обычный 337 2 2 2 3 3 3 3" xfId="30729"/>
    <cellStyle name="Обычный 337 2 2 2 3 3 3 3 2" xfId="45552"/>
    <cellStyle name="Обычный 337 2 2 2 3 3 3 4" xfId="38226"/>
    <cellStyle name="Обычный 337 2 2 2 3 3 3 5" xfId="23414"/>
    <cellStyle name="Обычный 337 2 2 2 3 3 4" xfId="25231"/>
    <cellStyle name="Обычный 337 2 2 2 3 3 4 2" xfId="32542"/>
    <cellStyle name="Обычный 337 2 2 2 3 3 4 2 2" xfId="47365"/>
    <cellStyle name="Обычный 337 2 2 2 3 3 4 3" xfId="40123"/>
    <cellStyle name="Обычный 337 2 2 2 3 3 5" xfId="28888"/>
    <cellStyle name="Обычный 337 2 2 2 3 3 5 2" xfId="43725"/>
    <cellStyle name="Обычный 337 2 2 2 3 3 6" xfId="36359"/>
    <cellStyle name="Обычный 337 2 2 2 3 3 7" xfId="21570"/>
    <cellStyle name="Обычный 337 2 2 2 3 4" xfId="18487"/>
    <cellStyle name="Обычный 337 2 2 2 3 4 2" xfId="20369"/>
    <cellStyle name="Обычный 337 2 2 2 3 4 2 2" xfId="27695"/>
    <cellStyle name="Обычный 337 2 2 2 3 4 2 2 2" xfId="35006"/>
    <cellStyle name="Обычный 337 2 2 2 3 4 2 2 2 2" xfId="49826"/>
    <cellStyle name="Обычный 337 2 2 2 3 4 2 2 3" xfId="42534"/>
    <cellStyle name="Обычный 337 2 2 2 3 4 2 3" xfId="31352"/>
    <cellStyle name="Обычный 337 2 2 2 3 4 2 3 2" xfId="46175"/>
    <cellStyle name="Обычный 337 2 2 2 3 4 2 4" xfId="38850"/>
    <cellStyle name="Обычный 337 2 2 2 3 4 2 5" xfId="24037"/>
    <cellStyle name="Обычный 337 2 2 2 3 4 3" xfId="25869"/>
    <cellStyle name="Обычный 337 2 2 2 3 4 3 2" xfId="33180"/>
    <cellStyle name="Обычный 337 2 2 2 3 4 3 2 2" xfId="48000"/>
    <cellStyle name="Обычный 337 2 2 2 3 4 3 3" xfId="40716"/>
    <cellStyle name="Обычный 337 2 2 2 3 4 4" xfId="29526"/>
    <cellStyle name="Обычный 337 2 2 2 3 4 4 2" xfId="44350"/>
    <cellStyle name="Обычный 337 2 2 2 3 4 5" xfId="37127"/>
    <cellStyle name="Обычный 337 2 2 2 3 4 6" xfId="22208"/>
    <cellStyle name="Обычный 337 2 2 2 3 5" xfId="19253"/>
    <cellStyle name="Обычный 337 2 2 2 3 5 2" xfId="26623"/>
    <cellStyle name="Обычный 337 2 2 2 3 5 2 2" xfId="33934"/>
    <cellStyle name="Обычный 337 2 2 2 3 5 2 2 2" xfId="48754"/>
    <cellStyle name="Обычный 337 2 2 2 3 5 2 3" xfId="41463"/>
    <cellStyle name="Обычный 337 2 2 2 3 5 3" xfId="30280"/>
    <cellStyle name="Обычный 337 2 2 2 3 5 3 2" xfId="45103"/>
    <cellStyle name="Обычный 337 2 2 2 3 5 4" xfId="37777"/>
    <cellStyle name="Обычный 337 2 2 2 3 5 5" xfId="22965"/>
    <cellStyle name="Обычный 337 2 2 2 3 6" xfId="24781"/>
    <cellStyle name="Обычный 337 2 2 2 3 6 2" xfId="32092"/>
    <cellStyle name="Обычный 337 2 2 2 3 6 2 2" xfId="46915"/>
    <cellStyle name="Обычный 337 2 2 2 3 6 3" xfId="39682"/>
    <cellStyle name="Обычный 337 2 2 2 3 7" xfId="28438"/>
    <cellStyle name="Обычный 337 2 2 2 3 7 2" xfId="43275"/>
    <cellStyle name="Обычный 337 2 2 2 3 8" xfId="35910"/>
    <cellStyle name="Обычный 337 2 2 2 3 9" xfId="21120"/>
    <cellStyle name="Обычный 337 2 2 2 4" xfId="17316"/>
    <cellStyle name="Обычный 337 2 2 2 4 2" xfId="17771"/>
    <cellStyle name="Обычный 337 2 2 2 4 2 2" xfId="18885"/>
    <cellStyle name="Обычный 337 2 2 2 4 2 2 2" xfId="20764"/>
    <cellStyle name="Обычный 337 2 2 2 4 2 2 2 2" xfId="28090"/>
    <cellStyle name="Обычный 337 2 2 2 4 2 2 2 2 2" xfId="35401"/>
    <cellStyle name="Обычный 337 2 2 2 4 2 2 2 2 2 2" xfId="50221"/>
    <cellStyle name="Обычный 337 2 2 2 4 2 2 2 2 3" xfId="42929"/>
    <cellStyle name="Обычный 337 2 2 2 4 2 2 2 3" xfId="31747"/>
    <cellStyle name="Обычный 337 2 2 2 4 2 2 2 3 2" xfId="46570"/>
    <cellStyle name="Обычный 337 2 2 2 4 2 2 2 4" xfId="39245"/>
    <cellStyle name="Обычный 337 2 2 2 4 2 2 2 5" xfId="24432"/>
    <cellStyle name="Обычный 337 2 2 2 4 2 2 3" xfId="26264"/>
    <cellStyle name="Обычный 337 2 2 2 4 2 2 3 2" xfId="33575"/>
    <cellStyle name="Обычный 337 2 2 2 4 2 2 3 2 2" xfId="48395"/>
    <cellStyle name="Обычный 337 2 2 2 4 2 2 3 3" xfId="41108"/>
    <cellStyle name="Обычный 337 2 2 2 4 2 2 4" xfId="29921"/>
    <cellStyle name="Обычный 337 2 2 2 4 2 2 4 2" xfId="44745"/>
    <cellStyle name="Обычный 337 2 2 2 4 2 2 5" xfId="37521"/>
    <cellStyle name="Обычный 337 2 2 2 4 2 2 6" xfId="22603"/>
    <cellStyle name="Обычный 337 2 2 2 4 2 3" xfId="19815"/>
    <cellStyle name="Обычный 337 2 2 2 4 2 3 2" xfId="27184"/>
    <cellStyle name="Обычный 337 2 2 2 4 2 3 2 2" xfId="34495"/>
    <cellStyle name="Обычный 337 2 2 2 4 2 3 2 2 2" xfId="49315"/>
    <cellStyle name="Обычный 337 2 2 2 4 2 3 2 3" xfId="42024"/>
    <cellStyle name="Обычный 337 2 2 2 4 2 3 3" xfId="30841"/>
    <cellStyle name="Обычный 337 2 2 2 4 2 3 3 2" xfId="45664"/>
    <cellStyle name="Обычный 337 2 2 2 4 2 3 4" xfId="38338"/>
    <cellStyle name="Обычный 337 2 2 2 4 2 3 5" xfId="23526"/>
    <cellStyle name="Обычный 337 2 2 2 4 2 4" xfId="25343"/>
    <cellStyle name="Обычный 337 2 2 2 4 2 4 2" xfId="32654"/>
    <cellStyle name="Обычный 337 2 2 2 4 2 4 2 2" xfId="47477"/>
    <cellStyle name="Обычный 337 2 2 2 4 2 4 3" xfId="40231"/>
    <cellStyle name="Обычный 337 2 2 2 4 2 5" xfId="29000"/>
    <cellStyle name="Обычный 337 2 2 2 4 2 5 2" xfId="43837"/>
    <cellStyle name="Обычный 337 2 2 2 4 2 6" xfId="36361"/>
    <cellStyle name="Обычный 337 2 2 2 4 2 7" xfId="21682"/>
    <cellStyle name="Обычный 337 2 2 2 4 3" xfId="18489"/>
    <cellStyle name="Обычный 337 2 2 2 4 3 2" xfId="20371"/>
    <cellStyle name="Обычный 337 2 2 2 4 3 2 2" xfId="27697"/>
    <cellStyle name="Обычный 337 2 2 2 4 3 2 2 2" xfId="35008"/>
    <cellStyle name="Обычный 337 2 2 2 4 3 2 2 2 2" xfId="49828"/>
    <cellStyle name="Обычный 337 2 2 2 4 3 2 2 3" xfId="42536"/>
    <cellStyle name="Обычный 337 2 2 2 4 3 2 3" xfId="31354"/>
    <cellStyle name="Обычный 337 2 2 2 4 3 2 3 2" xfId="46177"/>
    <cellStyle name="Обычный 337 2 2 2 4 3 2 4" xfId="38852"/>
    <cellStyle name="Обычный 337 2 2 2 4 3 2 5" xfId="24039"/>
    <cellStyle name="Обычный 337 2 2 2 4 3 3" xfId="25871"/>
    <cellStyle name="Обычный 337 2 2 2 4 3 3 2" xfId="33182"/>
    <cellStyle name="Обычный 337 2 2 2 4 3 3 2 2" xfId="48002"/>
    <cellStyle name="Обычный 337 2 2 2 4 3 3 3" xfId="40718"/>
    <cellStyle name="Обычный 337 2 2 2 4 3 4" xfId="29528"/>
    <cellStyle name="Обычный 337 2 2 2 4 3 4 2" xfId="44352"/>
    <cellStyle name="Обычный 337 2 2 2 4 3 5" xfId="37129"/>
    <cellStyle name="Обычный 337 2 2 2 4 3 6" xfId="22210"/>
    <cellStyle name="Обычный 337 2 2 2 4 4" xfId="19364"/>
    <cellStyle name="Обычный 337 2 2 2 4 4 2" xfId="26734"/>
    <cellStyle name="Обычный 337 2 2 2 4 4 2 2" xfId="34045"/>
    <cellStyle name="Обычный 337 2 2 2 4 4 2 2 2" xfId="48865"/>
    <cellStyle name="Обычный 337 2 2 2 4 4 2 3" xfId="41574"/>
    <cellStyle name="Обычный 337 2 2 2 4 4 3" xfId="30391"/>
    <cellStyle name="Обычный 337 2 2 2 4 4 3 2" xfId="45214"/>
    <cellStyle name="Обычный 337 2 2 2 4 4 4" xfId="37888"/>
    <cellStyle name="Обычный 337 2 2 2 4 4 5" xfId="23076"/>
    <cellStyle name="Обычный 337 2 2 2 4 5" xfId="24893"/>
    <cellStyle name="Обычный 337 2 2 2 4 5 2" xfId="32204"/>
    <cellStyle name="Обычный 337 2 2 2 4 5 2 2" xfId="47027"/>
    <cellStyle name="Обычный 337 2 2 2 4 5 3" xfId="39788"/>
    <cellStyle name="Обычный 337 2 2 2 4 6" xfId="28550"/>
    <cellStyle name="Обычный 337 2 2 2 4 6 2" xfId="43387"/>
    <cellStyle name="Обычный 337 2 2 2 4 7" xfId="35912"/>
    <cellStyle name="Обычный 337 2 2 2 4 8" xfId="21232"/>
    <cellStyle name="Обычный 337 2 2 2 5" xfId="17547"/>
    <cellStyle name="Обычный 337 2 2 2 5 2" xfId="18661"/>
    <cellStyle name="Обычный 337 2 2 2 5 2 2" xfId="20540"/>
    <cellStyle name="Обычный 337 2 2 2 5 2 2 2" xfId="27866"/>
    <cellStyle name="Обычный 337 2 2 2 5 2 2 2 2" xfId="35177"/>
    <cellStyle name="Обычный 337 2 2 2 5 2 2 2 2 2" xfId="49997"/>
    <cellStyle name="Обычный 337 2 2 2 5 2 2 2 3" xfId="42705"/>
    <cellStyle name="Обычный 337 2 2 2 5 2 2 3" xfId="31523"/>
    <cellStyle name="Обычный 337 2 2 2 5 2 2 3 2" xfId="46346"/>
    <cellStyle name="Обычный 337 2 2 2 5 2 2 4" xfId="39021"/>
    <cellStyle name="Обычный 337 2 2 2 5 2 2 5" xfId="24208"/>
    <cellStyle name="Обычный 337 2 2 2 5 2 3" xfId="26040"/>
    <cellStyle name="Обычный 337 2 2 2 5 2 3 2" xfId="33351"/>
    <cellStyle name="Обычный 337 2 2 2 5 2 3 2 2" xfId="48171"/>
    <cellStyle name="Обычный 337 2 2 2 5 2 3 3" xfId="40884"/>
    <cellStyle name="Обычный 337 2 2 2 5 2 4" xfId="29697"/>
    <cellStyle name="Обычный 337 2 2 2 5 2 4 2" xfId="44521"/>
    <cellStyle name="Обычный 337 2 2 2 5 2 5" xfId="37298"/>
    <cellStyle name="Обычный 337 2 2 2 5 2 6" xfId="22379"/>
    <cellStyle name="Обычный 337 2 2 2 5 3" xfId="19591"/>
    <cellStyle name="Обычный 337 2 2 2 5 3 2" xfId="26960"/>
    <cellStyle name="Обычный 337 2 2 2 5 3 2 2" xfId="34271"/>
    <cellStyle name="Обычный 337 2 2 2 5 3 2 2 2" xfId="49091"/>
    <cellStyle name="Обычный 337 2 2 2 5 3 2 3" xfId="41800"/>
    <cellStyle name="Обычный 337 2 2 2 5 3 3" xfId="30617"/>
    <cellStyle name="Обычный 337 2 2 2 5 3 3 2" xfId="45440"/>
    <cellStyle name="Обычный 337 2 2 2 5 3 4" xfId="38114"/>
    <cellStyle name="Обычный 337 2 2 2 5 3 5" xfId="23302"/>
    <cellStyle name="Обычный 337 2 2 2 5 4" xfId="25119"/>
    <cellStyle name="Обычный 337 2 2 2 5 4 2" xfId="32430"/>
    <cellStyle name="Обычный 337 2 2 2 5 4 2 2" xfId="47253"/>
    <cellStyle name="Обычный 337 2 2 2 5 4 3" xfId="40013"/>
    <cellStyle name="Обычный 337 2 2 2 5 5" xfId="28776"/>
    <cellStyle name="Обычный 337 2 2 2 5 5 2" xfId="43613"/>
    <cellStyle name="Обычный 337 2 2 2 5 6" xfId="36354"/>
    <cellStyle name="Обычный 337 2 2 2 5 7" xfId="21458"/>
    <cellStyle name="Обычный 337 2 2 2 6" xfId="18482"/>
    <cellStyle name="Обычный 337 2 2 2 6 2" xfId="20364"/>
    <cellStyle name="Обычный 337 2 2 2 6 2 2" xfId="27690"/>
    <cellStyle name="Обычный 337 2 2 2 6 2 2 2" xfId="35001"/>
    <cellStyle name="Обычный 337 2 2 2 6 2 2 2 2" xfId="49821"/>
    <cellStyle name="Обычный 337 2 2 2 6 2 2 3" xfId="42529"/>
    <cellStyle name="Обычный 337 2 2 2 6 2 3" xfId="31347"/>
    <cellStyle name="Обычный 337 2 2 2 6 2 3 2" xfId="46170"/>
    <cellStyle name="Обычный 337 2 2 2 6 2 4" xfId="38845"/>
    <cellStyle name="Обычный 337 2 2 2 6 2 5" xfId="24032"/>
    <cellStyle name="Обычный 337 2 2 2 6 3" xfId="25864"/>
    <cellStyle name="Обычный 337 2 2 2 6 3 2" xfId="33175"/>
    <cellStyle name="Обычный 337 2 2 2 6 3 2 2" xfId="47995"/>
    <cellStyle name="Обычный 337 2 2 2 6 3 3" xfId="40711"/>
    <cellStyle name="Обычный 337 2 2 2 6 4" xfId="29521"/>
    <cellStyle name="Обычный 337 2 2 2 6 4 2" xfId="44345"/>
    <cellStyle name="Обычный 337 2 2 2 6 5" xfId="37122"/>
    <cellStyle name="Обычный 337 2 2 2 6 6" xfId="22203"/>
    <cellStyle name="Обычный 337 2 2 2 7" xfId="19143"/>
    <cellStyle name="Обычный 337 2 2 2 7 2" xfId="26515"/>
    <cellStyle name="Обычный 337 2 2 2 7 2 2" xfId="33826"/>
    <cellStyle name="Обычный 337 2 2 2 7 2 2 2" xfId="48646"/>
    <cellStyle name="Обычный 337 2 2 2 7 2 3" xfId="41355"/>
    <cellStyle name="Обычный 337 2 2 2 7 3" xfId="30172"/>
    <cellStyle name="Обычный 337 2 2 2 7 3 2" xfId="44995"/>
    <cellStyle name="Обычный 337 2 2 2 7 4" xfId="37669"/>
    <cellStyle name="Обычный 337 2 2 2 7 5" xfId="22857"/>
    <cellStyle name="Обычный 337 2 2 2 8" xfId="24669"/>
    <cellStyle name="Обычный 337 2 2 2 8 2" xfId="31980"/>
    <cellStyle name="Обычный 337 2 2 2 8 2 2" xfId="46803"/>
    <cellStyle name="Обычный 337 2 2 2 8 3" xfId="39589"/>
    <cellStyle name="Обычный 337 2 2 2 9" xfId="28326"/>
    <cellStyle name="Обычный 337 2 2 2 9 2" xfId="43163"/>
    <cellStyle name="Обычный 337 2 2 3" xfId="17186"/>
    <cellStyle name="Обычный 337 2 2 3 10" xfId="21036"/>
    <cellStyle name="Обычный 337 2 2 3 2" xfId="17461"/>
    <cellStyle name="Обычный 337 2 2 3 2 2" xfId="17911"/>
    <cellStyle name="Обычный 337 2 2 3 2 2 2" xfId="19025"/>
    <cellStyle name="Обычный 337 2 2 3 2 2 2 2" xfId="20904"/>
    <cellStyle name="Обычный 337 2 2 3 2 2 2 2 2" xfId="24572"/>
    <cellStyle name="Обычный 337 2 2 3 2 2 2 2 2 2" xfId="28230"/>
    <cellStyle name="Обычный 337 2 2 3 2 2 2 2 2 2 2" xfId="35541"/>
    <cellStyle name="Обычный 337 2 2 3 2 2 2 2 2 2 2 2" xfId="50361"/>
    <cellStyle name="Обычный 337 2 2 3 2 2 2 2 2 2 3" xfId="43069"/>
    <cellStyle name="Обычный 337 2 2 3 2 2 2 2 2 3" xfId="31887"/>
    <cellStyle name="Обычный 337 2 2 3 2 2 2 2 2 3 2" xfId="46710"/>
    <cellStyle name="Обычный 337 2 2 3 2 2 2 2 2 4" xfId="39505"/>
    <cellStyle name="Обычный 337 2 2 3 2 2 2 2 3" xfId="26404"/>
    <cellStyle name="Обычный 337 2 2 3 2 2 2 2 3 2" xfId="33715"/>
    <cellStyle name="Обычный 337 2 2 3 2 2 2 2 3 2 2" xfId="48535"/>
    <cellStyle name="Обычный 337 2 2 3 2 2 2 2 3 3" xfId="41248"/>
    <cellStyle name="Обычный 337 2 2 3 2 2 2 2 4" xfId="30061"/>
    <cellStyle name="Обычный 337 2 2 3 2 2 2 2 4 2" xfId="44885"/>
    <cellStyle name="Обычный 337 2 2 3 2 2 2 2 5" xfId="39385"/>
    <cellStyle name="Обычный 337 2 2 3 2 2 2 2 6" xfId="22743"/>
    <cellStyle name="Обычный 337 2 2 3 2 2 2 3" xfId="19955"/>
    <cellStyle name="Обычный 337 2 2 3 2 2 2 3 2" xfId="27324"/>
    <cellStyle name="Обычный 337 2 2 3 2 2 2 3 2 2" xfId="34635"/>
    <cellStyle name="Обычный 337 2 2 3 2 2 2 3 2 2 2" xfId="49455"/>
    <cellStyle name="Обычный 337 2 2 3 2 2 2 3 2 3" xfId="42164"/>
    <cellStyle name="Обычный 337 2 2 3 2 2 2 3 3" xfId="30981"/>
    <cellStyle name="Обычный 337 2 2 3 2 2 2 3 3 2" xfId="45804"/>
    <cellStyle name="Обычный 337 2 2 3 2 2 2 3 4" xfId="38478"/>
    <cellStyle name="Обычный 337 2 2 3 2 2 2 3 5" xfId="23666"/>
    <cellStyle name="Обычный 337 2 2 3 2 2 2 4" xfId="25483"/>
    <cellStyle name="Обычный 337 2 2 3 2 2 2 4 2" xfId="32794"/>
    <cellStyle name="Обычный 337 2 2 3 2 2 2 4 2 2" xfId="47617"/>
    <cellStyle name="Обычный 337 2 2 3 2 2 2 4 3" xfId="40371"/>
    <cellStyle name="Обычный 337 2 2 3 2 2 2 5" xfId="29140"/>
    <cellStyle name="Обычный 337 2 2 3 2 2 2 5 2" xfId="43977"/>
    <cellStyle name="Обычный 337 2 2 3 2 2 2 6" xfId="36364"/>
    <cellStyle name="Обычный 337 2 2 3 2 2 2 7" xfId="21822"/>
    <cellStyle name="Обычный 337 2 2 3 2 2 3" xfId="18492"/>
    <cellStyle name="Обычный 337 2 2 3 2 2 3 2" xfId="20374"/>
    <cellStyle name="Обычный 337 2 2 3 2 2 3 2 2" xfId="27700"/>
    <cellStyle name="Обычный 337 2 2 3 2 2 3 2 2 2" xfId="35011"/>
    <cellStyle name="Обычный 337 2 2 3 2 2 3 2 2 2 2" xfId="49831"/>
    <cellStyle name="Обычный 337 2 2 3 2 2 3 2 2 3" xfId="42539"/>
    <cellStyle name="Обычный 337 2 2 3 2 2 3 2 3" xfId="31357"/>
    <cellStyle name="Обычный 337 2 2 3 2 2 3 2 3 2" xfId="46180"/>
    <cellStyle name="Обычный 337 2 2 3 2 2 3 2 4" xfId="38855"/>
    <cellStyle name="Обычный 337 2 2 3 2 2 3 2 5" xfId="24042"/>
    <cellStyle name="Обычный 337 2 2 3 2 2 3 3" xfId="25874"/>
    <cellStyle name="Обычный 337 2 2 3 2 2 3 3 2" xfId="33185"/>
    <cellStyle name="Обычный 337 2 2 3 2 2 3 3 2 2" xfId="48005"/>
    <cellStyle name="Обычный 337 2 2 3 2 2 3 3 3" xfId="40721"/>
    <cellStyle name="Обычный 337 2 2 3 2 2 3 4" xfId="29531"/>
    <cellStyle name="Обычный 337 2 2 3 2 2 3 4 2" xfId="44355"/>
    <cellStyle name="Обычный 337 2 2 3 2 2 3 5" xfId="37132"/>
    <cellStyle name="Обычный 337 2 2 3 2 2 3 6" xfId="22213"/>
    <cellStyle name="Обычный 337 2 2 3 2 2 4" xfId="19504"/>
    <cellStyle name="Обычный 337 2 2 3 2 2 4 2" xfId="26874"/>
    <cellStyle name="Обычный 337 2 2 3 2 2 4 2 2" xfId="34185"/>
    <cellStyle name="Обычный 337 2 2 3 2 2 4 2 2 2" xfId="49005"/>
    <cellStyle name="Обычный 337 2 2 3 2 2 4 2 3" xfId="41714"/>
    <cellStyle name="Обычный 337 2 2 3 2 2 4 3" xfId="30531"/>
    <cellStyle name="Обычный 337 2 2 3 2 2 4 3 2" xfId="45354"/>
    <cellStyle name="Обычный 337 2 2 3 2 2 4 4" xfId="38028"/>
    <cellStyle name="Обычный 337 2 2 3 2 2 4 5" xfId="23216"/>
    <cellStyle name="Обычный 337 2 2 3 2 2 5" xfId="25033"/>
    <cellStyle name="Обычный 337 2 2 3 2 2 5 2" xfId="32344"/>
    <cellStyle name="Обычный 337 2 2 3 2 2 5 2 2" xfId="47167"/>
    <cellStyle name="Обычный 337 2 2 3 2 2 5 3" xfId="39928"/>
    <cellStyle name="Обычный 337 2 2 3 2 2 6" xfId="28690"/>
    <cellStyle name="Обычный 337 2 2 3 2 2 6 2" xfId="43527"/>
    <cellStyle name="Обычный 337 2 2 3 2 2 7" xfId="35915"/>
    <cellStyle name="Обычный 337 2 2 3 2 2 8" xfId="21372"/>
    <cellStyle name="Обычный 337 2 2 3 2 3" xfId="17687"/>
    <cellStyle name="Обычный 337 2 2 3 2 3 2" xfId="18801"/>
    <cellStyle name="Обычный 337 2 2 3 2 3 2 2" xfId="20680"/>
    <cellStyle name="Обычный 337 2 2 3 2 3 2 2 2" xfId="28006"/>
    <cellStyle name="Обычный 337 2 2 3 2 3 2 2 2 2" xfId="35317"/>
    <cellStyle name="Обычный 337 2 2 3 2 3 2 2 2 2 2" xfId="50137"/>
    <cellStyle name="Обычный 337 2 2 3 2 3 2 2 2 3" xfId="42845"/>
    <cellStyle name="Обычный 337 2 2 3 2 3 2 2 3" xfId="31663"/>
    <cellStyle name="Обычный 337 2 2 3 2 3 2 2 3 2" xfId="46486"/>
    <cellStyle name="Обычный 337 2 2 3 2 3 2 2 4" xfId="39161"/>
    <cellStyle name="Обычный 337 2 2 3 2 3 2 2 5" xfId="24348"/>
    <cellStyle name="Обычный 337 2 2 3 2 3 2 3" xfId="26180"/>
    <cellStyle name="Обычный 337 2 2 3 2 3 2 3 2" xfId="33491"/>
    <cellStyle name="Обычный 337 2 2 3 2 3 2 3 2 2" xfId="48311"/>
    <cellStyle name="Обычный 337 2 2 3 2 3 2 3 3" xfId="41024"/>
    <cellStyle name="Обычный 337 2 2 3 2 3 2 4" xfId="29837"/>
    <cellStyle name="Обычный 337 2 2 3 2 3 2 4 2" xfId="44661"/>
    <cellStyle name="Обычный 337 2 2 3 2 3 2 5" xfId="37438"/>
    <cellStyle name="Обычный 337 2 2 3 2 3 2 6" xfId="22519"/>
    <cellStyle name="Обычный 337 2 2 3 2 3 3" xfId="19731"/>
    <cellStyle name="Обычный 337 2 2 3 2 3 3 2" xfId="27100"/>
    <cellStyle name="Обычный 337 2 2 3 2 3 3 2 2" xfId="34411"/>
    <cellStyle name="Обычный 337 2 2 3 2 3 3 2 2 2" xfId="49231"/>
    <cellStyle name="Обычный 337 2 2 3 2 3 3 2 3" xfId="41940"/>
    <cellStyle name="Обычный 337 2 2 3 2 3 3 3" xfId="30757"/>
    <cellStyle name="Обычный 337 2 2 3 2 3 3 3 2" xfId="45580"/>
    <cellStyle name="Обычный 337 2 2 3 2 3 3 4" xfId="38254"/>
    <cellStyle name="Обычный 337 2 2 3 2 3 3 5" xfId="23442"/>
    <cellStyle name="Обычный 337 2 2 3 2 3 4" xfId="25259"/>
    <cellStyle name="Обычный 337 2 2 3 2 3 4 2" xfId="32570"/>
    <cellStyle name="Обычный 337 2 2 3 2 3 4 2 2" xfId="47393"/>
    <cellStyle name="Обычный 337 2 2 3 2 3 4 3" xfId="40151"/>
    <cellStyle name="Обычный 337 2 2 3 2 3 5" xfId="28916"/>
    <cellStyle name="Обычный 337 2 2 3 2 3 5 2" xfId="43753"/>
    <cellStyle name="Обычный 337 2 2 3 2 3 6" xfId="36363"/>
    <cellStyle name="Обычный 337 2 2 3 2 3 7" xfId="21598"/>
    <cellStyle name="Обычный 337 2 2 3 2 4" xfId="18491"/>
    <cellStyle name="Обычный 337 2 2 3 2 4 2" xfId="20373"/>
    <cellStyle name="Обычный 337 2 2 3 2 4 2 2" xfId="27699"/>
    <cellStyle name="Обычный 337 2 2 3 2 4 2 2 2" xfId="35010"/>
    <cellStyle name="Обычный 337 2 2 3 2 4 2 2 2 2" xfId="49830"/>
    <cellStyle name="Обычный 337 2 2 3 2 4 2 2 3" xfId="42538"/>
    <cellStyle name="Обычный 337 2 2 3 2 4 2 3" xfId="31356"/>
    <cellStyle name="Обычный 337 2 2 3 2 4 2 3 2" xfId="46179"/>
    <cellStyle name="Обычный 337 2 2 3 2 4 2 4" xfId="38854"/>
    <cellStyle name="Обычный 337 2 2 3 2 4 2 5" xfId="24041"/>
    <cellStyle name="Обычный 337 2 2 3 2 4 3" xfId="25873"/>
    <cellStyle name="Обычный 337 2 2 3 2 4 3 2" xfId="33184"/>
    <cellStyle name="Обычный 337 2 2 3 2 4 3 2 2" xfId="48004"/>
    <cellStyle name="Обычный 337 2 2 3 2 4 3 3" xfId="40720"/>
    <cellStyle name="Обычный 337 2 2 3 2 4 4" xfId="29530"/>
    <cellStyle name="Обычный 337 2 2 3 2 4 4 2" xfId="44354"/>
    <cellStyle name="Обычный 337 2 2 3 2 4 5" xfId="37131"/>
    <cellStyle name="Обычный 337 2 2 3 2 4 6" xfId="22212"/>
    <cellStyle name="Обычный 337 2 2 3 2 5" xfId="19281"/>
    <cellStyle name="Обычный 337 2 2 3 2 5 2" xfId="26651"/>
    <cellStyle name="Обычный 337 2 2 3 2 5 2 2" xfId="33962"/>
    <cellStyle name="Обычный 337 2 2 3 2 5 2 2 2" xfId="48782"/>
    <cellStyle name="Обычный 337 2 2 3 2 5 2 3" xfId="41491"/>
    <cellStyle name="Обычный 337 2 2 3 2 5 3" xfId="30308"/>
    <cellStyle name="Обычный 337 2 2 3 2 5 3 2" xfId="45131"/>
    <cellStyle name="Обычный 337 2 2 3 2 5 4" xfId="37805"/>
    <cellStyle name="Обычный 337 2 2 3 2 5 5" xfId="22993"/>
    <cellStyle name="Обычный 337 2 2 3 2 6" xfId="24809"/>
    <cellStyle name="Обычный 337 2 2 3 2 6 2" xfId="32120"/>
    <cellStyle name="Обычный 337 2 2 3 2 6 2 2" xfId="46943"/>
    <cellStyle name="Обычный 337 2 2 3 2 6 3" xfId="39708"/>
    <cellStyle name="Обычный 337 2 2 3 2 7" xfId="28466"/>
    <cellStyle name="Обычный 337 2 2 3 2 7 2" xfId="43303"/>
    <cellStyle name="Обычный 337 2 2 3 2 8" xfId="35914"/>
    <cellStyle name="Обычный 337 2 2 3 2 9" xfId="21148"/>
    <cellStyle name="Обычный 337 2 2 3 3" xfId="17346"/>
    <cellStyle name="Обычный 337 2 2 3 3 2" xfId="17799"/>
    <cellStyle name="Обычный 337 2 2 3 3 2 2" xfId="18913"/>
    <cellStyle name="Обычный 337 2 2 3 3 2 2 2" xfId="20792"/>
    <cellStyle name="Обычный 337 2 2 3 3 2 2 2 2" xfId="28118"/>
    <cellStyle name="Обычный 337 2 2 3 3 2 2 2 2 2" xfId="35429"/>
    <cellStyle name="Обычный 337 2 2 3 3 2 2 2 2 2 2" xfId="50249"/>
    <cellStyle name="Обычный 337 2 2 3 3 2 2 2 2 3" xfId="42957"/>
    <cellStyle name="Обычный 337 2 2 3 3 2 2 2 3" xfId="31775"/>
    <cellStyle name="Обычный 337 2 2 3 3 2 2 2 3 2" xfId="46598"/>
    <cellStyle name="Обычный 337 2 2 3 3 2 2 2 4" xfId="39273"/>
    <cellStyle name="Обычный 337 2 2 3 3 2 2 2 5" xfId="24460"/>
    <cellStyle name="Обычный 337 2 2 3 3 2 2 3" xfId="26292"/>
    <cellStyle name="Обычный 337 2 2 3 3 2 2 3 2" xfId="33603"/>
    <cellStyle name="Обычный 337 2 2 3 3 2 2 3 2 2" xfId="48423"/>
    <cellStyle name="Обычный 337 2 2 3 3 2 2 3 3" xfId="41136"/>
    <cellStyle name="Обычный 337 2 2 3 3 2 2 4" xfId="29949"/>
    <cellStyle name="Обычный 337 2 2 3 3 2 2 4 2" xfId="44773"/>
    <cellStyle name="Обычный 337 2 2 3 3 2 2 5" xfId="37549"/>
    <cellStyle name="Обычный 337 2 2 3 3 2 2 6" xfId="22631"/>
    <cellStyle name="Обычный 337 2 2 3 3 2 3" xfId="19843"/>
    <cellStyle name="Обычный 337 2 2 3 3 2 3 2" xfId="27212"/>
    <cellStyle name="Обычный 337 2 2 3 3 2 3 2 2" xfId="34523"/>
    <cellStyle name="Обычный 337 2 2 3 3 2 3 2 2 2" xfId="49343"/>
    <cellStyle name="Обычный 337 2 2 3 3 2 3 2 3" xfId="42052"/>
    <cellStyle name="Обычный 337 2 2 3 3 2 3 3" xfId="30869"/>
    <cellStyle name="Обычный 337 2 2 3 3 2 3 3 2" xfId="45692"/>
    <cellStyle name="Обычный 337 2 2 3 3 2 3 4" xfId="38366"/>
    <cellStyle name="Обычный 337 2 2 3 3 2 3 5" xfId="23554"/>
    <cellStyle name="Обычный 337 2 2 3 3 2 4" xfId="25371"/>
    <cellStyle name="Обычный 337 2 2 3 3 2 4 2" xfId="32682"/>
    <cellStyle name="Обычный 337 2 2 3 3 2 4 2 2" xfId="47505"/>
    <cellStyle name="Обычный 337 2 2 3 3 2 4 3" xfId="40259"/>
    <cellStyle name="Обычный 337 2 2 3 3 2 5" xfId="29028"/>
    <cellStyle name="Обычный 337 2 2 3 3 2 5 2" xfId="43865"/>
    <cellStyle name="Обычный 337 2 2 3 3 2 6" xfId="36365"/>
    <cellStyle name="Обычный 337 2 2 3 3 2 7" xfId="21710"/>
    <cellStyle name="Обычный 337 2 2 3 3 3" xfId="18493"/>
    <cellStyle name="Обычный 337 2 2 3 3 3 2" xfId="20375"/>
    <cellStyle name="Обычный 337 2 2 3 3 3 2 2" xfId="27701"/>
    <cellStyle name="Обычный 337 2 2 3 3 3 2 2 2" xfId="35012"/>
    <cellStyle name="Обычный 337 2 2 3 3 3 2 2 2 2" xfId="49832"/>
    <cellStyle name="Обычный 337 2 2 3 3 3 2 2 3" xfId="42540"/>
    <cellStyle name="Обычный 337 2 2 3 3 3 2 3" xfId="31358"/>
    <cellStyle name="Обычный 337 2 2 3 3 3 2 3 2" xfId="46181"/>
    <cellStyle name="Обычный 337 2 2 3 3 3 2 4" xfId="38856"/>
    <cellStyle name="Обычный 337 2 2 3 3 3 2 5" xfId="24043"/>
    <cellStyle name="Обычный 337 2 2 3 3 3 3" xfId="25875"/>
    <cellStyle name="Обычный 337 2 2 3 3 3 3 2" xfId="33186"/>
    <cellStyle name="Обычный 337 2 2 3 3 3 3 2 2" xfId="48006"/>
    <cellStyle name="Обычный 337 2 2 3 3 3 3 3" xfId="40722"/>
    <cellStyle name="Обычный 337 2 2 3 3 3 4" xfId="29532"/>
    <cellStyle name="Обычный 337 2 2 3 3 3 4 2" xfId="44356"/>
    <cellStyle name="Обычный 337 2 2 3 3 3 5" xfId="37133"/>
    <cellStyle name="Обычный 337 2 2 3 3 3 6" xfId="22214"/>
    <cellStyle name="Обычный 337 2 2 3 3 4" xfId="19392"/>
    <cellStyle name="Обычный 337 2 2 3 3 4 2" xfId="26762"/>
    <cellStyle name="Обычный 337 2 2 3 3 4 2 2" xfId="34073"/>
    <cellStyle name="Обычный 337 2 2 3 3 4 2 2 2" xfId="48893"/>
    <cellStyle name="Обычный 337 2 2 3 3 4 2 3" xfId="41602"/>
    <cellStyle name="Обычный 337 2 2 3 3 4 3" xfId="30419"/>
    <cellStyle name="Обычный 337 2 2 3 3 4 3 2" xfId="45242"/>
    <cellStyle name="Обычный 337 2 2 3 3 4 4" xfId="37916"/>
    <cellStyle name="Обычный 337 2 2 3 3 4 5" xfId="23104"/>
    <cellStyle name="Обычный 337 2 2 3 3 5" xfId="24921"/>
    <cellStyle name="Обычный 337 2 2 3 3 5 2" xfId="32232"/>
    <cellStyle name="Обычный 337 2 2 3 3 5 2 2" xfId="47055"/>
    <cellStyle name="Обычный 337 2 2 3 3 5 3" xfId="39816"/>
    <cellStyle name="Обычный 337 2 2 3 3 6" xfId="28578"/>
    <cellStyle name="Обычный 337 2 2 3 3 6 2" xfId="43415"/>
    <cellStyle name="Обычный 337 2 2 3 3 7" xfId="35916"/>
    <cellStyle name="Обычный 337 2 2 3 3 8" xfId="21260"/>
    <cellStyle name="Обычный 337 2 2 3 4" xfId="17575"/>
    <cellStyle name="Обычный 337 2 2 3 4 2" xfId="18689"/>
    <cellStyle name="Обычный 337 2 2 3 4 2 2" xfId="20568"/>
    <cellStyle name="Обычный 337 2 2 3 4 2 2 2" xfId="27894"/>
    <cellStyle name="Обычный 337 2 2 3 4 2 2 2 2" xfId="35205"/>
    <cellStyle name="Обычный 337 2 2 3 4 2 2 2 2 2" xfId="50025"/>
    <cellStyle name="Обычный 337 2 2 3 4 2 2 2 3" xfId="42733"/>
    <cellStyle name="Обычный 337 2 2 3 4 2 2 3" xfId="31551"/>
    <cellStyle name="Обычный 337 2 2 3 4 2 2 3 2" xfId="46374"/>
    <cellStyle name="Обычный 337 2 2 3 4 2 2 4" xfId="39049"/>
    <cellStyle name="Обычный 337 2 2 3 4 2 2 5" xfId="24236"/>
    <cellStyle name="Обычный 337 2 2 3 4 2 3" xfId="26068"/>
    <cellStyle name="Обычный 337 2 2 3 4 2 3 2" xfId="33379"/>
    <cellStyle name="Обычный 337 2 2 3 4 2 3 2 2" xfId="48199"/>
    <cellStyle name="Обычный 337 2 2 3 4 2 3 3" xfId="40912"/>
    <cellStyle name="Обычный 337 2 2 3 4 2 4" xfId="29725"/>
    <cellStyle name="Обычный 337 2 2 3 4 2 4 2" xfId="44549"/>
    <cellStyle name="Обычный 337 2 2 3 4 2 5" xfId="37326"/>
    <cellStyle name="Обычный 337 2 2 3 4 2 6" xfId="22407"/>
    <cellStyle name="Обычный 337 2 2 3 4 3" xfId="19619"/>
    <cellStyle name="Обычный 337 2 2 3 4 3 2" xfId="26988"/>
    <cellStyle name="Обычный 337 2 2 3 4 3 2 2" xfId="34299"/>
    <cellStyle name="Обычный 337 2 2 3 4 3 2 2 2" xfId="49119"/>
    <cellStyle name="Обычный 337 2 2 3 4 3 2 3" xfId="41828"/>
    <cellStyle name="Обычный 337 2 2 3 4 3 3" xfId="30645"/>
    <cellStyle name="Обычный 337 2 2 3 4 3 3 2" xfId="45468"/>
    <cellStyle name="Обычный 337 2 2 3 4 3 4" xfId="38142"/>
    <cellStyle name="Обычный 337 2 2 3 4 3 5" xfId="23330"/>
    <cellStyle name="Обычный 337 2 2 3 4 4" xfId="25147"/>
    <cellStyle name="Обычный 337 2 2 3 4 4 2" xfId="32458"/>
    <cellStyle name="Обычный 337 2 2 3 4 4 2 2" xfId="47281"/>
    <cellStyle name="Обычный 337 2 2 3 4 4 3" xfId="40041"/>
    <cellStyle name="Обычный 337 2 2 3 4 5" xfId="28804"/>
    <cellStyle name="Обычный 337 2 2 3 4 5 2" xfId="43641"/>
    <cellStyle name="Обычный 337 2 2 3 4 6" xfId="36362"/>
    <cellStyle name="Обычный 337 2 2 3 4 7" xfId="21486"/>
    <cellStyle name="Обычный 337 2 2 3 5" xfId="18490"/>
    <cellStyle name="Обычный 337 2 2 3 5 2" xfId="20372"/>
    <cellStyle name="Обычный 337 2 2 3 5 2 2" xfId="27698"/>
    <cellStyle name="Обычный 337 2 2 3 5 2 2 2" xfId="35009"/>
    <cellStyle name="Обычный 337 2 2 3 5 2 2 2 2" xfId="49829"/>
    <cellStyle name="Обычный 337 2 2 3 5 2 2 3" xfId="42537"/>
    <cellStyle name="Обычный 337 2 2 3 5 2 3" xfId="31355"/>
    <cellStyle name="Обычный 337 2 2 3 5 2 3 2" xfId="46178"/>
    <cellStyle name="Обычный 337 2 2 3 5 2 4" xfId="38853"/>
    <cellStyle name="Обычный 337 2 2 3 5 2 5" xfId="24040"/>
    <cellStyle name="Обычный 337 2 2 3 5 3" xfId="25872"/>
    <cellStyle name="Обычный 337 2 2 3 5 3 2" xfId="33183"/>
    <cellStyle name="Обычный 337 2 2 3 5 3 2 2" xfId="48003"/>
    <cellStyle name="Обычный 337 2 2 3 5 3 3" xfId="40719"/>
    <cellStyle name="Обычный 337 2 2 3 5 4" xfId="29529"/>
    <cellStyle name="Обычный 337 2 2 3 5 4 2" xfId="44353"/>
    <cellStyle name="Обычный 337 2 2 3 5 5" xfId="37130"/>
    <cellStyle name="Обычный 337 2 2 3 5 6" xfId="22211"/>
    <cellStyle name="Обычный 337 2 2 3 6" xfId="19171"/>
    <cellStyle name="Обычный 337 2 2 3 6 2" xfId="26542"/>
    <cellStyle name="Обычный 337 2 2 3 6 2 2" xfId="33853"/>
    <cellStyle name="Обычный 337 2 2 3 6 2 2 2" xfId="48673"/>
    <cellStyle name="Обычный 337 2 2 3 6 2 3" xfId="41382"/>
    <cellStyle name="Обычный 337 2 2 3 6 3" xfId="30199"/>
    <cellStyle name="Обычный 337 2 2 3 6 3 2" xfId="45022"/>
    <cellStyle name="Обычный 337 2 2 3 6 4" xfId="37696"/>
    <cellStyle name="Обычный 337 2 2 3 6 5" xfId="22884"/>
    <cellStyle name="Обычный 337 2 2 3 7" xfId="24697"/>
    <cellStyle name="Обычный 337 2 2 3 7 2" xfId="32008"/>
    <cellStyle name="Обычный 337 2 2 3 7 2 2" xfId="46831"/>
    <cellStyle name="Обычный 337 2 2 3 7 3" xfId="39606"/>
    <cellStyle name="Обычный 337 2 2 3 8" xfId="28354"/>
    <cellStyle name="Обычный 337 2 2 3 8 2" xfId="43191"/>
    <cellStyle name="Обычный 337 2 2 3 9" xfId="35913"/>
    <cellStyle name="Обычный 337 2 2 4" xfId="17405"/>
    <cellStyle name="Обычный 337 2 2 4 2" xfId="17855"/>
    <cellStyle name="Обычный 337 2 2 4 2 2" xfId="18969"/>
    <cellStyle name="Обычный 337 2 2 4 2 2 2" xfId="20848"/>
    <cellStyle name="Обычный 337 2 2 4 2 2 2 2" xfId="24516"/>
    <cellStyle name="Обычный 337 2 2 4 2 2 2 2 2" xfId="28174"/>
    <cellStyle name="Обычный 337 2 2 4 2 2 2 2 2 2" xfId="35485"/>
    <cellStyle name="Обычный 337 2 2 4 2 2 2 2 2 2 2" xfId="50305"/>
    <cellStyle name="Обычный 337 2 2 4 2 2 2 2 2 3" xfId="43013"/>
    <cellStyle name="Обычный 337 2 2 4 2 2 2 2 3" xfId="31831"/>
    <cellStyle name="Обычный 337 2 2 4 2 2 2 2 3 2" xfId="46654"/>
    <cellStyle name="Обычный 337 2 2 4 2 2 2 2 4" xfId="39460"/>
    <cellStyle name="Обычный 337 2 2 4 2 2 2 3" xfId="26348"/>
    <cellStyle name="Обычный 337 2 2 4 2 2 2 3 2" xfId="33659"/>
    <cellStyle name="Обычный 337 2 2 4 2 2 2 3 2 2" xfId="48479"/>
    <cellStyle name="Обычный 337 2 2 4 2 2 2 3 3" xfId="41192"/>
    <cellStyle name="Обычный 337 2 2 4 2 2 2 4" xfId="30005"/>
    <cellStyle name="Обычный 337 2 2 4 2 2 2 4 2" xfId="44829"/>
    <cellStyle name="Обычный 337 2 2 4 2 2 2 5" xfId="39329"/>
    <cellStyle name="Обычный 337 2 2 4 2 2 2 6" xfId="22687"/>
    <cellStyle name="Обычный 337 2 2 4 2 2 3" xfId="19899"/>
    <cellStyle name="Обычный 337 2 2 4 2 2 3 2" xfId="27268"/>
    <cellStyle name="Обычный 337 2 2 4 2 2 3 2 2" xfId="34579"/>
    <cellStyle name="Обычный 337 2 2 4 2 2 3 2 2 2" xfId="49399"/>
    <cellStyle name="Обычный 337 2 2 4 2 2 3 2 3" xfId="42108"/>
    <cellStyle name="Обычный 337 2 2 4 2 2 3 3" xfId="30925"/>
    <cellStyle name="Обычный 337 2 2 4 2 2 3 3 2" xfId="45748"/>
    <cellStyle name="Обычный 337 2 2 4 2 2 3 4" xfId="38422"/>
    <cellStyle name="Обычный 337 2 2 4 2 2 3 5" xfId="23610"/>
    <cellStyle name="Обычный 337 2 2 4 2 2 4" xfId="25427"/>
    <cellStyle name="Обычный 337 2 2 4 2 2 4 2" xfId="32738"/>
    <cellStyle name="Обычный 337 2 2 4 2 2 4 2 2" xfId="47561"/>
    <cellStyle name="Обычный 337 2 2 4 2 2 4 3" xfId="40315"/>
    <cellStyle name="Обычный 337 2 2 4 2 2 5" xfId="29084"/>
    <cellStyle name="Обычный 337 2 2 4 2 2 5 2" xfId="43921"/>
    <cellStyle name="Обычный 337 2 2 4 2 2 6" xfId="36367"/>
    <cellStyle name="Обычный 337 2 2 4 2 2 7" xfId="21766"/>
    <cellStyle name="Обычный 337 2 2 4 2 3" xfId="18495"/>
    <cellStyle name="Обычный 337 2 2 4 2 3 2" xfId="20377"/>
    <cellStyle name="Обычный 337 2 2 4 2 3 2 2" xfId="27703"/>
    <cellStyle name="Обычный 337 2 2 4 2 3 2 2 2" xfId="35014"/>
    <cellStyle name="Обычный 337 2 2 4 2 3 2 2 2 2" xfId="49834"/>
    <cellStyle name="Обычный 337 2 2 4 2 3 2 2 3" xfId="42542"/>
    <cellStyle name="Обычный 337 2 2 4 2 3 2 3" xfId="31360"/>
    <cellStyle name="Обычный 337 2 2 4 2 3 2 3 2" xfId="46183"/>
    <cellStyle name="Обычный 337 2 2 4 2 3 2 4" xfId="38858"/>
    <cellStyle name="Обычный 337 2 2 4 2 3 2 5" xfId="24045"/>
    <cellStyle name="Обычный 337 2 2 4 2 3 3" xfId="25877"/>
    <cellStyle name="Обычный 337 2 2 4 2 3 3 2" xfId="33188"/>
    <cellStyle name="Обычный 337 2 2 4 2 3 3 2 2" xfId="48008"/>
    <cellStyle name="Обычный 337 2 2 4 2 3 3 3" xfId="40724"/>
    <cellStyle name="Обычный 337 2 2 4 2 3 4" xfId="29534"/>
    <cellStyle name="Обычный 337 2 2 4 2 3 4 2" xfId="44358"/>
    <cellStyle name="Обычный 337 2 2 4 2 3 5" xfId="37135"/>
    <cellStyle name="Обычный 337 2 2 4 2 3 6" xfId="22216"/>
    <cellStyle name="Обычный 337 2 2 4 2 4" xfId="19448"/>
    <cellStyle name="Обычный 337 2 2 4 2 4 2" xfId="26818"/>
    <cellStyle name="Обычный 337 2 2 4 2 4 2 2" xfId="34129"/>
    <cellStyle name="Обычный 337 2 2 4 2 4 2 2 2" xfId="48949"/>
    <cellStyle name="Обычный 337 2 2 4 2 4 2 3" xfId="41658"/>
    <cellStyle name="Обычный 337 2 2 4 2 4 3" xfId="30475"/>
    <cellStyle name="Обычный 337 2 2 4 2 4 3 2" xfId="45298"/>
    <cellStyle name="Обычный 337 2 2 4 2 4 4" xfId="37972"/>
    <cellStyle name="Обычный 337 2 2 4 2 4 5" xfId="23160"/>
    <cellStyle name="Обычный 337 2 2 4 2 5" xfId="24977"/>
    <cellStyle name="Обычный 337 2 2 4 2 5 2" xfId="32288"/>
    <cellStyle name="Обычный 337 2 2 4 2 5 2 2" xfId="47111"/>
    <cellStyle name="Обычный 337 2 2 4 2 5 3" xfId="39872"/>
    <cellStyle name="Обычный 337 2 2 4 2 6" xfId="28634"/>
    <cellStyle name="Обычный 337 2 2 4 2 6 2" xfId="43471"/>
    <cellStyle name="Обычный 337 2 2 4 2 7" xfId="35918"/>
    <cellStyle name="Обычный 337 2 2 4 2 8" xfId="21316"/>
    <cellStyle name="Обычный 337 2 2 4 3" xfId="17631"/>
    <cellStyle name="Обычный 337 2 2 4 3 2" xfId="18745"/>
    <cellStyle name="Обычный 337 2 2 4 3 2 2" xfId="20624"/>
    <cellStyle name="Обычный 337 2 2 4 3 2 2 2" xfId="27950"/>
    <cellStyle name="Обычный 337 2 2 4 3 2 2 2 2" xfId="35261"/>
    <cellStyle name="Обычный 337 2 2 4 3 2 2 2 2 2" xfId="50081"/>
    <cellStyle name="Обычный 337 2 2 4 3 2 2 2 3" xfId="42789"/>
    <cellStyle name="Обычный 337 2 2 4 3 2 2 3" xfId="31607"/>
    <cellStyle name="Обычный 337 2 2 4 3 2 2 3 2" xfId="46430"/>
    <cellStyle name="Обычный 337 2 2 4 3 2 2 4" xfId="39105"/>
    <cellStyle name="Обычный 337 2 2 4 3 2 2 5" xfId="24292"/>
    <cellStyle name="Обычный 337 2 2 4 3 2 3" xfId="26124"/>
    <cellStyle name="Обычный 337 2 2 4 3 2 3 2" xfId="33435"/>
    <cellStyle name="Обычный 337 2 2 4 3 2 3 2 2" xfId="48255"/>
    <cellStyle name="Обычный 337 2 2 4 3 2 3 3" xfId="40968"/>
    <cellStyle name="Обычный 337 2 2 4 3 2 4" xfId="29781"/>
    <cellStyle name="Обычный 337 2 2 4 3 2 4 2" xfId="44605"/>
    <cellStyle name="Обычный 337 2 2 4 3 2 5" xfId="37382"/>
    <cellStyle name="Обычный 337 2 2 4 3 2 6" xfId="22463"/>
    <cellStyle name="Обычный 337 2 2 4 3 3" xfId="19675"/>
    <cellStyle name="Обычный 337 2 2 4 3 3 2" xfId="27044"/>
    <cellStyle name="Обычный 337 2 2 4 3 3 2 2" xfId="34355"/>
    <cellStyle name="Обычный 337 2 2 4 3 3 2 2 2" xfId="49175"/>
    <cellStyle name="Обычный 337 2 2 4 3 3 2 3" xfId="41884"/>
    <cellStyle name="Обычный 337 2 2 4 3 3 3" xfId="30701"/>
    <cellStyle name="Обычный 337 2 2 4 3 3 3 2" xfId="45524"/>
    <cellStyle name="Обычный 337 2 2 4 3 3 4" xfId="38198"/>
    <cellStyle name="Обычный 337 2 2 4 3 3 5" xfId="23386"/>
    <cellStyle name="Обычный 337 2 2 4 3 4" xfId="25203"/>
    <cellStyle name="Обычный 337 2 2 4 3 4 2" xfId="32514"/>
    <cellStyle name="Обычный 337 2 2 4 3 4 2 2" xfId="47337"/>
    <cellStyle name="Обычный 337 2 2 4 3 4 3" xfId="40095"/>
    <cellStyle name="Обычный 337 2 2 4 3 5" xfId="28860"/>
    <cellStyle name="Обычный 337 2 2 4 3 5 2" xfId="43697"/>
    <cellStyle name="Обычный 337 2 2 4 3 6" xfId="36366"/>
    <cellStyle name="Обычный 337 2 2 4 3 7" xfId="21542"/>
    <cellStyle name="Обычный 337 2 2 4 4" xfId="18494"/>
    <cellStyle name="Обычный 337 2 2 4 4 2" xfId="20376"/>
    <cellStyle name="Обычный 337 2 2 4 4 2 2" xfId="27702"/>
    <cellStyle name="Обычный 337 2 2 4 4 2 2 2" xfId="35013"/>
    <cellStyle name="Обычный 337 2 2 4 4 2 2 2 2" xfId="49833"/>
    <cellStyle name="Обычный 337 2 2 4 4 2 2 3" xfId="42541"/>
    <cellStyle name="Обычный 337 2 2 4 4 2 3" xfId="31359"/>
    <cellStyle name="Обычный 337 2 2 4 4 2 3 2" xfId="46182"/>
    <cellStyle name="Обычный 337 2 2 4 4 2 4" xfId="38857"/>
    <cellStyle name="Обычный 337 2 2 4 4 2 5" xfId="24044"/>
    <cellStyle name="Обычный 337 2 2 4 4 3" xfId="25876"/>
    <cellStyle name="Обычный 337 2 2 4 4 3 2" xfId="33187"/>
    <cellStyle name="Обычный 337 2 2 4 4 3 2 2" xfId="48007"/>
    <cellStyle name="Обычный 337 2 2 4 4 3 3" xfId="40723"/>
    <cellStyle name="Обычный 337 2 2 4 4 4" xfId="29533"/>
    <cellStyle name="Обычный 337 2 2 4 4 4 2" xfId="44357"/>
    <cellStyle name="Обычный 337 2 2 4 4 5" xfId="37134"/>
    <cellStyle name="Обычный 337 2 2 4 4 6" xfId="22215"/>
    <cellStyle name="Обычный 337 2 2 4 5" xfId="19226"/>
    <cellStyle name="Обычный 337 2 2 4 5 2" xfId="26596"/>
    <cellStyle name="Обычный 337 2 2 4 5 2 2" xfId="33907"/>
    <cellStyle name="Обычный 337 2 2 4 5 2 2 2" xfId="48727"/>
    <cellStyle name="Обычный 337 2 2 4 5 2 3" xfId="41436"/>
    <cellStyle name="Обычный 337 2 2 4 5 3" xfId="30253"/>
    <cellStyle name="Обычный 337 2 2 4 5 3 2" xfId="45076"/>
    <cellStyle name="Обычный 337 2 2 4 5 4" xfId="37750"/>
    <cellStyle name="Обычный 337 2 2 4 5 5" xfId="22938"/>
    <cellStyle name="Обычный 337 2 2 4 6" xfId="24753"/>
    <cellStyle name="Обычный 337 2 2 4 6 2" xfId="32064"/>
    <cellStyle name="Обычный 337 2 2 4 6 2 2" xfId="46887"/>
    <cellStyle name="Обычный 337 2 2 4 6 3" xfId="39655"/>
    <cellStyle name="Обычный 337 2 2 4 7" xfId="28410"/>
    <cellStyle name="Обычный 337 2 2 4 7 2" xfId="43247"/>
    <cellStyle name="Обычный 337 2 2 4 8" xfId="35917"/>
    <cellStyle name="Обычный 337 2 2 4 9" xfId="21092"/>
    <cellStyle name="Обычный 337 2 2 5" xfId="17287"/>
    <cellStyle name="Обычный 337 2 2 5 2" xfId="17743"/>
    <cellStyle name="Обычный 337 2 2 5 2 2" xfId="18857"/>
    <cellStyle name="Обычный 337 2 2 5 2 2 2" xfId="20736"/>
    <cellStyle name="Обычный 337 2 2 5 2 2 2 2" xfId="28062"/>
    <cellStyle name="Обычный 337 2 2 5 2 2 2 2 2" xfId="35373"/>
    <cellStyle name="Обычный 337 2 2 5 2 2 2 2 2 2" xfId="50193"/>
    <cellStyle name="Обычный 337 2 2 5 2 2 2 2 3" xfId="42901"/>
    <cellStyle name="Обычный 337 2 2 5 2 2 2 3" xfId="31719"/>
    <cellStyle name="Обычный 337 2 2 5 2 2 2 3 2" xfId="46542"/>
    <cellStyle name="Обычный 337 2 2 5 2 2 2 4" xfId="39217"/>
    <cellStyle name="Обычный 337 2 2 5 2 2 2 5" xfId="24404"/>
    <cellStyle name="Обычный 337 2 2 5 2 2 3" xfId="26236"/>
    <cellStyle name="Обычный 337 2 2 5 2 2 3 2" xfId="33547"/>
    <cellStyle name="Обычный 337 2 2 5 2 2 3 2 2" xfId="48367"/>
    <cellStyle name="Обычный 337 2 2 5 2 2 3 3" xfId="41080"/>
    <cellStyle name="Обычный 337 2 2 5 2 2 4" xfId="29893"/>
    <cellStyle name="Обычный 337 2 2 5 2 2 4 2" xfId="44717"/>
    <cellStyle name="Обычный 337 2 2 5 2 2 5" xfId="37493"/>
    <cellStyle name="Обычный 337 2 2 5 2 2 6" xfId="22575"/>
    <cellStyle name="Обычный 337 2 2 5 2 3" xfId="19787"/>
    <cellStyle name="Обычный 337 2 2 5 2 3 2" xfId="27156"/>
    <cellStyle name="Обычный 337 2 2 5 2 3 2 2" xfId="34467"/>
    <cellStyle name="Обычный 337 2 2 5 2 3 2 2 2" xfId="49287"/>
    <cellStyle name="Обычный 337 2 2 5 2 3 2 3" xfId="41996"/>
    <cellStyle name="Обычный 337 2 2 5 2 3 3" xfId="30813"/>
    <cellStyle name="Обычный 337 2 2 5 2 3 3 2" xfId="45636"/>
    <cellStyle name="Обычный 337 2 2 5 2 3 4" xfId="38310"/>
    <cellStyle name="Обычный 337 2 2 5 2 3 5" xfId="23498"/>
    <cellStyle name="Обычный 337 2 2 5 2 4" xfId="25315"/>
    <cellStyle name="Обычный 337 2 2 5 2 4 2" xfId="32626"/>
    <cellStyle name="Обычный 337 2 2 5 2 4 2 2" xfId="47449"/>
    <cellStyle name="Обычный 337 2 2 5 2 4 3" xfId="40204"/>
    <cellStyle name="Обычный 337 2 2 5 2 5" xfId="28972"/>
    <cellStyle name="Обычный 337 2 2 5 2 5 2" xfId="43809"/>
    <cellStyle name="Обычный 337 2 2 5 2 6" xfId="36368"/>
    <cellStyle name="Обычный 337 2 2 5 2 7" xfId="21654"/>
    <cellStyle name="Обычный 337 2 2 5 3" xfId="18496"/>
    <cellStyle name="Обычный 337 2 2 5 3 2" xfId="20378"/>
    <cellStyle name="Обычный 337 2 2 5 3 2 2" xfId="27704"/>
    <cellStyle name="Обычный 337 2 2 5 3 2 2 2" xfId="35015"/>
    <cellStyle name="Обычный 337 2 2 5 3 2 2 2 2" xfId="49835"/>
    <cellStyle name="Обычный 337 2 2 5 3 2 2 3" xfId="42543"/>
    <cellStyle name="Обычный 337 2 2 5 3 2 3" xfId="31361"/>
    <cellStyle name="Обычный 337 2 2 5 3 2 3 2" xfId="46184"/>
    <cellStyle name="Обычный 337 2 2 5 3 2 4" xfId="38859"/>
    <cellStyle name="Обычный 337 2 2 5 3 2 5" xfId="24046"/>
    <cellStyle name="Обычный 337 2 2 5 3 3" xfId="25878"/>
    <cellStyle name="Обычный 337 2 2 5 3 3 2" xfId="33189"/>
    <cellStyle name="Обычный 337 2 2 5 3 3 2 2" xfId="48009"/>
    <cellStyle name="Обычный 337 2 2 5 3 3 3" xfId="40725"/>
    <cellStyle name="Обычный 337 2 2 5 3 4" xfId="29535"/>
    <cellStyle name="Обычный 337 2 2 5 3 4 2" xfId="44359"/>
    <cellStyle name="Обычный 337 2 2 5 3 5" xfId="37136"/>
    <cellStyle name="Обычный 337 2 2 5 3 6" xfId="22217"/>
    <cellStyle name="Обычный 337 2 2 5 4" xfId="19336"/>
    <cellStyle name="Обычный 337 2 2 5 4 2" xfId="26706"/>
    <cellStyle name="Обычный 337 2 2 5 4 2 2" xfId="34017"/>
    <cellStyle name="Обычный 337 2 2 5 4 2 2 2" xfId="48837"/>
    <cellStyle name="Обычный 337 2 2 5 4 2 3" xfId="41546"/>
    <cellStyle name="Обычный 337 2 2 5 4 3" xfId="30363"/>
    <cellStyle name="Обычный 337 2 2 5 4 3 2" xfId="45186"/>
    <cellStyle name="Обычный 337 2 2 5 4 4" xfId="37860"/>
    <cellStyle name="Обычный 337 2 2 5 4 5" xfId="23048"/>
    <cellStyle name="Обычный 337 2 2 5 5" xfId="24865"/>
    <cellStyle name="Обычный 337 2 2 5 5 2" xfId="32176"/>
    <cellStyle name="Обычный 337 2 2 5 5 2 2" xfId="46999"/>
    <cellStyle name="Обычный 337 2 2 5 5 3" xfId="39761"/>
    <cellStyle name="Обычный 337 2 2 5 6" xfId="28522"/>
    <cellStyle name="Обычный 337 2 2 5 6 2" xfId="43359"/>
    <cellStyle name="Обычный 337 2 2 5 7" xfId="35919"/>
    <cellStyle name="Обычный 337 2 2 5 8" xfId="21204"/>
    <cellStyle name="Обычный 337 2 2 6" xfId="17519"/>
    <cellStyle name="Обычный 337 2 2 6 2" xfId="18633"/>
    <cellStyle name="Обычный 337 2 2 6 2 2" xfId="20512"/>
    <cellStyle name="Обычный 337 2 2 6 2 2 2" xfId="27838"/>
    <cellStyle name="Обычный 337 2 2 6 2 2 2 2" xfId="35149"/>
    <cellStyle name="Обычный 337 2 2 6 2 2 2 2 2" xfId="49969"/>
    <cellStyle name="Обычный 337 2 2 6 2 2 2 3" xfId="42677"/>
    <cellStyle name="Обычный 337 2 2 6 2 2 3" xfId="31495"/>
    <cellStyle name="Обычный 337 2 2 6 2 2 3 2" xfId="46318"/>
    <cellStyle name="Обычный 337 2 2 6 2 2 4" xfId="38993"/>
    <cellStyle name="Обычный 337 2 2 6 2 2 5" xfId="24180"/>
    <cellStyle name="Обычный 337 2 2 6 2 3" xfId="26012"/>
    <cellStyle name="Обычный 337 2 2 6 2 3 2" xfId="33323"/>
    <cellStyle name="Обычный 337 2 2 6 2 3 2 2" xfId="48143"/>
    <cellStyle name="Обычный 337 2 2 6 2 3 3" xfId="40856"/>
    <cellStyle name="Обычный 337 2 2 6 2 4" xfId="29669"/>
    <cellStyle name="Обычный 337 2 2 6 2 4 2" xfId="44493"/>
    <cellStyle name="Обычный 337 2 2 6 2 5" xfId="37270"/>
    <cellStyle name="Обычный 337 2 2 6 2 6" xfId="22351"/>
    <cellStyle name="Обычный 337 2 2 6 3" xfId="19563"/>
    <cellStyle name="Обычный 337 2 2 6 3 2" xfId="26932"/>
    <cellStyle name="Обычный 337 2 2 6 3 2 2" xfId="34243"/>
    <cellStyle name="Обычный 337 2 2 6 3 2 2 2" xfId="49063"/>
    <cellStyle name="Обычный 337 2 2 6 3 2 3" xfId="41772"/>
    <cellStyle name="Обычный 337 2 2 6 3 3" xfId="30589"/>
    <cellStyle name="Обычный 337 2 2 6 3 3 2" xfId="45412"/>
    <cellStyle name="Обычный 337 2 2 6 3 4" xfId="38086"/>
    <cellStyle name="Обычный 337 2 2 6 3 5" xfId="23274"/>
    <cellStyle name="Обычный 337 2 2 6 4" xfId="25091"/>
    <cellStyle name="Обычный 337 2 2 6 4 2" xfId="32402"/>
    <cellStyle name="Обычный 337 2 2 6 4 2 2" xfId="47225"/>
    <cellStyle name="Обычный 337 2 2 6 4 3" xfId="39986"/>
    <cellStyle name="Обычный 337 2 2 6 5" xfId="28748"/>
    <cellStyle name="Обычный 337 2 2 6 5 2" xfId="43585"/>
    <cellStyle name="Обычный 337 2 2 6 6" xfId="36353"/>
    <cellStyle name="Обычный 337 2 2 6 7" xfId="21430"/>
    <cellStyle name="Обычный 337 2 2 7" xfId="18170"/>
    <cellStyle name="Обычный 337 2 2 7 2" xfId="20057"/>
    <cellStyle name="Обычный 337 2 2 7 2 2" xfId="27383"/>
    <cellStyle name="Обычный 337 2 2 7 2 2 2" xfId="34694"/>
    <cellStyle name="Обычный 337 2 2 7 2 2 2 2" xfId="49514"/>
    <cellStyle name="Обычный 337 2 2 7 2 2 3" xfId="42223"/>
    <cellStyle name="Обычный 337 2 2 7 2 3" xfId="31040"/>
    <cellStyle name="Обычный 337 2 2 7 2 3 2" xfId="45863"/>
    <cellStyle name="Обычный 337 2 2 7 2 4" xfId="38538"/>
    <cellStyle name="Обычный 337 2 2 7 2 5" xfId="23725"/>
    <cellStyle name="Обычный 337 2 2 7 3" xfId="25556"/>
    <cellStyle name="Обычный 337 2 2 7 3 2" xfId="32867"/>
    <cellStyle name="Обычный 337 2 2 7 3 2 2" xfId="47687"/>
    <cellStyle name="Обычный 337 2 2 7 3 3" xfId="40430"/>
    <cellStyle name="Обычный 337 2 2 7 4" xfId="29213"/>
    <cellStyle name="Обычный 337 2 2 7 4 2" xfId="44039"/>
    <cellStyle name="Обычный 337 2 2 7 5" xfId="36814"/>
    <cellStyle name="Обычный 337 2 2 7 6" xfId="21895"/>
    <cellStyle name="Обычный 337 2 2 8" xfId="19097"/>
    <cellStyle name="Обычный 337 2 2 8 2" xfId="26476"/>
    <cellStyle name="Обычный 337 2 2 8 2 2" xfId="33787"/>
    <cellStyle name="Обычный 337 2 2 8 2 2 2" xfId="48607"/>
    <cellStyle name="Обычный 337 2 2 8 2 3" xfId="41317"/>
    <cellStyle name="Обычный 337 2 2 8 3" xfId="30133"/>
    <cellStyle name="Обычный 337 2 2 8 3 2" xfId="44957"/>
    <cellStyle name="Обычный 337 2 2 8 4" xfId="37630"/>
    <cellStyle name="Обычный 337 2 2 8 5" xfId="22818"/>
    <cellStyle name="Обычный 337 2 2 9" xfId="24641"/>
    <cellStyle name="Обычный 337 2 2 9 2" xfId="31952"/>
    <cellStyle name="Обычный 337 2 2 9 2 2" xfId="46775"/>
    <cellStyle name="Обычный 337 2 2 9 3" xfId="39563"/>
    <cellStyle name="Обычный 337 2 3" xfId="17203"/>
    <cellStyle name="Обычный 337 2 3 10" xfId="35920"/>
    <cellStyle name="Обычный 337 2 3 11" xfId="20994"/>
    <cellStyle name="Обычный 337 2 3 2" xfId="17360"/>
    <cellStyle name="Обычный 337 2 3 2 10" xfId="21050"/>
    <cellStyle name="Обычный 337 2 3 2 2" xfId="17475"/>
    <cellStyle name="Обычный 337 2 3 2 2 2" xfId="17925"/>
    <cellStyle name="Обычный 337 2 3 2 2 2 2" xfId="19039"/>
    <cellStyle name="Обычный 337 2 3 2 2 2 2 2" xfId="20918"/>
    <cellStyle name="Обычный 337 2 3 2 2 2 2 2 2" xfId="24586"/>
    <cellStyle name="Обычный 337 2 3 2 2 2 2 2 2 2" xfId="28244"/>
    <cellStyle name="Обычный 337 2 3 2 2 2 2 2 2 2 2" xfId="35555"/>
    <cellStyle name="Обычный 337 2 3 2 2 2 2 2 2 2 2 2" xfId="50375"/>
    <cellStyle name="Обычный 337 2 3 2 2 2 2 2 2 2 3" xfId="43083"/>
    <cellStyle name="Обычный 337 2 3 2 2 2 2 2 2 3" xfId="31901"/>
    <cellStyle name="Обычный 337 2 3 2 2 2 2 2 2 3 2" xfId="46724"/>
    <cellStyle name="Обычный 337 2 3 2 2 2 2 2 2 4" xfId="39518"/>
    <cellStyle name="Обычный 337 2 3 2 2 2 2 2 3" xfId="26418"/>
    <cellStyle name="Обычный 337 2 3 2 2 2 2 2 3 2" xfId="33729"/>
    <cellStyle name="Обычный 337 2 3 2 2 2 2 2 3 2 2" xfId="48549"/>
    <cellStyle name="Обычный 337 2 3 2 2 2 2 2 3 3" xfId="41262"/>
    <cellStyle name="Обычный 337 2 3 2 2 2 2 2 4" xfId="30075"/>
    <cellStyle name="Обычный 337 2 3 2 2 2 2 2 4 2" xfId="44899"/>
    <cellStyle name="Обычный 337 2 3 2 2 2 2 2 5" xfId="39399"/>
    <cellStyle name="Обычный 337 2 3 2 2 2 2 2 6" xfId="22757"/>
    <cellStyle name="Обычный 337 2 3 2 2 2 2 3" xfId="19969"/>
    <cellStyle name="Обычный 337 2 3 2 2 2 2 3 2" xfId="27338"/>
    <cellStyle name="Обычный 337 2 3 2 2 2 2 3 2 2" xfId="34649"/>
    <cellStyle name="Обычный 337 2 3 2 2 2 2 3 2 2 2" xfId="49469"/>
    <cellStyle name="Обычный 337 2 3 2 2 2 2 3 2 3" xfId="42178"/>
    <cellStyle name="Обычный 337 2 3 2 2 2 2 3 3" xfId="30995"/>
    <cellStyle name="Обычный 337 2 3 2 2 2 2 3 3 2" xfId="45818"/>
    <cellStyle name="Обычный 337 2 3 2 2 2 2 3 4" xfId="38492"/>
    <cellStyle name="Обычный 337 2 3 2 2 2 2 3 5" xfId="23680"/>
    <cellStyle name="Обычный 337 2 3 2 2 2 2 4" xfId="25497"/>
    <cellStyle name="Обычный 337 2 3 2 2 2 2 4 2" xfId="32808"/>
    <cellStyle name="Обычный 337 2 3 2 2 2 2 4 2 2" xfId="47631"/>
    <cellStyle name="Обычный 337 2 3 2 2 2 2 4 3" xfId="40385"/>
    <cellStyle name="Обычный 337 2 3 2 2 2 2 5" xfId="29154"/>
    <cellStyle name="Обычный 337 2 3 2 2 2 2 5 2" xfId="43991"/>
    <cellStyle name="Обычный 337 2 3 2 2 2 2 6" xfId="36372"/>
    <cellStyle name="Обычный 337 2 3 2 2 2 2 7" xfId="21836"/>
    <cellStyle name="Обычный 337 2 3 2 2 2 3" xfId="18500"/>
    <cellStyle name="Обычный 337 2 3 2 2 2 3 2" xfId="20382"/>
    <cellStyle name="Обычный 337 2 3 2 2 2 3 2 2" xfId="27708"/>
    <cellStyle name="Обычный 337 2 3 2 2 2 3 2 2 2" xfId="35019"/>
    <cellStyle name="Обычный 337 2 3 2 2 2 3 2 2 2 2" xfId="49839"/>
    <cellStyle name="Обычный 337 2 3 2 2 2 3 2 2 3" xfId="42547"/>
    <cellStyle name="Обычный 337 2 3 2 2 2 3 2 3" xfId="31365"/>
    <cellStyle name="Обычный 337 2 3 2 2 2 3 2 3 2" xfId="46188"/>
    <cellStyle name="Обычный 337 2 3 2 2 2 3 2 4" xfId="38863"/>
    <cellStyle name="Обычный 337 2 3 2 2 2 3 2 5" xfId="24050"/>
    <cellStyle name="Обычный 337 2 3 2 2 2 3 3" xfId="25882"/>
    <cellStyle name="Обычный 337 2 3 2 2 2 3 3 2" xfId="33193"/>
    <cellStyle name="Обычный 337 2 3 2 2 2 3 3 2 2" xfId="48013"/>
    <cellStyle name="Обычный 337 2 3 2 2 2 3 3 3" xfId="40729"/>
    <cellStyle name="Обычный 337 2 3 2 2 2 3 4" xfId="29539"/>
    <cellStyle name="Обычный 337 2 3 2 2 2 3 4 2" xfId="44363"/>
    <cellStyle name="Обычный 337 2 3 2 2 2 3 5" xfId="37140"/>
    <cellStyle name="Обычный 337 2 3 2 2 2 3 6" xfId="22221"/>
    <cellStyle name="Обычный 337 2 3 2 2 2 4" xfId="19518"/>
    <cellStyle name="Обычный 337 2 3 2 2 2 4 2" xfId="26888"/>
    <cellStyle name="Обычный 337 2 3 2 2 2 4 2 2" xfId="34199"/>
    <cellStyle name="Обычный 337 2 3 2 2 2 4 2 2 2" xfId="49019"/>
    <cellStyle name="Обычный 337 2 3 2 2 2 4 2 3" xfId="41728"/>
    <cellStyle name="Обычный 337 2 3 2 2 2 4 3" xfId="30545"/>
    <cellStyle name="Обычный 337 2 3 2 2 2 4 3 2" xfId="45368"/>
    <cellStyle name="Обычный 337 2 3 2 2 2 4 4" xfId="38042"/>
    <cellStyle name="Обычный 337 2 3 2 2 2 4 5" xfId="23230"/>
    <cellStyle name="Обычный 337 2 3 2 2 2 5" xfId="25047"/>
    <cellStyle name="Обычный 337 2 3 2 2 2 5 2" xfId="32358"/>
    <cellStyle name="Обычный 337 2 3 2 2 2 5 2 2" xfId="47181"/>
    <cellStyle name="Обычный 337 2 3 2 2 2 5 3" xfId="39942"/>
    <cellStyle name="Обычный 337 2 3 2 2 2 6" xfId="28704"/>
    <cellStyle name="Обычный 337 2 3 2 2 2 6 2" xfId="43541"/>
    <cellStyle name="Обычный 337 2 3 2 2 2 7" xfId="35923"/>
    <cellStyle name="Обычный 337 2 3 2 2 2 8" xfId="21386"/>
    <cellStyle name="Обычный 337 2 3 2 2 3" xfId="17701"/>
    <cellStyle name="Обычный 337 2 3 2 2 3 2" xfId="18815"/>
    <cellStyle name="Обычный 337 2 3 2 2 3 2 2" xfId="20694"/>
    <cellStyle name="Обычный 337 2 3 2 2 3 2 2 2" xfId="28020"/>
    <cellStyle name="Обычный 337 2 3 2 2 3 2 2 2 2" xfId="35331"/>
    <cellStyle name="Обычный 337 2 3 2 2 3 2 2 2 2 2" xfId="50151"/>
    <cellStyle name="Обычный 337 2 3 2 2 3 2 2 2 3" xfId="42859"/>
    <cellStyle name="Обычный 337 2 3 2 2 3 2 2 3" xfId="31677"/>
    <cellStyle name="Обычный 337 2 3 2 2 3 2 2 3 2" xfId="46500"/>
    <cellStyle name="Обычный 337 2 3 2 2 3 2 2 4" xfId="39175"/>
    <cellStyle name="Обычный 337 2 3 2 2 3 2 2 5" xfId="24362"/>
    <cellStyle name="Обычный 337 2 3 2 2 3 2 3" xfId="26194"/>
    <cellStyle name="Обычный 337 2 3 2 2 3 2 3 2" xfId="33505"/>
    <cellStyle name="Обычный 337 2 3 2 2 3 2 3 2 2" xfId="48325"/>
    <cellStyle name="Обычный 337 2 3 2 2 3 2 3 3" xfId="41038"/>
    <cellStyle name="Обычный 337 2 3 2 2 3 2 4" xfId="29851"/>
    <cellStyle name="Обычный 337 2 3 2 2 3 2 4 2" xfId="44675"/>
    <cellStyle name="Обычный 337 2 3 2 2 3 2 5" xfId="37452"/>
    <cellStyle name="Обычный 337 2 3 2 2 3 2 6" xfId="22533"/>
    <cellStyle name="Обычный 337 2 3 2 2 3 3" xfId="19745"/>
    <cellStyle name="Обычный 337 2 3 2 2 3 3 2" xfId="27114"/>
    <cellStyle name="Обычный 337 2 3 2 2 3 3 2 2" xfId="34425"/>
    <cellStyle name="Обычный 337 2 3 2 2 3 3 2 2 2" xfId="49245"/>
    <cellStyle name="Обычный 337 2 3 2 2 3 3 2 3" xfId="41954"/>
    <cellStyle name="Обычный 337 2 3 2 2 3 3 3" xfId="30771"/>
    <cellStyle name="Обычный 337 2 3 2 2 3 3 3 2" xfId="45594"/>
    <cellStyle name="Обычный 337 2 3 2 2 3 3 4" xfId="38268"/>
    <cellStyle name="Обычный 337 2 3 2 2 3 3 5" xfId="23456"/>
    <cellStyle name="Обычный 337 2 3 2 2 3 4" xfId="25273"/>
    <cellStyle name="Обычный 337 2 3 2 2 3 4 2" xfId="32584"/>
    <cellStyle name="Обычный 337 2 3 2 2 3 4 2 2" xfId="47407"/>
    <cellStyle name="Обычный 337 2 3 2 2 3 4 3" xfId="40165"/>
    <cellStyle name="Обычный 337 2 3 2 2 3 5" xfId="28930"/>
    <cellStyle name="Обычный 337 2 3 2 2 3 5 2" xfId="43767"/>
    <cellStyle name="Обычный 337 2 3 2 2 3 6" xfId="36371"/>
    <cellStyle name="Обычный 337 2 3 2 2 3 7" xfId="21612"/>
    <cellStyle name="Обычный 337 2 3 2 2 4" xfId="18499"/>
    <cellStyle name="Обычный 337 2 3 2 2 4 2" xfId="20381"/>
    <cellStyle name="Обычный 337 2 3 2 2 4 2 2" xfId="27707"/>
    <cellStyle name="Обычный 337 2 3 2 2 4 2 2 2" xfId="35018"/>
    <cellStyle name="Обычный 337 2 3 2 2 4 2 2 2 2" xfId="49838"/>
    <cellStyle name="Обычный 337 2 3 2 2 4 2 2 3" xfId="42546"/>
    <cellStyle name="Обычный 337 2 3 2 2 4 2 3" xfId="31364"/>
    <cellStyle name="Обычный 337 2 3 2 2 4 2 3 2" xfId="46187"/>
    <cellStyle name="Обычный 337 2 3 2 2 4 2 4" xfId="38862"/>
    <cellStyle name="Обычный 337 2 3 2 2 4 2 5" xfId="24049"/>
    <cellStyle name="Обычный 337 2 3 2 2 4 3" xfId="25881"/>
    <cellStyle name="Обычный 337 2 3 2 2 4 3 2" xfId="33192"/>
    <cellStyle name="Обычный 337 2 3 2 2 4 3 2 2" xfId="48012"/>
    <cellStyle name="Обычный 337 2 3 2 2 4 3 3" xfId="40728"/>
    <cellStyle name="Обычный 337 2 3 2 2 4 4" xfId="29538"/>
    <cellStyle name="Обычный 337 2 3 2 2 4 4 2" xfId="44362"/>
    <cellStyle name="Обычный 337 2 3 2 2 4 5" xfId="37139"/>
    <cellStyle name="Обычный 337 2 3 2 2 4 6" xfId="22220"/>
    <cellStyle name="Обычный 337 2 3 2 2 5" xfId="19294"/>
    <cellStyle name="Обычный 337 2 3 2 2 5 2" xfId="26664"/>
    <cellStyle name="Обычный 337 2 3 2 2 5 2 2" xfId="33975"/>
    <cellStyle name="Обычный 337 2 3 2 2 5 2 2 2" xfId="48795"/>
    <cellStyle name="Обычный 337 2 3 2 2 5 2 3" xfId="41504"/>
    <cellStyle name="Обычный 337 2 3 2 2 5 3" xfId="30321"/>
    <cellStyle name="Обычный 337 2 3 2 2 5 3 2" xfId="45144"/>
    <cellStyle name="Обычный 337 2 3 2 2 5 4" xfId="37818"/>
    <cellStyle name="Обычный 337 2 3 2 2 5 5" xfId="23006"/>
    <cellStyle name="Обычный 337 2 3 2 2 6" xfId="24823"/>
    <cellStyle name="Обычный 337 2 3 2 2 6 2" xfId="32134"/>
    <cellStyle name="Обычный 337 2 3 2 2 6 2 2" xfId="46957"/>
    <cellStyle name="Обычный 337 2 3 2 2 6 3" xfId="39722"/>
    <cellStyle name="Обычный 337 2 3 2 2 7" xfId="28480"/>
    <cellStyle name="Обычный 337 2 3 2 2 7 2" xfId="43317"/>
    <cellStyle name="Обычный 337 2 3 2 2 8" xfId="35922"/>
    <cellStyle name="Обычный 337 2 3 2 2 9" xfId="21162"/>
    <cellStyle name="Обычный 337 2 3 2 3" xfId="17813"/>
    <cellStyle name="Обычный 337 2 3 2 3 2" xfId="18927"/>
    <cellStyle name="Обычный 337 2 3 2 3 2 2" xfId="20806"/>
    <cellStyle name="Обычный 337 2 3 2 3 2 2 2" xfId="24474"/>
    <cellStyle name="Обычный 337 2 3 2 3 2 2 2 2" xfId="28132"/>
    <cellStyle name="Обычный 337 2 3 2 3 2 2 2 2 2" xfId="35443"/>
    <cellStyle name="Обычный 337 2 3 2 3 2 2 2 2 2 2" xfId="50263"/>
    <cellStyle name="Обычный 337 2 3 2 3 2 2 2 2 3" xfId="42971"/>
    <cellStyle name="Обычный 337 2 3 2 3 2 2 2 3" xfId="31789"/>
    <cellStyle name="Обычный 337 2 3 2 3 2 2 2 3 2" xfId="46612"/>
    <cellStyle name="Обычный 337 2 3 2 3 2 2 2 4" xfId="39438"/>
    <cellStyle name="Обычный 337 2 3 2 3 2 2 3" xfId="26306"/>
    <cellStyle name="Обычный 337 2 3 2 3 2 2 3 2" xfId="33617"/>
    <cellStyle name="Обычный 337 2 3 2 3 2 2 3 2 2" xfId="48437"/>
    <cellStyle name="Обычный 337 2 3 2 3 2 2 3 3" xfId="41150"/>
    <cellStyle name="Обычный 337 2 3 2 3 2 2 4" xfId="29963"/>
    <cellStyle name="Обычный 337 2 3 2 3 2 2 4 2" xfId="44787"/>
    <cellStyle name="Обычный 337 2 3 2 3 2 2 5" xfId="39287"/>
    <cellStyle name="Обычный 337 2 3 2 3 2 2 6" xfId="22645"/>
    <cellStyle name="Обычный 337 2 3 2 3 2 3" xfId="19857"/>
    <cellStyle name="Обычный 337 2 3 2 3 2 3 2" xfId="27226"/>
    <cellStyle name="Обычный 337 2 3 2 3 2 3 2 2" xfId="34537"/>
    <cellStyle name="Обычный 337 2 3 2 3 2 3 2 2 2" xfId="49357"/>
    <cellStyle name="Обычный 337 2 3 2 3 2 3 2 3" xfId="42066"/>
    <cellStyle name="Обычный 337 2 3 2 3 2 3 3" xfId="30883"/>
    <cellStyle name="Обычный 337 2 3 2 3 2 3 3 2" xfId="45706"/>
    <cellStyle name="Обычный 337 2 3 2 3 2 3 4" xfId="38380"/>
    <cellStyle name="Обычный 337 2 3 2 3 2 3 5" xfId="23568"/>
    <cellStyle name="Обычный 337 2 3 2 3 2 4" xfId="25385"/>
    <cellStyle name="Обычный 337 2 3 2 3 2 4 2" xfId="32696"/>
    <cellStyle name="Обычный 337 2 3 2 3 2 4 2 2" xfId="47519"/>
    <cellStyle name="Обычный 337 2 3 2 3 2 4 3" xfId="40273"/>
    <cellStyle name="Обычный 337 2 3 2 3 2 5" xfId="29042"/>
    <cellStyle name="Обычный 337 2 3 2 3 2 5 2" xfId="43879"/>
    <cellStyle name="Обычный 337 2 3 2 3 2 6" xfId="36373"/>
    <cellStyle name="Обычный 337 2 3 2 3 2 7" xfId="21724"/>
    <cellStyle name="Обычный 337 2 3 2 3 3" xfId="18501"/>
    <cellStyle name="Обычный 337 2 3 2 3 3 2" xfId="20383"/>
    <cellStyle name="Обычный 337 2 3 2 3 3 2 2" xfId="27709"/>
    <cellStyle name="Обычный 337 2 3 2 3 3 2 2 2" xfId="35020"/>
    <cellStyle name="Обычный 337 2 3 2 3 3 2 2 2 2" xfId="49840"/>
    <cellStyle name="Обычный 337 2 3 2 3 3 2 2 3" xfId="42548"/>
    <cellStyle name="Обычный 337 2 3 2 3 3 2 3" xfId="31366"/>
    <cellStyle name="Обычный 337 2 3 2 3 3 2 3 2" xfId="46189"/>
    <cellStyle name="Обычный 337 2 3 2 3 3 2 4" xfId="38864"/>
    <cellStyle name="Обычный 337 2 3 2 3 3 2 5" xfId="24051"/>
    <cellStyle name="Обычный 337 2 3 2 3 3 3" xfId="25883"/>
    <cellStyle name="Обычный 337 2 3 2 3 3 3 2" xfId="33194"/>
    <cellStyle name="Обычный 337 2 3 2 3 3 3 2 2" xfId="48014"/>
    <cellStyle name="Обычный 337 2 3 2 3 3 3 3" xfId="40730"/>
    <cellStyle name="Обычный 337 2 3 2 3 3 4" xfId="29540"/>
    <cellStyle name="Обычный 337 2 3 2 3 3 4 2" xfId="44364"/>
    <cellStyle name="Обычный 337 2 3 2 3 3 5" xfId="37141"/>
    <cellStyle name="Обычный 337 2 3 2 3 3 6" xfId="22222"/>
    <cellStyle name="Обычный 337 2 3 2 3 4" xfId="19406"/>
    <cellStyle name="Обычный 337 2 3 2 3 4 2" xfId="26776"/>
    <cellStyle name="Обычный 337 2 3 2 3 4 2 2" xfId="34087"/>
    <cellStyle name="Обычный 337 2 3 2 3 4 2 2 2" xfId="48907"/>
    <cellStyle name="Обычный 337 2 3 2 3 4 2 3" xfId="41616"/>
    <cellStyle name="Обычный 337 2 3 2 3 4 3" xfId="30433"/>
    <cellStyle name="Обычный 337 2 3 2 3 4 3 2" xfId="45256"/>
    <cellStyle name="Обычный 337 2 3 2 3 4 4" xfId="37930"/>
    <cellStyle name="Обычный 337 2 3 2 3 4 5" xfId="23118"/>
    <cellStyle name="Обычный 337 2 3 2 3 5" xfId="24935"/>
    <cellStyle name="Обычный 337 2 3 2 3 5 2" xfId="32246"/>
    <cellStyle name="Обычный 337 2 3 2 3 5 2 2" xfId="47069"/>
    <cellStyle name="Обычный 337 2 3 2 3 5 3" xfId="39830"/>
    <cellStyle name="Обычный 337 2 3 2 3 6" xfId="28592"/>
    <cellStyle name="Обычный 337 2 3 2 3 6 2" xfId="43429"/>
    <cellStyle name="Обычный 337 2 3 2 3 7" xfId="35924"/>
    <cellStyle name="Обычный 337 2 3 2 3 8" xfId="21274"/>
    <cellStyle name="Обычный 337 2 3 2 4" xfId="17589"/>
    <cellStyle name="Обычный 337 2 3 2 4 2" xfId="18703"/>
    <cellStyle name="Обычный 337 2 3 2 4 2 2" xfId="20582"/>
    <cellStyle name="Обычный 337 2 3 2 4 2 2 2" xfId="27908"/>
    <cellStyle name="Обычный 337 2 3 2 4 2 2 2 2" xfId="35219"/>
    <cellStyle name="Обычный 337 2 3 2 4 2 2 2 2 2" xfId="50039"/>
    <cellStyle name="Обычный 337 2 3 2 4 2 2 2 3" xfId="42747"/>
    <cellStyle name="Обычный 337 2 3 2 4 2 2 3" xfId="31565"/>
    <cellStyle name="Обычный 337 2 3 2 4 2 2 3 2" xfId="46388"/>
    <cellStyle name="Обычный 337 2 3 2 4 2 2 4" xfId="39063"/>
    <cellStyle name="Обычный 337 2 3 2 4 2 2 5" xfId="24250"/>
    <cellStyle name="Обычный 337 2 3 2 4 2 3" xfId="26082"/>
    <cellStyle name="Обычный 337 2 3 2 4 2 3 2" xfId="33393"/>
    <cellStyle name="Обычный 337 2 3 2 4 2 3 2 2" xfId="48213"/>
    <cellStyle name="Обычный 337 2 3 2 4 2 3 3" xfId="40926"/>
    <cellStyle name="Обычный 337 2 3 2 4 2 4" xfId="29739"/>
    <cellStyle name="Обычный 337 2 3 2 4 2 4 2" xfId="44563"/>
    <cellStyle name="Обычный 337 2 3 2 4 2 5" xfId="37340"/>
    <cellStyle name="Обычный 337 2 3 2 4 2 6" xfId="22421"/>
    <cellStyle name="Обычный 337 2 3 2 4 3" xfId="19633"/>
    <cellStyle name="Обычный 337 2 3 2 4 3 2" xfId="27002"/>
    <cellStyle name="Обычный 337 2 3 2 4 3 2 2" xfId="34313"/>
    <cellStyle name="Обычный 337 2 3 2 4 3 2 2 2" xfId="49133"/>
    <cellStyle name="Обычный 337 2 3 2 4 3 2 3" xfId="41842"/>
    <cellStyle name="Обычный 337 2 3 2 4 3 3" xfId="30659"/>
    <cellStyle name="Обычный 337 2 3 2 4 3 3 2" xfId="45482"/>
    <cellStyle name="Обычный 337 2 3 2 4 3 4" xfId="38156"/>
    <cellStyle name="Обычный 337 2 3 2 4 3 5" xfId="23344"/>
    <cellStyle name="Обычный 337 2 3 2 4 4" xfId="25161"/>
    <cellStyle name="Обычный 337 2 3 2 4 4 2" xfId="32472"/>
    <cellStyle name="Обычный 337 2 3 2 4 4 2 2" xfId="47295"/>
    <cellStyle name="Обычный 337 2 3 2 4 4 3" xfId="40055"/>
    <cellStyle name="Обычный 337 2 3 2 4 5" xfId="28818"/>
    <cellStyle name="Обычный 337 2 3 2 4 5 2" xfId="43655"/>
    <cellStyle name="Обычный 337 2 3 2 4 6" xfId="36370"/>
    <cellStyle name="Обычный 337 2 3 2 4 7" xfId="21500"/>
    <cellStyle name="Обычный 337 2 3 2 5" xfId="18498"/>
    <cellStyle name="Обычный 337 2 3 2 5 2" xfId="20380"/>
    <cellStyle name="Обычный 337 2 3 2 5 2 2" xfId="27706"/>
    <cellStyle name="Обычный 337 2 3 2 5 2 2 2" xfId="35017"/>
    <cellStyle name="Обычный 337 2 3 2 5 2 2 2 2" xfId="49837"/>
    <cellStyle name="Обычный 337 2 3 2 5 2 2 3" xfId="42545"/>
    <cellStyle name="Обычный 337 2 3 2 5 2 3" xfId="31363"/>
    <cellStyle name="Обычный 337 2 3 2 5 2 3 2" xfId="46186"/>
    <cellStyle name="Обычный 337 2 3 2 5 2 4" xfId="38861"/>
    <cellStyle name="Обычный 337 2 3 2 5 2 5" xfId="24048"/>
    <cellStyle name="Обычный 337 2 3 2 5 3" xfId="25880"/>
    <cellStyle name="Обычный 337 2 3 2 5 3 2" xfId="33191"/>
    <cellStyle name="Обычный 337 2 3 2 5 3 2 2" xfId="48011"/>
    <cellStyle name="Обычный 337 2 3 2 5 3 3" xfId="40727"/>
    <cellStyle name="Обычный 337 2 3 2 5 4" xfId="29537"/>
    <cellStyle name="Обычный 337 2 3 2 5 4 2" xfId="44361"/>
    <cellStyle name="Обычный 337 2 3 2 5 5" xfId="37138"/>
    <cellStyle name="Обычный 337 2 3 2 5 6" xfId="22219"/>
    <cellStyle name="Обычный 337 2 3 2 6" xfId="19184"/>
    <cellStyle name="Обычный 337 2 3 2 6 2" xfId="26555"/>
    <cellStyle name="Обычный 337 2 3 2 6 2 2" xfId="33866"/>
    <cellStyle name="Обычный 337 2 3 2 6 2 2 2" xfId="48686"/>
    <cellStyle name="Обычный 337 2 3 2 6 2 3" xfId="41395"/>
    <cellStyle name="Обычный 337 2 3 2 6 3" xfId="30212"/>
    <cellStyle name="Обычный 337 2 3 2 6 3 2" xfId="45035"/>
    <cellStyle name="Обычный 337 2 3 2 6 4" xfId="37709"/>
    <cellStyle name="Обычный 337 2 3 2 6 5" xfId="22897"/>
    <cellStyle name="Обычный 337 2 3 2 7" xfId="24711"/>
    <cellStyle name="Обычный 337 2 3 2 7 2" xfId="32022"/>
    <cellStyle name="Обычный 337 2 3 2 7 2 2" xfId="46845"/>
    <cellStyle name="Обычный 337 2 3 2 7 3" xfId="39617"/>
    <cellStyle name="Обычный 337 2 3 2 8" xfId="28368"/>
    <cellStyle name="Обычный 337 2 3 2 8 2" xfId="43205"/>
    <cellStyle name="Обычный 337 2 3 2 9" xfId="35921"/>
    <cellStyle name="Обычный 337 2 3 3" xfId="17419"/>
    <cellStyle name="Обычный 337 2 3 3 2" xfId="17869"/>
    <cellStyle name="Обычный 337 2 3 3 2 2" xfId="18983"/>
    <cellStyle name="Обычный 337 2 3 3 2 2 2" xfId="20862"/>
    <cellStyle name="Обычный 337 2 3 3 2 2 2 2" xfId="24530"/>
    <cellStyle name="Обычный 337 2 3 3 2 2 2 2 2" xfId="28188"/>
    <cellStyle name="Обычный 337 2 3 3 2 2 2 2 2 2" xfId="35499"/>
    <cellStyle name="Обычный 337 2 3 3 2 2 2 2 2 2 2" xfId="50319"/>
    <cellStyle name="Обычный 337 2 3 3 2 2 2 2 2 3" xfId="43027"/>
    <cellStyle name="Обычный 337 2 3 3 2 2 2 2 3" xfId="31845"/>
    <cellStyle name="Обычный 337 2 3 3 2 2 2 2 3 2" xfId="46668"/>
    <cellStyle name="Обычный 337 2 3 3 2 2 2 2 4" xfId="39470"/>
    <cellStyle name="Обычный 337 2 3 3 2 2 2 3" xfId="26362"/>
    <cellStyle name="Обычный 337 2 3 3 2 2 2 3 2" xfId="33673"/>
    <cellStyle name="Обычный 337 2 3 3 2 2 2 3 2 2" xfId="48493"/>
    <cellStyle name="Обычный 337 2 3 3 2 2 2 3 3" xfId="41206"/>
    <cellStyle name="Обычный 337 2 3 3 2 2 2 4" xfId="30019"/>
    <cellStyle name="Обычный 337 2 3 3 2 2 2 4 2" xfId="44843"/>
    <cellStyle name="Обычный 337 2 3 3 2 2 2 5" xfId="39343"/>
    <cellStyle name="Обычный 337 2 3 3 2 2 2 6" xfId="22701"/>
    <cellStyle name="Обычный 337 2 3 3 2 2 3" xfId="19913"/>
    <cellStyle name="Обычный 337 2 3 3 2 2 3 2" xfId="27282"/>
    <cellStyle name="Обычный 337 2 3 3 2 2 3 2 2" xfId="34593"/>
    <cellStyle name="Обычный 337 2 3 3 2 2 3 2 2 2" xfId="49413"/>
    <cellStyle name="Обычный 337 2 3 3 2 2 3 2 3" xfId="42122"/>
    <cellStyle name="Обычный 337 2 3 3 2 2 3 3" xfId="30939"/>
    <cellStyle name="Обычный 337 2 3 3 2 2 3 3 2" xfId="45762"/>
    <cellStyle name="Обычный 337 2 3 3 2 2 3 4" xfId="38436"/>
    <cellStyle name="Обычный 337 2 3 3 2 2 3 5" xfId="23624"/>
    <cellStyle name="Обычный 337 2 3 3 2 2 4" xfId="25441"/>
    <cellStyle name="Обычный 337 2 3 3 2 2 4 2" xfId="32752"/>
    <cellStyle name="Обычный 337 2 3 3 2 2 4 2 2" xfId="47575"/>
    <cellStyle name="Обычный 337 2 3 3 2 2 4 3" xfId="40329"/>
    <cellStyle name="Обычный 337 2 3 3 2 2 5" xfId="29098"/>
    <cellStyle name="Обычный 337 2 3 3 2 2 5 2" xfId="43935"/>
    <cellStyle name="Обычный 337 2 3 3 2 2 6" xfId="36375"/>
    <cellStyle name="Обычный 337 2 3 3 2 2 7" xfId="21780"/>
    <cellStyle name="Обычный 337 2 3 3 2 3" xfId="18503"/>
    <cellStyle name="Обычный 337 2 3 3 2 3 2" xfId="20385"/>
    <cellStyle name="Обычный 337 2 3 3 2 3 2 2" xfId="27711"/>
    <cellStyle name="Обычный 337 2 3 3 2 3 2 2 2" xfId="35022"/>
    <cellStyle name="Обычный 337 2 3 3 2 3 2 2 2 2" xfId="49842"/>
    <cellStyle name="Обычный 337 2 3 3 2 3 2 2 3" xfId="42550"/>
    <cellStyle name="Обычный 337 2 3 3 2 3 2 3" xfId="31368"/>
    <cellStyle name="Обычный 337 2 3 3 2 3 2 3 2" xfId="46191"/>
    <cellStyle name="Обычный 337 2 3 3 2 3 2 4" xfId="38866"/>
    <cellStyle name="Обычный 337 2 3 3 2 3 2 5" xfId="24053"/>
    <cellStyle name="Обычный 337 2 3 3 2 3 3" xfId="25885"/>
    <cellStyle name="Обычный 337 2 3 3 2 3 3 2" xfId="33196"/>
    <cellStyle name="Обычный 337 2 3 3 2 3 3 2 2" xfId="48016"/>
    <cellStyle name="Обычный 337 2 3 3 2 3 3 3" xfId="40732"/>
    <cellStyle name="Обычный 337 2 3 3 2 3 4" xfId="29542"/>
    <cellStyle name="Обычный 337 2 3 3 2 3 4 2" xfId="44366"/>
    <cellStyle name="Обычный 337 2 3 3 2 3 5" xfId="37143"/>
    <cellStyle name="Обычный 337 2 3 3 2 3 6" xfId="22224"/>
    <cellStyle name="Обычный 337 2 3 3 2 4" xfId="19462"/>
    <cellStyle name="Обычный 337 2 3 3 2 4 2" xfId="26832"/>
    <cellStyle name="Обычный 337 2 3 3 2 4 2 2" xfId="34143"/>
    <cellStyle name="Обычный 337 2 3 3 2 4 2 2 2" xfId="48963"/>
    <cellStyle name="Обычный 337 2 3 3 2 4 2 3" xfId="41672"/>
    <cellStyle name="Обычный 337 2 3 3 2 4 3" xfId="30489"/>
    <cellStyle name="Обычный 337 2 3 3 2 4 3 2" xfId="45312"/>
    <cellStyle name="Обычный 337 2 3 3 2 4 4" xfId="37986"/>
    <cellStyle name="Обычный 337 2 3 3 2 4 5" xfId="23174"/>
    <cellStyle name="Обычный 337 2 3 3 2 5" xfId="24991"/>
    <cellStyle name="Обычный 337 2 3 3 2 5 2" xfId="32302"/>
    <cellStyle name="Обычный 337 2 3 3 2 5 2 2" xfId="47125"/>
    <cellStyle name="Обычный 337 2 3 3 2 5 3" xfId="39886"/>
    <cellStyle name="Обычный 337 2 3 3 2 6" xfId="28648"/>
    <cellStyle name="Обычный 337 2 3 3 2 6 2" xfId="43485"/>
    <cellStyle name="Обычный 337 2 3 3 2 7" xfId="35926"/>
    <cellStyle name="Обычный 337 2 3 3 2 8" xfId="21330"/>
    <cellStyle name="Обычный 337 2 3 3 3" xfId="17645"/>
    <cellStyle name="Обычный 337 2 3 3 3 2" xfId="18759"/>
    <cellStyle name="Обычный 337 2 3 3 3 2 2" xfId="20638"/>
    <cellStyle name="Обычный 337 2 3 3 3 2 2 2" xfId="27964"/>
    <cellStyle name="Обычный 337 2 3 3 3 2 2 2 2" xfId="35275"/>
    <cellStyle name="Обычный 337 2 3 3 3 2 2 2 2 2" xfId="50095"/>
    <cellStyle name="Обычный 337 2 3 3 3 2 2 2 3" xfId="42803"/>
    <cellStyle name="Обычный 337 2 3 3 3 2 2 3" xfId="31621"/>
    <cellStyle name="Обычный 337 2 3 3 3 2 2 3 2" xfId="46444"/>
    <cellStyle name="Обычный 337 2 3 3 3 2 2 4" xfId="39119"/>
    <cellStyle name="Обычный 337 2 3 3 3 2 2 5" xfId="24306"/>
    <cellStyle name="Обычный 337 2 3 3 3 2 3" xfId="26138"/>
    <cellStyle name="Обычный 337 2 3 3 3 2 3 2" xfId="33449"/>
    <cellStyle name="Обычный 337 2 3 3 3 2 3 2 2" xfId="48269"/>
    <cellStyle name="Обычный 337 2 3 3 3 2 3 3" xfId="40982"/>
    <cellStyle name="Обычный 337 2 3 3 3 2 4" xfId="29795"/>
    <cellStyle name="Обычный 337 2 3 3 3 2 4 2" xfId="44619"/>
    <cellStyle name="Обычный 337 2 3 3 3 2 5" xfId="37396"/>
    <cellStyle name="Обычный 337 2 3 3 3 2 6" xfId="22477"/>
    <cellStyle name="Обычный 337 2 3 3 3 3" xfId="19689"/>
    <cellStyle name="Обычный 337 2 3 3 3 3 2" xfId="27058"/>
    <cellStyle name="Обычный 337 2 3 3 3 3 2 2" xfId="34369"/>
    <cellStyle name="Обычный 337 2 3 3 3 3 2 2 2" xfId="49189"/>
    <cellStyle name="Обычный 337 2 3 3 3 3 2 3" xfId="41898"/>
    <cellStyle name="Обычный 337 2 3 3 3 3 3" xfId="30715"/>
    <cellStyle name="Обычный 337 2 3 3 3 3 3 2" xfId="45538"/>
    <cellStyle name="Обычный 337 2 3 3 3 3 4" xfId="38212"/>
    <cellStyle name="Обычный 337 2 3 3 3 3 5" xfId="23400"/>
    <cellStyle name="Обычный 337 2 3 3 3 4" xfId="25217"/>
    <cellStyle name="Обычный 337 2 3 3 3 4 2" xfId="32528"/>
    <cellStyle name="Обычный 337 2 3 3 3 4 2 2" xfId="47351"/>
    <cellStyle name="Обычный 337 2 3 3 3 4 3" xfId="40109"/>
    <cellStyle name="Обычный 337 2 3 3 3 5" xfId="28874"/>
    <cellStyle name="Обычный 337 2 3 3 3 5 2" xfId="43711"/>
    <cellStyle name="Обычный 337 2 3 3 3 6" xfId="36374"/>
    <cellStyle name="Обычный 337 2 3 3 3 7" xfId="21556"/>
    <cellStyle name="Обычный 337 2 3 3 4" xfId="18502"/>
    <cellStyle name="Обычный 337 2 3 3 4 2" xfId="20384"/>
    <cellStyle name="Обычный 337 2 3 3 4 2 2" xfId="27710"/>
    <cellStyle name="Обычный 337 2 3 3 4 2 2 2" xfId="35021"/>
    <cellStyle name="Обычный 337 2 3 3 4 2 2 2 2" xfId="49841"/>
    <cellStyle name="Обычный 337 2 3 3 4 2 2 3" xfId="42549"/>
    <cellStyle name="Обычный 337 2 3 3 4 2 3" xfId="31367"/>
    <cellStyle name="Обычный 337 2 3 3 4 2 3 2" xfId="46190"/>
    <cellStyle name="Обычный 337 2 3 3 4 2 4" xfId="38865"/>
    <cellStyle name="Обычный 337 2 3 3 4 2 5" xfId="24052"/>
    <cellStyle name="Обычный 337 2 3 3 4 3" xfId="25884"/>
    <cellStyle name="Обычный 337 2 3 3 4 3 2" xfId="33195"/>
    <cellStyle name="Обычный 337 2 3 3 4 3 2 2" xfId="48015"/>
    <cellStyle name="Обычный 337 2 3 3 4 3 3" xfId="40731"/>
    <cellStyle name="Обычный 337 2 3 3 4 4" xfId="29541"/>
    <cellStyle name="Обычный 337 2 3 3 4 4 2" xfId="44365"/>
    <cellStyle name="Обычный 337 2 3 3 4 5" xfId="37142"/>
    <cellStyle name="Обычный 337 2 3 3 4 6" xfId="22223"/>
    <cellStyle name="Обычный 337 2 3 3 5" xfId="19239"/>
    <cellStyle name="Обычный 337 2 3 3 5 2" xfId="26609"/>
    <cellStyle name="Обычный 337 2 3 3 5 2 2" xfId="33920"/>
    <cellStyle name="Обычный 337 2 3 3 5 2 2 2" xfId="48740"/>
    <cellStyle name="Обычный 337 2 3 3 5 2 3" xfId="41449"/>
    <cellStyle name="Обычный 337 2 3 3 5 3" xfId="30266"/>
    <cellStyle name="Обычный 337 2 3 3 5 3 2" xfId="45089"/>
    <cellStyle name="Обычный 337 2 3 3 5 4" xfId="37763"/>
    <cellStyle name="Обычный 337 2 3 3 5 5" xfId="22951"/>
    <cellStyle name="Обычный 337 2 3 3 6" xfId="24767"/>
    <cellStyle name="Обычный 337 2 3 3 6 2" xfId="32078"/>
    <cellStyle name="Обычный 337 2 3 3 6 2 2" xfId="46901"/>
    <cellStyle name="Обычный 337 2 3 3 6 3" xfId="39669"/>
    <cellStyle name="Обычный 337 2 3 3 7" xfId="28424"/>
    <cellStyle name="Обычный 337 2 3 3 7 2" xfId="43261"/>
    <cellStyle name="Обычный 337 2 3 3 8" xfId="35925"/>
    <cellStyle name="Обычный 337 2 3 3 9" xfId="21106"/>
    <cellStyle name="Обычный 337 2 3 4" xfId="17302"/>
    <cellStyle name="Обычный 337 2 3 4 2" xfId="17757"/>
    <cellStyle name="Обычный 337 2 3 4 2 2" xfId="18871"/>
    <cellStyle name="Обычный 337 2 3 4 2 2 2" xfId="20750"/>
    <cellStyle name="Обычный 337 2 3 4 2 2 2 2" xfId="28076"/>
    <cellStyle name="Обычный 337 2 3 4 2 2 2 2 2" xfId="35387"/>
    <cellStyle name="Обычный 337 2 3 4 2 2 2 2 2 2" xfId="50207"/>
    <cellStyle name="Обычный 337 2 3 4 2 2 2 2 3" xfId="42915"/>
    <cellStyle name="Обычный 337 2 3 4 2 2 2 3" xfId="31733"/>
    <cellStyle name="Обычный 337 2 3 4 2 2 2 3 2" xfId="46556"/>
    <cellStyle name="Обычный 337 2 3 4 2 2 2 4" xfId="39231"/>
    <cellStyle name="Обычный 337 2 3 4 2 2 2 5" xfId="24418"/>
    <cellStyle name="Обычный 337 2 3 4 2 2 3" xfId="26250"/>
    <cellStyle name="Обычный 337 2 3 4 2 2 3 2" xfId="33561"/>
    <cellStyle name="Обычный 337 2 3 4 2 2 3 2 2" xfId="48381"/>
    <cellStyle name="Обычный 337 2 3 4 2 2 3 3" xfId="41094"/>
    <cellStyle name="Обычный 337 2 3 4 2 2 4" xfId="29907"/>
    <cellStyle name="Обычный 337 2 3 4 2 2 4 2" xfId="44731"/>
    <cellStyle name="Обычный 337 2 3 4 2 2 5" xfId="37507"/>
    <cellStyle name="Обычный 337 2 3 4 2 2 6" xfId="22589"/>
    <cellStyle name="Обычный 337 2 3 4 2 3" xfId="19801"/>
    <cellStyle name="Обычный 337 2 3 4 2 3 2" xfId="27170"/>
    <cellStyle name="Обычный 337 2 3 4 2 3 2 2" xfId="34481"/>
    <cellStyle name="Обычный 337 2 3 4 2 3 2 2 2" xfId="49301"/>
    <cellStyle name="Обычный 337 2 3 4 2 3 2 3" xfId="42010"/>
    <cellStyle name="Обычный 337 2 3 4 2 3 3" xfId="30827"/>
    <cellStyle name="Обычный 337 2 3 4 2 3 3 2" xfId="45650"/>
    <cellStyle name="Обычный 337 2 3 4 2 3 4" xfId="38324"/>
    <cellStyle name="Обычный 337 2 3 4 2 3 5" xfId="23512"/>
    <cellStyle name="Обычный 337 2 3 4 2 4" xfId="25329"/>
    <cellStyle name="Обычный 337 2 3 4 2 4 2" xfId="32640"/>
    <cellStyle name="Обычный 337 2 3 4 2 4 2 2" xfId="47463"/>
    <cellStyle name="Обычный 337 2 3 4 2 4 3" xfId="40218"/>
    <cellStyle name="Обычный 337 2 3 4 2 5" xfId="28986"/>
    <cellStyle name="Обычный 337 2 3 4 2 5 2" xfId="43823"/>
    <cellStyle name="Обычный 337 2 3 4 2 6" xfId="36376"/>
    <cellStyle name="Обычный 337 2 3 4 2 7" xfId="21668"/>
    <cellStyle name="Обычный 337 2 3 4 3" xfId="18504"/>
    <cellStyle name="Обычный 337 2 3 4 3 2" xfId="20386"/>
    <cellStyle name="Обычный 337 2 3 4 3 2 2" xfId="27712"/>
    <cellStyle name="Обычный 337 2 3 4 3 2 2 2" xfId="35023"/>
    <cellStyle name="Обычный 337 2 3 4 3 2 2 2 2" xfId="49843"/>
    <cellStyle name="Обычный 337 2 3 4 3 2 2 3" xfId="42551"/>
    <cellStyle name="Обычный 337 2 3 4 3 2 3" xfId="31369"/>
    <cellStyle name="Обычный 337 2 3 4 3 2 3 2" xfId="46192"/>
    <cellStyle name="Обычный 337 2 3 4 3 2 4" xfId="38867"/>
    <cellStyle name="Обычный 337 2 3 4 3 2 5" xfId="24054"/>
    <cellStyle name="Обычный 337 2 3 4 3 3" xfId="25886"/>
    <cellStyle name="Обычный 337 2 3 4 3 3 2" xfId="33197"/>
    <cellStyle name="Обычный 337 2 3 4 3 3 2 2" xfId="48017"/>
    <cellStyle name="Обычный 337 2 3 4 3 3 3" xfId="40733"/>
    <cellStyle name="Обычный 337 2 3 4 3 4" xfId="29543"/>
    <cellStyle name="Обычный 337 2 3 4 3 4 2" xfId="44367"/>
    <cellStyle name="Обычный 337 2 3 4 3 5" xfId="37144"/>
    <cellStyle name="Обычный 337 2 3 4 3 6" xfId="22225"/>
    <cellStyle name="Обычный 337 2 3 4 4" xfId="19350"/>
    <cellStyle name="Обычный 337 2 3 4 4 2" xfId="26720"/>
    <cellStyle name="Обычный 337 2 3 4 4 2 2" xfId="34031"/>
    <cellStyle name="Обычный 337 2 3 4 4 2 2 2" xfId="48851"/>
    <cellStyle name="Обычный 337 2 3 4 4 2 3" xfId="41560"/>
    <cellStyle name="Обычный 337 2 3 4 4 3" xfId="30377"/>
    <cellStyle name="Обычный 337 2 3 4 4 3 2" xfId="45200"/>
    <cellStyle name="Обычный 337 2 3 4 4 4" xfId="37874"/>
    <cellStyle name="Обычный 337 2 3 4 4 5" xfId="23062"/>
    <cellStyle name="Обычный 337 2 3 4 5" xfId="24879"/>
    <cellStyle name="Обычный 337 2 3 4 5 2" xfId="32190"/>
    <cellStyle name="Обычный 337 2 3 4 5 2 2" xfId="47013"/>
    <cellStyle name="Обычный 337 2 3 4 5 3" xfId="39775"/>
    <cellStyle name="Обычный 337 2 3 4 6" xfId="28536"/>
    <cellStyle name="Обычный 337 2 3 4 6 2" xfId="43373"/>
    <cellStyle name="Обычный 337 2 3 4 7" xfId="35927"/>
    <cellStyle name="Обычный 337 2 3 4 8" xfId="21218"/>
    <cellStyle name="Обычный 337 2 3 5" xfId="17533"/>
    <cellStyle name="Обычный 337 2 3 5 2" xfId="18647"/>
    <cellStyle name="Обычный 337 2 3 5 2 2" xfId="20526"/>
    <cellStyle name="Обычный 337 2 3 5 2 2 2" xfId="27852"/>
    <cellStyle name="Обычный 337 2 3 5 2 2 2 2" xfId="35163"/>
    <cellStyle name="Обычный 337 2 3 5 2 2 2 2 2" xfId="49983"/>
    <cellStyle name="Обычный 337 2 3 5 2 2 2 3" xfId="42691"/>
    <cellStyle name="Обычный 337 2 3 5 2 2 3" xfId="31509"/>
    <cellStyle name="Обычный 337 2 3 5 2 2 3 2" xfId="46332"/>
    <cellStyle name="Обычный 337 2 3 5 2 2 4" xfId="39007"/>
    <cellStyle name="Обычный 337 2 3 5 2 2 5" xfId="24194"/>
    <cellStyle name="Обычный 337 2 3 5 2 3" xfId="26026"/>
    <cellStyle name="Обычный 337 2 3 5 2 3 2" xfId="33337"/>
    <cellStyle name="Обычный 337 2 3 5 2 3 2 2" xfId="48157"/>
    <cellStyle name="Обычный 337 2 3 5 2 3 3" xfId="40870"/>
    <cellStyle name="Обычный 337 2 3 5 2 4" xfId="29683"/>
    <cellStyle name="Обычный 337 2 3 5 2 4 2" xfId="44507"/>
    <cellStyle name="Обычный 337 2 3 5 2 5" xfId="37284"/>
    <cellStyle name="Обычный 337 2 3 5 2 6" xfId="22365"/>
    <cellStyle name="Обычный 337 2 3 5 3" xfId="19577"/>
    <cellStyle name="Обычный 337 2 3 5 3 2" xfId="26946"/>
    <cellStyle name="Обычный 337 2 3 5 3 2 2" xfId="34257"/>
    <cellStyle name="Обычный 337 2 3 5 3 2 2 2" xfId="49077"/>
    <cellStyle name="Обычный 337 2 3 5 3 2 3" xfId="41786"/>
    <cellStyle name="Обычный 337 2 3 5 3 3" xfId="30603"/>
    <cellStyle name="Обычный 337 2 3 5 3 3 2" xfId="45426"/>
    <cellStyle name="Обычный 337 2 3 5 3 4" xfId="38100"/>
    <cellStyle name="Обычный 337 2 3 5 3 5" xfId="23288"/>
    <cellStyle name="Обычный 337 2 3 5 4" xfId="25105"/>
    <cellStyle name="Обычный 337 2 3 5 4 2" xfId="32416"/>
    <cellStyle name="Обычный 337 2 3 5 4 2 2" xfId="47239"/>
    <cellStyle name="Обычный 337 2 3 5 4 3" xfId="39999"/>
    <cellStyle name="Обычный 337 2 3 5 5" xfId="28762"/>
    <cellStyle name="Обычный 337 2 3 5 5 2" xfId="43599"/>
    <cellStyle name="Обычный 337 2 3 5 6" xfId="36369"/>
    <cellStyle name="Обычный 337 2 3 5 7" xfId="21444"/>
    <cellStyle name="Обычный 337 2 3 6" xfId="18497"/>
    <cellStyle name="Обычный 337 2 3 6 2" xfId="20379"/>
    <cellStyle name="Обычный 337 2 3 6 2 2" xfId="27705"/>
    <cellStyle name="Обычный 337 2 3 6 2 2 2" xfId="35016"/>
    <cellStyle name="Обычный 337 2 3 6 2 2 2 2" xfId="49836"/>
    <cellStyle name="Обычный 337 2 3 6 2 2 3" xfId="42544"/>
    <cellStyle name="Обычный 337 2 3 6 2 3" xfId="31362"/>
    <cellStyle name="Обычный 337 2 3 6 2 3 2" xfId="46185"/>
    <cellStyle name="Обычный 337 2 3 6 2 4" xfId="38860"/>
    <cellStyle name="Обычный 337 2 3 6 2 5" xfId="24047"/>
    <cellStyle name="Обычный 337 2 3 6 3" xfId="25879"/>
    <cellStyle name="Обычный 337 2 3 6 3 2" xfId="33190"/>
    <cellStyle name="Обычный 337 2 3 6 3 2 2" xfId="48010"/>
    <cellStyle name="Обычный 337 2 3 6 3 3" xfId="40726"/>
    <cellStyle name="Обычный 337 2 3 6 4" xfId="29536"/>
    <cellStyle name="Обычный 337 2 3 6 4 2" xfId="44360"/>
    <cellStyle name="Обычный 337 2 3 6 5" xfId="37137"/>
    <cellStyle name="Обычный 337 2 3 6 6" xfId="22218"/>
    <cellStyle name="Обычный 337 2 3 7" xfId="19130"/>
    <cellStyle name="Обычный 337 2 3 7 2" xfId="26502"/>
    <cellStyle name="Обычный 337 2 3 7 2 2" xfId="33813"/>
    <cellStyle name="Обычный 337 2 3 7 2 2 2" xfId="48633"/>
    <cellStyle name="Обычный 337 2 3 7 2 3" xfId="41342"/>
    <cellStyle name="Обычный 337 2 3 7 3" xfId="30159"/>
    <cellStyle name="Обычный 337 2 3 7 3 2" xfId="44982"/>
    <cellStyle name="Обычный 337 2 3 7 4" xfId="37656"/>
    <cellStyle name="Обычный 337 2 3 7 5" xfId="22844"/>
    <cellStyle name="Обычный 337 2 3 8" xfId="24655"/>
    <cellStyle name="Обычный 337 2 3 8 2" xfId="31966"/>
    <cellStyle name="Обычный 337 2 3 8 2 2" xfId="46789"/>
    <cellStyle name="Обычный 337 2 3 8 3" xfId="39575"/>
    <cellStyle name="Обычный 337 2 3 9" xfId="28312"/>
    <cellStyle name="Обычный 337 2 3 9 2" xfId="43149"/>
    <cellStyle name="Обычный 337 2 4" xfId="17168"/>
    <cellStyle name="Обычный 337 2 4 10" xfId="21022"/>
    <cellStyle name="Обычный 337 2 4 2" xfId="17447"/>
    <cellStyle name="Обычный 337 2 4 2 2" xfId="17897"/>
    <cellStyle name="Обычный 337 2 4 2 2 2" xfId="19011"/>
    <cellStyle name="Обычный 337 2 4 2 2 2 2" xfId="20890"/>
    <cellStyle name="Обычный 337 2 4 2 2 2 2 2" xfId="24558"/>
    <cellStyle name="Обычный 337 2 4 2 2 2 2 2 2" xfId="28216"/>
    <cellStyle name="Обычный 337 2 4 2 2 2 2 2 2 2" xfId="35527"/>
    <cellStyle name="Обычный 337 2 4 2 2 2 2 2 2 2 2" xfId="50347"/>
    <cellStyle name="Обычный 337 2 4 2 2 2 2 2 2 3" xfId="43055"/>
    <cellStyle name="Обычный 337 2 4 2 2 2 2 2 3" xfId="31873"/>
    <cellStyle name="Обычный 337 2 4 2 2 2 2 2 3 2" xfId="46696"/>
    <cellStyle name="Обычный 337 2 4 2 2 2 2 2 4" xfId="39491"/>
    <cellStyle name="Обычный 337 2 4 2 2 2 2 3" xfId="26390"/>
    <cellStyle name="Обычный 337 2 4 2 2 2 2 3 2" xfId="33701"/>
    <cellStyle name="Обычный 337 2 4 2 2 2 2 3 2 2" xfId="48521"/>
    <cellStyle name="Обычный 337 2 4 2 2 2 2 3 3" xfId="41234"/>
    <cellStyle name="Обычный 337 2 4 2 2 2 2 4" xfId="30047"/>
    <cellStyle name="Обычный 337 2 4 2 2 2 2 4 2" xfId="44871"/>
    <cellStyle name="Обычный 337 2 4 2 2 2 2 5" xfId="39371"/>
    <cellStyle name="Обычный 337 2 4 2 2 2 2 6" xfId="22729"/>
    <cellStyle name="Обычный 337 2 4 2 2 2 3" xfId="19941"/>
    <cellStyle name="Обычный 337 2 4 2 2 2 3 2" xfId="27310"/>
    <cellStyle name="Обычный 337 2 4 2 2 2 3 2 2" xfId="34621"/>
    <cellStyle name="Обычный 337 2 4 2 2 2 3 2 2 2" xfId="49441"/>
    <cellStyle name="Обычный 337 2 4 2 2 2 3 2 3" xfId="42150"/>
    <cellStyle name="Обычный 337 2 4 2 2 2 3 3" xfId="30967"/>
    <cellStyle name="Обычный 337 2 4 2 2 2 3 3 2" xfId="45790"/>
    <cellStyle name="Обычный 337 2 4 2 2 2 3 4" xfId="38464"/>
    <cellStyle name="Обычный 337 2 4 2 2 2 3 5" xfId="23652"/>
    <cellStyle name="Обычный 337 2 4 2 2 2 4" xfId="25469"/>
    <cellStyle name="Обычный 337 2 4 2 2 2 4 2" xfId="32780"/>
    <cellStyle name="Обычный 337 2 4 2 2 2 4 2 2" xfId="47603"/>
    <cellStyle name="Обычный 337 2 4 2 2 2 4 3" xfId="40357"/>
    <cellStyle name="Обычный 337 2 4 2 2 2 5" xfId="29126"/>
    <cellStyle name="Обычный 337 2 4 2 2 2 5 2" xfId="43963"/>
    <cellStyle name="Обычный 337 2 4 2 2 2 6" xfId="36379"/>
    <cellStyle name="Обычный 337 2 4 2 2 2 7" xfId="21808"/>
    <cellStyle name="Обычный 337 2 4 2 2 3" xfId="18507"/>
    <cellStyle name="Обычный 337 2 4 2 2 3 2" xfId="20389"/>
    <cellStyle name="Обычный 337 2 4 2 2 3 2 2" xfId="27715"/>
    <cellStyle name="Обычный 337 2 4 2 2 3 2 2 2" xfId="35026"/>
    <cellStyle name="Обычный 337 2 4 2 2 3 2 2 2 2" xfId="49846"/>
    <cellStyle name="Обычный 337 2 4 2 2 3 2 2 3" xfId="42554"/>
    <cellStyle name="Обычный 337 2 4 2 2 3 2 3" xfId="31372"/>
    <cellStyle name="Обычный 337 2 4 2 2 3 2 3 2" xfId="46195"/>
    <cellStyle name="Обычный 337 2 4 2 2 3 2 4" xfId="38870"/>
    <cellStyle name="Обычный 337 2 4 2 2 3 2 5" xfId="24057"/>
    <cellStyle name="Обычный 337 2 4 2 2 3 3" xfId="25889"/>
    <cellStyle name="Обычный 337 2 4 2 2 3 3 2" xfId="33200"/>
    <cellStyle name="Обычный 337 2 4 2 2 3 3 2 2" xfId="48020"/>
    <cellStyle name="Обычный 337 2 4 2 2 3 3 3" xfId="40736"/>
    <cellStyle name="Обычный 337 2 4 2 2 3 4" xfId="29546"/>
    <cellStyle name="Обычный 337 2 4 2 2 3 4 2" xfId="44370"/>
    <cellStyle name="Обычный 337 2 4 2 2 3 5" xfId="37147"/>
    <cellStyle name="Обычный 337 2 4 2 2 3 6" xfId="22228"/>
    <cellStyle name="Обычный 337 2 4 2 2 4" xfId="19490"/>
    <cellStyle name="Обычный 337 2 4 2 2 4 2" xfId="26860"/>
    <cellStyle name="Обычный 337 2 4 2 2 4 2 2" xfId="34171"/>
    <cellStyle name="Обычный 337 2 4 2 2 4 2 2 2" xfId="48991"/>
    <cellStyle name="Обычный 337 2 4 2 2 4 2 3" xfId="41700"/>
    <cellStyle name="Обычный 337 2 4 2 2 4 3" xfId="30517"/>
    <cellStyle name="Обычный 337 2 4 2 2 4 3 2" xfId="45340"/>
    <cellStyle name="Обычный 337 2 4 2 2 4 4" xfId="38014"/>
    <cellStyle name="Обычный 337 2 4 2 2 4 5" xfId="23202"/>
    <cellStyle name="Обычный 337 2 4 2 2 5" xfId="25019"/>
    <cellStyle name="Обычный 337 2 4 2 2 5 2" xfId="32330"/>
    <cellStyle name="Обычный 337 2 4 2 2 5 2 2" xfId="47153"/>
    <cellStyle name="Обычный 337 2 4 2 2 5 3" xfId="39914"/>
    <cellStyle name="Обычный 337 2 4 2 2 6" xfId="28676"/>
    <cellStyle name="Обычный 337 2 4 2 2 6 2" xfId="43513"/>
    <cellStyle name="Обычный 337 2 4 2 2 7" xfId="35930"/>
    <cellStyle name="Обычный 337 2 4 2 2 8" xfId="21358"/>
    <cellStyle name="Обычный 337 2 4 2 3" xfId="17673"/>
    <cellStyle name="Обычный 337 2 4 2 3 2" xfId="18787"/>
    <cellStyle name="Обычный 337 2 4 2 3 2 2" xfId="20666"/>
    <cellStyle name="Обычный 337 2 4 2 3 2 2 2" xfId="27992"/>
    <cellStyle name="Обычный 337 2 4 2 3 2 2 2 2" xfId="35303"/>
    <cellStyle name="Обычный 337 2 4 2 3 2 2 2 2 2" xfId="50123"/>
    <cellStyle name="Обычный 337 2 4 2 3 2 2 2 3" xfId="42831"/>
    <cellStyle name="Обычный 337 2 4 2 3 2 2 3" xfId="31649"/>
    <cellStyle name="Обычный 337 2 4 2 3 2 2 3 2" xfId="46472"/>
    <cellStyle name="Обычный 337 2 4 2 3 2 2 4" xfId="39147"/>
    <cellStyle name="Обычный 337 2 4 2 3 2 2 5" xfId="24334"/>
    <cellStyle name="Обычный 337 2 4 2 3 2 3" xfId="26166"/>
    <cellStyle name="Обычный 337 2 4 2 3 2 3 2" xfId="33477"/>
    <cellStyle name="Обычный 337 2 4 2 3 2 3 2 2" xfId="48297"/>
    <cellStyle name="Обычный 337 2 4 2 3 2 3 3" xfId="41010"/>
    <cellStyle name="Обычный 337 2 4 2 3 2 4" xfId="29823"/>
    <cellStyle name="Обычный 337 2 4 2 3 2 4 2" xfId="44647"/>
    <cellStyle name="Обычный 337 2 4 2 3 2 5" xfId="37424"/>
    <cellStyle name="Обычный 337 2 4 2 3 2 6" xfId="22505"/>
    <cellStyle name="Обычный 337 2 4 2 3 3" xfId="19717"/>
    <cellStyle name="Обычный 337 2 4 2 3 3 2" xfId="27086"/>
    <cellStyle name="Обычный 337 2 4 2 3 3 2 2" xfId="34397"/>
    <cellStyle name="Обычный 337 2 4 2 3 3 2 2 2" xfId="49217"/>
    <cellStyle name="Обычный 337 2 4 2 3 3 2 3" xfId="41926"/>
    <cellStyle name="Обычный 337 2 4 2 3 3 3" xfId="30743"/>
    <cellStyle name="Обычный 337 2 4 2 3 3 3 2" xfId="45566"/>
    <cellStyle name="Обычный 337 2 4 2 3 3 4" xfId="38240"/>
    <cellStyle name="Обычный 337 2 4 2 3 3 5" xfId="23428"/>
    <cellStyle name="Обычный 337 2 4 2 3 4" xfId="25245"/>
    <cellStyle name="Обычный 337 2 4 2 3 4 2" xfId="32556"/>
    <cellStyle name="Обычный 337 2 4 2 3 4 2 2" xfId="47379"/>
    <cellStyle name="Обычный 337 2 4 2 3 4 3" xfId="40137"/>
    <cellStyle name="Обычный 337 2 4 2 3 5" xfId="28902"/>
    <cellStyle name="Обычный 337 2 4 2 3 5 2" xfId="43739"/>
    <cellStyle name="Обычный 337 2 4 2 3 6" xfId="36378"/>
    <cellStyle name="Обычный 337 2 4 2 3 7" xfId="21584"/>
    <cellStyle name="Обычный 337 2 4 2 4" xfId="18506"/>
    <cellStyle name="Обычный 337 2 4 2 4 2" xfId="20388"/>
    <cellStyle name="Обычный 337 2 4 2 4 2 2" xfId="27714"/>
    <cellStyle name="Обычный 337 2 4 2 4 2 2 2" xfId="35025"/>
    <cellStyle name="Обычный 337 2 4 2 4 2 2 2 2" xfId="49845"/>
    <cellStyle name="Обычный 337 2 4 2 4 2 2 3" xfId="42553"/>
    <cellStyle name="Обычный 337 2 4 2 4 2 3" xfId="31371"/>
    <cellStyle name="Обычный 337 2 4 2 4 2 3 2" xfId="46194"/>
    <cellStyle name="Обычный 337 2 4 2 4 2 4" xfId="38869"/>
    <cellStyle name="Обычный 337 2 4 2 4 2 5" xfId="24056"/>
    <cellStyle name="Обычный 337 2 4 2 4 3" xfId="25888"/>
    <cellStyle name="Обычный 337 2 4 2 4 3 2" xfId="33199"/>
    <cellStyle name="Обычный 337 2 4 2 4 3 2 2" xfId="48019"/>
    <cellStyle name="Обычный 337 2 4 2 4 3 3" xfId="40735"/>
    <cellStyle name="Обычный 337 2 4 2 4 4" xfId="29545"/>
    <cellStyle name="Обычный 337 2 4 2 4 4 2" xfId="44369"/>
    <cellStyle name="Обычный 337 2 4 2 4 5" xfId="37146"/>
    <cellStyle name="Обычный 337 2 4 2 4 6" xfId="22227"/>
    <cellStyle name="Обычный 337 2 4 2 5" xfId="19267"/>
    <cellStyle name="Обычный 337 2 4 2 5 2" xfId="26637"/>
    <cellStyle name="Обычный 337 2 4 2 5 2 2" xfId="33948"/>
    <cellStyle name="Обычный 337 2 4 2 5 2 2 2" xfId="48768"/>
    <cellStyle name="Обычный 337 2 4 2 5 2 3" xfId="41477"/>
    <cellStyle name="Обычный 337 2 4 2 5 3" xfId="30294"/>
    <cellStyle name="Обычный 337 2 4 2 5 3 2" xfId="45117"/>
    <cellStyle name="Обычный 337 2 4 2 5 4" xfId="37791"/>
    <cellStyle name="Обычный 337 2 4 2 5 5" xfId="22979"/>
    <cellStyle name="Обычный 337 2 4 2 6" xfId="24795"/>
    <cellStyle name="Обычный 337 2 4 2 6 2" xfId="32106"/>
    <cellStyle name="Обычный 337 2 4 2 6 2 2" xfId="46929"/>
    <cellStyle name="Обычный 337 2 4 2 6 3" xfId="39694"/>
    <cellStyle name="Обычный 337 2 4 2 7" xfId="28452"/>
    <cellStyle name="Обычный 337 2 4 2 7 2" xfId="43289"/>
    <cellStyle name="Обычный 337 2 4 2 8" xfId="35929"/>
    <cellStyle name="Обычный 337 2 4 2 9" xfId="21134"/>
    <cellStyle name="Обычный 337 2 4 3" xfId="17332"/>
    <cellStyle name="Обычный 337 2 4 3 2" xfId="17785"/>
    <cellStyle name="Обычный 337 2 4 3 2 2" xfId="18899"/>
    <cellStyle name="Обычный 337 2 4 3 2 2 2" xfId="20778"/>
    <cellStyle name="Обычный 337 2 4 3 2 2 2 2" xfId="28104"/>
    <cellStyle name="Обычный 337 2 4 3 2 2 2 2 2" xfId="35415"/>
    <cellStyle name="Обычный 337 2 4 3 2 2 2 2 2 2" xfId="50235"/>
    <cellStyle name="Обычный 337 2 4 3 2 2 2 2 3" xfId="42943"/>
    <cellStyle name="Обычный 337 2 4 3 2 2 2 3" xfId="31761"/>
    <cellStyle name="Обычный 337 2 4 3 2 2 2 3 2" xfId="46584"/>
    <cellStyle name="Обычный 337 2 4 3 2 2 2 4" xfId="39259"/>
    <cellStyle name="Обычный 337 2 4 3 2 2 2 5" xfId="24446"/>
    <cellStyle name="Обычный 337 2 4 3 2 2 3" xfId="26278"/>
    <cellStyle name="Обычный 337 2 4 3 2 2 3 2" xfId="33589"/>
    <cellStyle name="Обычный 337 2 4 3 2 2 3 2 2" xfId="48409"/>
    <cellStyle name="Обычный 337 2 4 3 2 2 3 3" xfId="41122"/>
    <cellStyle name="Обычный 337 2 4 3 2 2 4" xfId="29935"/>
    <cellStyle name="Обычный 337 2 4 3 2 2 4 2" xfId="44759"/>
    <cellStyle name="Обычный 337 2 4 3 2 2 5" xfId="37535"/>
    <cellStyle name="Обычный 337 2 4 3 2 2 6" xfId="22617"/>
    <cellStyle name="Обычный 337 2 4 3 2 3" xfId="19829"/>
    <cellStyle name="Обычный 337 2 4 3 2 3 2" xfId="27198"/>
    <cellStyle name="Обычный 337 2 4 3 2 3 2 2" xfId="34509"/>
    <cellStyle name="Обычный 337 2 4 3 2 3 2 2 2" xfId="49329"/>
    <cellStyle name="Обычный 337 2 4 3 2 3 2 3" xfId="42038"/>
    <cellStyle name="Обычный 337 2 4 3 2 3 3" xfId="30855"/>
    <cellStyle name="Обычный 337 2 4 3 2 3 3 2" xfId="45678"/>
    <cellStyle name="Обычный 337 2 4 3 2 3 4" xfId="38352"/>
    <cellStyle name="Обычный 337 2 4 3 2 3 5" xfId="23540"/>
    <cellStyle name="Обычный 337 2 4 3 2 4" xfId="25357"/>
    <cellStyle name="Обычный 337 2 4 3 2 4 2" xfId="32668"/>
    <cellStyle name="Обычный 337 2 4 3 2 4 2 2" xfId="47491"/>
    <cellStyle name="Обычный 337 2 4 3 2 4 3" xfId="40245"/>
    <cellStyle name="Обычный 337 2 4 3 2 5" xfId="29014"/>
    <cellStyle name="Обычный 337 2 4 3 2 5 2" xfId="43851"/>
    <cellStyle name="Обычный 337 2 4 3 2 6" xfId="36380"/>
    <cellStyle name="Обычный 337 2 4 3 2 7" xfId="21696"/>
    <cellStyle name="Обычный 337 2 4 3 3" xfId="18508"/>
    <cellStyle name="Обычный 337 2 4 3 3 2" xfId="20390"/>
    <cellStyle name="Обычный 337 2 4 3 3 2 2" xfId="27716"/>
    <cellStyle name="Обычный 337 2 4 3 3 2 2 2" xfId="35027"/>
    <cellStyle name="Обычный 337 2 4 3 3 2 2 2 2" xfId="49847"/>
    <cellStyle name="Обычный 337 2 4 3 3 2 2 3" xfId="42555"/>
    <cellStyle name="Обычный 337 2 4 3 3 2 3" xfId="31373"/>
    <cellStyle name="Обычный 337 2 4 3 3 2 3 2" xfId="46196"/>
    <cellStyle name="Обычный 337 2 4 3 3 2 4" xfId="38871"/>
    <cellStyle name="Обычный 337 2 4 3 3 2 5" xfId="24058"/>
    <cellStyle name="Обычный 337 2 4 3 3 3" xfId="25890"/>
    <cellStyle name="Обычный 337 2 4 3 3 3 2" xfId="33201"/>
    <cellStyle name="Обычный 337 2 4 3 3 3 2 2" xfId="48021"/>
    <cellStyle name="Обычный 337 2 4 3 3 3 3" xfId="40737"/>
    <cellStyle name="Обычный 337 2 4 3 3 4" xfId="29547"/>
    <cellStyle name="Обычный 337 2 4 3 3 4 2" xfId="44371"/>
    <cellStyle name="Обычный 337 2 4 3 3 5" xfId="37148"/>
    <cellStyle name="Обычный 337 2 4 3 3 6" xfId="22229"/>
    <cellStyle name="Обычный 337 2 4 3 4" xfId="19378"/>
    <cellStyle name="Обычный 337 2 4 3 4 2" xfId="26748"/>
    <cellStyle name="Обычный 337 2 4 3 4 2 2" xfId="34059"/>
    <cellStyle name="Обычный 337 2 4 3 4 2 2 2" xfId="48879"/>
    <cellStyle name="Обычный 337 2 4 3 4 2 3" xfId="41588"/>
    <cellStyle name="Обычный 337 2 4 3 4 3" xfId="30405"/>
    <cellStyle name="Обычный 337 2 4 3 4 3 2" xfId="45228"/>
    <cellStyle name="Обычный 337 2 4 3 4 4" xfId="37902"/>
    <cellStyle name="Обычный 337 2 4 3 4 5" xfId="23090"/>
    <cellStyle name="Обычный 337 2 4 3 5" xfId="24907"/>
    <cellStyle name="Обычный 337 2 4 3 5 2" xfId="32218"/>
    <cellStyle name="Обычный 337 2 4 3 5 2 2" xfId="47041"/>
    <cellStyle name="Обычный 337 2 4 3 5 3" xfId="39802"/>
    <cellStyle name="Обычный 337 2 4 3 6" xfId="28564"/>
    <cellStyle name="Обычный 337 2 4 3 6 2" xfId="43401"/>
    <cellStyle name="Обычный 337 2 4 3 7" xfId="35931"/>
    <cellStyle name="Обычный 337 2 4 3 8" xfId="21246"/>
    <cellStyle name="Обычный 337 2 4 4" xfId="17561"/>
    <cellStyle name="Обычный 337 2 4 4 2" xfId="18675"/>
    <cellStyle name="Обычный 337 2 4 4 2 2" xfId="20554"/>
    <cellStyle name="Обычный 337 2 4 4 2 2 2" xfId="27880"/>
    <cellStyle name="Обычный 337 2 4 4 2 2 2 2" xfId="35191"/>
    <cellStyle name="Обычный 337 2 4 4 2 2 2 2 2" xfId="50011"/>
    <cellStyle name="Обычный 337 2 4 4 2 2 2 3" xfId="42719"/>
    <cellStyle name="Обычный 337 2 4 4 2 2 3" xfId="31537"/>
    <cellStyle name="Обычный 337 2 4 4 2 2 3 2" xfId="46360"/>
    <cellStyle name="Обычный 337 2 4 4 2 2 4" xfId="39035"/>
    <cellStyle name="Обычный 337 2 4 4 2 2 5" xfId="24222"/>
    <cellStyle name="Обычный 337 2 4 4 2 3" xfId="26054"/>
    <cellStyle name="Обычный 337 2 4 4 2 3 2" xfId="33365"/>
    <cellStyle name="Обычный 337 2 4 4 2 3 2 2" xfId="48185"/>
    <cellStyle name="Обычный 337 2 4 4 2 3 3" xfId="40898"/>
    <cellStyle name="Обычный 337 2 4 4 2 4" xfId="29711"/>
    <cellStyle name="Обычный 337 2 4 4 2 4 2" xfId="44535"/>
    <cellStyle name="Обычный 337 2 4 4 2 5" xfId="37312"/>
    <cellStyle name="Обычный 337 2 4 4 2 6" xfId="22393"/>
    <cellStyle name="Обычный 337 2 4 4 3" xfId="19605"/>
    <cellStyle name="Обычный 337 2 4 4 3 2" xfId="26974"/>
    <cellStyle name="Обычный 337 2 4 4 3 2 2" xfId="34285"/>
    <cellStyle name="Обычный 337 2 4 4 3 2 2 2" xfId="49105"/>
    <cellStyle name="Обычный 337 2 4 4 3 2 3" xfId="41814"/>
    <cellStyle name="Обычный 337 2 4 4 3 3" xfId="30631"/>
    <cellStyle name="Обычный 337 2 4 4 3 3 2" xfId="45454"/>
    <cellStyle name="Обычный 337 2 4 4 3 4" xfId="38128"/>
    <cellStyle name="Обычный 337 2 4 4 3 5" xfId="23316"/>
    <cellStyle name="Обычный 337 2 4 4 4" xfId="25133"/>
    <cellStyle name="Обычный 337 2 4 4 4 2" xfId="32444"/>
    <cellStyle name="Обычный 337 2 4 4 4 2 2" xfId="47267"/>
    <cellStyle name="Обычный 337 2 4 4 4 3" xfId="40027"/>
    <cellStyle name="Обычный 337 2 4 4 5" xfId="28790"/>
    <cellStyle name="Обычный 337 2 4 4 5 2" xfId="43627"/>
    <cellStyle name="Обычный 337 2 4 4 6" xfId="36377"/>
    <cellStyle name="Обычный 337 2 4 4 7" xfId="21472"/>
    <cellStyle name="Обычный 337 2 4 5" xfId="18505"/>
    <cellStyle name="Обычный 337 2 4 5 2" xfId="20387"/>
    <cellStyle name="Обычный 337 2 4 5 2 2" xfId="27713"/>
    <cellStyle name="Обычный 337 2 4 5 2 2 2" xfId="35024"/>
    <cellStyle name="Обычный 337 2 4 5 2 2 2 2" xfId="49844"/>
    <cellStyle name="Обычный 337 2 4 5 2 2 3" xfId="42552"/>
    <cellStyle name="Обычный 337 2 4 5 2 3" xfId="31370"/>
    <cellStyle name="Обычный 337 2 4 5 2 3 2" xfId="46193"/>
    <cellStyle name="Обычный 337 2 4 5 2 4" xfId="38868"/>
    <cellStyle name="Обычный 337 2 4 5 2 5" xfId="24055"/>
    <cellStyle name="Обычный 337 2 4 5 3" xfId="25887"/>
    <cellStyle name="Обычный 337 2 4 5 3 2" xfId="33198"/>
    <cellStyle name="Обычный 337 2 4 5 3 2 2" xfId="48018"/>
    <cellStyle name="Обычный 337 2 4 5 3 3" xfId="40734"/>
    <cellStyle name="Обычный 337 2 4 5 4" xfId="29544"/>
    <cellStyle name="Обычный 337 2 4 5 4 2" xfId="44368"/>
    <cellStyle name="Обычный 337 2 4 5 5" xfId="37145"/>
    <cellStyle name="Обычный 337 2 4 5 6" xfId="22226"/>
    <cellStyle name="Обычный 337 2 4 6" xfId="19158"/>
    <cellStyle name="Обычный 337 2 4 6 2" xfId="26529"/>
    <cellStyle name="Обычный 337 2 4 6 2 2" xfId="33840"/>
    <cellStyle name="Обычный 337 2 4 6 2 2 2" xfId="48660"/>
    <cellStyle name="Обычный 337 2 4 6 2 3" xfId="41369"/>
    <cellStyle name="Обычный 337 2 4 6 3" xfId="30186"/>
    <cellStyle name="Обычный 337 2 4 6 3 2" xfId="45009"/>
    <cellStyle name="Обычный 337 2 4 6 4" xfId="37683"/>
    <cellStyle name="Обычный 337 2 4 6 5" xfId="22871"/>
    <cellStyle name="Обычный 337 2 4 7" xfId="24683"/>
    <cellStyle name="Обычный 337 2 4 7 2" xfId="31994"/>
    <cellStyle name="Обычный 337 2 4 7 2 2" xfId="46817"/>
    <cellStyle name="Обычный 337 2 4 7 3" xfId="39598"/>
    <cellStyle name="Обычный 337 2 4 8" xfId="28340"/>
    <cellStyle name="Обычный 337 2 4 8 2" xfId="43177"/>
    <cellStyle name="Обычный 337 2 4 9" xfId="35928"/>
    <cellStyle name="Обычный 337 2 5" xfId="17391"/>
    <cellStyle name="Обычный 337 2 5 2" xfId="17841"/>
    <cellStyle name="Обычный 337 2 5 2 2" xfId="18955"/>
    <cellStyle name="Обычный 337 2 5 2 2 2" xfId="20834"/>
    <cellStyle name="Обычный 337 2 5 2 2 2 2" xfId="24502"/>
    <cellStyle name="Обычный 337 2 5 2 2 2 2 2" xfId="28160"/>
    <cellStyle name="Обычный 337 2 5 2 2 2 2 2 2" xfId="35471"/>
    <cellStyle name="Обычный 337 2 5 2 2 2 2 2 2 2" xfId="50291"/>
    <cellStyle name="Обычный 337 2 5 2 2 2 2 2 3" xfId="42999"/>
    <cellStyle name="Обычный 337 2 5 2 2 2 2 3" xfId="31817"/>
    <cellStyle name="Обычный 337 2 5 2 2 2 2 3 2" xfId="46640"/>
    <cellStyle name="Обычный 337 2 5 2 2 2 2 4" xfId="39454"/>
    <cellStyle name="Обычный 337 2 5 2 2 2 3" xfId="26334"/>
    <cellStyle name="Обычный 337 2 5 2 2 2 3 2" xfId="33645"/>
    <cellStyle name="Обычный 337 2 5 2 2 2 3 2 2" xfId="48465"/>
    <cellStyle name="Обычный 337 2 5 2 2 2 3 3" xfId="41178"/>
    <cellStyle name="Обычный 337 2 5 2 2 2 4" xfId="29991"/>
    <cellStyle name="Обычный 337 2 5 2 2 2 4 2" xfId="44815"/>
    <cellStyle name="Обычный 337 2 5 2 2 2 5" xfId="39315"/>
    <cellStyle name="Обычный 337 2 5 2 2 2 6" xfId="22673"/>
    <cellStyle name="Обычный 337 2 5 2 2 3" xfId="19885"/>
    <cellStyle name="Обычный 337 2 5 2 2 3 2" xfId="27254"/>
    <cellStyle name="Обычный 337 2 5 2 2 3 2 2" xfId="34565"/>
    <cellStyle name="Обычный 337 2 5 2 2 3 2 2 2" xfId="49385"/>
    <cellStyle name="Обычный 337 2 5 2 2 3 2 3" xfId="42094"/>
    <cellStyle name="Обычный 337 2 5 2 2 3 3" xfId="30911"/>
    <cellStyle name="Обычный 337 2 5 2 2 3 3 2" xfId="45734"/>
    <cellStyle name="Обычный 337 2 5 2 2 3 4" xfId="38408"/>
    <cellStyle name="Обычный 337 2 5 2 2 3 5" xfId="23596"/>
    <cellStyle name="Обычный 337 2 5 2 2 4" xfId="25413"/>
    <cellStyle name="Обычный 337 2 5 2 2 4 2" xfId="32724"/>
    <cellStyle name="Обычный 337 2 5 2 2 4 2 2" xfId="47547"/>
    <cellStyle name="Обычный 337 2 5 2 2 4 3" xfId="40301"/>
    <cellStyle name="Обычный 337 2 5 2 2 5" xfId="29070"/>
    <cellStyle name="Обычный 337 2 5 2 2 5 2" xfId="43907"/>
    <cellStyle name="Обычный 337 2 5 2 2 6" xfId="36382"/>
    <cellStyle name="Обычный 337 2 5 2 2 7" xfId="21752"/>
    <cellStyle name="Обычный 337 2 5 2 3" xfId="18510"/>
    <cellStyle name="Обычный 337 2 5 2 3 2" xfId="20392"/>
    <cellStyle name="Обычный 337 2 5 2 3 2 2" xfId="27718"/>
    <cellStyle name="Обычный 337 2 5 2 3 2 2 2" xfId="35029"/>
    <cellStyle name="Обычный 337 2 5 2 3 2 2 2 2" xfId="49849"/>
    <cellStyle name="Обычный 337 2 5 2 3 2 2 3" xfId="42557"/>
    <cellStyle name="Обычный 337 2 5 2 3 2 3" xfId="31375"/>
    <cellStyle name="Обычный 337 2 5 2 3 2 3 2" xfId="46198"/>
    <cellStyle name="Обычный 337 2 5 2 3 2 4" xfId="38873"/>
    <cellStyle name="Обычный 337 2 5 2 3 2 5" xfId="24060"/>
    <cellStyle name="Обычный 337 2 5 2 3 3" xfId="25892"/>
    <cellStyle name="Обычный 337 2 5 2 3 3 2" xfId="33203"/>
    <cellStyle name="Обычный 337 2 5 2 3 3 2 2" xfId="48023"/>
    <cellStyle name="Обычный 337 2 5 2 3 3 3" xfId="40739"/>
    <cellStyle name="Обычный 337 2 5 2 3 4" xfId="29549"/>
    <cellStyle name="Обычный 337 2 5 2 3 4 2" xfId="44373"/>
    <cellStyle name="Обычный 337 2 5 2 3 5" xfId="37150"/>
    <cellStyle name="Обычный 337 2 5 2 3 6" xfId="22231"/>
    <cellStyle name="Обычный 337 2 5 2 4" xfId="19434"/>
    <cellStyle name="Обычный 337 2 5 2 4 2" xfId="26804"/>
    <cellStyle name="Обычный 337 2 5 2 4 2 2" xfId="34115"/>
    <cellStyle name="Обычный 337 2 5 2 4 2 2 2" xfId="48935"/>
    <cellStyle name="Обычный 337 2 5 2 4 2 3" xfId="41644"/>
    <cellStyle name="Обычный 337 2 5 2 4 3" xfId="30461"/>
    <cellStyle name="Обычный 337 2 5 2 4 3 2" xfId="45284"/>
    <cellStyle name="Обычный 337 2 5 2 4 4" xfId="37958"/>
    <cellStyle name="Обычный 337 2 5 2 4 5" xfId="23146"/>
    <cellStyle name="Обычный 337 2 5 2 5" xfId="24963"/>
    <cellStyle name="Обычный 337 2 5 2 5 2" xfId="32274"/>
    <cellStyle name="Обычный 337 2 5 2 5 2 2" xfId="47097"/>
    <cellStyle name="Обычный 337 2 5 2 5 3" xfId="39858"/>
    <cellStyle name="Обычный 337 2 5 2 6" xfId="28620"/>
    <cellStyle name="Обычный 337 2 5 2 6 2" xfId="43457"/>
    <cellStyle name="Обычный 337 2 5 2 7" xfId="35933"/>
    <cellStyle name="Обычный 337 2 5 2 8" xfId="21302"/>
    <cellStyle name="Обычный 337 2 5 3" xfId="17617"/>
    <cellStyle name="Обычный 337 2 5 3 2" xfId="18731"/>
    <cellStyle name="Обычный 337 2 5 3 2 2" xfId="20610"/>
    <cellStyle name="Обычный 337 2 5 3 2 2 2" xfId="27936"/>
    <cellStyle name="Обычный 337 2 5 3 2 2 2 2" xfId="35247"/>
    <cellStyle name="Обычный 337 2 5 3 2 2 2 2 2" xfId="50067"/>
    <cellStyle name="Обычный 337 2 5 3 2 2 2 3" xfId="42775"/>
    <cellStyle name="Обычный 337 2 5 3 2 2 3" xfId="31593"/>
    <cellStyle name="Обычный 337 2 5 3 2 2 3 2" xfId="46416"/>
    <cellStyle name="Обычный 337 2 5 3 2 2 4" xfId="39091"/>
    <cellStyle name="Обычный 337 2 5 3 2 2 5" xfId="24278"/>
    <cellStyle name="Обычный 337 2 5 3 2 3" xfId="26110"/>
    <cellStyle name="Обычный 337 2 5 3 2 3 2" xfId="33421"/>
    <cellStyle name="Обычный 337 2 5 3 2 3 2 2" xfId="48241"/>
    <cellStyle name="Обычный 337 2 5 3 2 3 3" xfId="40954"/>
    <cellStyle name="Обычный 337 2 5 3 2 4" xfId="29767"/>
    <cellStyle name="Обычный 337 2 5 3 2 4 2" xfId="44591"/>
    <cellStyle name="Обычный 337 2 5 3 2 5" xfId="37368"/>
    <cellStyle name="Обычный 337 2 5 3 2 6" xfId="22449"/>
    <cellStyle name="Обычный 337 2 5 3 3" xfId="19661"/>
    <cellStyle name="Обычный 337 2 5 3 3 2" xfId="27030"/>
    <cellStyle name="Обычный 337 2 5 3 3 2 2" xfId="34341"/>
    <cellStyle name="Обычный 337 2 5 3 3 2 2 2" xfId="49161"/>
    <cellStyle name="Обычный 337 2 5 3 3 2 3" xfId="41870"/>
    <cellStyle name="Обычный 337 2 5 3 3 3" xfId="30687"/>
    <cellStyle name="Обычный 337 2 5 3 3 3 2" xfId="45510"/>
    <cellStyle name="Обычный 337 2 5 3 3 4" xfId="38184"/>
    <cellStyle name="Обычный 337 2 5 3 3 5" xfId="23372"/>
    <cellStyle name="Обычный 337 2 5 3 4" xfId="25189"/>
    <cellStyle name="Обычный 337 2 5 3 4 2" xfId="32500"/>
    <cellStyle name="Обычный 337 2 5 3 4 2 2" xfId="47323"/>
    <cellStyle name="Обычный 337 2 5 3 4 3" xfId="40081"/>
    <cellStyle name="Обычный 337 2 5 3 5" xfId="28846"/>
    <cellStyle name="Обычный 337 2 5 3 5 2" xfId="43683"/>
    <cellStyle name="Обычный 337 2 5 3 6" xfId="36381"/>
    <cellStyle name="Обычный 337 2 5 3 7" xfId="21528"/>
    <cellStyle name="Обычный 337 2 5 4" xfId="18509"/>
    <cellStyle name="Обычный 337 2 5 4 2" xfId="20391"/>
    <cellStyle name="Обычный 337 2 5 4 2 2" xfId="27717"/>
    <cellStyle name="Обычный 337 2 5 4 2 2 2" xfId="35028"/>
    <cellStyle name="Обычный 337 2 5 4 2 2 2 2" xfId="49848"/>
    <cellStyle name="Обычный 337 2 5 4 2 2 3" xfId="42556"/>
    <cellStyle name="Обычный 337 2 5 4 2 3" xfId="31374"/>
    <cellStyle name="Обычный 337 2 5 4 2 3 2" xfId="46197"/>
    <cellStyle name="Обычный 337 2 5 4 2 4" xfId="38872"/>
    <cellStyle name="Обычный 337 2 5 4 2 5" xfId="24059"/>
    <cellStyle name="Обычный 337 2 5 4 3" xfId="25891"/>
    <cellStyle name="Обычный 337 2 5 4 3 2" xfId="33202"/>
    <cellStyle name="Обычный 337 2 5 4 3 2 2" xfId="48022"/>
    <cellStyle name="Обычный 337 2 5 4 3 3" xfId="40738"/>
    <cellStyle name="Обычный 337 2 5 4 4" xfId="29548"/>
    <cellStyle name="Обычный 337 2 5 4 4 2" xfId="44372"/>
    <cellStyle name="Обычный 337 2 5 4 5" xfId="37149"/>
    <cellStyle name="Обычный 337 2 5 4 6" xfId="22230"/>
    <cellStyle name="Обычный 337 2 5 5" xfId="19212"/>
    <cellStyle name="Обычный 337 2 5 5 2" xfId="26582"/>
    <cellStyle name="Обычный 337 2 5 5 2 2" xfId="33893"/>
    <cellStyle name="Обычный 337 2 5 5 2 2 2" xfId="48713"/>
    <cellStyle name="Обычный 337 2 5 5 2 3" xfId="41422"/>
    <cellStyle name="Обычный 337 2 5 5 3" xfId="30239"/>
    <cellStyle name="Обычный 337 2 5 5 3 2" xfId="45062"/>
    <cellStyle name="Обычный 337 2 5 5 4" xfId="37736"/>
    <cellStyle name="Обычный 337 2 5 5 5" xfId="22924"/>
    <cellStyle name="Обычный 337 2 5 6" xfId="24739"/>
    <cellStyle name="Обычный 337 2 5 6 2" xfId="32050"/>
    <cellStyle name="Обычный 337 2 5 6 2 2" xfId="46873"/>
    <cellStyle name="Обычный 337 2 5 6 3" xfId="39642"/>
    <cellStyle name="Обычный 337 2 5 7" xfId="28396"/>
    <cellStyle name="Обычный 337 2 5 7 2" xfId="43233"/>
    <cellStyle name="Обычный 337 2 5 8" xfId="35932"/>
    <cellStyle name="Обычный 337 2 5 9" xfId="21078"/>
    <cellStyle name="Обычный 337 2 6" xfId="17271"/>
    <cellStyle name="Обычный 337 2 6 2" xfId="17729"/>
    <cellStyle name="Обычный 337 2 6 2 2" xfId="18843"/>
    <cellStyle name="Обычный 337 2 6 2 2 2" xfId="20722"/>
    <cellStyle name="Обычный 337 2 6 2 2 2 2" xfId="28048"/>
    <cellStyle name="Обычный 337 2 6 2 2 2 2 2" xfId="35359"/>
    <cellStyle name="Обычный 337 2 6 2 2 2 2 2 2" xfId="50179"/>
    <cellStyle name="Обычный 337 2 6 2 2 2 2 3" xfId="42887"/>
    <cellStyle name="Обычный 337 2 6 2 2 2 3" xfId="31705"/>
    <cellStyle name="Обычный 337 2 6 2 2 2 3 2" xfId="46528"/>
    <cellStyle name="Обычный 337 2 6 2 2 2 4" xfId="39203"/>
    <cellStyle name="Обычный 337 2 6 2 2 2 5" xfId="24390"/>
    <cellStyle name="Обычный 337 2 6 2 2 3" xfId="26222"/>
    <cellStyle name="Обычный 337 2 6 2 2 3 2" xfId="33533"/>
    <cellStyle name="Обычный 337 2 6 2 2 3 2 2" xfId="48353"/>
    <cellStyle name="Обычный 337 2 6 2 2 3 3" xfId="41066"/>
    <cellStyle name="Обычный 337 2 6 2 2 4" xfId="29879"/>
    <cellStyle name="Обычный 337 2 6 2 2 4 2" xfId="44703"/>
    <cellStyle name="Обычный 337 2 6 2 2 5" xfId="37479"/>
    <cellStyle name="Обычный 337 2 6 2 2 6" xfId="22561"/>
    <cellStyle name="Обычный 337 2 6 2 3" xfId="19773"/>
    <cellStyle name="Обычный 337 2 6 2 3 2" xfId="27142"/>
    <cellStyle name="Обычный 337 2 6 2 3 2 2" xfId="34453"/>
    <cellStyle name="Обычный 337 2 6 2 3 2 2 2" xfId="49273"/>
    <cellStyle name="Обычный 337 2 6 2 3 2 3" xfId="41982"/>
    <cellStyle name="Обычный 337 2 6 2 3 3" xfId="30799"/>
    <cellStyle name="Обычный 337 2 6 2 3 3 2" xfId="45622"/>
    <cellStyle name="Обычный 337 2 6 2 3 4" xfId="38296"/>
    <cellStyle name="Обычный 337 2 6 2 3 5" xfId="23484"/>
    <cellStyle name="Обычный 337 2 6 2 4" xfId="25301"/>
    <cellStyle name="Обычный 337 2 6 2 4 2" xfId="32612"/>
    <cellStyle name="Обычный 337 2 6 2 4 2 2" xfId="47435"/>
    <cellStyle name="Обычный 337 2 6 2 4 3" xfId="40192"/>
    <cellStyle name="Обычный 337 2 6 2 5" xfId="28958"/>
    <cellStyle name="Обычный 337 2 6 2 5 2" xfId="43795"/>
    <cellStyle name="Обычный 337 2 6 2 6" xfId="36383"/>
    <cellStyle name="Обычный 337 2 6 2 7" xfId="21640"/>
    <cellStyle name="Обычный 337 2 6 3" xfId="18511"/>
    <cellStyle name="Обычный 337 2 6 3 2" xfId="20393"/>
    <cellStyle name="Обычный 337 2 6 3 2 2" xfId="27719"/>
    <cellStyle name="Обычный 337 2 6 3 2 2 2" xfId="35030"/>
    <cellStyle name="Обычный 337 2 6 3 2 2 2 2" xfId="49850"/>
    <cellStyle name="Обычный 337 2 6 3 2 2 3" xfId="42558"/>
    <cellStyle name="Обычный 337 2 6 3 2 3" xfId="31376"/>
    <cellStyle name="Обычный 337 2 6 3 2 3 2" xfId="46199"/>
    <cellStyle name="Обычный 337 2 6 3 2 4" xfId="38874"/>
    <cellStyle name="Обычный 337 2 6 3 2 5" xfId="24061"/>
    <cellStyle name="Обычный 337 2 6 3 3" xfId="25893"/>
    <cellStyle name="Обычный 337 2 6 3 3 2" xfId="33204"/>
    <cellStyle name="Обычный 337 2 6 3 3 2 2" xfId="48024"/>
    <cellStyle name="Обычный 337 2 6 3 3 3" xfId="40740"/>
    <cellStyle name="Обычный 337 2 6 3 4" xfId="29550"/>
    <cellStyle name="Обычный 337 2 6 3 4 2" xfId="44374"/>
    <cellStyle name="Обычный 337 2 6 3 5" xfId="37151"/>
    <cellStyle name="Обычный 337 2 6 3 6" xfId="22232"/>
    <cellStyle name="Обычный 337 2 6 4" xfId="19322"/>
    <cellStyle name="Обычный 337 2 6 4 2" xfId="26692"/>
    <cellStyle name="Обычный 337 2 6 4 2 2" xfId="34003"/>
    <cellStyle name="Обычный 337 2 6 4 2 2 2" xfId="48823"/>
    <cellStyle name="Обычный 337 2 6 4 2 3" xfId="41532"/>
    <cellStyle name="Обычный 337 2 6 4 3" xfId="30349"/>
    <cellStyle name="Обычный 337 2 6 4 3 2" xfId="45172"/>
    <cellStyle name="Обычный 337 2 6 4 4" xfId="37846"/>
    <cellStyle name="Обычный 337 2 6 4 5" xfId="23034"/>
    <cellStyle name="Обычный 337 2 6 5" xfId="24851"/>
    <cellStyle name="Обычный 337 2 6 5 2" xfId="32162"/>
    <cellStyle name="Обычный 337 2 6 5 2 2" xfId="46985"/>
    <cellStyle name="Обычный 337 2 6 5 3" xfId="39749"/>
    <cellStyle name="Обычный 337 2 6 6" xfId="28508"/>
    <cellStyle name="Обычный 337 2 6 6 2" xfId="43345"/>
    <cellStyle name="Обычный 337 2 6 7" xfId="35934"/>
    <cellStyle name="Обычный 337 2 6 8" xfId="21190"/>
    <cellStyle name="Обычный 337 2 7" xfId="17505"/>
    <cellStyle name="Обычный 337 2 7 2" xfId="18619"/>
    <cellStyle name="Обычный 337 2 7 2 2" xfId="20498"/>
    <cellStyle name="Обычный 337 2 7 2 2 2" xfId="27824"/>
    <cellStyle name="Обычный 337 2 7 2 2 2 2" xfId="35135"/>
    <cellStyle name="Обычный 337 2 7 2 2 2 2 2" xfId="49955"/>
    <cellStyle name="Обычный 337 2 7 2 2 2 3" xfId="42663"/>
    <cellStyle name="Обычный 337 2 7 2 2 3" xfId="31481"/>
    <cellStyle name="Обычный 337 2 7 2 2 3 2" xfId="46304"/>
    <cellStyle name="Обычный 337 2 7 2 2 4" xfId="38979"/>
    <cellStyle name="Обычный 337 2 7 2 2 5" xfId="24166"/>
    <cellStyle name="Обычный 337 2 7 2 3" xfId="25998"/>
    <cellStyle name="Обычный 337 2 7 2 3 2" xfId="33309"/>
    <cellStyle name="Обычный 337 2 7 2 3 2 2" xfId="48129"/>
    <cellStyle name="Обычный 337 2 7 2 3 3" xfId="40842"/>
    <cellStyle name="Обычный 337 2 7 2 4" xfId="29655"/>
    <cellStyle name="Обычный 337 2 7 2 4 2" xfId="44479"/>
    <cellStyle name="Обычный 337 2 7 2 5" xfId="37256"/>
    <cellStyle name="Обычный 337 2 7 2 6" xfId="22337"/>
    <cellStyle name="Обычный 337 2 7 3" xfId="19549"/>
    <cellStyle name="Обычный 337 2 7 3 2" xfId="26918"/>
    <cellStyle name="Обычный 337 2 7 3 2 2" xfId="34229"/>
    <cellStyle name="Обычный 337 2 7 3 2 2 2" xfId="49049"/>
    <cellStyle name="Обычный 337 2 7 3 2 3" xfId="41758"/>
    <cellStyle name="Обычный 337 2 7 3 3" xfId="30575"/>
    <cellStyle name="Обычный 337 2 7 3 3 2" xfId="45398"/>
    <cellStyle name="Обычный 337 2 7 3 4" xfId="38072"/>
    <cellStyle name="Обычный 337 2 7 3 5" xfId="23260"/>
    <cellStyle name="Обычный 337 2 7 4" xfId="25077"/>
    <cellStyle name="Обычный 337 2 7 4 2" xfId="32388"/>
    <cellStyle name="Обычный 337 2 7 4 2 2" xfId="47211"/>
    <cellStyle name="Обычный 337 2 7 4 3" xfId="39972"/>
    <cellStyle name="Обычный 337 2 7 5" xfId="28734"/>
    <cellStyle name="Обычный 337 2 7 5 2" xfId="43571"/>
    <cellStyle name="Обычный 337 2 7 6" xfId="36352"/>
    <cellStyle name="Обычный 337 2 7 7" xfId="21416"/>
    <cellStyle name="Обычный 337 2 8" xfId="18144"/>
    <cellStyle name="Обычный 337 2 8 2" xfId="20046"/>
    <cellStyle name="Обычный 337 2 8 2 2" xfId="27372"/>
    <cellStyle name="Обычный 337 2 8 2 2 2" xfId="34683"/>
    <cellStyle name="Обычный 337 2 8 2 2 2 2" xfId="49503"/>
    <cellStyle name="Обычный 337 2 8 2 2 3" xfId="42212"/>
    <cellStyle name="Обычный 337 2 8 2 3" xfId="31029"/>
    <cellStyle name="Обычный 337 2 8 2 3 2" xfId="45852"/>
    <cellStyle name="Обычный 337 2 8 2 4" xfId="38527"/>
    <cellStyle name="Обычный 337 2 8 2 5" xfId="23714"/>
    <cellStyle name="Обычный 337 2 8 3" xfId="25538"/>
    <cellStyle name="Обычный 337 2 8 3 2" xfId="32849"/>
    <cellStyle name="Обычный 337 2 8 3 2 2" xfId="47669"/>
    <cellStyle name="Обычный 337 2 8 3 3" xfId="40419"/>
    <cellStyle name="Обычный 337 2 8 4" xfId="29195"/>
    <cellStyle name="Обычный 337 2 8 4 2" xfId="44027"/>
    <cellStyle name="Обычный 337 2 8 5" xfId="36796"/>
    <cellStyle name="Обычный 337 2 8 6" xfId="21877"/>
    <cellStyle name="Обычный 337 2 9" xfId="19079"/>
    <cellStyle name="Обычный 337 2 9 2" xfId="26458"/>
    <cellStyle name="Обычный 337 2 9 2 2" xfId="33769"/>
    <cellStyle name="Обычный 337 2 9 2 2 2" xfId="48589"/>
    <cellStyle name="Обычный 337 2 9 2 3" xfId="41299"/>
    <cellStyle name="Обычный 337 2 9 3" xfId="30115"/>
    <cellStyle name="Обычный 337 2 9 3 2" xfId="44939"/>
    <cellStyle name="Обычный 337 2 9 4" xfId="37612"/>
    <cellStyle name="Обычный 337 2 9 5" xfId="22800"/>
    <cellStyle name="Обычный 337 3" xfId="17043"/>
    <cellStyle name="Обычный 337 3 10" xfId="28291"/>
    <cellStyle name="Обычный 337 3 10 2" xfId="43128"/>
    <cellStyle name="Обычный 337 3 11" xfId="35935"/>
    <cellStyle name="Обычный 337 3 12" xfId="20973"/>
    <cellStyle name="Обычный 337 3 2" xfId="17210"/>
    <cellStyle name="Обычный 337 3 2 10" xfId="35936"/>
    <cellStyle name="Обычный 337 3 2 11" xfId="21001"/>
    <cellStyle name="Обычный 337 3 2 2" xfId="17367"/>
    <cellStyle name="Обычный 337 3 2 2 10" xfId="21057"/>
    <cellStyle name="Обычный 337 3 2 2 2" xfId="17482"/>
    <cellStyle name="Обычный 337 3 2 2 2 2" xfId="17932"/>
    <cellStyle name="Обычный 337 3 2 2 2 2 2" xfId="19046"/>
    <cellStyle name="Обычный 337 3 2 2 2 2 2 2" xfId="20925"/>
    <cellStyle name="Обычный 337 3 2 2 2 2 2 2 2" xfId="24593"/>
    <cellStyle name="Обычный 337 3 2 2 2 2 2 2 2 2" xfId="28251"/>
    <cellStyle name="Обычный 337 3 2 2 2 2 2 2 2 2 2" xfId="35562"/>
    <cellStyle name="Обычный 337 3 2 2 2 2 2 2 2 2 2 2" xfId="50382"/>
    <cellStyle name="Обычный 337 3 2 2 2 2 2 2 2 2 3" xfId="43090"/>
    <cellStyle name="Обычный 337 3 2 2 2 2 2 2 2 3" xfId="31908"/>
    <cellStyle name="Обычный 337 3 2 2 2 2 2 2 2 3 2" xfId="46731"/>
    <cellStyle name="Обычный 337 3 2 2 2 2 2 2 2 4" xfId="39525"/>
    <cellStyle name="Обычный 337 3 2 2 2 2 2 2 3" xfId="26425"/>
    <cellStyle name="Обычный 337 3 2 2 2 2 2 2 3 2" xfId="33736"/>
    <cellStyle name="Обычный 337 3 2 2 2 2 2 2 3 2 2" xfId="48556"/>
    <cellStyle name="Обычный 337 3 2 2 2 2 2 2 3 3" xfId="41269"/>
    <cellStyle name="Обычный 337 3 2 2 2 2 2 2 4" xfId="30082"/>
    <cellStyle name="Обычный 337 3 2 2 2 2 2 2 4 2" xfId="44906"/>
    <cellStyle name="Обычный 337 3 2 2 2 2 2 2 5" xfId="39406"/>
    <cellStyle name="Обычный 337 3 2 2 2 2 2 2 6" xfId="22764"/>
    <cellStyle name="Обычный 337 3 2 2 2 2 2 3" xfId="19976"/>
    <cellStyle name="Обычный 337 3 2 2 2 2 2 3 2" xfId="27345"/>
    <cellStyle name="Обычный 337 3 2 2 2 2 2 3 2 2" xfId="34656"/>
    <cellStyle name="Обычный 337 3 2 2 2 2 2 3 2 2 2" xfId="49476"/>
    <cellStyle name="Обычный 337 3 2 2 2 2 2 3 2 3" xfId="42185"/>
    <cellStyle name="Обычный 337 3 2 2 2 2 2 3 3" xfId="31002"/>
    <cellStyle name="Обычный 337 3 2 2 2 2 2 3 3 2" xfId="45825"/>
    <cellStyle name="Обычный 337 3 2 2 2 2 2 3 4" xfId="38499"/>
    <cellStyle name="Обычный 337 3 2 2 2 2 2 3 5" xfId="23687"/>
    <cellStyle name="Обычный 337 3 2 2 2 2 2 4" xfId="25504"/>
    <cellStyle name="Обычный 337 3 2 2 2 2 2 4 2" xfId="32815"/>
    <cellStyle name="Обычный 337 3 2 2 2 2 2 4 2 2" xfId="47638"/>
    <cellStyle name="Обычный 337 3 2 2 2 2 2 4 3" xfId="40392"/>
    <cellStyle name="Обычный 337 3 2 2 2 2 2 5" xfId="29161"/>
    <cellStyle name="Обычный 337 3 2 2 2 2 2 5 2" xfId="43998"/>
    <cellStyle name="Обычный 337 3 2 2 2 2 2 6" xfId="36388"/>
    <cellStyle name="Обычный 337 3 2 2 2 2 2 7" xfId="21843"/>
    <cellStyle name="Обычный 337 3 2 2 2 2 3" xfId="18515"/>
    <cellStyle name="Обычный 337 3 2 2 2 2 3 2" xfId="20397"/>
    <cellStyle name="Обычный 337 3 2 2 2 2 3 2 2" xfId="27723"/>
    <cellStyle name="Обычный 337 3 2 2 2 2 3 2 2 2" xfId="35034"/>
    <cellStyle name="Обычный 337 3 2 2 2 2 3 2 2 2 2" xfId="49854"/>
    <cellStyle name="Обычный 337 3 2 2 2 2 3 2 2 3" xfId="42562"/>
    <cellStyle name="Обычный 337 3 2 2 2 2 3 2 3" xfId="31380"/>
    <cellStyle name="Обычный 337 3 2 2 2 2 3 2 3 2" xfId="46203"/>
    <cellStyle name="Обычный 337 3 2 2 2 2 3 2 4" xfId="38878"/>
    <cellStyle name="Обычный 337 3 2 2 2 2 3 2 5" xfId="24065"/>
    <cellStyle name="Обычный 337 3 2 2 2 2 3 3" xfId="25897"/>
    <cellStyle name="Обычный 337 3 2 2 2 2 3 3 2" xfId="33208"/>
    <cellStyle name="Обычный 337 3 2 2 2 2 3 3 2 2" xfId="48028"/>
    <cellStyle name="Обычный 337 3 2 2 2 2 3 3 3" xfId="40744"/>
    <cellStyle name="Обычный 337 3 2 2 2 2 3 4" xfId="29554"/>
    <cellStyle name="Обычный 337 3 2 2 2 2 3 4 2" xfId="44378"/>
    <cellStyle name="Обычный 337 3 2 2 2 2 3 5" xfId="37155"/>
    <cellStyle name="Обычный 337 3 2 2 2 2 3 6" xfId="22236"/>
    <cellStyle name="Обычный 337 3 2 2 2 2 4" xfId="19525"/>
    <cellStyle name="Обычный 337 3 2 2 2 2 4 2" xfId="26895"/>
    <cellStyle name="Обычный 337 3 2 2 2 2 4 2 2" xfId="34206"/>
    <cellStyle name="Обычный 337 3 2 2 2 2 4 2 2 2" xfId="49026"/>
    <cellStyle name="Обычный 337 3 2 2 2 2 4 2 3" xfId="41735"/>
    <cellStyle name="Обычный 337 3 2 2 2 2 4 3" xfId="30552"/>
    <cellStyle name="Обычный 337 3 2 2 2 2 4 3 2" xfId="45375"/>
    <cellStyle name="Обычный 337 3 2 2 2 2 4 4" xfId="38049"/>
    <cellStyle name="Обычный 337 3 2 2 2 2 4 5" xfId="23237"/>
    <cellStyle name="Обычный 337 3 2 2 2 2 5" xfId="25054"/>
    <cellStyle name="Обычный 337 3 2 2 2 2 5 2" xfId="32365"/>
    <cellStyle name="Обычный 337 3 2 2 2 2 5 2 2" xfId="47188"/>
    <cellStyle name="Обычный 337 3 2 2 2 2 5 3" xfId="39949"/>
    <cellStyle name="Обычный 337 3 2 2 2 2 6" xfId="28711"/>
    <cellStyle name="Обычный 337 3 2 2 2 2 6 2" xfId="43548"/>
    <cellStyle name="Обычный 337 3 2 2 2 2 7" xfId="35939"/>
    <cellStyle name="Обычный 337 3 2 2 2 2 8" xfId="21393"/>
    <cellStyle name="Обычный 337 3 2 2 2 3" xfId="17708"/>
    <cellStyle name="Обычный 337 3 2 2 2 3 2" xfId="18822"/>
    <cellStyle name="Обычный 337 3 2 2 2 3 2 2" xfId="20701"/>
    <cellStyle name="Обычный 337 3 2 2 2 3 2 2 2" xfId="28027"/>
    <cellStyle name="Обычный 337 3 2 2 2 3 2 2 2 2" xfId="35338"/>
    <cellStyle name="Обычный 337 3 2 2 2 3 2 2 2 2 2" xfId="50158"/>
    <cellStyle name="Обычный 337 3 2 2 2 3 2 2 2 3" xfId="42866"/>
    <cellStyle name="Обычный 337 3 2 2 2 3 2 2 3" xfId="31684"/>
    <cellStyle name="Обычный 337 3 2 2 2 3 2 2 3 2" xfId="46507"/>
    <cellStyle name="Обычный 337 3 2 2 2 3 2 2 4" xfId="39182"/>
    <cellStyle name="Обычный 337 3 2 2 2 3 2 2 5" xfId="24369"/>
    <cellStyle name="Обычный 337 3 2 2 2 3 2 3" xfId="26201"/>
    <cellStyle name="Обычный 337 3 2 2 2 3 2 3 2" xfId="33512"/>
    <cellStyle name="Обычный 337 3 2 2 2 3 2 3 2 2" xfId="48332"/>
    <cellStyle name="Обычный 337 3 2 2 2 3 2 3 3" xfId="41045"/>
    <cellStyle name="Обычный 337 3 2 2 2 3 2 4" xfId="29858"/>
    <cellStyle name="Обычный 337 3 2 2 2 3 2 4 2" xfId="44682"/>
    <cellStyle name="Обычный 337 3 2 2 2 3 2 5" xfId="37459"/>
    <cellStyle name="Обычный 337 3 2 2 2 3 2 6" xfId="22540"/>
    <cellStyle name="Обычный 337 3 2 2 2 3 3" xfId="19752"/>
    <cellStyle name="Обычный 337 3 2 2 2 3 3 2" xfId="27121"/>
    <cellStyle name="Обычный 337 3 2 2 2 3 3 2 2" xfId="34432"/>
    <cellStyle name="Обычный 337 3 2 2 2 3 3 2 2 2" xfId="49252"/>
    <cellStyle name="Обычный 337 3 2 2 2 3 3 2 3" xfId="41961"/>
    <cellStyle name="Обычный 337 3 2 2 2 3 3 3" xfId="30778"/>
    <cellStyle name="Обычный 337 3 2 2 2 3 3 3 2" xfId="45601"/>
    <cellStyle name="Обычный 337 3 2 2 2 3 3 4" xfId="38275"/>
    <cellStyle name="Обычный 337 3 2 2 2 3 3 5" xfId="23463"/>
    <cellStyle name="Обычный 337 3 2 2 2 3 4" xfId="25280"/>
    <cellStyle name="Обычный 337 3 2 2 2 3 4 2" xfId="32591"/>
    <cellStyle name="Обычный 337 3 2 2 2 3 4 2 2" xfId="47414"/>
    <cellStyle name="Обычный 337 3 2 2 2 3 4 3" xfId="40172"/>
    <cellStyle name="Обычный 337 3 2 2 2 3 5" xfId="28937"/>
    <cellStyle name="Обычный 337 3 2 2 2 3 5 2" xfId="43774"/>
    <cellStyle name="Обычный 337 3 2 2 2 3 6" xfId="36387"/>
    <cellStyle name="Обычный 337 3 2 2 2 3 7" xfId="21619"/>
    <cellStyle name="Обычный 337 3 2 2 2 4" xfId="18514"/>
    <cellStyle name="Обычный 337 3 2 2 2 4 2" xfId="20396"/>
    <cellStyle name="Обычный 337 3 2 2 2 4 2 2" xfId="27722"/>
    <cellStyle name="Обычный 337 3 2 2 2 4 2 2 2" xfId="35033"/>
    <cellStyle name="Обычный 337 3 2 2 2 4 2 2 2 2" xfId="49853"/>
    <cellStyle name="Обычный 337 3 2 2 2 4 2 2 3" xfId="42561"/>
    <cellStyle name="Обычный 337 3 2 2 2 4 2 3" xfId="31379"/>
    <cellStyle name="Обычный 337 3 2 2 2 4 2 3 2" xfId="46202"/>
    <cellStyle name="Обычный 337 3 2 2 2 4 2 4" xfId="38877"/>
    <cellStyle name="Обычный 337 3 2 2 2 4 2 5" xfId="24064"/>
    <cellStyle name="Обычный 337 3 2 2 2 4 3" xfId="25896"/>
    <cellStyle name="Обычный 337 3 2 2 2 4 3 2" xfId="33207"/>
    <cellStyle name="Обычный 337 3 2 2 2 4 3 2 2" xfId="48027"/>
    <cellStyle name="Обычный 337 3 2 2 2 4 3 3" xfId="40743"/>
    <cellStyle name="Обычный 337 3 2 2 2 4 4" xfId="29553"/>
    <cellStyle name="Обычный 337 3 2 2 2 4 4 2" xfId="44377"/>
    <cellStyle name="Обычный 337 3 2 2 2 4 5" xfId="37154"/>
    <cellStyle name="Обычный 337 3 2 2 2 4 6" xfId="22235"/>
    <cellStyle name="Обычный 337 3 2 2 2 5" xfId="19301"/>
    <cellStyle name="Обычный 337 3 2 2 2 5 2" xfId="26671"/>
    <cellStyle name="Обычный 337 3 2 2 2 5 2 2" xfId="33982"/>
    <cellStyle name="Обычный 337 3 2 2 2 5 2 2 2" xfId="48802"/>
    <cellStyle name="Обычный 337 3 2 2 2 5 2 3" xfId="41511"/>
    <cellStyle name="Обычный 337 3 2 2 2 5 3" xfId="30328"/>
    <cellStyle name="Обычный 337 3 2 2 2 5 3 2" xfId="45151"/>
    <cellStyle name="Обычный 337 3 2 2 2 5 4" xfId="37825"/>
    <cellStyle name="Обычный 337 3 2 2 2 5 5" xfId="23013"/>
    <cellStyle name="Обычный 337 3 2 2 2 6" xfId="24830"/>
    <cellStyle name="Обычный 337 3 2 2 2 6 2" xfId="32141"/>
    <cellStyle name="Обычный 337 3 2 2 2 6 2 2" xfId="46964"/>
    <cellStyle name="Обычный 337 3 2 2 2 6 3" xfId="39729"/>
    <cellStyle name="Обычный 337 3 2 2 2 7" xfId="28487"/>
    <cellStyle name="Обычный 337 3 2 2 2 7 2" xfId="43324"/>
    <cellStyle name="Обычный 337 3 2 2 2 8" xfId="35938"/>
    <cellStyle name="Обычный 337 3 2 2 2 9" xfId="21169"/>
    <cellStyle name="Обычный 337 3 2 2 3" xfId="17820"/>
    <cellStyle name="Обычный 337 3 2 2 3 2" xfId="18934"/>
    <cellStyle name="Обычный 337 3 2 2 3 2 2" xfId="20813"/>
    <cellStyle name="Обычный 337 3 2 2 3 2 2 2" xfId="24481"/>
    <cellStyle name="Обычный 337 3 2 2 3 2 2 2 2" xfId="28139"/>
    <cellStyle name="Обычный 337 3 2 2 3 2 2 2 2 2" xfId="35450"/>
    <cellStyle name="Обычный 337 3 2 2 3 2 2 2 2 2 2" xfId="50270"/>
    <cellStyle name="Обычный 337 3 2 2 3 2 2 2 2 3" xfId="42978"/>
    <cellStyle name="Обычный 337 3 2 2 3 2 2 2 3" xfId="31796"/>
    <cellStyle name="Обычный 337 3 2 2 3 2 2 2 3 2" xfId="46619"/>
    <cellStyle name="Обычный 337 3 2 2 3 2 2 2 4" xfId="39443"/>
    <cellStyle name="Обычный 337 3 2 2 3 2 2 3" xfId="26313"/>
    <cellStyle name="Обычный 337 3 2 2 3 2 2 3 2" xfId="33624"/>
    <cellStyle name="Обычный 337 3 2 2 3 2 2 3 2 2" xfId="48444"/>
    <cellStyle name="Обычный 337 3 2 2 3 2 2 3 3" xfId="41157"/>
    <cellStyle name="Обычный 337 3 2 2 3 2 2 4" xfId="29970"/>
    <cellStyle name="Обычный 337 3 2 2 3 2 2 4 2" xfId="44794"/>
    <cellStyle name="Обычный 337 3 2 2 3 2 2 5" xfId="39294"/>
    <cellStyle name="Обычный 337 3 2 2 3 2 2 6" xfId="22652"/>
    <cellStyle name="Обычный 337 3 2 2 3 2 3" xfId="19864"/>
    <cellStyle name="Обычный 337 3 2 2 3 2 3 2" xfId="27233"/>
    <cellStyle name="Обычный 337 3 2 2 3 2 3 2 2" xfId="34544"/>
    <cellStyle name="Обычный 337 3 2 2 3 2 3 2 2 2" xfId="49364"/>
    <cellStyle name="Обычный 337 3 2 2 3 2 3 2 3" xfId="42073"/>
    <cellStyle name="Обычный 337 3 2 2 3 2 3 3" xfId="30890"/>
    <cellStyle name="Обычный 337 3 2 2 3 2 3 3 2" xfId="45713"/>
    <cellStyle name="Обычный 337 3 2 2 3 2 3 4" xfId="38387"/>
    <cellStyle name="Обычный 337 3 2 2 3 2 3 5" xfId="23575"/>
    <cellStyle name="Обычный 337 3 2 2 3 2 4" xfId="25392"/>
    <cellStyle name="Обычный 337 3 2 2 3 2 4 2" xfId="32703"/>
    <cellStyle name="Обычный 337 3 2 2 3 2 4 2 2" xfId="47526"/>
    <cellStyle name="Обычный 337 3 2 2 3 2 4 3" xfId="40280"/>
    <cellStyle name="Обычный 337 3 2 2 3 2 5" xfId="29049"/>
    <cellStyle name="Обычный 337 3 2 2 3 2 5 2" xfId="43886"/>
    <cellStyle name="Обычный 337 3 2 2 3 2 6" xfId="36389"/>
    <cellStyle name="Обычный 337 3 2 2 3 2 7" xfId="21731"/>
    <cellStyle name="Обычный 337 3 2 2 3 3" xfId="18516"/>
    <cellStyle name="Обычный 337 3 2 2 3 3 2" xfId="20398"/>
    <cellStyle name="Обычный 337 3 2 2 3 3 2 2" xfId="27724"/>
    <cellStyle name="Обычный 337 3 2 2 3 3 2 2 2" xfId="35035"/>
    <cellStyle name="Обычный 337 3 2 2 3 3 2 2 2 2" xfId="49855"/>
    <cellStyle name="Обычный 337 3 2 2 3 3 2 2 3" xfId="42563"/>
    <cellStyle name="Обычный 337 3 2 2 3 3 2 3" xfId="31381"/>
    <cellStyle name="Обычный 337 3 2 2 3 3 2 3 2" xfId="46204"/>
    <cellStyle name="Обычный 337 3 2 2 3 3 2 4" xfId="38879"/>
    <cellStyle name="Обычный 337 3 2 2 3 3 2 5" xfId="24066"/>
    <cellStyle name="Обычный 337 3 2 2 3 3 3" xfId="25898"/>
    <cellStyle name="Обычный 337 3 2 2 3 3 3 2" xfId="33209"/>
    <cellStyle name="Обычный 337 3 2 2 3 3 3 2 2" xfId="48029"/>
    <cellStyle name="Обычный 337 3 2 2 3 3 3 3" xfId="40745"/>
    <cellStyle name="Обычный 337 3 2 2 3 3 4" xfId="29555"/>
    <cellStyle name="Обычный 337 3 2 2 3 3 4 2" xfId="44379"/>
    <cellStyle name="Обычный 337 3 2 2 3 3 5" xfId="37156"/>
    <cellStyle name="Обычный 337 3 2 2 3 3 6" xfId="22237"/>
    <cellStyle name="Обычный 337 3 2 2 3 4" xfId="19413"/>
    <cellStyle name="Обычный 337 3 2 2 3 4 2" xfId="26783"/>
    <cellStyle name="Обычный 337 3 2 2 3 4 2 2" xfId="34094"/>
    <cellStyle name="Обычный 337 3 2 2 3 4 2 2 2" xfId="48914"/>
    <cellStyle name="Обычный 337 3 2 2 3 4 2 3" xfId="41623"/>
    <cellStyle name="Обычный 337 3 2 2 3 4 3" xfId="30440"/>
    <cellStyle name="Обычный 337 3 2 2 3 4 3 2" xfId="45263"/>
    <cellStyle name="Обычный 337 3 2 2 3 4 4" xfId="37937"/>
    <cellStyle name="Обычный 337 3 2 2 3 4 5" xfId="23125"/>
    <cellStyle name="Обычный 337 3 2 2 3 5" xfId="24942"/>
    <cellStyle name="Обычный 337 3 2 2 3 5 2" xfId="32253"/>
    <cellStyle name="Обычный 337 3 2 2 3 5 2 2" xfId="47076"/>
    <cellStyle name="Обычный 337 3 2 2 3 5 3" xfId="39837"/>
    <cellStyle name="Обычный 337 3 2 2 3 6" xfId="28599"/>
    <cellStyle name="Обычный 337 3 2 2 3 6 2" xfId="43436"/>
    <cellStyle name="Обычный 337 3 2 2 3 7" xfId="35940"/>
    <cellStyle name="Обычный 337 3 2 2 3 8" xfId="21281"/>
    <cellStyle name="Обычный 337 3 2 2 4" xfId="17596"/>
    <cellStyle name="Обычный 337 3 2 2 4 2" xfId="18710"/>
    <cellStyle name="Обычный 337 3 2 2 4 2 2" xfId="20589"/>
    <cellStyle name="Обычный 337 3 2 2 4 2 2 2" xfId="27915"/>
    <cellStyle name="Обычный 337 3 2 2 4 2 2 2 2" xfId="35226"/>
    <cellStyle name="Обычный 337 3 2 2 4 2 2 2 2 2" xfId="50046"/>
    <cellStyle name="Обычный 337 3 2 2 4 2 2 2 3" xfId="42754"/>
    <cellStyle name="Обычный 337 3 2 2 4 2 2 3" xfId="31572"/>
    <cellStyle name="Обычный 337 3 2 2 4 2 2 3 2" xfId="46395"/>
    <cellStyle name="Обычный 337 3 2 2 4 2 2 4" xfId="39070"/>
    <cellStyle name="Обычный 337 3 2 2 4 2 2 5" xfId="24257"/>
    <cellStyle name="Обычный 337 3 2 2 4 2 3" xfId="26089"/>
    <cellStyle name="Обычный 337 3 2 2 4 2 3 2" xfId="33400"/>
    <cellStyle name="Обычный 337 3 2 2 4 2 3 2 2" xfId="48220"/>
    <cellStyle name="Обычный 337 3 2 2 4 2 3 3" xfId="40933"/>
    <cellStyle name="Обычный 337 3 2 2 4 2 4" xfId="29746"/>
    <cellStyle name="Обычный 337 3 2 2 4 2 4 2" xfId="44570"/>
    <cellStyle name="Обычный 337 3 2 2 4 2 5" xfId="37347"/>
    <cellStyle name="Обычный 337 3 2 2 4 2 6" xfId="22428"/>
    <cellStyle name="Обычный 337 3 2 2 4 3" xfId="19640"/>
    <cellStyle name="Обычный 337 3 2 2 4 3 2" xfId="27009"/>
    <cellStyle name="Обычный 337 3 2 2 4 3 2 2" xfId="34320"/>
    <cellStyle name="Обычный 337 3 2 2 4 3 2 2 2" xfId="49140"/>
    <cellStyle name="Обычный 337 3 2 2 4 3 2 3" xfId="41849"/>
    <cellStyle name="Обычный 337 3 2 2 4 3 3" xfId="30666"/>
    <cellStyle name="Обычный 337 3 2 2 4 3 3 2" xfId="45489"/>
    <cellStyle name="Обычный 337 3 2 2 4 3 4" xfId="38163"/>
    <cellStyle name="Обычный 337 3 2 2 4 3 5" xfId="23351"/>
    <cellStyle name="Обычный 337 3 2 2 4 4" xfId="25168"/>
    <cellStyle name="Обычный 337 3 2 2 4 4 2" xfId="32479"/>
    <cellStyle name="Обычный 337 3 2 2 4 4 2 2" xfId="47302"/>
    <cellStyle name="Обычный 337 3 2 2 4 4 3" xfId="40062"/>
    <cellStyle name="Обычный 337 3 2 2 4 5" xfId="28825"/>
    <cellStyle name="Обычный 337 3 2 2 4 5 2" xfId="43662"/>
    <cellStyle name="Обычный 337 3 2 2 4 6" xfId="36386"/>
    <cellStyle name="Обычный 337 3 2 2 4 7" xfId="21507"/>
    <cellStyle name="Обычный 337 3 2 2 5" xfId="18513"/>
    <cellStyle name="Обычный 337 3 2 2 5 2" xfId="20395"/>
    <cellStyle name="Обычный 337 3 2 2 5 2 2" xfId="27721"/>
    <cellStyle name="Обычный 337 3 2 2 5 2 2 2" xfId="35032"/>
    <cellStyle name="Обычный 337 3 2 2 5 2 2 2 2" xfId="49852"/>
    <cellStyle name="Обычный 337 3 2 2 5 2 2 3" xfId="42560"/>
    <cellStyle name="Обычный 337 3 2 2 5 2 3" xfId="31378"/>
    <cellStyle name="Обычный 337 3 2 2 5 2 3 2" xfId="46201"/>
    <cellStyle name="Обычный 337 3 2 2 5 2 4" xfId="38876"/>
    <cellStyle name="Обычный 337 3 2 2 5 2 5" xfId="24063"/>
    <cellStyle name="Обычный 337 3 2 2 5 3" xfId="25895"/>
    <cellStyle name="Обычный 337 3 2 2 5 3 2" xfId="33206"/>
    <cellStyle name="Обычный 337 3 2 2 5 3 2 2" xfId="48026"/>
    <cellStyle name="Обычный 337 3 2 2 5 3 3" xfId="40742"/>
    <cellStyle name="Обычный 337 3 2 2 5 4" xfId="29552"/>
    <cellStyle name="Обычный 337 3 2 2 5 4 2" xfId="44376"/>
    <cellStyle name="Обычный 337 3 2 2 5 5" xfId="37153"/>
    <cellStyle name="Обычный 337 3 2 2 5 6" xfId="22234"/>
    <cellStyle name="Обычный 337 3 2 2 6" xfId="19190"/>
    <cellStyle name="Обычный 337 3 2 2 6 2" xfId="26561"/>
    <cellStyle name="Обычный 337 3 2 2 6 2 2" xfId="33872"/>
    <cellStyle name="Обычный 337 3 2 2 6 2 2 2" xfId="48692"/>
    <cellStyle name="Обычный 337 3 2 2 6 2 3" xfId="41401"/>
    <cellStyle name="Обычный 337 3 2 2 6 3" xfId="30218"/>
    <cellStyle name="Обычный 337 3 2 2 6 3 2" xfId="45041"/>
    <cellStyle name="Обычный 337 3 2 2 6 4" xfId="37715"/>
    <cellStyle name="Обычный 337 3 2 2 6 5" xfId="22903"/>
    <cellStyle name="Обычный 337 3 2 2 7" xfId="24718"/>
    <cellStyle name="Обычный 337 3 2 2 7 2" xfId="32029"/>
    <cellStyle name="Обычный 337 3 2 2 7 2 2" xfId="46852"/>
    <cellStyle name="Обычный 337 3 2 2 7 3" xfId="39623"/>
    <cellStyle name="Обычный 337 3 2 2 8" xfId="28375"/>
    <cellStyle name="Обычный 337 3 2 2 8 2" xfId="43212"/>
    <cellStyle name="Обычный 337 3 2 2 9" xfId="35937"/>
    <cellStyle name="Обычный 337 3 2 3" xfId="17426"/>
    <cellStyle name="Обычный 337 3 2 3 2" xfId="17876"/>
    <cellStyle name="Обычный 337 3 2 3 2 2" xfId="18990"/>
    <cellStyle name="Обычный 337 3 2 3 2 2 2" xfId="20869"/>
    <cellStyle name="Обычный 337 3 2 3 2 2 2 2" xfId="24537"/>
    <cellStyle name="Обычный 337 3 2 3 2 2 2 2 2" xfId="28195"/>
    <cellStyle name="Обычный 337 3 2 3 2 2 2 2 2 2" xfId="35506"/>
    <cellStyle name="Обычный 337 3 2 3 2 2 2 2 2 2 2" xfId="50326"/>
    <cellStyle name="Обычный 337 3 2 3 2 2 2 2 2 3" xfId="43034"/>
    <cellStyle name="Обычный 337 3 2 3 2 2 2 2 3" xfId="31852"/>
    <cellStyle name="Обычный 337 3 2 3 2 2 2 2 3 2" xfId="46675"/>
    <cellStyle name="Обычный 337 3 2 3 2 2 2 2 4" xfId="39475"/>
    <cellStyle name="Обычный 337 3 2 3 2 2 2 3" xfId="26369"/>
    <cellStyle name="Обычный 337 3 2 3 2 2 2 3 2" xfId="33680"/>
    <cellStyle name="Обычный 337 3 2 3 2 2 2 3 2 2" xfId="48500"/>
    <cellStyle name="Обычный 337 3 2 3 2 2 2 3 3" xfId="41213"/>
    <cellStyle name="Обычный 337 3 2 3 2 2 2 4" xfId="30026"/>
    <cellStyle name="Обычный 337 3 2 3 2 2 2 4 2" xfId="44850"/>
    <cellStyle name="Обычный 337 3 2 3 2 2 2 5" xfId="39350"/>
    <cellStyle name="Обычный 337 3 2 3 2 2 2 6" xfId="22708"/>
    <cellStyle name="Обычный 337 3 2 3 2 2 3" xfId="19920"/>
    <cellStyle name="Обычный 337 3 2 3 2 2 3 2" xfId="27289"/>
    <cellStyle name="Обычный 337 3 2 3 2 2 3 2 2" xfId="34600"/>
    <cellStyle name="Обычный 337 3 2 3 2 2 3 2 2 2" xfId="49420"/>
    <cellStyle name="Обычный 337 3 2 3 2 2 3 2 3" xfId="42129"/>
    <cellStyle name="Обычный 337 3 2 3 2 2 3 3" xfId="30946"/>
    <cellStyle name="Обычный 337 3 2 3 2 2 3 3 2" xfId="45769"/>
    <cellStyle name="Обычный 337 3 2 3 2 2 3 4" xfId="38443"/>
    <cellStyle name="Обычный 337 3 2 3 2 2 3 5" xfId="23631"/>
    <cellStyle name="Обычный 337 3 2 3 2 2 4" xfId="25448"/>
    <cellStyle name="Обычный 337 3 2 3 2 2 4 2" xfId="32759"/>
    <cellStyle name="Обычный 337 3 2 3 2 2 4 2 2" xfId="47582"/>
    <cellStyle name="Обычный 337 3 2 3 2 2 4 3" xfId="40336"/>
    <cellStyle name="Обычный 337 3 2 3 2 2 5" xfId="29105"/>
    <cellStyle name="Обычный 337 3 2 3 2 2 5 2" xfId="43942"/>
    <cellStyle name="Обычный 337 3 2 3 2 2 6" xfId="36391"/>
    <cellStyle name="Обычный 337 3 2 3 2 2 7" xfId="21787"/>
    <cellStyle name="Обычный 337 3 2 3 2 3" xfId="18518"/>
    <cellStyle name="Обычный 337 3 2 3 2 3 2" xfId="20400"/>
    <cellStyle name="Обычный 337 3 2 3 2 3 2 2" xfId="27726"/>
    <cellStyle name="Обычный 337 3 2 3 2 3 2 2 2" xfId="35037"/>
    <cellStyle name="Обычный 337 3 2 3 2 3 2 2 2 2" xfId="49857"/>
    <cellStyle name="Обычный 337 3 2 3 2 3 2 2 3" xfId="42565"/>
    <cellStyle name="Обычный 337 3 2 3 2 3 2 3" xfId="31383"/>
    <cellStyle name="Обычный 337 3 2 3 2 3 2 3 2" xfId="46206"/>
    <cellStyle name="Обычный 337 3 2 3 2 3 2 4" xfId="38881"/>
    <cellStyle name="Обычный 337 3 2 3 2 3 2 5" xfId="24068"/>
    <cellStyle name="Обычный 337 3 2 3 2 3 3" xfId="25900"/>
    <cellStyle name="Обычный 337 3 2 3 2 3 3 2" xfId="33211"/>
    <cellStyle name="Обычный 337 3 2 3 2 3 3 2 2" xfId="48031"/>
    <cellStyle name="Обычный 337 3 2 3 2 3 3 3" xfId="40747"/>
    <cellStyle name="Обычный 337 3 2 3 2 3 4" xfId="29557"/>
    <cellStyle name="Обычный 337 3 2 3 2 3 4 2" xfId="44381"/>
    <cellStyle name="Обычный 337 3 2 3 2 3 5" xfId="37158"/>
    <cellStyle name="Обычный 337 3 2 3 2 3 6" xfId="22239"/>
    <cellStyle name="Обычный 337 3 2 3 2 4" xfId="19469"/>
    <cellStyle name="Обычный 337 3 2 3 2 4 2" xfId="26839"/>
    <cellStyle name="Обычный 337 3 2 3 2 4 2 2" xfId="34150"/>
    <cellStyle name="Обычный 337 3 2 3 2 4 2 2 2" xfId="48970"/>
    <cellStyle name="Обычный 337 3 2 3 2 4 2 3" xfId="41679"/>
    <cellStyle name="Обычный 337 3 2 3 2 4 3" xfId="30496"/>
    <cellStyle name="Обычный 337 3 2 3 2 4 3 2" xfId="45319"/>
    <cellStyle name="Обычный 337 3 2 3 2 4 4" xfId="37993"/>
    <cellStyle name="Обычный 337 3 2 3 2 4 5" xfId="23181"/>
    <cellStyle name="Обычный 337 3 2 3 2 5" xfId="24998"/>
    <cellStyle name="Обычный 337 3 2 3 2 5 2" xfId="32309"/>
    <cellStyle name="Обычный 337 3 2 3 2 5 2 2" xfId="47132"/>
    <cellStyle name="Обычный 337 3 2 3 2 5 3" xfId="39893"/>
    <cellStyle name="Обычный 337 3 2 3 2 6" xfId="28655"/>
    <cellStyle name="Обычный 337 3 2 3 2 6 2" xfId="43492"/>
    <cellStyle name="Обычный 337 3 2 3 2 7" xfId="35942"/>
    <cellStyle name="Обычный 337 3 2 3 2 8" xfId="21337"/>
    <cellStyle name="Обычный 337 3 2 3 3" xfId="17652"/>
    <cellStyle name="Обычный 337 3 2 3 3 2" xfId="18766"/>
    <cellStyle name="Обычный 337 3 2 3 3 2 2" xfId="20645"/>
    <cellStyle name="Обычный 337 3 2 3 3 2 2 2" xfId="27971"/>
    <cellStyle name="Обычный 337 3 2 3 3 2 2 2 2" xfId="35282"/>
    <cellStyle name="Обычный 337 3 2 3 3 2 2 2 2 2" xfId="50102"/>
    <cellStyle name="Обычный 337 3 2 3 3 2 2 2 3" xfId="42810"/>
    <cellStyle name="Обычный 337 3 2 3 3 2 2 3" xfId="31628"/>
    <cellStyle name="Обычный 337 3 2 3 3 2 2 3 2" xfId="46451"/>
    <cellStyle name="Обычный 337 3 2 3 3 2 2 4" xfId="39126"/>
    <cellStyle name="Обычный 337 3 2 3 3 2 2 5" xfId="24313"/>
    <cellStyle name="Обычный 337 3 2 3 3 2 3" xfId="26145"/>
    <cellStyle name="Обычный 337 3 2 3 3 2 3 2" xfId="33456"/>
    <cellStyle name="Обычный 337 3 2 3 3 2 3 2 2" xfId="48276"/>
    <cellStyle name="Обычный 337 3 2 3 3 2 3 3" xfId="40989"/>
    <cellStyle name="Обычный 337 3 2 3 3 2 4" xfId="29802"/>
    <cellStyle name="Обычный 337 3 2 3 3 2 4 2" xfId="44626"/>
    <cellStyle name="Обычный 337 3 2 3 3 2 5" xfId="37403"/>
    <cellStyle name="Обычный 337 3 2 3 3 2 6" xfId="22484"/>
    <cellStyle name="Обычный 337 3 2 3 3 3" xfId="19696"/>
    <cellStyle name="Обычный 337 3 2 3 3 3 2" xfId="27065"/>
    <cellStyle name="Обычный 337 3 2 3 3 3 2 2" xfId="34376"/>
    <cellStyle name="Обычный 337 3 2 3 3 3 2 2 2" xfId="49196"/>
    <cellStyle name="Обычный 337 3 2 3 3 3 2 3" xfId="41905"/>
    <cellStyle name="Обычный 337 3 2 3 3 3 3" xfId="30722"/>
    <cellStyle name="Обычный 337 3 2 3 3 3 3 2" xfId="45545"/>
    <cellStyle name="Обычный 337 3 2 3 3 3 4" xfId="38219"/>
    <cellStyle name="Обычный 337 3 2 3 3 3 5" xfId="23407"/>
    <cellStyle name="Обычный 337 3 2 3 3 4" xfId="25224"/>
    <cellStyle name="Обычный 337 3 2 3 3 4 2" xfId="32535"/>
    <cellStyle name="Обычный 337 3 2 3 3 4 2 2" xfId="47358"/>
    <cellStyle name="Обычный 337 3 2 3 3 4 3" xfId="40116"/>
    <cellStyle name="Обычный 337 3 2 3 3 5" xfId="28881"/>
    <cellStyle name="Обычный 337 3 2 3 3 5 2" xfId="43718"/>
    <cellStyle name="Обычный 337 3 2 3 3 6" xfId="36390"/>
    <cellStyle name="Обычный 337 3 2 3 3 7" xfId="21563"/>
    <cellStyle name="Обычный 337 3 2 3 4" xfId="18517"/>
    <cellStyle name="Обычный 337 3 2 3 4 2" xfId="20399"/>
    <cellStyle name="Обычный 337 3 2 3 4 2 2" xfId="27725"/>
    <cellStyle name="Обычный 337 3 2 3 4 2 2 2" xfId="35036"/>
    <cellStyle name="Обычный 337 3 2 3 4 2 2 2 2" xfId="49856"/>
    <cellStyle name="Обычный 337 3 2 3 4 2 2 3" xfId="42564"/>
    <cellStyle name="Обычный 337 3 2 3 4 2 3" xfId="31382"/>
    <cellStyle name="Обычный 337 3 2 3 4 2 3 2" xfId="46205"/>
    <cellStyle name="Обычный 337 3 2 3 4 2 4" xfId="38880"/>
    <cellStyle name="Обычный 337 3 2 3 4 2 5" xfId="24067"/>
    <cellStyle name="Обычный 337 3 2 3 4 3" xfId="25899"/>
    <cellStyle name="Обычный 337 3 2 3 4 3 2" xfId="33210"/>
    <cellStyle name="Обычный 337 3 2 3 4 3 2 2" xfId="48030"/>
    <cellStyle name="Обычный 337 3 2 3 4 3 3" xfId="40746"/>
    <cellStyle name="Обычный 337 3 2 3 4 4" xfId="29556"/>
    <cellStyle name="Обычный 337 3 2 3 4 4 2" xfId="44380"/>
    <cellStyle name="Обычный 337 3 2 3 4 5" xfId="37157"/>
    <cellStyle name="Обычный 337 3 2 3 4 6" xfId="22238"/>
    <cellStyle name="Обычный 337 3 2 3 5" xfId="19246"/>
    <cellStyle name="Обычный 337 3 2 3 5 2" xfId="26616"/>
    <cellStyle name="Обычный 337 3 2 3 5 2 2" xfId="33927"/>
    <cellStyle name="Обычный 337 3 2 3 5 2 2 2" xfId="48747"/>
    <cellStyle name="Обычный 337 3 2 3 5 2 3" xfId="41456"/>
    <cellStyle name="Обычный 337 3 2 3 5 3" xfId="30273"/>
    <cellStyle name="Обычный 337 3 2 3 5 3 2" xfId="45096"/>
    <cellStyle name="Обычный 337 3 2 3 5 4" xfId="37770"/>
    <cellStyle name="Обычный 337 3 2 3 5 5" xfId="22958"/>
    <cellStyle name="Обычный 337 3 2 3 6" xfId="24774"/>
    <cellStyle name="Обычный 337 3 2 3 6 2" xfId="32085"/>
    <cellStyle name="Обычный 337 3 2 3 6 2 2" xfId="46908"/>
    <cellStyle name="Обычный 337 3 2 3 6 3" xfId="39676"/>
    <cellStyle name="Обычный 337 3 2 3 7" xfId="28431"/>
    <cellStyle name="Обычный 337 3 2 3 7 2" xfId="43268"/>
    <cellStyle name="Обычный 337 3 2 3 8" xfId="35941"/>
    <cellStyle name="Обычный 337 3 2 3 9" xfId="21113"/>
    <cellStyle name="Обычный 337 3 2 4" xfId="17309"/>
    <cellStyle name="Обычный 337 3 2 4 2" xfId="17764"/>
    <cellStyle name="Обычный 337 3 2 4 2 2" xfId="18878"/>
    <cellStyle name="Обычный 337 3 2 4 2 2 2" xfId="20757"/>
    <cellStyle name="Обычный 337 3 2 4 2 2 2 2" xfId="28083"/>
    <cellStyle name="Обычный 337 3 2 4 2 2 2 2 2" xfId="35394"/>
    <cellStyle name="Обычный 337 3 2 4 2 2 2 2 2 2" xfId="50214"/>
    <cellStyle name="Обычный 337 3 2 4 2 2 2 2 3" xfId="42922"/>
    <cellStyle name="Обычный 337 3 2 4 2 2 2 3" xfId="31740"/>
    <cellStyle name="Обычный 337 3 2 4 2 2 2 3 2" xfId="46563"/>
    <cellStyle name="Обычный 337 3 2 4 2 2 2 4" xfId="39238"/>
    <cellStyle name="Обычный 337 3 2 4 2 2 2 5" xfId="24425"/>
    <cellStyle name="Обычный 337 3 2 4 2 2 3" xfId="26257"/>
    <cellStyle name="Обычный 337 3 2 4 2 2 3 2" xfId="33568"/>
    <cellStyle name="Обычный 337 3 2 4 2 2 3 2 2" xfId="48388"/>
    <cellStyle name="Обычный 337 3 2 4 2 2 3 3" xfId="41101"/>
    <cellStyle name="Обычный 337 3 2 4 2 2 4" xfId="29914"/>
    <cellStyle name="Обычный 337 3 2 4 2 2 4 2" xfId="44738"/>
    <cellStyle name="Обычный 337 3 2 4 2 2 5" xfId="37514"/>
    <cellStyle name="Обычный 337 3 2 4 2 2 6" xfId="22596"/>
    <cellStyle name="Обычный 337 3 2 4 2 3" xfId="19808"/>
    <cellStyle name="Обычный 337 3 2 4 2 3 2" xfId="27177"/>
    <cellStyle name="Обычный 337 3 2 4 2 3 2 2" xfId="34488"/>
    <cellStyle name="Обычный 337 3 2 4 2 3 2 2 2" xfId="49308"/>
    <cellStyle name="Обычный 337 3 2 4 2 3 2 3" xfId="42017"/>
    <cellStyle name="Обычный 337 3 2 4 2 3 3" xfId="30834"/>
    <cellStyle name="Обычный 337 3 2 4 2 3 3 2" xfId="45657"/>
    <cellStyle name="Обычный 337 3 2 4 2 3 4" xfId="38331"/>
    <cellStyle name="Обычный 337 3 2 4 2 3 5" xfId="23519"/>
    <cellStyle name="Обычный 337 3 2 4 2 4" xfId="25336"/>
    <cellStyle name="Обычный 337 3 2 4 2 4 2" xfId="32647"/>
    <cellStyle name="Обычный 337 3 2 4 2 4 2 2" xfId="47470"/>
    <cellStyle name="Обычный 337 3 2 4 2 4 3" xfId="40225"/>
    <cellStyle name="Обычный 337 3 2 4 2 5" xfId="28993"/>
    <cellStyle name="Обычный 337 3 2 4 2 5 2" xfId="43830"/>
    <cellStyle name="Обычный 337 3 2 4 2 6" xfId="36392"/>
    <cellStyle name="Обычный 337 3 2 4 2 7" xfId="21675"/>
    <cellStyle name="Обычный 337 3 2 4 3" xfId="18519"/>
    <cellStyle name="Обычный 337 3 2 4 3 2" xfId="20401"/>
    <cellStyle name="Обычный 337 3 2 4 3 2 2" xfId="27727"/>
    <cellStyle name="Обычный 337 3 2 4 3 2 2 2" xfId="35038"/>
    <cellStyle name="Обычный 337 3 2 4 3 2 2 2 2" xfId="49858"/>
    <cellStyle name="Обычный 337 3 2 4 3 2 2 3" xfId="42566"/>
    <cellStyle name="Обычный 337 3 2 4 3 2 3" xfId="31384"/>
    <cellStyle name="Обычный 337 3 2 4 3 2 3 2" xfId="46207"/>
    <cellStyle name="Обычный 337 3 2 4 3 2 4" xfId="38882"/>
    <cellStyle name="Обычный 337 3 2 4 3 2 5" xfId="24069"/>
    <cellStyle name="Обычный 337 3 2 4 3 3" xfId="25901"/>
    <cellStyle name="Обычный 337 3 2 4 3 3 2" xfId="33212"/>
    <cellStyle name="Обычный 337 3 2 4 3 3 2 2" xfId="48032"/>
    <cellStyle name="Обычный 337 3 2 4 3 3 3" xfId="40748"/>
    <cellStyle name="Обычный 337 3 2 4 3 4" xfId="29558"/>
    <cellStyle name="Обычный 337 3 2 4 3 4 2" xfId="44382"/>
    <cellStyle name="Обычный 337 3 2 4 3 5" xfId="37159"/>
    <cellStyle name="Обычный 337 3 2 4 3 6" xfId="22240"/>
    <cellStyle name="Обычный 337 3 2 4 4" xfId="19357"/>
    <cellStyle name="Обычный 337 3 2 4 4 2" xfId="26727"/>
    <cellStyle name="Обычный 337 3 2 4 4 2 2" xfId="34038"/>
    <cellStyle name="Обычный 337 3 2 4 4 2 2 2" xfId="48858"/>
    <cellStyle name="Обычный 337 3 2 4 4 2 3" xfId="41567"/>
    <cellStyle name="Обычный 337 3 2 4 4 3" xfId="30384"/>
    <cellStyle name="Обычный 337 3 2 4 4 3 2" xfId="45207"/>
    <cellStyle name="Обычный 337 3 2 4 4 4" xfId="37881"/>
    <cellStyle name="Обычный 337 3 2 4 4 5" xfId="23069"/>
    <cellStyle name="Обычный 337 3 2 4 5" xfId="24886"/>
    <cellStyle name="Обычный 337 3 2 4 5 2" xfId="32197"/>
    <cellStyle name="Обычный 337 3 2 4 5 2 2" xfId="47020"/>
    <cellStyle name="Обычный 337 3 2 4 5 3" xfId="39782"/>
    <cellStyle name="Обычный 337 3 2 4 6" xfId="28543"/>
    <cellStyle name="Обычный 337 3 2 4 6 2" xfId="43380"/>
    <cellStyle name="Обычный 337 3 2 4 7" xfId="35943"/>
    <cellStyle name="Обычный 337 3 2 4 8" xfId="21225"/>
    <cellStyle name="Обычный 337 3 2 5" xfId="17540"/>
    <cellStyle name="Обычный 337 3 2 5 2" xfId="18654"/>
    <cellStyle name="Обычный 337 3 2 5 2 2" xfId="20533"/>
    <cellStyle name="Обычный 337 3 2 5 2 2 2" xfId="27859"/>
    <cellStyle name="Обычный 337 3 2 5 2 2 2 2" xfId="35170"/>
    <cellStyle name="Обычный 337 3 2 5 2 2 2 2 2" xfId="49990"/>
    <cellStyle name="Обычный 337 3 2 5 2 2 2 3" xfId="42698"/>
    <cellStyle name="Обычный 337 3 2 5 2 2 3" xfId="31516"/>
    <cellStyle name="Обычный 337 3 2 5 2 2 3 2" xfId="46339"/>
    <cellStyle name="Обычный 337 3 2 5 2 2 4" xfId="39014"/>
    <cellStyle name="Обычный 337 3 2 5 2 2 5" xfId="24201"/>
    <cellStyle name="Обычный 337 3 2 5 2 3" xfId="26033"/>
    <cellStyle name="Обычный 337 3 2 5 2 3 2" xfId="33344"/>
    <cellStyle name="Обычный 337 3 2 5 2 3 2 2" xfId="48164"/>
    <cellStyle name="Обычный 337 3 2 5 2 3 3" xfId="40877"/>
    <cellStyle name="Обычный 337 3 2 5 2 4" xfId="29690"/>
    <cellStyle name="Обычный 337 3 2 5 2 4 2" xfId="44514"/>
    <cellStyle name="Обычный 337 3 2 5 2 5" xfId="37291"/>
    <cellStyle name="Обычный 337 3 2 5 2 6" xfId="22372"/>
    <cellStyle name="Обычный 337 3 2 5 3" xfId="19584"/>
    <cellStyle name="Обычный 337 3 2 5 3 2" xfId="26953"/>
    <cellStyle name="Обычный 337 3 2 5 3 2 2" xfId="34264"/>
    <cellStyle name="Обычный 337 3 2 5 3 2 2 2" xfId="49084"/>
    <cellStyle name="Обычный 337 3 2 5 3 2 3" xfId="41793"/>
    <cellStyle name="Обычный 337 3 2 5 3 3" xfId="30610"/>
    <cellStyle name="Обычный 337 3 2 5 3 3 2" xfId="45433"/>
    <cellStyle name="Обычный 337 3 2 5 3 4" xfId="38107"/>
    <cellStyle name="Обычный 337 3 2 5 3 5" xfId="23295"/>
    <cellStyle name="Обычный 337 3 2 5 4" xfId="25112"/>
    <cellStyle name="Обычный 337 3 2 5 4 2" xfId="32423"/>
    <cellStyle name="Обычный 337 3 2 5 4 2 2" xfId="47246"/>
    <cellStyle name="Обычный 337 3 2 5 4 3" xfId="40006"/>
    <cellStyle name="Обычный 337 3 2 5 5" xfId="28769"/>
    <cellStyle name="Обычный 337 3 2 5 5 2" xfId="43606"/>
    <cellStyle name="Обычный 337 3 2 5 6" xfId="36385"/>
    <cellStyle name="Обычный 337 3 2 5 7" xfId="21451"/>
    <cellStyle name="Обычный 337 3 2 6" xfId="18512"/>
    <cellStyle name="Обычный 337 3 2 6 2" xfId="20394"/>
    <cellStyle name="Обычный 337 3 2 6 2 2" xfId="27720"/>
    <cellStyle name="Обычный 337 3 2 6 2 2 2" xfId="35031"/>
    <cellStyle name="Обычный 337 3 2 6 2 2 2 2" xfId="49851"/>
    <cellStyle name="Обычный 337 3 2 6 2 2 3" xfId="42559"/>
    <cellStyle name="Обычный 337 3 2 6 2 3" xfId="31377"/>
    <cellStyle name="Обычный 337 3 2 6 2 3 2" xfId="46200"/>
    <cellStyle name="Обычный 337 3 2 6 2 4" xfId="38875"/>
    <cellStyle name="Обычный 337 3 2 6 2 5" xfId="24062"/>
    <cellStyle name="Обычный 337 3 2 6 3" xfId="25894"/>
    <cellStyle name="Обычный 337 3 2 6 3 2" xfId="33205"/>
    <cellStyle name="Обычный 337 3 2 6 3 2 2" xfId="48025"/>
    <cellStyle name="Обычный 337 3 2 6 3 3" xfId="40741"/>
    <cellStyle name="Обычный 337 3 2 6 4" xfId="29551"/>
    <cellStyle name="Обычный 337 3 2 6 4 2" xfId="44375"/>
    <cellStyle name="Обычный 337 3 2 6 5" xfId="37152"/>
    <cellStyle name="Обычный 337 3 2 6 6" xfId="22233"/>
    <cellStyle name="Обычный 337 3 2 7" xfId="19136"/>
    <cellStyle name="Обычный 337 3 2 7 2" xfId="26508"/>
    <cellStyle name="Обычный 337 3 2 7 2 2" xfId="33819"/>
    <cellStyle name="Обычный 337 3 2 7 2 2 2" xfId="48639"/>
    <cellStyle name="Обычный 337 3 2 7 2 3" xfId="41348"/>
    <cellStyle name="Обычный 337 3 2 7 3" xfId="30165"/>
    <cellStyle name="Обычный 337 3 2 7 3 2" xfId="44988"/>
    <cellStyle name="Обычный 337 3 2 7 4" xfId="37662"/>
    <cellStyle name="Обычный 337 3 2 7 5" xfId="22850"/>
    <cellStyle name="Обычный 337 3 2 8" xfId="24662"/>
    <cellStyle name="Обычный 337 3 2 8 2" xfId="31973"/>
    <cellStyle name="Обычный 337 3 2 8 2 2" xfId="46796"/>
    <cellStyle name="Обычный 337 3 2 8 3" xfId="39582"/>
    <cellStyle name="Обычный 337 3 2 9" xfId="28319"/>
    <cellStyle name="Обычный 337 3 2 9 2" xfId="43156"/>
    <cellStyle name="Обычный 337 3 3" xfId="17179"/>
    <cellStyle name="Обычный 337 3 3 10" xfId="21029"/>
    <cellStyle name="Обычный 337 3 3 2" xfId="17454"/>
    <cellStyle name="Обычный 337 3 3 2 2" xfId="17904"/>
    <cellStyle name="Обычный 337 3 3 2 2 2" xfId="19018"/>
    <cellStyle name="Обычный 337 3 3 2 2 2 2" xfId="20897"/>
    <cellStyle name="Обычный 337 3 3 2 2 2 2 2" xfId="24565"/>
    <cellStyle name="Обычный 337 3 3 2 2 2 2 2 2" xfId="28223"/>
    <cellStyle name="Обычный 337 3 3 2 2 2 2 2 2 2" xfId="35534"/>
    <cellStyle name="Обычный 337 3 3 2 2 2 2 2 2 2 2" xfId="50354"/>
    <cellStyle name="Обычный 337 3 3 2 2 2 2 2 2 3" xfId="43062"/>
    <cellStyle name="Обычный 337 3 3 2 2 2 2 2 3" xfId="31880"/>
    <cellStyle name="Обычный 337 3 3 2 2 2 2 2 3 2" xfId="46703"/>
    <cellStyle name="Обычный 337 3 3 2 2 2 2 2 4" xfId="39498"/>
    <cellStyle name="Обычный 337 3 3 2 2 2 2 3" xfId="26397"/>
    <cellStyle name="Обычный 337 3 3 2 2 2 2 3 2" xfId="33708"/>
    <cellStyle name="Обычный 337 3 3 2 2 2 2 3 2 2" xfId="48528"/>
    <cellStyle name="Обычный 337 3 3 2 2 2 2 3 3" xfId="41241"/>
    <cellStyle name="Обычный 337 3 3 2 2 2 2 4" xfId="30054"/>
    <cellStyle name="Обычный 337 3 3 2 2 2 2 4 2" xfId="44878"/>
    <cellStyle name="Обычный 337 3 3 2 2 2 2 5" xfId="39378"/>
    <cellStyle name="Обычный 337 3 3 2 2 2 2 6" xfId="22736"/>
    <cellStyle name="Обычный 337 3 3 2 2 2 3" xfId="19948"/>
    <cellStyle name="Обычный 337 3 3 2 2 2 3 2" xfId="27317"/>
    <cellStyle name="Обычный 337 3 3 2 2 2 3 2 2" xfId="34628"/>
    <cellStyle name="Обычный 337 3 3 2 2 2 3 2 2 2" xfId="49448"/>
    <cellStyle name="Обычный 337 3 3 2 2 2 3 2 3" xfId="42157"/>
    <cellStyle name="Обычный 337 3 3 2 2 2 3 3" xfId="30974"/>
    <cellStyle name="Обычный 337 3 3 2 2 2 3 3 2" xfId="45797"/>
    <cellStyle name="Обычный 337 3 3 2 2 2 3 4" xfId="38471"/>
    <cellStyle name="Обычный 337 3 3 2 2 2 3 5" xfId="23659"/>
    <cellStyle name="Обычный 337 3 3 2 2 2 4" xfId="25476"/>
    <cellStyle name="Обычный 337 3 3 2 2 2 4 2" xfId="32787"/>
    <cellStyle name="Обычный 337 3 3 2 2 2 4 2 2" xfId="47610"/>
    <cellStyle name="Обычный 337 3 3 2 2 2 4 3" xfId="40364"/>
    <cellStyle name="Обычный 337 3 3 2 2 2 5" xfId="29133"/>
    <cellStyle name="Обычный 337 3 3 2 2 2 5 2" xfId="43970"/>
    <cellStyle name="Обычный 337 3 3 2 2 2 6" xfId="36395"/>
    <cellStyle name="Обычный 337 3 3 2 2 2 7" xfId="21815"/>
    <cellStyle name="Обычный 337 3 3 2 2 3" xfId="18522"/>
    <cellStyle name="Обычный 337 3 3 2 2 3 2" xfId="20404"/>
    <cellStyle name="Обычный 337 3 3 2 2 3 2 2" xfId="27730"/>
    <cellStyle name="Обычный 337 3 3 2 2 3 2 2 2" xfId="35041"/>
    <cellStyle name="Обычный 337 3 3 2 2 3 2 2 2 2" xfId="49861"/>
    <cellStyle name="Обычный 337 3 3 2 2 3 2 2 3" xfId="42569"/>
    <cellStyle name="Обычный 337 3 3 2 2 3 2 3" xfId="31387"/>
    <cellStyle name="Обычный 337 3 3 2 2 3 2 3 2" xfId="46210"/>
    <cellStyle name="Обычный 337 3 3 2 2 3 2 4" xfId="38885"/>
    <cellStyle name="Обычный 337 3 3 2 2 3 2 5" xfId="24072"/>
    <cellStyle name="Обычный 337 3 3 2 2 3 3" xfId="25904"/>
    <cellStyle name="Обычный 337 3 3 2 2 3 3 2" xfId="33215"/>
    <cellStyle name="Обычный 337 3 3 2 2 3 3 2 2" xfId="48035"/>
    <cellStyle name="Обычный 337 3 3 2 2 3 3 3" xfId="40751"/>
    <cellStyle name="Обычный 337 3 3 2 2 3 4" xfId="29561"/>
    <cellStyle name="Обычный 337 3 3 2 2 3 4 2" xfId="44385"/>
    <cellStyle name="Обычный 337 3 3 2 2 3 5" xfId="37162"/>
    <cellStyle name="Обычный 337 3 3 2 2 3 6" xfId="22243"/>
    <cellStyle name="Обычный 337 3 3 2 2 4" xfId="19497"/>
    <cellStyle name="Обычный 337 3 3 2 2 4 2" xfId="26867"/>
    <cellStyle name="Обычный 337 3 3 2 2 4 2 2" xfId="34178"/>
    <cellStyle name="Обычный 337 3 3 2 2 4 2 2 2" xfId="48998"/>
    <cellStyle name="Обычный 337 3 3 2 2 4 2 3" xfId="41707"/>
    <cellStyle name="Обычный 337 3 3 2 2 4 3" xfId="30524"/>
    <cellStyle name="Обычный 337 3 3 2 2 4 3 2" xfId="45347"/>
    <cellStyle name="Обычный 337 3 3 2 2 4 4" xfId="38021"/>
    <cellStyle name="Обычный 337 3 3 2 2 4 5" xfId="23209"/>
    <cellStyle name="Обычный 337 3 3 2 2 5" xfId="25026"/>
    <cellStyle name="Обычный 337 3 3 2 2 5 2" xfId="32337"/>
    <cellStyle name="Обычный 337 3 3 2 2 5 2 2" xfId="47160"/>
    <cellStyle name="Обычный 337 3 3 2 2 5 3" xfId="39921"/>
    <cellStyle name="Обычный 337 3 3 2 2 6" xfId="28683"/>
    <cellStyle name="Обычный 337 3 3 2 2 6 2" xfId="43520"/>
    <cellStyle name="Обычный 337 3 3 2 2 7" xfId="35946"/>
    <cellStyle name="Обычный 337 3 3 2 2 8" xfId="21365"/>
    <cellStyle name="Обычный 337 3 3 2 3" xfId="17680"/>
    <cellStyle name="Обычный 337 3 3 2 3 2" xfId="18794"/>
    <cellStyle name="Обычный 337 3 3 2 3 2 2" xfId="20673"/>
    <cellStyle name="Обычный 337 3 3 2 3 2 2 2" xfId="27999"/>
    <cellStyle name="Обычный 337 3 3 2 3 2 2 2 2" xfId="35310"/>
    <cellStyle name="Обычный 337 3 3 2 3 2 2 2 2 2" xfId="50130"/>
    <cellStyle name="Обычный 337 3 3 2 3 2 2 2 3" xfId="42838"/>
    <cellStyle name="Обычный 337 3 3 2 3 2 2 3" xfId="31656"/>
    <cellStyle name="Обычный 337 3 3 2 3 2 2 3 2" xfId="46479"/>
    <cellStyle name="Обычный 337 3 3 2 3 2 2 4" xfId="39154"/>
    <cellStyle name="Обычный 337 3 3 2 3 2 2 5" xfId="24341"/>
    <cellStyle name="Обычный 337 3 3 2 3 2 3" xfId="26173"/>
    <cellStyle name="Обычный 337 3 3 2 3 2 3 2" xfId="33484"/>
    <cellStyle name="Обычный 337 3 3 2 3 2 3 2 2" xfId="48304"/>
    <cellStyle name="Обычный 337 3 3 2 3 2 3 3" xfId="41017"/>
    <cellStyle name="Обычный 337 3 3 2 3 2 4" xfId="29830"/>
    <cellStyle name="Обычный 337 3 3 2 3 2 4 2" xfId="44654"/>
    <cellStyle name="Обычный 337 3 3 2 3 2 5" xfId="37431"/>
    <cellStyle name="Обычный 337 3 3 2 3 2 6" xfId="22512"/>
    <cellStyle name="Обычный 337 3 3 2 3 3" xfId="19724"/>
    <cellStyle name="Обычный 337 3 3 2 3 3 2" xfId="27093"/>
    <cellStyle name="Обычный 337 3 3 2 3 3 2 2" xfId="34404"/>
    <cellStyle name="Обычный 337 3 3 2 3 3 2 2 2" xfId="49224"/>
    <cellStyle name="Обычный 337 3 3 2 3 3 2 3" xfId="41933"/>
    <cellStyle name="Обычный 337 3 3 2 3 3 3" xfId="30750"/>
    <cellStyle name="Обычный 337 3 3 2 3 3 3 2" xfId="45573"/>
    <cellStyle name="Обычный 337 3 3 2 3 3 4" xfId="38247"/>
    <cellStyle name="Обычный 337 3 3 2 3 3 5" xfId="23435"/>
    <cellStyle name="Обычный 337 3 3 2 3 4" xfId="25252"/>
    <cellStyle name="Обычный 337 3 3 2 3 4 2" xfId="32563"/>
    <cellStyle name="Обычный 337 3 3 2 3 4 2 2" xfId="47386"/>
    <cellStyle name="Обычный 337 3 3 2 3 4 3" xfId="40144"/>
    <cellStyle name="Обычный 337 3 3 2 3 5" xfId="28909"/>
    <cellStyle name="Обычный 337 3 3 2 3 5 2" xfId="43746"/>
    <cellStyle name="Обычный 337 3 3 2 3 6" xfId="36394"/>
    <cellStyle name="Обычный 337 3 3 2 3 7" xfId="21591"/>
    <cellStyle name="Обычный 337 3 3 2 4" xfId="18521"/>
    <cellStyle name="Обычный 337 3 3 2 4 2" xfId="20403"/>
    <cellStyle name="Обычный 337 3 3 2 4 2 2" xfId="27729"/>
    <cellStyle name="Обычный 337 3 3 2 4 2 2 2" xfId="35040"/>
    <cellStyle name="Обычный 337 3 3 2 4 2 2 2 2" xfId="49860"/>
    <cellStyle name="Обычный 337 3 3 2 4 2 2 3" xfId="42568"/>
    <cellStyle name="Обычный 337 3 3 2 4 2 3" xfId="31386"/>
    <cellStyle name="Обычный 337 3 3 2 4 2 3 2" xfId="46209"/>
    <cellStyle name="Обычный 337 3 3 2 4 2 4" xfId="38884"/>
    <cellStyle name="Обычный 337 3 3 2 4 2 5" xfId="24071"/>
    <cellStyle name="Обычный 337 3 3 2 4 3" xfId="25903"/>
    <cellStyle name="Обычный 337 3 3 2 4 3 2" xfId="33214"/>
    <cellStyle name="Обычный 337 3 3 2 4 3 2 2" xfId="48034"/>
    <cellStyle name="Обычный 337 3 3 2 4 3 3" xfId="40750"/>
    <cellStyle name="Обычный 337 3 3 2 4 4" xfId="29560"/>
    <cellStyle name="Обычный 337 3 3 2 4 4 2" xfId="44384"/>
    <cellStyle name="Обычный 337 3 3 2 4 5" xfId="37161"/>
    <cellStyle name="Обычный 337 3 3 2 4 6" xfId="22242"/>
    <cellStyle name="Обычный 337 3 3 2 5" xfId="19274"/>
    <cellStyle name="Обычный 337 3 3 2 5 2" xfId="26644"/>
    <cellStyle name="Обычный 337 3 3 2 5 2 2" xfId="33955"/>
    <cellStyle name="Обычный 337 3 3 2 5 2 2 2" xfId="48775"/>
    <cellStyle name="Обычный 337 3 3 2 5 2 3" xfId="41484"/>
    <cellStyle name="Обычный 337 3 3 2 5 3" xfId="30301"/>
    <cellStyle name="Обычный 337 3 3 2 5 3 2" xfId="45124"/>
    <cellStyle name="Обычный 337 3 3 2 5 4" xfId="37798"/>
    <cellStyle name="Обычный 337 3 3 2 5 5" xfId="22986"/>
    <cellStyle name="Обычный 337 3 3 2 6" xfId="24802"/>
    <cellStyle name="Обычный 337 3 3 2 6 2" xfId="32113"/>
    <cellStyle name="Обычный 337 3 3 2 6 2 2" xfId="46936"/>
    <cellStyle name="Обычный 337 3 3 2 6 3" xfId="39701"/>
    <cellStyle name="Обычный 337 3 3 2 7" xfId="28459"/>
    <cellStyle name="Обычный 337 3 3 2 7 2" xfId="43296"/>
    <cellStyle name="Обычный 337 3 3 2 8" xfId="35945"/>
    <cellStyle name="Обычный 337 3 3 2 9" xfId="21141"/>
    <cellStyle name="Обычный 337 3 3 3" xfId="17339"/>
    <cellStyle name="Обычный 337 3 3 3 2" xfId="17792"/>
    <cellStyle name="Обычный 337 3 3 3 2 2" xfId="18906"/>
    <cellStyle name="Обычный 337 3 3 3 2 2 2" xfId="20785"/>
    <cellStyle name="Обычный 337 3 3 3 2 2 2 2" xfId="28111"/>
    <cellStyle name="Обычный 337 3 3 3 2 2 2 2 2" xfId="35422"/>
    <cellStyle name="Обычный 337 3 3 3 2 2 2 2 2 2" xfId="50242"/>
    <cellStyle name="Обычный 337 3 3 3 2 2 2 2 3" xfId="42950"/>
    <cellStyle name="Обычный 337 3 3 3 2 2 2 3" xfId="31768"/>
    <cellStyle name="Обычный 337 3 3 3 2 2 2 3 2" xfId="46591"/>
    <cellStyle name="Обычный 337 3 3 3 2 2 2 4" xfId="39266"/>
    <cellStyle name="Обычный 337 3 3 3 2 2 2 5" xfId="24453"/>
    <cellStyle name="Обычный 337 3 3 3 2 2 3" xfId="26285"/>
    <cellStyle name="Обычный 337 3 3 3 2 2 3 2" xfId="33596"/>
    <cellStyle name="Обычный 337 3 3 3 2 2 3 2 2" xfId="48416"/>
    <cellStyle name="Обычный 337 3 3 3 2 2 3 3" xfId="41129"/>
    <cellStyle name="Обычный 337 3 3 3 2 2 4" xfId="29942"/>
    <cellStyle name="Обычный 337 3 3 3 2 2 4 2" xfId="44766"/>
    <cellStyle name="Обычный 337 3 3 3 2 2 5" xfId="37542"/>
    <cellStyle name="Обычный 337 3 3 3 2 2 6" xfId="22624"/>
    <cellStyle name="Обычный 337 3 3 3 2 3" xfId="19836"/>
    <cellStyle name="Обычный 337 3 3 3 2 3 2" xfId="27205"/>
    <cellStyle name="Обычный 337 3 3 3 2 3 2 2" xfId="34516"/>
    <cellStyle name="Обычный 337 3 3 3 2 3 2 2 2" xfId="49336"/>
    <cellStyle name="Обычный 337 3 3 3 2 3 2 3" xfId="42045"/>
    <cellStyle name="Обычный 337 3 3 3 2 3 3" xfId="30862"/>
    <cellStyle name="Обычный 337 3 3 3 2 3 3 2" xfId="45685"/>
    <cellStyle name="Обычный 337 3 3 3 2 3 4" xfId="38359"/>
    <cellStyle name="Обычный 337 3 3 3 2 3 5" xfId="23547"/>
    <cellStyle name="Обычный 337 3 3 3 2 4" xfId="25364"/>
    <cellStyle name="Обычный 337 3 3 3 2 4 2" xfId="32675"/>
    <cellStyle name="Обычный 337 3 3 3 2 4 2 2" xfId="47498"/>
    <cellStyle name="Обычный 337 3 3 3 2 4 3" xfId="40252"/>
    <cellStyle name="Обычный 337 3 3 3 2 5" xfId="29021"/>
    <cellStyle name="Обычный 337 3 3 3 2 5 2" xfId="43858"/>
    <cellStyle name="Обычный 337 3 3 3 2 6" xfId="36396"/>
    <cellStyle name="Обычный 337 3 3 3 2 7" xfId="21703"/>
    <cellStyle name="Обычный 337 3 3 3 3" xfId="18523"/>
    <cellStyle name="Обычный 337 3 3 3 3 2" xfId="20405"/>
    <cellStyle name="Обычный 337 3 3 3 3 2 2" xfId="27731"/>
    <cellStyle name="Обычный 337 3 3 3 3 2 2 2" xfId="35042"/>
    <cellStyle name="Обычный 337 3 3 3 3 2 2 2 2" xfId="49862"/>
    <cellStyle name="Обычный 337 3 3 3 3 2 2 3" xfId="42570"/>
    <cellStyle name="Обычный 337 3 3 3 3 2 3" xfId="31388"/>
    <cellStyle name="Обычный 337 3 3 3 3 2 3 2" xfId="46211"/>
    <cellStyle name="Обычный 337 3 3 3 3 2 4" xfId="38886"/>
    <cellStyle name="Обычный 337 3 3 3 3 2 5" xfId="24073"/>
    <cellStyle name="Обычный 337 3 3 3 3 3" xfId="25905"/>
    <cellStyle name="Обычный 337 3 3 3 3 3 2" xfId="33216"/>
    <cellStyle name="Обычный 337 3 3 3 3 3 2 2" xfId="48036"/>
    <cellStyle name="Обычный 337 3 3 3 3 3 3" xfId="40752"/>
    <cellStyle name="Обычный 337 3 3 3 3 4" xfId="29562"/>
    <cellStyle name="Обычный 337 3 3 3 3 4 2" xfId="44386"/>
    <cellStyle name="Обычный 337 3 3 3 3 5" xfId="37163"/>
    <cellStyle name="Обычный 337 3 3 3 3 6" xfId="22244"/>
    <cellStyle name="Обычный 337 3 3 3 4" xfId="19385"/>
    <cellStyle name="Обычный 337 3 3 3 4 2" xfId="26755"/>
    <cellStyle name="Обычный 337 3 3 3 4 2 2" xfId="34066"/>
    <cellStyle name="Обычный 337 3 3 3 4 2 2 2" xfId="48886"/>
    <cellStyle name="Обычный 337 3 3 3 4 2 3" xfId="41595"/>
    <cellStyle name="Обычный 337 3 3 3 4 3" xfId="30412"/>
    <cellStyle name="Обычный 337 3 3 3 4 3 2" xfId="45235"/>
    <cellStyle name="Обычный 337 3 3 3 4 4" xfId="37909"/>
    <cellStyle name="Обычный 337 3 3 3 4 5" xfId="23097"/>
    <cellStyle name="Обычный 337 3 3 3 5" xfId="24914"/>
    <cellStyle name="Обычный 337 3 3 3 5 2" xfId="32225"/>
    <cellStyle name="Обычный 337 3 3 3 5 2 2" xfId="47048"/>
    <cellStyle name="Обычный 337 3 3 3 5 3" xfId="39809"/>
    <cellStyle name="Обычный 337 3 3 3 6" xfId="28571"/>
    <cellStyle name="Обычный 337 3 3 3 6 2" xfId="43408"/>
    <cellStyle name="Обычный 337 3 3 3 7" xfId="35947"/>
    <cellStyle name="Обычный 337 3 3 3 8" xfId="21253"/>
    <cellStyle name="Обычный 337 3 3 4" xfId="17568"/>
    <cellStyle name="Обычный 337 3 3 4 2" xfId="18682"/>
    <cellStyle name="Обычный 337 3 3 4 2 2" xfId="20561"/>
    <cellStyle name="Обычный 337 3 3 4 2 2 2" xfId="27887"/>
    <cellStyle name="Обычный 337 3 3 4 2 2 2 2" xfId="35198"/>
    <cellStyle name="Обычный 337 3 3 4 2 2 2 2 2" xfId="50018"/>
    <cellStyle name="Обычный 337 3 3 4 2 2 2 3" xfId="42726"/>
    <cellStyle name="Обычный 337 3 3 4 2 2 3" xfId="31544"/>
    <cellStyle name="Обычный 337 3 3 4 2 2 3 2" xfId="46367"/>
    <cellStyle name="Обычный 337 3 3 4 2 2 4" xfId="39042"/>
    <cellStyle name="Обычный 337 3 3 4 2 2 5" xfId="24229"/>
    <cellStyle name="Обычный 337 3 3 4 2 3" xfId="26061"/>
    <cellStyle name="Обычный 337 3 3 4 2 3 2" xfId="33372"/>
    <cellStyle name="Обычный 337 3 3 4 2 3 2 2" xfId="48192"/>
    <cellStyle name="Обычный 337 3 3 4 2 3 3" xfId="40905"/>
    <cellStyle name="Обычный 337 3 3 4 2 4" xfId="29718"/>
    <cellStyle name="Обычный 337 3 3 4 2 4 2" xfId="44542"/>
    <cellStyle name="Обычный 337 3 3 4 2 5" xfId="37319"/>
    <cellStyle name="Обычный 337 3 3 4 2 6" xfId="22400"/>
    <cellStyle name="Обычный 337 3 3 4 3" xfId="19612"/>
    <cellStyle name="Обычный 337 3 3 4 3 2" xfId="26981"/>
    <cellStyle name="Обычный 337 3 3 4 3 2 2" xfId="34292"/>
    <cellStyle name="Обычный 337 3 3 4 3 2 2 2" xfId="49112"/>
    <cellStyle name="Обычный 337 3 3 4 3 2 3" xfId="41821"/>
    <cellStyle name="Обычный 337 3 3 4 3 3" xfId="30638"/>
    <cellStyle name="Обычный 337 3 3 4 3 3 2" xfId="45461"/>
    <cellStyle name="Обычный 337 3 3 4 3 4" xfId="38135"/>
    <cellStyle name="Обычный 337 3 3 4 3 5" xfId="23323"/>
    <cellStyle name="Обычный 337 3 3 4 4" xfId="25140"/>
    <cellStyle name="Обычный 337 3 3 4 4 2" xfId="32451"/>
    <cellStyle name="Обычный 337 3 3 4 4 2 2" xfId="47274"/>
    <cellStyle name="Обычный 337 3 3 4 4 3" xfId="40034"/>
    <cellStyle name="Обычный 337 3 3 4 5" xfId="28797"/>
    <cellStyle name="Обычный 337 3 3 4 5 2" xfId="43634"/>
    <cellStyle name="Обычный 337 3 3 4 6" xfId="36393"/>
    <cellStyle name="Обычный 337 3 3 4 7" xfId="21479"/>
    <cellStyle name="Обычный 337 3 3 5" xfId="18520"/>
    <cellStyle name="Обычный 337 3 3 5 2" xfId="20402"/>
    <cellStyle name="Обычный 337 3 3 5 2 2" xfId="27728"/>
    <cellStyle name="Обычный 337 3 3 5 2 2 2" xfId="35039"/>
    <cellStyle name="Обычный 337 3 3 5 2 2 2 2" xfId="49859"/>
    <cellStyle name="Обычный 337 3 3 5 2 2 3" xfId="42567"/>
    <cellStyle name="Обычный 337 3 3 5 2 3" xfId="31385"/>
    <cellStyle name="Обычный 337 3 3 5 2 3 2" xfId="46208"/>
    <cellStyle name="Обычный 337 3 3 5 2 4" xfId="38883"/>
    <cellStyle name="Обычный 337 3 3 5 2 5" xfId="24070"/>
    <cellStyle name="Обычный 337 3 3 5 3" xfId="25902"/>
    <cellStyle name="Обычный 337 3 3 5 3 2" xfId="33213"/>
    <cellStyle name="Обычный 337 3 3 5 3 2 2" xfId="48033"/>
    <cellStyle name="Обычный 337 3 3 5 3 3" xfId="40749"/>
    <cellStyle name="Обычный 337 3 3 5 4" xfId="29559"/>
    <cellStyle name="Обычный 337 3 3 5 4 2" xfId="44383"/>
    <cellStyle name="Обычный 337 3 3 5 5" xfId="37160"/>
    <cellStyle name="Обычный 337 3 3 5 6" xfId="22241"/>
    <cellStyle name="Обычный 337 3 3 6" xfId="19164"/>
    <cellStyle name="Обычный 337 3 3 6 2" xfId="26535"/>
    <cellStyle name="Обычный 337 3 3 6 2 2" xfId="33846"/>
    <cellStyle name="Обычный 337 3 3 6 2 2 2" xfId="48666"/>
    <cellStyle name="Обычный 337 3 3 6 2 3" xfId="41375"/>
    <cellStyle name="Обычный 337 3 3 6 3" xfId="30192"/>
    <cellStyle name="Обычный 337 3 3 6 3 2" xfId="45015"/>
    <cellStyle name="Обычный 337 3 3 6 4" xfId="37689"/>
    <cellStyle name="Обычный 337 3 3 6 5" xfId="22877"/>
    <cellStyle name="Обычный 337 3 3 7" xfId="24690"/>
    <cellStyle name="Обычный 337 3 3 7 2" xfId="32001"/>
    <cellStyle name="Обычный 337 3 3 7 2 2" xfId="46824"/>
    <cellStyle name="Обычный 337 3 3 7 3" xfId="39602"/>
    <cellStyle name="Обычный 337 3 3 8" xfId="28347"/>
    <cellStyle name="Обычный 337 3 3 8 2" xfId="43184"/>
    <cellStyle name="Обычный 337 3 3 9" xfId="35944"/>
    <cellStyle name="Обычный 337 3 4" xfId="17398"/>
    <cellStyle name="Обычный 337 3 4 2" xfId="17848"/>
    <cellStyle name="Обычный 337 3 4 2 2" xfId="18962"/>
    <cellStyle name="Обычный 337 3 4 2 2 2" xfId="20841"/>
    <cellStyle name="Обычный 337 3 4 2 2 2 2" xfId="24509"/>
    <cellStyle name="Обычный 337 3 4 2 2 2 2 2" xfId="28167"/>
    <cellStyle name="Обычный 337 3 4 2 2 2 2 2 2" xfId="35478"/>
    <cellStyle name="Обычный 337 3 4 2 2 2 2 2 2 2" xfId="50298"/>
    <cellStyle name="Обычный 337 3 4 2 2 2 2 2 3" xfId="43006"/>
    <cellStyle name="Обычный 337 3 4 2 2 2 2 3" xfId="31824"/>
    <cellStyle name="Обычный 337 3 4 2 2 2 2 3 2" xfId="46647"/>
    <cellStyle name="Обычный 337 3 4 2 2 2 2 4" xfId="39457"/>
    <cellStyle name="Обычный 337 3 4 2 2 2 3" xfId="26341"/>
    <cellStyle name="Обычный 337 3 4 2 2 2 3 2" xfId="33652"/>
    <cellStyle name="Обычный 337 3 4 2 2 2 3 2 2" xfId="48472"/>
    <cellStyle name="Обычный 337 3 4 2 2 2 3 3" xfId="41185"/>
    <cellStyle name="Обычный 337 3 4 2 2 2 4" xfId="29998"/>
    <cellStyle name="Обычный 337 3 4 2 2 2 4 2" xfId="44822"/>
    <cellStyle name="Обычный 337 3 4 2 2 2 5" xfId="39322"/>
    <cellStyle name="Обычный 337 3 4 2 2 2 6" xfId="22680"/>
    <cellStyle name="Обычный 337 3 4 2 2 3" xfId="19892"/>
    <cellStyle name="Обычный 337 3 4 2 2 3 2" xfId="27261"/>
    <cellStyle name="Обычный 337 3 4 2 2 3 2 2" xfId="34572"/>
    <cellStyle name="Обычный 337 3 4 2 2 3 2 2 2" xfId="49392"/>
    <cellStyle name="Обычный 337 3 4 2 2 3 2 3" xfId="42101"/>
    <cellStyle name="Обычный 337 3 4 2 2 3 3" xfId="30918"/>
    <cellStyle name="Обычный 337 3 4 2 2 3 3 2" xfId="45741"/>
    <cellStyle name="Обычный 337 3 4 2 2 3 4" xfId="38415"/>
    <cellStyle name="Обычный 337 3 4 2 2 3 5" xfId="23603"/>
    <cellStyle name="Обычный 337 3 4 2 2 4" xfId="25420"/>
    <cellStyle name="Обычный 337 3 4 2 2 4 2" xfId="32731"/>
    <cellStyle name="Обычный 337 3 4 2 2 4 2 2" xfId="47554"/>
    <cellStyle name="Обычный 337 3 4 2 2 4 3" xfId="40308"/>
    <cellStyle name="Обычный 337 3 4 2 2 5" xfId="29077"/>
    <cellStyle name="Обычный 337 3 4 2 2 5 2" xfId="43914"/>
    <cellStyle name="Обычный 337 3 4 2 2 6" xfId="36398"/>
    <cellStyle name="Обычный 337 3 4 2 2 7" xfId="21759"/>
    <cellStyle name="Обычный 337 3 4 2 3" xfId="18525"/>
    <cellStyle name="Обычный 337 3 4 2 3 2" xfId="20407"/>
    <cellStyle name="Обычный 337 3 4 2 3 2 2" xfId="27733"/>
    <cellStyle name="Обычный 337 3 4 2 3 2 2 2" xfId="35044"/>
    <cellStyle name="Обычный 337 3 4 2 3 2 2 2 2" xfId="49864"/>
    <cellStyle name="Обычный 337 3 4 2 3 2 2 3" xfId="42572"/>
    <cellStyle name="Обычный 337 3 4 2 3 2 3" xfId="31390"/>
    <cellStyle name="Обычный 337 3 4 2 3 2 3 2" xfId="46213"/>
    <cellStyle name="Обычный 337 3 4 2 3 2 4" xfId="38888"/>
    <cellStyle name="Обычный 337 3 4 2 3 2 5" xfId="24075"/>
    <cellStyle name="Обычный 337 3 4 2 3 3" xfId="25907"/>
    <cellStyle name="Обычный 337 3 4 2 3 3 2" xfId="33218"/>
    <cellStyle name="Обычный 337 3 4 2 3 3 2 2" xfId="48038"/>
    <cellStyle name="Обычный 337 3 4 2 3 3 3" xfId="40754"/>
    <cellStyle name="Обычный 337 3 4 2 3 4" xfId="29564"/>
    <cellStyle name="Обычный 337 3 4 2 3 4 2" xfId="44388"/>
    <cellStyle name="Обычный 337 3 4 2 3 5" xfId="37165"/>
    <cellStyle name="Обычный 337 3 4 2 3 6" xfId="22246"/>
    <cellStyle name="Обычный 337 3 4 2 4" xfId="19441"/>
    <cellStyle name="Обычный 337 3 4 2 4 2" xfId="26811"/>
    <cellStyle name="Обычный 337 3 4 2 4 2 2" xfId="34122"/>
    <cellStyle name="Обычный 337 3 4 2 4 2 2 2" xfId="48942"/>
    <cellStyle name="Обычный 337 3 4 2 4 2 3" xfId="41651"/>
    <cellStyle name="Обычный 337 3 4 2 4 3" xfId="30468"/>
    <cellStyle name="Обычный 337 3 4 2 4 3 2" xfId="45291"/>
    <cellStyle name="Обычный 337 3 4 2 4 4" xfId="37965"/>
    <cellStyle name="Обычный 337 3 4 2 4 5" xfId="23153"/>
    <cellStyle name="Обычный 337 3 4 2 5" xfId="24970"/>
    <cellStyle name="Обычный 337 3 4 2 5 2" xfId="32281"/>
    <cellStyle name="Обычный 337 3 4 2 5 2 2" xfId="47104"/>
    <cellStyle name="Обычный 337 3 4 2 5 3" xfId="39865"/>
    <cellStyle name="Обычный 337 3 4 2 6" xfId="28627"/>
    <cellStyle name="Обычный 337 3 4 2 6 2" xfId="43464"/>
    <cellStyle name="Обычный 337 3 4 2 7" xfId="35949"/>
    <cellStyle name="Обычный 337 3 4 2 8" xfId="21309"/>
    <cellStyle name="Обычный 337 3 4 3" xfId="17624"/>
    <cellStyle name="Обычный 337 3 4 3 2" xfId="18738"/>
    <cellStyle name="Обычный 337 3 4 3 2 2" xfId="20617"/>
    <cellStyle name="Обычный 337 3 4 3 2 2 2" xfId="27943"/>
    <cellStyle name="Обычный 337 3 4 3 2 2 2 2" xfId="35254"/>
    <cellStyle name="Обычный 337 3 4 3 2 2 2 2 2" xfId="50074"/>
    <cellStyle name="Обычный 337 3 4 3 2 2 2 3" xfId="42782"/>
    <cellStyle name="Обычный 337 3 4 3 2 2 3" xfId="31600"/>
    <cellStyle name="Обычный 337 3 4 3 2 2 3 2" xfId="46423"/>
    <cellStyle name="Обычный 337 3 4 3 2 2 4" xfId="39098"/>
    <cellStyle name="Обычный 337 3 4 3 2 2 5" xfId="24285"/>
    <cellStyle name="Обычный 337 3 4 3 2 3" xfId="26117"/>
    <cellStyle name="Обычный 337 3 4 3 2 3 2" xfId="33428"/>
    <cellStyle name="Обычный 337 3 4 3 2 3 2 2" xfId="48248"/>
    <cellStyle name="Обычный 337 3 4 3 2 3 3" xfId="40961"/>
    <cellStyle name="Обычный 337 3 4 3 2 4" xfId="29774"/>
    <cellStyle name="Обычный 337 3 4 3 2 4 2" xfId="44598"/>
    <cellStyle name="Обычный 337 3 4 3 2 5" xfId="37375"/>
    <cellStyle name="Обычный 337 3 4 3 2 6" xfId="22456"/>
    <cellStyle name="Обычный 337 3 4 3 3" xfId="19668"/>
    <cellStyle name="Обычный 337 3 4 3 3 2" xfId="27037"/>
    <cellStyle name="Обычный 337 3 4 3 3 2 2" xfId="34348"/>
    <cellStyle name="Обычный 337 3 4 3 3 2 2 2" xfId="49168"/>
    <cellStyle name="Обычный 337 3 4 3 3 2 3" xfId="41877"/>
    <cellStyle name="Обычный 337 3 4 3 3 3" xfId="30694"/>
    <cellStyle name="Обычный 337 3 4 3 3 3 2" xfId="45517"/>
    <cellStyle name="Обычный 337 3 4 3 3 4" xfId="38191"/>
    <cellStyle name="Обычный 337 3 4 3 3 5" xfId="23379"/>
    <cellStyle name="Обычный 337 3 4 3 4" xfId="25196"/>
    <cellStyle name="Обычный 337 3 4 3 4 2" xfId="32507"/>
    <cellStyle name="Обычный 337 3 4 3 4 2 2" xfId="47330"/>
    <cellStyle name="Обычный 337 3 4 3 4 3" xfId="40088"/>
    <cellStyle name="Обычный 337 3 4 3 5" xfId="28853"/>
    <cellStyle name="Обычный 337 3 4 3 5 2" xfId="43690"/>
    <cellStyle name="Обычный 337 3 4 3 6" xfId="36397"/>
    <cellStyle name="Обычный 337 3 4 3 7" xfId="21535"/>
    <cellStyle name="Обычный 337 3 4 4" xfId="18524"/>
    <cellStyle name="Обычный 337 3 4 4 2" xfId="20406"/>
    <cellStyle name="Обычный 337 3 4 4 2 2" xfId="27732"/>
    <cellStyle name="Обычный 337 3 4 4 2 2 2" xfId="35043"/>
    <cellStyle name="Обычный 337 3 4 4 2 2 2 2" xfId="49863"/>
    <cellStyle name="Обычный 337 3 4 4 2 2 3" xfId="42571"/>
    <cellStyle name="Обычный 337 3 4 4 2 3" xfId="31389"/>
    <cellStyle name="Обычный 337 3 4 4 2 3 2" xfId="46212"/>
    <cellStyle name="Обычный 337 3 4 4 2 4" xfId="38887"/>
    <cellStyle name="Обычный 337 3 4 4 2 5" xfId="24074"/>
    <cellStyle name="Обычный 337 3 4 4 3" xfId="25906"/>
    <cellStyle name="Обычный 337 3 4 4 3 2" xfId="33217"/>
    <cellStyle name="Обычный 337 3 4 4 3 2 2" xfId="48037"/>
    <cellStyle name="Обычный 337 3 4 4 3 3" xfId="40753"/>
    <cellStyle name="Обычный 337 3 4 4 4" xfId="29563"/>
    <cellStyle name="Обычный 337 3 4 4 4 2" xfId="44387"/>
    <cellStyle name="Обычный 337 3 4 4 5" xfId="37164"/>
    <cellStyle name="Обычный 337 3 4 4 6" xfId="22245"/>
    <cellStyle name="Обычный 337 3 4 5" xfId="19219"/>
    <cellStyle name="Обычный 337 3 4 5 2" xfId="26589"/>
    <cellStyle name="Обычный 337 3 4 5 2 2" xfId="33900"/>
    <cellStyle name="Обычный 337 3 4 5 2 2 2" xfId="48720"/>
    <cellStyle name="Обычный 337 3 4 5 2 3" xfId="41429"/>
    <cellStyle name="Обычный 337 3 4 5 3" xfId="30246"/>
    <cellStyle name="Обычный 337 3 4 5 3 2" xfId="45069"/>
    <cellStyle name="Обычный 337 3 4 5 4" xfId="37743"/>
    <cellStyle name="Обычный 337 3 4 5 5" xfId="22931"/>
    <cellStyle name="Обычный 337 3 4 6" xfId="24746"/>
    <cellStyle name="Обычный 337 3 4 6 2" xfId="32057"/>
    <cellStyle name="Обычный 337 3 4 6 2 2" xfId="46880"/>
    <cellStyle name="Обычный 337 3 4 6 3" xfId="39649"/>
    <cellStyle name="Обычный 337 3 4 7" xfId="28403"/>
    <cellStyle name="Обычный 337 3 4 7 2" xfId="43240"/>
    <cellStyle name="Обычный 337 3 4 8" xfId="35948"/>
    <cellStyle name="Обычный 337 3 4 9" xfId="21085"/>
    <cellStyle name="Обычный 337 3 5" xfId="17280"/>
    <cellStyle name="Обычный 337 3 5 2" xfId="17736"/>
    <cellStyle name="Обычный 337 3 5 2 2" xfId="18850"/>
    <cellStyle name="Обычный 337 3 5 2 2 2" xfId="20729"/>
    <cellStyle name="Обычный 337 3 5 2 2 2 2" xfId="28055"/>
    <cellStyle name="Обычный 337 3 5 2 2 2 2 2" xfId="35366"/>
    <cellStyle name="Обычный 337 3 5 2 2 2 2 2 2" xfId="50186"/>
    <cellStyle name="Обычный 337 3 5 2 2 2 2 3" xfId="42894"/>
    <cellStyle name="Обычный 337 3 5 2 2 2 3" xfId="31712"/>
    <cellStyle name="Обычный 337 3 5 2 2 2 3 2" xfId="46535"/>
    <cellStyle name="Обычный 337 3 5 2 2 2 4" xfId="39210"/>
    <cellStyle name="Обычный 337 3 5 2 2 2 5" xfId="24397"/>
    <cellStyle name="Обычный 337 3 5 2 2 3" xfId="26229"/>
    <cellStyle name="Обычный 337 3 5 2 2 3 2" xfId="33540"/>
    <cellStyle name="Обычный 337 3 5 2 2 3 2 2" xfId="48360"/>
    <cellStyle name="Обычный 337 3 5 2 2 3 3" xfId="41073"/>
    <cellStyle name="Обычный 337 3 5 2 2 4" xfId="29886"/>
    <cellStyle name="Обычный 337 3 5 2 2 4 2" xfId="44710"/>
    <cellStyle name="Обычный 337 3 5 2 2 5" xfId="37486"/>
    <cellStyle name="Обычный 337 3 5 2 2 6" xfId="22568"/>
    <cellStyle name="Обычный 337 3 5 2 3" xfId="19780"/>
    <cellStyle name="Обычный 337 3 5 2 3 2" xfId="27149"/>
    <cellStyle name="Обычный 337 3 5 2 3 2 2" xfId="34460"/>
    <cellStyle name="Обычный 337 3 5 2 3 2 2 2" xfId="49280"/>
    <cellStyle name="Обычный 337 3 5 2 3 2 3" xfId="41989"/>
    <cellStyle name="Обычный 337 3 5 2 3 3" xfId="30806"/>
    <cellStyle name="Обычный 337 3 5 2 3 3 2" xfId="45629"/>
    <cellStyle name="Обычный 337 3 5 2 3 4" xfId="38303"/>
    <cellStyle name="Обычный 337 3 5 2 3 5" xfId="23491"/>
    <cellStyle name="Обычный 337 3 5 2 4" xfId="25308"/>
    <cellStyle name="Обычный 337 3 5 2 4 2" xfId="32619"/>
    <cellStyle name="Обычный 337 3 5 2 4 2 2" xfId="47442"/>
    <cellStyle name="Обычный 337 3 5 2 4 3" xfId="40198"/>
    <cellStyle name="Обычный 337 3 5 2 5" xfId="28965"/>
    <cellStyle name="Обычный 337 3 5 2 5 2" xfId="43802"/>
    <cellStyle name="Обычный 337 3 5 2 6" xfId="36399"/>
    <cellStyle name="Обычный 337 3 5 2 7" xfId="21647"/>
    <cellStyle name="Обычный 337 3 5 3" xfId="18526"/>
    <cellStyle name="Обычный 337 3 5 3 2" xfId="20408"/>
    <cellStyle name="Обычный 337 3 5 3 2 2" xfId="27734"/>
    <cellStyle name="Обычный 337 3 5 3 2 2 2" xfId="35045"/>
    <cellStyle name="Обычный 337 3 5 3 2 2 2 2" xfId="49865"/>
    <cellStyle name="Обычный 337 3 5 3 2 2 3" xfId="42573"/>
    <cellStyle name="Обычный 337 3 5 3 2 3" xfId="31391"/>
    <cellStyle name="Обычный 337 3 5 3 2 3 2" xfId="46214"/>
    <cellStyle name="Обычный 337 3 5 3 2 4" xfId="38889"/>
    <cellStyle name="Обычный 337 3 5 3 2 5" xfId="24076"/>
    <cellStyle name="Обычный 337 3 5 3 3" xfId="25908"/>
    <cellStyle name="Обычный 337 3 5 3 3 2" xfId="33219"/>
    <cellStyle name="Обычный 337 3 5 3 3 2 2" xfId="48039"/>
    <cellStyle name="Обычный 337 3 5 3 3 3" xfId="40755"/>
    <cellStyle name="Обычный 337 3 5 3 4" xfId="29565"/>
    <cellStyle name="Обычный 337 3 5 3 4 2" xfId="44389"/>
    <cellStyle name="Обычный 337 3 5 3 5" xfId="37166"/>
    <cellStyle name="Обычный 337 3 5 3 6" xfId="22247"/>
    <cellStyle name="Обычный 337 3 5 4" xfId="19329"/>
    <cellStyle name="Обычный 337 3 5 4 2" xfId="26699"/>
    <cellStyle name="Обычный 337 3 5 4 2 2" xfId="34010"/>
    <cellStyle name="Обычный 337 3 5 4 2 2 2" xfId="48830"/>
    <cellStyle name="Обычный 337 3 5 4 2 3" xfId="41539"/>
    <cellStyle name="Обычный 337 3 5 4 3" xfId="30356"/>
    <cellStyle name="Обычный 337 3 5 4 3 2" xfId="45179"/>
    <cellStyle name="Обычный 337 3 5 4 4" xfId="37853"/>
    <cellStyle name="Обычный 337 3 5 4 5" xfId="23041"/>
    <cellStyle name="Обычный 337 3 5 5" xfId="24858"/>
    <cellStyle name="Обычный 337 3 5 5 2" xfId="32169"/>
    <cellStyle name="Обычный 337 3 5 5 2 2" xfId="46992"/>
    <cellStyle name="Обычный 337 3 5 5 3" xfId="39755"/>
    <cellStyle name="Обычный 337 3 5 6" xfId="28515"/>
    <cellStyle name="Обычный 337 3 5 6 2" xfId="43352"/>
    <cellStyle name="Обычный 337 3 5 7" xfId="35950"/>
    <cellStyle name="Обычный 337 3 5 8" xfId="21197"/>
    <cellStyle name="Обычный 337 3 6" xfId="17512"/>
    <cellStyle name="Обычный 337 3 6 2" xfId="18626"/>
    <cellStyle name="Обычный 337 3 6 2 2" xfId="20505"/>
    <cellStyle name="Обычный 337 3 6 2 2 2" xfId="27831"/>
    <cellStyle name="Обычный 337 3 6 2 2 2 2" xfId="35142"/>
    <cellStyle name="Обычный 337 3 6 2 2 2 2 2" xfId="49962"/>
    <cellStyle name="Обычный 337 3 6 2 2 2 3" xfId="42670"/>
    <cellStyle name="Обычный 337 3 6 2 2 3" xfId="31488"/>
    <cellStyle name="Обычный 337 3 6 2 2 3 2" xfId="46311"/>
    <cellStyle name="Обычный 337 3 6 2 2 4" xfId="38986"/>
    <cellStyle name="Обычный 337 3 6 2 2 5" xfId="24173"/>
    <cellStyle name="Обычный 337 3 6 2 3" xfId="26005"/>
    <cellStyle name="Обычный 337 3 6 2 3 2" xfId="33316"/>
    <cellStyle name="Обычный 337 3 6 2 3 2 2" xfId="48136"/>
    <cellStyle name="Обычный 337 3 6 2 3 3" xfId="40849"/>
    <cellStyle name="Обычный 337 3 6 2 4" xfId="29662"/>
    <cellStyle name="Обычный 337 3 6 2 4 2" xfId="44486"/>
    <cellStyle name="Обычный 337 3 6 2 5" xfId="37263"/>
    <cellStyle name="Обычный 337 3 6 2 6" xfId="22344"/>
    <cellStyle name="Обычный 337 3 6 3" xfId="19556"/>
    <cellStyle name="Обычный 337 3 6 3 2" xfId="26925"/>
    <cellStyle name="Обычный 337 3 6 3 2 2" xfId="34236"/>
    <cellStyle name="Обычный 337 3 6 3 2 2 2" xfId="49056"/>
    <cellStyle name="Обычный 337 3 6 3 2 3" xfId="41765"/>
    <cellStyle name="Обычный 337 3 6 3 3" xfId="30582"/>
    <cellStyle name="Обычный 337 3 6 3 3 2" xfId="45405"/>
    <cellStyle name="Обычный 337 3 6 3 4" xfId="38079"/>
    <cellStyle name="Обычный 337 3 6 3 5" xfId="23267"/>
    <cellStyle name="Обычный 337 3 6 4" xfId="25084"/>
    <cellStyle name="Обычный 337 3 6 4 2" xfId="32395"/>
    <cellStyle name="Обычный 337 3 6 4 2 2" xfId="47218"/>
    <cellStyle name="Обычный 337 3 6 4 3" xfId="39979"/>
    <cellStyle name="Обычный 337 3 6 5" xfId="28741"/>
    <cellStyle name="Обычный 337 3 6 5 2" xfId="43578"/>
    <cellStyle name="Обычный 337 3 6 6" xfId="36384"/>
    <cellStyle name="Обычный 337 3 6 7" xfId="21423"/>
    <cellStyle name="Обычный 337 3 7" xfId="18161"/>
    <cellStyle name="Обычный 337 3 7 2" xfId="20052"/>
    <cellStyle name="Обычный 337 3 7 2 2" xfId="27378"/>
    <cellStyle name="Обычный 337 3 7 2 2 2" xfId="34689"/>
    <cellStyle name="Обычный 337 3 7 2 2 2 2" xfId="49509"/>
    <cellStyle name="Обычный 337 3 7 2 2 3" xfId="42218"/>
    <cellStyle name="Обычный 337 3 7 2 3" xfId="31035"/>
    <cellStyle name="Обычный 337 3 7 2 3 2" xfId="45858"/>
    <cellStyle name="Обычный 337 3 7 2 4" xfId="38533"/>
    <cellStyle name="Обычный 337 3 7 2 5" xfId="23720"/>
    <cellStyle name="Обычный 337 3 7 3" xfId="25547"/>
    <cellStyle name="Обычный 337 3 7 3 2" xfId="32858"/>
    <cellStyle name="Обычный 337 3 7 3 2 2" xfId="47678"/>
    <cellStyle name="Обычный 337 3 7 3 3" xfId="40425"/>
    <cellStyle name="Обычный 337 3 7 4" xfId="29204"/>
    <cellStyle name="Обычный 337 3 7 4 2" xfId="44033"/>
    <cellStyle name="Обычный 337 3 7 5" xfId="36805"/>
    <cellStyle name="Обычный 337 3 7 6" xfId="21886"/>
    <cellStyle name="Обычный 337 3 8" xfId="19088"/>
    <cellStyle name="Обычный 337 3 8 2" xfId="26467"/>
    <cellStyle name="Обычный 337 3 8 2 2" xfId="33778"/>
    <cellStyle name="Обычный 337 3 8 2 2 2" xfId="48598"/>
    <cellStyle name="Обычный 337 3 8 2 3" xfId="41308"/>
    <cellStyle name="Обычный 337 3 8 3" xfId="30124"/>
    <cellStyle name="Обычный 337 3 8 3 2" xfId="44948"/>
    <cellStyle name="Обычный 337 3 8 4" xfId="37621"/>
    <cellStyle name="Обычный 337 3 8 5" xfId="22809"/>
    <cellStyle name="Обычный 337 3 9" xfId="24634"/>
    <cellStyle name="Обычный 337 3 9 2" xfId="31945"/>
    <cellStyle name="Обычный 337 3 9 2 2" xfId="46768"/>
    <cellStyle name="Обычный 337 3 9 3" xfId="39556"/>
    <cellStyle name="Обычный 337 4" xfId="17196"/>
    <cellStyle name="Обычный 337 4 10" xfId="35951"/>
    <cellStyle name="Обычный 337 4 11" xfId="20987"/>
    <cellStyle name="Обычный 337 4 2" xfId="17353"/>
    <cellStyle name="Обычный 337 4 2 10" xfId="21043"/>
    <cellStyle name="Обычный 337 4 2 2" xfId="17468"/>
    <cellStyle name="Обычный 337 4 2 2 2" xfId="17918"/>
    <cellStyle name="Обычный 337 4 2 2 2 2" xfId="19032"/>
    <cellStyle name="Обычный 337 4 2 2 2 2 2" xfId="20911"/>
    <cellStyle name="Обычный 337 4 2 2 2 2 2 2" xfId="24579"/>
    <cellStyle name="Обычный 337 4 2 2 2 2 2 2 2" xfId="28237"/>
    <cellStyle name="Обычный 337 4 2 2 2 2 2 2 2 2" xfId="35548"/>
    <cellStyle name="Обычный 337 4 2 2 2 2 2 2 2 2 2" xfId="50368"/>
    <cellStyle name="Обычный 337 4 2 2 2 2 2 2 2 3" xfId="43076"/>
    <cellStyle name="Обычный 337 4 2 2 2 2 2 2 3" xfId="31894"/>
    <cellStyle name="Обычный 337 4 2 2 2 2 2 2 3 2" xfId="46717"/>
    <cellStyle name="Обычный 337 4 2 2 2 2 2 2 4" xfId="39511"/>
    <cellStyle name="Обычный 337 4 2 2 2 2 2 3" xfId="26411"/>
    <cellStyle name="Обычный 337 4 2 2 2 2 2 3 2" xfId="33722"/>
    <cellStyle name="Обычный 337 4 2 2 2 2 2 3 2 2" xfId="48542"/>
    <cellStyle name="Обычный 337 4 2 2 2 2 2 3 3" xfId="41255"/>
    <cellStyle name="Обычный 337 4 2 2 2 2 2 4" xfId="30068"/>
    <cellStyle name="Обычный 337 4 2 2 2 2 2 4 2" xfId="44892"/>
    <cellStyle name="Обычный 337 4 2 2 2 2 2 5" xfId="39392"/>
    <cellStyle name="Обычный 337 4 2 2 2 2 2 6" xfId="22750"/>
    <cellStyle name="Обычный 337 4 2 2 2 2 3" xfId="19962"/>
    <cellStyle name="Обычный 337 4 2 2 2 2 3 2" xfId="27331"/>
    <cellStyle name="Обычный 337 4 2 2 2 2 3 2 2" xfId="34642"/>
    <cellStyle name="Обычный 337 4 2 2 2 2 3 2 2 2" xfId="49462"/>
    <cellStyle name="Обычный 337 4 2 2 2 2 3 2 3" xfId="42171"/>
    <cellStyle name="Обычный 337 4 2 2 2 2 3 3" xfId="30988"/>
    <cellStyle name="Обычный 337 4 2 2 2 2 3 3 2" xfId="45811"/>
    <cellStyle name="Обычный 337 4 2 2 2 2 3 4" xfId="38485"/>
    <cellStyle name="Обычный 337 4 2 2 2 2 3 5" xfId="23673"/>
    <cellStyle name="Обычный 337 4 2 2 2 2 4" xfId="25490"/>
    <cellStyle name="Обычный 337 4 2 2 2 2 4 2" xfId="32801"/>
    <cellStyle name="Обычный 337 4 2 2 2 2 4 2 2" xfId="47624"/>
    <cellStyle name="Обычный 337 4 2 2 2 2 4 3" xfId="40378"/>
    <cellStyle name="Обычный 337 4 2 2 2 2 5" xfId="29147"/>
    <cellStyle name="Обычный 337 4 2 2 2 2 5 2" xfId="43984"/>
    <cellStyle name="Обычный 337 4 2 2 2 2 6" xfId="36403"/>
    <cellStyle name="Обычный 337 4 2 2 2 2 7" xfId="21829"/>
    <cellStyle name="Обычный 337 4 2 2 2 3" xfId="18530"/>
    <cellStyle name="Обычный 337 4 2 2 2 3 2" xfId="20412"/>
    <cellStyle name="Обычный 337 4 2 2 2 3 2 2" xfId="27738"/>
    <cellStyle name="Обычный 337 4 2 2 2 3 2 2 2" xfId="35049"/>
    <cellStyle name="Обычный 337 4 2 2 2 3 2 2 2 2" xfId="49869"/>
    <cellStyle name="Обычный 337 4 2 2 2 3 2 2 3" xfId="42577"/>
    <cellStyle name="Обычный 337 4 2 2 2 3 2 3" xfId="31395"/>
    <cellStyle name="Обычный 337 4 2 2 2 3 2 3 2" xfId="46218"/>
    <cellStyle name="Обычный 337 4 2 2 2 3 2 4" xfId="38893"/>
    <cellStyle name="Обычный 337 4 2 2 2 3 2 5" xfId="24080"/>
    <cellStyle name="Обычный 337 4 2 2 2 3 3" xfId="25912"/>
    <cellStyle name="Обычный 337 4 2 2 2 3 3 2" xfId="33223"/>
    <cellStyle name="Обычный 337 4 2 2 2 3 3 2 2" xfId="48043"/>
    <cellStyle name="Обычный 337 4 2 2 2 3 3 3" xfId="40759"/>
    <cellStyle name="Обычный 337 4 2 2 2 3 4" xfId="29569"/>
    <cellStyle name="Обычный 337 4 2 2 2 3 4 2" xfId="44393"/>
    <cellStyle name="Обычный 337 4 2 2 2 3 5" xfId="37170"/>
    <cellStyle name="Обычный 337 4 2 2 2 3 6" xfId="22251"/>
    <cellStyle name="Обычный 337 4 2 2 2 4" xfId="19511"/>
    <cellStyle name="Обычный 337 4 2 2 2 4 2" xfId="26881"/>
    <cellStyle name="Обычный 337 4 2 2 2 4 2 2" xfId="34192"/>
    <cellStyle name="Обычный 337 4 2 2 2 4 2 2 2" xfId="49012"/>
    <cellStyle name="Обычный 337 4 2 2 2 4 2 3" xfId="41721"/>
    <cellStyle name="Обычный 337 4 2 2 2 4 3" xfId="30538"/>
    <cellStyle name="Обычный 337 4 2 2 2 4 3 2" xfId="45361"/>
    <cellStyle name="Обычный 337 4 2 2 2 4 4" xfId="38035"/>
    <cellStyle name="Обычный 337 4 2 2 2 4 5" xfId="23223"/>
    <cellStyle name="Обычный 337 4 2 2 2 5" xfId="25040"/>
    <cellStyle name="Обычный 337 4 2 2 2 5 2" xfId="32351"/>
    <cellStyle name="Обычный 337 4 2 2 2 5 2 2" xfId="47174"/>
    <cellStyle name="Обычный 337 4 2 2 2 5 3" xfId="39935"/>
    <cellStyle name="Обычный 337 4 2 2 2 6" xfId="28697"/>
    <cellStyle name="Обычный 337 4 2 2 2 6 2" xfId="43534"/>
    <cellStyle name="Обычный 337 4 2 2 2 7" xfId="35954"/>
    <cellStyle name="Обычный 337 4 2 2 2 8" xfId="21379"/>
    <cellStyle name="Обычный 337 4 2 2 3" xfId="17694"/>
    <cellStyle name="Обычный 337 4 2 2 3 2" xfId="18808"/>
    <cellStyle name="Обычный 337 4 2 2 3 2 2" xfId="20687"/>
    <cellStyle name="Обычный 337 4 2 2 3 2 2 2" xfId="28013"/>
    <cellStyle name="Обычный 337 4 2 2 3 2 2 2 2" xfId="35324"/>
    <cellStyle name="Обычный 337 4 2 2 3 2 2 2 2 2" xfId="50144"/>
    <cellStyle name="Обычный 337 4 2 2 3 2 2 2 3" xfId="42852"/>
    <cellStyle name="Обычный 337 4 2 2 3 2 2 3" xfId="31670"/>
    <cellStyle name="Обычный 337 4 2 2 3 2 2 3 2" xfId="46493"/>
    <cellStyle name="Обычный 337 4 2 2 3 2 2 4" xfId="39168"/>
    <cellStyle name="Обычный 337 4 2 2 3 2 2 5" xfId="24355"/>
    <cellStyle name="Обычный 337 4 2 2 3 2 3" xfId="26187"/>
    <cellStyle name="Обычный 337 4 2 2 3 2 3 2" xfId="33498"/>
    <cellStyle name="Обычный 337 4 2 2 3 2 3 2 2" xfId="48318"/>
    <cellStyle name="Обычный 337 4 2 2 3 2 3 3" xfId="41031"/>
    <cellStyle name="Обычный 337 4 2 2 3 2 4" xfId="29844"/>
    <cellStyle name="Обычный 337 4 2 2 3 2 4 2" xfId="44668"/>
    <cellStyle name="Обычный 337 4 2 2 3 2 5" xfId="37445"/>
    <cellStyle name="Обычный 337 4 2 2 3 2 6" xfId="22526"/>
    <cellStyle name="Обычный 337 4 2 2 3 3" xfId="19738"/>
    <cellStyle name="Обычный 337 4 2 2 3 3 2" xfId="27107"/>
    <cellStyle name="Обычный 337 4 2 2 3 3 2 2" xfId="34418"/>
    <cellStyle name="Обычный 337 4 2 2 3 3 2 2 2" xfId="49238"/>
    <cellStyle name="Обычный 337 4 2 2 3 3 2 3" xfId="41947"/>
    <cellStyle name="Обычный 337 4 2 2 3 3 3" xfId="30764"/>
    <cellStyle name="Обычный 337 4 2 2 3 3 3 2" xfId="45587"/>
    <cellStyle name="Обычный 337 4 2 2 3 3 4" xfId="38261"/>
    <cellStyle name="Обычный 337 4 2 2 3 3 5" xfId="23449"/>
    <cellStyle name="Обычный 337 4 2 2 3 4" xfId="25266"/>
    <cellStyle name="Обычный 337 4 2 2 3 4 2" xfId="32577"/>
    <cellStyle name="Обычный 337 4 2 2 3 4 2 2" xfId="47400"/>
    <cellStyle name="Обычный 337 4 2 2 3 4 3" xfId="40158"/>
    <cellStyle name="Обычный 337 4 2 2 3 5" xfId="28923"/>
    <cellStyle name="Обычный 337 4 2 2 3 5 2" xfId="43760"/>
    <cellStyle name="Обычный 337 4 2 2 3 6" xfId="36402"/>
    <cellStyle name="Обычный 337 4 2 2 3 7" xfId="21605"/>
    <cellStyle name="Обычный 337 4 2 2 4" xfId="18529"/>
    <cellStyle name="Обычный 337 4 2 2 4 2" xfId="20411"/>
    <cellStyle name="Обычный 337 4 2 2 4 2 2" xfId="27737"/>
    <cellStyle name="Обычный 337 4 2 2 4 2 2 2" xfId="35048"/>
    <cellStyle name="Обычный 337 4 2 2 4 2 2 2 2" xfId="49868"/>
    <cellStyle name="Обычный 337 4 2 2 4 2 2 3" xfId="42576"/>
    <cellStyle name="Обычный 337 4 2 2 4 2 3" xfId="31394"/>
    <cellStyle name="Обычный 337 4 2 2 4 2 3 2" xfId="46217"/>
    <cellStyle name="Обычный 337 4 2 2 4 2 4" xfId="38892"/>
    <cellStyle name="Обычный 337 4 2 2 4 2 5" xfId="24079"/>
    <cellStyle name="Обычный 337 4 2 2 4 3" xfId="25911"/>
    <cellStyle name="Обычный 337 4 2 2 4 3 2" xfId="33222"/>
    <cellStyle name="Обычный 337 4 2 2 4 3 2 2" xfId="48042"/>
    <cellStyle name="Обычный 337 4 2 2 4 3 3" xfId="40758"/>
    <cellStyle name="Обычный 337 4 2 2 4 4" xfId="29568"/>
    <cellStyle name="Обычный 337 4 2 2 4 4 2" xfId="44392"/>
    <cellStyle name="Обычный 337 4 2 2 4 5" xfId="37169"/>
    <cellStyle name="Обычный 337 4 2 2 4 6" xfId="22250"/>
    <cellStyle name="Обычный 337 4 2 2 5" xfId="19287"/>
    <cellStyle name="Обычный 337 4 2 2 5 2" xfId="26657"/>
    <cellStyle name="Обычный 337 4 2 2 5 2 2" xfId="33968"/>
    <cellStyle name="Обычный 337 4 2 2 5 2 2 2" xfId="48788"/>
    <cellStyle name="Обычный 337 4 2 2 5 2 3" xfId="41497"/>
    <cellStyle name="Обычный 337 4 2 2 5 3" xfId="30314"/>
    <cellStyle name="Обычный 337 4 2 2 5 3 2" xfId="45137"/>
    <cellStyle name="Обычный 337 4 2 2 5 4" xfId="37811"/>
    <cellStyle name="Обычный 337 4 2 2 5 5" xfId="22999"/>
    <cellStyle name="Обычный 337 4 2 2 6" xfId="24816"/>
    <cellStyle name="Обычный 337 4 2 2 6 2" xfId="32127"/>
    <cellStyle name="Обычный 337 4 2 2 6 2 2" xfId="46950"/>
    <cellStyle name="Обычный 337 4 2 2 6 3" xfId="39715"/>
    <cellStyle name="Обычный 337 4 2 2 7" xfId="28473"/>
    <cellStyle name="Обычный 337 4 2 2 7 2" xfId="43310"/>
    <cellStyle name="Обычный 337 4 2 2 8" xfId="35953"/>
    <cellStyle name="Обычный 337 4 2 2 9" xfId="21155"/>
    <cellStyle name="Обычный 337 4 2 3" xfId="17806"/>
    <cellStyle name="Обычный 337 4 2 3 2" xfId="18920"/>
    <cellStyle name="Обычный 337 4 2 3 2 2" xfId="20799"/>
    <cellStyle name="Обычный 337 4 2 3 2 2 2" xfId="24467"/>
    <cellStyle name="Обычный 337 4 2 3 2 2 2 2" xfId="28125"/>
    <cellStyle name="Обычный 337 4 2 3 2 2 2 2 2" xfId="35436"/>
    <cellStyle name="Обычный 337 4 2 3 2 2 2 2 2 2" xfId="50256"/>
    <cellStyle name="Обычный 337 4 2 3 2 2 2 2 3" xfId="42964"/>
    <cellStyle name="Обычный 337 4 2 3 2 2 2 3" xfId="31782"/>
    <cellStyle name="Обычный 337 4 2 3 2 2 2 3 2" xfId="46605"/>
    <cellStyle name="Обычный 337 4 2 3 2 2 2 4" xfId="39432"/>
    <cellStyle name="Обычный 337 4 2 3 2 2 3" xfId="26299"/>
    <cellStyle name="Обычный 337 4 2 3 2 2 3 2" xfId="33610"/>
    <cellStyle name="Обычный 337 4 2 3 2 2 3 2 2" xfId="48430"/>
    <cellStyle name="Обычный 337 4 2 3 2 2 3 3" xfId="41143"/>
    <cellStyle name="Обычный 337 4 2 3 2 2 4" xfId="29956"/>
    <cellStyle name="Обычный 337 4 2 3 2 2 4 2" xfId="44780"/>
    <cellStyle name="Обычный 337 4 2 3 2 2 5" xfId="39280"/>
    <cellStyle name="Обычный 337 4 2 3 2 2 6" xfId="22638"/>
    <cellStyle name="Обычный 337 4 2 3 2 3" xfId="19850"/>
    <cellStyle name="Обычный 337 4 2 3 2 3 2" xfId="27219"/>
    <cellStyle name="Обычный 337 4 2 3 2 3 2 2" xfId="34530"/>
    <cellStyle name="Обычный 337 4 2 3 2 3 2 2 2" xfId="49350"/>
    <cellStyle name="Обычный 337 4 2 3 2 3 2 3" xfId="42059"/>
    <cellStyle name="Обычный 337 4 2 3 2 3 3" xfId="30876"/>
    <cellStyle name="Обычный 337 4 2 3 2 3 3 2" xfId="45699"/>
    <cellStyle name="Обычный 337 4 2 3 2 3 4" xfId="38373"/>
    <cellStyle name="Обычный 337 4 2 3 2 3 5" xfId="23561"/>
    <cellStyle name="Обычный 337 4 2 3 2 4" xfId="25378"/>
    <cellStyle name="Обычный 337 4 2 3 2 4 2" xfId="32689"/>
    <cellStyle name="Обычный 337 4 2 3 2 4 2 2" xfId="47512"/>
    <cellStyle name="Обычный 337 4 2 3 2 4 3" xfId="40266"/>
    <cellStyle name="Обычный 337 4 2 3 2 5" xfId="29035"/>
    <cellStyle name="Обычный 337 4 2 3 2 5 2" xfId="43872"/>
    <cellStyle name="Обычный 337 4 2 3 2 6" xfId="36404"/>
    <cellStyle name="Обычный 337 4 2 3 2 7" xfId="21717"/>
    <cellStyle name="Обычный 337 4 2 3 3" xfId="18531"/>
    <cellStyle name="Обычный 337 4 2 3 3 2" xfId="20413"/>
    <cellStyle name="Обычный 337 4 2 3 3 2 2" xfId="27739"/>
    <cellStyle name="Обычный 337 4 2 3 3 2 2 2" xfId="35050"/>
    <cellStyle name="Обычный 337 4 2 3 3 2 2 2 2" xfId="49870"/>
    <cellStyle name="Обычный 337 4 2 3 3 2 2 3" xfId="42578"/>
    <cellStyle name="Обычный 337 4 2 3 3 2 3" xfId="31396"/>
    <cellStyle name="Обычный 337 4 2 3 3 2 3 2" xfId="46219"/>
    <cellStyle name="Обычный 337 4 2 3 3 2 4" xfId="38894"/>
    <cellStyle name="Обычный 337 4 2 3 3 2 5" xfId="24081"/>
    <cellStyle name="Обычный 337 4 2 3 3 3" xfId="25913"/>
    <cellStyle name="Обычный 337 4 2 3 3 3 2" xfId="33224"/>
    <cellStyle name="Обычный 337 4 2 3 3 3 2 2" xfId="48044"/>
    <cellStyle name="Обычный 337 4 2 3 3 3 3" xfId="40760"/>
    <cellStyle name="Обычный 337 4 2 3 3 4" xfId="29570"/>
    <cellStyle name="Обычный 337 4 2 3 3 4 2" xfId="44394"/>
    <cellStyle name="Обычный 337 4 2 3 3 5" xfId="37171"/>
    <cellStyle name="Обычный 337 4 2 3 3 6" xfId="22252"/>
    <cellStyle name="Обычный 337 4 2 3 4" xfId="19399"/>
    <cellStyle name="Обычный 337 4 2 3 4 2" xfId="26769"/>
    <cellStyle name="Обычный 337 4 2 3 4 2 2" xfId="34080"/>
    <cellStyle name="Обычный 337 4 2 3 4 2 2 2" xfId="48900"/>
    <cellStyle name="Обычный 337 4 2 3 4 2 3" xfId="41609"/>
    <cellStyle name="Обычный 337 4 2 3 4 3" xfId="30426"/>
    <cellStyle name="Обычный 337 4 2 3 4 3 2" xfId="45249"/>
    <cellStyle name="Обычный 337 4 2 3 4 4" xfId="37923"/>
    <cellStyle name="Обычный 337 4 2 3 4 5" xfId="23111"/>
    <cellStyle name="Обычный 337 4 2 3 5" xfId="24928"/>
    <cellStyle name="Обычный 337 4 2 3 5 2" xfId="32239"/>
    <cellStyle name="Обычный 337 4 2 3 5 2 2" xfId="47062"/>
    <cellStyle name="Обычный 337 4 2 3 5 3" xfId="39823"/>
    <cellStyle name="Обычный 337 4 2 3 6" xfId="28585"/>
    <cellStyle name="Обычный 337 4 2 3 6 2" xfId="43422"/>
    <cellStyle name="Обычный 337 4 2 3 7" xfId="35955"/>
    <cellStyle name="Обычный 337 4 2 3 8" xfId="21267"/>
    <cellStyle name="Обычный 337 4 2 4" xfId="17582"/>
    <cellStyle name="Обычный 337 4 2 4 2" xfId="18696"/>
    <cellStyle name="Обычный 337 4 2 4 2 2" xfId="20575"/>
    <cellStyle name="Обычный 337 4 2 4 2 2 2" xfId="27901"/>
    <cellStyle name="Обычный 337 4 2 4 2 2 2 2" xfId="35212"/>
    <cellStyle name="Обычный 337 4 2 4 2 2 2 2 2" xfId="50032"/>
    <cellStyle name="Обычный 337 4 2 4 2 2 2 3" xfId="42740"/>
    <cellStyle name="Обычный 337 4 2 4 2 2 3" xfId="31558"/>
    <cellStyle name="Обычный 337 4 2 4 2 2 3 2" xfId="46381"/>
    <cellStyle name="Обычный 337 4 2 4 2 2 4" xfId="39056"/>
    <cellStyle name="Обычный 337 4 2 4 2 2 5" xfId="24243"/>
    <cellStyle name="Обычный 337 4 2 4 2 3" xfId="26075"/>
    <cellStyle name="Обычный 337 4 2 4 2 3 2" xfId="33386"/>
    <cellStyle name="Обычный 337 4 2 4 2 3 2 2" xfId="48206"/>
    <cellStyle name="Обычный 337 4 2 4 2 3 3" xfId="40919"/>
    <cellStyle name="Обычный 337 4 2 4 2 4" xfId="29732"/>
    <cellStyle name="Обычный 337 4 2 4 2 4 2" xfId="44556"/>
    <cellStyle name="Обычный 337 4 2 4 2 5" xfId="37333"/>
    <cellStyle name="Обычный 337 4 2 4 2 6" xfId="22414"/>
    <cellStyle name="Обычный 337 4 2 4 3" xfId="19626"/>
    <cellStyle name="Обычный 337 4 2 4 3 2" xfId="26995"/>
    <cellStyle name="Обычный 337 4 2 4 3 2 2" xfId="34306"/>
    <cellStyle name="Обычный 337 4 2 4 3 2 2 2" xfId="49126"/>
    <cellStyle name="Обычный 337 4 2 4 3 2 3" xfId="41835"/>
    <cellStyle name="Обычный 337 4 2 4 3 3" xfId="30652"/>
    <cellStyle name="Обычный 337 4 2 4 3 3 2" xfId="45475"/>
    <cellStyle name="Обычный 337 4 2 4 3 4" xfId="38149"/>
    <cellStyle name="Обычный 337 4 2 4 3 5" xfId="23337"/>
    <cellStyle name="Обычный 337 4 2 4 4" xfId="25154"/>
    <cellStyle name="Обычный 337 4 2 4 4 2" xfId="32465"/>
    <cellStyle name="Обычный 337 4 2 4 4 2 2" xfId="47288"/>
    <cellStyle name="Обычный 337 4 2 4 4 3" xfId="40048"/>
    <cellStyle name="Обычный 337 4 2 4 5" xfId="28811"/>
    <cellStyle name="Обычный 337 4 2 4 5 2" xfId="43648"/>
    <cellStyle name="Обычный 337 4 2 4 6" xfId="36401"/>
    <cellStyle name="Обычный 337 4 2 4 7" xfId="21493"/>
    <cellStyle name="Обычный 337 4 2 5" xfId="18528"/>
    <cellStyle name="Обычный 337 4 2 5 2" xfId="20410"/>
    <cellStyle name="Обычный 337 4 2 5 2 2" xfId="27736"/>
    <cellStyle name="Обычный 337 4 2 5 2 2 2" xfId="35047"/>
    <cellStyle name="Обычный 337 4 2 5 2 2 2 2" xfId="49867"/>
    <cellStyle name="Обычный 337 4 2 5 2 2 3" xfId="42575"/>
    <cellStyle name="Обычный 337 4 2 5 2 3" xfId="31393"/>
    <cellStyle name="Обычный 337 4 2 5 2 3 2" xfId="46216"/>
    <cellStyle name="Обычный 337 4 2 5 2 4" xfId="38891"/>
    <cellStyle name="Обычный 337 4 2 5 2 5" xfId="24078"/>
    <cellStyle name="Обычный 337 4 2 5 3" xfId="25910"/>
    <cellStyle name="Обычный 337 4 2 5 3 2" xfId="33221"/>
    <cellStyle name="Обычный 337 4 2 5 3 2 2" xfId="48041"/>
    <cellStyle name="Обычный 337 4 2 5 3 3" xfId="40757"/>
    <cellStyle name="Обычный 337 4 2 5 4" xfId="29567"/>
    <cellStyle name="Обычный 337 4 2 5 4 2" xfId="44391"/>
    <cellStyle name="Обычный 337 4 2 5 5" xfId="37168"/>
    <cellStyle name="Обычный 337 4 2 5 6" xfId="22249"/>
    <cellStyle name="Обычный 337 4 2 6" xfId="19177"/>
    <cellStyle name="Обычный 337 4 2 6 2" xfId="26548"/>
    <cellStyle name="Обычный 337 4 2 6 2 2" xfId="33859"/>
    <cellStyle name="Обычный 337 4 2 6 2 2 2" xfId="48679"/>
    <cellStyle name="Обычный 337 4 2 6 2 3" xfId="41388"/>
    <cellStyle name="Обычный 337 4 2 6 3" xfId="30205"/>
    <cellStyle name="Обычный 337 4 2 6 3 2" xfId="45028"/>
    <cellStyle name="Обычный 337 4 2 6 4" xfId="37702"/>
    <cellStyle name="Обычный 337 4 2 6 5" xfId="22890"/>
    <cellStyle name="Обычный 337 4 2 7" xfId="24704"/>
    <cellStyle name="Обычный 337 4 2 7 2" xfId="32015"/>
    <cellStyle name="Обычный 337 4 2 7 2 2" xfId="46838"/>
    <cellStyle name="Обычный 337 4 2 7 3" xfId="39611"/>
    <cellStyle name="Обычный 337 4 2 8" xfId="28361"/>
    <cellStyle name="Обычный 337 4 2 8 2" xfId="43198"/>
    <cellStyle name="Обычный 337 4 2 9" xfId="35952"/>
    <cellStyle name="Обычный 337 4 3" xfId="17412"/>
    <cellStyle name="Обычный 337 4 3 2" xfId="17862"/>
    <cellStyle name="Обычный 337 4 3 2 2" xfId="18976"/>
    <cellStyle name="Обычный 337 4 3 2 2 2" xfId="20855"/>
    <cellStyle name="Обычный 337 4 3 2 2 2 2" xfId="24523"/>
    <cellStyle name="Обычный 337 4 3 2 2 2 2 2" xfId="28181"/>
    <cellStyle name="Обычный 337 4 3 2 2 2 2 2 2" xfId="35492"/>
    <cellStyle name="Обычный 337 4 3 2 2 2 2 2 2 2" xfId="50312"/>
    <cellStyle name="Обычный 337 4 3 2 2 2 2 2 3" xfId="43020"/>
    <cellStyle name="Обычный 337 4 3 2 2 2 2 3" xfId="31838"/>
    <cellStyle name="Обычный 337 4 3 2 2 2 2 3 2" xfId="46661"/>
    <cellStyle name="Обычный 337 4 3 2 2 2 2 4" xfId="39464"/>
    <cellStyle name="Обычный 337 4 3 2 2 2 3" xfId="26355"/>
    <cellStyle name="Обычный 337 4 3 2 2 2 3 2" xfId="33666"/>
    <cellStyle name="Обычный 337 4 3 2 2 2 3 2 2" xfId="48486"/>
    <cellStyle name="Обычный 337 4 3 2 2 2 3 3" xfId="41199"/>
    <cellStyle name="Обычный 337 4 3 2 2 2 4" xfId="30012"/>
    <cellStyle name="Обычный 337 4 3 2 2 2 4 2" xfId="44836"/>
    <cellStyle name="Обычный 337 4 3 2 2 2 5" xfId="39336"/>
    <cellStyle name="Обычный 337 4 3 2 2 2 6" xfId="22694"/>
    <cellStyle name="Обычный 337 4 3 2 2 3" xfId="19906"/>
    <cellStyle name="Обычный 337 4 3 2 2 3 2" xfId="27275"/>
    <cellStyle name="Обычный 337 4 3 2 2 3 2 2" xfId="34586"/>
    <cellStyle name="Обычный 337 4 3 2 2 3 2 2 2" xfId="49406"/>
    <cellStyle name="Обычный 337 4 3 2 2 3 2 3" xfId="42115"/>
    <cellStyle name="Обычный 337 4 3 2 2 3 3" xfId="30932"/>
    <cellStyle name="Обычный 337 4 3 2 2 3 3 2" xfId="45755"/>
    <cellStyle name="Обычный 337 4 3 2 2 3 4" xfId="38429"/>
    <cellStyle name="Обычный 337 4 3 2 2 3 5" xfId="23617"/>
    <cellStyle name="Обычный 337 4 3 2 2 4" xfId="25434"/>
    <cellStyle name="Обычный 337 4 3 2 2 4 2" xfId="32745"/>
    <cellStyle name="Обычный 337 4 3 2 2 4 2 2" xfId="47568"/>
    <cellStyle name="Обычный 337 4 3 2 2 4 3" xfId="40322"/>
    <cellStyle name="Обычный 337 4 3 2 2 5" xfId="29091"/>
    <cellStyle name="Обычный 337 4 3 2 2 5 2" xfId="43928"/>
    <cellStyle name="Обычный 337 4 3 2 2 6" xfId="36406"/>
    <cellStyle name="Обычный 337 4 3 2 2 7" xfId="21773"/>
    <cellStyle name="Обычный 337 4 3 2 3" xfId="18533"/>
    <cellStyle name="Обычный 337 4 3 2 3 2" xfId="20415"/>
    <cellStyle name="Обычный 337 4 3 2 3 2 2" xfId="27741"/>
    <cellStyle name="Обычный 337 4 3 2 3 2 2 2" xfId="35052"/>
    <cellStyle name="Обычный 337 4 3 2 3 2 2 2 2" xfId="49872"/>
    <cellStyle name="Обычный 337 4 3 2 3 2 2 3" xfId="42580"/>
    <cellStyle name="Обычный 337 4 3 2 3 2 3" xfId="31398"/>
    <cellStyle name="Обычный 337 4 3 2 3 2 3 2" xfId="46221"/>
    <cellStyle name="Обычный 337 4 3 2 3 2 4" xfId="38896"/>
    <cellStyle name="Обычный 337 4 3 2 3 2 5" xfId="24083"/>
    <cellStyle name="Обычный 337 4 3 2 3 3" xfId="25915"/>
    <cellStyle name="Обычный 337 4 3 2 3 3 2" xfId="33226"/>
    <cellStyle name="Обычный 337 4 3 2 3 3 2 2" xfId="48046"/>
    <cellStyle name="Обычный 337 4 3 2 3 3 3" xfId="40762"/>
    <cellStyle name="Обычный 337 4 3 2 3 4" xfId="29572"/>
    <cellStyle name="Обычный 337 4 3 2 3 4 2" xfId="44396"/>
    <cellStyle name="Обычный 337 4 3 2 3 5" xfId="37173"/>
    <cellStyle name="Обычный 337 4 3 2 3 6" xfId="22254"/>
    <cellStyle name="Обычный 337 4 3 2 4" xfId="19455"/>
    <cellStyle name="Обычный 337 4 3 2 4 2" xfId="26825"/>
    <cellStyle name="Обычный 337 4 3 2 4 2 2" xfId="34136"/>
    <cellStyle name="Обычный 337 4 3 2 4 2 2 2" xfId="48956"/>
    <cellStyle name="Обычный 337 4 3 2 4 2 3" xfId="41665"/>
    <cellStyle name="Обычный 337 4 3 2 4 3" xfId="30482"/>
    <cellStyle name="Обычный 337 4 3 2 4 3 2" xfId="45305"/>
    <cellStyle name="Обычный 337 4 3 2 4 4" xfId="37979"/>
    <cellStyle name="Обычный 337 4 3 2 4 5" xfId="23167"/>
    <cellStyle name="Обычный 337 4 3 2 5" xfId="24984"/>
    <cellStyle name="Обычный 337 4 3 2 5 2" xfId="32295"/>
    <cellStyle name="Обычный 337 4 3 2 5 2 2" xfId="47118"/>
    <cellStyle name="Обычный 337 4 3 2 5 3" xfId="39879"/>
    <cellStyle name="Обычный 337 4 3 2 6" xfId="28641"/>
    <cellStyle name="Обычный 337 4 3 2 6 2" xfId="43478"/>
    <cellStyle name="Обычный 337 4 3 2 7" xfId="35957"/>
    <cellStyle name="Обычный 337 4 3 2 8" xfId="21323"/>
    <cellStyle name="Обычный 337 4 3 3" xfId="17638"/>
    <cellStyle name="Обычный 337 4 3 3 2" xfId="18752"/>
    <cellStyle name="Обычный 337 4 3 3 2 2" xfId="20631"/>
    <cellStyle name="Обычный 337 4 3 3 2 2 2" xfId="27957"/>
    <cellStyle name="Обычный 337 4 3 3 2 2 2 2" xfId="35268"/>
    <cellStyle name="Обычный 337 4 3 3 2 2 2 2 2" xfId="50088"/>
    <cellStyle name="Обычный 337 4 3 3 2 2 2 3" xfId="42796"/>
    <cellStyle name="Обычный 337 4 3 3 2 2 3" xfId="31614"/>
    <cellStyle name="Обычный 337 4 3 3 2 2 3 2" xfId="46437"/>
    <cellStyle name="Обычный 337 4 3 3 2 2 4" xfId="39112"/>
    <cellStyle name="Обычный 337 4 3 3 2 2 5" xfId="24299"/>
    <cellStyle name="Обычный 337 4 3 3 2 3" xfId="26131"/>
    <cellStyle name="Обычный 337 4 3 3 2 3 2" xfId="33442"/>
    <cellStyle name="Обычный 337 4 3 3 2 3 2 2" xfId="48262"/>
    <cellStyle name="Обычный 337 4 3 3 2 3 3" xfId="40975"/>
    <cellStyle name="Обычный 337 4 3 3 2 4" xfId="29788"/>
    <cellStyle name="Обычный 337 4 3 3 2 4 2" xfId="44612"/>
    <cellStyle name="Обычный 337 4 3 3 2 5" xfId="37389"/>
    <cellStyle name="Обычный 337 4 3 3 2 6" xfId="22470"/>
    <cellStyle name="Обычный 337 4 3 3 3" xfId="19682"/>
    <cellStyle name="Обычный 337 4 3 3 3 2" xfId="27051"/>
    <cellStyle name="Обычный 337 4 3 3 3 2 2" xfId="34362"/>
    <cellStyle name="Обычный 337 4 3 3 3 2 2 2" xfId="49182"/>
    <cellStyle name="Обычный 337 4 3 3 3 2 3" xfId="41891"/>
    <cellStyle name="Обычный 337 4 3 3 3 3" xfId="30708"/>
    <cellStyle name="Обычный 337 4 3 3 3 3 2" xfId="45531"/>
    <cellStyle name="Обычный 337 4 3 3 3 4" xfId="38205"/>
    <cellStyle name="Обычный 337 4 3 3 3 5" xfId="23393"/>
    <cellStyle name="Обычный 337 4 3 3 4" xfId="25210"/>
    <cellStyle name="Обычный 337 4 3 3 4 2" xfId="32521"/>
    <cellStyle name="Обычный 337 4 3 3 4 2 2" xfId="47344"/>
    <cellStyle name="Обычный 337 4 3 3 4 3" xfId="40102"/>
    <cellStyle name="Обычный 337 4 3 3 5" xfId="28867"/>
    <cellStyle name="Обычный 337 4 3 3 5 2" xfId="43704"/>
    <cellStyle name="Обычный 337 4 3 3 6" xfId="36405"/>
    <cellStyle name="Обычный 337 4 3 3 7" xfId="21549"/>
    <cellStyle name="Обычный 337 4 3 4" xfId="18532"/>
    <cellStyle name="Обычный 337 4 3 4 2" xfId="20414"/>
    <cellStyle name="Обычный 337 4 3 4 2 2" xfId="27740"/>
    <cellStyle name="Обычный 337 4 3 4 2 2 2" xfId="35051"/>
    <cellStyle name="Обычный 337 4 3 4 2 2 2 2" xfId="49871"/>
    <cellStyle name="Обычный 337 4 3 4 2 2 3" xfId="42579"/>
    <cellStyle name="Обычный 337 4 3 4 2 3" xfId="31397"/>
    <cellStyle name="Обычный 337 4 3 4 2 3 2" xfId="46220"/>
    <cellStyle name="Обычный 337 4 3 4 2 4" xfId="38895"/>
    <cellStyle name="Обычный 337 4 3 4 2 5" xfId="24082"/>
    <cellStyle name="Обычный 337 4 3 4 3" xfId="25914"/>
    <cellStyle name="Обычный 337 4 3 4 3 2" xfId="33225"/>
    <cellStyle name="Обычный 337 4 3 4 3 2 2" xfId="48045"/>
    <cellStyle name="Обычный 337 4 3 4 3 3" xfId="40761"/>
    <cellStyle name="Обычный 337 4 3 4 4" xfId="29571"/>
    <cellStyle name="Обычный 337 4 3 4 4 2" xfId="44395"/>
    <cellStyle name="Обычный 337 4 3 4 5" xfId="37172"/>
    <cellStyle name="Обычный 337 4 3 4 6" xfId="22253"/>
    <cellStyle name="Обычный 337 4 3 5" xfId="19232"/>
    <cellStyle name="Обычный 337 4 3 5 2" xfId="26602"/>
    <cellStyle name="Обычный 337 4 3 5 2 2" xfId="33913"/>
    <cellStyle name="Обычный 337 4 3 5 2 2 2" xfId="48733"/>
    <cellStyle name="Обычный 337 4 3 5 2 3" xfId="41442"/>
    <cellStyle name="Обычный 337 4 3 5 3" xfId="30259"/>
    <cellStyle name="Обычный 337 4 3 5 3 2" xfId="45082"/>
    <cellStyle name="Обычный 337 4 3 5 4" xfId="37756"/>
    <cellStyle name="Обычный 337 4 3 5 5" xfId="22944"/>
    <cellStyle name="Обычный 337 4 3 6" xfId="24760"/>
    <cellStyle name="Обычный 337 4 3 6 2" xfId="32071"/>
    <cellStyle name="Обычный 337 4 3 6 2 2" xfId="46894"/>
    <cellStyle name="Обычный 337 4 3 6 3" xfId="39662"/>
    <cellStyle name="Обычный 337 4 3 7" xfId="28417"/>
    <cellStyle name="Обычный 337 4 3 7 2" xfId="43254"/>
    <cellStyle name="Обычный 337 4 3 8" xfId="35956"/>
    <cellStyle name="Обычный 337 4 3 9" xfId="21099"/>
    <cellStyle name="Обычный 337 4 4" xfId="17295"/>
    <cellStyle name="Обычный 337 4 4 2" xfId="17750"/>
    <cellStyle name="Обычный 337 4 4 2 2" xfId="18864"/>
    <cellStyle name="Обычный 337 4 4 2 2 2" xfId="20743"/>
    <cellStyle name="Обычный 337 4 4 2 2 2 2" xfId="28069"/>
    <cellStyle name="Обычный 337 4 4 2 2 2 2 2" xfId="35380"/>
    <cellStyle name="Обычный 337 4 4 2 2 2 2 2 2" xfId="50200"/>
    <cellStyle name="Обычный 337 4 4 2 2 2 2 3" xfId="42908"/>
    <cellStyle name="Обычный 337 4 4 2 2 2 3" xfId="31726"/>
    <cellStyle name="Обычный 337 4 4 2 2 2 3 2" xfId="46549"/>
    <cellStyle name="Обычный 337 4 4 2 2 2 4" xfId="39224"/>
    <cellStyle name="Обычный 337 4 4 2 2 2 5" xfId="24411"/>
    <cellStyle name="Обычный 337 4 4 2 2 3" xfId="26243"/>
    <cellStyle name="Обычный 337 4 4 2 2 3 2" xfId="33554"/>
    <cellStyle name="Обычный 337 4 4 2 2 3 2 2" xfId="48374"/>
    <cellStyle name="Обычный 337 4 4 2 2 3 3" xfId="41087"/>
    <cellStyle name="Обычный 337 4 4 2 2 4" xfId="29900"/>
    <cellStyle name="Обычный 337 4 4 2 2 4 2" xfId="44724"/>
    <cellStyle name="Обычный 337 4 4 2 2 5" xfId="37500"/>
    <cellStyle name="Обычный 337 4 4 2 2 6" xfId="22582"/>
    <cellStyle name="Обычный 337 4 4 2 3" xfId="19794"/>
    <cellStyle name="Обычный 337 4 4 2 3 2" xfId="27163"/>
    <cellStyle name="Обычный 337 4 4 2 3 2 2" xfId="34474"/>
    <cellStyle name="Обычный 337 4 4 2 3 2 2 2" xfId="49294"/>
    <cellStyle name="Обычный 337 4 4 2 3 2 3" xfId="42003"/>
    <cellStyle name="Обычный 337 4 4 2 3 3" xfId="30820"/>
    <cellStyle name="Обычный 337 4 4 2 3 3 2" xfId="45643"/>
    <cellStyle name="Обычный 337 4 4 2 3 4" xfId="38317"/>
    <cellStyle name="Обычный 337 4 4 2 3 5" xfId="23505"/>
    <cellStyle name="Обычный 337 4 4 2 4" xfId="25322"/>
    <cellStyle name="Обычный 337 4 4 2 4 2" xfId="32633"/>
    <cellStyle name="Обычный 337 4 4 2 4 2 2" xfId="47456"/>
    <cellStyle name="Обычный 337 4 4 2 4 3" xfId="40211"/>
    <cellStyle name="Обычный 337 4 4 2 5" xfId="28979"/>
    <cellStyle name="Обычный 337 4 4 2 5 2" xfId="43816"/>
    <cellStyle name="Обычный 337 4 4 2 6" xfId="36407"/>
    <cellStyle name="Обычный 337 4 4 2 7" xfId="21661"/>
    <cellStyle name="Обычный 337 4 4 3" xfId="18534"/>
    <cellStyle name="Обычный 337 4 4 3 2" xfId="20416"/>
    <cellStyle name="Обычный 337 4 4 3 2 2" xfId="27742"/>
    <cellStyle name="Обычный 337 4 4 3 2 2 2" xfId="35053"/>
    <cellStyle name="Обычный 337 4 4 3 2 2 2 2" xfId="49873"/>
    <cellStyle name="Обычный 337 4 4 3 2 2 3" xfId="42581"/>
    <cellStyle name="Обычный 337 4 4 3 2 3" xfId="31399"/>
    <cellStyle name="Обычный 337 4 4 3 2 3 2" xfId="46222"/>
    <cellStyle name="Обычный 337 4 4 3 2 4" xfId="38897"/>
    <cellStyle name="Обычный 337 4 4 3 2 5" xfId="24084"/>
    <cellStyle name="Обычный 337 4 4 3 3" xfId="25916"/>
    <cellStyle name="Обычный 337 4 4 3 3 2" xfId="33227"/>
    <cellStyle name="Обычный 337 4 4 3 3 2 2" xfId="48047"/>
    <cellStyle name="Обычный 337 4 4 3 3 3" xfId="40763"/>
    <cellStyle name="Обычный 337 4 4 3 4" xfId="29573"/>
    <cellStyle name="Обычный 337 4 4 3 4 2" xfId="44397"/>
    <cellStyle name="Обычный 337 4 4 3 5" xfId="37174"/>
    <cellStyle name="Обычный 337 4 4 3 6" xfId="22255"/>
    <cellStyle name="Обычный 337 4 4 4" xfId="19343"/>
    <cellStyle name="Обычный 337 4 4 4 2" xfId="26713"/>
    <cellStyle name="Обычный 337 4 4 4 2 2" xfId="34024"/>
    <cellStyle name="Обычный 337 4 4 4 2 2 2" xfId="48844"/>
    <cellStyle name="Обычный 337 4 4 4 2 3" xfId="41553"/>
    <cellStyle name="Обычный 337 4 4 4 3" xfId="30370"/>
    <cellStyle name="Обычный 337 4 4 4 3 2" xfId="45193"/>
    <cellStyle name="Обычный 337 4 4 4 4" xfId="37867"/>
    <cellStyle name="Обычный 337 4 4 4 5" xfId="23055"/>
    <cellStyle name="Обычный 337 4 4 5" xfId="24872"/>
    <cellStyle name="Обычный 337 4 4 5 2" xfId="32183"/>
    <cellStyle name="Обычный 337 4 4 5 2 2" xfId="47006"/>
    <cellStyle name="Обычный 337 4 4 5 3" xfId="39768"/>
    <cellStyle name="Обычный 337 4 4 6" xfId="28529"/>
    <cellStyle name="Обычный 337 4 4 6 2" xfId="43366"/>
    <cellStyle name="Обычный 337 4 4 7" xfId="35958"/>
    <cellStyle name="Обычный 337 4 4 8" xfId="21211"/>
    <cellStyle name="Обычный 337 4 5" xfId="17526"/>
    <cellStyle name="Обычный 337 4 5 2" xfId="18640"/>
    <cellStyle name="Обычный 337 4 5 2 2" xfId="20519"/>
    <cellStyle name="Обычный 337 4 5 2 2 2" xfId="27845"/>
    <cellStyle name="Обычный 337 4 5 2 2 2 2" xfId="35156"/>
    <cellStyle name="Обычный 337 4 5 2 2 2 2 2" xfId="49976"/>
    <cellStyle name="Обычный 337 4 5 2 2 2 3" xfId="42684"/>
    <cellStyle name="Обычный 337 4 5 2 2 3" xfId="31502"/>
    <cellStyle name="Обычный 337 4 5 2 2 3 2" xfId="46325"/>
    <cellStyle name="Обычный 337 4 5 2 2 4" xfId="39000"/>
    <cellStyle name="Обычный 337 4 5 2 2 5" xfId="24187"/>
    <cellStyle name="Обычный 337 4 5 2 3" xfId="26019"/>
    <cellStyle name="Обычный 337 4 5 2 3 2" xfId="33330"/>
    <cellStyle name="Обычный 337 4 5 2 3 2 2" xfId="48150"/>
    <cellStyle name="Обычный 337 4 5 2 3 3" xfId="40863"/>
    <cellStyle name="Обычный 337 4 5 2 4" xfId="29676"/>
    <cellStyle name="Обычный 337 4 5 2 4 2" xfId="44500"/>
    <cellStyle name="Обычный 337 4 5 2 5" xfId="37277"/>
    <cellStyle name="Обычный 337 4 5 2 6" xfId="22358"/>
    <cellStyle name="Обычный 337 4 5 3" xfId="19570"/>
    <cellStyle name="Обычный 337 4 5 3 2" xfId="26939"/>
    <cellStyle name="Обычный 337 4 5 3 2 2" xfId="34250"/>
    <cellStyle name="Обычный 337 4 5 3 2 2 2" xfId="49070"/>
    <cellStyle name="Обычный 337 4 5 3 2 3" xfId="41779"/>
    <cellStyle name="Обычный 337 4 5 3 3" xfId="30596"/>
    <cellStyle name="Обычный 337 4 5 3 3 2" xfId="45419"/>
    <cellStyle name="Обычный 337 4 5 3 4" xfId="38093"/>
    <cellStyle name="Обычный 337 4 5 3 5" xfId="23281"/>
    <cellStyle name="Обычный 337 4 5 4" xfId="25098"/>
    <cellStyle name="Обычный 337 4 5 4 2" xfId="32409"/>
    <cellStyle name="Обычный 337 4 5 4 2 2" xfId="47232"/>
    <cellStyle name="Обычный 337 4 5 4 3" xfId="39992"/>
    <cellStyle name="Обычный 337 4 5 5" xfId="28755"/>
    <cellStyle name="Обычный 337 4 5 5 2" xfId="43592"/>
    <cellStyle name="Обычный 337 4 5 6" xfId="36400"/>
    <cellStyle name="Обычный 337 4 5 7" xfId="21437"/>
    <cellStyle name="Обычный 337 4 6" xfId="18527"/>
    <cellStyle name="Обычный 337 4 6 2" xfId="20409"/>
    <cellStyle name="Обычный 337 4 6 2 2" xfId="27735"/>
    <cellStyle name="Обычный 337 4 6 2 2 2" xfId="35046"/>
    <cellStyle name="Обычный 337 4 6 2 2 2 2" xfId="49866"/>
    <cellStyle name="Обычный 337 4 6 2 2 3" xfId="42574"/>
    <cellStyle name="Обычный 337 4 6 2 3" xfId="31392"/>
    <cellStyle name="Обычный 337 4 6 2 3 2" xfId="46215"/>
    <cellStyle name="Обычный 337 4 6 2 4" xfId="38890"/>
    <cellStyle name="Обычный 337 4 6 2 5" xfId="24077"/>
    <cellStyle name="Обычный 337 4 6 3" xfId="25909"/>
    <cellStyle name="Обычный 337 4 6 3 2" xfId="33220"/>
    <cellStyle name="Обычный 337 4 6 3 2 2" xfId="48040"/>
    <cellStyle name="Обычный 337 4 6 3 3" xfId="40756"/>
    <cellStyle name="Обычный 337 4 6 4" xfId="29566"/>
    <cellStyle name="Обычный 337 4 6 4 2" xfId="44390"/>
    <cellStyle name="Обычный 337 4 6 5" xfId="37167"/>
    <cellStyle name="Обычный 337 4 6 6" xfId="22248"/>
    <cellStyle name="Обычный 337 4 7" xfId="19123"/>
    <cellStyle name="Обычный 337 4 7 2" xfId="26495"/>
    <cellStyle name="Обычный 337 4 7 2 2" xfId="33806"/>
    <cellStyle name="Обычный 337 4 7 2 2 2" xfId="48626"/>
    <cellStyle name="Обычный 337 4 7 2 3" xfId="41335"/>
    <cellStyle name="Обычный 337 4 7 3" xfId="30152"/>
    <cellStyle name="Обычный 337 4 7 3 2" xfId="44975"/>
    <cellStyle name="Обычный 337 4 7 4" xfId="37649"/>
    <cellStyle name="Обычный 337 4 7 5" xfId="22837"/>
    <cellStyle name="Обычный 337 4 8" xfId="24648"/>
    <cellStyle name="Обычный 337 4 8 2" xfId="31959"/>
    <cellStyle name="Обычный 337 4 8 2 2" xfId="46782"/>
    <cellStyle name="Обычный 337 4 8 3" xfId="39568"/>
    <cellStyle name="Обычный 337 4 9" xfId="28305"/>
    <cellStyle name="Обычный 337 4 9 2" xfId="43142"/>
    <cellStyle name="Обычный 337 5" xfId="17161"/>
    <cellStyle name="Обычный 337 5 10" xfId="21015"/>
    <cellStyle name="Обычный 337 5 2" xfId="17440"/>
    <cellStyle name="Обычный 337 5 2 2" xfId="17890"/>
    <cellStyle name="Обычный 337 5 2 2 2" xfId="19004"/>
    <cellStyle name="Обычный 337 5 2 2 2 2" xfId="20883"/>
    <cellStyle name="Обычный 337 5 2 2 2 2 2" xfId="24551"/>
    <cellStyle name="Обычный 337 5 2 2 2 2 2 2" xfId="28209"/>
    <cellStyle name="Обычный 337 5 2 2 2 2 2 2 2" xfId="35520"/>
    <cellStyle name="Обычный 337 5 2 2 2 2 2 2 2 2" xfId="50340"/>
    <cellStyle name="Обычный 337 5 2 2 2 2 2 2 3" xfId="43048"/>
    <cellStyle name="Обычный 337 5 2 2 2 2 2 3" xfId="31866"/>
    <cellStyle name="Обычный 337 5 2 2 2 2 2 3 2" xfId="46689"/>
    <cellStyle name="Обычный 337 5 2 2 2 2 2 4" xfId="39485"/>
    <cellStyle name="Обычный 337 5 2 2 2 2 3" xfId="26383"/>
    <cellStyle name="Обычный 337 5 2 2 2 2 3 2" xfId="33694"/>
    <cellStyle name="Обычный 337 5 2 2 2 2 3 2 2" xfId="48514"/>
    <cellStyle name="Обычный 337 5 2 2 2 2 3 3" xfId="41227"/>
    <cellStyle name="Обычный 337 5 2 2 2 2 4" xfId="30040"/>
    <cellStyle name="Обычный 337 5 2 2 2 2 4 2" xfId="44864"/>
    <cellStyle name="Обычный 337 5 2 2 2 2 5" xfId="39364"/>
    <cellStyle name="Обычный 337 5 2 2 2 2 6" xfId="22722"/>
    <cellStyle name="Обычный 337 5 2 2 2 3" xfId="19934"/>
    <cellStyle name="Обычный 337 5 2 2 2 3 2" xfId="27303"/>
    <cellStyle name="Обычный 337 5 2 2 2 3 2 2" xfId="34614"/>
    <cellStyle name="Обычный 337 5 2 2 2 3 2 2 2" xfId="49434"/>
    <cellStyle name="Обычный 337 5 2 2 2 3 2 3" xfId="42143"/>
    <cellStyle name="Обычный 337 5 2 2 2 3 3" xfId="30960"/>
    <cellStyle name="Обычный 337 5 2 2 2 3 3 2" xfId="45783"/>
    <cellStyle name="Обычный 337 5 2 2 2 3 4" xfId="38457"/>
    <cellStyle name="Обычный 337 5 2 2 2 3 5" xfId="23645"/>
    <cellStyle name="Обычный 337 5 2 2 2 4" xfId="25462"/>
    <cellStyle name="Обычный 337 5 2 2 2 4 2" xfId="32773"/>
    <cellStyle name="Обычный 337 5 2 2 2 4 2 2" xfId="47596"/>
    <cellStyle name="Обычный 337 5 2 2 2 4 3" xfId="40350"/>
    <cellStyle name="Обычный 337 5 2 2 2 5" xfId="29119"/>
    <cellStyle name="Обычный 337 5 2 2 2 5 2" xfId="43956"/>
    <cellStyle name="Обычный 337 5 2 2 2 6" xfId="36410"/>
    <cellStyle name="Обычный 337 5 2 2 2 7" xfId="21801"/>
    <cellStyle name="Обычный 337 5 2 2 3" xfId="18537"/>
    <cellStyle name="Обычный 337 5 2 2 3 2" xfId="20419"/>
    <cellStyle name="Обычный 337 5 2 2 3 2 2" xfId="27745"/>
    <cellStyle name="Обычный 337 5 2 2 3 2 2 2" xfId="35056"/>
    <cellStyle name="Обычный 337 5 2 2 3 2 2 2 2" xfId="49876"/>
    <cellStyle name="Обычный 337 5 2 2 3 2 2 3" xfId="42584"/>
    <cellStyle name="Обычный 337 5 2 2 3 2 3" xfId="31402"/>
    <cellStyle name="Обычный 337 5 2 2 3 2 3 2" xfId="46225"/>
    <cellStyle name="Обычный 337 5 2 2 3 2 4" xfId="38900"/>
    <cellStyle name="Обычный 337 5 2 2 3 2 5" xfId="24087"/>
    <cellStyle name="Обычный 337 5 2 2 3 3" xfId="25919"/>
    <cellStyle name="Обычный 337 5 2 2 3 3 2" xfId="33230"/>
    <cellStyle name="Обычный 337 5 2 2 3 3 2 2" xfId="48050"/>
    <cellStyle name="Обычный 337 5 2 2 3 3 3" xfId="40766"/>
    <cellStyle name="Обычный 337 5 2 2 3 4" xfId="29576"/>
    <cellStyle name="Обычный 337 5 2 2 3 4 2" xfId="44400"/>
    <cellStyle name="Обычный 337 5 2 2 3 5" xfId="37177"/>
    <cellStyle name="Обычный 337 5 2 2 3 6" xfId="22258"/>
    <cellStyle name="Обычный 337 5 2 2 4" xfId="19483"/>
    <cellStyle name="Обычный 337 5 2 2 4 2" xfId="26853"/>
    <cellStyle name="Обычный 337 5 2 2 4 2 2" xfId="34164"/>
    <cellStyle name="Обычный 337 5 2 2 4 2 2 2" xfId="48984"/>
    <cellStyle name="Обычный 337 5 2 2 4 2 3" xfId="41693"/>
    <cellStyle name="Обычный 337 5 2 2 4 3" xfId="30510"/>
    <cellStyle name="Обычный 337 5 2 2 4 3 2" xfId="45333"/>
    <cellStyle name="Обычный 337 5 2 2 4 4" xfId="38007"/>
    <cellStyle name="Обычный 337 5 2 2 4 5" xfId="23195"/>
    <cellStyle name="Обычный 337 5 2 2 5" xfId="25012"/>
    <cellStyle name="Обычный 337 5 2 2 5 2" xfId="32323"/>
    <cellStyle name="Обычный 337 5 2 2 5 2 2" xfId="47146"/>
    <cellStyle name="Обычный 337 5 2 2 5 3" xfId="39907"/>
    <cellStyle name="Обычный 337 5 2 2 6" xfId="28669"/>
    <cellStyle name="Обычный 337 5 2 2 6 2" xfId="43506"/>
    <cellStyle name="Обычный 337 5 2 2 7" xfId="35961"/>
    <cellStyle name="Обычный 337 5 2 2 8" xfId="21351"/>
    <cellStyle name="Обычный 337 5 2 3" xfId="17666"/>
    <cellStyle name="Обычный 337 5 2 3 2" xfId="18780"/>
    <cellStyle name="Обычный 337 5 2 3 2 2" xfId="20659"/>
    <cellStyle name="Обычный 337 5 2 3 2 2 2" xfId="27985"/>
    <cellStyle name="Обычный 337 5 2 3 2 2 2 2" xfId="35296"/>
    <cellStyle name="Обычный 337 5 2 3 2 2 2 2 2" xfId="50116"/>
    <cellStyle name="Обычный 337 5 2 3 2 2 2 3" xfId="42824"/>
    <cellStyle name="Обычный 337 5 2 3 2 2 3" xfId="31642"/>
    <cellStyle name="Обычный 337 5 2 3 2 2 3 2" xfId="46465"/>
    <cellStyle name="Обычный 337 5 2 3 2 2 4" xfId="39140"/>
    <cellStyle name="Обычный 337 5 2 3 2 2 5" xfId="24327"/>
    <cellStyle name="Обычный 337 5 2 3 2 3" xfId="26159"/>
    <cellStyle name="Обычный 337 5 2 3 2 3 2" xfId="33470"/>
    <cellStyle name="Обычный 337 5 2 3 2 3 2 2" xfId="48290"/>
    <cellStyle name="Обычный 337 5 2 3 2 3 3" xfId="41003"/>
    <cellStyle name="Обычный 337 5 2 3 2 4" xfId="29816"/>
    <cellStyle name="Обычный 337 5 2 3 2 4 2" xfId="44640"/>
    <cellStyle name="Обычный 337 5 2 3 2 5" xfId="37417"/>
    <cellStyle name="Обычный 337 5 2 3 2 6" xfId="22498"/>
    <cellStyle name="Обычный 337 5 2 3 3" xfId="19710"/>
    <cellStyle name="Обычный 337 5 2 3 3 2" xfId="27079"/>
    <cellStyle name="Обычный 337 5 2 3 3 2 2" xfId="34390"/>
    <cellStyle name="Обычный 337 5 2 3 3 2 2 2" xfId="49210"/>
    <cellStyle name="Обычный 337 5 2 3 3 2 3" xfId="41919"/>
    <cellStyle name="Обычный 337 5 2 3 3 3" xfId="30736"/>
    <cellStyle name="Обычный 337 5 2 3 3 3 2" xfId="45559"/>
    <cellStyle name="Обычный 337 5 2 3 3 4" xfId="38233"/>
    <cellStyle name="Обычный 337 5 2 3 3 5" xfId="23421"/>
    <cellStyle name="Обычный 337 5 2 3 4" xfId="25238"/>
    <cellStyle name="Обычный 337 5 2 3 4 2" xfId="32549"/>
    <cellStyle name="Обычный 337 5 2 3 4 2 2" xfId="47372"/>
    <cellStyle name="Обычный 337 5 2 3 4 3" xfId="40130"/>
    <cellStyle name="Обычный 337 5 2 3 5" xfId="28895"/>
    <cellStyle name="Обычный 337 5 2 3 5 2" xfId="43732"/>
    <cellStyle name="Обычный 337 5 2 3 6" xfId="36409"/>
    <cellStyle name="Обычный 337 5 2 3 7" xfId="21577"/>
    <cellStyle name="Обычный 337 5 2 4" xfId="18536"/>
    <cellStyle name="Обычный 337 5 2 4 2" xfId="20418"/>
    <cellStyle name="Обычный 337 5 2 4 2 2" xfId="27744"/>
    <cellStyle name="Обычный 337 5 2 4 2 2 2" xfId="35055"/>
    <cellStyle name="Обычный 337 5 2 4 2 2 2 2" xfId="49875"/>
    <cellStyle name="Обычный 337 5 2 4 2 2 3" xfId="42583"/>
    <cellStyle name="Обычный 337 5 2 4 2 3" xfId="31401"/>
    <cellStyle name="Обычный 337 5 2 4 2 3 2" xfId="46224"/>
    <cellStyle name="Обычный 337 5 2 4 2 4" xfId="38899"/>
    <cellStyle name="Обычный 337 5 2 4 2 5" xfId="24086"/>
    <cellStyle name="Обычный 337 5 2 4 3" xfId="25918"/>
    <cellStyle name="Обычный 337 5 2 4 3 2" xfId="33229"/>
    <cellStyle name="Обычный 337 5 2 4 3 2 2" xfId="48049"/>
    <cellStyle name="Обычный 337 5 2 4 3 3" xfId="40765"/>
    <cellStyle name="Обычный 337 5 2 4 4" xfId="29575"/>
    <cellStyle name="Обычный 337 5 2 4 4 2" xfId="44399"/>
    <cellStyle name="Обычный 337 5 2 4 5" xfId="37176"/>
    <cellStyle name="Обычный 337 5 2 4 6" xfId="22257"/>
    <cellStyle name="Обычный 337 5 2 5" xfId="19260"/>
    <cellStyle name="Обычный 337 5 2 5 2" xfId="26630"/>
    <cellStyle name="Обычный 337 5 2 5 2 2" xfId="33941"/>
    <cellStyle name="Обычный 337 5 2 5 2 2 2" xfId="48761"/>
    <cellStyle name="Обычный 337 5 2 5 2 3" xfId="41470"/>
    <cellStyle name="Обычный 337 5 2 5 3" xfId="30287"/>
    <cellStyle name="Обычный 337 5 2 5 3 2" xfId="45110"/>
    <cellStyle name="Обычный 337 5 2 5 4" xfId="37784"/>
    <cellStyle name="Обычный 337 5 2 5 5" xfId="22972"/>
    <cellStyle name="Обычный 337 5 2 6" xfId="24788"/>
    <cellStyle name="Обычный 337 5 2 6 2" xfId="32099"/>
    <cellStyle name="Обычный 337 5 2 6 2 2" xfId="46922"/>
    <cellStyle name="Обычный 337 5 2 6 3" xfId="39688"/>
    <cellStyle name="Обычный 337 5 2 7" xfId="28445"/>
    <cellStyle name="Обычный 337 5 2 7 2" xfId="43282"/>
    <cellStyle name="Обычный 337 5 2 8" xfId="35960"/>
    <cellStyle name="Обычный 337 5 2 9" xfId="21127"/>
    <cellStyle name="Обычный 337 5 3" xfId="17325"/>
    <cellStyle name="Обычный 337 5 3 2" xfId="17778"/>
    <cellStyle name="Обычный 337 5 3 2 2" xfId="18892"/>
    <cellStyle name="Обычный 337 5 3 2 2 2" xfId="20771"/>
    <cellStyle name="Обычный 337 5 3 2 2 2 2" xfId="28097"/>
    <cellStyle name="Обычный 337 5 3 2 2 2 2 2" xfId="35408"/>
    <cellStyle name="Обычный 337 5 3 2 2 2 2 2 2" xfId="50228"/>
    <cellStyle name="Обычный 337 5 3 2 2 2 2 3" xfId="42936"/>
    <cellStyle name="Обычный 337 5 3 2 2 2 3" xfId="31754"/>
    <cellStyle name="Обычный 337 5 3 2 2 2 3 2" xfId="46577"/>
    <cellStyle name="Обычный 337 5 3 2 2 2 4" xfId="39252"/>
    <cellStyle name="Обычный 337 5 3 2 2 2 5" xfId="24439"/>
    <cellStyle name="Обычный 337 5 3 2 2 3" xfId="26271"/>
    <cellStyle name="Обычный 337 5 3 2 2 3 2" xfId="33582"/>
    <cellStyle name="Обычный 337 5 3 2 2 3 2 2" xfId="48402"/>
    <cellStyle name="Обычный 337 5 3 2 2 3 3" xfId="41115"/>
    <cellStyle name="Обычный 337 5 3 2 2 4" xfId="29928"/>
    <cellStyle name="Обычный 337 5 3 2 2 4 2" xfId="44752"/>
    <cellStyle name="Обычный 337 5 3 2 2 5" xfId="37528"/>
    <cellStyle name="Обычный 337 5 3 2 2 6" xfId="22610"/>
    <cellStyle name="Обычный 337 5 3 2 3" xfId="19822"/>
    <cellStyle name="Обычный 337 5 3 2 3 2" xfId="27191"/>
    <cellStyle name="Обычный 337 5 3 2 3 2 2" xfId="34502"/>
    <cellStyle name="Обычный 337 5 3 2 3 2 2 2" xfId="49322"/>
    <cellStyle name="Обычный 337 5 3 2 3 2 3" xfId="42031"/>
    <cellStyle name="Обычный 337 5 3 2 3 3" xfId="30848"/>
    <cellStyle name="Обычный 337 5 3 2 3 3 2" xfId="45671"/>
    <cellStyle name="Обычный 337 5 3 2 3 4" xfId="38345"/>
    <cellStyle name="Обычный 337 5 3 2 3 5" xfId="23533"/>
    <cellStyle name="Обычный 337 5 3 2 4" xfId="25350"/>
    <cellStyle name="Обычный 337 5 3 2 4 2" xfId="32661"/>
    <cellStyle name="Обычный 337 5 3 2 4 2 2" xfId="47484"/>
    <cellStyle name="Обычный 337 5 3 2 4 3" xfId="40238"/>
    <cellStyle name="Обычный 337 5 3 2 5" xfId="29007"/>
    <cellStyle name="Обычный 337 5 3 2 5 2" xfId="43844"/>
    <cellStyle name="Обычный 337 5 3 2 6" xfId="36411"/>
    <cellStyle name="Обычный 337 5 3 2 7" xfId="21689"/>
    <cellStyle name="Обычный 337 5 3 3" xfId="18538"/>
    <cellStyle name="Обычный 337 5 3 3 2" xfId="20420"/>
    <cellStyle name="Обычный 337 5 3 3 2 2" xfId="27746"/>
    <cellStyle name="Обычный 337 5 3 3 2 2 2" xfId="35057"/>
    <cellStyle name="Обычный 337 5 3 3 2 2 2 2" xfId="49877"/>
    <cellStyle name="Обычный 337 5 3 3 2 2 3" xfId="42585"/>
    <cellStyle name="Обычный 337 5 3 3 2 3" xfId="31403"/>
    <cellStyle name="Обычный 337 5 3 3 2 3 2" xfId="46226"/>
    <cellStyle name="Обычный 337 5 3 3 2 4" xfId="38901"/>
    <cellStyle name="Обычный 337 5 3 3 2 5" xfId="24088"/>
    <cellStyle name="Обычный 337 5 3 3 3" xfId="25920"/>
    <cellStyle name="Обычный 337 5 3 3 3 2" xfId="33231"/>
    <cellStyle name="Обычный 337 5 3 3 3 2 2" xfId="48051"/>
    <cellStyle name="Обычный 337 5 3 3 3 3" xfId="40767"/>
    <cellStyle name="Обычный 337 5 3 3 4" xfId="29577"/>
    <cellStyle name="Обычный 337 5 3 3 4 2" xfId="44401"/>
    <cellStyle name="Обычный 337 5 3 3 5" xfId="37178"/>
    <cellStyle name="Обычный 337 5 3 3 6" xfId="22259"/>
    <cellStyle name="Обычный 337 5 3 4" xfId="19371"/>
    <cellStyle name="Обычный 337 5 3 4 2" xfId="26741"/>
    <cellStyle name="Обычный 337 5 3 4 2 2" xfId="34052"/>
    <cellStyle name="Обычный 337 5 3 4 2 2 2" xfId="48872"/>
    <cellStyle name="Обычный 337 5 3 4 2 3" xfId="41581"/>
    <cellStyle name="Обычный 337 5 3 4 3" xfId="30398"/>
    <cellStyle name="Обычный 337 5 3 4 3 2" xfId="45221"/>
    <cellStyle name="Обычный 337 5 3 4 4" xfId="37895"/>
    <cellStyle name="Обычный 337 5 3 4 5" xfId="23083"/>
    <cellStyle name="Обычный 337 5 3 5" xfId="24900"/>
    <cellStyle name="Обычный 337 5 3 5 2" xfId="32211"/>
    <cellStyle name="Обычный 337 5 3 5 2 2" xfId="47034"/>
    <cellStyle name="Обычный 337 5 3 5 3" xfId="39795"/>
    <cellStyle name="Обычный 337 5 3 6" xfId="28557"/>
    <cellStyle name="Обычный 337 5 3 6 2" xfId="43394"/>
    <cellStyle name="Обычный 337 5 3 7" xfId="35962"/>
    <cellStyle name="Обычный 337 5 3 8" xfId="21239"/>
    <cellStyle name="Обычный 337 5 4" xfId="17554"/>
    <cellStyle name="Обычный 337 5 4 2" xfId="18668"/>
    <cellStyle name="Обычный 337 5 4 2 2" xfId="20547"/>
    <cellStyle name="Обычный 337 5 4 2 2 2" xfId="27873"/>
    <cellStyle name="Обычный 337 5 4 2 2 2 2" xfId="35184"/>
    <cellStyle name="Обычный 337 5 4 2 2 2 2 2" xfId="50004"/>
    <cellStyle name="Обычный 337 5 4 2 2 2 3" xfId="42712"/>
    <cellStyle name="Обычный 337 5 4 2 2 3" xfId="31530"/>
    <cellStyle name="Обычный 337 5 4 2 2 3 2" xfId="46353"/>
    <cellStyle name="Обычный 337 5 4 2 2 4" xfId="39028"/>
    <cellStyle name="Обычный 337 5 4 2 2 5" xfId="24215"/>
    <cellStyle name="Обычный 337 5 4 2 3" xfId="26047"/>
    <cellStyle name="Обычный 337 5 4 2 3 2" xfId="33358"/>
    <cellStyle name="Обычный 337 5 4 2 3 2 2" xfId="48178"/>
    <cellStyle name="Обычный 337 5 4 2 3 3" xfId="40891"/>
    <cellStyle name="Обычный 337 5 4 2 4" xfId="29704"/>
    <cellStyle name="Обычный 337 5 4 2 4 2" xfId="44528"/>
    <cellStyle name="Обычный 337 5 4 2 5" xfId="37305"/>
    <cellStyle name="Обычный 337 5 4 2 6" xfId="22386"/>
    <cellStyle name="Обычный 337 5 4 3" xfId="19598"/>
    <cellStyle name="Обычный 337 5 4 3 2" xfId="26967"/>
    <cellStyle name="Обычный 337 5 4 3 2 2" xfId="34278"/>
    <cellStyle name="Обычный 337 5 4 3 2 2 2" xfId="49098"/>
    <cellStyle name="Обычный 337 5 4 3 2 3" xfId="41807"/>
    <cellStyle name="Обычный 337 5 4 3 3" xfId="30624"/>
    <cellStyle name="Обычный 337 5 4 3 3 2" xfId="45447"/>
    <cellStyle name="Обычный 337 5 4 3 4" xfId="38121"/>
    <cellStyle name="Обычный 337 5 4 3 5" xfId="23309"/>
    <cellStyle name="Обычный 337 5 4 4" xfId="25126"/>
    <cellStyle name="Обычный 337 5 4 4 2" xfId="32437"/>
    <cellStyle name="Обычный 337 5 4 4 2 2" xfId="47260"/>
    <cellStyle name="Обычный 337 5 4 4 3" xfId="40020"/>
    <cellStyle name="Обычный 337 5 4 5" xfId="28783"/>
    <cellStyle name="Обычный 337 5 4 5 2" xfId="43620"/>
    <cellStyle name="Обычный 337 5 4 6" xfId="36408"/>
    <cellStyle name="Обычный 337 5 4 7" xfId="21465"/>
    <cellStyle name="Обычный 337 5 5" xfId="18535"/>
    <cellStyle name="Обычный 337 5 5 2" xfId="20417"/>
    <cellStyle name="Обычный 337 5 5 2 2" xfId="27743"/>
    <cellStyle name="Обычный 337 5 5 2 2 2" xfId="35054"/>
    <cellStyle name="Обычный 337 5 5 2 2 2 2" xfId="49874"/>
    <cellStyle name="Обычный 337 5 5 2 2 3" xfId="42582"/>
    <cellStyle name="Обычный 337 5 5 2 3" xfId="31400"/>
    <cellStyle name="Обычный 337 5 5 2 3 2" xfId="46223"/>
    <cellStyle name="Обычный 337 5 5 2 4" xfId="38898"/>
    <cellStyle name="Обычный 337 5 5 2 5" xfId="24085"/>
    <cellStyle name="Обычный 337 5 5 3" xfId="25917"/>
    <cellStyle name="Обычный 337 5 5 3 2" xfId="33228"/>
    <cellStyle name="Обычный 337 5 5 3 2 2" xfId="48048"/>
    <cellStyle name="Обычный 337 5 5 3 3" xfId="40764"/>
    <cellStyle name="Обычный 337 5 5 4" xfId="29574"/>
    <cellStyle name="Обычный 337 5 5 4 2" xfId="44398"/>
    <cellStyle name="Обычный 337 5 5 5" xfId="37175"/>
    <cellStyle name="Обычный 337 5 5 6" xfId="22256"/>
    <cellStyle name="Обычный 337 5 6" xfId="19151"/>
    <cellStyle name="Обычный 337 5 6 2" xfId="26522"/>
    <cellStyle name="Обычный 337 5 6 2 2" xfId="33833"/>
    <cellStyle name="Обычный 337 5 6 2 2 2" xfId="48653"/>
    <cellStyle name="Обычный 337 5 6 2 3" xfId="41362"/>
    <cellStyle name="Обычный 337 5 6 3" xfId="30179"/>
    <cellStyle name="Обычный 337 5 6 3 2" xfId="45002"/>
    <cellStyle name="Обычный 337 5 6 4" xfId="37676"/>
    <cellStyle name="Обычный 337 5 6 5" xfId="22864"/>
    <cellStyle name="Обычный 337 5 7" xfId="24676"/>
    <cellStyle name="Обычный 337 5 7 2" xfId="31987"/>
    <cellStyle name="Обычный 337 5 7 2 2" xfId="46810"/>
    <cellStyle name="Обычный 337 5 7 3" xfId="39595"/>
    <cellStyle name="Обычный 337 5 8" xfId="28333"/>
    <cellStyle name="Обычный 337 5 8 2" xfId="43170"/>
    <cellStyle name="Обычный 337 5 9" xfId="35959"/>
    <cellStyle name="Обычный 337 6" xfId="17384"/>
    <cellStyle name="Обычный 337 6 2" xfId="17834"/>
    <cellStyle name="Обычный 337 6 2 2" xfId="18948"/>
    <cellStyle name="Обычный 337 6 2 2 2" xfId="20827"/>
    <cellStyle name="Обычный 337 6 2 2 2 2" xfId="24495"/>
    <cellStyle name="Обычный 337 6 2 2 2 2 2" xfId="28153"/>
    <cellStyle name="Обычный 337 6 2 2 2 2 2 2" xfId="35464"/>
    <cellStyle name="Обычный 337 6 2 2 2 2 2 2 2" xfId="50284"/>
    <cellStyle name="Обычный 337 6 2 2 2 2 2 3" xfId="42992"/>
    <cellStyle name="Обычный 337 6 2 2 2 2 3" xfId="31810"/>
    <cellStyle name="Обычный 337 6 2 2 2 2 3 2" xfId="46633"/>
    <cellStyle name="Обычный 337 6 2 2 2 2 4" xfId="39451"/>
    <cellStyle name="Обычный 337 6 2 2 2 3" xfId="26327"/>
    <cellStyle name="Обычный 337 6 2 2 2 3 2" xfId="33638"/>
    <cellStyle name="Обычный 337 6 2 2 2 3 2 2" xfId="48458"/>
    <cellStyle name="Обычный 337 6 2 2 2 3 3" xfId="41171"/>
    <cellStyle name="Обычный 337 6 2 2 2 4" xfId="29984"/>
    <cellStyle name="Обычный 337 6 2 2 2 4 2" xfId="44808"/>
    <cellStyle name="Обычный 337 6 2 2 2 5" xfId="39308"/>
    <cellStyle name="Обычный 337 6 2 2 2 6" xfId="22666"/>
    <cellStyle name="Обычный 337 6 2 2 3" xfId="19878"/>
    <cellStyle name="Обычный 337 6 2 2 3 2" xfId="27247"/>
    <cellStyle name="Обычный 337 6 2 2 3 2 2" xfId="34558"/>
    <cellStyle name="Обычный 337 6 2 2 3 2 2 2" xfId="49378"/>
    <cellStyle name="Обычный 337 6 2 2 3 2 3" xfId="42087"/>
    <cellStyle name="Обычный 337 6 2 2 3 3" xfId="30904"/>
    <cellStyle name="Обычный 337 6 2 2 3 3 2" xfId="45727"/>
    <cellStyle name="Обычный 337 6 2 2 3 4" xfId="38401"/>
    <cellStyle name="Обычный 337 6 2 2 3 5" xfId="23589"/>
    <cellStyle name="Обычный 337 6 2 2 4" xfId="25406"/>
    <cellStyle name="Обычный 337 6 2 2 4 2" xfId="32717"/>
    <cellStyle name="Обычный 337 6 2 2 4 2 2" xfId="47540"/>
    <cellStyle name="Обычный 337 6 2 2 4 3" xfId="40294"/>
    <cellStyle name="Обычный 337 6 2 2 5" xfId="29063"/>
    <cellStyle name="Обычный 337 6 2 2 5 2" xfId="43900"/>
    <cellStyle name="Обычный 337 6 2 2 6" xfId="36413"/>
    <cellStyle name="Обычный 337 6 2 2 7" xfId="21745"/>
    <cellStyle name="Обычный 337 6 2 3" xfId="18540"/>
    <cellStyle name="Обычный 337 6 2 3 2" xfId="20422"/>
    <cellStyle name="Обычный 337 6 2 3 2 2" xfId="27748"/>
    <cellStyle name="Обычный 337 6 2 3 2 2 2" xfId="35059"/>
    <cellStyle name="Обычный 337 6 2 3 2 2 2 2" xfId="49879"/>
    <cellStyle name="Обычный 337 6 2 3 2 2 3" xfId="42587"/>
    <cellStyle name="Обычный 337 6 2 3 2 3" xfId="31405"/>
    <cellStyle name="Обычный 337 6 2 3 2 3 2" xfId="46228"/>
    <cellStyle name="Обычный 337 6 2 3 2 4" xfId="38903"/>
    <cellStyle name="Обычный 337 6 2 3 2 5" xfId="24090"/>
    <cellStyle name="Обычный 337 6 2 3 3" xfId="25922"/>
    <cellStyle name="Обычный 337 6 2 3 3 2" xfId="33233"/>
    <cellStyle name="Обычный 337 6 2 3 3 2 2" xfId="48053"/>
    <cellStyle name="Обычный 337 6 2 3 3 3" xfId="40769"/>
    <cellStyle name="Обычный 337 6 2 3 4" xfId="29579"/>
    <cellStyle name="Обычный 337 6 2 3 4 2" xfId="44403"/>
    <cellStyle name="Обычный 337 6 2 3 5" xfId="37180"/>
    <cellStyle name="Обычный 337 6 2 3 6" xfId="22261"/>
    <cellStyle name="Обычный 337 6 2 4" xfId="19427"/>
    <cellStyle name="Обычный 337 6 2 4 2" xfId="26797"/>
    <cellStyle name="Обычный 337 6 2 4 2 2" xfId="34108"/>
    <cellStyle name="Обычный 337 6 2 4 2 2 2" xfId="48928"/>
    <cellStyle name="Обычный 337 6 2 4 2 3" xfId="41637"/>
    <cellStyle name="Обычный 337 6 2 4 3" xfId="30454"/>
    <cellStyle name="Обычный 337 6 2 4 3 2" xfId="45277"/>
    <cellStyle name="Обычный 337 6 2 4 4" xfId="37951"/>
    <cellStyle name="Обычный 337 6 2 4 5" xfId="23139"/>
    <cellStyle name="Обычный 337 6 2 5" xfId="24956"/>
    <cellStyle name="Обычный 337 6 2 5 2" xfId="32267"/>
    <cellStyle name="Обычный 337 6 2 5 2 2" xfId="47090"/>
    <cellStyle name="Обычный 337 6 2 5 3" xfId="39851"/>
    <cellStyle name="Обычный 337 6 2 6" xfId="28613"/>
    <cellStyle name="Обычный 337 6 2 6 2" xfId="43450"/>
    <cellStyle name="Обычный 337 6 2 7" xfId="35964"/>
    <cellStyle name="Обычный 337 6 2 8" xfId="21295"/>
    <cellStyle name="Обычный 337 6 3" xfId="17610"/>
    <cellStyle name="Обычный 337 6 3 2" xfId="18724"/>
    <cellStyle name="Обычный 337 6 3 2 2" xfId="20603"/>
    <cellStyle name="Обычный 337 6 3 2 2 2" xfId="27929"/>
    <cellStyle name="Обычный 337 6 3 2 2 2 2" xfId="35240"/>
    <cellStyle name="Обычный 337 6 3 2 2 2 2 2" xfId="50060"/>
    <cellStyle name="Обычный 337 6 3 2 2 2 3" xfId="42768"/>
    <cellStyle name="Обычный 337 6 3 2 2 3" xfId="31586"/>
    <cellStyle name="Обычный 337 6 3 2 2 3 2" xfId="46409"/>
    <cellStyle name="Обычный 337 6 3 2 2 4" xfId="39084"/>
    <cellStyle name="Обычный 337 6 3 2 2 5" xfId="24271"/>
    <cellStyle name="Обычный 337 6 3 2 3" xfId="26103"/>
    <cellStyle name="Обычный 337 6 3 2 3 2" xfId="33414"/>
    <cellStyle name="Обычный 337 6 3 2 3 2 2" xfId="48234"/>
    <cellStyle name="Обычный 337 6 3 2 3 3" xfId="40947"/>
    <cellStyle name="Обычный 337 6 3 2 4" xfId="29760"/>
    <cellStyle name="Обычный 337 6 3 2 4 2" xfId="44584"/>
    <cellStyle name="Обычный 337 6 3 2 5" xfId="37361"/>
    <cellStyle name="Обычный 337 6 3 2 6" xfId="22442"/>
    <cellStyle name="Обычный 337 6 3 3" xfId="19654"/>
    <cellStyle name="Обычный 337 6 3 3 2" xfId="27023"/>
    <cellStyle name="Обычный 337 6 3 3 2 2" xfId="34334"/>
    <cellStyle name="Обычный 337 6 3 3 2 2 2" xfId="49154"/>
    <cellStyle name="Обычный 337 6 3 3 2 3" xfId="41863"/>
    <cellStyle name="Обычный 337 6 3 3 3" xfId="30680"/>
    <cellStyle name="Обычный 337 6 3 3 3 2" xfId="45503"/>
    <cellStyle name="Обычный 337 6 3 3 4" xfId="38177"/>
    <cellStyle name="Обычный 337 6 3 3 5" xfId="23365"/>
    <cellStyle name="Обычный 337 6 3 4" xfId="25182"/>
    <cellStyle name="Обычный 337 6 3 4 2" xfId="32493"/>
    <cellStyle name="Обычный 337 6 3 4 2 2" xfId="47316"/>
    <cellStyle name="Обычный 337 6 3 4 3" xfId="40074"/>
    <cellStyle name="Обычный 337 6 3 5" xfId="28839"/>
    <cellStyle name="Обычный 337 6 3 5 2" xfId="43676"/>
    <cellStyle name="Обычный 337 6 3 6" xfId="36412"/>
    <cellStyle name="Обычный 337 6 3 7" xfId="21521"/>
    <cellStyle name="Обычный 337 6 4" xfId="18539"/>
    <cellStyle name="Обычный 337 6 4 2" xfId="20421"/>
    <cellStyle name="Обычный 337 6 4 2 2" xfId="27747"/>
    <cellStyle name="Обычный 337 6 4 2 2 2" xfId="35058"/>
    <cellStyle name="Обычный 337 6 4 2 2 2 2" xfId="49878"/>
    <cellStyle name="Обычный 337 6 4 2 2 3" xfId="42586"/>
    <cellStyle name="Обычный 337 6 4 2 3" xfId="31404"/>
    <cellStyle name="Обычный 337 6 4 2 3 2" xfId="46227"/>
    <cellStyle name="Обычный 337 6 4 2 4" xfId="38902"/>
    <cellStyle name="Обычный 337 6 4 2 5" xfId="24089"/>
    <cellStyle name="Обычный 337 6 4 3" xfId="25921"/>
    <cellStyle name="Обычный 337 6 4 3 2" xfId="33232"/>
    <cellStyle name="Обычный 337 6 4 3 2 2" xfId="48052"/>
    <cellStyle name="Обычный 337 6 4 3 3" xfId="40768"/>
    <cellStyle name="Обычный 337 6 4 4" xfId="29578"/>
    <cellStyle name="Обычный 337 6 4 4 2" xfId="44402"/>
    <cellStyle name="Обычный 337 6 4 5" xfId="37179"/>
    <cellStyle name="Обычный 337 6 4 6" xfId="22260"/>
    <cellStyle name="Обычный 337 6 5" xfId="19205"/>
    <cellStyle name="Обычный 337 6 5 2" xfId="26575"/>
    <cellStyle name="Обычный 337 6 5 2 2" xfId="33886"/>
    <cellStyle name="Обычный 337 6 5 2 2 2" xfId="48706"/>
    <cellStyle name="Обычный 337 6 5 2 3" xfId="41415"/>
    <cellStyle name="Обычный 337 6 5 3" xfId="30232"/>
    <cellStyle name="Обычный 337 6 5 3 2" xfId="45055"/>
    <cellStyle name="Обычный 337 6 5 4" xfId="37729"/>
    <cellStyle name="Обычный 337 6 5 5" xfId="22917"/>
    <cellStyle name="Обычный 337 6 6" xfId="24732"/>
    <cellStyle name="Обычный 337 6 6 2" xfId="32043"/>
    <cellStyle name="Обычный 337 6 6 2 2" xfId="46866"/>
    <cellStyle name="Обычный 337 6 6 3" xfId="39636"/>
    <cellStyle name="Обычный 337 6 7" xfId="28389"/>
    <cellStyle name="Обычный 337 6 7 2" xfId="43226"/>
    <cellStyle name="Обычный 337 6 8" xfId="35963"/>
    <cellStyle name="Обычный 337 6 9" xfId="21071"/>
    <cellStyle name="Обычный 337 7" xfId="17258"/>
    <cellStyle name="Обычный 337 7 2" xfId="17722"/>
    <cellStyle name="Обычный 337 7 2 2" xfId="18836"/>
    <cellStyle name="Обычный 337 7 2 2 2" xfId="20715"/>
    <cellStyle name="Обычный 337 7 2 2 2 2" xfId="28041"/>
    <cellStyle name="Обычный 337 7 2 2 2 2 2" xfId="35352"/>
    <cellStyle name="Обычный 337 7 2 2 2 2 2 2" xfId="50172"/>
    <cellStyle name="Обычный 337 7 2 2 2 2 3" xfId="42880"/>
    <cellStyle name="Обычный 337 7 2 2 2 3" xfId="31698"/>
    <cellStyle name="Обычный 337 7 2 2 2 3 2" xfId="46521"/>
    <cellStyle name="Обычный 337 7 2 2 2 4" xfId="39196"/>
    <cellStyle name="Обычный 337 7 2 2 2 5" xfId="24383"/>
    <cellStyle name="Обычный 337 7 2 2 3" xfId="26215"/>
    <cellStyle name="Обычный 337 7 2 2 3 2" xfId="33526"/>
    <cellStyle name="Обычный 337 7 2 2 3 2 2" xfId="48346"/>
    <cellStyle name="Обычный 337 7 2 2 3 3" xfId="41059"/>
    <cellStyle name="Обычный 337 7 2 2 4" xfId="29872"/>
    <cellStyle name="Обычный 337 7 2 2 4 2" xfId="44696"/>
    <cellStyle name="Обычный 337 7 2 2 5" xfId="37472"/>
    <cellStyle name="Обычный 337 7 2 2 6" xfId="22554"/>
    <cellStyle name="Обычный 337 7 2 3" xfId="19766"/>
    <cellStyle name="Обычный 337 7 2 3 2" xfId="27135"/>
    <cellStyle name="Обычный 337 7 2 3 2 2" xfId="34446"/>
    <cellStyle name="Обычный 337 7 2 3 2 2 2" xfId="49266"/>
    <cellStyle name="Обычный 337 7 2 3 2 3" xfId="41975"/>
    <cellStyle name="Обычный 337 7 2 3 3" xfId="30792"/>
    <cellStyle name="Обычный 337 7 2 3 3 2" xfId="45615"/>
    <cellStyle name="Обычный 337 7 2 3 4" xfId="38289"/>
    <cellStyle name="Обычный 337 7 2 3 5" xfId="23477"/>
    <cellStyle name="Обычный 337 7 2 4" xfId="25294"/>
    <cellStyle name="Обычный 337 7 2 4 2" xfId="32605"/>
    <cellStyle name="Обычный 337 7 2 4 2 2" xfId="47428"/>
    <cellStyle name="Обычный 337 7 2 4 3" xfId="40186"/>
    <cellStyle name="Обычный 337 7 2 5" xfId="28951"/>
    <cellStyle name="Обычный 337 7 2 5 2" xfId="43788"/>
    <cellStyle name="Обычный 337 7 2 6" xfId="36414"/>
    <cellStyle name="Обычный 337 7 2 7" xfId="21633"/>
    <cellStyle name="Обычный 337 7 3" xfId="18541"/>
    <cellStyle name="Обычный 337 7 3 2" xfId="20423"/>
    <cellStyle name="Обычный 337 7 3 2 2" xfId="27749"/>
    <cellStyle name="Обычный 337 7 3 2 2 2" xfId="35060"/>
    <cellStyle name="Обычный 337 7 3 2 2 2 2" xfId="49880"/>
    <cellStyle name="Обычный 337 7 3 2 2 3" xfId="42588"/>
    <cellStyle name="Обычный 337 7 3 2 3" xfId="31406"/>
    <cellStyle name="Обычный 337 7 3 2 3 2" xfId="46229"/>
    <cellStyle name="Обычный 337 7 3 2 4" xfId="38904"/>
    <cellStyle name="Обычный 337 7 3 2 5" xfId="24091"/>
    <cellStyle name="Обычный 337 7 3 3" xfId="25923"/>
    <cellStyle name="Обычный 337 7 3 3 2" xfId="33234"/>
    <cellStyle name="Обычный 337 7 3 3 2 2" xfId="48054"/>
    <cellStyle name="Обычный 337 7 3 3 3" xfId="40770"/>
    <cellStyle name="Обычный 337 7 3 4" xfId="29580"/>
    <cellStyle name="Обычный 337 7 3 4 2" xfId="44404"/>
    <cellStyle name="Обычный 337 7 3 5" xfId="37181"/>
    <cellStyle name="Обычный 337 7 3 6" xfId="22262"/>
    <cellStyle name="Обычный 337 7 4" xfId="19315"/>
    <cellStyle name="Обычный 337 7 4 2" xfId="26685"/>
    <cellStyle name="Обычный 337 7 4 2 2" xfId="33996"/>
    <cellStyle name="Обычный 337 7 4 2 2 2" xfId="48816"/>
    <cellStyle name="Обычный 337 7 4 2 3" xfId="41525"/>
    <cellStyle name="Обычный 337 7 4 3" xfId="30342"/>
    <cellStyle name="Обычный 337 7 4 3 2" xfId="45165"/>
    <cellStyle name="Обычный 337 7 4 4" xfId="37839"/>
    <cellStyle name="Обычный 337 7 4 5" xfId="23027"/>
    <cellStyle name="Обычный 337 7 5" xfId="24844"/>
    <cellStyle name="Обычный 337 7 5 2" xfId="32155"/>
    <cellStyle name="Обычный 337 7 5 2 2" xfId="46978"/>
    <cellStyle name="Обычный 337 7 5 3" xfId="39743"/>
    <cellStyle name="Обычный 337 7 6" xfId="28501"/>
    <cellStyle name="Обычный 337 7 6 2" xfId="43338"/>
    <cellStyle name="Обычный 337 7 7" xfId="35965"/>
    <cellStyle name="Обычный 337 7 8" xfId="21183"/>
    <cellStyle name="Обычный 337 8" xfId="17498"/>
    <cellStyle name="Обычный 337 8 2" xfId="19056"/>
    <cellStyle name="Обычный 337 8 2 2" xfId="20935"/>
    <cellStyle name="Обычный 337 8 2 2 2" xfId="24603"/>
    <cellStyle name="Обычный 337 8 2 2 2 2" xfId="28261"/>
    <cellStyle name="Обычный 337 8 2 2 2 2 2" xfId="35572"/>
    <cellStyle name="Обычный 337 8 2 2 2 2 2 2" xfId="50392"/>
    <cellStyle name="Обычный 337 8 2 2 2 2 3" xfId="43100"/>
    <cellStyle name="Обычный 337 8 2 2 2 3" xfId="31918"/>
    <cellStyle name="Обычный 337 8 2 2 2 3 2" xfId="46741"/>
    <cellStyle name="Обычный 337 8 2 2 2 4" xfId="39534"/>
    <cellStyle name="Обычный 337 8 2 2 3" xfId="26435"/>
    <cellStyle name="Обычный 337 8 2 2 3 2" xfId="33746"/>
    <cellStyle name="Обычный 337 8 2 2 3 2 2" xfId="48566"/>
    <cellStyle name="Обычный 337 8 2 2 3 3" xfId="41279"/>
    <cellStyle name="Обычный 337 8 2 2 4" xfId="30092"/>
    <cellStyle name="Обычный 337 8 2 2 4 2" xfId="44916"/>
    <cellStyle name="Обычный 337 8 2 2 5" xfId="39416"/>
    <cellStyle name="Обычный 337 8 2 2 6" xfId="22774"/>
    <cellStyle name="Обычный 337 8 2 3" xfId="19986"/>
    <cellStyle name="Обычный 337 8 2 3 2" xfId="27355"/>
    <cellStyle name="Обычный 337 8 2 3 2 2" xfId="34666"/>
    <cellStyle name="Обычный 337 8 2 3 2 2 2" xfId="49486"/>
    <cellStyle name="Обычный 337 8 2 3 2 3" xfId="42195"/>
    <cellStyle name="Обычный 337 8 2 3 3" xfId="31012"/>
    <cellStyle name="Обычный 337 8 2 3 3 2" xfId="45835"/>
    <cellStyle name="Обычный 337 8 2 3 4" xfId="38509"/>
    <cellStyle name="Обычный 337 8 2 3 5" xfId="23697"/>
    <cellStyle name="Обычный 337 8 2 4" xfId="25514"/>
    <cellStyle name="Обычный 337 8 2 4 2" xfId="32825"/>
    <cellStyle name="Обычный 337 8 2 4 2 2" xfId="47648"/>
    <cellStyle name="Обычный 337 8 2 4 3" xfId="40402"/>
    <cellStyle name="Обычный 337 8 2 5" xfId="29171"/>
    <cellStyle name="Обычный 337 8 2 5 2" xfId="44008"/>
    <cellStyle name="Обычный 337 8 2 6" xfId="37589"/>
    <cellStyle name="Обычный 337 8 2 7" xfId="21853"/>
    <cellStyle name="Обычный 337 8 3" xfId="18605"/>
    <cellStyle name="Обычный 337 8 3 2" xfId="20485"/>
    <cellStyle name="Обычный 337 8 3 2 2" xfId="27811"/>
    <cellStyle name="Обычный 337 8 3 2 2 2" xfId="35122"/>
    <cellStyle name="Обычный 337 8 3 2 2 2 2" xfId="49942"/>
    <cellStyle name="Обычный 337 8 3 2 2 3" xfId="42650"/>
    <cellStyle name="Обычный 337 8 3 2 3" xfId="31468"/>
    <cellStyle name="Обычный 337 8 3 2 3 2" xfId="46291"/>
    <cellStyle name="Обычный 337 8 3 2 4" xfId="38966"/>
    <cellStyle name="Обычный 337 8 3 2 5" xfId="24153"/>
    <cellStyle name="Обычный 337 8 3 3" xfId="25985"/>
    <cellStyle name="Обычный 337 8 3 3 2" xfId="33296"/>
    <cellStyle name="Обычный 337 8 3 3 2 2" xfId="48116"/>
    <cellStyle name="Обычный 337 8 3 3 3" xfId="40829"/>
    <cellStyle name="Обычный 337 8 3 4" xfId="29642"/>
    <cellStyle name="Обычный 337 8 3 4 2" xfId="44466"/>
    <cellStyle name="Обычный 337 8 3 5" xfId="37243"/>
    <cellStyle name="Обычный 337 8 3 6" xfId="22324"/>
    <cellStyle name="Обычный 337 8 4" xfId="19535"/>
    <cellStyle name="Обычный 337 8 4 2" xfId="26905"/>
    <cellStyle name="Обычный 337 8 4 2 2" xfId="34216"/>
    <cellStyle name="Обычный 337 8 4 2 2 2" xfId="49036"/>
    <cellStyle name="Обычный 337 8 4 2 3" xfId="41745"/>
    <cellStyle name="Обычный 337 8 4 3" xfId="30562"/>
    <cellStyle name="Обычный 337 8 4 3 2" xfId="45385"/>
    <cellStyle name="Обычный 337 8 4 4" xfId="38059"/>
    <cellStyle name="Обычный 337 8 4 5" xfId="23247"/>
    <cellStyle name="Обычный 337 8 5" xfId="25064"/>
    <cellStyle name="Обычный 337 8 5 2" xfId="32375"/>
    <cellStyle name="Обычный 337 8 5 2 2" xfId="47198"/>
    <cellStyle name="Обычный 337 8 5 3" xfId="39959"/>
    <cellStyle name="Обычный 337 8 6" xfId="28721"/>
    <cellStyle name="Обычный 337 8 6 2" xfId="43558"/>
    <cellStyle name="Обычный 337 8 7" xfId="36036"/>
    <cellStyle name="Обычный 337 8 8" xfId="21403"/>
    <cellStyle name="Обычный 337 9" xfId="18608"/>
    <cellStyle name="Обычный 337 9 2" xfId="20488"/>
    <cellStyle name="Обычный 337 9 2 2" xfId="24156"/>
    <cellStyle name="Обычный 337 9 2 2 2" xfId="27814"/>
    <cellStyle name="Обычный 337 9 2 2 2 2" xfId="35125"/>
    <cellStyle name="Обычный 337 9 2 2 2 2 2" xfId="49945"/>
    <cellStyle name="Обычный 337 9 2 2 2 3" xfId="42653"/>
    <cellStyle name="Обычный 337 9 2 2 3" xfId="31471"/>
    <cellStyle name="Обычный 337 9 2 2 3 2" xfId="46294"/>
    <cellStyle name="Обычный 337 9 2 2 4" xfId="39428"/>
    <cellStyle name="Обычный 337 9 2 3" xfId="25988"/>
    <cellStyle name="Обычный 337 9 2 3 2" xfId="33299"/>
    <cellStyle name="Обычный 337 9 2 3 2 2" xfId="48119"/>
    <cellStyle name="Обычный 337 9 2 3 3" xfId="40832"/>
    <cellStyle name="Обычный 337 9 2 4" xfId="29645"/>
    <cellStyle name="Обычный 337 9 2 4 2" xfId="44469"/>
    <cellStyle name="Обычный 337 9 2 5" xfId="38969"/>
    <cellStyle name="Обычный 337 9 2 6" xfId="22327"/>
    <cellStyle name="Обычный 337 9 3" xfId="19538"/>
    <cellStyle name="Обычный 337 9 3 2" xfId="26908"/>
    <cellStyle name="Обычный 337 9 3 2 2" xfId="34219"/>
    <cellStyle name="Обычный 337 9 3 2 2 2" xfId="49039"/>
    <cellStyle name="Обычный 337 9 3 2 3" xfId="41748"/>
    <cellStyle name="Обычный 337 9 3 3" xfId="30565"/>
    <cellStyle name="Обычный 337 9 3 3 2" xfId="45388"/>
    <cellStyle name="Обычный 337 9 3 4" xfId="38062"/>
    <cellStyle name="Обычный 337 9 3 5" xfId="23250"/>
    <cellStyle name="Обычный 337 9 4" xfId="25067"/>
    <cellStyle name="Обычный 337 9 4 2" xfId="32378"/>
    <cellStyle name="Обычный 337 9 4 2 2" xfId="47201"/>
    <cellStyle name="Обычный 337 9 4 3" xfId="39962"/>
    <cellStyle name="Обычный 337 9 5" xfId="28724"/>
    <cellStyle name="Обычный 337 9 5 2" xfId="43561"/>
    <cellStyle name="Обычный 337 9 6" xfId="37246"/>
    <cellStyle name="Обычный 337 9 7" xfId="21406"/>
    <cellStyle name="Обычный 34" xfId="15661"/>
    <cellStyle name="Обычный 34 10" xfId="21869"/>
    <cellStyle name="Обычный 34 2" xfId="17026"/>
    <cellStyle name="Обычный 34 2 2" xfId="17144"/>
    <cellStyle name="Обычный 34 2 2 2" xfId="18083"/>
    <cellStyle name="Обычный 34 2 2 2 2" xfId="26477"/>
    <cellStyle name="Обычный 34 2 2 2 2 2" xfId="33788"/>
    <cellStyle name="Обычный 34 2 2 2 2 2 2" xfId="48608"/>
    <cellStyle name="Обычный 34 2 2 2 2 3" xfId="41318"/>
    <cellStyle name="Обычный 34 2 2 2 3" xfId="30134"/>
    <cellStyle name="Обычный 34 2 2 2 3 2" xfId="44958"/>
    <cellStyle name="Обычный 34 2 2 2 4" xfId="36739"/>
    <cellStyle name="Обычный 34 2 2 2 5" xfId="22819"/>
    <cellStyle name="Обычный 34 2 2 3" xfId="18171"/>
    <cellStyle name="Обычный 34 2 2 3 2" xfId="32868"/>
    <cellStyle name="Обычный 34 2 2 3 2 2" xfId="47688"/>
    <cellStyle name="Обычный 34 2 2 3 3" xfId="36815"/>
    <cellStyle name="Обычный 34 2 2 3 4" xfId="25557"/>
    <cellStyle name="Обычный 34 2 2 4" xfId="19098"/>
    <cellStyle name="Обычный 34 2 2 4 2" xfId="37631"/>
    <cellStyle name="Обычный 34 2 2 4 3" xfId="29214"/>
    <cellStyle name="Обычный 34 2 2 5" xfId="36633"/>
    <cellStyle name="Обычный 34 2 2 6" xfId="21896"/>
    <cellStyle name="Обычный 34 2 3" xfId="18068"/>
    <cellStyle name="Обычный 34 2 3 2" xfId="26459"/>
    <cellStyle name="Обычный 34 2 3 2 2" xfId="33770"/>
    <cellStyle name="Обычный 34 2 3 2 2 2" xfId="48590"/>
    <cellStyle name="Обычный 34 2 3 2 3" xfId="41300"/>
    <cellStyle name="Обычный 34 2 3 3" xfId="30116"/>
    <cellStyle name="Обычный 34 2 3 3 2" xfId="44940"/>
    <cellStyle name="Обычный 34 2 3 4" xfId="36724"/>
    <cellStyle name="Обычный 34 2 3 5" xfId="22801"/>
    <cellStyle name="Обычный 34 2 4" xfId="18145"/>
    <cellStyle name="Обычный 34 2 4 2" xfId="32850"/>
    <cellStyle name="Обычный 34 2 4 2 2" xfId="47670"/>
    <cellStyle name="Обычный 34 2 4 3" xfId="36797"/>
    <cellStyle name="Обычный 34 2 4 4" xfId="25539"/>
    <cellStyle name="Обычный 34 2 5" xfId="19080"/>
    <cellStyle name="Обычный 34 2 5 2" xfId="37613"/>
    <cellStyle name="Обычный 34 2 5 3" xfId="29196"/>
    <cellStyle name="Обычный 34 2 6" xfId="36611"/>
    <cellStyle name="Обычный 34 2 7" xfId="21878"/>
    <cellStyle name="Обычный 34 3" xfId="17136"/>
    <cellStyle name="Обычный 34 3 2" xfId="18078"/>
    <cellStyle name="Обычный 34 3 2 2" xfId="26468"/>
    <cellStyle name="Обычный 34 3 2 2 2" xfId="33779"/>
    <cellStyle name="Обычный 34 3 2 2 2 2" xfId="48599"/>
    <cellStyle name="Обычный 34 3 2 2 3" xfId="41309"/>
    <cellStyle name="Обычный 34 3 2 3" xfId="30125"/>
    <cellStyle name="Обычный 34 3 2 3 2" xfId="44949"/>
    <cellStyle name="Обычный 34 3 2 4" xfId="36734"/>
    <cellStyle name="Обычный 34 3 2 5" xfId="22810"/>
    <cellStyle name="Обычный 34 3 3" xfId="18162"/>
    <cellStyle name="Обычный 34 3 3 2" xfId="32859"/>
    <cellStyle name="Обычный 34 3 3 2 2" xfId="47679"/>
    <cellStyle name="Обычный 34 3 3 3" xfId="36806"/>
    <cellStyle name="Обычный 34 3 3 4" xfId="25548"/>
    <cellStyle name="Обычный 34 3 4" xfId="19089"/>
    <cellStyle name="Обычный 34 3 4 2" xfId="37622"/>
    <cellStyle name="Обычный 34 3 4 3" xfId="29205"/>
    <cellStyle name="Обычный 34 3 5" xfId="36627"/>
    <cellStyle name="Обычный 34 3 6" xfId="21887"/>
    <cellStyle name="Обычный 34 4" xfId="17245"/>
    <cellStyle name="Обычный 34 4 2" xfId="18108"/>
    <cellStyle name="Обычный 34 4 2 2" xfId="33761"/>
    <cellStyle name="Обычный 34 4 2 2 2" xfId="48581"/>
    <cellStyle name="Обычный 34 4 2 3" xfId="36764"/>
    <cellStyle name="Обычный 34 4 2 4" xfId="26450"/>
    <cellStyle name="Обычный 34 4 3" xfId="30107"/>
    <cellStyle name="Обычный 34 4 3 2" xfId="44931"/>
    <cellStyle name="Обычный 34 4 4" xfId="36667"/>
    <cellStyle name="Обычный 34 4 5" xfId="22792"/>
    <cellStyle name="Обычный 34 5" xfId="17259"/>
    <cellStyle name="Обычный 34 5 2" xfId="18114"/>
    <cellStyle name="Обычный 34 5 2 2" xfId="36770"/>
    <cellStyle name="Обычный 34 5 2 3" xfId="32841"/>
    <cellStyle name="Обычный 34 5 3" xfId="36673"/>
    <cellStyle name="Обычный 34 5 4" xfId="25530"/>
    <cellStyle name="Обычный 34 6" xfId="18051"/>
    <cellStyle name="Обычный 34 6 2" xfId="36708"/>
    <cellStyle name="Обычный 34 6 3" xfId="29187"/>
    <cellStyle name="Обычный 34 7" xfId="18133"/>
    <cellStyle name="Обычный 34 7 2" xfId="36788"/>
    <cellStyle name="Обычный 34 8" xfId="19071"/>
    <cellStyle name="Обычный 34 8 2" xfId="37604"/>
    <cellStyle name="Обычный 34 9" xfId="36592"/>
    <cellStyle name="Обычный 35" xfId="16984"/>
    <cellStyle name="Обычный 35 2" xfId="17218"/>
    <cellStyle name="Обычный 35 3" xfId="17317"/>
    <cellStyle name="Обычный 36" xfId="16983"/>
    <cellStyle name="Обычный 36 2" xfId="17143"/>
    <cellStyle name="Обычный 36 2 2" xfId="18082"/>
    <cellStyle name="Обычный 36 2 2 2" xfId="36738"/>
    <cellStyle name="Обычный 36 2 3" xfId="36632"/>
    <cellStyle name="Обычный 36 3" xfId="17244"/>
    <cellStyle name="Обычный 36 4" xfId="18067"/>
    <cellStyle name="Обычный 36 4 2" xfId="36723"/>
    <cellStyle name="Обычный 36 5" xfId="36610"/>
    <cellStyle name="Обычный 37" xfId="17034"/>
    <cellStyle name="Обычный 37 2" xfId="17490"/>
    <cellStyle name="Обычный 38" xfId="17046"/>
    <cellStyle name="Обычный 38 2" xfId="17491"/>
    <cellStyle name="Обычный 38 2 2" xfId="18163"/>
    <cellStyle name="Обычный 38 2 2 2" xfId="26469"/>
    <cellStyle name="Обычный 38 2 2 2 2" xfId="33780"/>
    <cellStyle name="Обычный 38 2 2 2 2 2" xfId="48600"/>
    <cellStyle name="Обычный 38 2 2 2 3" xfId="41310"/>
    <cellStyle name="Обычный 38 2 2 3" xfId="30126"/>
    <cellStyle name="Обычный 38 2 2 3 2" xfId="44950"/>
    <cellStyle name="Обычный 38 2 2 4" xfId="36807"/>
    <cellStyle name="Обычный 38 2 2 5" xfId="22811"/>
    <cellStyle name="Обычный 38 2 3" xfId="19090"/>
    <cellStyle name="Обычный 38 2 3 2" xfId="32860"/>
    <cellStyle name="Обычный 38 2 3 2 2" xfId="47680"/>
    <cellStyle name="Обычный 38 2 3 3" xfId="37623"/>
    <cellStyle name="Обычный 38 2 3 4" xfId="25549"/>
    <cellStyle name="Обычный 38 2 4" xfId="29206"/>
    <cellStyle name="Обычный 38 2 4 2" xfId="44034"/>
    <cellStyle name="Обычный 38 2 5" xfId="36677"/>
    <cellStyle name="Обычный 38 2 6" xfId="21888"/>
    <cellStyle name="Обычный 38 3" xfId="18134"/>
    <cellStyle name="Обычный 38 3 2" xfId="26451"/>
    <cellStyle name="Обычный 38 3 2 2" xfId="33762"/>
    <cellStyle name="Обычный 38 3 2 2 2" xfId="48582"/>
    <cellStyle name="Обычный 38 3 2 3" xfId="41292"/>
    <cellStyle name="Обычный 38 3 3" xfId="30108"/>
    <cellStyle name="Обычный 38 3 3 2" xfId="44932"/>
    <cellStyle name="Обычный 38 3 4" xfId="36789"/>
    <cellStyle name="Обычный 38 3 5" xfId="22793"/>
    <cellStyle name="Обычный 38 4" xfId="19072"/>
    <cellStyle name="Обычный 38 4 2" xfId="32842"/>
    <cellStyle name="Обычный 38 4 2 2" xfId="47662"/>
    <cellStyle name="Обычный 38 4 3" xfId="37605"/>
    <cellStyle name="Обычный 38 4 4" xfId="25531"/>
    <cellStyle name="Обычный 38 5" xfId="29188"/>
    <cellStyle name="Обычный 38 5 2" xfId="44022"/>
    <cellStyle name="Обычный 38 6" xfId="36619"/>
    <cellStyle name="Обычный 38 7" xfId="21870"/>
    <cellStyle name="Обычный 39" xfId="17035"/>
    <cellStyle name="Обычный 39 2" xfId="18071"/>
    <cellStyle name="Обычный 39 2 2" xfId="36727"/>
    <cellStyle name="Обычный 39 3" xfId="18148"/>
    <cellStyle name="Обычный 39 4" xfId="36614"/>
    <cellStyle name="Обычный 4" xfId="198"/>
    <cellStyle name="Обычный 4 13" xfId="4146"/>
    <cellStyle name="Обычный 4 2" xfId="229"/>
    <cellStyle name="Обычный 4 2 2" xfId="231"/>
    <cellStyle name="Обычный 4 2 3" xfId="280"/>
    <cellStyle name="Обычный 4 2 3 2" xfId="537"/>
    <cellStyle name="Обычный 4 2 3 2 2" xfId="977"/>
    <cellStyle name="Обычный 4 2 3 2 2 2" xfId="1810"/>
    <cellStyle name="Обычный 4 2 3 2 2 2 2" xfId="5516"/>
    <cellStyle name="Обычный 4 2 3 2 2 3" xfId="4684"/>
    <cellStyle name="Обычный 4 2 3 2 3" xfId="1451"/>
    <cellStyle name="Обычный 4 2 3 2 3 2" xfId="5157"/>
    <cellStyle name="Обычный 4 2 3 2 4" xfId="4411"/>
    <cellStyle name="Обычный 4 2 3 3" xfId="793"/>
    <cellStyle name="Обычный 4 2 3 3 2" xfId="1067"/>
    <cellStyle name="Обычный 4 2 3 3 2 2" xfId="1900"/>
    <cellStyle name="Обычный 4 2 3 3 2 2 2" xfId="5606"/>
    <cellStyle name="Обычный 4 2 3 3 2 3" xfId="4774"/>
    <cellStyle name="Обычный 4 2 3 3 3" xfId="1628"/>
    <cellStyle name="Обычный 4 2 3 3 3 2" xfId="5334"/>
    <cellStyle name="Обычный 4 2 3 3 4" xfId="4501"/>
    <cellStyle name="Обычный 4 2 3 4" xfId="886"/>
    <cellStyle name="Обычный 4 2 3 4 2" xfId="1719"/>
    <cellStyle name="Обычный 4 2 3 4 2 2" xfId="5425"/>
    <cellStyle name="Обычный 4 2 3 4 3" xfId="4593"/>
    <cellStyle name="Обычный 4 2 3 5" xfId="1264"/>
    <cellStyle name="Обычный 4 2 3 5 2" xfId="4970"/>
    <cellStyle name="Обычный 4 2 3 6" xfId="4198"/>
    <cellStyle name="Обычный 4 2 3 7" xfId="4320"/>
    <cellStyle name="Обычный 4 2 4" xfId="492"/>
    <cellStyle name="Обычный 4 2 4 2" xfId="932"/>
    <cellStyle name="Обычный 4 2 4 2 2" xfId="1765"/>
    <cellStyle name="Обычный 4 2 4 2 2 2" xfId="5471"/>
    <cellStyle name="Обычный 4 2 4 2 3" xfId="4639"/>
    <cellStyle name="Обычный 4 2 4 3" xfId="1406"/>
    <cellStyle name="Обычный 4 2 4 3 2" xfId="5112"/>
    <cellStyle name="Обычный 4 2 4 4" xfId="4366"/>
    <cellStyle name="Обычный 4 2 4 5" xfId="17110"/>
    <cellStyle name="Обычный 4 2 5" xfId="748"/>
    <cellStyle name="Обычный 4 2 5 2" xfId="1022"/>
    <cellStyle name="Обычный 4 2 5 2 2" xfId="1855"/>
    <cellStyle name="Обычный 4 2 5 2 2 2" xfId="5561"/>
    <cellStyle name="Обычный 4 2 5 2 3" xfId="4729"/>
    <cellStyle name="Обычный 4 2 5 3" xfId="1583"/>
    <cellStyle name="Обычный 4 2 5 3 2" xfId="5289"/>
    <cellStyle name="Обычный 4 2 5 4" xfId="4456"/>
    <cellStyle name="Обычный 4 2 5 5" xfId="18018"/>
    <cellStyle name="Обычный 4 2 6" xfId="841"/>
    <cellStyle name="Обычный 4 2 6 2" xfId="1674"/>
    <cellStyle name="Обычный 4 2 6 2 2" xfId="5380"/>
    <cellStyle name="Обычный 4 2 6 3" xfId="4548"/>
    <cellStyle name="Обычный 4 2 6 4" xfId="36558"/>
    <cellStyle name="Обычный 4 2 7" xfId="1216"/>
    <cellStyle name="Обычный 4 2 7 2" xfId="4922"/>
    <cellStyle name="Обычный 4 2 8" xfId="4274"/>
    <cellStyle name="Обычный 4 3" xfId="251"/>
    <cellStyle name="Обычный 4 3 2" xfId="508"/>
    <cellStyle name="Обычный 4 3 2 2" xfId="948"/>
    <cellStyle name="Обычный 4 3 2 2 2" xfId="1781"/>
    <cellStyle name="Обычный 4 3 2 2 2 2" xfId="5487"/>
    <cellStyle name="Обычный 4 3 2 2 3" xfId="4655"/>
    <cellStyle name="Обычный 4 3 2 3" xfId="1422"/>
    <cellStyle name="Обычный 4 3 2 3 2" xfId="5128"/>
    <cellStyle name="Обычный 4 3 2 4" xfId="4382"/>
    <cellStyle name="Обычный 4 3 2 5" xfId="16980"/>
    <cellStyle name="Обычный 4 3 3" xfId="764"/>
    <cellStyle name="Обычный 4 3 3 2" xfId="1038"/>
    <cellStyle name="Обычный 4 3 3 2 2" xfId="1871"/>
    <cellStyle name="Обычный 4 3 3 2 2 2" xfId="5577"/>
    <cellStyle name="Обычный 4 3 3 2 3" xfId="4745"/>
    <cellStyle name="Обычный 4 3 3 3" xfId="1599"/>
    <cellStyle name="Обычный 4 3 3 3 2" xfId="5305"/>
    <cellStyle name="Обычный 4 3 3 4" xfId="4472"/>
    <cellStyle name="Обычный 4 3 3 5" xfId="16965"/>
    <cellStyle name="Обычный 4 3 4" xfId="857"/>
    <cellStyle name="Обычный 4 3 4 2" xfId="1690"/>
    <cellStyle name="Обычный 4 3 4 2 2" xfId="5396"/>
    <cellStyle name="Обычный 4 3 4 3" xfId="4564"/>
    <cellStyle name="Обычный 4 3 4 4" xfId="16888"/>
    <cellStyle name="Обычный 4 3 5" xfId="1235"/>
    <cellStyle name="Обычный 4 3 5 2" xfId="4941"/>
    <cellStyle name="Обычный 4 3 6" xfId="4291"/>
    <cellStyle name="Обычный 4 3 7" xfId="14405"/>
    <cellStyle name="Обычный 4 4" xfId="463"/>
    <cellStyle name="Обычный 4 4 2" xfId="903"/>
    <cellStyle name="Обычный 4 4 2 2" xfId="1736"/>
    <cellStyle name="Обычный 4 4 2 2 2" xfId="5442"/>
    <cellStyle name="Обычный 4 4 2 3" xfId="4610"/>
    <cellStyle name="Обычный 4 4 3" xfId="1377"/>
    <cellStyle name="Обычный 4 4 3 2" xfId="5083"/>
    <cellStyle name="Обычный 4 4 4" xfId="4337"/>
    <cellStyle name="Обычный 4 4 5" xfId="16966"/>
    <cellStyle name="Обычный 4 5" xfId="719"/>
    <cellStyle name="Обычный 4 5 2" xfId="993"/>
    <cellStyle name="Обычный 4 5 2 2" xfId="1826"/>
    <cellStyle name="Обычный 4 5 2 2 2" xfId="5532"/>
    <cellStyle name="Обычный 4 5 2 3" xfId="4700"/>
    <cellStyle name="Обычный 4 5 3" xfId="1554"/>
    <cellStyle name="Обычный 4 5 3 2" xfId="5260"/>
    <cellStyle name="Обычный 4 5 4" xfId="4427"/>
    <cellStyle name="Обычный 4 5 5" xfId="16967"/>
    <cellStyle name="Обычный 4 6" xfId="812"/>
    <cellStyle name="Обычный 4 6 2" xfId="1645"/>
    <cellStyle name="Обычный 4 6 2 2" xfId="5351"/>
    <cellStyle name="Обычный 4 6 3" xfId="4519"/>
    <cellStyle name="Обычный 4 6 4" xfId="16968"/>
    <cellStyle name="Обычный 4 7" xfId="1186"/>
    <cellStyle name="Обычный 4 7 2" xfId="4892"/>
    <cellStyle name="Обычный 4 7 3" xfId="16920"/>
    <cellStyle name="Обычный 4 8" xfId="4245"/>
    <cellStyle name="Обычный 4 8 2" xfId="16887"/>
    <cellStyle name="Обычный 4 9" xfId="50438"/>
    <cellStyle name="Обычный 4_109_факт" xfId="14406"/>
    <cellStyle name="Обычный 40" xfId="17152"/>
    <cellStyle name="Обычный 40 2" xfId="18086"/>
    <cellStyle name="Обычный 40 2 2" xfId="36742"/>
    <cellStyle name="Обычный 40 3" xfId="18172"/>
    <cellStyle name="Обычный 40 4" xfId="36636"/>
    <cellStyle name="Обычный 41" xfId="17251"/>
    <cellStyle name="Обычный 41 2" xfId="18110"/>
    <cellStyle name="Обычный 41 2 2" xfId="20047"/>
    <cellStyle name="Обычный 41 2 2 2" xfId="27373"/>
    <cellStyle name="Обычный 41 2 2 2 2" xfId="34684"/>
    <cellStyle name="Обычный 41 2 2 2 2 2" xfId="49504"/>
    <cellStyle name="Обычный 41 2 2 2 3" xfId="42213"/>
    <cellStyle name="Обычный 41 2 2 3" xfId="31030"/>
    <cellStyle name="Обычный 41 2 2 3 2" xfId="45853"/>
    <cellStyle name="Обычный 41 2 2 4" xfId="38528"/>
    <cellStyle name="Обычный 41 2 2 5" xfId="23715"/>
    <cellStyle name="Обычный 41 2 3" xfId="25540"/>
    <cellStyle name="Обычный 41 2 3 2" xfId="32851"/>
    <cellStyle name="Обычный 41 2 3 2 2" xfId="47671"/>
    <cellStyle name="Обычный 41 2 3 3" xfId="40420"/>
    <cellStyle name="Обычный 41 2 4" xfId="29197"/>
    <cellStyle name="Обычный 41 2 4 2" xfId="44028"/>
    <cellStyle name="Обычный 41 2 5" xfId="36766"/>
    <cellStyle name="Обычный 41 2 6" xfId="21879"/>
    <cellStyle name="Обычный 41 3" xfId="18147"/>
    <cellStyle name="Обычный 41 3 2" xfId="26460"/>
    <cellStyle name="Обычный 41 3 2 2" xfId="33771"/>
    <cellStyle name="Обычный 41 3 2 2 2" xfId="48591"/>
    <cellStyle name="Обычный 41 3 2 3" xfId="41301"/>
    <cellStyle name="Обычный 41 3 3" xfId="30117"/>
    <cellStyle name="Обычный 41 3 3 2" xfId="44941"/>
    <cellStyle name="Обычный 41 3 4" xfId="36798"/>
    <cellStyle name="Обычный 41 3 5" xfId="22802"/>
    <cellStyle name="Обычный 41 4" xfId="19081"/>
    <cellStyle name="Обычный 41 4 2" xfId="32830"/>
    <cellStyle name="Обычный 41 4 2 2" xfId="47653"/>
    <cellStyle name="Обычный 41 4 3" xfId="37614"/>
    <cellStyle name="Обычный 41 4 4" xfId="25519"/>
    <cellStyle name="Обычный 41 5" xfId="29176"/>
    <cellStyle name="Обычный 41 5 2" xfId="44013"/>
    <cellStyle name="Обычный 41 6" xfId="36670"/>
    <cellStyle name="Обычный 41 7" xfId="21858"/>
    <cellStyle name="Обычный 42" xfId="17492"/>
    <cellStyle name="Обычный 42 2" xfId="19061"/>
    <cellStyle name="Обычный 42 2 2" xfId="20940"/>
    <cellStyle name="Обычный 42 2 2 2" xfId="28266"/>
    <cellStyle name="Обычный 42 2 2 2 2" xfId="35577"/>
    <cellStyle name="Обычный 42 2 2 2 2 2" xfId="50397"/>
    <cellStyle name="Обычный 42 2 2 2 3" xfId="43105"/>
    <cellStyle name="Обычный 42 2 2 3" xfId="31923"/>
    <cellStyle name="Обычный 42 2 2 3 2" xfId="46746"/>
    <cellStyle name="Обычный 42 2 2 4" xfId="39421"/>
    <cellStyle name="Обычный 42 2 2 5" xfId="24608"/>
    <cellStyle name="Обычный 42 2 3" xfId="26440"/>
    <cellStyle name="Обычный 42 2 3 2" xfId="33751"/>
    <cellStyle name="Обычный 42 2 3 2 2" xfId="48571"/>
    <cellStyle name="Обычный 42 2 3 3" xfId="41284"/>
    <cellStyle name="Обычный 42 2 4" xfId="30097"/>
    <cellStyle name="Обычный 42 2 4 2" xfId="44921"/>
    <cellStyle name="Обычный 42 2 5" xfId="37594"/>
    <cellStyle name="Обычный 42 2 6" xfId="22779"/>
    <cellStyle name="Обычный 42 3" xfId="18125"/>
    <cellStyle name="Обычный 42 4" xfId="19991"/>
    <cellStyle name="Обычный 42 4 2" xfId="27360"/>
    <cellStyle name="Обычный 42 4 2 2" xfId="34671"/>
    <cellStyle name="Обычный 42 4 2 2 2" xfId="49491"/>
    <cellStyle name="Обычный 42 4 2 3" xfId="42200"/>
    <cellStyle name="Обычный 42 4 3" xfId="31017"/>
    <cellStyle name="Обычный 42 4 3 2" xfId="45840"/>
    <cellStyle name="Обычный 42 4 4" xfId="38514"/>
    <cellStyle name="Обычный 42 4 5" xfId="23702"/>
    <cellStyle name="Обычный 42 5" xfId="25520"/>
    <cellStyle name="Обычный 42 5 2" xfId="32831"/>
    <cellStyle name="Обычный 42 5 2 2" xfId="47654"/>
    <cellStyle name="Обычный 42 5 3" xfId="40407"/>
    <cellStyle name="Обычный 42 6" xfId="29177"/>
    <cellStyle name="Обычный 42 6 2" xfId="44014"/>
    <cellStyle name="Обычный 42 7" xfId="36678"/>
    <cellStyle name="Обычный 42 8" xfId="21859"/>
    <cellStyle name="Обычный 43" xfId="17940"/>
    <cellStyle name="Обычный 43 2" xfId="19062"/>
    <cellStyle name="Обычный 43 2 2" xfId="20941"/>
    <cellStyle name="Обычный 43 2 2 2" xfId="28267"/>
    <cellStyle name="Обычный 43 2 2 2 2" xfId="35578"/>
    <cellStyle name="Обычный 43 2 2 2 2 2" xfId="50398"/>
    <cellStyle name="Обычный 43 2 2 2 3" xfId="43106"/>
    <cellStyle name="Обычный 43 2 2 3" xfId="31924"/>
    <cellStyle name="Обычный 43 2 2 3 2" xfId="46747"/>
    <cellStyle name="Обычный 43 2 2 4" xfId="39422"/>
    <cellStyle name="Обычный 43 2 2 5" xfId="24609"/>
    <cellStyle name="Обычный 43 2 3" xfId="26441"/>
    <cellStyle name="Обычный 43 2 3 2" xfId="33752"/>
    <cellStyle name="Обычный 43 2 3 2 2" xfId="48572"/>
    <cellStyle name="Обычный 43 2 3 3" xfId="41285"/>
    <cellStyle name="Обычный 43 2 4" xfId="30098"/>
    <cellStyle name="Обычный 43 2 4 2" xfId="44922"/>
    <cellStyle name="Обычный 43 2 5" xfId="37595"/>
    <cellStyle name="Обычный 43 2 6" xfId="22780"/>
    <cellStyle name="Обычный 43 3" xfId="20041"/>
    <cellStyle name="Обычный 43 4" xfId="19992"/>
    <cellStyle name="Обычный 43 4 2" xfId="27361"/>
    <cellStyle name="Обычный 43 4 2 2" xfId="34672"/>
    <cellStyle name="Обычный 43 4 2 2 2" xfId="49492"/>
    <cellStyle name="Обычный 43 4 2 3" xfId="42201"/>
    <cellStyle name="Обычный 43 4 3" xfId="31018"/>
    <cellStyle name="Обычный 43 4 3 2" xfId="45841"/>
    <cellStyle name="Обычный 43 4 4" xfId="38515"/>
    <cellStyle name="Обычный 43 4 5" xfId="23703"/>
    <cellStyle name="Обычный 43 5" xfId="25521"/>
    <cellStyle name="Обычный 43 5 2" xfId="32832"/>
    <cellStyle name="Обычный 43 5 2 2" xfId="47655"/>
    <cellStyle name="Обычный 43 5 3" xfId="40408"/>
    <cellStyle name="Обычный 43 6" xfId="29178"/>
    <cellStyle name="Обычный 43 6 2" xfId="44015"/>
    <cellStyle name="Обычный 43 7" xfId="21860"/>
    <cellStyle name="Обычный 44" xfId="18124"/>
    <cellStyle name="Обычный 44 2" xfId="19994"/>
    <cellStyle name="Обычный 44 2 2" xfId="27362"/>
    <cellStyle name="Обычный 44 2 2 2" xfId="34673"/>
    <cellStyle name="Обычный 44 2 2 2 2" xfId="49493"/>
    <cellStyle name="Обычный 44 2 2 3" xfId="42202"/>
    <cellStyle name="Обычный 44 2 3" xfId="31019"/>
    <cellStyle name="Обычный 44 2 3 2" xfId="45842"/>
    <cellStyle name="Обычный 44 2 4" xfId="38516"/>
    <cellStyle name="Обычный 44 2 5" xfId="23704"/>
    <cellStyle name="Обычный 44 3" xfId="25522"/>
    <cellStyle name="Обычный 44 3 2" xfId="32833"/>
    <cellStyle name="Обычный 44 3 2 2" xfId="47656"/>
    <cellStyle name="Обычный 44 3 3" xfId="40409"/>
    <cellStyle name="Обычный 44 4" xfId="29179"/>
    <cellStyle name="Обычный 44 4 2" xfId="44016"/>
    <cellStyle name="Обычный 44 5" xfId="36780"/>
    <cellStyle name="Обычный 44 6" xfId="21861"/>
    <cellStyle name="Обычный 45" xfId="4194"/>
    <cellStyle name="Обычный 46" xfId="20017"/>
    <cellStyle name="Обычный 46 2" xfId="26442"/>
    <cellStyle name="Обычный 46 2 2" xfId="33753"/>
    <cellStyle name="Обычный 46 2 2 2" xfId="48573"/>
    <cellStyle name="Обычный 46 2 3" xfId="41286"/>
    <cellStyle name="Обычный 46 3" xfId="30099"/>
    <cellStyle name="Обычный 46 3 2" xfId="44923"/>
    <cellStyle name="Обычный 46 4" xfId="39424"/>
    <cellStyle name="Обычный 46 5" xfId="38517"/>
    <cellStyle name="Обычный 46 6" xfId="22781"/>
    <cellStyle name="Обычный 47" xfId="19063"/>
    <cellStyle name="Обычный 47 2" xfId="39537"/>
    <cellStyle name="Обычный 47 3" xfId="20946"/>
    <cellStyle name="Обычный 47 3 2" xfId="37596"/>
    <cellStyle name="Обычный 47 4" xfId="24611"/>
    <cellStyle name="Обычный 48" xfId="20944"/>
    <cellStyle name="Обычный 48 2" xfId="31925"/>
    <cellStyle name="Обычный 48 2 2" xfId="46748"/>
    <cellStyle name="Обычный 48 3" xfId="39423"/>
    <cellStyle name="Обычный 48 4" xfId="24610"/>
    <cellStyle name="Обычный 49" xfId="28269"/>
    <cellStyle name="Обычный 49 2" xfId="43108"/>
    <cellStyle name="Обычный 49 3" xfId="36029"/>
    <cellStyle name="Обычный 5" xfId="236"/>
    <cellStyle name="Обычный 5 10" xfId="36559"/>
    <cellStyle name="Обычный 5 11" xfId="14407"/>
    <cellStyle name="Обычный 5 14" xfId="4145"/>
    <cellStyle name="Обычный 5 2" xfId="14408"/>
    <cellStyle name="Обычный 5 2 2" xfId="16969"/>
    <cellStyle name="Обычный 5 2 3" xfId="17112"/>
    <cellStyle name="Обычный 5 2 4" xfId="18020"/>
    <cellStyle name="Обычный 5 2 5" xfId="36560"/>
    <cellStyle name="Обычный 5 3" xfId="14409"/>
    <cellStyle name="Обычный 5 3 2" xfId="14410"/>
    <cellStyle name="Обычный 5 3 3" xfId="14411"/>
    <cellStyle name="Обычный 5 3 4" xfId="14412"/>
    <cellStyle name="Обычный 5 3 5" xfId="14413"/>
    <cellStyle name="Обычный 5 3 6" xfId="16970"/>
    <cellStyle name="Обычный 5 3 7" xfId="17113"/>
    <cellStyle name="Обычный 5 3 8" xfId="18021"/>
    <cellStyle name="Обычный 5 3 9" xfId="36561"/>
    <cellStyle name="Обычный 5 4" xfId="14414"/>
    <cellStyle name="Обычный 5 4 2" xfId="16971"/>
    <cellStyle name="Обычный 5 4 3" xfId="16890"/>
    <cellStyle name="Обычный 5 4 4" xfId="17114"/>
    <cellStyle name="Обычный 5 4 5" xfId="18022"/>
    <cellStyle name="Обычный 5 4 6" xfId="36562"/>
    <cellStyle name="Обычный 5 5" xfId="16972"/>
    <cellStyle name="Обычный 5 6" xfId="16921"/>
    <cellStyle name="Обычный 5 7" xfId="16889"/>
    <cellStyle name="Обычный 5 8" xfId="17111"/>
    <cellStyle name="Обычный 5 9" xfId="18019"/>
    <cellStyle name="Обычный 5_~4245506" xfId="14415"/>
    <cellStyle name="Обычный 50" xfId="35579"/>
    <cellStyle name="Обычный 51" xfId="28268"/>
    <cellStyle name="Обычный 51 2" xfId="43107"/>
    <cellStyle name="Обычный 52" xfId="20947"/>
    <cellStyle name="Обычный 52 2" xfId="50404"/>
    <cellStyle name="Обычный 52 3" xfId="35580"/>
    <cellStyle name="Обычный 53" xfId="50399"/>
    <cellStyle name="Обычный 54" xfId="20949"/>
    <cellStyle name="Обычный 55" xfId="20951"/>
    <cellStyle name="Обычный 56" xfId="50400"/>
    <cellStyle name="Обычный 57" xfId="20950"/>
    <cellStyle name="Обычный 58" xfId="50405"/>
    <cellStyle name="Обычный 59" xfId="50406"/>
    <cellStyle name="Обычный 6" xfId="235"/>
    <cellStyle name="Обычный 6 10" xfId="16973"/>
    <cellStyle name="Обычный 6 11" xfId="16891"/>
    <cellStyle name="Обычный 6 12" xfId="17115"/>
    <cellStyle name="Обычный 6 13" xfId="18023"/>
    <cellStyle name="Обычный 6 14" xfId="36563"/>
    <cellStyle name="Обычный 6 15" xfId="14416"/>
    <cellStyle name="Обычный 6 2" xfId="493"/>
    <cellStyle name="Обычный 6 2 2" xfId="933"/>
    <cellStyle name="Обычный 6 2 2 2" xfId="1766"/>
    <cellStyle name="Обычный 6 2 2 2 2" xfId="5472"/>
    <cellStyle name="Обычный 6 2 2 3" xfId="4640"/>
    <cellStyle name="Обычный 6 2 2 4" xfId="14418"/>
    <cellStyle name="Обычный 6 2 3" xfId="1407"/>
    <cellStyle name="Обычный 6 2 3 2" xfId="5113"/>
    <cellStyle name="Обычный 6 2 3 3" xfId="14419"/>
    <cellStyle name="Обычный 6 2 4" xfId="4367"/>
    <cellStyle name="Обычный 6 2 4 2" xfId="14420"/>
    <cellStyle name="Обычный 6 2 5" xfId="14421"/>
    <cellStyle name="Обычный 6 2 6" xfId="18610"/>
    <cellStyle name="Обычный 6 2 7" xfId="20014"/>
    <cellStyle name="Обычный 6 2 8" xfId="19540"/>
    <cellStyle name="Обычный 6 2 9" xfId="14417"/>
    <cellStyle name="Обычный 6 2_ПСД_ВГО_new_AZ_v1 (draft)" xfId="14422"/>
    <cellStyle name="Обычный 6 3" xfId="749"/>
    <cellStyle name="Обычный 6 3 2" xfId="1023"/>
    <cellStyle name="Обычный 6 3 2 2" xfId="1856"/>
    <cellStyle name="Обычный 6 3 2 2 2" xfId="5562"/>
    <cellStyle name="Обычный 6 3 2 3" xfId="4730"/>
    <cellStyle name="Обычный 6 3 2 4" xfId="14424"/>
    <cellStyle name="Обычный 6 3 3" xfId="1584"/>
    <cellStyle name="Обычный 6 3 3 2" xfId="5290"/>
    <cellStyle name="Обычный 6 3 3 3" xfId="14425"/>
    <cellStyle name="Обычный 6 3 4" xfId="4457"/>
    <cellStyle name="Обычный 6 3 4 2" xfId="14426"/>
    <cellStyle name="Обычный 6 3 5" xfId="14427"/>
    <cellStyle name="Обычный 6 3 6" xfId="14423"/>
    <cellStyle name="Обычный 6 3_ПСД_ВГО_new_AZ_v1 (draft)" xfId="14428"/>
    <cellStyle name="Обычный 6 4" xfId="842"/>
    <cellStyle name="Обычный 6 4 2" xfId="1675"/>
    <cellStyle name="Обычный 6 4 2 2" xfId="5381"/>
    <cellStyle name="Обычный 6 4 2 3" xfId="14430"/>
    <cellStyle name="Обычный 6 4 3" xfId="4549"/>
    <cellStyle name="Обычный 6 4 3 2" xfId="14431"/>
    <cellStyle name="Обычный 6 4 4" xfId="14432"/>
    <cellStyle name="Обычный 6 4 5" xfId="14433"/>
    <cellStyle name="Обычный 6 4 6" xfId="14429"/>
    <cellStyle name="Обычный 6 4_ПСД_ВГО_new_AZ_v1 (draft)" xfId="14434"/>
    <cellStyle name="Обычный 6 5" xfId="1220"/>
    <cellStyle name="Обычный 6 5 2" xfId="4926"/>
    <cellStyle name="Обычный 6 5 2 2" xfId="14436"/>
    <cellStyle name="Обычный 6 5 3" xfId="14437"/>
    <cellStyle name="Обычный 6 5 4" xfId="14438"/>
    <cellStyle name="Обычный 6 5 5" xfId="14439"/>
    <cellStyle name="Обычный 6 5 6" xfId="14435"/>
    <cellStyle name="Обычный 6 5_ПСД_ВГО_new_AZ_v1 (draft)" xfId="14440"/>
    <cellStyle name="Обычный 6 6" xfId="4276"/>
    <cellStyle name="Обычный 6 6 2" xfId="14442"/>
    <cellStyle name="Обычный 6 6 3" xfId="14443"/>
    <cellStyle name="Обычный 6 6 4" xfId="14444"/>
    <cellStyle name="Обычный 6 6 5" xfId="14445"/>
    <cellStyle name="Обычный 6 6 6" xfId="14441"/>
    <cellStyle name="Обычный 6 6_ПСД_ВГО_new_AZ_v1 (draft)" xfId="14446"/>
    <cellStyle name="Обычный 6 7" xfId="14447"/>
    <cellStyle name="Обычный 6 7 2" xfId="14448"/>
    <cellStyle name="Обычный 6 7 3" xfId="14449"/>
    <cellStyle name="Обычный 6 7 4" xfId="14450"/>
    <cellStyle name="Обычный 6 7 5" xfId="14451"/>
    <cellStyle name="Обычный 6 7_ПСД_ВГО_new_AZ_v1 (draft)" xfId="14452"/>
    <cellStyle name="Обычный 6 8" xfId="14453"/>
    <cellStyle name="Обычный 6 8 2" xfId="14454"/>
    <cellStyle name="Обычный 6 8 3" xfId="14455"/>
    <cellStyle name="Обычный 6 8 4" xfId="14456"/>
    <cellStyle name="Обычный 6 8 5" xfId="14457"/>
    <cellStyle name="Обычный 6 8_ПСД_ВГО_new_AZ_v1 (draft)" xfId="14458"/>
    <cellStyle name="Обычный 6 9" xfId="14459"/>
    <cellStyle name="Обычный 6 9 2" xfId="14460"/>
    <cellStyle name="Обычный 6 9 3" xfId="14461"/>
    <cellStyle name="Обычный 6 9 4" xfId="14462"/>
    <cellStyle name="Обычный 6 9 5" xfId="14463"/>
    <cellStyle name="Обычный 6 9_ПСД_ВГО_new_AZ_v1 (draft)" xfId="14464"/>
    <cellStyle name="Обычный 60" xfId="50425"/>
    <cellStyle name="Обычный 61" xfId="10874"/>
    <cellStyle name="Обычный 62" xfId="10873"/>
    <cellStyle name="Обычный 63" xfId="50467"/>
    <cellStyle name="Обычный 64" xfId="50468"/>
    <cellStyle name="Обычный 65" xfId="50469"/>
    <cellStyle name="Обычный 66" xfId="50470"/>
    <cellStyle name="Обычный 67" xfId="50471"/>
    <cellStyle name="Обычный 7" xfId="281"/>
    <cellStyle name="Обычный 7 2" xfId="538"/>
    <cellStyle name="Обычный 7 2 2" xfId="978"/>
    <cellStyle name="Обычный 7 2 2 2" xfId="1811"/>
    <cellStyle name="Обычный 7 2 2 2 2" xfId="5517"/>
    <cellStyle name="Обычный 7 2 2 3" xfId="4685"/>
    <cellStyle name="Обычный 7 2 3" xfId="1452"/>
    <cellStyle name="Обычный 7 2 3 2" xfId="5158"/>
    <cellStyle name="Обычный 7 2 4" xfId="4412"/>
    <cellStyle name="Обычный 7 2 5" xfId="16974"/>
    <cellStyle name="Обычный 7 3" xfId="794"/>
    <cellStyle name="Обычный 7 3 2" xfId="1068"/>
    <cellStyle name="Обычный 7 3 2 2" xfId="1901"/>
    <cellStyle name="Обычный 7 3 2 2 2" xfId="5607"/>
    <cellStyle name="Обычный 7 3 2 3" xfId="4775"/>
    <cellStyle name="Обычный 7 3 3" xfId="1629"/>
    <cellStyle name="Обычный 7 3 3 2" xfId="5335"/>
    <cellStyle name="Обычный 7 3 4" xfId="4502"/>
    <cellStyle name="Обычный 7 3 5" xfId="16892"/>
    <cellStyle name="Обычный 7 4" xfId="887"/>
    <cellStyle name="Обычный 7 4 2" xfId="1720"/>
    <cellStyle name="Обычный 7 4 2 2" xfId="5426"/>
    <cellStyle name="Обычный 7 4 3" xfId="4594"/>
    <cellStyle name="Обычный 7 5" xfId="1265"/>
    <cellStyle name="Обычный 7 5 2" xfId="4971"/>
    <cellStyle name="Обычный 7 6" xfId="4321"/>
    <cellStyle name="Обычный 7 7" xfId="14465"/>
    <cellStyle name="Обычный 8" xfId="797"/>
    <cellStyle name="Обычный 8 10" xfId="18024"/>
    <cellStyle name="Обычный 8 11" xfId="24617"/>
    <cellStyle name="Обычный 8 11 2" xfId="31928"/>
    <cellStyle name="Обычный 8 11 2 2" xfId="46751"/>
    <cellStyle name="Обычный 8 11 3" xfId="39539"/>
    <cellStyle name="Обычный 8 11 4" xfId="36564"/>
    <cellStyle name="Обычный 8 12" xfId="28274"/>
    <cellStyle name="Обычный 8 12 2" xfId="43111"/>
    <cellStyle name="Обычный 8 13" xfId="35584"/>
    <cellStyle name="Обычный 8 14" xfId="20956"/>
    <cellStyle name="Обычный 8 15" xfId="14466"/>
    <cellStyle name="Обычный 8 2" xfId="14467"/>
    <cellStyle name="Обычный 8 2 2" xfId="16975"/>
    <cellStyle name="Обычный 8 2 3" xfId="16893"/>
    <cellStyle name="Обычный 8 2 4" xfId="17117"/>
    <cellStyle name="Обычный 8 2 5" xfId="18025"/>
    <cellStyle name="Обычный 8 2 6" xfId="36565"/>
    <cellStyle name="Обычный 8 3" xfId="14468"/>
    <cellStyle name="Обычный 8 3 10" xfId="19104"/>
    <cellStyle name="Обычный 8 3 10 2" xfId="26481"/>
    <cellStyle name="Обычный 8 3 10 2 2" xfId="33792"/>
    <cellStyle name="Обычный 8 3 10 2 2 2" xfId="48612"/>
    <cellStyle name="Обычный 8 3 10 2 3" xfId="41321"/>
    <cellStyle name="Обычный 8 3 10 3" xfId="30138"/>
    <cellStyle name="Обычный 8 3 10 3 2" xfId="44961"/>
    <cellStyle name="Обычный 8 3 10 4" xfId="37635"/>
    <cellStyle name="Обычный 8 3 10 5" xfId="22823"/>
    <cellStyle name="Обычный 8 3 11" xfId="24624"/>
    <cellStyle name="Обычный 8 3 11 2" xfId="31935"/>
    <cellStyle name="Обычный 8 3 11 2 2" xfId="46758"/>
    <cellStyle name="Обычный 8 3 11 3" xfId="39546"/>
    <cellStyle name="Обычный 8 3 11 4" xfId="36566"/>
    <cellStyle name="Обычный 8 3 12" xfId="28281"/>
    <cellStyle name="Обычный 8 3 12 2" xfId="43118"/>
    <cellStyle name="Обычный 8 3 13" xfId="35966"/>
    <cellStyle name="Обычный 8 3 14" xfId="20963"/>
    <cellStyle name="Обычный 8 3 2" xfId="16894"/>
    <cellStyle name="Обычный 8 3 2 10" xfId="24638"/>
    <cellStyle name="Обычный 8 3 2 10 2" xfId="31949"/>
    <cellStyle name="Обычный 8 3 2 10 2 2" xfId="46772"/>
    <cellStyle name="Обычный 8 3 2 10 3" xfId="39560"/>
    <cellStyle name="Обычный 8 3 2 10 4" xfId="36607"/>
    <cellStyle name="Обычный 8 3 2 11" xfId="28295"/>
    <cellStyle name="Обычный 8 3 2 11 2" xfId="43132"/>
    <cellStyle name="Обычный 8 3 2 12" xfId="35967"/>
    <cellStyle name="Обычный 8 3 2 13" xfId="20977"/>
    <cellStyle name="Обычный 8 3 2 2" xfId="17214"/>
    <cellStyle name="Обычный 8 3 2 2 10" xfId="35968"/>
    <cellStyle name="Обычный 8 3 2 2 11" xfId="21005"/>
    <cellStyle name="Обычный 8 3 2 2 2" xfId="17371"/>
    <cellStyle name="Обычный 8 3 2 2 2 10" xfId="21061"/>
    <cellStyle name="Обычный 8 3 2 2 2 2" xfId="17486"/>
    <cellStyle name="Обычный 8 3 2 2 2 2 2" xfId="17936"/>
    <cellStyle name="Обычный 8 3 2 2 2 2 2 2" xfId="19050"/>
    <cellStyle name="Обычный 8 3 2 2 2 2 2 2 2" xfId="20929"/>
    <cellStyle name="Обычный 8 3 2 2 2 2 2 2 2 2" xfId="24597"/>
    <cellStyle name="Обычный 8 3 2 2 2 2 2 2 2 2 2" xfId="28255"/>
    <cellStyle name="Обычный 8 3 2 2 2 2 2 2 2 2 2 2" xfId="35566"/>
    <cellStyle name="Обычный 8 3 2 2 2 2 2 2 2 2 2 2 2" xfId="50386"/>
    <cellStyle name="Обычный 8 3 2 2 2 2 2 2 2 2 2 3" xfId="43094"/>
    <cellStyle name="Обычный 8 3 2 2 2 2 2 2 2 2 3" xfId="31912"/>
    <cellStyle name="Обычный 8 3 2 2 2 2 2 2 2 2 3 2" xfId="46735"/>
    <cellStyle name="Обычный 8 3 2 2 2 2 2 2 2 2 4" xfId="39529"/>
    <cellStyle name="Обычный 8 3 2 2 2 2 2 2 2 3" xfId="26429"/>
    <cellStyle name="Обычный 8 3 2 2 2 2 2 2 2 3 2" xfId="33740"/>
    <cellStyle name="Обычный 8 3 2 2 2 2 2 2 2 3 2 2" xfId="48560"/>
    <cellStyle name="Обычный 8 3 2 2 2 2 2 2 2 3 3" xfId="41273"/>
    <cellStyle name="Обычный 8 3 2 2 2 2 2 2 2 4" xfId="30086"/>
    <cellStyle name="Обычный 8 3 2 2 2 2 2 2 2 4 2" xfId="44910"/>
    <cellStyle name="Обычный 8 3 2 2 2 2 2 2 2 5" xfId="39410"/>
    <cellStyle name="Обычный 8 3 2 2 2 2 2 2 2 6" xfId="22768"/>
    <cellStyle name="Обычный 8 3 2 2 2 2 2 2 3" xfId="19980"/>
    <cellStyle name="Обычный 8 3 2 2 2 2 2 2 3 2" xfId="27349"/>
    <cellStyle name="Обычный 8 3 2 2 2 2 2 2 3 2 2" xfId="34660"/>
    <cellStyle name="Обычный 8 3 2 2 2 2 2 2 3 2 2 2" xfId="49480"/>
    <cellStyle name="Обычный 8 3 2 2 2 2 2 2 3 2 3" xfId="42189"/>
    <cellStyle name="Обычный 8 3 2 2 2 2 2 2 3 3" xfId="31006"/>
    <cellStyle name="Обычный 8 3 2 2 2 2 2 2 3 3 2" xfId="45829"/>
    <cellStyle name="Обычный 8 3 2 2 2 2 2 2 3 4" xfId="38503"/>
    <cellStyle name="Обычный 8 3 2 2 2 2 2 2 3 5" xfId="23691"/>
    <cellStyle name="Обычный 8 3 2 2 2 2 2 2 4" xfId="25508"/>
    <cellStyle name="Обычный 8 3 2 2 2 2 2 2 4 2" xfId="32819"/>
    <cellStyle name="Обычный 8 3 2 2 2 2 2 2 4 2 2" xfId="47642"/>
    <cellStyle name="Обычный 8 3 2 2 2 2 2 2 4 3" xfId="40396"/>
    <cellStyle name="Обычный 8 3 2 2 2 2 2 2 5" xfId="29165"/>
    <cellStyle name="Обычный 8 3 2 2 2 2 2 2 5 2" xfId="44002"/>
    <cellStyle name="Обычный 8 3 2 2 2 2 2 2 6" xfId="36420"/>
    <cellStyle name="Обычный 8 3 2 2 2 2 2 2 7" xfId="21847"/>
    <cellStyle name="Обычный 8 3 2 2 2 2 2 3" xfId="18547"/>
    <cellStyle name="Обычный 8 3 2 2 2 2 2 3 2" xfId="20429"/>
    <cellStyle name="Обычный 8 3 2 2 2 2 2 3 2 2" xfId="27755"/>
    <cellStyle name="Обычный 8 3 2 2 2 2 2 3 2 2 2" xfId="35066"/>
    <cellStyle name="Обычный 8 3 2 2 2 2 2 3 2 2 2 2" xfId="49886"/>
    <cellStyle name="Обычный 8 3 2 2 2 2 2 3 2 2 3" xfId="42594"/>
    <cellStyle name="Обычный 8 3 2 2 2 2 2 3 2 3" xfId="31412"/>
    <cellStyle name="Обычный 8 3 2 2 2 2 2 3 2 3 2" xfId="46235"/>
    <cellStyle name="Обычный 8 3 2 2 2 2 2 3 2 4" xfId="38910"/>
    <cellStyle name="Обычный 8 3 2 2 2 2 2 3 2 5" xfId="24097"/>
    <cellStyle name="Обычный 8 3 2 2 2 2 2 3 3" xfId="25929"/>
    <cellStyle name="Обычный 8 3 2 2 2 2 2 3 3 2" xfId="33240"/>
    <cellStyle name="Обычный 8 3 2 2 2 2 2 3 3 2 2" xfId="48060"/>
    <cellStyle name="Обычный 8 3 2 2 2 2 2 3 3 3" xfId="40774"/>
    <cellStyle name="Обычный 8 3 2 2 2 2 2 3 4" xfId="29586"/>
    <cellStyle name="Обычный 8 3 2 2 2 2 2 3 4 2" xfId="44410"/>
    <cellStyle name="Обычный 8 3 2 2 2 2 2 3 5" xfId="37187"/>
    <cellStyle name="Обычный 8 3 2 2 2 2 2 3 6" xfId="22268"/>
    <cellStyle name="Обычный 8 3 2 2 2 2 2 4" xfId="19529"/>
    <cellStyle name="Обычный 8 3 2 2 2 2 2 4 2" xfId="26899"/>
    <cellStyle name="Обычный 8 3 2 2 2 2 2 4 2 2" xfId="34210"/>
    <cellStyle name="Обычный 8 3 2 2 2 2 2 4 2 2 2" xfId="49030"/>
    <cellStyle name="Обычный 8 3 2 2 2 2 2 4 2 3" xfId="41739"/>
    <cellStyle name="Обычный 8 3 2 2 2 2 2 4 3" xfId="30556"/>
    <cellStyle name="Обычный 8 3 2 2 2 2 2 4 3 2" xfId="45379"/>
    <cellStyle name="Обычный 8 3 2 2 2 2 2 4 4" xfId="38053"/>
    <cellStyle name="Обычный 8 3 2 2 2 2 2 4 5" xfId="23241"/>
    <cellStyle name="Обычный 8 3 2 2 2 2 2 5" xfId="25058"/>
    <cellStyle name="Обычный 8 3 2 2 2 2 2 5 2" xfId="32369"/>
    <cellStyle name="Обычный 8 3 2 2 2 2 2 5 2 2" xfId="47192"/>
    <cellStyle name="Обычный 8 3 2 2 2 2 2 5 3" xfId="39953"/>
    <cellStyle name="Обычный 8 3 2 2 2 2 2 6" xfId="28715"/>
    <cellStyle name="Обычный 8 3 2 2 2 2 2 6 2" xfId="43552"/>
    <cellStyle name="Обычный 8 3 2 2 2 2 2 7" xfId="35971"/>
    <cellStyle name="Обычный 8 3 2 2 2 2 2 8" xfId="21397"/>
    <cellStyle name="Обычный 8 3 2 2 2 2 3" xfId="17712"/>
    <cellStyle name="Обычный 8 3 2 2 2 2 3 2" xfId="18826"/>
    <cellStyle name="Обычный 8 3 2 2 2 2 3 2 2" xfId="20705"/>
    <cellStyle name="Обычный 8 3 2 2 2 2 3 2 2 2" xfId="28031"/>
    <cellStyle name="Обычный 8 3 2 2 2 2 3 2 2 2 2" xfId="35342"/>
    <cellStyle name="Обычный 8 3 2 2 2 2 3 2 2 2 2 2" xfId="50162"/>
    <cellStyle name="Обычный 8 3 2 2 2 2 3 2 2 2 3" xfId="42870"/>
    <cellStyle name="Обычный 8 3 2 2 2 2 3 2 2 3" xfId="31688"/>
    <cellStyle name="Обычный 8 3 2 2 2 2 3 2 2 3 2" xfId="46511"/>
    <cellStyle name="Обычный 8 3 2 2 2 2 3 2 2 4" xfId="39186"/>
    <cellStyle name="Обычный 8 3 2 2 2 2 3 2 2 5" xfId="24373"/>
    <cellStyle name="Обычный 8 3 2 2 2 2 3 2 3" xfId="26205"/>
    <cellStyle name="Обычный 8 3 2 2 2 2 3 2 3 2" xfId="33516"/>
    <cellStyle name="Обычный 8 3 2 2 2 2 3 2 3 2 2" xfId="48336"/>
    <cellStyle name="Обычный 8 3 2 2 2 2 3 2 3 3" xfId="41049"/>
    <cellStyle name="Обычный 8 3 2 2 2 2 3 2 4" xfId="29862"/>
    <cellStyle name="Обычный 8 3 2 2 2 2 3 2 4 2" xfId="44686"/>
    <cellStyle name="Обычный 8 3 2 2 2 2 3 2 5" xfId="37463"/>
    <cellStyle name="Обычный 8 3 2 2 2 2 3 2 6" xfId="22544"/>
    <cellStyle name="Обычный 8 3 2 2 2 2 3 3" xfId="19756"/>
    <cellStyle name="Обычный 8 3 2 2 2 2 3 3 2" xfId="27125"/>
    <cellStyle name="Обычный 8 3 2 2 2 2 3 3 2 2" xfId="34436"/>
    <cellStyle name="Обычный 8 3 2 2 2 2 3 3 2 2 2" xfId="49256"/>
    <cellStyle name="Обычный 8 3 2 2 2 2 3 3 2 3" xfId="41965"/>
    <cellStyle name="Обычный 8 3 2 2 2 2 3 3 3" xfId="30782"/>
    <cellStyle name="Обычный 8 3 2 2 2 2 3 3 3 2" xfId="45605"/>
    <cellStyle name="Обычный 8 3 2 2 2 2 3 3 4" xfId="38279"/>
    <cellStyle name="Обычный 8 3 2 2 2 2 3 3 5" xfId="23467"/>
    <cellStyle name="Обычный 8 3 2 2 2 2 3 4" xfId="25284"/>
    <cellStyle name="Обычный 8 3 2 2 2 2 3 4 2" xfId="32595"/>
    <cellStyle name="Обычный 8 3 2 2 2 2 3 4 2 2" xfId="47418"/>
    <cellStyle name="Обычный 8 3 2 2 2 2 3 4 3" xfId="40176"/>
    <cellStyle name="Обычный 8 3 2 2 2 2 3 5" xfId="28941"/>
    <cellStyle name="Обычный 8 3 2 2 2 2 3 5 2" xfId="43778"/>
    <cellStyle name="Обычный 8 3 2 2 2 2 3 6" xfId="36419"/>
    <cellStyle name="Обычный 8 3 2 2 2 2 3 7" xfId="21623"/>
    <cellStyle name="Обычный 8 3 2 2 2 2 4" xfId="18546"/>
    <cellStyle name="Обычный 8 3 2 2 2 2 4 2" xfId="20428"/>
    <cellStyle name="Обычный 8 3 2 2 2 2 4 2 2" xfId="27754"/>
    <cellStyle name="Обычный 8 3 2 2 2 2 4 2 2 2" xfId="35065"/>
    <cellStyle name="Обычный 8 3 2 2 2 2 4 2 2 2 2" xfId="49885"/>
    <cellStyle name="Обычный 8 3 2 2 2 2 4 2 2 3" xfId="42593"/>
    <cellStyle name="Обычный 8 3 2 2 2 2 4 2 3" xfId="31411"/>
    <cellStyle name="Обычный 8 3 2 2 2 2 4 2 3 2" xfId="46234"/>
    <cellStyle name="Обычный 8 3 2 2 2 2 4 2 4" xfId="38909"/>
    <cellStyle name="Обычный 8 3 2 2 2 2 4 2 5" xfId="24096"/>
    <cellStyle name="Обычный 8 3 2 2 2 2 4 3" xfId="25928"/>
    <cellStyle name="Обычный 8 3 2 2 2 2 4 3 2" xfId="33239"/>
    <cellStyle name="Обычный 8 3 2 2 2 2 4 3 2 2" xfId="48059"/>
    <cellStyle name="Обычный 8 3 2 2 2 2 4 3 3" xfId="40773"/>
    <cellStyle name="Обычный 8 3 2 2 2 2 4 4" xfId="29585"/>
    <cellStyle name="Обычный 8 3 2 2 2 2 4 4 2" xfId="44409"/>
    <cellStyle name="Обычный 8 3 2 2 2 2 4 5" xfId="37186"/>
    <cellStyle name="Обычный 8 3 2 2 2 2 4 6" xfId="22267"/>
    <cellStyle name="Обычный 8 3 2 2 2 2 5" xfId="19305"/>
    <cellStyle name="Обычный 8 3 2 2 2 2 5 2" xfId="26675"/>
    <cellStyle name="Обычный 8 3 2 2 2 2 5 2 2" xfId="33986"/>
    <cellStyle name="Обычный 8 3 2 2 2 2 5 2 2 2" xfId="48806"/>
    <cellStyle name="Обычный 8 3 2 2 2 2 5 2 3" xfId="41515"/>
    <cellStyle name="Обычный 8 3 2 2 2 2 5 3" xfId="30332"/>
    <cellStyle name="Обычный 8 3 2 2 2 2 5 3 2" xfId="45155"/>
    <cellStyle name="Обычный 8 3 2 2 2 2 5 4" xfId="37829"/>
    <cellStyle name="Обычный 8 3 2 2 2 2 5 5" xfId="23017"/>
    <cellStyle name="Обычный 8 3 2 2 2 2 6" xfId="24834"/>
    <cellStyle name="Обычный 8 3 2 2 2 2 6 2" xfId="32145"/>
    <cellStyle name="Обычный 8 3 2 2 2 2 6 2 2" xfId="46968"/>
    <cellStyle name="Обычный 8 3 2 2 2 2 6 3" xfId="39733"/>
    <cellStyle name="Обычный 8 3 2 2 2 2 7" xfId="28491"/>
    <cellStyle name="Обычный 8 3 2 2 2 2 7 2" xfId="43328"/>
    <cellStyle name="Обычный 8 3 2 2 2 2 8" xfId="35970"/>
    <cellStyle name="Обычный 8 3 2 2 2 2 9" xfId="21173"/>
    <cellStyle name="Обычный 8 3 2 2 2 3" xfId="17824"/>
    <cellStyle name="Обычный 8 3 2 2 2 3 2" xfId="18938"/>
    <cellStyle name="Обычный 8 3 2 2 2 3 2 2" xfId="20817"/>
    <cellStyle name="Обычный 8 3 2 2 2 3 2 2 2" xfId="24485"/>
    <cellStyle name="Обычный 8 3 2 2 2 3 2 2 2 2" xfId="28143"/>
    <cellStyle name="Обычный 8 3 2 2 2 3 2 2 2 2 2" xfId="35454"/>
    <cellStyle name="Обычный 8 3 2 2 2 3 2 2 2 2 2 2" xfId="50274"/>
    <cellStyle name="Обычный 8 3 2 2 2 3 2 2 2 2 3" xfId="42982"/>
    <cellStyle name="Обычный 8 3 2 2 2 3 2 2 2 3" xfId="31800"/>
    <cellStyle name="Обычный 8 3 2 2 2 3 2 2 2 3 2" xfId="46623"/>
    <cellStyle name="Обычный 8 3 2 2 2 3 2 2 2 4" xfId="39445"/>
    <cellStyle name="Обычный 8 3 2 2 2 3 2 2 3" xfId="26317"/>
    <cellStyle name="Обычный 8 3 2 2 2 3 2 2 3 2" xfId="33628"/>
    <cellStyle name="Обычный 8 3 2 2 2 3 2 2 3 2 2" xfId="48448"/>
    <cellStyle name="Обычный 8 3 2 2 2 3 2 2 3 3" xfId="41161"/>
    <cellStyle name="Обычный 8 3 2 2 2 3 2 2 4" xfId="29974"/>
    <cellStyle name="Обычный 8 3 2 2 2 3 2 2 4 2" xfId="44798"/>
    <cellStyle name="Обычный 8 3 2 2 2 3 2 2 5" xfId="39298"/>
    <cellStyle name="Обычный 8 3 2 2 2 3 2 2 6" xfId="22656"/>
    <cellStyle name="Обычный 8 3 2 2 2 3 2 3" xfId="19868"/>
    <cellStyle name="Обычный 8 3 2 2 2 3 2 3 2" xfId="27237"/>
    <cellStyle name="Обычный 8 3 2 2 2 3 2 3 2 2" xfId="34548"/>
    <cellStyle name="Обычный 8 3 2 2 2 3 2 3 2 2 2" xfId="49368"/>
    <cellStyle name="Обычный 8 3 2 2 2 3 2 3 2 3" xfId="42077"/>
    <cellStyle name="Обычный 8 3 2 2 2 3 2 3 3" xfId="30894"/>
    <cellStyle name="Обычный 8 3 2 2 2 3 2 3 3 2" xfId="45717"/>
    <cellStyle name="Обычный 8 3 2 2 2 3 2 3 4" xfId="38391"/>
    <cellStyle name="Обычный 8 3 2 2 2 3 2 3 5" xfId="23579"/>
    <cellStyle name="Обычный 8 3 2 2 2 3 2 4" xfId="25396"/>
    <cellStyle name="Обычный 8 3 2 2 2 3 2 4 2" xfId="32707"/>
    <cellStyle name="Обычный 8 3 2 2 2 3 2 4 2 2" xfId="47530"/>
    <cellStyle name="Обычный 8 3 2 2 2 3 2 4 3" xfId="40284"/>
    <cellStyle name="Обычный 8 3 2 2 2 3 2 5" xfId="29053"/>
    <cellStyle name="Обычный 8 3 2 2 2 3 2 5 2" xfId="43890"/>
    <cellStyle name="Обычный 8 3 2 2 2 3 2 6" xfId="36421"/>
    <cellStyle name="Обычный 8 3 2 2 2 3 2 7" xfId="21735"/>
    <cellStyle name="Обычный 8 3 2 2 2 3 3" xfId="18548"/>
    <cellStyle name="Обычный 8 3 2 2 2 3 3 2" xfId="20430"/>
    <cellStyle name="Обычный 8 3 2 2 2 3 3 2 2" xfId="27756"/>
    <cellStyle name="Обычный 8 3 2 2 2 3 3 2 2 2" xfId="35067"/>
    <cellStyle name="Обычный 8 3 2 2 2 3 3 2 2 2 2" xfId="49887"/>
    <cellStyle name="Обычный 8 3 2 2 2 3 3 2 2 3" xfId="42595"/>
    <cellStyle name="Обычный 8 3 2 2 2 3 3 2 3" xfId="31413"/>
    <cellStyle name="Обычный 8 3 2 2 2 3 3 2 3 2" xfId="46236"/>
    <cellStyle name="Обычный 8 3 2 2 2 3 3 2 4" xfId="38911"/>
    <cellStyle name="Обычный 8 3 2 2 2 3 3 2 5" xfId="24098"/>
    <cellStyle name="Обычный 8 3 2 2 2 3 3 3" xfId="25930"/>
    <cellStyle name="Обычный 8 3 2 2 2 3 3 3 2" xfId="33241"/>
    <cellStyle name="Обычный 8 3 2 2 2 3 3 3 2 2" xfId="48061"/>
    <cellStyle name="Обычный 8 3 2 2 2 3 3 3 3" xfId="40775"/>
    <cellStyle name="Обычный 8 3 2 2 2 3 3 4" xfId="29587"/>
    <cellStyle name="Обычный 8 3 2 2 2 3 3 4 2" xfId="44411"/>
    <cellStyle name="Обычный 8 3 2 2 2 3 3 5" xfId="37188"/>
    <cellStyle name="Обычный 8 3 2 2 2 3 3 6" xfId="22269"/>
    <cellStyle name="Обычный 8 3 2 2 2 3 4" xfId="19417"/>
    <cellStyle name="Обычный 8 3 2 2 2 3 4 2" xfId="26787"/>
    <cellStyle name="Обычный 8 3 2 2 2 3 4 2 2" xfId="34098"/>
    <cellStyle name="Обычный 8 3 2 2 2 3 4 2 2 2" xfId="48918"/>
    <cellStyle name="Обычный 8 3 2 2 2 3 4 2 3" xfId="41627"/>
    <cellStyle name="Обычный 8 3 2 2 2 3 4 3" xfId="30444"/>
    <cellStyle name="Обычный 8 3 2 2 2 3 4 3 2" xfId="45267"/>
    <cellStyle name="Обычный 8 3 2 2 2 3 4 4" xfId="37941"/>
    <cellStyle name="Обычный 8 3 2 2 2 3 4 5" xfId="23129"/>
    <cellStyle name="Обычный 8 3 2 2 2 3 5" xfId="24946"/>
    <cellStyle name="Обычный 8 3 2 2 2 3 5 2" xfId="32257"/>
    <cellStyle name="Обычный 8 3 2 2 2 3 5 2 2" xfId="47080"/>
    <cellStyle name="Обычный 8 3 2 2 2 3 5 3" xfId="39841"/>
    <cellStyle name="Обычный 8 3 2 2 2 3 6" xfId="28603"/>
    <cellStyle name="Обычный 8 3 2 2 2 3 6 2" xfId="43440"/>
    <cellStyle name="Обычный 8 3 2 2 2 3 7" xfId="35972"/>
    <cellStyle name="Обычный 8 3 2 2 2 3 8" xfId="21285"/>
    <cellStyle name="Обычный 8 3 2 2 2 4" xfId="17600"/>
    <cellStyle name="Обычный 8 3 2 2 2 4 2" xfId="18714"/>
    <cellStyle name="Обычный 8 3 2 2 2 4 2 2" xfId="20593"/>
    <cellStyle name="Обычный 8 3 2 2 2 4 2 2 2" xfId="27919"/>
    <cellStyle name="Обычный 8 3 2 2 2 4 2 2 2 2" xfId="35230"/>
    <cellStyle name="Обычный 8 3 2 2 2 4 2 2 2 2 2" xfId="50050"/>
    <cellStyle name="Обычный 8 3 2 2 2 4 2 2 2 3" xfId="42758"/>
    <cellStyle name="Обычный 8 3 2 2 2 4 2 2 3" xfId="31576"/>
    <cellStyle name="Обычный 8 3 2 2 2 4 2 2 3 2" xfId="46399"/>
    <cellStyle name="Обычный 8 3 2 2 2 4 2 2 4" xfId="39074"/>
    <cellStyle name="Обычный 8 3 2 2 2 4 2 2 5" xfId="24261"/>
    <cellStyle name="Обычный 8 3 2 2 2 4 2 3" xfId="26093"/>
    <cellStyle name="Обычный 8 3 2 2 2 4 2 3 2" xfId="33404"/>
    <cellStyle name="Обычный 8 3 2 2 2 4 2 3 2 2" xfId="48224"/>
    <cellStyle name="Обычный 8 3 2 2 2 4 2 3 3" xfId="40937"/>
    <cellStyle name="Обычный 8 3 2 2 2 4 2 4" xfId="29750"/>
    <cellStyle name="Обычный 8 3 2 2 2 4 2 4 2" xfId="44574"/>
    <cellStyle name="Обычный 8 3 2 2 2 4 2 5" xfId="37351"/>
    <cellStyle name="Обычный 8 3 2 2 2 4 2 6" xfId="22432"/>
    <cellStyle name="Обычный 8 3 2 2 2 4 3" xfId="19644"/>
    <cellStyle name="Обычный 8 3 2 2 2 4 3 2" xfId="27013"/>
    <cellStyle name="Обычный 8 3 2 2 2 4 3 2 2" xfId="34324"/>
    <cellStyle name="Обычный 8 3 2 2 2 4 3 2 2 2" xfId="49144"/>
    <cellStyle name="Обычный 8 3 2 2 2 4 3 2 3" xfId="41853"/>
    <cellStyle name="Обычный 8 3 2 2 2 4 3 3" xfId="30670"/>
    <cellStyle name="Обычный 8 3 2 2 2 4 3 3 2" xfId="45493"/>
    <cellStyle name="Обычный 8 3 2 2 2 4 3 4" xfId="38167"/>
    <cellStyle name="Обычный 8 3 2 2 2 4 3 5" xfId="23355"/>
    <cellStyle name="Обычный 8 3 2 2 2 4 4" xfId="25172"/>
    <cellStyle name="Обычный 8 3 2 2 2 4 4 2" xfId="32483"/>
    <cellStyle name="Обычный 8 3 2 2 2 4 4 2 2" xfId="47306"/>
    <cellStyle name="Обычный 8 3 2 2 2 4 4 3" xfId="40066"/>
    <cellStyle name="Обычный 8 3 2 2 2 4 5" xfId="28829"/>
    <cellStyle name="Обычный 8 3 2 2 2 4 5 2" xfId="43666"/>
    <cellStyle name="Обычный 8 3 2 2 2 4 6" xfId="36418"/>
    <cellStyle name="Обычный 8 3 2 2 2 4 7" xfId="21511"/>
    <cellStyle name="Обычный 8 3 2 2 2 5" xfId="18545"/>
    <cellStyle name="Обычный 8 3 2 2 2 5 2" xfId="20427"/>
    <cellStyle name="Обычный 8 3 2 2 2 5 2 2" xfId="27753"/>
    <cellStyle name="Обычный 8 3 2 2 2 5 2 2 2" xfId="35064"/>
    <cellStyle name="Обычный 8 3 2 2 2 5 2 2 2 2" xfId="49884"/>
    <cellStyle name="Обычный 8 3 2 2 2 5 2 2 3" xfId="42592"/>
    <cellStyle name="Обычный 8 3 2 2 2 5 2 3" xfId="31410"/>
    <cellStyle name="Обычный 8 3 2 2 2 5 2 3 2" xfId="46233"/>
    <cellStyle name="Обычный 8 3 2 2 2 5 2 4" xfId="38908"/>
    <cellStyle name="Обычный 8 3 2 2 2 5 2 5" xfId="24095"/>
    <cellStyle name="Обычный 8 3 2 2 2 5 3" xfId="25927"/>
    <cellStyle name="Обычный 8 3 2 2 2 5 3 2" xfId="33238"/>
    <cellStyle name="Обычный 8 3 2 2 2 5 3 2 2" xfId="48058"/>
    <cellStyle name="Обычный 8 3 2 2 2 5 3 3" xfId="40772"/>
    <cellStyle name="Обычный 8 3 2 2 2 5 4" xfId="29584"/>
    <cellStyle name="Обычный 8 3 2 2 2 5 4 2" xfId="44408"/>
    <cellStyle name="Обычный 8 3 2 2 2 5 5" xfId="37185"/>
    <cellStyle name="Обычный 8 3 2 2 2 5 6" xfId="22266"/>
    <cellStyle name="Обычный 8 3 2 2 2 6" xfId="19194"/>
    <cellStyle name="Обычный 8 3 2 2 2 6 2" xfId="26565"/>
    <cellStyle name="Обычный 8 3 2 2 2 6 2 2" xfId="33876"/>
    <cellStyle name="Обычный 8 3 2 2 2 6 2 2 2" xfId="48696"/>
    <cellStyle name="Обычный 8 3 2 2 2 6 2 3" xfId="41405"/>
    <cellStyle name="Обычный 8 3 2 2 2 6 3" xfId="30222"/>
    <cellStyle name="Обычный 8 3 2 2 2 6 3 2" xfId="45045"/>
    <cellStyle name="Обычный 8 3 2 2 2 6 4" xfId="37719"/>
    <cellStyle name="Обычный 8 3 2 2 2 6 5" xfId="22907"/>
    <cellStyle name="Обычный 8 3 2 2 2 7" xfId="24722"/>
    <cellStyle name="Обычный 8 3 2 2 2 7 2" xfId="32033"/>
    <cellStyle name="Обычный 8 3 2 2 2 7 2 2" xfId="46856"/>
    <cellStyle name="Обычный 8 3 2 2 2 7 3" xfId="39626"/>
    <cellStyle name="Обычный 8 3 2 2 2 8" xfId="28379"/>
    <cellStyle name="Обычный 8 3 2 2 2 8 2" xfId="43216"/>
    <cellStyle name="Обычный 8 3 2 2 2 9" xfId="35969"/>
    <cellStyle name="Обычный 8 3 2 2 3" xfId="17430"/>
    <cellStyle name="Обычный 8 3 2 2 3 2" xfId="17880"/>
    <cellStyle name="Обычный 8 3 2 2 3 2 2" xfId="18994"/>
    <cellStyle name="Обычный 8 3 2 2 3 2 2 2" xfId="20873"/>
    <cellStyle name="Обычный 8 3 2 2 3 2 2 2 2" xfId="24541"/>
    <cellStyle name="Обычный 8 3 2 2 3 2 2 2 2 2" xfId="28199"/>
    <cellStyle name="Обычный 8 3 2 2 3 2 2 2 2 2 2" xfId="35510"/>
    <cellStyle name="Обычный 8 3 2 2 3 2 2 2 2 2 2 2" xfId="50330"/>
    <cellStyle name="Обычный 8 3 2 2 3 2 2 2 2 2 3" xfId="43038"/>
    <cellStyle name="Обычный 8 3 2 2 3 2 2 2 2 3" xfId="31856"/>
    <cellStyle name="Обычный 8 3 2 2 3 2 2 2 2 3 2" xfId="46679"/>
    <cellStyle name="Обычный 8 3 2 2 3 2 2 2 2 4" xfId="39477"/>
    <cellStyle name="Обычный 8 3 2 2 3 2 2 2 3" xfId="26373"/>
    <cellStyle name="Обычный 8 3 2 2 3 2 2 2 3 2" xfId="33684"/>
    <cellStyle name="Обычный 8 3 2 2 3 2 2 2 3 2 2" xfId="48504"/>
    <cellStyle name="Обычный 8 3 2 2 3 2 2 2 3 3" xfId="41217"/>
    <cellStyle name="Обычный 8 3 2 2 3 2 2 2 4" xfId="30030"/>
    <cellStyle name="Обычный 8 3 2 2 3 2 2 2 4 2" xfId="44854"/>
    <cellStyle name="Обычный 8 3 2 2 3 2 2 2 5" xfId="39354"/>
    <cellStyle name="Обычный 8 3 2 2 3 2 2 2 6" xfId="22712"/>
    <cellStyle name="Обычный 8 3 2 2 3 2 2 3" xfId="19924"/>
    <cellStyle name="Обычный 8 3 2 2 3 2 2 3 2" xfId="27293"/>
    <cellStyle name="Обычный 8 3 2 2 3 2 2 3 2 2" xfId="34604"/>
    <cellStyle name="Обычный 8 3 2 2 3 2 2 3 2 2 2" xfId="49424"/>
    <cellStyle name="Обычный 8 3 2 2 3 2 2 3 2 3" xfId="42133"/>
    <cellStyle name="Обычный 8 3 2 2 3 2 2 3 3" xfId="30950"/>
    <cellStyle name="Обычный 8 3 2 2 3 2 2 3 3 2" xfId="45773"/>
    <cellStyle name="Обычный 8 3 2 2 3 2 2 3 4" xfId="38447"/>
    <cellStyle name="Обычный 8 3 2 2 3 2 2 3 5" xfId="23635"/>
    <cellStyle name="Обычный 8 3 2 2 3 2 2 4" xfId="25452"/>
    <cellStyle name="Обычный 8 3 2 2 3 2 2 4 2" xfId="32763"/>
    <cellStyle name="Обычный 8 3 2 2 3 2 2 4 2 2" xfId="47586"/>
    <cellStyle name="Обычный 8 3 2 2 3 2 2 4 3" xfId="40340"/>
    <cellStyle name="Обычный 8 3 2 2 3 2 2 5" xfId="29109"/>
    <cellStyle name="Обычный 8 3 2 2 3 2 2 5 2" xfId="43946"/>
    <cellStyle name="Обычный 8 3 2 2 3 2 2 6" xfId="36423"/>
    <cellStyle name="Обычный 8 3 2 2 3 2 2 7" xfId="21791"/>
    <cellStyle name="Обычный 8 3 2 2 3 2 3" xfId="18550"/>
    <cellStyle name="Обычный 8 3 2 2 3 2 3 2" xfId="20432"/>
    <cellStyle name="Обычный 8 3 2 2 3 2 3 2 2" xfId="27758"/>
    <cellStyle name="Обычный 8 3 2 2 3 2 3 2 2 2" xfId="35069"/>
    <cellStyle name="Обычный 8 3 2 2 3 2 3 2 2 2 2" xfId="49889"/>
    <cellStyle name="Обычный 8 3 2 2 3 2 3 2 2 3" xfId="42597"/>
    <cellStyle name="Обычный 8 3 2 2 3 2 3 2 3" xfId="31415"/>
    <cellStyle name="Обычный 8 3 2 2 3 2 3 2 3 2" xfId="46238"/>
    <cellStyle name="Обычный 8 3 2 2 3 2 3 2 4" xfId="38913"/>
    <cellStyle name="Обычный 8 3 2 2 3 2 3 2 5" xfId="24100"/>
    <cellStyle name="Обычный 8 3 2 2 3 2 3 3" xfId="25932"/>
    <cellStyle name="Обычный 8 3 2 2 3 2 3 3 2" xfId="33243"/>
    <cellStyle name="Обычный 8 3 2 2 3 2 3 3 2 2" xfId="48063"/>
    <cellStyle name="Обычный 8 3 2 2 3 2 3 3 3" xfId="40777"/>
    <cellStyle name="Обычный 8 3 2 2 3 2 3 4" xfId="29589"/>
    <cellStyle name="Обычный 8 3 2 2 3 2 3 4 2" xfId="44413"/>
    <cellStyle name="Обычный 8 3 2 2 3 2 3 5" xfId="37190"/>
    <cellStyle name="Обычный 8 3 2 2 3 2 3 6" xfId="22271"/>
    <cellStyle name="Обычный 8 3 2 2 3 2 4" xfId="19473"/>
    <cellStyle name="Обычный 8 3 2 2 3 2 4 2" xfId="26843"/>
    <cellStyle name="Обычный 8 3 2 2 3 2 4 2 2" xfId="34154"/>
    <cellStyle name="Обычный 8 3 2 2 3 2 4 2 2 2" xfId="48974"/>
    <cellStyle name="Обычный 8 3 2 2 3 2 4 2 3" xfId="41683"/>
    <cellStyle name="Обычный 8 3 2 2 3 2 4 3" xfId="30500"/>
    <cellStyle name="Обычный 8 3 2 2 3 2 4 3 2" xfId="45323"/>
    <cellStyle name="Обычный 8 3 2 2 3 2 4 4" xfId="37997"/>
    <cellStyle name="Обычный 8 3 2 2 3 2 4 5" xfId="23185"/>
    <cellStyle name="Обычный 8 3 2 2 3 2 5" xfId="25002"/>
    <cellStyle name="Обычный 8 3 2 2 3 2 5 2" xfId="32313"/>
    <cellStyle name="Обычный 8 3 2 2 3 2 5 2 2" xfId="47136"/>
    <cellStyle name="Обычный 8 3 2 2 3 2 5 3" xfId="39897"/>
    <cellStyle name="Обычный 8 3 2 2 3 2 6" xfId="28659"/>
    <cellStyle name="Обычный 8 3 2 2 3 2 6 2" xfId="43496"/>
    <cellStyle name="Обычный 8 3 2 2 3 2 7" xfId="35974"/>
    <cellStyle name="Обычный 8 3 2 2 3 2 8" xfId="21341"/>
    <cellStyle name="Обычный 8 3 2 2 3 3" xfId="17656"/>
    <cellStyle name="Обычный 8 3 2 2 3 3 2" xfId="18770"/>
    <cellStyle name="Обычный 8 3 2 2 3 3 2 2" xfId="20649"/>
    <cellStyle name="Обычный 8 3 2 2 3 3 2 2 2" xfId="27975"/>
    <cellStyle name="Обычный 8 3 2 2 3 3 2 2 2 2" xfId="35286"/>
    <cellStyle name="Обычный 8 3 2 2 3 3 2 2 2 2 2" xfId="50106"/>
    <cellStyle name="Обычный 8 3 2 2 3 3 2 2 2 3" xfId="42814"/>
    <cellStyle name="Обычный 8 3 2 2 3 3 2 2 3" xfId="31632"/>
    <cellStyle name="Обычный 8 3 2 2 3 3 2 2 3 2" xfId="46455"/>
    <cellStyle name="Обычный 8 3 2 2 3 3 2 2 4" xfId="39130"/>
    <cellStyle name="Обычный 8 3 2 2 3 3 2 2 5" xfId="24317"/>
    <cellStyle name="Обычный 8 3 2 2 3 3 2 3" xfId="26149"/>
    <cellStyle name="Обычный 8 3 2 2 3 3 2 3 2" xfId="33460"/>
    <cellStyle name="Обычный 8 3 2 2 3 3 2 3 2 2" xfId="48280"/>
    <cellStyle name="Обычный 8 3 2 2 3 3 2 3 3" xfId="40993"/>
    <cellStyle name="Обычный 8 3 2 2 3 3 2 4" xfId="29806"/>
    <cellStyle name="Обычный 8 3 2 2 3 3 2 4 2" xfId="44630"/>
    <cellStyle name="Обычный 8 3 2 2 3 3 2 5" xfId="37407"/>
    <cellStyle name="Обычный 8 3 2 2 3 3 2 6" xfId="22488"/>
    <cellStyle name="Обычный 8 3 2 2 3 3 3" xfId="19700"/>
    <cellStyle name="Обычный 8 3 2 2 3 3 3 2" xfId="27069"/>
    <cellStyle name="Обычный 8 3 2 2 3 3 3 2 2" xfId="34380"/>
    <cellStyle name="Обычный 8 3 2 2 3 3 3 2 2 2" xfId="49200"/>
    <cellStyle name="Обычный 8 3 2 2 3 3 3 2 3" xfId="41909"/>
    <cellStyle name="Обычный 8 3 2 2 3 3 3 3" xfId="30726"/>
    <cellStyle name="Обычный 8 3 2 2 3 3 3 3 2" xfId="45549"/>
    <cellStyle name="Обычный 8 3 2 2 3 3 3 4" xfId="38223"/>
    <cellStyle name="Обычный 8 3 2 2 3 3 3 5" xfId="23411"/>
    <cellStyle name="Обычный 8 3 2 2 3 3 4" xfId="25228"/>
    <cellStyle name="Обычный 8 3 2 2 3 3 4 2" xfId="32539"/>
    <cellStyle name="Обычный 8 3 2 2 3 3 4 2 2" xfId="47362"/>
    <cellStyle name="Обычный 8 3 2 2 3 3 4 3" xfId="40120"/>
    <cellStyle name="Обычный 8 3 2 2 3 3 5" xfId="28885"/>
    <cellStyle name="Обычный 8 3 2 2 3 3 5 2" xfId="43722"/>
    <cellStyle name="Обычный 8 3 2 2 3 3 6" xfId="36422"/>
    <cellStyle name="Обычный 8 3 2 2 3 3 7" xfId="21567"/>
    <cellStyle name="Обычный 8 3 2 2 3 4" xfId="18549"/>
    <cellStyle name="Обычный 8 3 2 2 3 4 2" xfId="20431"/>
    <cellStyle name="Обычный 8 3 2 2 3 4 2 2" xfId="27757"/>
    <cellStyle name="Обычный 8 3 2 2 3 4 2 2 2" xfId="35068"/>
    <cellStyle name="Обычный 8 3 2 2 3 4 2 2 2 2" xfId="49888"/>
    <cellStyle name="Обычный 8 3 2 2 3 4 2 2 3" xfId="42596"/>
    <cellStyle name="Обычный 8 3 2 2 3 4 2 3" xfId="31414"/>
    <cellStyle name="Обычный 8 3 2 2 3 4 2 3 2" xfId="46237"/>
    <cellStyle name="Обычный 8 3 2 2 3 4 2 4" xfId="38912"/>
    <cellStyle name="Обычный 8 3 2 2 3 4 2 5" xfId="24099"/>
    <cellStyle name="Обычный 8 3 2 2 3 4 3" xfId="25931"/>
    <cellStyle name="Обычный 8 3 2 2 3 4 3 2" xfId="33242"/>
    <cellStyle name="Обычный 8 3 2 2 3 4 3 2 2" xfId="48062"/>
    <cellStyle name="Обычный 8 3 2 2 3 4 3 3" xfId="40776"/>
    <cellStyle name="Обычный 8 3 2 2 3 4 4" xfId="29588"/>
    <cellStyle name="Обычный 8 3 2 2 3 4 4 2" xfId="44412"/>
    <cellStyle name="Обычный 8 3 2 2 3 4 5" xfId="37189"/>
    <cellStyle name="Обычный 8 3 2 2 3 4 6" xfId="22270"/>
    <cellStyle name="Обычный 8 3 2 2 3 5" xfId="19250"/>
    <cellStyle name="Обычный 8 3 2 2 3 5 2" xfId="26620"/>
    <cellStyle name="Обычный 8 3 2 2 3 5 2 2" xfId="33931"/>
    <cellStyle name="Обычный 8 3 2 2 3 5 2 2 2" xfId="48751"/>
    <cellStyle name="Обычный 8 3 2 2 3 5 2 3" xfId="41460"/>
    <cellStyle name="Обычный 8 3 2 2 3 5 3" xfId="30277"/>
    <cellStyle name="Обычный 8 3 2 2 3 5 3 2" xfId="45100"/>
    <cellStyle name="Обычный 8 3 2 2 3 5 4" xfId="37774"/>
    <cellStyle name="Обычный 8 3 2 2 3 5 5" xfId="22962"/>
    <cellStyle name="Обычный 8 3 2 2 3 6" xfId="24778"/>
    <cellStyle name="Обычный 8 3 2 2 3 6 2" xfId="32089"/>
    <cellStyle name="Обычный 8 3 2 2 3 6 2 2" xfId="46912"/>
    <cellStyle name="Обычный 8 3 2 2 3 6 3" xfId="39679"/>
    <cellStyle name="Обычный 8 3 2 2 3 7" xfId="28435"/>
    <cellStyle name="Обычный 8 3 2 2 3 7 2" xfId="43272"/>
    <cellStyle name="Обычный 8 3 2 2 3 8" xfId="35973"/>
    <cellStyle name="Обычный 8 3 2 2 3 9" xfId="21117"/>
    <cellStyle name="Обычный 8 3 2 2 4" xfId="17313"/>
    <cellStyle name="Обычный 8 3 2 2 4 2" xfId="17768"/>
    <cellStyle name="Обычный 8 3 2 2 4 2 2" xfId="18882"/>
    <cellStyle name="Обычный 8 3 2 2 4 2 2 2" xfId="20761"/>
    <cellStyle name="Обычный 8 3 2 2 4 2 2 2 2" xfId="28087"/>
    <cellStyle name="Обычный 8 3 2 2 4 2 2 2 2 2" xfId="35398"/>
    <cellStyle name="Обычный 8 3 2 2 4 2 2 2 2 2 2" xfId="50218"/>
    <cellStyle name="Обычный 8 3 2 2 4 2 2 2 2 3" xfId="42926"/>
    <cellStyle name="Обычный 8 3 2 2 4 2 2 2 3" xfId="31744"/>
    <cellStyle name="Обычный 8 3 2 2 4 2 2 2 3 2" xfId="46567"/>
    <cellStyle name="Обычный 8 3 2 2 4 2 2 2 4" xfId="39242"/>
    <cellStyle name="Обычный 8 3 2 2 4 2 2 2 5" xfId="24429"/>
    <cellStyle name="Обычный 8 3 2 2 4 2 2 3" xfId="26261"/>
    <cellStyle name="Обычный 8 3 2 2 4 2 2 3 2" xfId="33572"/>
    <cellStyle name="Обычный 8 3 2 2 4 2 2 3 2 2" xfId="48392"/>
    <cellStyle name="Обычный 8 3 2 2 4 2 2 3 3" xfId="41105"/>
    <cellStyle name="Обычный 8 3 2 2 4 2 2 4" xfId="29918"/>
    <cellStyle name="Обычный 8 3 2 2 4 2 2 4 2" xfId="44742"/>
    <cellStyle name="Обычный 8 3 2 2 4 2 2 5" xfId="37518"/>
    <cellStyle name="Обычный 8 3 2 2 4 2 2 6" xfId="22600"/>
    <cellStyle name="Обычный 8 3 2 2 4 2 3" xfId="19812"/>
    <cellStyle name="Обычный 8 3 2 2 4 2 3 2" xfId="27181"/>
    <cellStyle name="Обычный 8 3 2 2 4 2 3 2 2" xfId="34492"/>
    <cellStyle name="Обычный 8 3 2 2 4 2 3 2 2 2" xfId="49312"/>
    <cellStyle name="Обычный 8 3 2 2 4 2 3 2 3" xfId="42021"/>
    <cellStyle name="Обычный 8 3 2 2 4 2 3 3" xfId="30838"/>
    <cellStyle name="Обычный 8 3 2 2 4 2 3 3 2" xfId="45661"/>
    <cellStyle name="Обычный 8 3 2 2 4 2 3 4" xfId="38335"/>
    <cellStyle name="Обычный 8 3 2 2 4 2 3 5" xfId="23523"/>
    <cellStyle name="Обычный 8 3 2 2 4 2 4" xfId="25340"/>
    <cellStyle name="Обычный 8 3 2 2 4 2 4 2" xfId="32651"/>
    <cellStyle name="Обычный 8 3 2 2 4 2 4 2 2" xfId="47474"/>
    <cellStyle name="Обычный 8 3 2 2 4 2 4 3" xfId="40228"/>
    <cellStyle name="Обычный 8 3 2 2 4 2 5" xfId="28997"/>
    <cellStyle name="Обычный 8 3 2 2 4 2 5 2" xfId="43834"/>
    <cellStyle name="Обычный 8 3 2 2 4 2 6" xfId="36424"/>
    <cellStyle name="Обычный 8 3 2 2 4 2 7" xfId="21679"/>
    <cellStyle name="Обычный 8 3 2 2 4 3" xfId="18551"/>
    <cellStyle name="Обычный 8 3 2 2 4 3 2" xfId="20433"/>
    <cellStyle name="Обычный 8 3 2 2 4 3 2 2" xfId="27759"/>
    <cellStyle name="Обычный 8 3 2 2 4 3 2 2 2" xfId="35070"/>
    <cellStyle name="Обычный 8 3 2 2 4 3 2 2 2 2" xfId="49890"/>
    <cellStyle name="Обычный 8 3 2 2 4 3 2 2 3" xfId="42598"/>
    <cellStyle name="Обычный 8 3 2 2 4 3 2 3" xfId="31416"/>
    <cellStyle name="Обычный 8 3 2 2 4 3 2 3 2" xfId="46239"/>
    <cellStyle name="Обычный 8 3 2 2 4 3 2 4" xfId="38914"/>
    <cellStyle name="Обычный 8 3 2 2 4 3 2 5" xfId="24101"/>
    <cellStyle name="Обычный 8 3 2 2 4 3 3" xfId="25933"/>
    <cellStyle name="Обычный 8 3 2 2 4 3 3 2" xfId="33244"/>
    <cellStyle name="Обычный 8 3 2 2 4 3 3 2 2" xfId="48064"/>
    <cellStyle name="Обычный 8 3 2 2 4 3 3 3" xfId="40778"/>
    <cellStyle name="Обычный 8 3 2 2 4 3 4" xfId="29590"/>
    <cellStyle name="Обычный 8 3 2 2 4 3 4 2" xfId="44414"/>
    <cellStyle name="Обычный 8 3 2 2 4 3 5" xfId="37191"/>
    <cellStyle name="Обычный 8 3 2 2 4 3 6" xfId="22272"/>
    <cellStyle name="Обычный 8 3 2 2 4 4" xfId="19361"/>
    <cellStyle name="Обычный 8 3 2 2 4 4 2" xfId="26731"/>
    <cellStyle name="Обычный 8 3 2 2 4 4 2 2" xfId="34042"/>
    <cellStyle name="Обычный 8 3 2 2 4 4 2 2 2" xfId="48862"/>
    <cellStyle name="Обычный 8 3 2 2 4 4 2 3" xfId="41571"/>
    <cellStyle name="Обычный 8 3 2 2 4 4 3" xfId="30388"/>
    <cellStyle name="Обычный 8 3 2 2 4 4 3 2" xfId="45211"/>
    <cellStyle name="Обычный 8 3 2 2 4 4 4" xfId="37885"/>
    <cellStyle name="Обычный 8 3 2 2 4 4 5" xfId="23073"/>
    <cellStyle name="Обычный 8 3 2 2 4 5" xfId="24890"/>
    <cellStyle name="Обычный 8 3 2 2 4 5 2" xfId="32201"/>
    <cellStyle name="Обычный 8 3 2 2 4 5 2 2" xfId="47024"/>
    <cellStyle name="Обычный 8 3 2 2 4 5 3" xfId="39785"/>
    <cellStyle name="Обычный 8 3 2 2 4 6" xfId="28547"/>
    <cellStyle name="Обычный 8 3 2 2 4 6 2" xfId="43384"/>
    <cellStyle name="Обычный 8 3 2 2 4 7" xfId="35975"/>
    <cellStyle name="Обычный 8 3 2 2 4 8" xfId="21229"/>
    <cellStyle name="Обычный 8 3 2 2 5" xfId="17544"/>
    <cellStyle name="Обычный 8 3 2 2 5 2" xfId="18658"/>
    <cellStyle name="Обычный 8 3 2 2 5 2 2" xfId="20537"/>
    <cellStyle name="Обычный 8 3 2 2 5 2 2 2" xfId="27863"/>
    <cellStyle name="Обычный 8 3 2 2 5 2 2 2 2" xfId="35174"/>
    <cellStyle name="Обычный 8 3 2 2 5 2 2 2 2 2" xfId="49994"/>
    <cellStyle name="Обычный 8 3 2 2 5 2 2 2 3" xfId="42702"/>
    <cellStyle name="Обычный 8 3 2 2 5 2 2 3" xfId="31520"/>
    <cellStyle name="Обычный 8 3 2 2 5 2 2 3 2" xfId="46343"/>
    <cellStyle name="Обычный 8 3 2 2 5 2 2 4" xfId="39018"/>
    <cellStyle name="Обычный 8 3 2 2 5 2 2 5" xfId="24205"/>
    <cellStyle name="Обычный 8 3 2 2 5 2 3" xfId="26037"/>
    <cellStyle name="Обычный 8 3 2 2 5 2 3 2" xfId="33348"/>
    <cellStyle name="Обычный 8 3 2 2 5 2 3 2 2" xfId="48168"/>
    <cellStyle name="Обычный 8 3 2 2 5 2 3 3" xfId="40881"/>
    <cellStyle name="Обычный 8 3 2 2 5 2 4" xfId="29694"/>
    <cellStyle name="Обычный 8 3 2 2 5 2 4 2" xfId="44518"/>
    <cellStyle name="Обычный 8 3 2 2 5 2 5" xfId="37295"/>
    <cellStyle name="Обычный 8 3 2 2 5 2 6" xfId="22376"/>
    <cellStyle name="Обычный 8 3 2 2 5 3" xfId="19588"/>
    <cellStyle name="Обычный 8 3 2 2 5 3 2" xfId="26957"/>
    <cellStyle name="Обычный 8 3 2 2 5 3 2 2" xfId="34268"/>
    <cellStyle name="Обычный 8 3 2 2 5 3 2 2 2" xfId="49088"/>
    <cellStyle name="Обычный 8 3 2 2 5 3 2 3" xfId="41797"/>
    <cellStyle name="Обычный 8 3 2 2 5 3 3" xfId="30614"/>
    <cellStyle name="Обычный 8 3 2 2 5 3 3 2" xfId="45437"/>
    <cellStyle name="Обычный 8 3 2 2 5 3 4" xfId="38111"/>
    <cellStyle name="Обычный 8 3 2 2 5 3 5" xfId="23299"/>
    <cellStyle name="Обычный 8 3 2 2 5 4" xfId="25116"/>
    <cellStyle name="Обычный 8 3 2 2 5 4 2" xfId="32427"/>
    <cellStyle name="Обычный 8 3 2 2 5 4 2 2" xfId="47250"/>
    <cellStyle name="Обычный 8 3 2 2 5 4 3" xfId="40010"/>
    <cellStyle name="Обычный 8 3 2 2 5 5" xfId="28773"/>
    <cellStyle name="Обычный 8 3 2 2 5 5 2" xfId="43610"/>
    <cellStyle name="Обычный 8 3 2 2 5 6" xfId="36417"/>
    <cellStyle name="Обычный 8 3 2 2 5 7" xfId="21455"/>
    <cellStyle name="Обычный 8 3 2 2 6" xfId="18544"/>
    <cellStyle name="Обычный 8 3 2 2 6 2" xfId="20426"/>
    <cellStyle name="Обычный 8 3 2 2 6 2 2" xfId="27752"/>
    <cellStyle name="Обычный 8 3 2 2 6 2 2 2" xfId="35063"/>
    <cellStyle name="Обычный 8 3 2 2 6 2 2 2 2" xfId="49883"/>
    <cellStyle name="Обычный 8 3 2 2 6 2 2 3" xfId="42591"/>
    <cellStyle name="Обычный 8 3 2 2 6 2 3" xfId="31409"/>
    <cellStyle name="Обычный 8 3 2 2 6 2 3 2" xfId="46232"/>
    <cellStyle name="Обычный 8 3 2 2 6 2 4" xfId="38907"/>
    <cellStyle name="Обычный 8 3 2 2 6 2 5" xfId="24094"/>
    <cellStyle name="Обычный 8 3 2 2 6 3" xfId="25926"/>
    <cellStyle name="Обычный 8 3 2 2 6 3 2" xfId="33237"/>
    <cellStyle name="Обычный 8 3 2 2 6 3 2 2" xfId="48057"/>
    <cellStyle name="Обычный 8 3 2 2 6 3 3" xfId="40771"/>
    <cellStyle name="Обычный 8 3 2 2 6 4" xfId="29583"/>
    <cellStyle name="Обычный 8 3 2 2 6 4 2" xfId="44407"/>
    <cellStyle name="Обычный 8 3 2 2 6 5" xfId="37184"/>
    <cellStyle name="Обычный 8 3 2 2 6 6" xfId="22265"/>
    <cellStyle name="Обычный 8 3 2 2 7" xfId="19140"/>
    <cellStyle name="Обычный 8 3 2 2 7 2" xfId="26512"/>
    <cellStyle name="Обычный 8 3 2 2 7 2 2" xfId="33823"/>
    <cellStyle name="Обычный 8 3 2 2 7 2 2 2" xfId="48643"/>
    <cellStyle name="Обычный 8 3 2 2 7 2 3" xfId="41352"/>
    <cellStyle name="Обычный 8 3 2 2 7 3" xfId="30169"/>
    <cellStyle name="Обычный 8 3 2 2 7 3 2" xfId="44992"/>
    <cellStyle name="Обычный 8 3 2 2 7 4" xfId="37666"/>
    <cellStyle name="Обычный 8 3 2 2 7 5" xfId="22854"/>
    <cellStyle name="Обычный 8 3 2 2 8" xfId="24666"/>
    <cellStyle name="Обычный 8 3 2 2 8 2" xfId="31977"/>
    <cellStyle name="Обычный 8 3 2 2 8 2 2" xfId="46800"/>
    <cellStyle name="Обычный 8 3 2 2 8 3" xfId="39586"/>
    <cellStyle name="Обычный 8 3 2 2 9" xfId="28323"/>
    <cellStyle name="Обычный 8 3 2 2 9 2" xfId="43160"/>
    <cellStyle name="Обычный 8 3 2 3" xfId="17241"/>
    <cellStyle name="Обычный 8 3 2 3 10" xfId="21033"/>
    <cellStyle name="Обычный 8 3 2 3 2" xfId="17458"/>
    <cellStyle name="Обычный 8 3 2 3 2 2" xfId="17908"/>
    <cellStyle name="Обычный 8 3 2 3 2 2 2" xfId="19022"/>
    <cellStyle name="Обычный 8 3 2 3 2 2 2 2" xfId="20901"/>
    <cellStyle name="Обычный 8 3 2 3 2 2 2 2 2" xfId="24569"/>
    <cellStyle name="Обычный 8 3 2 3 2 2 2 2 2 2" xfId="28227"/>
    <cellStyle name="Обычный 8 3 2 3 2 2 2 2 2 2 2" xfId="35538"/>
    <cellStyle name="Обычный 8 3 2 3 2 2 2 2 2 2 2 2" xfId="50358"/>
    <cellStyle name="Обычный 8 3 2 3 2 2 2 2 2 2 3" xfId="43066"/>
    <cellStyle name="Обычный 8 3 2 3 2 2 2 2 2 3" xfId="31884"/>
    <cellStyle name="Обычный 8 3 2 3 2 2 2 2 2 3 2" xfId="46707"/>
    <cellStyle name="Обычный 8 3 2 3 2 2 2 2 2 4" xfId="39502"/>
    <cellStyle name="Обычный 8 3 2 3 2 2 2 2 3" xfId="26401"/>
    <cellStyle name="Обычный 8 3 2 3 2 2 2 2 3 2" xfId="33712"/>
    <cellStyle name="Обычный 8 3 2 3 2 2 2 2 3 2 2" xfId="48532"/>
    <cellStyle name="Обычный 8 3 2 3 2 2 2 2 3 3" xfId="41245"/>
    <cellStyle name="Обычный 8 3 2 3 2 2 2 2 4" xfId="30058"/>
    <cellStyle name="Обычный 8 3 2 3 2 2 2 2 4 2" xfId="44882"/>
    <cellStyle name="Обычный 8 3 2 3 2 2 2 2 5" xfId="39382"/>
    <cellStyle name="Обычный 8 3 2 3 2 2 2 2 6" xfId="22740"/>
    <cellStyle name="Обычный 8 3 2 3 2 2 2 3" xfId="19952"/>
    <cellStyle name="Обычный 8 3 2 3 2 2 2 3 2" xfId="27321"/>
    <cellStyle name="Обычный 8 3 2 3 2 2 2 3 2 2" xfId="34632"/>
    <cellStyle name="Обычный 8 3 2 3 2 2 2 3 2 2 2" xfId="49452"/>
    <cellStyle name="Обычный 8 3 2 3 2 2 2 3 2 3" xfId="42161"/>
    <cellStyle name="Обычный 8 3 2 3 2 2 2 3 3" xfId="30978"/>
    <cellStyle name="Обычный 8 3 2 3 2 2 2 3 3 2" xfId="45801"/>
    <cellStyle name="Обычный 8 3 2 3 2 2 2 3 4" xfId="38475"/>
    <cellStyle name="Обычный 8 3 2 3 2 2 2 3 5" xfId="23663"/>
    <cellStyle name="Обычный 8 3 2 3 2 2 2 4" xfId="25480"/>
    <cellStyle name="Обычный 8 3 2 3 2 2 2 4 2" xfId="32791"/>
    <cellStyle name="Обычный 8 3 2 3 2 2 2 4 2 2" xfId="47614"/>
    <cellStyle name="Обычный 8 3 2 3 2 2 2 4 3" xfId="40368"/>
    <cellStyle name="Обычный 8 3 2 3 2 2 2 5" xfId="29137"/>
    <cellStyle name="Обычный 8 3 2 3 2 2 2 5 2" xfId="43974"/>
    <cellStyle name="Обычный 8 3 2 3 2 2 2 6" xfId="36427"/>
    <cellStyle name="Обычный 8 3 2 3 2 2 2 7" xfId="21819"/>
    <cellStyle name="Обычный 8 3 2 3 2 2 3" xfId="18554"/>
    <cellStyle name="Обычный 8 3 2 3 2 2 3 2" xfId="20436"/>
    <cellStyle name="Обычный 8 3 2 3 2 2 3 2 2" xfId="27762"/>
    <cellStyle name="Обычный 8 3 2 3 2 2 3 2 2 2" xfId="35073"/>
    <cellStyle name="Обычный 8 3 2 3 2 2 3 2 2 2 2" xfId="49893"/>
    <cellStyle name="Обычный 8 3 2 3 2 2 3 2 2 3" xfId="42601"/>
    <cellStyle name="Обычный 8 3 2 3 2 2 3 2 3" xfId="31419"/>
    <cellStyle name="Обычный 8 3 2 3 2 2 3 2 3 2" xfId="46242"/>
    <cellStyle name="Обычный 8 3 2 3 2 2 3 2 4" xfId="38917"/>
    <cellStyle name="Обычный 8 3 2 3 2 2 3 2 5" xfId="24104"/>
    <cellStyle name="Обычный 8 3 2 3 2 2 3 3" xfId="25936"/>
    <cellStyle name="Обычный 8 3 2 3 2 2 3 3 2" xfId="33247"/>
    <cellStyle name="Обычный 8 3 2 3 2 2 3 3 2 2" xfId="48067"/>
    <cellStyle name="Обычный 8 3 2 3 2 2 3 3 3" xfId="40781"/>
    <cellStyle name="Обычный 8 3 2 3 2 2 3 4" xfId="29593"/>
    <cellStyle name="Обычный 8 3 2 3 2 2 3 4 2" xfId="44417"/>
    <cellStyle name="Обычный 8 3 2 3 2 2 3 5" xfId="37194"/>
    <cellStyle name="Обычный 8 3 2 3 2 2 3 6" xfId="22275"/>
    <cellStyle name="Обычный 8 3 2 3 2 2 4" xfId="19501"/>
    <cellStyle name="Обычный 8 3 2 3 2 2 4 2" xfId="26871"/>
    <cellStyle name="Обычный 8 3 2 3 2 2 4 2 2" xfId="34182"/>
    <cellStyle name="Обычный 8 3 2 3 2 2 4 2 2 2" xfId="49002"/>
    <cellStyle name="Обычный 8 3 2 3 2 2 4 2 3" xfId="41711"/>
    <cellStyle name="Обычный 8 3 2 3 2 2 4 3" xfId="30528"/>
    <cellStyle name="Обычный 8 3 2 3 2 2 4 3 2" xfId="45351"/>
    <cellStyle name="Обычный 8 3 2 3 2 2 4 4" xfId="38025"/>
    <cellStyle name="Обычный 8 3 2 3 2 2 4 5" xfId="23213"/>
    <cellStyle name="Обычный 8 3 2 3 2 2 5" xfId="25030"/>
    <cellStyle name="Обычный 8 3 2 3 2 2 5 2" xfId="32341"/>
    <cellStyle name="Обычный 8 3 2 3 2 2 5 2 2" xfId="47164"/>
    <cellStyle name="Обычный 8 3 2 3 2 2 5 3" xfId="39925"/>
    <cellStyle name="Обычный 8 3 2 3 2 2 6" xfId="28687"/>
    <cellStyle name="Обычный 8 3 2 3 2 2 6 2" xfId="43524"/>
    <cellStyle name="Обычный 8 3 2 3 2 2 7" xfId="35978"/>
    <cellStyle name="Обычный 8 3 2 3 2 2 8" xfId="21369"/>
    <cellStyle name="Обычный 8 3 2 3 2 3" xfId="17684"/>
    <cellStyle name="Обычный 8 3 2 3 2 3 2" xfId="18798"/>
    <cellStyle name="Обычный 8 3 2 3 2 3 2 2" xfId="20677"/>
    <cellStyle name="Обычный 8 3 2 3 2 3 2 2 2" xfId="28003"/>
    <cellStyle name="Обычный 8 3 2 3 2 3 2 2 2 2" xfId="35314"/>
    <cellStyle name="Обычный 8 3 2 3 2 3 2 2 2 2 2" xfId="50134"/>
    <cellStyle name="Обычный 8 3 2 3 2 3 2 2 2 3" xfId="42842"/>
    <cellStyle name="Обычный 8 3 2 3 2 3 2 2 3" xfId="31660"/>
    <cellStyle name="Обычный 8 3 2 3 2 3 2 2 3 2" xfId="46483"/>
    <cellStyle name="Обычный 8 3 2 3 2 3 2 2 4" xfId="39158"/>
    <cellStyle name="Обычный 8 3 2 3 2 3 2 2 5" xfId="24345"/>
    <cellStyle name="Обычный 8 3 2 3 2 3 2 3" xfId="26177"/>
    <cellStyle name="Обычный 8 3 2 3 2 3 2 3 2" xfId="33488"/>
    <cellStyle name="Обычный 8 3 2 3 2 3 2 3 2 2" xfId="48308"/>
    <cellStyle name="Обычный 8 3 2 3 2 3 2 3 3" xfId="41021"/>
    <cellStyle name="Обычный 8 3 2 3 2 3 2 4" xfId="29834"/>
    <cellStyle name="Обычный 8 3 2 3 2 3 2 4 2" xfId="44658"/>
    <cellStyle name="Обычный 8 3 2 3 2 3 2 5" xfId="37435"/>
    <cellStyle name="Обычный 8 3 2 3 2 3 2 6" xfId="22516"/>
    <cellStyle name="Обычный 8 3 2 3 2 3 3" xfId="19728"/>
    <cellStyle name="Обычный 8 3 2 3 2 3 3 2" xfId="27097"/>
    <cellStyle name="Обычный 8 3 2 3 2 3 3 2 2" xfId="34408"/>
    <cellStyle name="Обычный 8 3 2 3 2 3 3 2 2 2" xfId="49228"/>
    <cellStyle name="Обычный 8 3 2 3 2 3 3 2 3" xfId="41937"/>
    <cellStyle name="Обычный 8 3 2 3 2 3 3 3" xfId="30754"/>
    <cellStyle name="Обычный 8 3 2 3 2 3 3 3 2" xfId="45577"/>
    <cellStyle name="Обычный 8 3 2 3 2 3 3 4" xfId="38251"/>
    <cellStyle name="Обычный 8 3 2 3 2 3 3 5" xfId="23439"/>
    <cellStyle name="Обычный 8 3 2 3 2 3 4" xfId="25256"/>
    <cellStyle name="Обычный 8 3 2 3 2 3 4 2" xfId="32567"/>
    <cellStyle name="Обычный 8 3 2 3 2 3 4 2 2" xfId="47390"/>
    <cellStyle name="Обычный 8 3 2 3 2 3 4 3" xfId="40148"/>
    <cellStyle name="Обычный 8 3 2 3 2 3 5" xfId="28913"/>
    <cellStyle name="Обычный 8 3 2 3 2 3 5 2" xfId="43750"/>
    <cellStyle name="Обычный 8 3 2 3 2 3 6" xfId="36426"/>
    <cellStyle name="Обычный 8 3 2 3 2 3 7" xfId="21595"/>
    <cellStyle name="Обычный 8 3 2 3 2 4" xfId="18553"/>
    <cellStyle name="Обычный 8 3 2 3 2 4 2" xfId="20435"/>
    <cellStyle name="Обычный 8 3 2 3 2 4 2 2" xfId="27761"/>
    <cellStyle name="Обычный 8 3 2 3 2 4 2 2 2" xfId="35072"/>
    <cellStyle name="Обычный 8 3 2 3 2 4 2 2 2 2" xfId="49892"/>
    <cellStyle name="Обычный 8 3 2 3 2 4 2 2 3" xfId="42600"/>
    <cellStyle name="Обычный 8 3 2 3 2 4 2 3" xfId="31418"/>
    <cellStyle name="Обычный 8 3 2 3 2 4 2 3 2" xfId="46241"/>
    <cellStyle name="Обычный 8 3 2 3 2 4 2 4" xfId="38916"/>
    <cellStyle name="Обычный 8 3 2 3 2 4 2 5" xfId="24103"/>
    <cellStyle name="Обычный 8 3 2 3 2 4 3" xfId="25935"/>
    <cellStyle name="Обычный 8 3 2 3 2 4 3 2" xfId="33246"/>
    <cellStyle name="Обычный 8 3 2 3 2 4 3 2 2" xfId="48066"/>
    <cellStyle name="Обычный 8 3 2 3 2 4 3 3" xfId="40780"/>
    <cellStyle name="Обычный 8 3 2 3 2 4 4" xfId="29592"/>
    <cellStyle name="Обычный 8 3 2 3 2 4 4 2" xfId="44416"/>
    <cellStyle name="Обычный 8 3 2 3 2 4 5" xfId="37193"/>
    <cellStyle name="Обычный 8 3 2 3 2 4 6" xfId="22274"/>
    <cellStyle name="Обычный 8 3 2 3 2 5" xfId="19278"/>
    <cellStyle name="Обычный 8 3 2 3 2 5 2" xfId="26648"/>
    <cellStyle name="Обычный 8 3 2 3 2 5 2 2" xfId="33959"/>
    <cellStyle name="Обычный 8 3 2 3 2 5 2 2 2" xfId="48779"/>
    <cellStyle name="Обычный 8 3 2 3 2 5 2 3" xfId="41488"/>
    <cellStyle name="Обычный 8 3 2 3 2 5 3" xfId="30305"/>
    <cellStyle name="Обычный 8 3 2 3 2 5 3 2" xfId="45128"/>
    <cellStyle name="Обычный 8 3 2 3 2 5 4" xfId="37802"/>
    <cellStyle name="Обычный 8 3 2 3 2 5 5" xfId="22990"/>
    <cellStyle name="Обычный 8 3 2 3 2 6" xfId="24806"/>
    <cellStyle name="Обычный 8 3 2 3 2 6 2" xfId="32117"/>
    <cellStyle name="Обычный 8 3 2 3 2 6 2 2" xfId="46940"/>
    <cellStyle name="Обычный 8 3 2 3 2 6 3" xfId="39705"/>
    <cellStyle name="Обычный 8 3 2 3 2 7" xfId="28463"/>
    <cellStyle name="Обычный 8 3 2 3 2 7 2" xfId="43300"/>
    <cellStyle name="Обычный 8 3 2 3 2 8" xfId="35977"/>
    <cellStyle name="Обычный 8 3 2 3 2 9" xfId="21145"/>
    <cellStyle name="Обычный 8 3 2 3 3" xfId="17343"/>
    <cellStyle name="Обычный 8 3 2 3 3 2" xfId="17796"/>
    <cellStyle name="Обычный 8 3 2 3 3 2 2" xfId="18910"/>
    <cellStyle name="Обычный 8 3 2 3 3 2 2 2" xfId="20789"/>
    <cellStyle name="Обычный 8 3 2 3 3 2 2 2 2" xfId="28115"/>
    <cellStyle name="Обычный 8 3 2 3 3 2 2 2 2 2" xfId="35426"/>
    <cellStyle name="Обычный 8 3 2 3 3 2 2 2 2 2 2" xfId="50246"/>
    <cellStyle name="Обычный 8 3 2 3 3 2 2 2 2 3" xfId="42954"/>
    <cellStyle name="Обычный 8 3 2 3 3 2 2 2 3" xfId="31772"/>
    <cellStyle name="Обычный 8 3 2 3 3 2 2 2 3 2" xfId="46595"/>
    <cellStyle name="Обычный 8 3 2 3 3 2 2 2 4" xfId="39270"/>
    <cellStyle name="Обычный 8 3 2 3 3 2 2 2 5" xfId="24457"/>
    <cellStyle name="Обычный 8 3 2 3 3 2 2 3" xfId="26289"/>
    <cellStyle name="Обычный 8 3 2 3 3 2 2 3 2" xfId="33600"/>
    <cellStyle name="Обычный 8 3 2 3 3 2 2 3 2 2" xfId="48420"/>
    <cellStyle name="Обычный 8 3 2 3 3 2 2 3 3" xfId="41133"/>
    <cellStyle name="Обычный 8 3 2 3 3 2 2 4" xfId="29946"/>
    <cellStyle name="Обычный 8 3 2 3 3 2 2 4 2" xfId="44770"/>
    <cellStyle name="Обычный 8 3 2 3 3 2 2 5" xfId="37546"/>
    <cellStyle name="Обычный 8 3 2 3 3 2 2 6" xfId="22628"/>
    <cellStyle name="Обычный 8 3 2 3 3 2 3" xfId="19840"/>
    <cellStyle name="Обычный 8 3 2 3 3 2 3 2" xfId="27209"/>
    <cellStyle name="Обычный 8 3 2 3 3 2 3 2 2" xfId="34520"/>
    <cellStyle name="Обычный 8 3 2 3 3 2 3 2 2 2" xfId="49340"/>
    <cellStyle name="Обычный 8 3 2 3 3 2 3 2 3" xfId="42049"/>
    <cellStyle name="Обычный 8 3 2 3 3 2 3 3" xfId="30866"/>
    <cellStyle name="Обычный 8 3 2 3 3 2 3 3 2" xfId="45689"/>
    <cellStyle name="Обычный 8 3 2 3 3 2 3 4" xfId="38363"/>
    <cellStyle name="Обычный 8 3 2 3 3 2 3 5" xfId="23551"/>
    <cellStyle name="Обычный 8 3 2 3 3 2 4" xfId="25368"/>
    <cellStyle name="Обычный 8 3 2 3 3 2 4 2" xfId="32679"/>
    <cellStyle name="Обычный 8 3 2 3 3 2 4 2 2" xfId="47502"/>
    <cellStyle name="Обычный 8 3 2 3 3 2 4 3" xfId="40256"/>
    <cellStyle name="Обычный 8 3 2 3 3 2 5" xfId="29025"/>
    <cellStyle name="Обычный 8 3 2 3 3 2 5 2" xfId="43862"/>
    <cellStyle name="Обычный 8 3 2 3 3 2 6" xfId="36428"/>
    <cellStyle name="Обычный 8 3 2 3 3 2 7" xfId="21707"/>
    <cellStyle name="Обычный 8 3 2 3 3 3" xfId="18555"/>
    <cellStyle name="Обычный 8 3 2 3 3 3 2" xfId="20437"/>
    <cellStyle name="Обычный 8 3 2 3 3 3 2 2" xfId="27763"/>
    <cellStyle name="Обычный 8 3 2 3 3 3 2 2 2" xfId="35074"/>
    <cellStyle name="Обычный 8 3 2 3 3 3 2 2 2 2" xfId="49894"/>
    <cellStyle name="Обычный 8 3 2 3 3 3 2 2 3" xfId="42602"/>
    <cellStyle name="Обычный 8 3 2 3 3 3 2 3" xfId="31420"/>
    <cellStyle name="Обычный 8 3 2 3 3 3 2 3 2" xfId="46243"/>
    <cellStyle name="Обычный 8 3 2 3 3 3 2 4" xfId="38918"/>
    <cellStyle name="Обычный 8 3 2 3 3 3 2 5" xfId="24105"/>
    <cellStyle name="Обычный 8 3 2 3 3 3 3" xfId="25937"/>
    <cellStyle name="Обычный 8 3 2 3 3 3 3 2" xfId="33248"/>
    <cellStyle name="Обычный 8 3 2 3 3 3 3 2 2" xfId="48068"/>
    <cellStyle name="Обычный 8 3 2 3 3 3 3 3" xfId="40782"/>
    <cellStyle name="Обычный 8 3 2 3 3 3 4" xfId="29594"/>
    <cellStyle name="Обычный 8 3 2 3 3 3 4 2" xfId="44418"/>
    <cellStyle name="Обычный 8 3 2 3 3 3 5" xfId="37195"/>
    <cellStyle name="Обычный 8 3 2 3 3 3 6" xfId="22276"/>
    <cellStyle name="Обычный 8 3 2 3 3 4" xfId="19389"/>
    <cellStyle name="Обычный 8 3 2 3 3 4 2" xfId="26759"/>
    <cellStyle name="Обычный 8 3 2 3 3 4 2 2" xfId="34070"/>
    <cellStyle name="Обычный 8 3 2 3 3 4 2 2 2" xfId="48890"/>
    <cellStyle name="Обычный 8 3 2 3 3 4 2 3" xfId="41599"/>
    <cellStyle name="Обычный 8 3 2 3 3 4 3" xfId="30416"/>
    <cellStyle name="Обычный 8 3 2 3 3 4 3 2" xfId="45239"/>
    <cellStyle name="Обычный 8 3 2 3 3 4 4" xfId="37913"/>
    <cellStyle name="Обычный 8 3 2 3 3 4 5" xfId="23101"/>
    <cellStyle name="Обычный 8 3 2 3 3 5" xfId="24918"/>
    <cellStyle name="Обычный 8 3 2 3 3 5 2" xfId="32229"/>
    <cellStyle name="Обычный 8 3 2 3 3 5 2 2" xfId="47052"/>
    <cellStyle name="Обычный 8 3 2 3 3 5 3" xfId="39813"/>
    <cellStyle name="Обычный 8 3 2 3 3 6" xfId="28575"/>
    <cellStyle name="Обычный 8 3 2 3 3 6 2" xfId="43412"/>
    <cellStyle name="Обычный 8 3 2 3 3 7" xfId="35979"/>
    <cellStyle name="Обычный 8 3 2 3 3 8" xfId="21257"/>
    <cellStyle name="Обычный 8 3 2 3 4" xfId="17572"/>
    <cellStyle name="Обычный 8 3 2 3 4 2" xfId="18686"/>
    <cellStyle name="Обычный 8 3 2 3 4 2 2" xfId="20565"/>
    <cellStyle name="Обычный 8 3 2 3 4 2 2 2" xfId="27891"/>
    <cellStyle name="Обычный 8 3 2 3 4 2 2 2 2" xfId="35202"/>
    <cellStyle name="Обычный 8 3 2 3 4 2 2 2 2 2" xfId="50022"/>
    <cellStyle name="Обычный 8 3 2 3 4 2 2 2 3" xfId="42730"/>
    <cellStyle name="Обычный 8 3 2 3 4 2 2 3" xfId="31548"/>
    <cellStyle name="Обычный 8 3 2 3 4 2 2 3 2" xfId="46371"/>
    <cellStyle name="Обычный 8 3 2 3 4 2 2 4" xfId="39046"/>
    <cellStyle name="Обычный 8 3 2 3 4 2 2 5" xfId="24233"/>
    <cellStyle name="Обычный 8 3 2 3 4 2 3" xfId="26065"/>
    <cellStyle name="Обычный 8 3 2 3 4 2 3 2" xfId="33376"/>
    <cellStyle name="Обычный 8 3 2 3 4 2 3 2 2" xfId="48196"/>
    <cellStyle name="Обычный 8 3 2 3 4 2 3 3" xfId="40909"/>
    <cellStyle name="Обычный 8 3 2 3 4 2 4" xfId="29722"/>
    <cellStyle name="Обычный 8 3 2 3 4 2 4 2" xfId="44546"/>
    <cellStyle name="Обычный 8 3 2 3 4 2 5" xfId="37323"/>
    <cellStyle name="Обычный 8 3 2 3 4 2 6" xfId="22404"/>
    <cellStyle name="Обычный 8 3 2 3 4 3" xfId="19616"/>
    <cellStyle name="Обычный 8 3 2 3 4 3 2" xfId="26985"/>
    <cellStyle name="Обычный 8 3 2 3 4 3 2 2" xfId="34296"/>
    <cellStyle name="Обычный 8 3 2 3 4 3 2 2 2" xfId="49116"/>
    <cellStyle name="Обычный 8 3 2 3 4 3 2 3" xfId="41825"/>
    <cellStyle name="Обычный 8 3 2 3 4 3 3" xfId="30642"/>
    <cellStyle name="Обычный 8 3 2 3 4 3 3 2" xfId="45465"/>
    <cellStyle name="Обычный 8 3 2 3 4 3 4" xfId="38139"/>
    <cellStyle name="Обычный 8 3 2 3 4 3 5" xfId="23327"/>
    <cellStyle name="Обычный 8 3 2 3 4 4" xfId="25144"/>
    <cellStyle name="Обычный 8 3 2 3 4 4 2" xfId="32455"/>
    <cellStyle name="Обычный 8 3 2 3 4 4 2 2" xfId="47278"/>
    <cellStyle name="Обычный 8 3 2 3 4 4 3" xfId="40038"/>
    <cellStyle name="Обычный 8 3 2 3 4 5" xfId="28801"/>
    <cellStyle name="Обычный 8 3 2 3 4 5 2" xfId="43638"/>
    <cellStyle name="Обычный 8 3 2 3 4 6" xfId="36425"/>
    <cellStyle name="Обычный 8 3 2 3 4 7" xfId="21483"/>
    <cellStyle name="Обычный 8 3 2 3 5" xfId="18106"/>
    <cellStyle name="Обычный 8 3 2 3 5 2" xfId="20434"/>
    <cellStyle name="Обычный 8 3 2 3 5 2 2" xfId="27760"/>
    <cellStyle name="Обычный 8 3 2 3 5 2 2 2" xfId="35071"/>
    <cellStyle name="Обычный 8 3 2 3 5 2 2 2 2" xfId="49891"/>
    <cellStyle name="Обычный 8 3 2 3 5 2 2 3" xfId="42599"/>
    <cellStyle name="Обычный 8 3 2 3 5 2 3" xfId="31417"/>
    <cellStyle name="Обычный 8 3 2 3 5 2 3 2" xfId="46240"/>
    <cellStyle name="Обычный 8 3 2 3 5 2 4" xfId="38915"/>
    <cellStyle name="Обычный 8 3 2 3 5 2 5" xfId="24102"/>
    <cellStyle name="Обычный 8 3 2 3 5 3" xfId="25934"/>
    <cellStyle name="Обычный 8 3 2 3 5 3 2" xfId="33245"/>
    <cellStyle name="Обычный 8 3 2 3 5 3 2 2" xfId="48065"/>
    <cellStyle name="Обычный 8 3 2 3 5 3 3" xfId="40779"/>
    <cellStyle name="Обычный 8 3 2 3 5 4" xfId="29591"/>
    <cellStyle name="Обычный 8 3 2 3 5 4 2" xfId="44415"/>
    <cellStyle name="Обычный 8 3 2 3 5 5" xfId="36762"/>
    <cellStyle name="Обычный 8 3 2 3 5 6" xfId="22273"/>
    <cellStyle name="Обычный 8 3 2 3 6" xfId="18552"/>
    <cellStyle name="Обычный 8 3 2 3 6 2" xfId="26539"/>
    <cellStyle name="Обычный 8 3 2 3 6 2 2" xfId="33850"/>
    <cellStyle name="Обычный 8 3 2 3 6 2 2 2" xfId="48670"/>
    <cellStyle name="Обычный 8 3 2 3 6 2 3" xfId="41379"/>
    <cellStyle name="Обычный 8 3 2 3 6 3" xfId="30196"/>
    <cellStyle name="Обычный 8 3 2 3 6 3 2" xfId="45019"/>
    <cellStyle name="Обычный 8 3 2 3 6 4" xfId="37192"/>
    <cellStyle name="Обычный 8 3 2 3 6 5" xfId="22881"/>
    <cellStyle name="Обычный 8 3 2 3 7" xfId="19168"/>
    <cellStyle name="Обычный 8 3 2 3 7 2" xfId="32005"/>
    <cellStyle name="Обычный 8 3 2 3 7 2 2" xfId="46828"/>
    <cellStyle name="Обычный 8 3 2 3 7 3" xfId="37693"/>
    <cellStyle name="Обычный 8 3 2 3 7 4" xfId="24694"/>
    <cellStyle name="Обычный 8 3 2 3 8" xfId="28351"/>
    <cellStyle name="Обычный 8 3 2 3 8 2" xfId="43188"/>
    <cellStyle name="Обычный 8 3 2 3 8 3" xfId="36664"/>
    <cellStyle name="Обычный 8 3 2 3 9" xfId="35976"/>
    <cellStyle name="Обычный 8 3 2 4" xfId="17183"/>
    <cellStyle name="Обычный 8 3 2 4 2" xfId="17402"/>
    <cellStyle name="Обычный 8 3 2 4 2 2" xfId="17852"/>
    <cellStyle name="Обычный 8 3 2 4 2 2 2" xfId="18966"/>
    <cellStyle name="Обычный 8 3 2 4 2 2 2 2" xfId="20845"/>
    <cellStyle name="Обычный 8 3 2 4 2 2 2 2 2" xfId="28171"/>
    <cellStyle name="Обычный 8 3 2 4 2 2 2 2 2 2" xfId="35482"/>
    <cellStyle name="Обычный 8 3 2 4 2 2 2 2 2 2 2" xfId="50302"/>
    <cellStyle name="Обычный 8 3 2 4 2 2 2 2 2 3" xfId="43010"/>
    <cellStyle name="Обычный 8 3 2 4 2 2 2 2 3" xfId="31828"/>
    <cellStyle name="Обычный 8 3 2 4 2 2 2 2 3 2" xfId="46651"/>
    <cellStyle name="Обычный 8 3 2 4 2 2 2 2 4" xfId="39326"/>
    <cellStyle name="Обычный 8 3 2 4 2 2 2 2 5" xfId="24513"/>
    <cellStyle name="Обычный 8 3 2 4 2 2 2 3" xfId="26345"/>
    <cellStyle name="Обычный 8 3 2 4 2 2 2 3 2" xfId="33656"/>
    <cellStyle name="Обычный 8 3 2 4 2 2 2 3 2 2" xfId="48476"/>
    <cellStyle name="Обычный 8 3 2 4 2 2 2 3 3" xfId="41189"/>
    <cellStyle name="Обычный 8 3 2 4 2 2 2 4" xfId="30002"/>
    <cellStyle name="Обычный 8 3 2 4 2 2 2 4 2" xfId="44826"/>
    <cellStyle name="Обычный 8 3 2 4 2 2 2 5" xfId="37573"/>
    <cellStyle name="Обычный 8 3 2 4 2 2 2 6" xfId="22684"/>
    <cellStyle name="Обычный 8 3 2 4 2 2 3" xfId="19896"/>
    <cellStyle name="Обычный 8 3 2 4 2 2 3 2" xfId="27265"/>
    <cellStyle name="Обычный 8 3 2 4 2 2 3 2 2" xfId="34576"/>
    <cellStyle name="Обычный 8 3 2 4 2 2 3 2 2 2" xfId="49396"/>
    <cellStyle name="Обычный 8 3 2 4 2 2 3 2 3" xfId="42105"/>
    <cellStyle name="Обычный 8 3 2 4 2 2 3 3" xfId="30922"/>
    <cellStyle name="Обычный 8 3 2 4 2 2 3 3 2" xfId="45745"/>
    <cellStyle name="Обычный 8 3 2 4 2 2 3 4" xfId="38419"/>
    <cellStyle name="Обычный 8 3 2 4 2 2 3 5" xfId="23607"/>
    <cellStyle name="Обычный 8 3 2 4 2 2 4" xfId="25424"/>
    <cellStyle name="Обычный 8 3 2 4 2 2 4 2" xfId="32735"/>
    <cellStyle name="Обычный 8 3 2 4 2 2 4 2 2" xfId="47558"/>
    <cellStyle name="Обычный 8 3 2 4 2 2 4 3" xfId="40312"/>
    <cellStyle name="Обычный 8 3 2 4 2 2 5" xfId="29081"/>
    <cellStyle name="Обычный 8 3 2 4 2 2 5 2" xfId="43918"/>
    <cellStyle name="Обычный 8 3 2 4 2 2 6" xfId="36430"/>
    <cellStyle name="Обычный 8 3 2 4 2 2 7" xfId="21763"/>
    <cellStyle name="Обычный 8 3 2 4 2 3" xfId="18557"/>
    <cellStyle name="Обычный 8 3 2 4 2 3 2" xfId="20439"/>
    <cellStyle name="Обычный 8 3 2 4 2 3 2 2" xfId="27765"/>
    <cellStyle name="Обычный 8 3 2 4 2 3 2 2 2" xfId="35076"/>
    <cellStyle name="Обычный 8 3 2 4 2 3 2 2 2 2" xfId="49896"/>
    <cellStyle name="Обычный 8 3 2 4 2 3 2 2 3" xfId="42604"/>
    <cellStyle name="Обычный 8 3 2 4 2 3 2 3" xfId="31422"/>
    <cellStyle name="Обычный 8 3 2 4 2 3 2 3 2" xfId="46245"/>
    <cellStyle name="Обычный 8 3 2 4 2 3 2 4" xfId="38920"/>
    <cellStyle name="Обычный 8 3 2 4 2 3 2 5" xfId="24107"/>
    <cellStyle name="Обычный 8 3 2 4 2 3 3" xfId="25939"/>
    <cellStyle name="Обычный 8 3 2 4 2 3 3 2" xfId="33250"/>
    <cellStyle name="Обычный 8 3 2 4 2 3 3 2 2" xfId="48070"/>
    <cellStyle name="Обычный 8 3 2 4 2 3 3 3" xfId="40784"/>
    <cellStyle name="Обычный 8 3 2 4 2 3 4" xfId="29596"/>
    <cellStyle name="Обычный 8 3 2 4 2 3 4 2" xfId="44420"/>
    <cellStyle name="Обычный 8 3 2 4 2 3 5" xfId="37197"/>
    <cellStyle name="Обычный 8 3 2 4 2 3 6" xfId="22278"/>
    <cellStyle name="Обычный 8 3 2 4 2 4" xfId="19445"/>
    <cellStyle name="Обычный 8 3 2 4 2 4 2" xfId="26815"/>
    <cellStyle name="Обычный 8 3 2 4 2 4 2 2" xfId="34126"/>
    <cellStyle name="Обычный 8 3 2 4 2 4 2 2 2" xfId="48946"/>
    <cellStyle name="Обычный 8 3 2 4 2 4 2 3" xfId="41655"/>
    <cellStyle name="Обычный 8 3 2 4 2 4 3" xfId="30472"/>
    <cellStyle name="Обычный 8 3 2 4 2 4 3 2" xfId="45295"/>
    <cellStyle name="Обычный 8 3 2 4 2 4 4" xfId="37969"/>
    <cellStyle name="Обычный 8 3 2 4 2 4 5" xfId="23157"/>
    <cellStyle name="Обычный 8 3 2 4 2 5" xfId="24974"/>
    <cellStyle name="Обычный 8 3 2 4 2 5 2" xfId="32285"/>
    <cellStyle name="Обычный 8 3 2 4 2 5 2 2" xfId="47108"/>
    <cellStyle name="Обычный 8 3 2 4 2 5 3" xfId="39869"/>
    <cellStyle name="Обычный 8 3 2 4 2 6" xfId="28631"/>
    <cellStyle name="Обычный 8 3 2 4 2 6 2" xfId="43468"/>
    <cellStyle name="Обычный 8 3 2 4 2 7" xfId="35981"/>
    <cellStyle name="Обычный 8 3 2 4 2 8" xfId="21313"/>
    <cellStyle name="Обычный 8 3 2 4 3" xfId="17628"/>
    <cellStyle name="Обычный 8 3 2 4 3 2" xfId="18742"/>
    <cellStyle name="Обычный 8 3 2 4 3 2 2" xfId="20621"/>
    <cellStyle name="Обычный 8 3 2 4 3 2 2 2" xfId="27947"/>
    <cellStyle name="Обычный 8 3 2 4 3 2 2 2 2" xfId="35258"/>
    <cellStyle name="Обычный 8 3 2 4 3 2 2 2 2 2" xfId="50078"/>
    <cellStyle name="Обычный 8 3 2 4 3 2 2 2 3" xfId="42786"/>
    <cellStyle name="Обычный 8 3 2 4 3 2 2 3" xfId="31604"/>
    <cellStyle name="Обычный 8 3 2 4 3 2 2 3 2" xfId="46427"/>
    <cellStyle name="Обычный 8 3 2 4 3 2 2 4" xfId="39102"/>
    <cellStyle name="Обычный 8 3 2 4 3 2 2 5" xfId="24289"/>
    <cellStyle name="Обычный 8 3 2 4 3 2 3" xfId="26121"/>
    <cellStyle name="Обычный 8 3 2 4 3 2 3 2" xfId="33432"/>
    <cellStyle name="Обычный 8 3 2 4 3 2 3 2 2" xfId="48252"/>
    <cellStyle name="Обычный 8 3 2 4 3 2 3 3" xfId="40965"/>
    <cellStyle name="Обычный 8 3 2 4 3 2 4" xfId="29778"/>
    <cellStyle name="Обычный 8 3 2 4 3 2 4 2" xfId="44602"/>
    <cellStyle name="Обычный 8 3 2 4 3 2 5" xfId="37379"/>
    <cellStyle name="Обычный 8 3 2 4 3 2 6" xfId="22460"/>
    <cellStyle name="Обычный 8 3 2 4 3 3" xfId="19672"/>
    <cellStyle name="Обычный 8 3 2 4 3 3 2" xfId="27041"/>
    <cellStyle name="Обычный 8 3 2 4 3 3 2 2" xfId="34352"/>
    <cellStyle name="Обычный 8 3 2 4 3 3 2 2 2" xfId="49172"/>
    <cellStyle name="Обычный 8 3 2 4 3 3 2 3" xfId="41881"/>
    <cellStyle name="Обычный 8 3 2 4 3 3 3" xfId="30698"/>
    <cellStyle name="Обычный 8 3 2 4 3 3 3 2" xfId="45521"/>
    <cellStyle name="Обычный 8 3 2 4 3 3 4" xfId="38195"/>
    <cellStyle name="Обычный 8 3 2 4 3 3 5" xfId="23383"/>
    <cellStyle name="Обычный 8 3 2 4 3 4" xfId="25200"/>
    <cellStyle name="Обычный 8 3 2 4 3 4 2" xfId="32511"/>
    <cellStyle name="Обычный 8 3 2 4 3 4 2 2" xfId="47334"/>
    <cellStyle name="Обычный 8 3 2 4 3 4 3" xfId="40092"/>
    <cellStyle name="Обычный 8 3 2 4 3 5" xfId="28857"/>
    <cellStyle name="Обычный 8 3 2 4 3 5 2" xfId="43694"/>
    <cellStyle name="Обычный 8 3 2 4 3 6" xfId="36429"/>
    <cellStyle name="Обычный 8 3 2 4 3 7" xfId="21539"/>
    <cellStyle name="Обычный 8 3 2 4 4" xfId="18556"/>
    <cellStyle name="Обычный 8 3 2 4 4 2" xfId="20438"/>
    <cellStyle name="Обычный 8 3 2 4 4 2 2" xfId="27764"/>
    <cellStyle name="Обычный 8 3 2 4 4 2 2 2" xfId="35075"/>
    <cellStyle name="Обычный 8 3 2 4 4 2 2 2 2" xfId="49895"/>
    <cellStyle name="Обычный 8 3 2 4 4 2 2 3" xfId="42603"/>
    <cellStyle name="Обычный 8 3 2 4 4 2 3" xfId="31421"/>
    <cellStyle name="Обычный 8 3 2 4 4 2 3 2" xfId="46244"/>
    <cellStyle name="Обычный 8 3 2 4 4 2 4" xfId="38919"/>
    <cellStyle name="Обычный 8 3 2 4 4 2 5" xfId="24106"/>
    <cellStyle name="Обычный 8 3 2 4 4 3" xfId="25938"/>
    <cellStyle name="Обычный 8 3 2 4 4 3 2" xfId="33249"/>
    <cellStyle name="Обычный 8 3 2 4 4 3 2 2" xfId="48069"/>
    <cellStyle name="Обычный 8 3 2 4 4 3 3" xfId="40783"/>
    <cellStyle name="Обычный 8 3 2 4 4 4" xfId="29595"/>
    <cellStyle name="Обычный 8 3 2 4 4 4 2" xfId="44419"/>
    <cellStyle name="Обычный 8 3 2 4 4 5" xfId="37196"/>
    <cellStyle name="Обычный 8 3 2 4 4 6" xfId="22277"/>
    <cellStyle name="Обычный 8 3 2 4 5" xfId="19223"/>
    <cellStyle name="Обычный 8 3 2 4 5 2" xfId="26593"/>
    <cellStyle name="Обычный 8 3 2 4 5 2 2" xfId="33904"/>
    <cellStyle name="Обычный 8 3 2 4 5 2 2 2" xfId="48724"/>
    <cellStyle name="Обычный 8 3 2 4 5 2 3" xfId="41433"/>
    <cellStyle name="Обычный 8 3 2 4 5 3" xfId="30250"/>
    <cellStyle name="Обычный 8 3 2 4 5 3 2" xfId="45073"/>
    <cellStyle name="Обычный 8 3 2 4 5 4" xfId="37747"/>
    <cellStyle name="Обычный 8 3 2 4 5 5" xfId="22935"/>
    <cellStyle name="Обычный 8 3 2 4 6" xfId="24750"/>
    <cellStyle name="Обычный 8 3 2 4 6 2" xfId="32061"/>
    <cellStyle name="Обычный 8 3 2 4 6 2 2" xfId="46884"/>
    <cellStyle name="Обычный 8 3 2 4 6 3" xfId="39652"/>
    <cellStyle name="Обычный 8 3 2 4 7" xfId="28407"/>
    <cellStyle name="Обычный 8 3 2 4 7 2" xfId="43244"/>
    <cellStyle name="Обычный 8 3 2 4 8" xfId="35980"/>
    <cellStyle name="Обычный 8 3 2 4 9" xfId="21089"/>
    <cellStyle name="Обычный 8 3 2 5" xfId="17284"/>
    <cellStyle name="Обычный 8 3 2 5 2" xfId="17740"/>
    <cellStyle name="Обычный 8 3 2 5 2 2" xfId="18854"/>
    <cellStyle name="Обычный 8 3 2 5 2 2 2" xfId="20733"/>
    <cellStyle name="Обычный 8 3 2 5 2 2 2 2" xfId="28059"/>
    <cellStyle name="Обычный 8 3 2 5 2 2 2 2 2" xfId="35370"/>
    <cellStyle name="Обычный 8 3 2 5 2 2 2 2 2 2" xfId="50190"/>
    <cellStyle name="Обычный 8 3 2 5 2 2 2 2 3" xfId="42898"/>
    <cellStyle name="Обычный 8 3 2 5 2 2 2 3" xfId="31716"/>
    <cellStyle name="Обычный 8 3 2 5 2 2 2 3 2" xfId="46539"/>
    <cellStyle name="Обычный 8 3 2 5 2 2 2 4" xfId="39214"/>
    <cellStyle name="Обычный 8 3 2 5 2 2 2 5" xfId="24401"/>
    <cellStyle name="Обычный 8 3 2 5 2 2 3" xfId="26233"/>
    <cellStyle name="Обычный 8 3 2 5 2 2 3 2" xfId="33544"/>
    <cellStyle name="Обычный 8 3 2 5 2 2 3 2 2" xfId="48364"/>
    <cellStyle name="Обычный 8 3 2 5 2 2 3 3" xfId="41077"/>
    <cellStyle name="Обычный 8 3 2 5 2 2 4" xfId="29890"/>
    <cellStyle name="Обычный 8 3 2 5 2 2 4 2" xfId="44714"/>
    <cellStyle name="Обычный 8 3 2 5 2 2 5" xfId="37490"/>
    <cellStyle name="Обычный 8 3 2 5 2 2 6" xfId="22572"/>
    <cellStyle name="Обычный 8 3 2 5 2 3" xfId="19784"/>
    <cellStyle name="Обычный 8 3 2 5 2 3 2" xfId="27153"/>
    <cellStyle name="Обычный 8 3 2 5 2 3 2 2" xfId="34464"/>
    <cellStyle name="Обычный 8 3 2 5 2 3 2 2 2" xfId="49284"/>
    <cellStyle name="Обычный 8 3 2 5 2 3 2 3" xfId="41993"/>
    <cellStyle name="Обычный 8 3 2 5 2 3 3" xfId="30810"/>
    <cellStyle name="Обычный 8 3 2 5 2 3 3 2" xfId="45633"/>
    <cellStyle name="Обычный 8 3 2 5 2 3 4" xfId="38307"/>
    <cellStyle name="Обычный 8 3 2 5 2 3 5" xfId="23495"/>
    <cellStyle name="Обычный 8 3 2 5 2 4" xfId="25312"/>
    <cellStyle name="Обычный 8 3 2 5 2 4 2" xfId="32623"/>
    <cellStyle name="Обычный 8 3 2 5 2 4 2 2" xfId="47446"/>
    <cellStyle name="Обычный 8 3 2 5 2 4 3" xfId="40201"/>
    <cellStyle name="Обычный 8 3 2 5 2 5" xfId="28969"/>
    <cellStyle name="Обычный 8 3 2 5 2 5 2" xfId="43806"/>
    <cellStyle name="Обычный 8 3 2 5 2 6" xfId="36431"/>
    <cellStyle name="Обычный 8 3 2 5 2 7" xfId="21651"/>
    <cellStyle name="Обычный 8 3 2 5 3" xfId="18558"/>
    <cellStyle name="Обычный 8 3 2 5 3 2" xfId="20440"/>
    <cellStyle name="Обычный 8 3 2 5 3 2 2" xfId="27766"/>
    <cellStyle name="Обычный 8 3 2 5 3 2 2 2" xfId="35077"/>
    <cellStyle name="Обычный 8 3 2 5 3 2 2 2 2" xfId="49897"/>
    <cellStyle name="Обычный 8 3 2 5 3 2 2 3" xfId="42605"/>
    <cellStyle name="Обычный 8 3 2 5 3 2 3" xfId="31423"/>
    <cellStyle name="Обычный 8 3 2 5 3 2 3 2" xfId="46246"/>
    <cellStyle name="Обычный 8 3 2 5 3 2 4" xfId="38921"/>
    <cellStyle name="Обычный 8 3 2 5 3 2 5" xfId="24108"/>
    <cellStyle name="Обычный 8 3 2 5 3 3" xfId="25940"/>
    <cellStyle name="Обычный 8 3 2 5 3 3 2" xfId="33251"/>
    <cellStyle name="Обычный 8 3 2 5 3 3 2 2" xfId="48071"/>
    <cellStyle name="Обычный 8 3 2 5 3 3 3" xfId="40785"/>
    <cellStyle name="Обычный 8 3 2 5 3 4" xfId="29597"/>
    <cellStyle name="Обычный 8 3 2 5 3 4 2" xfId="44421"/>
    <cellStyle name="Обычный 8 3 2 5 3 5" xfId="37198"/>
    <cellStyle name="Обычный 8 3 2 5 3 6" xfId="22279"/>
    <cellStyle name="Обычный 8 3 2 5 4" xfId="19333"/>
    <cellStyle name="Обычный 8 3 2 5 4 2" xfId="26703"/>
    <cellStyle name="Обычный 8 3 2 5 4 2 2" xfId="34014"/>
    <cellStyle name="Обычный 8 3 2 5 4 2 2 2" xfId="48834"/>
    <cellStyle name="Обычный 8 3 2 5 4 2 3" xfId="41543"/>
    <cellStyle name="Обычный 8 3 2 5 4 3" xfId="30360"/>
    <cellStyle name="Обычный 8 3 2 5 4 3 2" xfId="45183"/>
    <cellStyle name="Обычный 8 3 2 5 4 4" xfId="37857"/>
    <cellStyle name="Обычный 8 3 2 5 4 5" xfId="23045"/>
    <cellStyle name="Обычный 8 3 2 5 5" xfId="24862"/>
    <cellStyle name="Обычный 8 3 2 5 5 2" xfId="32173"/>
    <cellStyle name="Обычный 8 3 2 5 5 2 2" xfId="46996"/>
    <cellStyle name="Обычный 8 3 2 5 5 3" xfId="39758"/>
    <cellStyle name="Обычный 8 3 2 5 6" xfId="28519"/>
    <cellStyle name="Обычный 8 3 2 5 6 2" xfId="43356"/>
    <cellStyle name="Обычный 8 3 2 5 7" xfId="35982"/>
    <cellStyle name="Обычный 8 3 2 5 8" xfId="21201"/>
    <cellStyle name="Обычный 8 3 2 6" xfId="17516"/>
    <cellStyle name="Обычный 8 3 2 6 2" xfId="18630"/>
    <cellStyle name="Обычный 8 3 2 6 2 2" xfId="20509"/>
    <cellStyle name="Обычный 8 3 2 6 2 2 2" xfId="27835"/>
    <cellStyle name="Обычный 8 3 2 6 2 2 2 2" xfId="35146"/>
    <cellStyle name="Обычный 8 3 2 6 2 2 2 2 2" xfId="49966"/>
    <cellStyle name="Обычный 8 3 2 6 2 2 2 3" xfId="42674"/>
    <cellStyle name="Обычный 8 3 2 6 2 2 3" xfId="31492"/>
    <cellStyle name="Обычный 8 3 2 6 2 2 3 2" xfId="46315"/>
    <cellStyle name="Обычный 8 3 2 6 2 2 4" xfId="38990"/>
    <cellStyle name="Обычный 8 3 2 6 2 2 5" xfId="24177"/>
    <cellStyle name="Обычный 8 3 2 6 2 3" xfId="26009"/>
    <cellStyle name="Обычный 8 3 2 6 2 3 2" xfId="33320"/>
    <cellStyle name="Обычный 8 3 2 6 2 3 2 2" xfId="48140"/>
    <cellStyle name="Обычный 8 3 2 6 2 3 3" xfId="40853"/>
    <cellStyle name="Обычный 8 3 2 6 2 4" xfId="29666"/>
    <cellStyle name="Обычный 8 3 2 6 2 4 2" xfId="44490"/>
    <cellStyle name="Обычный 8 3 2 6 2 5" xfId="37267"/>
    <cellStyle name="Обычный 8 3 2 6 2 6" xfId="22348"/>
    <cellStyle name="Обычный 8 3 2 6 3" xfId="19560"/>
    <cellStyle name="Обычный 8 3 2 6 3 2" xfId="26929"/>
    <cellStyle name="Обычный 8 3 2 6 3 2 2" xfId="34240"/>
    <cellStyle name="Обычный 8 3 2 6 3 2 2 2" xfId="49060"/>
    <cellStyle name="Обычный 8 3 2 6 3 2 3" xfId="41769"/>
    <cellStyle name="Обычный 8 3 2 6 3 3" xfId="30586"/>
    <cellStyle name="Обычный 8 3 2 6 3 3 2" xfId="45409"/>
    <cellStyle name="Обычный 8 3 2 6 3 4" xfId="38083"/>
    <cellStyle name="Обычный 8 3 2 6 3 5" xfId="23271"/>
    <cellStyle name="Обычный 8 3 2 6 4" xfId="25088"/>
    <cellStyle name="Обычный 8 3 2 6 4 2" xfId="32399"/>
    <cellStyle name="Обычный 8 3 2 6 4 2 2" xfId="47222"/>
    <cellStyle name="Обычный 8 3 2 6 4 3" xfId="39983"/>
    <cellStyle name="Обычный 8 3 2 6 5" xfId="28745"/>
    <cellStyle name="Обычный 8 3 2 6 5 2" xfId="43582"/>
    <cellStyle name="Обычный 8 3 2 6 6" xfId="36416"/>
    <cellStyle name="Обычный 8 3 2 6 7" xfId="21427"/>
    <cellStyle name="Обычный 8 3 2 7" xfId="18064"/>
    <cellStyle name="Обычный 8 3 2 7 2" xfId="18543"/>
    <cellStyle name="Обычный 8 3 2 7 2 2" xfId="27751"/>
    <cellStyle name="Обычный 8 3 2 7 2 2 2" xfId="35062"/>
    <cellStyle name="Обычный 8 3 2 7 2 2 2 2" xfId="49882"/>
    <cellStyle name="Обычный 8 3 2 7 2 2 3" xfId="42590"/>
    <cellStyle name="Обычный 8 3 2 7 2 3" xfId="31408"/>
    <cellStyle name="Обычный 8 3 2 7 2 3 2" xfId="46231"/>
    <cellStyle name="Обычный 8 3 2 7 2 4" xfId="37183"/>
    <cellStyle name="Обычный 8 3 2 7 2 5" xfId="24093"/>
    <cellStyle name="Обычный 8 3 2 7 3" xfId="20425"/>
    <cellStyle name="Обычный 8 3 2 7 3 2" xfId="33236"/>
    <cellStyle name="Обычный 8 3 2 7 3 2 2" xfId="48056"/>
    <cellStyle name="Обычный 8 3 2 7 3 3" xfId="38906"/>
    <cellStyle name="Обычный 8 3 2 7 3 4" xfId="25925"/>
    <cellStyle name="Обычный 8 3 2 7 4" xfId="29582"/>
    <cellStyle name="Обычный 8 3 2 7 4 2" xfId="44406"/>
    <cellStyle name="Обычный 8 3 2 7 5" xfId="36720"/>
    <cellStyle name="Обычный 8 3 2 7 6" xfId="22264"/>
    <cellStyle name="Обычный 8 3 2 8" xfId="20033"/>
    <cellStyle name="Обычный 8 3 2 9" xfId="19114"/>
    <cellStyle name="Обычный 8 3 2 9 2" xfId="26488"/>
    <cellStyle name="Обычный 8 3 2 9 2 2" xfId="33799"/>
    <cellStyle name="Обычный 8 3 2 9 2 2 2" xfId="48619"/>
    <cellStyle name="Обычный 8 3 2 9 2 3" xfId="41328"/>
    <cellStyle name="Обычный 8 3 2 9 3" xfId="30145"/>
    <cellStyle name="Обычный 8 3 2 9 3 2" xfId="44968"/>
    <cellStyle name="Обычный 8 3 2 9 4" xfId="37642"/>
    <cellStyle name="Обычный 8 3 2 9 5" xfId="22830"/>
    <cellStyle name="Обычный 8 3 3" xfId="17200"/>
    <cellStyle name="Обычный 8 3 3 10" xfId="35983"/>
    <cellStyle name="Обычный 8 3 3 11" xfId="20991"/>
    <cellStyle name="Обычный 8 3 3 2" xfId="17357"/>
    <cellStyle name="Обычный 8 3 3 2 10" xfId="21047"/>
    <cellStyle name="Обычный 8 3 3 2 2" xfId="17472"/>
    <cellStyle name="Обычный 8 3 3 2 2 2" xfId="17922"/>
    <cellStyle name="Обычный 8 3 3 2 2 2 2" xfId="19036"/>
    <cellStyle name="Обычный 8 3 3 2 2 2 2 2" xfId="20915"/>
    <cellStyle name="Обычный 8 3 3 2 2 2 2 2 2" xfId="24583"/>
    <cellStyle name="Обычный 8 3 3 2 2 2 2 2 2 2" xfId="28241"/>
    <cellStyle name="Обычный 8 3 3 2 2 2 2 2 2 2 2" xfId="35552"/>
    <cellStyle name="Обычный 8 3 3 2 2 2 2 2 2 2 2 2" xfId="50372"/>
    <cellStyle name="Обычный 8 3 3 2 2 2 2 2 2 2 3" xfId="43080"/>
    <cellStyle name="Обычный 8 3 3 2 2 2 2 2 2 3" xfId="31898"/>
    <cellStyle name="Обычный 8 3 3 2 2 2 2 2 2 3 2" xfId="46721"/>
    <cellStyle name="Обычный 8 3 3 2 2 2 2 2 2 4" xfId="39515"/>
    <cellStyle name="Обычный 8 3 3 2 2 2 2 2 3" xfId="26415"/>
    <cellStyle name="Обычный 8 3 3 2 2 2 2 2 3 2" xfId="33726"/>
    <cellStyle name="Обычный 8 3 3 2 2 2 2 2 3 2 2" xfId="48546"/>
    <cellStyle name="Обычный 8 3 3 2 2 2 2 2 3 3" xfId="41259"/>
    <cellStyle name="Обычный 8 3 3 2 2 2 2 2 4" xfId="30072"/>
    <cellStyle name="Обычный 8 3 3 2 2 2 2 2 4 2" xfId="44896"/>
    <cellStyle name="Обычный 8 3 3 2 2 2 2 2 5" xfId="39396"/>
    <cellStyle name="Обычный 8 3 3 2 2 2 2 2 6" xfId="22754"/>
    <cellStyle name="Обычный 8 3 3 2 2 2 2 3" xfId="19966"/>
    <cellStyle name="Обычный 8 3 3 2 2 2 2 3 2" xfId="27335"/>
    <cellStyle name="Обычный 8 3 3 2 2 2 2 3 2 2" xfId="34646"/>
    <cellStyle name="Обычный 8 3 3 2 2 2 2 3 2 2 2" xfId="49466"/>
    <cellStyle name="Обычный 8 3 3 2 2 2 2 3 2 3" xfId="42175"/>
    <cellStyle name="Обычный 8 3 3 2 2 2 2 3 3" xfId="30992"/>
    <cellStyle name="Обычный 8 3 3 2 2 2 2 3 3 2" xfId="45815"/>
    <cellStyle name="Обычный 8 3 3 2 2 2 2 3 4" xfId="38489"/>
    <cellStyle name="Обычный 8 3 3 2 2 2 2 3 5" xfId="23677"/>
    <cellStyle name="Обычный 8 3 3 2 2 2 2 4" xfId="25494"/>
    <cellStyle name="Обычный 8 3 3 2 2 2 2 4 2" xfId="32805"/>
    <cellStyle name="Обычный 8 3 3 2 2 2 2 4 2 2" xfId="47628"/>
    <cellStyle name="Обычный 8 3 3 2 2 2 2 4 3" xfId="40382"/>
    <cellStyle name="Обычный 8 3 3 2 2 2 2 5" xfId="29151"/>
    <cellStyle name="Обычный 8 3 3 2 2 2 2 5 2" xfId="43988"/>
    <cellStyle name="Обычный 8 3 3 2 2 2 2 6" xfId="36435"/>
    <cellStyle name="Обычный 8 3 3 2 2 2 2 7" xfId="21833"/>
    <cellStyle name="Обычный 8 3 3 2 2 2 3" xfId="18562"/>
    <cellStyle name="Обычный 8 3 3 2 2 2 3 2" xfId="20444"/>
    <cellStyle name="Обычный 8 3 3 2 2 2 3 2 2" xfId="27770"/>
    <cellStyle name="Обычный 8 3 3 2 2 2 3 2 2 2" xfId="35081"/>
    <cellStyle name="Обычный 8 3 3 2 2 2 3 2 2 2 2" xfId="49901"/>
    <cellStyle name="Обычный 8 3 3 2 2 2 3 2 2 3" xfId="42609"/>
    <cellStyle name="Обычный 8 3 3 2 2 2 3 2 3" xfId="31427"/>
    <cellStyle name="Обычный 8 3 3 2 2 2 3 2 3 2" xfId="46250"/>
    <cellStyle name="Обычный 8 3 3 2 2 2 3 2 4" xfId="38925"/>
    <cellStyle name="Обычный 8 3 3 2 2 2 3 2 5" xfId="24112"/>
    <cellStyle name="Обычный 8 3 3 2 2 2 3 3" xfId="25944"/>
    <cellStyle name="Обычный 8 3 3 2 2 2 3 3 2" xfId="33255"/>
    <cellStyle name="Обычный 8 3 3 2 2 2 3 3 2 2" xfId="48075"/>
    <cellStyle name="Обычный 8 3 3 2 2 2 3 3 3" xfId="40789"/>
    <cellStyle name="Обычный 8 3 3 2 2 2 3 4" xfId="29601"/>
    <cellStyle name="Обычный 8 3 3 2 2 2 3 4 2" xfId="44425"/>
    <cellStyle name="Обычный 8 3 3 2 2 2 3 5" xfId="37202"/>
    <cellStyle name="Обычный 8 3 3 2 2 2 3 6" xfId="22283"/>
    <cellStyle name="Обычный 8 3 3 2 2 2 4" xfId="19515"/>
    <cellStyle name="Обычный 8 3 3 2 2 2 4 2" xfId="26885"/>
    <cellStyle name="Обычный 8 3 3 2 2 2 4 2 2" xfId="34196"/>
    <cellStyle name="Обычный 8 3 3 2 2 2 4 2 2 2" xfId="49016"/>
    <cellStyle name="Обычный 8 3 3 2 2 2 4 2 3" xfId="41725"/>
    <cellStyle name="Обычный 8 3 3 2 2 2 4 3" xfId="30542"/>
    <cellStyle name="Обычный 8 3 3 2 2 2 4 3 2" xfId="45365"/>
    <cellStyle name="Обычный 8 3 3 2 2 2 4 4" xfId="38039"/>
    <cellStyle name="Обычный 8 3 3 2 2 2 4 5" xfId="23227"/>
    <cellStyle name="Обычный 8 3 3 2 2 2 5" xfId="25044"/>
    <cellStyle name="Обычный 8 3 3 2 2 2 5 2" xfId="32355"/>
    <cellStyle name="Обычный 8 3 3 2 2 2 5 2 2" xfId="47178"/>
    <cellStyle name="Обычный 8 3 3 2 2 2 5 3" xfId="39939"/>
    <cellStyle name="Обычный 8 3 3 2 2 2 6" xfId="28701"/>
    <cellStyle name="Обычный 8 3 3 2 2 2 6 2" xfId="43538"/>
    <cellStyle name="Обычный 8 3 3 2 2 2 7" xfId="35986"/>
    <cellStyle name="Обычный 8 3 3 2 2 2 8" xfId="21383"/>
    <cellStyle name="Обычный 8 3 3 2 2 3" xfId="17698"/>
    <cellStyle name="Обычный 8 3 3 2 2 3 2" xfId="18812"/>
    <cellStyle name="Обычный 8 3 3 2 2 3 2 2" xfId="20691"/>
    <cellStyle name="Обычный 8 3 3 2 2 3 2 2 2" xfId="28017"/>
    <cellStyle name="Обычный 8 3 3 2 2 3 2 2 2 2" xfId="35328"/>
    <cellStyle name="Обычный 8 3 3 2 2 3 2 2 2 2 2" xfId="50148"/>
    <cellStyle name="Обычный 8 3 3 2 2 3 2 2 2 3" xfId="42856"/>
    <cellStyle name="Обычный 8 3 3 2 2 3 2 2 3" xfId="31674"/>
    <cellStyle name="Обычный 8 3 3 2 2 3 2 2 3 2" xfId="46497"/>
    <cellStyle name="Обычный 8 3 3 2 2 3 2 2 4" xfId="39172"/>
    <cellStyle name="Обычный 8 3 3 2 2 3 2 2 5" xfId="24359"/>
    <cellStyle name="Обычный 8 3 3 2 2 3 2 3" xfId="26191"/>
    <cellStyle name="Обычный 8 3 3 2 2 3 2 3 2" xfId="33502"/>
    <cellStyle name="Обычный 8 3 3 2 2 3 2 3 2 2" xfId="48322"/>
    <cellStyle name="Обычный 8 3 3 2 2 3 2 3 3" xfId="41035"/>
    <cellStyle name="Обычный 8 3 3 2 2 3 2 4" xfId="29848"/>
    <cellStyle name="Обычный 8 3 3 2 2 3 2 4 2" xfId="44672"/>
    <cellStyle name="Обычный 8 3 3 2 2 3 2 5" xfId="37449"/>
    <cellStyle name="Обычный 8 3 3 2 2 3 2 6" xfId="22530"/>
    <cellStyle name="Обычный 8 3 3 2 2 3 3" xfId="19742"/>
    <cellStyle name="Обычный 8 3 3 2 2 3 3 2" xfId="27111"/>
    <cellStyle name="Обычный 8 3 3 2 2 3 3 2 2" xfId="34422"/>
    <cellStyle name="Обычный 8 3 3 2 2 3 3 2 2 2" xfId="49242"/>
    <cellStyle name="Обычный 8 3 3 2 2 3 3 2 3" xfId="41951"/>
    <cellStyle name="Обычный 8 3 3 2 2 3 3 3" xfId="30768"/>
    <cellStyle name="Обычный 8 3 3 2 2 3 3 3 2" xfId="45591"/>
    <cellStyle name="Обычный 8 3 3 2 2 3 3 4" xfId="38265"/>
    <cellStyle name="Обычный 8 3 3 2 2 3 3 5" xfId="23453"/>
    <cellStyle name="Обычный 8 3 3 2 2 3 4" xfId="25270"/>
    <cellStyle name="Обычный 8 3 3 2 2 3 4 2" xfId="32581"/>
    <cellStyle name="Обычный 8 3 3 2 2 3 4 2 2" xfId="47404"/>
    <cellStyle name="Обычный 8 3 3 2 2 3 4 3" xfId="40162"/>
    <cellStyle name="Обычный 8 3 3 2 2 3 5" xfId="28927"/>
    <cellStyle name="Обычный 8 3 3 2 2 3 5 2" xfId="43764"/>
    <cellStyle name="Обычный 8 3 3 2 2 3 6" xfId="36434"/>
    <cellStyle name="Обычный 8 3 3 2 2 3 7" xfId="21609"/>
    <cellStyle name="Обычный 8 3 3 2 2 4" xfId="18561"/>
    <cellStyle name="Обычный 8 3 3 2 2 4 2" xfId="20443"/>
    <cellStyle name="Обычный 8 3 3 2 2 4 2 2" xfId="27769"/>
    <cellStyle name="Обычный 8 3 3 2 2 4 2 2 2" xfId="35080"/>
    <cellStyle name="Обычный 8 3 3 2 2 4 2 2 2 2" xfId="49900"/>
    <cellStyle name="Обычный 8 3 3 2 2 4 2 2 3" xfId="42608"/>
    <cellStyle name="Обычный 8 3 3 2 2 4 2 3" xfId="31426"/>
    <cellStyle name="Обычный 8 3 3 2 2 4 2 3 2" xfId="46249"/>
    <cellStyle name="Обычный 8 3 3 2 2 4 2 4" xfId="38924"/>
    <cellStyle name="Обычный 8 3 3 2 2 4 2 5" xfId="24111"/>
    <cellStyle name="Обычный 8 3 3 2 2 4 3" xfId="25943"/>
    <cellStyle name="Обычный 8 3 3 2 2 4 3 2" xfId="33254"/>
    <cellStyle name="Обычный 8 3 3 2 2 4 3 2 2" xfId="48074"/>
    <cellStyle name="Обычный 8 3 3 2 2 4 3 3" xfId="40788"/>
    <cellStyle name="Обычный 8 3 3 2 2 4 4" xfId="29600"/>
    <cellStyle name="Обычный 8 3 3 2 2 4 4 2" xfId="44424"/>
    <cellStyle name="Обычный 8 3 3 2 2 4 5" xfId="37201"/>
    <cellStyle name="Обычный 8 3 3 2 2 4 6" xfId="22282"/>
    <cellStyle name="Обычный 8 3 3 2 2 5" xfId="19291"/>
    <cellStyle name="Обычный 8 3 3 2 2 5 2" xfId="26661"/>
    <cellStyle name="Обычный 8 3 3 2 2 5 2 2" xfId="33972"/>
    <cellStyle name="Обычный 8 3 3 2 2 5 2 2 2" xfId="48792"/>
    <cellStyle name="Обычный 8 3 3 2 2 5 2 3" xfId="41501"/>
    <cellStyle name="Обычный 8 3 3 2 2 5 3" xfId="30318"/>
    <cellStyle name="Обычный 8 3 3 2 2 5 3 2" xfId="45141"/>
    <cellStyle name="Обычный 8 3 3 2 2 5 4" xfId="37815"/>
    <cellStyle name="Обычный 8 3 3 2 2 5 5" xfId="23003"/>
    <cellStyle name="Обычный 8 3 3 2 2 6" xfId="24820"/>
    <cellStyle name="Обычный 8 3 3 2 2 6 2" xfId="32131"/>
    <cellStyle name="Обычный 8 3 3 2 2 6 2 2" xfId="46954"/>
    <cellStyle name="Обычный 8 3 3 2 2 6 3" xfId="39719"/>
    <cellStyle name="Обычный 8 3 3 2 2 7" xfId="28477"/>
    <cellStyle name="Обычный 8 3 3 2 2 7 2" xfId="43314"/>
    <cellStyle name="Обычный 8 3 3 2 2 8" xfId="35985"/>
    <cellStyle name="Обычный 8 3 3 2 2 9" xfId="21159"/>
    <cellStyle name="Обычный 8 3 3 2 3" xfId="17810"/>
    <cellStyle name="Обычный 8 3 3 2 3 2" xfId="18924"/>
    <cellStyle name="Обычный 8 3 3 2 3 2 2" xfId="20803"/>
    <cellStyle name="Обычный 8 3 3 2 3 2 2 2" xfId="24471"/>
    <cellStyle name="Обычный 8 3 3 2 3 2 2 2 2" xfId="28129"/>
    <cellStyle name="Обычный 8 3 3 2 3 2 2 2 2 2" xfId="35440"/>
    <cellStyle name="Обычный 8 3 3 2 3 2 2 2 2 2 2" xfId="50260"/>
    <cellStyle name="Обычный 8 3 3 2 3 2 2 2 2 3" xfId="42968"/>
    <cellStyle name="Обычный 8 3 3 2 3 2 2 2 3" xfId="31786"/>
    <cellStyle name="Обычный 8 3 3 2 3 2 2 2 3 2" xfId="46609"/>
    <cellStyle name="Обычный 8 3 3 2 3 2 2 2 4" xfId="39435"/>
    <cellStyle name="Обычный 8 3 3 2 3 2 2 3" xfId="26303"/>
    <cellStyle name="Обычный 8 3 3 2 3 2 2 3 2" xfId="33614"/>
    <cellStyle name="Обычный 8 3 3 2 3 2 2 3 2 2" xfId="48434"/>
    <cellStyle name="Обычный 8 3 3 2 3 2 2 3 3" xfId="41147"/>
    <cellStyle name="Обычный 8 3 3 2 3 2 2 4" xfId="29960"/>
    <cellStyle name="Обычный 8 3 3 2 3 2 2 4 2" xfId="44784"/>
    <cellStyle name="Обычный 8 3 3 2 3 2 2 5" xfId="39284"/>
    <cellStyle name="Обычный 8 3 3 2 3 2 2 6" xfId="22642"/>
    <cellStyle name="Обычный 8 3 3 2 3 2 3" xfId="19854"/>
    <cellStyle name="Обычный 8 3 3 2 3 2 3 2" xfId="27223"/>
    <cellStyle name="Обычный 8 3 3 2 3 2 3 2 2" xfId="34534"/>
    <cellStyle name="Обычный 8 3 3 2 3 2 3 2 2 2" xfId="49354"/>
    <cellStyle name="Обычный 8 3 3 2 3 2 3 2 3" xfId="42063"/>
    <cellStyle name="Обычный 8 3 3 2 3 2 3 3" xfId="30880"/>
    <cellStyle name="Обычный 8 3 3 2 3 2 3 3 2" xfId="45703"/>
    <cellStyle name="Обычный 8 3 3 2 3 2 3 4" xfId="38377"/>
    <cellStyle name="Обычный 8 3 3 2 3 2 3 5" xfId="23565"/>
    <cellStyle name="Обычный 8 3 3 2 3 2 4" xfId="25382"/>
    <cellStyle name="Обычный 8 3 3 2 3 2 4 2" xfId="32693"/>
    <cellStyle name="Обычный 8 3 3 2 3 2 4 2 2" xfId="47516"/>
    <cellStyle name="Обычный 8 3 3 2 3 2 4 3" xfId="40270"/>
    <cellStyle name="Обычный 8 3 3 2 3 2 5" xfId="29039"/>
    <cellStyle name="Обычный 8 3 3 2 3 2 5 2" xfId="43876"/>
    <cellStyle name="Обычный 8 3 3 2 3 2 6" xfId="36436"/>
    <cellStyle name="Обычный 8 3 3 2 3 2 7" xfId="21721"/>
    <cellStyle name="Обычный 8 3 3 2 3 3" xfId="18563"/>
    <cellStyle name="Обычный 8 3 3 2 3 3 2" xfId="20445"/>
    <cellStyle name="Обычный 8 3 3 2 3 3 2 2" xfId="27771"/>
    <cellStyle name="Обычный 8 3 3 2 3 3 2 2 2" xfId="35082"/>
    <cellStyle name="Обычный 8 3 3 2 3 3 2 2 2 2" xfId="49902"/>
    <cellStyle name="Обычный 8 3 3 2 3 3 2 2 3" xfId="42610"/>
    <cellStyle name="Обычный 8 3 3 2 3 3 2 3" xfId="31428"/>
    <cellStyle name="Обычный 8 3 3 2 3 3 2 3 2" xfId="46251"/>
    <cellStyle name="Обычный 8 3 3 2 3 3 2 4" xfId="38926"/>
    <cellStyle name="Обычный 8 3 3 2 3 3 2 5" xfId="24113"/>
    <cellStyle name="Обычный 8 3 3 2 3 3 3" xfId="25945"/>
    <cellStyle name="Обычный 8 3 3 2 3 3 3 2" xfId="33256"/>
    <cellStyle name="Обычный 8 3 3 2 3 3 3 2 2" xfId="48076"/>
    <cellStyle name="Обычный 8 3 3 2 3 3 3 3" xfId="40790"/>
    <cellStyle name="Обычный 8 3 3 2 3 3 4" xfId="29602"/>
    <cellStyle name="Обычный 8 3 3 2 3 3 4 2" xfId="44426"/>
    <cellStyle name="Обычный 8 3 3 2 3 3 5" xfId="37203"/>
    <cellStyle name="Обычный 8 3 3 2 3 3 6" xfId="22284"/>
    <cellStyle name="Обычный 8 3 3 2 3 4" xfId="19403"/>
    <cellStyle name="Обычный 8 3 3 2 3 4 2" xfId="26773"/>
    <cellStyle name="Обычный 8 3 3 2 3 4 2 2" xfId="34084"/>
    <cellStyle name="Обычный 8 3 3 2 3 4 2 2 2" xfId="48904"/>
    <cellStyle name="Обычный 8 3 3 2 3 4 2 3" xfId="41613"/>
    <cellStyle name="Обычный 8 3 3 2 3 4 3" xfId="30430"/>
    <cellStyle name="Обычный 8 3 3 2 3 4 3 2" xfId="45253"/>
    <cellStyle name="Обычный 8 3 3 2 3 4 4" xfId="37927"/>
    <cellStyle name="Обычный 8 3 3 2 3 4 5" xfId="23115"/>
    <cellStyle name="Обычный 8 3 3 2 3 5" xfId="24932"/>
    <cellStyle name="Обычный 8 3 3 2 3 5 2" xfId="32243"/>
    <cellStyle name="Обычный 8 3 3 2 3 5 2 2" xfId="47066"/>
    <cellStyle name="Обычный 8 3 3 2 3 5 3" xfId="39827"/>
    <cellStyle name="Обычный 8 3 3 2 3 6" xfId="28589"/>
    <cellStyle name="Обычный 8 3 3 2 3 6 2" xfId="43426"/>
    <cellStyle name="Обычный 8 3 3 2 3 7" xfId="35987"/>
    <cellStyle name="Обычный 8 3 3 2 3 8" xfId="21271"/>
    <cellStyle name="Обычный 8 3 3 2 4" xfId="17586"/>
    <cellStyle name="Обычный 8 3 3 2 4 2" xfId="18700"/>
    <cellStyle name="Обычный 8 3 3 2 4 2 2" xfId="20579"/>
    <cellStyle name="Обычный 8 3 3 2 4 2 2 2" xfId="27905"/>
    <cellStyle name="Обычный 8 3 3 2 4 2 2 2 2" xfId="35216"/>
    <cellStyle name="Обычный 8 3 3 2 4 2 2 2 2 2" xfId="50036"/>
    <cellStyle name="Обычный 8 3 3 2 4 2 2 2 3" xfId="42744"/>
    <cellStyle name="Обычный 8 3 3 2 4 2 2 3" xfId="31562"/>
    <cellStyle name="Обычный 8 3 3 2 4 2 2 3 2" xfId="46385"/>
    <cellStyle name="Обычный 8 3 3 2 4 2 2 4" xfId="39060"/>
    <cellStyle name="Обычный 8 3 3 2 4 2 2 5" xfId="24247"/>
    <cellStyle name="Обычный 8 3 3 2 4 2 3" xfId="26079"/>
    <cellStyle name="Обычный 8 3 3 2 4 2 3 2" xfId="33390"/>
    <cellStyle name="Обычный 8 3 3 2 4 2 3 2 2" xfId="48210"/>
    <cellStyle name="Обычный 8 3 3 2 4 2 3 3" xfId="40923"/>
    <cellStyle name="Обычный 8 3 3 2 4 2 4" xfId="29736"/>
    <cellStyle name="Обычный 8 3 3 2 4 2 4 2" xfId="44560"/>
    <cellStyle name="Обычный 8 3 3 2 4 2 5" xfId="37337"/>
    <cellStyle name="Обычный 8 3 3 2 4 2 6" xfId="22418"/>
    <cellStyle name="Обычный 8 3 3 2 4 3" xfId="19630"/>
    <cellStyle name="Обычный 8 3 3 2 4 3 2" xfId="26999"/>
    <cellStyle name="Обычный 8 3 3 2 4 3 2 2" xfId="34310"/>
    <cellStyle name="Обычный 8 3 3 2 4 3 2 2 2" xfId="49130"/>
    <cellStyle name="Обычный 8 3 3 2 4 3 2 3" xfId="41839"/>
    <cellStyle name="Обычный 8 3 3 2 4 3 3" xfId="30656"/>
    <cellStyle name="Обычный 8 3 3 2 4 3 3 2" xfId="45479"/>
    <cellStyle name="Обычный 8 3 3 2 4 3 4" xfId="38153"/>
    <cellStyle name="Обычный 8 3 3 2 4 3 5" xfId="23341"/>
    <cellStyle name="Обычный 8 3 3 2 4 4" xfId="25158"/>
    <cellStyle name="Обычный 8 3 3 2 4 4 2" xfId="32469"/>
    <cellStyle name="Обычный 8 3 3 2 4 4 2 2" xfId="47292"/>
    <cellStyle name="Обычный 8 3 3 2 4 4 3" xfId="40052"/>
    <cellStyle name="Обычный 8 3 3 2 4 5" xfId="28815"/>
    <cellStyle name="Обычный 8 3 3 2 4 5 2" xfId="43652"/>
    <cellStyle name="Обычный 8 3 3 2 4 6" xfId="36433"/>
    <cellStyle name="Обычный 8 3 3 2 4 7" xfId="21497"/>
    <cellStyle name="Обычный 8 3 3 2 5" xfId="18560"/>
    <cellStyle name="Обычный 8 3 3 2 5 2" xfId="20442"/>
    <cellStyle name="Обычный 8 3 3 2 5 2 2" xfId="27768"/>
    <cellStyle name="Обычный 8 3 3 2 5 2 2 2" xfId="35079"/>
    <cellStyle name="Обычный 8 3 3 2 5 2 2 2 2" xfId="49899"/>
    <cellStyle name="Обычный 8 3 3 2 5 2 2 3" xfId="42607"/>
    <cellStyle name="Обычный 8 3 3 2 5 2 3" xfId="31425"/>
    <cellStyle name="Обычный 8 3 3 2 5 2 3 2" xfId="46248"/>
    <cellStyle name="Обычный 8 3 3 2 5 2 4" xfId="38923"/>
    <cellStyle name="Обычный 8 3 3 2 5 2 5" xfId="24110"/>
    <cellStyle name="Обычный 8 3 3 2 5 3" xfId="25942"/>
    <cellStyle name="Обычный 8 3 3 2 5 3 2" xfId="33253"/>
    <cellStyle name="Обычный 8 3 3 2 5 3 2 2" xfId="48073"/>
    <cellStyle name="Обычный 8 3 3 2 5 3 3" xfId="40787"/>
    <cellStyle name="Обычный 8 3 3 2 5 4" xfId="29599"/>
    <cellStyle name="Обычный 8 3 3 2 5 4 2" xfId="44423"/>
    <cellStyle name="Обычный 8 3 3 2 5 5" xfId="37200"/>
    <cellStyle name="Обычный 8 3 3 2 5 6" xfId="22281"/>
    <cellStyle name="Обычный 8 3 3 2 6" xfId="19181"/>
    <cellStyle name="Обычный 8 3 3 2 6 2" xfId="26552"/>
    <cellStyle name="Обычный 8 3 3 2 6 2 2" xfId="33863"/>
    <cellStyle name="Обычный 8 3 3 2 6 2 2 2" xfId="48683"/>
    <cellStyle name="Обычный 8 3 3 2 6 2 3" xfId="41392"/>
    <cellStyle name="Обычный 8 3 3 2 6 3" xfId="30209"/>
    <cellStyle name="Обычный 8 3 3 2 6 3 2" xfId="45032"/>
    <cellStyle name="Обычный 8 3 3 2 6 4" xfId="37706"/>
    <cellStyle name="Обычный 8 3 3 2 6 5" xfId="22894"/>
    <cellStyle name="Обычный 8 3 3 2 7" xfId="24708"/>
    <cellStyle name="Обычный 8 3 3 2 7 2" xfId="32019"/>
    <cellStyle name="Обычный 8 3 3 2 7 2 2" xfId="46842"/>
    <cellStyle name="Обычный 8 3 3 2 7 3" xfId="39614"/>
    <cellStyle name="Обычный 8 3 3 2 8" xfId="28365"/>
    <cellStyle name="Обычный 8 3 3 2 8 2" xfId="43202"/>
    <cellStyle name="Обычный 8 3 3 2 9" xfId="35984"/>
    <cellStyle name="Обычный 8 3 3 3" xfId="17416"/>
    <cellStyle name="Обычный 8 3 3 3 2" xfId="17866"/>
    <cellStyle name="Обычный 8 3 3 3 2 2" xfId="18980"/>
    <cellStyle name="Обычный 8 3 3 3 2 2 2" xfId="20859"/>
    <cellStyle name="Обычный 8 3 3 3 2 2 2 2" xfId="24527"/>
    <cellStyle name="Обычный 8 3 3 3 2 2 2 2 2" xfId="28185"/>
    <cellStyle name="Обычный 8 3 3 3 2 2 2 2 2 2" xfId="35496"/>
    <cellStyle name="Обычный 8 3 3 3 2 2 2 2 2 2 2" xfId="50316"/>
    <cellStyle name="Обычный 8 3 3 3 2 2 2 2 2 3" xfId="43024"/>
    <cellStyle name="Обычный 8 3 3 3 2 2 2 2 3" xfId="31842"/>
    <cellStyle name="Обычный 8 3 3 3 2 2 2 2 3 2" xfId="46665"/>
    <cellStyle name="Обычный 8 3 3 3 2 2 2 2 4" xfId="39467"/>
    <cellStyle name="Обычный 8 3 3 3 2 2 2 3" xfId="26359"/>
    <cellStyle name="Обычный 8 3 3 3 2 2 2 3 2" xfId="33670"/>
    <cellStyle name="Обычный 8 3 3 3 2 2 2 3 2 2" xfId="48490"/>
    <cellStyle name="Обычный 8 3 3 3 2 2 2 3 3" xfId="41203"/>
    <cellStyle name="Обычный 8 3 3 3 2 2 2 4" xfId="30016"/>
    <cellStyle name="Обычный 8 3 3 3 2 2 2 4 2" xfId="44840"/>
    <cellStyle name="Обычный 8 3 3 3 2 2 2 5" xfId="39340"/>
    <cellStyle name="Обычный 8 3 3 3 2 2 2 6" xfId="22698"/>
    <cellStyle name="Обычный 8 3 3 3 2 2 3" xfId="19910"/>
    <cellStyle name="Обычный 8 3 3 3 2 2 3 2" xfId="27279"/>
    <cellStyle name="Обычный 8 3 3 3 2 2 3 2 2" xfId="34590"/>
    <cellStyle name="Обычный 8 3 3 3 2 2 3 2 2 2" xfId="49410"/>
    <cellStyle name="Обычный 8 3 3 3 2 2 3 2 3" xfId="42119"/>
    <cellStyle name="Обычный 8 3 3 3 2 2 3 3" xfId="30936"/>
    <cellStyle name="Обычный 8 3 3 3 2 2 3 3 2" xfId="45759"/>
    <cellStyle name="Обычный 8 3 3 3 2 2 3 4" xfId="38433"/>
    <cellStyle name="Обычный 8 3 3 3 2 2 3 5" xfId="23621"/>
    <cellStyle name="Обычный 8 3 3 3 2 2 4" xfId="25438"/>
    <cellStyle name="Обычный 8 3 3 3 2 2 4 2" xfId="32749"/>
    <cellStyle name="Обычный 8 3 3 3 2 2 4 2 2" xfId="47572"/>
    <cellStyle name="Обычный 8 3 3 3 2 2 4 3" xfId="40326"/>
    <cellStyle name="Обычный 8 3 3 3 2 2 5" xfId="29095"/>
    <cellStyle name="Обычный 8 3 3 3 2 2 5 2" xfId="43932"/>
    <cellStyle name="Обычный 8 3 3 3 2 2 6" xfId="36438"/>
    <cellStyle name="Обычный 8 3 3 3 2 2 7" xfId="21777"/>
    <cellStyle name="Обычный 8 3 3 3 2 3" xfId="18565"/>
    <cellStyle name="Обычный 8 3 3 3 2 3 2" xfId="20447"/>
    <cellStyle name="Обычный 8 3 3 3 2 3 2 2" xfId="27773"/>
    <cellStyle name="Обычный 8 3 3 3 2 3 2 2 2" xfId="35084"/>
    <cellStyle name="Обычный 8 3 3 3 2 3 2 2 2 2" xfId="49904"/>
    <cellStyle name="Обычный 8 3 3 3 2 3 2 2 3" xfId="42612"/>
    <cellStyle name="Обычный 8 3 3 3 2 3 2 3" xfId="31430"/>
    <cellStyle name="Обычный 8 3 3 3 2 3 2 3 2" xfId="46253"/>
    <cellStyle name="Обычный 8 3 3 3 2 3 2 4" xfId="38928"/>
    <cellStyle name="Обычный 8 3 3 3 2 3 2 5" xfId="24115"/>
    <cellStyle name="Обычный 8 3 3 3 2 3 3" xfId="25947"/>
    <cellStyle name="Обычный 8 3 3 3 2 3 3 2" xfId="33258"/>
    <cellStyle name="Обычный 8 3 3 3 2 3 3 2 2" xfId="48078"/>
    <cellStyle name="Обычный 8 3 3 3 2 3 3 3" xfId="40792"/>
    <cellStyle name="Обычный 8 3 3 3 2 3 4" xfId="29604"/>
    <cellStyle name="Обычный 8 3 3 3 2 3 4 2" xfId="44428"/>
    <cellStyle name="Обычный 8 3 3 3 2 3 5" xfId="37205"/>
    <cellStyle name="Обычный 8 3 3 3 2 3 6" xfId="22286"/>
    <cellStyle name="Обычный 8 3 3 3 2 4" xfId="19459"/>
    <cellStyle name="Обычный 8 3 3 3 2 4 2" xfId="26829"/>
    <cellStyle name="Обычный 8 3 3 3 2 4 2 2" xfId="34140"/>
    <cellStyle name="Обычный 8 3 3 3 2 4 2 2 2" xfId="48960"/>
    <cellStyle name="Обычный 8 3 3 3 2 4 2 3" xfId="41669"/>
    <cellStyle name="Обычный 8 3 3 3 2 4 3" xfId="30486"/>
    <cellStyle name="Обычный 8 3 3 3 2 4 3 2" xfId="45309"/>
    <cellStyle name="Обычный 8 3 3 3 2 4 4" xfId="37983"/>
    <cellStyle name="Обычный 8 3 3 3 2 4 5" xfId="23171"/>
    <cellStyle name="Обычный 8 3 3 3 2 5" xfId="24988"/>
    <cellStyle name="Обычный 8 3 3 3 2 5 2" xfId="32299"/>
    <cellStyle name="Обычный 8 3 3 3 2 5 2 2" xfId="47122"/>
    <cellStyle name="Обычный 8 3 3 3 2 5 3" xfId="39883"/>
    <cellStyle name="Обычный 8 3 3 3 2 6" xfId="28645"/>
    <cellStyle name="Обычный 8 3 3 3 2 6 2" xfId="43482"/>
    <cellStyle name="Обычный 8 3 3 3 2 7" xfId="35989"/>
    <cellStyle name="Обычный 8 3 3 3 2 8" xfId="21327"/>
    <cellStyle name="Обычный 8 3 3 3 3" xfId="17642"/>
    <cellStyle name="Обычный 8 3 3 3 3 2" xfId="18756"/>
    <cellStyle name="Обычный 8 3 3 3 3 2 2" xfId="20635"/>
    <cellStyle name="Обычный 8 3 3 3 3 2 2 2" xfId="27961"/>
    <cellStyle name="Обычный 8 3 3 3 3 2 2 2 2" xfId="35272"/>
    <cellStyle name="Обычный 8 3 3 3 3 2 2 2 2 2" xfId="50092"/>
    <cellStyle name="Обычный 8 3 3 3 3 2 2 2 3" xfId="42800"/>
    <cellStyle name="Обычный 8 3 3 3 3 2 2 3" xfId="31618"/>
    <cellStyle name="Обычный 8 3 3 3 3 2 2 3 2" xfId="46441"/>
    <cellStyle name="Обычный 8 3 3 3 3 2 2 4" xfId="39116"/>
    <cellStyle name="Обычный 8 3 3 3 3 2 2 5" xfId="24303"/>
    <cellStyle name="Обычный 8 3 3 3 3 2 3" xfId="26135"/>
    <cellStyle name="Обычный 8 3 3 3 3 2 3 2" xfId="33446"/>
    <cellStyle name="Обычный 8 3 3 3 3 2 3 2 2" xfId="48266"/>
    <cellStyle name="Обычный 8 3 3 3 3 2 3 3" xfId="40979"/>
    <cellStyle name="Обычный 8 3 3 3 3 2 4" xfId="29792"/>
    <cellStyle name="Обычный 8 3 3 3 3 2 4 2" xfId="44616"/>
    <cellStyle name="Обычный 8 3 3 3 3 2 5" xfId="37393"/>
    <cellStyle name="Обычный 8 3 3 3 3 2 6" xfId="22474"/>
    <cellStyle name="Обычный 8 3 3 3 3 3" xfId="19686"/>
    <cellStyle name="Обычный 8 3 3 3 3 3 2" xfId="27055"/>
    <cellStyle name="Обычный 8 3 3 3 3 3 2 2" xfId="34366"/>
    <cellStyle name="Обычный 8 3 3 3 3 3 2 2 2" xfId="49186"/>
    <cellStyle name="Обычный 8 3 3 3 3 3 2 3" xfId="41895"/>
    <cellStyle name="Обычный 8 3 3 3 3 3 3" xfId="30712"/>
    <cellStyle name="Обычный 8 3 3 3 3 3 3 2" xfId="45535"/>
    <cellStyle name="Обычный 8 3 3 3 3 3 4" xfId="38209"/>
    <cellStyle name="Обычный 8 3 3 3 3 3 5" xfId="23397"/>
    <cellStyle name="Обычный 8 3 3 3 3 4" xfId="25214"/>
    <cellStyle name="Обычный 8 3 3 3 3 4 2" xfId="32525"/>
    <cellStyle name="Обычный 8 3 3 3 3 4 2 2" xfId="47348"/>
    <cellStyle name="Обычный 8 3 3 3 3 4 3" xfId="40106"/>
    <cellStyle name="Обычный 8 3 3 3 3 5" xfId="28871"/>
    <cellStyle name="Обычный 8 3 3 3 3 5 2" xfId="43708"/>
    <cellStyle name="Обычный 8 3 3 3 3 6" xfId="36437"/>
    <cellStyle name="Обычный 8 3 3 3 3 7" xfId="21553"/>
    <cellStyle name="Обычный 8 3 3 3 4" xfId="18564"/>
    <cellStyle name="Обычный 8 3 3 3 4 2" xfId="20446"/>
    <cellStyle name="Обычный 8 3 3 3 4 2 2" xfId="27772"/>
    <cellStyle name="Обычный 8 3 3 3 4 2 2 2" xfId="35083"/>
    <cellStyle name="Обычный 8 3 3 3 4 2 2 2 2" xfId="49903"/>
    <cellStyle name="Обычный 8 3 3 3 4 2 2 3" xfId="42611"/>
    <cellStyle name="Обычный 8 3 3 3 4 2 3" xfId="31429"/>
    <cellStyle name="Обычный 8 3 3 3 4 2 3 2" xfId="46252"/>
    <cellStyle name="Обычный 8 3 3 3 4 2 4" xfId="38927"/>
    <cellStyle name="Обычный 8 3 3 3 4 2 5" xfId="24114"/>
    <cellStyle name="Обычный 8 3 3 3 4 3" xfId="25946"/>
    <cellStyle name="Обычный 8 3 3 3 4 3 2" xfId="33257"/>
    <cellStyle name="Обычный 8 3 3 3 4 3 2 2" xfId="48077"/>
    <cellStyle name="Обычный 8 3 3 3 4 3 3" xfId="40791"/>
    <cellStyle name="Обычный 8 3 3 3 4 4" xfId="29603"/>
    <cellStyle name="Обычный 8 3 3 3 4 4 2" xfId="44427"/>
    <cellStyle name="Обычный 8 3 3 3 4 5" xfId="37204"/>
    <cellStyle name="Обычный 8 3 3 3 4 6" xfId="22285"/>
    <cellStyle name="Обычный 8 3 3 3 5" xfId="19236"/>
    <cellStyle name="Обычный 8 3 3 3 5 2" xfId="26606"/>
    <cellStyle name="Обычный 8 3 3 3 5 2 2" xfId="33917"/>
    <cellStyle name="Обычный 8 3 3 3 5 2 2 2" xfId="48737"/>
    <cellStyle name="Обычный 8 3 3 3 5 2 3" xfId="41446"/>
    <cellStyle name="Обычный 8 3 3 3 5 3" xfId="30263"/>
    <cellStyle name="Обычный 8 3 3 3 5 3 2" xfId="45086"/>
    <cellStyle name="Обычный 8 3 3 3 5 4" xfId="37760"/>
    <cellStyle name="Обычный 8 3 3 3 5 5" xfId="22948"/>
    <cellStyle name="Обычный 8 3 3 3 6" xfId="24764"/>
    <cellStyle name="Обычный 8 3 3 3 6 2" xfId="32075"/>
    <cellStyle name="Обычный 8 3 3 3 6 2 2" xfId="46898"/>
    <cellStyle name="Обычный 8 3 3 3 6 3" xfId="39666"/>
    <cellStyle name="Обычный 8 3 3 3 7" xfId="28421"/>
    <cellStyle name="Обычный 8 3 3 3 7 2" xfId="43258"/>
    <cellStyle name="Обычный 8 3 3 3 8" xfId="35988"/>
    <cellStyle name="Обычный 8 3 3 3 9" xfId="21103"/>
    <cellStyle name="Обычный 8 3 3 4" xfId="17299"/>
    <cellStyle name="Обычный 8 3 3 4 2" xfId="17754"/>
    <cellStyle name="Обычный 8 3 3 4 2 2" xfId="18868"/>
    <cellStyle name="Обычный 8 3 3 4 2 2 2" xfId="20747"/>
    <cellStyle name="Обычный 8 3 3 4 2 2 2 2" xfId="28073"/>
    <cellStyle name="Обычный 8 3 3 4 2 2 2 2 2" xfId="35384"/>
    <cellStyle name="Обычный 8 3 3 4 2 2 2 2 2 2" xfId="50204"/>
    <cellStyle name="Обычный 8 3 3 4 2 2 2 2 3" xfId="42912"/>
    <cellStyle name="Обычный 8 3 3 4 2 2 2 3" xfId="31730"/>
    <cellStyle name="Обычный 8 3 3 4 2 2 2 3 2" xfId="46553"/>
    <cellStyle name="Обычный 8 3 3 4 2 2 2 4" xfId="39228"/>
    <cellStyle name="Обычный 8 3 3 4 2 2 2 5" xfId="24415"/>
    <cellStyle name="Обычный 8 3 3 4 2 2 3" xfId="26247"/>
    <cellStyle name="Обычный 8 3 3 4 2 2 3 2" xfId="33558"/>
    <cellStyle name="Обычный 8 3 3 4 2 2 3 2 2" xfId="48378"/>
    <cellStyle name="Обычный 8 3 3 4 2 2 3 3" xfId="41091"/>
    <cellStyle name="Обычный 8 3 3 4 2 2 4" xfId="29904"/>
    <cellStyle name="Обычный 8 3 3 4 2 2 4 2" xfId="44728"/>
    <cellStyle name="Обычный 8 3 3 4 2 2 5" xfId="37504"/>
    <cellStyle name="Обычный 8 3 3 4 2 2 6" xfId="22586"/>
    <cellStyle name="Обычный 8 3 3 4 2 3" xfId="19798"/>
    <cellStyle name="Обычный 8 3 3 4 2 3 2" xfId="27167"/>
    <cellStyle name="Обычный 8 3 3 4 2 3 2 2" xfId="34478"/>
    <cellStyle name="Обычный 8 3 3 4 2 3 2 2 2" xfId="49298"/>
    <cellStyle name="Обычный 8 3 3 4 2 3 2 3" xfId="42007"/>
    <cellStyle name="Обычный 8 3 3 4 2 3 3" xfId="30824"/>
    <cellStyle name="Обычный 8 3 3 4 2 3 3 2" xfId="45647"/>
    <cellStyle name="Обычный 8 3 3 4 2 3 4" xfId="38321"/>
    <cellStyle name="Обычный 8 3 3 4 2 3 5" xfId="23509"/>
    <cellStyle name="Обычный 8 3 3 4 2 4" xfId="25326"/>
    <cellStyle name="Обычный 8 3 3 4 2 4 2" xfId="32637"/>
    <cellStyle name="Обычный 8 3 3 4 2 4 2 2" xfId="47460"/>
    <cellStyle name="Обычный 8 3 3 4 2 4 3" xfId="40215"/>
    <cellStyle name="Обычный 8 3 3 4 2 5" xfId="28983"/>
    <cellStyle name="Обычный 8 3 3 4 2 5 2" xfId="43820"/>
    <cellStyle name="Обычный 8 3 3 4 2 6" xfId="36439"/>
    <cellStyle name="Обычный 8 3 3 4 2 7" xfId="21665"/>
    <cellStyle name="Обычный 8 3 3 4 3" xfId="18566"/>
    <cellStyle name="Обычный 8 3 3 4 3 2" xfId="20448"/>
    <cellStyle name="Обычный 8 3 3 4 3 2 2" xfId="27774"/>
    <cellStyle name="Обычный 8 3 3 4 3 2 2 2" xfId="35085"/>
    <cellStyle name="Обычный 8 3 3 4 3 2 2 2 2" xfId="49905"/>
    <cellStyle name="Обычный 8 3 3 4 3 2 2 3" xfId="42613"/>
    <cellStyle name="Обычный 8 3 3 4 3 2 3" xfId="31431"/>
    <cellStyle name="Обычный 8 3 3 4 3 2 3 2" xfId="46254"/>
    <cellStyle name="Обычный 8 3 3 4 3 2 4" xfId="38929"/>
    <cellStyle name="Обычный 8 3 3 4 3 2 5" xfId="24116"/>
    <cellStyle name="Обычный 8 3 3 4 3 3" xfId="25948"/>
    <cellStyle name="Обычный 8 3 3 4 3 3 2" xfId="33259"/>
    <cellStyle name="Обычный 8 3 3 4 3 3 2 2" xfId="48079"/>
    <cellStyle name="Обычный 8 3 3 4 3 3 3" xfId="40793"/>
    <cellStyle name="Обычный 8 3 3 4 3 4" xfId="29605"/>
    <cellStyle name="Обычный 8 3 3 4 3 4 2" xfId="44429"/>
    <cellStyle name="Обычный 8 3 3 4 3 5" xfId="37206"/>
    <cellStyle name="Обычный 8 3 3 4 3 6" xfId="22287"/>
    <cellStyle name="Обычный 8 3 3 4 4" xfId="19347"/>
    <cellStyle name="Обычный 8 3 3 4 4 2" xfId="26717"/>
    <cellStyle name="Обычный 8 3 3 4 4 2 2" xfId="34028"/>
    <cellStyle name="Обычный 8 3 3 4 4 2 2 2" xfId="48848"/>
    <cellStyle name="Обычный 8 3 3 4 4 2 3" xfId="41557"/>
    <cellStyle name="Обычный 8 3 3 4 4 3" xfId="30374"/>
    <cellStyle name="Обычный 8 3 3 4 4 3 2" xfId="45197"/>
    <cellStyle name="Обычный 8 3 3 4 4 4" xfId="37871"/>
    <cellStyle name="Обычный 8 3 3 4 4 5" xfId="23059"/>
    <cellStyle name="Обычный 8 3 3 4 5" xfId="24876"/>
    <cellStyle name="Обычный 8 3 3 4 5 2" xfId="32187"/>
    <cellStyle name="Обычный 8 3 3 4 5 2 2" xfId="47010"/>
    <cellStyle name="Обычный 8 3 3 4 5 3" xfId="39772"/>
    <cellStyle name="Обычный 8 3 3 4 6" xfId="28533"/>
    <cellStyle name="Обычный 8 3 3 4 6 2" xfId="43370"/>
    <cellStyle name="Обычный 8 3 3 4 7" xfId="35990"/>
    <cellStyle name="Обычный 8 3 3 4 8" xfId="21215"/>
    <cellStyle name="Обычный 8 3 3 5" xfId="17530"/>
    <cellStyle name="Обычный 8 3 3 5 2" xfId="18644"/>
    <cellStyle name="Обычный 8 3 3 5 2 2" xfId="20523"/>
    <cellStyle name="Обычный 8 3 3 5 2 2 2" xfId="27849"/>
    <cellStyle name="Обычный 8 3 3 5 2 2 2 2" xfId="35160"/>
    <cellStyle name="Обычный 8 3 3 5 2 2 2 2 2" xfId="49980"/>
    <cellStyle name="Обычный 8 3 3 5 2 2 2 3" xfId="42688"/>
    <cellStyle name="Обычный 8 3 3 5 2 2 3" xfId="31506"/>
    <cellStyle name="Обычный 8 3 3 5 2 2 3 2" xfId="46329"/>
    <cellStyle name="Обычный 8 3 3 5 2 2 4" xfId="39004"/>
    <cellStyle name="Обычный 8 3 3 5 2 2 5" xfId="24191"/>
    <cellStyle name="Обычный 8 3 3 5 2 3" xfId="26023"/>
    <cellStyle name="Обычный 8 3 3 5 2 3 2" xfId="33334"/>
    <cellStyle name="Обычный 8 3 3 5 2 3 2 2" xfId="48154"/>
    <cellStyle name="Обычный 8 3 3 5 2 3 3" xfId="40867"/>
    <cellStyle name="Обычный 8 3 3 5 2 4" xfId="29680"/>
    <cellStyle name="Обычный 8 3 3 5 2 4 2" xfId="44504"/>
    <cellStyle name="Обычный 8 3 3 5 2 5" xfId="37281"/>
    <cellStyle name="Обычный 8 3 3 5 2 6" xfId="22362"/>
    <cellStyle name="Обычный 8 3 3 5 3" xfId="19574"/>
    <cellStyle name="Обычный 8 3 3 5 3 2" xfId="26943"/>
    <cellStyle name="Обычный 8 3 3 5 3 2 2" xfId="34254"/>
    <cellStyle name="Обычный 8 3 3 5 3 2 2 2" xfId="49074"/>
    <cellStyle name="Обычный 8 3 3 5 3 2 3" xfId="41783"/>
    <cellStyle name="Обычный 8 3 3 5 3 3" xfId="30600"/>
    <cellStyle name="Обычный 8 3 3 5 3 3 2" xfId="45423"/>
    <cellStyle name="Обычный 8 3 3 5 3 4" xfId="38097"/>
    <cellStyle name="Обычный 8 3 3 5 3 5" xfId="23285"/>
    <cellStyle name="Обычный 8 3 3 5 4" xfId="25102"/>
    <cellStyle name="Обычный 8 3 3 5 4 2" xfId="32413"/>
    <cellStyle name="Обычный 8 3 3 5 4 2 2" xfId="47236"/>
    <cellStyle name="Обычный 8 3 3 5 4 3" xfId="39996"/>
    <cellStyle name="Обычный 8 3 3 5 5" xfId="28759"/>
    <cellStyle name="Обычный 8 3 3 5 5 2" xfId="43596"/>
    <cellStyle name="Обычный 8 3 3 5 6" xfId="36432"/>
    <cellStyle name="Обычный 8 3 3 5 7" xfId="21441"/>
    <cellStyle name="Обычный 8 3 3 6" xfId="18559"/>
    <cellStyle name="Обычный 8 3 3 6 2" xfId="20441"/>
    <cellStyle name="Обычный 8 3 3 6 2 2" xfId="27767"/>
    <cellStyle name="Обычный 8 3 3 6 2 2 2" xfId="35078"/>
    <cellStyle name="Обычный 8 3 3 6 2 2 2 2" xfId="49898"/>
    <cellStyle name="Обычный 8 3 3 6 2 2 3" xfId="42606"/>
    <cellStyle name="Обычный 8 3 3 6 2 3" xfId="31424"/>
    <cellStyle name="Обычный 8 3 3 6 2 3 2" xfId="46247"/>
    <cellStyle name="Обычный 8 3 3 6 2 4" xfId="38922"/>
    <cellStyle name="Обычный 8 3 3 6 2 5" xfId="24109"/>
    <cellStyle name="Обычный 8 3 3 6 3" xfId="25941"/>
    <cellStyle name="Обычный 8 3 3 6 3 2" xfId="33252"/>
    <cellStyle name="Обычный 8 3 3 6 3 2 2" xfId="48072"/>
    <cellStyle name="Обычный 8 3 3 6 3 3" xfId="40786"/>
    <cellStyle name="Обычный 8 3 3 6 4" xfId="29598"/>
    <cellStyle name="Обычный 8 3 3 6 4 2" xfId="44422"/>
    <cellStyle name="Обычный 8 3 3 6 5" xfId="37199"/>
    <cellStyle name="Обычный 8 3 3 6 6" xfId="22280"/>
    <cellStyle name="Обычный 8 3 3 7" xfId="19127"/>
    <cellStyle name="Обычный 8 3 3 7 2" xfId="26499"/>
    <cellStyle name="Обычный 8 3 3 7 2 2" xfId="33810"/>
    <cellStyle name="Обычный 8 3 3 7 2 2 2" xfId="48630"/>
    <cellStyle name="Обычный 8 3 3 7 2 3" xfId="41339"/>
    <cellStyle name="Обычный 8 3 3 7 3" xfId="30156"/>
    <cellStyle name="Обычный 8 3 3 7 3 2" xfId="44979"/>
    <cellStyle name="Обычный 8 3 3 7 4" xfId="37653"/>
    <cellStyle name="Обычный 8 3 3 7 5" xfId="22841"/>
    <cellStyle name="Обычный 8 3 3 8" xfId="24652"/>
    <cellStyle name="Обычный 8 3 3 8 2" xfId="31963"/>
    <cellStyle name="Обычный 8 3 3 8 2 2" xfId="46786"/>
    <cellStyle name="Обычный 8 3 3 8 3" xfId="39572"/>
    <cellStyle name="Обычный 8 3 3 9" xfId="28309"/>
    <cellStyle name="Обычный 8 3 3 9 2" xfId="43146"/>
    <cellStyle name="Обычный 8 3 4" xfId="17232"/>
    <cellStyle name="Обычный 8 3 4 10" xfId="21019"/>
    <cellStyle name="Обычный 8 3 4 2" xfId="17444"/>
    <cellStyle name="Обычный 8 3 4 2 2" xfId="17894"/>
    <cellStyle name="Обычный 8 3 4 2 2 2" xfId="19008"/>
    <cellStyle name="Обычный 8 3 4 2 2 2 2" xfId="20887"/>
    <cellStyle name="Обычный 8 3 4 2 2 2 2 2" xfId="24555"/>
    <cellStyle name="Обычный 8 3 4 2 2 2 2 2 2" xfId="28213"/>
    <cellStyle name="Обычный 8 3 4 2 2 2 2 2 2 2" xfId="35524"/>
    <cellStyle name="Обычный 8 3 4 2 2 2 2 2 2 2 2" xfId="50344"/>
    <cellStyle name="Обычный 8 3 4 2 2 2 2 2 2 3" xfId="43052"/>
    <cellStyle name="Обычный 8 3 4 2 2 2 2 2 3" xfId="31870"/>
    <cellStyle name="Обычный 8 3 4 2 2 2 2 2 3 2" xfId="46693"/>
    <cellStyle name="Обычный 8 3 4 2 2 2 2 2 4" xfId="39488"/>
    <cellStyle name="Обычный 8 3 4 2 2 2 2 3" xfId="26387"/>
    <cellStyle name="Обычный 8 3 4 2 2 2 2 3 2" xfId="33698"/>
    <cellStyle name="Обычный 8 3 4 2 2 2 2 3 2 2" xfId="48518"/>
    <cellStyle name="Обычный 8 3 4 2 2 2 2 3 3" xfId="41231"/>
    <cellStyle name="Обычный 8 3 4 2 2 2 2 4" xfId="30044"/>
    <cellStyle name="Обычный 8 3 4 2 2 2 2 4 2" xfId="44868"/>
    <cellStyle name="Обычный 8 3 4 2 2 2 2 5" xfId="39368"/>
    <cellStyle name="Обычный 8 3 4 2 2 2 2 6" xfId="22726"/>
    <cellStyle name="Обычный 8 3 4 2 2 2 3" xfId="19938"/>
    <cellStyle name="Обычный 8 3 4 2 2 2 3 2" xfId="27307"/>
    <cellStyle name="Обычный 8 3 4 2 2 2 3 2 2" xfId="34618"/>
    <cellStyle name="Обычный 8 3 4 2 2 2 3 2 2 2" xfId="49438"/>
    <cellStyle name="Обычный 8 3 4 2 2 2 3 2 3" xfId="42147"/>
    <cellStyle name="Обычный 8 3 4 2 2 2 3 3" xfId="30964"/>
    <cellStyle name="Обычный 8 3 4 2 2 2 3 3 2" xfId="45787"/>
    <cellStyle name="Обычный 8 3 4 2 2 2 3 4" xfId="38461"/>
    <cellStyle name="Обычный 8 3 4 2 2 2 3 5" xfId="23649"/>
    <cellStyle name="Обычный 8 3 4 2 2 2 4" xfId="25466"/>
    <cellStyle name="Обычный 8 3 4 2 2 2 4 2" xfId="32777"/>
    <cellStyle name="Обычный 8 3 4 2 2 2 4 2 2" xfId="47600"/>
    <cellStyle name="Обычный 8 3 4 2 2 2 4 3" xfId="40354"/>
    <cellStyle name="Обычный 8 3 4 2 2 2 5" xfId="29123"/>
    <cellStyle name="Обычный 8 3 4 2 2 2 5 2" xfId="43960"/>
    <cellStyle name="Обычный 8 3 4 2 2 2 6" xfId="36442"/>
    <cellStyle name="Обычный 8 3 4 2 2 2 7" xfId="21805"/>
    <cellStyle name="Обычный 8 3 4 2 2 3" xfId="18569"/>
    <cellStyle name="Обычный 8 3 4 2 2 3 2" xfId="20451"/>
    <cellStyle name="Обычный 8 3 4 2 2 3 2 2" xfId="27777"/>
    <cellStyle name="Обычный 8 3 4 2 2 3 2 2 2" xfId="35088"/>
    <cellStyle name="Обычный 8 3 4 2 2 3 2 2 2 2" xfId="49908"/>
    <cellStyle name="Обычный 8 3 4 2 2 3 2 2 3" xfId="42616"/>
    <cellStyle name="Обычный 8 3 4 2 2 3 2 3" xfId="31434"/>
    <cellStyle name="Обычный 8 3 4 2 2 3 2 3 2" xfId="46257"/>
    <cellStyle name="Обычный 8 3 4 2 2 3 2 4" xfId="38932"/>
    <cellStyle name="Обычный 8 3 4 2 2 3 2 5" xfId="24119"/>
    <cellStyle name="Обычный 8 3 4 2 2 3 3" xfId="25951"/>
    <cellStyle name="Обычный 8 3 4 2 2 3 3 2" xfId="33262"/>
    <cellStyle name="Обычный 8 3 4 2 2 3 3 2 2" xfId="48082"/>
    <cellStyle name="Обычный 8 3 4 2 2 3 3 3" xfId="40796"/>
    <cellStyle name="Обычный 8 3 4 2 2 3 4" xfId="29608"/>
    <cellStyle name="Обычный 8 3 4 2 2 3 4 2" xfId="44432"/>
    <cellStyle name="Обычный 8 3 4 2 2 3 5" xfId="37209"/>
    <cellStyle name="Обычный 8 3 4 2 2 3 6" xfId="22290"/>
    <cellStyle name="Обычный 8 3 4 2 2 4" xfId="19487"/>
    <cellStyle name="Обычный 8 3 4 2 2 4 2" xfId="26857"/>
    <cellStyle name="Обычный 8 3 4 2 2 4 2 2" xfId="34168"/>
    <cellStyle name="Обычный 8 3 4 2 2 4 2 2 2" xfId="48988"/>
    <cellStyle name="Обычный 8 3 4 2 2 4 2 3" xfId="41697"/>
    <cellStyle name="Обычный 8 3 4 2 2 4 3" xfId="30514"/>
    <cellStyle name="Обычный 8 3 4 2 2 4 3 2" xfId="45337"/>
    <cellStyle name="Обычный 8 3 4 2 2 4 4" xfId="38011"/>
    <cellStyle name="Обычный 8 3 4 2 2 4 5" xfId="23199"/>
    <cellStyle name="Обычный 8 3 4 2 2 5" xfId="25016"/>
    <cellStyle name="Обычный 8 3 4 2 2 5 2" xfId="32327"/>
    <cellStyle name="Обычный 8 3 4 2 2 5 2 2" xfId="47150"/>
    <cellStyle name="Обычный 8 3 4 2 2 5 3" xfId="39911"/>
    <cellStyle name="Обычный 8 3 4 2 2 6" xfId="28673"/>
    <cellStyle name="Обычный 8 3 4 2 2 6 2" xfId="43510"/>
    <cellStyle name="Обычный 8 3 4 2 2 7" xfId="35993"/>
    <cellStyle name="Обычный 8 3 4 2 2 8" xfId="21355"/>
    <cellStyle name="Обычный 8 3 4 2 3" xfId="17670"/>
    <cellStyle name="Обычный 8 3 4 2 3 2" xfId="18784"/>
    <cellStyle name="Обычный 8 3 4 2 3 2 2" xfId="20663"/>
    <cellStyle name="Обычный 8 3 4 2 3 2 2 2" xfId="27989"/>
    <cellStyle name="Обычный 8 3 4 2 3 2 2 2 2" xfId="35300"/>
    <cellStyle name="Обычный 8 3 4 2 3 2 2 2 2 2" xfId="50120"/>
    <cellStyle name="Обычный 8 3 4 2 3 2 2 2 3" xfId="42828"/>
    <cellStyle name="Обычный 8 3 4 2 3 2 2 3" xfId="31646"/>
    <cellStyle name="Обычный 8 3 4 2 3 2 2 3 2" xfId="46469"/>
    <cellStyle name="Обычный 8 3 4 2 3 2 2 4" xfId="39144"/>
    <cellStyle name="Обычный 8 3 4 2 3 2 2 5" xfId="24331"/>
    <cellStyle name="Обычный 8 3 4 2 3 2 3" xfId="26163"/>
    <cellStyle name="Обычный 8 3 4 2 3 2 3 2" xfId="33474"/>
    <cellStyle name="Обычный 8 3 4 2 3 2 3 2 2" xfId="48294"/>
    <cellStyle name="Обычный 8 3 4 2 3 2 3 3" xfId="41007"/>
    <cellStyle name="Обычный 8 3 4 2 3 2 4" xfId="29820"/>
    <cellStyle name="Обычный 8 3 4 2 3 2 4 2" xfId="44644"/>
    <cellStyle name="Обычный 8 3 4 2 3 2 5" xfId="37421"/>
    <cellStyle name="Обычный 8 3 4 2 3 2 6" xfId="22502"/>
    <cellStyle name="Обычный 8 3 4 2 3 3" xfId="19714"/>
    <cellStyle name="Обычный 8 3 4 2 3 3 2" xfId="27083"/>
    <cellStyle name="Обычный 8 3 4 2 3 3 2 2" xfId="34394"/>
    <cellStyle name="Обычный 8 3 4 2 3 3 2 2 2" xfId="49214"/>
    <cellStyle name="Обычный 8 3 4 2 3 3 2 3" xfId="41923"/>
    <cellStyle name="Обычный 8 3 4 2 3 3 3" xfId="30740"/>
    <cellStyle name="Обычный 8 3 4 2 3 3 3 2" xfId="45563"/>
    <cellStyle name="Обычный 8 3 4 2 3 3 4" xfId="38237"/>
    <cellStyle name="Обычный 8 3 4 2 3 3 5" xfId="23425"/>
    <cellStyle name="Обычный 8 3 4 2 3 4" xfId="25242"/>
    <cellStyle name="Обычный 8 3 4 2 3 4 2" xfId="32553"/>
    <cellStyle name="Обычный 8 3 4 2 3 4 2 2" xfId="47376"/>
    <cellStyle name="Обычный 8 3 4 2 3 4 3" xfId="40134"/>
    <cellStyle name="Обычный 8 3 4 2 3 5" xfId="28899"/>
    <cellStyle name="Обычный 8 3 4 2 3 5 2" xfId="43736"/>
    <cellStyle name="Обычный 8 3 4 2 3 6" xfId="36441"/>
    <cellStyle name="Обычный 8 3 4 2 3 7" xfId="21581"/>
    <cellStyle name="Обычный 8 3 4 2 4" xfId="18568"/>
    <cellStyle name="Обычный 8 3 4 2 4 2" xfId="20450"/>
    <cellStyle name="Обычный 8 3 4 2 4 2 2" xfId="27776"/>
    <cellStyle name="Обычный 8 3 4 2 4 2 2 2" xfId="35087"/>
    <cellStyle name="Обычный 8 3 4 2 4 2 2 2 2" xfId="49907"/>
    <cellStyle name="Обычный 8 3 4 2 4 2 2 3" xfId="42615"/>
    <cellStyle name="Обычный 8 3 4 2 4 2 3" xfId="31433"/>
    <cellStyle name="Обычный 8 3 4 2 4 2 3 2" xfId="46256"/>
    <cellStyle name="Обычный 8 3 4 2 4 2 4" xfId="38931"/>
    <cellStyle name="Обычный 8 3 4 2 4 2 5" xfId="24118"/>
    <cellStyle name="Обычный 8 3 4 2 4 3" xfId="25950"/>
    <cellStyle name="Обычный 8 3 4 2 4 3 2" xfId="33261"/>
    <cellStyle name="Обычный 8 3 4 2 4 3 2 2" xfId="48081"/>
    <cellStyle name="Обычный 8 3 4 2 4 3 3" xfId="40795"/>
    <cellStyle name="Обычный 8 3 4 2 4 4" xfId="29607"/>
    <cellStyle name="Обычный 8 3 4 2 4 4 2" xfId="44431"/>
    <cellStyle name="Обычный 8 3 4 2 4 5" xfId="37208"/>
    <cellStyle name="Обычный 8 3 4 2 4 6" xfId="22289"/>
    <cellStyle name="Обычный 8 3 4 2 5" xfId="19264"/>
    <cellStyle name="Обычный 8 3 4 2 5 2" xfId="26634"/>
    <cellStyle name="Обычный 8 3 4 2 5 2 2" xfId="33945"/>
    <cellStyle name="Обычный 8 3 4 2 5 2 2 2" xfId="48765"/>
    <cellStyle name="Обычный 8 3 4 2 5 2 3" xfId="41474"/>
    <cellStyle name="Обычный 8 3 4 2 5 3" xfId="30291"/>
    <cellStyle name="Обычный 8 3 4 2 5 3 2" xfId="45114"/>
    <cellStyle name="Обычный 8 3 4 2 5 4" xfId="37788"/>
    <cellStyle name="Обычный 8 3 4 2 5 5" xfId="22976"/>
    <cellStyle name="Обычный 8 3 4 2 6" xfId="24792"/>
    <cellStyle name="Обычный 8 3 4 2 6 2" xfId="32103"/>
    <cellStyle name="Обычный 8 3 4 2 6 2 2" xfId="46926"/>
    <cellStyle name="Обычный 8 3 4 2 6 3" xfId="39691"/>
    <cellStyle name="Обычный 8 3 4 2 7" xfId="28449"/>
    <cellStyle name="Обычный 8 3 4 2 7 2" xfId="43286"/>
    <cellStyle name="Обычный 8 3 4 2 8" xfId="35992"/>
    <cellStyle name="Обычный 8 3 4 2 9" xfId="21131"/>
    <cellStyle name="Обычный 8 3 4 3" xfId="17329"/>
    <cellStyle name="Обычный 8 3 4 3 2" xfId="17782"/>
    <cellStyle name="Обычный 8 3 4 3 2 2" xfId="18896"/>
    <cellStyle name="Обычный 8 3 4 3 2 2 2" xfId="20775"/>
    <cellStyle name="Обычный 8 3 4 3 2 2 2 2" xfId="28101"/>
    <cellStyle name="Обычный 8 3 4 3 2 2 2 2 2" xfId="35412"/>
    <cellStyle name="Обычный 8 3 4 3 2 2 2 2 2 2" xfId="50232"/>
    <cellStyle name="Обычный 8 3 4 3 2 2 2 2 3" xfId="42940"/>
    <cellStyle name="Обычный 8 3 4 3 2 2 2 3" xfId="31758"/>
    <cellStyle name="Обычный 8 3 4 3 2 2 2 3 2" xfId="46581"/>
    <cellStyle name="Обычный 8 3 4 3 2 2 2 4" xfId="39256"/>
    <cellStyle name="Обычный 8 3 4 3 2 2 2 5" xfId="24443"/>
    <cellStyle name="Обычный 8 3 4 3 2 2 3" xfId="26275"/>
    <cellStyle name="Обычный 8 3 4 3 2 2 3 2" xfId="33586"/>
    <cellStyle name="Обычный 8 3 4 3 2 2 3 2 2" xfId="48406"/>
    <cellStyle name="Обычный 8 3 4 3 2 2 3 3" xfId="41119"/>
    <cellStyle name="Обычный 8 3 4 3 2 2 4" xfId="29932"/>
    <cellStyle name="Обычный 8 3 4 3 2 2 4 2" xfId="44756"/>
    <cellStyle name="Обычный 8 3 4 3 2 2 5" xfId="37532"/>
    <cellStyle name="Обычный 8 3 4 3 2 2 6" xfId="22614"/>
    <cellStyle name="Обычный 8 3 4 3 2 3" xfId="19826"/>
    <cellStyle name="Обычный 8 3 4 3 2 3 2" xfId="27195"/>
    <cellStyle name="Обычный 8 3 4 3 2 3 2 2" xfId="34506"/>
    <cellStyle name="Обычный 8 3 4 3 2 3 2 2 2" xfId="49326"/>
    <cellStyle name="Обычный 8 3 4 3 2 3 2 3" xfId="42035"/>
    <cellStyle name="Обычный 8 3 4 3 2 3 3" xfId="30852"/>
    <cellStyle name="Обычный 8 3 4 3 2 3 3 2" xfId="45675"/>
    <cellStyle name="Обычный 8 3 4 3 2 3 4" xfId="38349"/>
    <cellStyle name="Обычный 8 3 4 3 2 3 5" xfId="23537"/>
    <cellStyle name="Обычный 8 3 4 3 2 4" xfId="25354"/>
    <cellStyle name="Обычный 8 3 4 3 2 4 2" xfId="32665"/>
    <cellStyle name="Обычный 8 3 4 3 2 4 2 2" xfId="47488"/>
    <cellStyle name="Обычный 8 3 4 3 2 4 3" xfId="40242"/>
    <cellStyle name="Обычный 8 3 4 3 2 5" xfId="29011"/>
    <cellStyle name="Обычный 8 3 4 3 2 5 2" xfId="43848"/>
    <cellStyle name="Обычный 8 3 4 3 2 6" xfId="36443"/>
    <cellStyle name="Обычный 8 3 4 3 2 7" xfId="21693"/>
    <cellStyle name="Обычный 8 3 4 3 3" xfId="18570"/>
    <cellStyle name="Обычный 8 3 4 3 3 2" xfId="20452"/>
    <cellStyle name="Обычный 8 3 4 3 3 2 2" xfId="27778"/>
    <cellStyle name="Обычный 8 3 4 3 3 2 2 2" xfId="35089"/>
    <cellStyle name="Обычный 8 3 4 3 3 2 2 2 2" xfId="49909"/>
    <cellStyle name="Обычный 8 3 4 3 3 2 2 3" xfId="42617"/>
    <cellStyle name="Обычный 8 3 4 3 3 2 3" xfId="31435"/>
    <cellStyle name="Обычный 8 3 4 3 3 2 3 2" xfId="46258"/>
    <cellStyle name="Обычный 8 3 4 3 3 2 4" xfId="38933"/>
    <cellStyle name="Обычный 8 3 4 3 3 2 5" xfId="24120"/>
    <cellStyle name="Обычный 8 3 4 3 3 3" xfId="25952"/>
    <cellStyle name="Обычный 8 3 4 3 3 3 2" xfId="33263"/>
    <cellStyle name="Обычный 8 3 4 3 3 3 2 2" xfId="48083"/>
    <cellStyle name="Обычный 8 3 4 3 3 3 3" xfId="40797"/>
    <cellStyle name="Обычный 8 3 4 3 3 4" xfId="29609"/>
    <cellStyle name="Обычный 8 3 4 3 3 4 2" xfId="44433"/>
    <cellStyle name="Обычный 8 3 4 3 3 5" xfId="37210"/>
    <cellStyle name="Обычный 8 3 4 3 3 6" xfId="22291"/>
    <cellStyle name="Обычный 8 3 4 3 4" xfId="19375"/>
    <cellStyle name="Обычный 8 3 4 3 4 2" xfId="26745"/>
    <cellStyle name="Обычный 8 3 4 3 4 2 2" xfId="34056"/>
    <cellStyle name="Обычный 8 3 4 3 4 2 2 2" xfId="48876"/>
    <cellStyle name="Обычный 8 3 4 3 4 2 3" xfId="41585"/>
    <cellStyle name="Обычный 8 3 4 3 4 3" xfId="30402"/>
    <cellStyle name="Обычный 8 3 4 3 4 3 2" xfId="45225"/>
    <cellStyle name="Обычный 8 3 4 3 4 4" xfId="37899"/>
    <cellStyle name="Обычный 8 3 4 3 4 5" xfId="23087"/>
    <cellStyle name="Обычный 8 3 4 3 5" xfId="24904"/>
    <cellStyle name="Обычный 8 3 4 3 5 2" xfId="32215"/>
    <cellStyle name="Обычный 8 3 4 3 5 2 2" xfId="47038"/>
    <cellStyle name="Обычный 8 3 4 3 5 3" xfId="39799"/>
    <cellStyle name="Обычный 8 3 4 3 6" xfId="28561"/>
    <cellStyle name="Обычный 8 3 4 3 6 2" xfId="43398"/>
    <cellStyle name="Обычный 8 3 4 3 7" xfId="35994"/>
    <cellStyle name="Обычный 8 3 4 3 8" xfId="21243"/>
    <cellStyle name="Обычный 8 3 4 4" xfId="17558"/>
    <cellStyle name="Обычный 8 3 4 4 2" xfId="18672"/>
    <cellStyle name="Обычный 8 3 4 4 2 2" xfId="20551"/>
    <cellStyle name="Обычный 8 3 4 4 2 2 2" xfId="27877"/>
    <cellStyle name="Обычный 8 3 4 4 2 2 2 2" xfId="35188"/>
    <cellStyle name="Обычный 8 3 4 4 2 2 2 2 2" xfId="50008"/>
    <cellStyle name="Обычный 8 3 4 4 2 2 2 3" xfId="42716"/>
    <cellStyle name="Обычный 8 3 4 4 2 2 3" xfId="31534"/>
    <cellStyle name="Обычный 8 3 4 4 2 2 3 2" xfId="46357"/>
    <cellStyle name="Обычный 8 3 4 4 2 2 4" xfId="39032"/>
    <cellStyle name="Обычный 8 3 4 4 2 2 5" xfId="24219"/>
    <cellStyle name="Обычный 8 3 4 4 2 3" xfId="26051"/>
    <cellStyle name="Обычный 8 3 4 4 2 3 2" xfId="33362"/>
    <cellStyle name="Обычный 8 3 4 4 2 3 2 2" xfId="48182"/>
    <cellStyle name="Обычный 8 3 4 4 2 3 3" xfId="40895"/>
    <cellStyle name="Обычный 8 3 4 4 2 4" xfId="29708"/>
    <cellStyle name="Обычный 8 3 4 4 2 4 2" xfId="44532"/>
    <cellStyle name="Обычный 8 3 4 4 2 5" xfId="37309"/>
    <cellStyle name="Обычный 8 3 4 4 2 6" xfId="22390"/>
    <cellStyle name="Обычный 8 3 4 4 3" xfId="19602"/>
    <cellStyle name="Обычный 8 3 4 4 3 2" xfId="26971"/>
    <cellStyle name="Обычный 8 3 4 4 3 2 2" xfId="34282"/>
    <cellStyle name="Обычный 8 3 4 4 3 2 2 2" xfId="49102"/>
    <cellStyle name="Обычный 8 3 4 4 3 2 3" xfId="41811"/>
    <cellStyle name="Обычный 8 3 4 4 3 3" xfId="30628"/>
    <cellStyle name="Обычный 8 3 4 4 3 3 2" xfId="45451"/>
    <cellStyle name="Обычный 8 3 4 4 3 4" xfId="38125"/>
    <cellStyle name="Обычный 8 3 4 4 3 5" xfId="23313"/>
    <cellStyle name="Обычный 8 3 4 4 4" xfId="25130"/>
    <cellStyle name="Обычный 8 3 4 4 4 2" xfId="32441"/>
    <cellStyle name="Обычный 8 3 4 4 4 2 2" xfId="47264"/>
    <cellStyle name="Обычный 8 3 4 4 4 3" xfId="40024"/>
    <cellStyle name="Обычный 8 3 4 4 5" xfId="28787"/>
    <cellStyle name="Обычный 8 3 4 4 5 2" xfId="43624"/>
    <cellStyle name="Обычный 8 3 4 4 6" xfId="36440"/>
    <cellStyle name="Обычный 8 3 4 4 7" xfId="21469"/>
    <cellStyle name="Обычный 8 3 4 5" xfId="18098"/>
    <cellStyle name="Обычный 8 3 4 5 2" xfId="20449"/>
    <cellStyle name="Обычный 8 3 4 5 2 2" xfId="27775"/>
    <cellStyle name="Обычный 8 3 4 5 2 2 2" xfId="35086"/>
    <cellStyle name="Обычный 8 3 4 5 2 2 2 2" xfId="49906"/>
    <cellStyle name="Обычный 8 3 4 5 2 2 3" xfId="42614"/>
    <cellStyle name="Обычный 8 3 4 5 2 3" xfId="31432"/>
    <cellStyle name="Обычный 8 3 4 5 2 3 2" xfId="46255"/>
    <cellStyle name="Обычный 8 3 4 5 2 4" xfId="38930"/>
    <cellStyle name="Обычный 8 3 4 5 2 5" xfId="24117"/>
    <cellStyle name="Обычный 8 3 4 5 3" xfId="25949"/>
    <cellStyle name="Обычный 8 3 4 5 3 2" xfId="33260"/>
    <cellStyle name="Обычный 8 3 4 5 3 2 2" xfId="48080"/>
    <cellStyle name="Обычный 8 3 4 5 3 3" xfId="40794"/>
    <cellStyle name="Обычный 8 3 4 5 4" xfId="29606"/>
    <cellStyle name="Обычный 8 3 4 5 4 2" xfId="44430"/>
    <cellStyle name="Обычный 8 3 4 5 5" xfId="36754"/>
    <cellStyle name="Обычный 8 3 4 5 6" xfId="22288"/>
    <cellStyle name="Обычный 8 3 4 6" xfId="18567"/>
    <cellStyle name="Обычный 8 3 4 6 2" xfId="26526"/>
    <cellStyle name="Обычный 8 3 4 6 2 2" xfId="33837"/>
    <cellStyle name="Обычный 8 3 4 6 2 2 2" xfId="48657"/>
    <cellStyle name="Обычный 8 3 4 6 2 3" xfId="41366"/>
    <cellStyle name="Обычный 8 3 4 6 3" xfId="30183"/>
    <cellStyle name="Обычный 8 3 4 6 3 2" xfId="45006"/>
    <cellStyle name="Обычный 8 3 4 6 4" xfId="37207"/>
    <cellStyle name="Обычный 8 3 4 6 5" xfId="22868"/>
    <cellStyle name="Обычный 8 3 4 7" xfId="19155"/>
    <cellStyle name="Обычный 8 3 4 7 2" xfId="31991"/>
    <cellStyle name="Обычный 8 3 4 7 2 2" xfId="46814"/>
    <cellStyle name="Обычный 8 3 4 7 3" xfId="37680"/>
    <cellStyle name="Обычный 8 3 4 7 4" xfId="24680"/>
    <cellStyle name="Обычный 8 3 4 8" xfId="28337"/>
    <cellStyle name="Обычный 8 3 4 8 2" xfId="43174"/>
    <cellStyle name="Обычный 8 3 4 8 3" xfId="36655"/>
    <cellStyle name="Обычный 8 3 4 9" xfId="35991"/>
    <cellStyle name="Обычный 8 3 5" xfId="17165"/>
    <cellStyle name="Обычный 8 3 5 2" xfId="17388"/>
    <cellStyle name="Обычный 8 3 5 2 2" xfId="17838"/>
    <cellStyle name="Обычный 8 3 5 2 2 2" xfId="18952"/>
    <cellStyle name="Обычный 8 3 5 2 2 2 2" xfId="20831"/>
    <cellStyle name="Обычный 8 3 5 2 2 2 2 2" xfId="28157"/>
    <cellStyle name="Обычный 8 3 5 2 2 2 2 2 2" xfId="35468"/>
    <cellStyle name="Обычный 8 3 5 2 2 2 2 2 2 2" xfId="50288"/>
    <cellStyle name="Обычный 8 3 5 2 2 2 2 2 3" xfId="42996"/>
    <cellStyle name="Обычный 8 3 5 2 2 2 2 3" xfId="31814"/>
    <cellStyle name="Обычный 8 3 5 2 2 2 2 3 2" xfId="46637"/>
    <cellStyle name="Обычный 8 3 5 2 2 2 2 4" xfId="39312"/>
    <cellStyle name="Обычный 8 3 5 2 2 2 2 5" xfId="24499"/>
    <cellStyle name="Обычный 8 3 5 2 2 2 3" xfId="26331"/>
    <cellStyle name="Обычный 8 3 5 2 2 2 3 2" xfId="33642"/>
    <cellStyle name="Обычный 8 3 5 2 2 2 3 2 2" xfId="48462"/>
    <cellStyle name="Обычный 8 3 5 2 2 2 3 3" xfId="41175"/>
    <cellStyle name="Обычный 8 3 5 2 2 2 4" xfId="29988"/>
    <cellStyle name="Обычный 8 3 5 2 2 2 4 2" xfId="44812"/>
    <cellStyle name="Обычный 8 3 5 2 2 2 5" xfId="37565"/>
    <cellStyle name="Обычный 8 3 5 2 2 2 6" xfId="22670"/>
    <cellStyle name="Обычный 8 3 5 2 2 3" xfId="19882"/>
    <cellStyle name="Обычный 8 3 5 2 2 3 2" xfId="27251"/>
    <cellStyle name="Обычный 8 3 5 2 2 3 2 2" xfId="34562"/>
    <cellStyle name="Обычный 8 3 5 2 2 3 2 2 2" xfId="49382"/>
    <cellStyle name="Обычный 8 3 5 2 2 3 2 3" xfId="42091"/>
    <cellStyle name="Обычный 8 3 5 2 2 3 3" xfId="30908"/>
    <cellStyle name="Обычный 8 3 5 2 2 3 3 2" xfId="45731"/>
    <cellStyle name="Обычный 8 3 5 2 2 3 4" xfId="38405"/>
    <cellStyle name="Обычный 8 3 5 2 2 3 5" xfId="23593"/>
    <cellStyle name="Обычный 8 3 5 2 2 4" xfId="25410"/>
    <cellStyle name="Обычный 8 3 5 2 2 4 2" xfId="32721"/>
    <cellStyle name="Обычный 8 3 5 2 2 4 2 2" xfId="47544"/>
    <cellStyle name="Обычный 8 3 5 2 2 4 3" xfId="40298"/>
    <cellStyle name="Обычный 8 3 5 2 2 5" xfId="29067"/>
    <cellStyle name="Обычный 8 3 5 2 2 5 2" xfId="43904"/>
    <cellStyle name="Обычный 8 3 5 2 2 6" xfId="36445"/>
    <cellStyle name="Обычный 8 3 5 2 2 7" xfId="21749"/>
    <cellStyle name="Обычный 8 3 5 2 3" xfId="18572"/>
    <cellStyle name="Обычный 8 3 5 2 3 2" xfId="20454"/>
    <cellStyle name="Обычный 8 3 5 2 3 2 2" xfId="27780"/>
    <cellStyle name="Обычный 8 3 5 2 3 2 2 2" xfId="35091"/>
    <cellStyle name="Обычный 8 3 5 2 3 2 2 2 2" xfId="49911"/>
    <cellStyle name="Обычный 8 3 5 2 3 2 2 3" xfId="42619"/>
    <cellStyle name="Обычный 8 3 5 2 3 2 3" xfId="31437"/>
    <cellStyle name="Обычный 8 3 5 2 3 2 3 2" xfId="46260"/>
    <cellStyle name="Обычный 8 3 5 2 3 2 4" xfId="38935"/>
    <cellStyle name="Обычный 8 3 5 2 3 2 5" xfId="24122"/>
    <cellStyle name="Обычный 8 3 5 2 3 3" xfId="25954"/>
    <cellStyle name="Обычный 8 3 5 2 3 3 2" xfId="33265"/>
    <cellStyle name="Обычный 8 3 5 2 3 3 2 2" xfId="48085"/>
    <cellStyle name="Обычный 8 3 5 2 3 3 3" xfId="40799"/>
    <cellStyle name="Обычный 8 3 5 2 3 4" xfId="29611"/>
    <cellStyle name="Обычный 8 3 5 2 3 4 2" xfId="44435"/>
    <cellStyle name="Обычный 8 3 5 2 3 5" xfId="37212"/>
    <cellStyle name="Обычный 8 3 5 2 3 6" xfId="22293"/>
    <cellStyle name="Обычный 8 3 5 2 4" xfId="19431"/>
    <cellStyle name="Обычный 8 3 5 2 4 2" xfId="26801"/>
    <cellStyle name="Обычный 8 3 5 2 4 2 2" xfId="34112"/>
    <cellStyle name="Обычный 8 3 5 2 4 2 2 2" xfId="48932"/>
    <cellStyle name="Обычный 8 3 5 2 4 2 3" xfId="41641"/>
    <cellStyle name="Обычный 8 3 5 2 4 3" xfId="30458"/>
    <cellStyle name="Обычный 8 3 5 2 4 3 2" xfId="45281"/>
    <cellStyle name="Обычный 8 3 5 2 4 4" xfId="37955"/>
    <cellStyle name="Обычный 8 3 5 2 4 5" xfId="23143"/>
    <cellStyle name="Обычный 8 3 5 2 5" xfId="24960"/>
    <cellStyle name="Обычный 8 3 5 2 5 2" xfId="32271"/>
    <cellStyle name="Обычный 8 3 5 2 5 2 2" xfId="47094"/>
    <cellStyle name="Обычный 8 3 5 2 5 3" xfId="39855"/>
    <cellStyle name="Обычный 8 3 5 2 6" xfId="28617"/>
    <cellStyle name="Обычный 8 3 5 2 6 2" xfId="43454"/>
    <cellStyle name="Обычный 8 3 5 2 7" xfId="35996"/>
    <cellStyle name="Обычный 8 3 5 2 8" xfId="21299"/>
    <cellStyle name="Обычный 8 3 5 3" xfId="17614"/>
    <cellStyle name="Обычный 8 3 5 3 2" xfId="18728"/>
    <cellStyle name="Обычный 8 3 5 3 2 2" xfId="20607"/>
    <cellStyle name="Обычный 8 3 5 3 2 2 2" xfId="27933"/>
    <cellStyle name="Обычный 8 3 5 3 2 2 2 2" xfId="35244"/>
    <cellStyle name="Обычный 8 3 5 3 2 2 2 2 2" xfId="50064"/>
    <cellStyle name="Обычный 8 3 5 3 2 2 2 3" xfId="42772"/>
    <cellStyle name="Обычный 8 3 5 3 2 2 3" xfId="31590"/>
    <cellStyle name="Обычный 8 3 5 3 2 2 3 2" xfId="46413"/>
    <cellStyle name="Обычный 8 3 5 3 2 2 4" xfId="39088"/>
    <cellStyle name="Обычный 8 3 5 3 2 2 5" xfId="24275"/>
    <cellStyle name="Обычный 8 3 5 3 2 3" xfId="26107"/>
    <cellStyle name="Обычный 8 3 5 3 2 3 2" xfId="33418"/>
    <cellStyle name="Обычный 8 3 5 3 2 3 2 2" xfId="48238"/>
    <cellStyle name="Обычный 8 3 5 3 2 3 3" xfId="40951"/>
    <cellStyle name="Обычный 8 3 5 3 2 4" xfId="29764"/>
    <cellStyle name="Обычный 8 3 5 3 2 4 2" xfId="44588"/>
    <cellStyle name="Обычный 8 3 5 3 2 5" xfId="37365"/>
    <cellStyle name="Обычный 8 3 5 3 2 6" xfId="22446"/>
    <cellStyle name="Обычный 8 3 5 3 3" xfId="19658"/>
    <cellStyle name="Обычный 8 3 5 3 3 2" xfId="27027"/>
    <cellStyle name="Обычный 8 3 5 3 3 2 2" xfId="34338"/>
    <cellStyle name="Обычный 8 3 5 3 3 2 2 2" xfId="49158"/>
    <cellStyle name="Обычный 8 3 5 3 3 2 3" xfId="41867"/>
    <cellStyle name="Обычный 8 3 5 3 3 3" xfId="30684"/>
    <cellStyle name="Обычный 8 3 5 3 3 3 2" xfId="45507"/>
    <cellStyle name="Обычный 8 3 5 3 3 4" xfId="38181"/>
    <cellStyle name="Обычный 8 3 5 3 3 5" xfId="23369"/>
    <cellStyle name="Обычный 8 3 5 3 4" xfId="25186"/>
    <cellStyle name="Обычный 8 3 5 3 4 2" xfId="32497"/>
    <cellStyle name="Обычный 8 3 5 3 4 2 2" xfId="47320"/>
    <cellStyle name="Обычный 8 3 5 3 4 3" xfId="40078"/>
    <cellStyle name="Обычный 8 3 5 3 5" xfId="28843"/>
    <cellStyle name="Обычный 8 3 5 3 5 2" xfId="43680"/>
    <cellStyle name="Обычный 8 3 5 3 6" xfId="36444"/>
    <cellStyle name="Обычный 8 3 5 3 7" xfId="21525"/>
    <cellStyle name="Обычный 8 3 5 4" xfId="18571"/>
    <cellStyle name="Обычный 8 3 5 4 2" xfId="20453"/>
    <cellStyle name="Обычный 8 3 5 4 2 2" xfId="27779"/>
    <cellStyle name="Обычный 8 3 5 4 2 2 2" xfId="35090"/>
    <cellStyle name="Обычный 8 3 5 4 2 2 2 2" xfId="49910"/>
    <cellStyle name="Обычный 8 3 5 4 2 2 3" xfId="42618"/>
    <cellStyle name="Обычный 8 3 5 4 2 3" xfId="31436"/>
    <cellStyle name="Обычный 8 3 5 4 2 3 2" xfId="46259"/>
    <cellStyle name="Обычный 8 3 5 4 2 4" xfId="38934"/>
    <cellStyle name="Обычный 8 3 5 4 2 5" xfId="24121"/>
    <cellStyle name="Обычный 8 3 5 4 3" xfId="25953"/>
    <cellStyle name="Обычный 8 3 5 4 3 2" xfId="33264"/>
    <cellStyle name="Обычный 8 3 5 4 3 2 2" xfId="48084"/>
    <cellStyle name="Обычный 8 3 5 4 3 3" xfId="40798"/>
    <cellStyle name="Обычный 8 3 5 4 4" xfId="29610"/>
    <cellStyle name="Обычный 8 3 5 4 4 2" xfId="44434"/>
    <cellStyle name="Обычный 8 3 5 4 5" xfId="37211"/>
    <cellStyle name="Обычный 8 3 5 4 6" xfId="22292"/>
    <cellStyle name="Обычный 8 3 5 5" xfId="19209"/>
    <cellStyle name="Обычный 8 3 5 5 2" xfId="26579"/>
    <cellStyle name="Обычный 8 3 5 5 2 2" xfId="33890"/>
    <cellStyle name="Обычный 8 3 5 5 2 2 2" xfId="48710"/>
    <cellStyle name="Обычный 8 3 5 5 2 3" xfId="41419"/>
    <cellStyle name="Обычный 8 3 5 5 3" xfId="30236"/>
    <cellStyle name="Обычный 8 3 5 5 3 2" xfId="45059"/>
    <cellStyle name="Обычный 8 3 5 5 4" xfId="37733"/>
    <cellStyle name="Обычный 8 3 5 5 5" xfId="22921"/>
    <cellStyle name="Обычный 8 3 5 6" xfId="24736"/>
    <cellStyle name="Обычный 8 3 5 6 2" xfId="32047"/>
    <cellStyle name="Обычный 8 3 5 6 2 2" xfId="46870"/>
    <cellStyle name="Обычный 8 3 5 6 3" xfId="39639"/>
    <cellStyle name="Обычный 8 3 5 7" xfId="28393"/>
    <cellStyle name="Обычный 8 3 5 7 2" xfId="43230"/>
    <cellStyle name="Обычный 8 3 5 8" xfId="35995"/>
    <cellStyle name="Обычный 8 3 5 9" xfId="21075"/>
    <cellStyle name="Обычный 8 3 6" xfId="17268"/>
    <cellStyle name="Обычный 8 3 6 2" xfId="17726"/>
    <cellStyle name="Обычный 8 3 6 2 2" xfId="18840"/>
    <cellStyle name="Обычный 8 3 6 2 2 2" xfId="20719"/>
    <cellStyle name="Обычный 8 3 6 2 2 2 2" xfId="28045"/>
    <cellStyle name="Обычный 8 3 6 2 2 2 2 2" xfId="35356"/>
    <cellStyle name="Обычный 8 3 6 2 2 2 2 2 2" xfId="50176"/>
    <cellStyle name="Обычный 8 3 6 2 2 2 2 3" xfId="42884"/>
    <cellStyle name="Обычный 8 3 6 2 2 2 3" xfId="31702"/>
    <cellStyle name="Обычный 8 3 6 2 2 2 3 2" xfId="46525"/>
    <cellStyle name="Обычный 8 3 6 2 2 2 4" xfId="39200"/>
    <cellStyle name="Обычный 8 3 6 2 2 2 5" xfId="24387"/>
    <cellStyle name="Обычный 8 3 6 2 2 3" xfId="26219"/>
    <cellStyle name="Обычный 8 3 6 2 2 3 2" xfId="33530"/>
    <cellStyle name="Обычный 8 3 6 2 2 3 2 2" xfId="48350"/>
    <cellStyle name="Обычный 8 3 6 2 2 3 3" xfId="41063"/>
    <cellStyle name="Обычный 8 3 6 2 2 4" xfId="29876"/>
    <cellStyle name="Обычный 8 3 6 2 2 4 2" xfId="44700"/>
    <cellStyle name="Обычный 8 3 6 2 2 5" xfId="37476"/>
    <cellStyle name="Обычный 8 3 6 2 2 6" xfId="22558"/>
    <cellStyle name="Обычный 8 3 6 2 3" xfId="19770"/>
    <cellStyle name="Обычный 8 3 6 2 3 2" xfId="27139"/>
    <cellStyle name="Обычный 8 3 6 2 3 2 2" xfId="34450"/>
    <cellStyle name="Обычный 8 3 6 2 3 2 2 2" xfId="49270"/>
    <cellStyle name="Обычный 8 3 6 2 3 2 3" xfId="41979"/>
    <cellStyle name="Обычный 8 3 6 2 3 3" xfId="30796"/>
    <cellStyle name="Обычный 8 3 6 2 3 3 2" xfId="45619"/>
    <cellStyle name="Обычный 8 3 6 2 3 4" xfId="38293"/>
    <cellStyle name="Обычный 8 3 6 2 3 5" xfId="23481"/>
    <cellStyle name="Обычный 8 3 6 2 4" xfId="25298"/>
    <cellStyle name="Обычный 8 3 6 2 4 2" xfId="32609"/>
    <cellStyle name="Обычный 8 3 6 2 4 2 2" xfId="47432"/>
    <cellStyle name="Обычный 8 3 6 2 4 3" xfId="40189"/>
    <cellStyle name="Обычный 8 3 6 2 5" xfId="28955"/>
    <cellStyle name="Обычный 8 3 6 2 5 2" xfId="43792"/>
    <cellStyle name="Обычный 8 3 6 2 6" xfId="36446"/>
    <cellStyle name="Обычный 8 3 6 2 7" xfId="21637"/>
    <cellStyle name="Обычный 8 3 6 3" xfId="18573"/>
    <cellStyle name="Обычный 8 3 6 3 2" xfId="20455"/>
    <cellStyle name="Обычный 8 3 6 3 2 2" xfId="27781"/>
    <cellStyle name="Обычный 8 3 6 3 2 2 2" xfId="35092"/>
    <cellStyle name="Обычный 8 3 6 3 2 2 2 2" xfId="49912"/>
    <cellStyle name="Обычный 8 3 6 3 2 2 3" xfId="42620"/>
    <cellStyle name="Обычный 8 3 6 3 2 3" xfId="31438"/>
    <cellStyle name="Обычный 8 3 6 3 2 3 2" xfId="46261"/>
    <cellStyle name="Обычный 8 3 6 3 2 4" xfId="38936"/>
    <cellStyle name="Обычный 8 3 6 3 2 5" xfId="24123"/>
    <cellStyle name="Обычный 8 3 6 3 3" xfId="25955"/>
    <cellStyle name="Обычный 8 3 6 3 3 2" xfId="33266"/>
    <cellStyle name="Обычный 8 3 6 3 3 2 2" xfId="48086"/>
    <cellStyle name="Обычный 8 3 6 3 3 3" xfId="40800"/>
    <cellStyle name="Обычный 8 3 6 3 4" xfId="29612"/>
    <cellStyle name="Обычный 8 3 6 3 4 2" xfId="44436"/>
    <cellStyle name="Обычный 8 3 6 3 5" xfId="37213"/>
    <cellStyle name="Обычный 8 3 6 3 6" xfId="22294"/>
    <cellStyle name="Обычный 8 3 6 4" xfId="19319"/>
    <cellStyle name="Обычный 8 3 6 4 2" xfId="26689"/>
    <cellStyle name="Обычный 8 3 6 4 2 2" xfId="34000"/>
    <cellStyle name="Обычный 8 3 6 4 2 2 2" xfId="48820"/>
    <cellStyle name="Обычный 8 3 6 4 2 3" xfId="41529"/>
    <cellStyle name="Обычный 8 3 6 4 3" xfId="30346"/>
    <cellStyle name="Обычный 8 3 6 4 3 2" xfId="45169"/>
    <cellStyle name="Обычный 8 3 6 4 4" xfId="37843"/>
    <cellStyle name="Обычный 8 3 6 4 5" xfId="23031"/>
    <cellStyle name="Обычный 8 3 6 5" xfId="24848"/>
    <cellStyle name="Обычный 8 3 6 5 2" xfId="32159"/>
    <cellStyle name="Обычный 8 3 6 5 2 2" xfId="46982"/>
    <cellStyle name="Обычный 8 3 6 5 3" xfId="39746"/>
    <cellStyle name="Обычный 8 3 6 6" xfId="28505"/>
    <cellStyle name="Обычный 8 3 6 6 2" xfId="43342"/>
    <cellStyle name="Обычный 8 3 6 7" xfId="35997"/>
    <cellStyle name="Обычный 8 3 6 8" xfId="21187"/>
    <cellStyle name="Обычный 8 3 7" xfId="17502"/>
    <cellStyle name="Обычный 8 3 7 2" xfId="18616"/>
    <cellStyle name="Обычный 8 3 7 2 2" xfId="20495"/>
    <cellStyle name="Обычный 8 3 7 2 2 2" xfId="27821"/>
    <cellStyle name="Обычный 8 3 7 2 2 2 2" xfId="35132"/>
    <cellStyle name="Обычный 8 3 7 2 2 2 2 2" xfId="49952"/>
    <cellStyle name="Обычный 8 3 7 2 2 2 3" xfId="42660"/>
    <cellStyle name="Обычный 8 3 7 2 2 3" xfId="31478"/>
    <cellStyle name="Обычный 8 3 7 2 2 3 2" xfId="46301"/>
    <cellStyle name="Обычный 8 3 7 2 2 4" xfId="38976"/>
    <cellStyle name="Обычный 8 3 7 2 2 5" xfId="24163"/>
    <cellStyle name="Обычный 8 3 7 2 3" xfId="25995"/>
    <cellStyle name="Обычный 8 3 7 2 3 2" xfId="33306"/>
    <cellStyle name="Обычный 8 3 7 2 3 2 2" xfId="48126"/>
    <cellStyle name="Обычный 8 3 7 2 3 3" xfId="40839"/>
    <cellStyle name="Обычный 8 3 7 2 4" xfId="29652"/>
    <cellStyle name="Обычный 8 3 7 2 4 2" xfId="44476"/>
    <cellStyle name="Обычный 8 3 7 2 5" xfId="37253"/>
    <cellStyle name="Обычный 8 3 7 2 6" xfId="22334"/>
    <cellStyle name="Обычный 8 3 7 3" xfId="19546"/>
    <cellStyle name="Обычный 8 3 7 3 2" xfId="26915"/>
    <cellStyle name="Обычный 8 3 7 3 2 2" xfId="34226"/>
    <cellStyle name="Обычный 8 3 7 3 2 2 2" xfId="49046"/>
    <cellStyle name="Обычный 8 3 7 3 2 3" xfId="41755"/>
    <cellStyle name="Обычный 8 3 7 3 3" xfId="30572"/>
    <cellStyle name="Обычный 8 3 7 3 3 2" xfId="45395"/>
    <cellStyle name="Обычный 8 3 7 3 4" xfId="38069"/>
    <cellStyle name="Обычный 8 3 7 3 5" xfId="23257"/>
    <cellStyle name="Обычный 8 3 7 4" xfId="25074"/>
    <cellStyle name="Обычный 8 3 7 4 2" xfId="32385"/>
    <cellStyle name="Обычный 8 3 7 4 2 2" xfId="47208"/>
    <cellStyle name="Обычный 8 3 7 4 3" xfId="39969"/>
    <cellStyle name="Обычный 8 3 7 5" xfId="28731"/>
    <cellStyle name="Обычный 8 3 7 5 2" xfId="43568"/>
    <cellStyle name="Обычный 8 3 7 6" xfId="36415"/>
    <cellStyle name="Обычный 8 3 7 7" xfId="21413"/>
    <cellStyle name="Обычный 8 3 8" xfId="18026"/>
    <cellStyle name="Обычный 8 3 8 2" xfId="18542"/>
    <cellStyle name="Обычный 8 3 8 2 2" xfId="27750"/>
    <cellStyle name="Обычный 8 3 8 2 2 2" xfId="35061"/>
    <cellStyle name="Обычный 8 3 8 2 2 2 2" xfId="49881"/>
    <cellStyle name="Обычный 8 3 8 2 2 3" xfId="42589"/>
    <cellStyle name="Обычный 8 3 8 2 3" xfId="31407"/>
    <cellStyle name="Обычный 8 3 8 2 3 2" xfId="46230"/>
    <cellStyle name="Обычный 8 3 8 2 4" xfId="37182"/>
    <cellStyle name="Обычный 8 3 8 2 5" xfId="24092"/>
    <cellStyle name="Обычный 8 3 8 3" xfId="20424"/>
    <cellStyle name="Обычный 8 3 8 3 2" xfId="33235"/>
    <cellStyle name="Обычный 8 3 8 3 2 2" xfId="48055"/>
    <cellStyle name="Обычный 8 3 8 3 3" xfId="38905"/>
    <cellStyle name="Обычный 8 3 8 3 4" xfId="25924"/>
    <cellStyle name="Обычный 8 3 8 4" xfId="29581"/>
    <cellStyle name="Обычный 8 3 8 4 2" xfId="44405"/>
    <cellStyle name="Обычный 8 3 8 5" xfId="36701"/>
    <cellStyle name="Обычный 8 3 8 6" xfId="22263"/>
    <cellStyle name="Обычный 8 3 9" xfId="20015"/>
    <cellStyle name="Обычный 8 4" xfId="14469"/>
    <cellStyle name="Обычный 8 4 10" xfId="24631"/>
    <cellStyle name="Обычный 8 4 10 2" xfId="31942"/>
    <cellStyle name="Обычный 8 4 10 2 2" xfId="46765"/>
    <cellStyle name="Обычный 8 4 10 3" xfId="39553"/>
    <cellStyle name="Обычный 8 4 10 4" xfId="36567"/>
    <cellStyle name="Обычный 8 4 11" xfId="28288"/>
    <cellStyle name="Обычный 8 4 11 2" xfId="43125"/>
    <cellStyle name="Обычный 8 4 12" xfId="35998"/>
    <cellStyle name="Обычный 8 4 13" xfId="20970"/>
    <cellStyle name="Обычный 8 4 2" xfId="17207"/>
    <cellStyle name="Обычный 8 4 2 10" xfId="35999"/>
    <cellStyle name="Обычный 8 4 2 11" xfId="20998"/>
    <cellStyle name="Обычный 8 4 2 2" xfId="17364"/>
    <cellStyle name="Обычный 8 4 2 2 10" xfId="21054"/>
    <cellStyle name="Обычный 8 4 2 2 2" xfId="17479"/>
    <cellStyle name="Обычный 8 4 2 2 2 2" xfId="17929"/>
    <cellStyle name="Обычный 8 4 2 2 2 2 2" xfId="19043"/>
    <cellStyle name="Обычный 8 4 2 2 2 2 2 2" xfId="20922"/>
    <cellStyle name="Обычный 8 4 2 2 2 2 2 2 2" xfId="24590"/>
    <cellStyle name="Обычный 8 4 2 2 2 2 2 2 2 2" xfId="28248"/>
    <cellStyle name="Обычный 8 4 2 2 2 2 2 2 2 2 2" xfId="35559"/>
    <cellStyle name="Обычный 8 4 2 2 2 2 2 2 2 2 2 2" xfId="50379"/>
    <cellStyle name="Обычный 8 4 2 2 2 2 2 2 2 2 3" xfId="43087"/>
    <cellStyle name="Обычный 8 4 2 2 2 2 2 2 2 3" xfId="31905"/>
    <cellStyle name="Обычный 8 4 2 2 2 2 2 2 2 3 2" xfId="46728"/>
    <cellStyle name="Обычный 8 4 2 2 2 2 2 2 2 4" xfId="39522"/>
    <cellStyle name="Обычный 8 4 2 2 2 2 2 2 3" xfId="26422"/>
    <cellStyle name="Обычный 8 4 2 2 2 2 2 2 3 2" xfId="33733"/>
    <cellStyle name="Обычный 8 4 2 2 2 2 2 2 3 2 2" xfId="48553"/>
    <cellStyle name="Обычный 8 4 2 2 2 2 2 2 3 3" xfId="41266"/>
    <cellStyle name="Обычный 8 4 2 2 2 2 2 2 4" xfId="30079"/>
    <cellStyle name="Обычный 8 4 2 2 2 2 2 2 4 2" xfId="44903"/>
    <cellStyle name="Обычный 8 4 2 2 2 2 2 2 5" xfId="39403"/>
    <cellStyle name="Обычный 8 4 2 2 2 2 2 2 6" xfId="22761"/>
    <cellStyle name="Обычный 8 4 2 2 2 2 2 3" xfId="19973"/>
    <cellStyle name="Обычный 8 4 2 2 2 2 2 3 2" xfId="27342"/>
    <cellStyle name="Обычный 8 4 2 2 2 2 2 3 2 2" xfId="34653"/>
    <cellStyle name="Обычный 8 4 2 2 2 2 2 3 2 2 2" xfId="49473"/>
    <cellStyle name="Обычный 8 4 2 2 2 2 2 3 2 3" xfId="42182"/>
    <cellStyle name="Обычный 8 4 2 2 2 2 2 3 3" xfId="30999"/>
    <cellStyle name="Обычный 8 4 2 2 2 2 2 3 3 2" xfId="45822"/>
    <cellStyle name="Обычный 8 4 2 2 2 2 2 3 4" xfId="38496"/>
    <cellStyle name="Обычный 8 4 2 2 2 2 2 3 5" xfId="23684"/>
    <cellStyle name="Обычный 8 4 2 2 2 2 2 4" xfId="25501"/>
    <cellStyle name="Обычный 8 4 2 2 2 2 2 4 2" xfId="32812"/>
    <cellStyle name="Обычный 8 4 2 2 2 2 2 4 2 2" xfId="47635"/>
    <cellStyle name="Обычный 8 4 2 2 2 2 2 4 3" xfId="40389"/>
    <cellStyle name="Обычный 8 4 2 2 2 2 2 5" xfId="29158"/>
    <cellStyle name="Обычный 8 4 2 2 2 2 2 5 2" xfId="43995"/>
    <cellStyle name="Обычный 8 4 2 2 2 2 2 6" xfId="36451"/>
    <cellStyle name="Обычный 8 4 2 2 2 2 2 7" xfId="21840"/>
    <cellStyle name="Обычный 8 4 2 2 2 2 3" xfId="18578"/>
    <cellStyle name="Обычный 8 4 2 2 2 2 3 2" xfId="20460"/>
    <cellStyle name="Обычный 8 4 2 2 2 2 3 2 2" xfId="27786"/>
    <cellStyle name="Обычный 8 4 2 2 2 2 3 2 2 2" xfId="35097"/>
    <cellStyle name="Обычный 8 4 2 2 2 2 3 2 2 2 2" xfId="49917"/>
    <cellStyle name="Обычный 8 4 2 2 2 2 3 2 2 3" xfId="42625"/>
    <cellStyle name="Обычный 8 4 2 2 2 2 3 2 3" xfId="31443"/>
    <cellStyle name="Обычный 8 4 2 2 2 2 3 2 3 2" xfId="46266"/>
    <cellStyle name="Обычный 8 4 2 2 2 2 3 2 4" xfId="38941"/>
    <cellStyle name="Обычный 8 4 2 2 2 2 3 2 5" xfId="24128"/>
    <cellStyle name="Обычный 8 4 2 2 2 2 3 3" xfId="25960"/>
    <cellStyle name="Обычный 8 4 2 2 2 2 3 3 2" xfId="33271"/>
    <cellStyle name="Обычный 8 4 2 2 2 2 3 3 2 2" xfId="48091"/>
    <cellStyle name="Обычный 8 4 2 2 2 2 3 3 3" xfId="40804"/>
    <cellStyle name="Обычный 8 4 2 2 2 2 3 4" xfId="29617"/>
    <cellStyle name="Обычный 8 4 2 2 2 2 3 4 2" xfId="44441"/>
    <cellStyle name="Обычный 8 4 2 2 2 2 3 5" xfId="37218"/>
    <cellStyle name="Обычный 8 4 2 2 2 2 3 6" xfId="22299"/>
    <cellStyle name="Обычный 8 4 2 2 2 2 4" xfId="19522"/>
    <cellStyle name="Обычный 8 4 2 2 2 2 4 2" xfId="26892"/>
    <cellStyle name="Обычный 8 4 2 2 2 2 4 2 2" xfId="34203"/>
    <cellStyle name="Обычный 8 4 2 2 2 2 4 2 2 2" xfId="49023"/>
    <cellStyle name="Обычный 8 4 2 2 2 2 4 2 3" xfId="41732"/>
    <cellStyle name="Обычный 8 4 2 2 2 2 4 3" xfId="30549"/>
    <cellStyle name="Обычный 8 4 2 2 2 2 4 3 2" xfId="45372"/>
    <cellStyle name="Обычный 8 4 2 2 2 2 4 4" xfId="38046"/>
    <cellStyle name="Обычный 8 4 2 2 2 2 4 5" xfId="23234"/>
    <cellStyle name="Обычный 8 4 2 2 2 2 5" xfId="25051"/>
    <cellStyle name="Обычный 8 4 2 2 2 2 5 2" xfId="32362"/>
    <cellStyle name="Обычный 8 4 2 2 2 2 5 2 2" xfId="47185"/>
    <cellStyle name="Обычный 8 4 2 2 2 2 5 3" xfId="39946"/>
    <cellStyle name="Обычный 8 4 2 2 2 2 6" xfId="28708"/>
    <cellStyle name="Обычный 8 4 2 2 2 2 6 2" xfId="43545"/>
    <cellStyle name="Обычный 8 4 2 2 2 2 7" xfId="36002"/>
    <cellStyle name="Обычный 8 4 2 2 2 2 8" xfId="21390"/>
    <cellStyle name="Обычный 8 4 2 2 2 3" xfId="17705"/>
    <cellStyle name="Обычный 8 4 2 2 2 3 2" xfId="18819"/>
    <cellStyle name="Обычный 8 4 2 2 2 3 2 2" xfId="20698"/>
    <cellStyle name="Обычный 8 4 2 2 2 3 2 2 2" xfId="28024"/>
    <cellStyle name="Обычный 8 4 2 2 2 3 2 2 2 2" xfId="35335"/>
    <cellStyle name="Обычный 8 4 2 2 2 3 2 2 2 2 2" xfId="50155"/>
    <cellStyle name="Обычный 8 4 2 2 2 3 2 2 2 3" xfId="42863"/>
    <cellStyle name="Обычный 8 4 2 2 2 3 2 2 3" xfId="31681"/>
    <cellStyle name="Обычный 8 4 2 2 2 3 2 2 3 2" xfId="46504"/>
    <cellStyle name="Обычный 8 4 2 2 2 3 2 2 4" xfId="39179"/>
    <cellStyle name="Обычный 8 4 2 2 2 3 2 2 5" xfId="24366"/>
    <cellStyle name="Обычный 8 4 2 2 2 3 2 3" xfId="26198"/>
    <cellStyle name="Обычный 8 4 2 2 2 3 2 3 2" xfId="33509"/>
    <cellStyle name="Обычный 8 4 2 2 2 3 2 3 2 2" xfId="48329"/>
    <cellStyle name="Обычный 8 4 2 2 2 3 2 3 3" xfId="41042"/>
    <cellStyle name="Обычный 8 4 2 2 2 3 2 4" xfId="29855"/>
    <cellStyle name="Обычный 8 4 2 2 2 3 2 4 2" xfId="44679"/>
    <cellStyle name="Обычный 8 4 2 2 2 3 2 5" xfId="37456"/>
    <cellStyle name="Обычный 8 4 2 2 2 3 2 6" xfId="22537"/>
    <cellStyle name="Обычный 8 4 2 2 2 3 3" xfId="19749"/>
    <cellStyle name="Обычный 8 4 2 2 2 3 3 2" xfId="27118"/>
    <cellStyle name="Обычный 8 4 2 2 2 3 3 2 2" xfId="34429"/>
    <cellStyle name="Обычный 8 4 2 2 2 3 3 2 2 2" xfId="49249"/>
    <cellStyle name="Обычный 8 4 2 2 2 3 3 2 3" xfId="41958"/>
    <cellStyle name="Обычный 8 4 2 2 2 3 3 3" xfId="30775"/>
    <cellStyle name="Обычный 8 4 2 2 2 3 3 3 2" xfId="45598"/>
    <cellStyle name="Обычный 8 4 2 2 2 3 3 4" xfId="38272"/>
    <cellStyle name="Обычный 8 4 2 2 2 3 3 5" xfId="23460"/>
    <cellStyle name="Обычный 8 4 2 2 2 3 4" xfId="25277"/>
    <cellStyle name="Обычный 8 4 2 2 2 3 4 2" xfId="32588"/>
    <cellStyle name="Обычный 8 4 2 2 2 3 4 2 2" xfId="47411"/>
    <cellStyle name="Обычный 8 4 2 2 2 3 4 3" xfId="40169"/>
    <cellStyle name="Обычный 8 4 2 2 2 3 5" xfId="28934"/>
    <cellStyle name="Обычный 8 4 2 2 2 3 5 2" xfId="43771"/>
    <cellStyle name="Обычный 8 4 2 2 2 3 6" xfId="36450"/>
    <cellStyle name="Обычный 8 4 2 2 2 3 7" xfId="21616"/>
    <cellStyle name="Обычный 8 4 2 2 2 4" xfId="18577"/>
    <cellStyle name="Обычный 8 4 2 2 2 4 2" xfId="20459"/>
    <cellStyle name="Обычный 8 4 2 2 2 4 2 2" xfId="27785"/>
    <cellStyle name="Обычный 8 4 2 2 2 4 2 2 2" xfId="35096"/>
    <cellStyle name="Обычный 8 4 2 2 2 4 2 2 2 2" xfId="49916"/>
    <cellStyle name="Обычный 8 4 2 2 2 4 2 2 3" xfId="42624"/>
    <cellStyle name="Обычный 8 4 2 2 2 4 2 3" xfId="31442"/>
    <cellStyle name="Обычный 8 4 2 2 2 4 2 3 2" xfId="46265"/>
    <cellStyle name="Обычный 8 4 2 2 2 4 2 4" xfId="38940"/>
    <cellStyle name="Обычный 8 4 2 2 2 4 2 5" xfId="24127"/>
    <cellStyle name="Обычный 8 4 2 2 2 4 3" xfId="25959"/>
    <cellStyle name="Обычный 8 4 2 2 2 4 3 2" xfId="33270"/>
    <cellStyle name="Обычный 8 4 2 2 2 4 3 2 2" xfId="48090"/>
    <cellStyle name="Обычный 8 4 2 2 2 4 3 3" xfId="40803"/>
    <cellStyle name="Обычный 8 4 2 2 2 4 4" xfId="29616"/>
    <cellStyle name="Обычный 8 4 2 2 2 4 4 2" xfId="44440"/>
    <cellStyle name="Обычный 8 4 2 2 2 4 5" xfId="37217"/>
    <cellStyle name="Обычный 8 4 2 2 2 4 6" xfId="22298"/>
    <cellStyle name="Обычный 8 4 2 2 2 5" xfId="19298"/>
    <cellStyle name="Обычный 8 4 2 2 2 5 2" xfId="26668"/>
    <cellStyle name="Обычный 8 4 2 2 2 5 2 2" xfId="33979"/>
    <cellStyle name="Обычный 8 4 2 2 2 5 2 2 2" xfId="48799"/>
    <cellStyle name="Обычный 8 4 2 2 2 5 2 3" xfId="41508"/>
    <cellStyle name="Обычный 8 4 2 2 2 5 3" xfId="30325"/>
    <cellStyle name="Обычный 8 4 2 2 2 5 3 2" xfId="45148"/>
    <cellStyle name="Обычный 8 4 2 2 2 5 4" xfId="37822"/>
    <cellStyle name="Обычный 8 4 2 2 2 5 5" xfId="23010"/>
    <cellStyle name="Обычный 8 4 2 2 2 6" xfId="24827"/>
    <cellStyle name="Обычный 8 4 2 2 2 6 2" xfId="32138"/>
    <cellStyle name="Обычный 8 4 2 2 2 6 2 2" xfId="46961"/>
    <cellStyle name="Обычный 8 4 2 2 2 6 3" xfId="39726"/>
    <cellStyle name="Обычный 8 4 2 2 2 7" xfId="28484"/>
    <cellStyle name="Обычный 8 4 2 2 2 7 2" xfId="43321"/>
    <cellStyle name="Обычный 8 4 2 2 2 8" xfId="36001"/>
    <cellStyle name="Обычный 8 4 2 2 2 9" xfId="21166"/>
    <cellStyle name="Обычный 8 4 2 2 3" xfId="17817"/>
    <cellStyle name="Обычный 8 4 2 2 3 2" xfId="18931"/>
    <cellStyle name="Обычный 8 4 2 2 3 2 2" xfId="20810"/>
    <cellStyle name="Обычный 8 4 2 2 3 2 2 2" xfId="24478"/>
    <cellStyle name="Обычный 8 4 2 2 3 2 2 2 2" xfId="28136"/>
    <cellStyle name="Обычный 8 4 2 2 3 2 2 2 2 2" xfId="35447"/>
    <cellStyle name="Обычный 8 4 2 2 3 2 2 2 2 2 2" xfId="50267"/>
    <cellStyle name="Обычный 8 4 2 2 3 2 2 2 2 3" xfId="42975"/>
    <cellStyle name="Обычный 8 4 2 2 3 2 2 2 3" xfId="31793"/>
    <cellStyle name="Обычный 8 4 2 2 3 2 2 2 3 2" xfId="46616"/>
    <cellStyle name="Обычный 8 4 2 2 3 2 2 2 4" xfId="39441"/>
    <cellStyle name="Обычный 8 4 2 2 3 2 2 3" xfId="26310"/>
    <cellStyle name="Обычный 8 4 2 2 3 2 2 3 2" xfId="33621"/>
    <cellStyle name="Обычный 8 4 2 2 3 2 2 3 2 2" xfId="48441"/>
    <cellStyle name="Обычный 8 4 2 2 3 2 2 3 3" xfId="41154"/>
    <cellStyle name="Обычный 8 4 2 2 3 2 2 4" xfId="29967"/>
    <cellStyle name="Обычный 8 4 2 2 3 2 2 4 2" xfId="44791"/>
    <cellStyle name="Обычный 8 4 2 2 3 2 2 5" xfId="39291"/>
    <cellStyle name="Обычный 8 4 2 2 3 2 2 6" xfId="22649"/>
    <cellStyle name="Обычный 8 4 2 2 3 2 3" xfId="19861"/>
    <cellStyle name="Обычный 8 4 2 2 3 2 3 2" xfId="27230"/>
    <cellStyle name="Обычный 8 4 2 2 3 2 3 2 2" xfId="34541"/>
    <cellStyle name="Обычный 8 4 2 2 3 2 3 2 2 2" xfId="49361"/>
    <cellStyle name="Обычный 8 4 2 2 3 2 3 2 3" xfId="42070"/>
    <cellStyle name="Обычный 8 4 2 2 3 2 3 3" xfId="30887"/>
    <cellStyle name="Обычный 8 4 2 2 3 2 3 3 2" xfId="45710"/>
    <cellStyle name="Обычный 8 4 2 2 3 2 3 4" xfId="38384"/>
    <cellStyle name="Обычный 8 4 2 2 3 2 3 5" xfId="23572"/>
    <cellStyle name="Обычный 8 4 2 2 3 2 4" xfId="25389"/>
    <cellStyle name="Обычный 8 4 2 2 3 2 4 2" xfId="32700"/>
    <cellStyle name="Обычный 8 4 2 2 3 2 4 2 2" xfId="47523"/>
    <cellStyle name="Обычный 8 4 2 2 3 2 4 3" xfId="40277"/>
    <cellStyle name="Обычный 8 4 2 2 3 2 5" xfId="29046"/>
    <cellStyle name="Обычный 8 4 2 2 3 2 5 2" xfId="43883"/>
    <cellStyle name="Обычный 8 4 2 2 3 2 6" xfId="36452"/>
    <cellStyle name="Обычный 8 4 2 2 3 2 7" xfId="21728"/>
    <cellStyle name="Обычный 8 4 2 2 3 3" xfId="18579"/>
    <cellStyle name="Обычный 8 4 2 2 3 3 2" xfId="20461"/>
    <cellStyle name="Обычный 8 4 2 2 3 3 2 2" xfId="27787"/>
    <cellStyle name="Обычный 8 4 2 2 3 3 2 2 2" xfId="35098"/>
    <cellStyle name="Обычный 8 4 2 2 3 3 2 2 2 2" xfId="49918"/>
    <cellStyle name="Обычный 8 4 2 2 3 3 2 2 3" xfId="42626"/>
    <cellStyle name="Обычный 8 4 2 2 3 3 2 3" xfId="31444"/>
    <cellStyle name="Обычный 8 4 2 2 3 3 2 3 2" xfId="46267"/>
    <cellStyle name="Обычный 8 4 2 2 3 3 2 4" xfId="38942"/>
    <cellStyle name="Обычный 8 4 2 2 3 3 2 5" xfId="24129"/>
    <cellStyle name="Обычный 8 4 2 2 3 3 3" xfId="25961"/>
    <cellStyle name="Обычный 8 4 2 2 3 3 3 2" xfId="33272"/>
    <cellStyle name="Обычный 8 4 2 2 3 3 3 2 2" xfId="48092"/>
    <cellStyle name="Обычный 8 4 2 2 3 3 3 3" xfId="40805"/>
    <cellStyle name="Обычный 8 4 2 2 3 3 4" xfId="29618"/>
    <cellStyle name="Обычный 8 4 2 2 3 3 4 2" xfId="44442"/>
    <cellStyle name="Обычный 8 4 2 2 3 3 5" xfId="37219"/>
    <cellStyle name="Обычный 8 4 2 2 3 3 6" xfId="22300"/>
    <cellStyle name="Обычный 8 4 2 2 3 4" xfId="19410"/>
    <cellStyle name="Обычный 8 4 2 2 3 4 2" xfId="26780"/>
    <cellStyle name="Обычный 8 4 2 2 3 4 2 2" xfId="34091"/>
    <cellStyle name="Обычный 8 4 2 2 3 4 2 2 2" xfId="48911"/>
    <cellStyle name="Обычный 8 4 2 2 3 4 2 3" xfId="41620"/>
    <cellStyle name="Обычный 8 4 2 2 3 4 3" xfId="30437"/>
    <cellStyle name="Обычный 8 4 2 2 3 4 3 2" xfId="45260"/>
    <cellStyle name="Обычный 8 4 2 2 3 4 4" xfId="37934"/>
    <cellStyle name="Обычный 8 4 2 2 3 4 5" xfId="23122"/>
    <cellStyle name="Обычный 8 4 2 2 3 5" xfId="24939"/>
    <cellStyle name="Обычный 8 4 2 2 3 5 2" xfId="32250"/>
    <cellStyle name="Обычный 8 4 2 2 3 5 2 2" xfId="47073"/>
    <cellStyle name="Обычный 8 4 2 2 3 5 3" xfId="39834"/>
    <cellStyle name="Обычный 8 4 2 2 3 6" xfId="28596"/>
    <cellStyle name="Обычный 8 4 2 2 3 6 2" xfId="43433"/>
    <cellStyle name="Обычный 8 4 2 2 3 7" xfId="36003"/>
    <cellStyle name="Обычный 8 4 2 2 3 8" xfId="21278"/>
    <cellStyle name="Обычный 8 4 2 2 4" xfId="17593"/>
    <cellStyle name="Обычный 8 4 2 2 4 2" xfId="18707"/>
    <cellStyle name="Обычный 8 4 2 2 4 2 2" xfId="20586"/>
    <cellStyle name="Обычный 8 4 2 2 4 2 2 2" xfId="27912"/>
    <cellStyle name="Обычный 8 4 2 2 4 2 2 2 2" xfId="35223"/>
    <cellStyle name="Обычный 8 4 2 2 4 2 2 2 2 2" xfId="50043"/>
    <cellStyle name="Обычный 8 4 2 2 4 2 2 2 3" xfId="42751"/>
    <cellStyle name="Обычный 8 4 2 2 4 2 2 3" xfId="31569"/>
    <cellStyle name="Обычный 8 4 2 2 4 2 2 3 2" xfId="46392"/>
    <cellStyle name="Обычный 8 4 2 2 4 2 2 4" xfId="39067"/>
    <cellStyle name="Обычный 8 4 2 2 4 2 2 5" xfId="24254"/>
    <cellStyle name="Обычный 8 4 2 2 4 2 3" xfId="26086"/>
    <cellStyle name="Обычный 8 4 2 2 4 2 3 2" xfId="33397"/>
    <cellStyle name="Обычный 8 4 2 2 4 2 3 2 2" xfId="48217"/>
    <cellStyle name="Обычный 8 4 2 2 4 2 3 3" xfId="40930"/>
    <cellStyle name="Обычный 8 4 2 2 4 2 4" xfId="29743"/>
    <cellStyle name="Обычный 8 4 2 2 4 2 4 2" xfId="44567"/>
    <cellStyle name="Обычный 8 4 2 2 4 2 5" xfId="37344"/>
    <cellStyle name="Обычный 8 4 2 2 4 2 6" xfId="22425"/>
    <cellStyle name="Обычный 8 4 2 2 4 3" xfId="19637"/>
    <cellStyle name="Обычный 8 4 2 2 4 3 2" xfId="27006"/>
    <cellStyle name="Обычный 8 4 2 2 4 3 2 2" xfId="34317"/>
    <cellStyle name="Обычный 8 4 2 2 4 3 2 2 2" xfId="49137"/>
    <cellStyle name="Обычный 8 4 2 2 4 3 2 3" xfId="41846"/>
    <cellStyle name="Обычный 8 4 2 2 4 3 3" xfId="30663"/>
    <cellStyle name="Обычный 8 4 2 2 4 3 3 2" xfId="45486"/>
    <cellStyle name="Обычный 8 4 2 2 4 3 4" xfId="38160"/>
    <cellStyle name="Обычный 8 4 2 2 4 3 5" xfId="23348"/>
    <cellStyle name="Обычный 8 4 2 2 4 4" xfId="25165"/>
    <cellStyle name="Обычный 8 4 2 2 4 4 2" xfId="32476"/>
    <cellStyle name="Обычный 8 4 2 2 4 4 2 2" xfId="47299"/>
    <cellStyle name="Обычный 8 4 2 2 4 4 3" xfId="40059"/>
    <cellStyle name="Обычный 8 4 2 2 4 5" xfId="28822"/>
    <cellStyle name="Обычный 8 4 2 2 4 5 2" xfId="43659"/>
    <cellStyle name="Обычный 8 4 2 2 4 6" xfId="36449"/>
    <cellStyle name="Обычный 8 4 2 2 4 7" xfId="21504"/>
    <cellStyle name="Обычный 8 4 2 2 5" xfId="18576"/>
    <cellStyle name="Обычный 8 4 2 2 5 2" xfId="20458"/>
    <cellStyle name="Обычный 8 4 2 2 5 2 2" xfId="27784"/>
    <cellStyle name="Обычный 8 4 2 2 5 2 2 2" xfId="35095"/>
    <cellStyle name="Обычный 8 4 2 2 5 2 2 2 2" xfId="49915"/>
    <cellStyle name="Обычный 8 4 2 2 5 2 2 3" xfId="42623"/>
    <cellStyle name="Обычный 8 4 2 2 5 2 3" xfId="31441"/>
    <cellStyle name="Обычный 8 4 2 2 5 2 3 2" xfId="46264"/>
    <cellStyle name="Обычный 8 4 2 2 5 2 4" xfId="38939"/>
    <cellStyle name="Обычный 8 4 2 2 5 2 5" xfId="24126"/>
    <cellStyle name="Обычный 8 4 2 2 5 3" xfId="25958"/>
    <cellStyle name="Обычный 8 4 2 2 5 3 2" xfId="33269"/>
    <cellStyle name="Обычный 8 4 2 2 5 3 2 2" xfId="48089"/>
    <cellStyle name="Обычный 8 4 2 2 5 3 3" xfId="40802"/>
    <cellStyle name="Обычный 8 4 2 2 5 4" xfId="29615"/>
    <cellStyle name="Обычный 8 4 2 2 5 4 2" xfId="44439"/>
    <cellStyle name="Обычный 8 4 2 2 5 5" xfId="37216"/>
    <cellStyle name="Обычный 8 4 2 2 5 6" xfId="22297"/>
    <cellStyle name="Обычный 8 4 2 2 6" xfId="19188"/>
    <cellStyle name="Обычный 8 4 2 2 6 2" xfId="26559"/>
    <cellStyle name="Обычный 8 4 2 2 6 2 2" xfId="33870"/>
    <cellStyle name="Обычный 8 4 2 2 6 2 2 2" xfId="48690"/>
    <cellStyle name="Обычный 8 4 2 2 6 2 3" xfId="41399"/>
    <cellStyle name="Обычный 8 4 2 2 6 3" xfId="30216"/>
    <cellStyle name="Обычный 8 4 2 2 6 3 2" xfId="45039"/>
    <cellStyle name="Обычный 8 4 2 2 6 4" xfId="37713"/>
    <cellStyle name="Обычный 8 4 2 2 6 5" xfId="22901"/>
    <cellStyle name="Обычный 8 4 2 2 7" xfId="24715"/>
    <cellStyle name="Обычный 8 4 2 2 7 2" xfId="32026"/>
    <cellStyle name="Обычный 8 4 2 2 7 2 2" xfId="46849"/>
    <cellStyle name="Обычный 8 4 2 2 7 3" xfId="39620"/>
    <cellStyle name="Обычный 8 4 2 2 8" xfId="28372"/>
    <cellStyle name="Обычный 8 4 2 2 8 2" xfId="43209"/>
    <cellStyle name="Обычный 8 4 2 2 9" xfId="36000"/>
    <cellStyle name="Обычный 8 4 2 3" xfId="17423"/>
    <cellStyle name="Обычный 8 4 2 3 2" xfId="17873"/>
    <cellStyle name="Обычный 8 4 2 3 2 2" xfId="18987"/>
    <cellStyle name="Обычный 8 4 2 3 2 2 2" xfId="20866"/>
    <cellStyle name="Обычный 8 4 2 3 2 2 2 2" xfId="24534"/>
    <cellStyle name="Обычный 8 4 2 3 2 2 2 2 2" xfId="28192"/>
    <cellStyle name="Обычный 8 4 2 3 2 2 2 2 2 2" xfId="35503"/>
    <cellStyle name="Обычный 8 4 2 3 2 2 2 2 2 2 2" xfId="50323"/>
    <cellStyle name="Обычный 8 4 2 3 2 2 2 2 2 3" xfId="43031"/>
    <cellStyle name="Обычный 8 4 2 3 2 2 2 2 3" xfId="31849"/>
    <cellStyle name="Обычный 8 4 2 3 2 2 2 2 3 2" xfId="46672"/>
    <cellStyle name="Обычный 8 4 2 3 2 2 2 2 4" xfId="39473"/>
    <cellStyle name="Обычный 8 4 2 3 2 2 2 3" xfId="26366"/>
    <cellStyle name="Обычный 8 4 2 3 2 2 2 3 2" xfId="33677"/>
    <cellStyle name="Обычный 8 4 2 3 2 2 2 3 2 2" xfId="48497"/>
    <cellStyle name="Обычный 8 4 2 3 2 2 2 3 3" xfId="41210"/>
    <cellStyle name="Обычный 8 4 2 3 2 2 2 4" xfId="30023"/>
    <cellStyle name="Обычный 8 4 2 3 2 2 2 4 2" xfId="44847"/>
    <cellStyle name="Обычный 8 4 2 3 2 2 2 5" xfId="39347"/>
    <cellStyle name="Обычный 8 4 2 3 2 2 2 6" xfId="22705"/>
    <cellStyle name="Обычный 8 4 2 3 2 2 3" xfId="19917"/>
    <cellStyle name="Обычный 8 4 2 3 2 2 3 2" xfId="27286"/>
    <cellStyle name="Обычный 8 4 2 3 2 2 3 2 2" xfId="34597"/>
    <cellStyle name="Обычный 8 4 2 3 2 2 3 2 2 2" xfId="49417"/>
    <cellStyle name="Обычный 8 4 2 3 2 2 3 2 3" xfId="42126"/>
    <cellStyle name="Обычный 8 4 2 3 2 2 3 3" xfId="30943"/>
    <cellStyle name="Обычный 8 4 2 3 2 2 3 3 2" xfId="45766"/>
    <cellStyle name="Обычный 8 4 2 3 2 2 3 4" xfId="38440"/>
    <cellStyle name="Обычный 8 4 2 3 2 2 3 5" xfId="23628"/>
    <cellStyle name="Обычный 8 4 2 3 2 2 4" xfId="25445"/>
    <cellStyle name="Обычный 8 4 2 3 2 2 4 2" xfId="32756"/>
    <cellStyle name="Обычный 8 4 2 3 2 2 4 2 2" xfId="47579"/>
    <cellStyle name="Обычный 8 4 2 3 2 2 4 3" xfId="40333"/>
    <cellStyle name="Обычный 8 4 2 3 2 2 5" xfId="29102"/>
    <cellStyle name="Обычный 8 4 2 3 2 2 5 2" xfId="43939"/>
    <cellStyle name="Обычный 8 4 2 3 2 2 6" xfId="36454"/>
    <cellStyle name="Обычный 8 4 2 3 2 2 7" xfId="21784"/>
    <cellStyle name="Обычный 8 4 2 3 2 3" xfId="18581"/>
    <cellStyle name="Обычный 8 4 2 3 2 3 2" xfId="20463"/>
    <cellStyle name="Обычный 8 4 2 3 2 3 2 2" xfId="27789"/>
    <cellStyle name="Обычный 8 4 2 3 2 3 2 2 2" xfId="35100"/>
    <cellStyle name="Обычный 8 4 2 3 2 3 2 2 2 2" xfId="49920"/>
    <cellStyle name="Обычный 8 4 2 3 2 3 2 2 3" xfId="42628"/>
    <cellStyle name="Обычный 8 4 2 3 2 3 2 3" xfId="31446"/>
    <cellStyle name="Обычный 8 4 2 3 2 3 2 3 2" xfId="46269"/>
    <cellStyle name="Обычный 8 4 2 3 2 3 2 4" xfId="38944"/>
    <cellStyle name="Обычный 8 4 2 3 2 3 2 5" xfId="24131"/>
    <cellStyle name="Обычный 8 4 2 3 2 3 3" xfId="25963"/>
    <cellStyle name="Обычный 8 4 2 3 2 3 3 2" xfId="33274"/>
    <cellStyle name="Обычный 8 4 2 3 2 3 3 2 2" xfId="48094"/>
    <cellStyle name="Обычный 8 4 2 3 2 3 3 3" xfId="40807"/>
    <cellStyle name="Обычный 8 4 2 3 2 3 4" xfId="29620"/>
    <cellStyle name="Обычный 8 4 2 3 2 3 4 2" xfId="44444"/>
    <cellStyle name="Обычный 8 4 2 3 2 3 5" xfId="37221"/>
    <cellStyle name="Обычный 8 4 2 3 2 3 6" xfId="22302"/>
    <cellStyle name="Обычный 8 4 2 3 2 4" xfId="19466"/>
    <cellStyle name="Обычный 8 4 2 3 2 4 2" xfId="26836"/>
    <cellStyle name="Обычный 8 4 2 3 2 4 2 2" xfId="34147"/>
    <cellStyle name="Обычный 8 4 2 3 2 4 2 2 2" xfId="48967"/>
    <cellStyle name="Обычный 8 4 2 3 2 4 2 3" xfId="41676"/>
    <cellStyle name="Обычный 8 4 2 3 2 4 3" xfId="30493"/>
    <cellStyle name="Обычный 8 4 2 3 2 4 3 2" xfId="45316"/>
    <cellStyle name="Обычный 8 4 2 3 2 4 4" xfId="37990"/>
    <cellStyle name="Обычный 8 4 2 3 2 4 5" xfId="23178"/>
    <cellStyle name="Обычный 8 4 2 3 2 5" xfId="24995"/>
    <cellStyle name="Обычный 8 4 2 3 2 5 2" xfId="32306"/>
    <cellStyle name="Обычный 8 4 2 3 2 5 2 2" xfId="47129"/>
    <cellStyle name="Обычный 8 4 2 3 2 5 3" xfId="39890"/>
    <cellStyle name="Обычный 8 4 2 3 2 6" xfId="28652"/>
    <cellStyle name="Обычный 8 4 2 3 2 6 2" xfId="43489"/>
    <cellStyle name="Обычный 8 4 2 3 2 7" xfId="36005"/>
    <cellStyle name="Обычный 8 4 2 3 2 8" xfId="21334"/>
    <cellStyle name="Обычный 8 4 2 3 3" xfId="17649"/>
    <cellStyle name="Обычный 8 4 2 3 3 2" xfId="18763"/>
    <cellStyle name="Обычный 8 4 2 3 3 2 2" xfId="20642"/>
    <cellStyle name="Обычный 8 4 2 3 3 2 2 2" xfId="27968"/>
    <cellStyle name="Обычный 8 4 2 3 3 2 2 2 2" xfId="35279"/>
    <cellStyle name="Обычный 8 4 2 3 3 2 2 2 2 2" xfId="50099"/>
    <cellStyle name="Обычный 8 4 2 3 3 2 2 2 3" xfId="42807"/>
    <cellStyle name="Обычный 8 4 2 3 3 2 2 3" xfId="31625"/>
    <cellStyle name="Обычный 8 4 2 3 3 2 2 3 2" xfId="46448"/>
    <cellStyle name="Обычный 8 4 2 3 3 2 2 4" xfId="39123"/>
    <cellStyle name="Обычный 8 4 2 3 3 2 2 5" xfId="24310"/>
    <cellStyle name="Обычный 8 4 2 3 3 2 3" xfId="26142"/>
    <cellStyle name="Обычный 8 4 2 3 3 2 3 2" xfId="33453"/>
    <cellStyle name="Обычный 8 4 2 3 3 2 3 2 2" xfId="48273"/>
    <cellStyle name="Обычный 8 4 2 3 3 2 3 3" xfId="40986"/>
    <cellStyle name="Обычный 8 4 2 3 3 2 4" xfId="29799"/>
    <cellStyle name="Обычный 8 4 2 3 3 2 4 2" xfId="44623"/>
    <cellStyle name="Обычный 8 4 2 3 3 2 5" xfId="37400"/>
    <cellStyle name="Обычный 8 4 2 3 3 2 6" xfId="22481"/>
    <cellStyle name="Обычный 8 4 2 3 3 3" xfId="19693"/>
    <cellStyle name="Обычный 8 4 2 3 3 3 2" xfId="27062"/>
    <cellStyle name="Обычный 8 4 2 3 3 3 2 2" xfId="34373"/>
    <cellStyle name="Обычный 8 4 2 3 3 3 2 2 2" xfId="49193"/>
    <cellStyle name="Обычный 8 4 2 3 3 3 2 3" xfId="41902"/>
    <cellStyle name="Обычный 8 4 2 3 3 3 3" xfId="30719"/>
    <cellStyle name="Обычный 8 4 2 3 3 3 3 2" xfId="45542"/>
    <cellStyle name="Обычный 8 4 2 3 3 3 4" xfId="38216"/>
    <cellStyle name="Обычный 8 4 2 3 3 3 5" xfId="23404"/>
    <cellStyle name="Обычный 8 4 2 3 3 4" xfId="25221"/>
    <cellStyle name="Обычный 8 4 2 3 3 4 2" xfId="32532"/>
    <cellStyle name="Обычный 8 4 2 3 3 4 2 2" xfId="47355"/>
    <cellStyle name="Обычный 8 4 2 3 3 4 3" xfId="40113"/>
    <cellStyle name="Обычный 8 4 2 3 3 5" xfId="28878"/>
    <cellStyle name="Обычный 8 4 2 3 3 5 2" xfId="43715"/>
    <cellStyle name="Обычный 8 4 2 3 3 6" xfId="36453"/>
    <cellStyle name="Обычный 8 4 2 3 3 7" xfId="21560"/>
    <cellStyle name="Обычный 8 4 2 3 4" xfId="18580"/>
    <cellStyle name="Обычный 8 4 2 3 4 2" xfId="20462"/>
    <cellStyle name="Обычный 8 4 2 3 4 2 2" xfId="27788"/>
    <cellStyle name="Обычный 8 4 2 3 4 2 2 2" xfId="35099"/>
    <cellStyle name="Обычный 8 4 2 3 4 2 2 2 2" xfId="49919"/>
    <cellStyle name="Обычный 8 4 2 3 4 2 2 3" xfId="42627"/>
    <cellStyle name="Обычный 8 4 2 3 4 2 3" xfId="31445"/>
    <cellStyle name="Обычный 8 4 2 3 4 2 3 2" xfId="46268"/>
    <cellStyle name="Обычный 8 4 2 3 4 2 4" xfId="38943"/>
    <cellStyle name="Обычный 8 4 2 3 4 2 5" xfId="24130"/>
    <cellStyle name="Обычный 8 4 2 3 4 3" xfId="25962"/>
    <cellStyle name="Обычный 8 4 2 3 4 3 2" xfId="33273"/>
    <cellStyle name="Обычный 8 4 2 3 4 3 2 2" xfId="48093"/>
    <cellStyle name="Обычный 8 4 2 3 4 3 3" xfId="40806"/>
    <cellStyle name="Обычный 8 4 2 3 4 4" xfId="29619"/>
    <cellStyle name="Обычный 8 4 2 3 4 4 2" xfId="44443"/>
    <cellStyle name="Обычный 8 4 2 3 4 5" xfId="37220"/>
    <cellStyle name="Обычный 8 4 2 3 4 6" xfId="22301"/>
    <cellStyle name="Обычный 8 4 2 3 5" xfId="19243"/>
    <cellStyle name="Обычный 8 4 2 3 5 2" xfId="26613"/>
    <cellStyle name="Обычный 8 4 2 3 5 2 2" xfId="33924"/>
    <cellStyle name="Обычный 8 4 2 3 5 2 2 2" xfId="48744"/>
    <cellStyle name="Обычный 8 4 2 3 5 2 3" xfId="41453"/>
    <cellStyle name="Обычный 8 4 2 3 5 3" xfId="30270"/>
    <cellStyle name="Обычный 8 4 2 3 5 3 2" xfId="45093"/>
    <cellStyle name="Обычный 8 4 2 3 5 4" xfId="37767"/>
    <cellStyle name="Обычный 8 4 2 3 5 5" xfId="22955"/>
    <cellStyle name="Обычный 8 4 2 3 6" xfId="24771"/>
    <cellStyle name="Обычный 8 4 2 3 6 2" xfId="32082"/>
    <cellStyle name="Обычный 8 4 2 3 6 2 2" xfId="46905"/>
    <cellStyle name="Обычный 8 4 2 3 6 3" xfId="39673"/>
    <cellStyle name="Обычный 8 4 2 3 7" xfId="28428"/>
    <cellStyle name="Обычный 8 4 2 3 7 2" xfId="43265"/>
    <cellStyle name="Обычный 8 4 2 3 8" xfId="36004"/>
    <cellStyle name="Обычный 8 4 2 3 9" xfId="21110"/>
    <cellStyle name="Обычный 8 4 2 4" xfId="17306"/>
    <cellStyle name="Обычный 8 4 2 4 2" xfId="17761"/>
    <cellStyle name="Обычный 8 4 2 4 2 2" xfId="18875"/>
    <cellStyle name="Обычный 8 4 2 4 2 2 2" xfId="20754"/>
    <cellStyle name="Обычный 8 4 2 4 2 2 2 2" xfId="28080"/>
    <cellStyle name="Обычный 8 4 2 4 2 2 2 2 2" xfId="35391"/>
    <cellStyle name="Обычный 8 4 2 4 2 2 2 2 2 2" xfId="50211"/>
    <cellStyle name="Обычный 8 4 2 4 2 2 2 2 3" xfId="42919"/>
    <cellStyle name="Обычный 8 4 2 4 2 2 2 3" xfId="31737"/>
    <cellStyle name="Обычный 8 4 2 4 2 2 2 3 2" xfId="46560"/>
    <cellStyle name="Обычный 8 4 2 4 2 2 2 4" xfId="39235"/>
    <cellStyle name="Обычный 8 4 2 4 2 2 2 5" xfId="24422"/>
    <cellStyle name="Обычный 8 4 2 4 2 2 3" xfId="26254"/>
    <cellStyle name="Обычный 8 4 2 4 2 2 3 2" xfId="33565"/>
    <cellStyle name="Обычный 8 4 2 4 2 2 3 2 2" xfId="48385"/>
    <cellStyle name="Обычный 8 4 2 4 2 2 3 3" xfId="41098"/>
    <cellStyle name="Обычный 8 4 2 4 2 2 4" xfId="29911"/>
    <cellStyle name="Обычный 8 4 2 4 2 2 4 2" xfId="44735"/>
    <cellStyle name="Обычный 8 4 2 4 2 2 5" xfId="37511"/>
    <cellStyle name="Обычный 8 4 2 4 2 2 6" xfId="22593"/>
    <cellStyle name="Обычный 8 4 2 4 2 3" xfId="19805"/>
    <cellStyle name="Обычный 8 4 2 4 2 3 2" xfId="27174"/>
    <cellStyle name="Обычный 8 4 2 4 2 3 2 2" xfId="34485"/>
    <cellStyle name="Обычный 8 4 2 4 2 3 2 2 2" xfId="49305"/>
    <cellStyle name="Обычный 8 4 2 4 2 3 2 3" xfId="42014"/>
    <cellStyle name="Обычный 8 4 2 4 2 3 3" xfId="30831"/>
    <cellStyle name="Обычный 8 4 2 4 2 3 3 2" xfId="45654"/>
    <cellStyle name="Обычный 8 4 2 4 2 3 4" xfId="38328"/>
    <cellStyle name="Обычный 8 4 2 4 2 3 5" xfId="23516"/>
    <cellStyle name="Обычный 8 4 2 4 2 4" xfId="25333"/>
    <cellStyle name="Обычный 8 4 2 4 2 4 2" xfId="32644"/>
    <cellStyle name="Обычный 8 4 2 4 2 4 2 2" xfId="47467"/>
    <cellStyle name="Обычный 8 4 2 4 2 4 3" xfId="40222"/>
    <cellStyle name="Обычный 8 4 2 4 2 5" xfId="28990"/>
    <cellStyle name="Обычный 8 4 2 4 2 5 2" xfId="43827"/>
    <cellStyle name="Обычный 8 4 2 4 2 6" xfId="36455"/>
    <cellStyle name="Обычный 8 4 2 4 2 7" xfId="21672"/>
    <cellStyle name="Обычный 8 4 2 4 3" xfId="18582"/>
    <cellStyle name="Обычный 8 4 2 4 3 2" xfId="20464"/>
    <cellStyle name="Обычный 8 4 2 4 3 2 2" xfId="27790"/>
    <cellStyle name="Обычный 8 4 2 4 3 2 2 2" xfId="35101"/>
    <cellStyle name="Обычный 8 4 2 4 3 2 2 2 2" xfId="49921"/>
    <cellStyle name="Обычный 8 4 2 4 3 2 2 3" xfId="42629"/>
    <cellStyle name="Обычный 8 4 2 4 3 2 3" xfId="31447"/>
    <cellStyle name="Обычный 8 4 2 4 3 2 3 2" xfId="46270"/>
    <cellStyle name="Обычный 8 4 2 4 3 2 4" xfId="38945"/>
    <cellStyle name="Обычный 8 4 2 4 3 2 5" xfId="24132"/>
    <cellStyle name="Обычный 8 4 2 4 3 3" xfId="25964"/>
    <cellStyle name="Обычный 8 4 2 4 3 3 2" xfId="33275"/>
    <cellStyle name="Обычный 8 4 2 4 3 3 2 2" xfId="48095"/>
    <cellStyle name="Обычный 8 4 2 4 3 3 3" xfId="40808"/>
    <cellStyle name="Обычный 8 4 2 4 3 4" xfId="29621"/>
    <cellStyle name="Обычный 8 4 2 4 3 4 2" xfId="44445"/>
    <cellStyle name="Обычный 8 4 2 4 3 5" xfId="37222"/>
    <cellStyle name="Обычный 8 4 2 4 3 6" xfId="22303"/>
    <cellStyle name="Обычный 8 4 2 4 4" xfId="19354"/>
    <cellStyle name="Обычный 8 4 2 4 4 2" xfId="26724"/>
    <cellStyle name="Обычный 8 4 2 4 4 2 2" xfId="34035"/>
    <cellStyle name="Обычный 8 4 2 4 4 2 2 2" xfId="48855"/>
    <cellStyle name="Обычный 8 4 2 4 4 2 3" xfId="41564"/>
    <cellStyle name="Обычный 8 4 2 4 4 3" xfId="30381"/>
    <cellStyle name="Обычный 8 4 2 4 4 3 2" xfId="45204"/>
    <cellStyle name="Обычный 8 4 2 4 4 4" xfId="37878"/>
    <cellStyle name="Обычный 8 4 2 4 4 5" xfId="23066"/>
    <cellStyle name="Обычный 8 4 2 4 5" xfId="24883"/>
    <cellStyle name="Обычный 8 4 2 4 5 2" xfId="32194"/>
    <cellStyle name="Обычный 8 4 2 4 5 2 2" xfId="47017"/>
    <cellStyle name="Обычный 8 4 2 4 5 3" xfId="39779"/>
    <cellStyle name="Обычный 8 4 2 4 6" xfId="28540"/>
    <cellStyle name="Обычный 8 4 2 4 6 2" xfId="43377"/>
    <cellStyle name="Обычный 8 4 2 4 7" xfId="36006"/>
    <cellStyle name="Обычный 8 4 2 4 8" xfId="21222"/>
    <cellStyle name="Обычный 8 4 2 5" xfId="17537"/>
    <cellStyle name="Обычный 8 4 2 5 2" xfId="18651"/>
    <cellStyle name="Обычный 8 4 2 5 2 2" xfId="20530"/>
    <cellStyle name="Обычный 8 4 2 5 2 2 2" xfId="27856"/>
    <cellStyle name="Обычный 8 4 2 5 2 2 2 2" xfId="35167"/>
    <cellStyle name="Обычный 8 4 2 5 2 2 2 2 2" xfId="49987"/>
    <cellStyle name="Обычный 8 4 2 5 2 2 2 3" xfId="42695"/>
    <cellStyle name="Обычный 8 4 2 5 2 2 3" xfId="31513"/>
    <cellStyle name="Обычный 8 4 2 5 2 2 3 2" xfId="46336"/>
    <cellStyle name="Обычный 8 4 2 5 2 2 4" xfId="39011"/>
    <cellStyle name="Обычный 8 4 2 5 2 2 5" xfId="24198"/>
    <cellStyle name="Обычный 8 4 2 5 2 3" xfId="26030"/>
    <cellStyle name="Обычный 8 4 2 5 2 3 2" xfId="33341"/>
    <cellStyle name="Обычный 8 4 2 5 2 3 2 2" xfId="48161"/>
    <cellStyle name="Обычный 8 4 2 5 2 3 3" xfId="40874"/>
    <cellStyle name="Обычный 8 4 2 5 2 4" xfId="29687"/>
    <cellStyle name="Обычный 8 4 2 5 2 4 2" xfId="44511"/>
    <cellStyle name="Обычный 8 4 2 5 2 5" xfId="37288"/>
    <cellStyle name="Обычный 8 4 2 5 2 6" xfId="22369"/>
    <cellStyle name="Обычный 8 4 2 5 3" xfId="19581"/>
    <cellStyle name="Обычный 8 4 2 5 3 2" xfId="26950"/>
    <cellStyle name="Обычный 8 4 2 5 3 2 2" xfId="34261"/>
    <cellStyle name="Обычный 8 4 2 5 3 2 2 2" xfId="49081"/>
    <cellStyle name="Обычный 8 4 2 5 3 2 3" xfId="41790"/>
    <cellStyle name="Обычный 8 4 2 5 3 3" xfId="30607"/>
    <cellStyle name="Обычный 8 4 2 5 3 3 2" xfId="45430"/>
    <cellStyle name="Обычный 8 4 2 5 3 4" xfId="38104"/>
    <cellStyle name="Обычный 8 4 2 5 3 5" xfId="23292"/>
    <cellStyle name="Обычный 8 4 2 5 4" xfId="25109"/>
    <cellStyle name="Обычный 8 4 2 5 4 2" xfId="32420"/>
    <cellStyle name="Обычный 8 4 2 5 4 2 2" xfId="47243"/>
    <cellStyle name="Обычный 8 4 2 5 4 3" xfId="40003"/>
    <cellStyle name="Обычный 8 4 2 5 5" xfId="28766"/>
    <cellStyle name="Обычный 8 4 2 5 5 2" xfId="43603"/>
    <cellStyle name="Обычный 8 4 2 5 6" xfId="36448"/>
    <cellStyle name="Обычный 8 4 2 5 7" xfId="21448"/>
    <cellStyle name="Обычный 8 4 2 6" xfId="18575"/>
    <cellStyle name="Обычный 8 4 2 6 2" xfId="20457"/>
    <cellStyle name="Обычный 8 4 2 6 2 2" xfId="27783"/>
    <cellStyle name="Обычный 8 4 2 6 2 2 2" xfId="35094"/>
    <cellStyle name="Обычный 8 4 2 6 2 2 2 2" xfId="49914"/>
    <cellStyle name="Обычный 8 4 2 6 2 2 3" xfId="42622"/>
    <cellStyle name="Обычный 8 4 2 6 2 3" xfId="31440"/>
    <cellStyle name="Обычный 8 4 2 6 2 3 2" xfId="46263"/>
    <cellStyle name="Обычный 8 4 2 6 2 4" xfId="38938"/>
    <cellStyle name="Обычный 8 4 2 6 2 5" xfId="24125"/>
    <cellStyle name="Обычный 8 4 2 6 3" xfId="25957"/>
    <cellStyle name="Обычный 8 4 2 6 3 2" xfId="33268"/>
    <cellStyle name="Обычный 8 4 2 6 3 2 2" xfId="48088"/>
    <cellStyle name="Обычный 8 4 2 6 3 3" xfId="40801"/>
    <cellStyle name="Обычный 8 4 2 6 4" xfId="29614"/>
    <cellStyle name="Обычный 8 4 2 6 4 2" xfId="44438"/>
    <cellStyle name="Обычный 8 4 2 6 5" xfId="37215"/>
    <cellStyle name="Обычный 8 4 2 6 6" xfId="22296"/>
    <cellStyle name="Обычный 8 4 2 7" xfId="19134"/>
    <cellStyle name="Обычный 8 4 2 7 2" xfId="26506"/>
    <cellStyle name="Обычный 8 4 2 7 2 2" xfId="33817"/>
    <cellStyle name="Обычный 8 4 2 7 2 2 2" xfId="48637"/>
    <cellStyle name="Обычный 8 4 2 7 2 3" xfId="41346"/>
    <cellStyle name="Обычный 8 4 2 7 3" xfId="30163"/>
    <cellStyle name="Обычный 8 4 2 7 3 2" xfId="44986"/>
    <cellStyle name="Обычный 8 4 2 7 4" xfId="37660"/>
    <cellStyle name="Обычный 8 4 2 7 5" xfId="22848"/>
    <cellStyle name="Обычный 8 4 2 8" xfId="24659"/>
    <cellStyle name="Обычный 8 4 2 8 2" xfId="31970"/>
    <cellStyle name="Обычный 8 4 2 8 2 2" xfId="46793"/>
    <cellStyle name="Обычный 8 4 2 8 3" xfId="39579"/>
    <cellStyle name="Обычный 8 4 2 9" xfId="28316"/>
    <cellStyle name="Обычный 8 4 2 9 2" xfId="43153"/>
    <cellStyle name="Обычный 8 4 3" xfId="17233"/>
    <cellStyle name="Обычный 8 4 3 10" xfId="21026"/>
    <cellStyle name="Обычный 8 4 3 2" xfId="17451"/>
    <cellStyle name="Обычный 8 4 3 2 2" xfId="17901"/>
    <cellStyle name="Обычный 8 4 3 2 2 2" xfId="19015"/>
    <cellStyle name="Обычный 8 4 3 2 2 2 2" xfId="20894"/>
    <cellStyle name="Обычный 8 4 3 2 2 2 2 2" xfId="24562"/>
    <cellStyle name="Обычный 8 4 3 2 2 2 2 2 2" xfId="28220"/>
    <cellStyle name="Обычный 8 4 3 2 2 2 2 2 2 2" xfId="35531"/>
    <cellStyle name="Обычный 8 4 3 2 2 2 2 2 2 2 2" xfId="50351"/>
    <cellStyle name="Обычный 8 4 3 2 2 2 2 2 2 3" xfId="43059"/>
    <cellStyle name="Обычный 8 4 3 2 2 2 2 2 3" xfId="31877"/>
    <cellStyle name="Обычный 8 4 3 2 2 2 2 2 3 2" xfId="46700"/>
    <cellStyle name="Обычный 8 4 3 2 2 2 2 2 4" xfId="39495"/>
    <cellStyle name="Обычный 8 4 3 2 2 2 2 3" xfId="26394"/>
    <cellStyle name="Обычный 8 4 3 2 2 2 2 3 2" xfId="33705"/>
    <cellStyle name="Обычный 8 4 3 2 2 2 2 3 2 2" xfId="48525"/>
    <cellStyle name="Обычный 8 4 3 2 2 2 2 3 3" xfId="41238"/>
    <cellStyle name="Обычный 8 4 3 2 2 2 2 4" xfId="30051"/>
    <cellStyle name="Обычный 8 4 3 2 2 2 2 4 2" xfId="44875"/>
    <cellStyle name="Обычный 8 4 3 2 2 2 2 5" xfId="39375"/>
    <cellStyle name="Обычный 8 4 3 2 2 2 2 6" xfId="22733"/>
    <cellStyle name="Обычный 8 4 3 2 2 2 3" xfId="19945"/>
    <cellStyle name="Обычный 8 4 3 2 2 2 3 2" xfId="27314"/>
    <cellStyle name="Обычный 8 4 3 2 2 2 3 2 2" xfId="34625"/>
    <cellStyle name="Обычный 8 4 3 2 2 2 3 2 2 2" xfId="49445"/>
    <cellStyle name="Обычный 8 4 3 2 2 2 3 2 3" xfId="42154"/>
    <cellStyle name="Обычный 8 4 3 2 2 2 3 3" xfId="30971"/>
    <cellStyle name="Обычный 8 4 3 2 2 2 3 3 2" xfId="45794"/>
    <cellStyle name="Обычный 8 4 3 2 2 2 3 4" xfId="38468"/>
    <cellStyle name="Обычный 8 4 3 2 2 2 3 5" xfId="23656"/>
    <cellStyle name="Обычный 8 4 3 2 2 2 4" xfId="25473"/>
    <cellStyle name="Обычный 8 4 3 2 2 2 4 2" xfId="32784"/>
    <cellStyle name="Обычный 8 4 3 2 2 2 4 2 2" xfId="47607"/>
    <cellStyle name="Обычный 8 4 3 2 2 2 4 3" xfId="40361"/>
    <cellStyle name="Обычный 8 4 3 2 2 2 5" xfId="29130"/>
    <cellStyle name="Обычный 8 4 3 2 2 2 5 2" xfId="43967"/>
    <cellStyle name="Обычный 8 4 3 2 2 2 6" xfId="36458"/>
    <cellStyle name="Обычный 8 4 3 2 2 2 7" xfId="21812"/>
    <cellStyle name="Обычный 8 4 3 2 2 3" xfId="18585"/>
    <cellStyle name="Обычный 8 4 3 2 2 3 2" xfId="20467"/>
    <cellStyle name="Обычный 8 4 3 2 2 3 2 2" xfId="27793"/>
    <cellStyle name="Обычный 8 4 3 2 2 3 2 2 2" xfId="35104"/>
    <cellStyle name="Обычный 8 4 3 2 2 3 2 2 2 2" xfId="49924"/>
    <cellStyle name="Обычный 8 4 3 2 2 3 2 2 3" xfId="42632"/>
    <cellStyle name="Обычный 8 4 3 2 2 3 2 3" xfId="31450"/>
    <cellStyle name="Обычный 8 4 3 2 2 3 2 3 2" xfId="46273"/>
    <cellStyle name="Обычный 8 4 3 2 2 3 2 4" xfId="38948"/>
    <cellStyle name="Обычный 8 4 3 2 2 3 2 5" xfId="24135"/>
    <cellStyle name="Обычный 8 4 3 2 2 3 3" xfId="25967"/>
    <cellStyle name="Обычный 8 4 3 2 2 3 3 2" xfId="33278"/>
    <cellStyle name="Обычный 8 4 3 2 2 3 3 2 2" xfId="48098"/>
    <cellStyle name="Обычный 8 4 3 2 2 3 3 3" xfId="40811"/>
    <cellStyle name="Обычный 8 4 3 2 2 3 4" xfId="29624"/>
    <cellStyle name="Обычный 8 4 3 2 2 3 4 2" xfId="44448"/>
    <cellStyle name="Обычный 8 4 3 2 2 3 5" xfId="37225"/>
    <cellStyle name="Обычный 8 4 3 2 2 3 6" xfId="22306"/>
    <cellStyle name="Обычный 8 4 3 2 2 4" xfId="19494"/>
    <cellStyle name="Обычный 8 4 3 2 2 4 2" xfId="26864"/>
    <cellStyle name="Обычный 8 4 3 2 2 4 2 2" xfId="34175"/>
    <cellStyle name="Обычный 8 4 3 2 2 4 2 2 2" xfId="48995"/>
    <cellStyle name="Обычный 8 4 3 2 2 4 2 3" xfId="41704"/>
    <cellStyle name="Обычный 8 4 3 2 2 4 3" xfId="30521"/>
    <cellStyle name="Обычный 8 4 3 2 2 4 3 2" xfId="45344"/>
    <cellStyle name="Обычный 8 4 3 2 2 4 4" xfId="38018"/>
    <cellStyle name="Обычный 8 4 3 2 2 4 5" xfId="23206"/>
    <cellStyle name="Обычный 8 4 3 2 2 5" xfId="25023"/>
    <cellStyle name="Обычный 8 4 3 2 2 5 2" xfId="32334"/>
    <cellStyle name="Обычный 8 4 3 2 2 5 2 2" xfId="47157"/>
    <cellStyle name="Обычный 8 4 3 2 2 5 3" xfId="39918"/>
    <cellStyle name="Обычный 8 4 3 2 2 6" xfId="28680"/>
    <cellStyle name="Обычный 8 4 3 2 2 6 2" xfId="43517"/>
    <cellStyle name="Обычный 8 4 3 2 2 7" xfId="36009"/>
    <cellStyle name="Обычный 8 4 3 2 2 8" xfId="21362"/>
    <cellStyle name="Обычный 8 4 3 2 3" xfId="17677"/>
    <cellStyle name="Обычный 8 4 3 2 3 2" xfId="18791"/>
    <cellStyle name="Обычный 8 4 3 2 3 2 2" xfId="20670"/>
    <cellStyle name="Обычный 8 4 3 2 3 2 2 2" xfId="27996"/>
    <cellStyle name="Обычный 8 4 3 2 3 2 2 2 2" xfId="35307"/>
    <cellStyle name="Обычный 8 4 3 2 3 2 2 2 2 2" xfId="50127"/>
    <cellStyle name="Обычный 8 4 3 2 3 2 2 2 3" xfId="42835"/>
    <cellStyle name="Обычный 8 4 3 2 3 2 2 3" xfId="31653"/>
    <cellStyle name="Обычный 8 4 3 2 3 2 2 3 2" xfId="46476"/>
    <cellStyle name="Обычный 8 4 3 2 3 2 2 4" xfId="39151"/>
    <cellStyle name="Обычный 8 4 3 2 3 2 2 5" xfId="24338"/>
    <cellStyle name="Обычный 8 4 3 2 3 2 3" xfId="26170"/>
    <cellStyle name="Обычный 8 4 3 2 3 2 3 2" xfId="33481"/>
    <cellStyle name="Обычный 8 4 3 2 3 2 3 2 2" xfId="48301"/>
    <cellStyle name="Обычный 8 4 3 2 3 2 3 3" xfId="41014"/>
    <cellStyle name="Обычный 8 4 3 2 3 2 4" xfId="29827"/>
    <cellStyle name="Обычный 8 4 3 2 3 2 4 2" xfId="44651"/>
    <cellStyle name="Обычный 8 4 3 2 3 2 5" xfId="37428"/>
    <cellStyle name="Обычный 8 4 3 2 3 2 6" xfId="22509"/>
    <cellStyle name="Обычный 8 4 3 2 3 3" xfId="19721"/>
    <cellStyle name="Обычный 8 4 3 2 3 3 2" xfId="27090"/>
    <cellStyle name="Обычный 8 4 3 2 3 3 2 2" xfId="34401"/>
    <cellStyle name="Обычный 8 4 3 2 3 3 2 2 2" xfId="49221"/>
    <cellStyle name="Обычный 8 4 3 2 3 3 2 3" xfId="41930"/>
    <cellStyle name="Обычный 8 4 3 2 3 3 3" xfId="30747"/>
    <cellStyle name="Обычный 8 4 3 2 3 3 3 2" xfId="45570"/>
    <cellStyle name="Обычный 8 4 3 2 3 3 4" xfId="38244"/>
    <cellStyle name="Обычный 8 4 3 2 3 3 5" xfId="23432"/>
    <cellStyle name="Обычный 8 4 3 2 3 4" xfId="25249"/>
    <cellStyle name="Обычный 8 4 3 2 3 4 2" xfId="32560"/>
    <cellStyle name="Обычный 8 4 3 2 3 4 2 2" xfId="47383"/>
    <cellStyle name="Обычный 8 4 3 2 3 4 3" xfId="40141"/>
    <cellStyle name="Обычный 8 4 3 2 3 5" xfId="28906"/>
    <cellStyle name="Обычный 8 4 3 2 3 5 2" xfId="43743"/>
    <cellStyle name="Обычный 8 4 3 2 3 6" xfId="36457"/>
    <cellStyle name="Обычный 8 4 3 2 3 7" xfId="21588"/>
    <cellStyle name="Обычный 8 4 3 2 4" xfId="18584"/>
    <cellStyle name="Обычный 8 4 3 2 4 2" xfId="20466"/>
    <cellStyle name="Обычный 8 4 3 2 4 2 2" xfId="27792"/>
    <cellStyle name="Обычный 8 4 3 2 4 2 2 2" xfId="35103"/>
    <cellStyle name="Обычный 8 4 3 2 4 2 2 2 2" xfId="49923"/>
    <cellStyle name="Обычный 8 4 3 2 4 2 2 3" xfId="42631"/>
    <cellStyle name="Обычный 8 4 3 2 4 2 3" xfId="31449"/>
    <cellStyle name="Обычный 8 4 3 2 4 2 3 2" xfId="46272"/>
    <cellStyle name="Обычный 8 4 3 2 4 2 4" xfId="38947"/>
    <cellStyle name="Обычный 8 4 3 2 4 2 5" xfId="24134"/>
    <cellStyle name="Обычный 8 4 3 2 4 3" xfId="25966"/>
    <cellStyle name="Обычный 8 4 3 2 4 3 2" xfId="33277"/>
    <cellStyle name="Обычный 8 4 3 2 4 3 2 2" xfId="48097"/>
    <cellStyle name="Обычный 8 4 3 2 4 3 3" xfId="40810"/>
    <cellStyle name="Обычный 8 4 3 2 4 4" xfId="29623"/>
    <cellStyle name="Обычный 8 4 3 2 4 4 2" xfId="44447"/>
    <cellStyle name="Обычный 8 4 3 2 4 5" xfId="37224"/>
    <cellStyle name="Обычный 8 4 3 2 4 6" xfId="22305"/>
    <cellStyle name="Обычный 8 4 3 2 5" xfId="19271"/>
    <cellStyle name="Обычный 8 4 3 2 5 2" xfId="26641"/>
    <cellStyle name="Обычный 8 4 3 2 5 2 2" xfId="33952"/>
    <cellStyle name="Обычный 8 4 3 2 5 2 2 2" xfId="48772"/>
    <cellStyle name="Обычный 8 4 3 2 5 2 3" xfId="41481"/>
    <cellStyle name="Обычный 8 4 3 2 5 3" xfId="30298"/>
    <cellStyle name="Обычный 8 4 3 2 5 3 2" xfId="45121"/>
    <cellStyle name="Обычный 8 4 3 2 5 4" xfId="37795"/>
    <cellStyle name="Обычный 8 4 3 2 5 5" xfId="22983"/>
    <cellStyle name="Обычный 8 4 3 2 6" xfId="24799"/>
    <cellStyle name="Обычный 8 4 3 2 6 2" xfId="32110"/>
    <cellStyle name="Обычный 8 4 3 2 6 2 2" xfId="46933"/>
    <cellStyle name="Обычный 8 4 3 2 6 3" xfId="39698"/>
    <cellStyle name="Обычный 8 4 3 2 7" xfId="28456"/>
    <cellStyle name="Обычный 8 4 3 2 7 2" xfId="43293"/>
    <cellStyle name="Обычный 8 4 3 2 8" xfId="36008"/>
    <cellStyle name="Обычный 8 4 3 2 9" xfId="21138"/>
    <cellStyle name="Обычный 8 4 3 3" xfId="17336"/>
    <cellStyle name="Обычный 8 4 3 3 2" xfId="17789"/>
    <cellStyle name="Обычный 8 4 3 3 2 2" xfId="18903"/>
    <cellStyle name="Обычный 8 4 3 3 2 2 2" xfId="20782"/>
    <cellStyle name="Обычный 8 4 3 3 2 2 2 2" xfId="28108"/>
    <cellStyle name="Обычный 8 4 3 3 2 2 2 2 2" xfId="35419"/>
    <cellStyle name="Обычный 8 4 3 3 2 2 2 2 2 2" xfId="50239"/>
    <cellStyle name="Обычный 8 4 3 3 2 2 2 2 3" xfId="42947"/>
    <cellStyle name="Обычный 8 4 3 3 2 2 2 3" xfId="31765"/>
    <cellStyle name="Обычный 8 4 3 3 2 2 2 3 2" xfId="46588"/>
    <cellStyle name="Обычный 8 4 3 3 2 2 2 4" xfId="39263"/>
    <cellStyle name="Обычный 8 4 3 3 2 2 2 5" xfId="24450"/>
    <cellStyle name="Обычный 8 4 3 3 2 2 3" xfId="26282"/>
    <cellStyle name="Обычный 8 4 3 3 2 2 3 2" xfId="33593"/>
    <cellStyle name="Обычный 8 4 3 3 2 2 3 2 2" xfId="48413"/>
    <cellStyle name="Обычный 8 4 3 3 2 2 3 3" xfId="41126"/>
    <cellStyle name="Обычный 8 4 3 3 2 2 4" xfId="29939"/>
    <cellStyle name="Обычный 8 4 3 3 2 2 4 2" xfId="44763"/>
    <cellStyle name="Обычный 8 4 3 3 2 2 5" xfId="37539"/>
    <cellStyle name="Обычный 8 4 3 3 2 2 6" xfId="22621"/>
    <cellStyle name="Обычный 8 4 3 3 2 3" xfId="19833"/>
    <cellStyle name="Обычный 8 4 3 3 2 3 2" xfId="27202"/>
    <cellStyle name="Обычный 8 4 3 3 2 3 2 2" xfId="34513"/>
    <cellStyle name="Обычный 8 4 3 3 2 3 2 2 2" xfId="49333"/>
    <cellStyle name="Обычный 8 4 3 3 2 3 2 3" xfId="42042"/>
    <cellStyle name="Обычный 8 4 3 3 2 3 3" xfId="30859"/>
    <cellStyle name="Обычный 8 4 3 3 2 3 3 2" xfId="45682"/>
    <cellStyle name="Обычный 8 4 3 3 2 3 4" xfId="38356"/>
    <cellStyle name="Обычный 8 4 3 3 2 3 5" xfId="23544"/>
    <cellStyle name="Обычный 8 4 3 3 2 4" xfId="25361"/>
    <cellStyle name="Обычный 8 4 3 3 2 4 2" xfId="32672"/>
    <cellStyle name="Обычный 8 4 3 3 2 4 2 2" xfId="47495"/>
    <cellStyle name="Обычный 8 4 3 3 2 4 3" xfId="40249"/>
    <cellStyle name="Обычный 8 4 3 3 2 5" xfId="29018"/>
    <cellStyle name="Обычный 8 4 3 3 2 5 2" xfId="43855"/>
    <cellStyle name="Обычный 8 4 3 3 2 6" xfId="36459"/>
    <cellStyle name="Обычный 8 4 3 3 2 7" xfId="21700"/>
    <cellStyle name="Обычный 8 4 3 3 3" xfId="18586"/>
    <cellStyle name="Обычный 8 4 3 3 3 2" xfId="20468"/>
    <cellStyle name="Обычный 8 4 3 3 3 2 2" xfId="27794"/>
    <cellStyle name="Обычный 8 4 3 3 3 2 2 2" xfId="35105"/>
    <cellStyle name="Обычный 8 4 3 3 3 2 2 2 2" xfId="49925"/>
    <cellStyle name="Обычный 8 4 3 3 3 2 2 3" xfId="42633"/>
    <cellStyle name="Обычный 8 4 3 3 3 2 3" xfId="31451"/>
    <cellStyle name="Обычный 8 4 3 3 3 2 3 2" xfId="46274"/>
    <cellStyle name="Обычный 8 4 3 3 3 2 4" xfId="38949"/>
    <cellStyle name="Обычный 8 4 3 3 3 2 5" xfId="24136"/>
    <cellStyle name="Обычный 8 4 3 3 3 3" xfId="25968"/>
    <cellStyle name="Обычный 8 4 3 3 3 3 2" xfId="33279"/>
    <cellStyle name="Обычный 8 4 3 3 3 3 2 2" xfId="48099"/>
    <cellStyle name="Обычный 8 4 3 3 3 3 3" xfId="40812"/>
    <cellStyle name="Обычный 8 4 3 3 3 4" xfId="29625"/>
    <cellStyle name="Обычный 8 4 3 3 3 4 2" xfId="44449"/>
    <cellStyle name="Обычный 8 4 3 3 3 5" xfId="37226"/>
    <cellStyle name="Обычный 8 4 3 3 3 6" xfId="22307"/>
    <cellStyle name="Обычный 8 4 3 3 4" xfId="19382"/>
    <cellStyle name="Обычный 8 4 3 3 4 2" xfId="26752"/>
    <cellStyle name="Обычный 8 4 3 3 4 2 2" xfId="34063"/>
    <cellStyle name="Обычный 8 4 3 3 4 2 2 2" xfId="48883"/>
    <cellStyle name="Обычный 8 4 3 3 4 2 3" xfId="41592"/>
    <cellStyle name="Обычный 8 4 3 3 4 3" xfId="30409"/>
    <cellStyle name="Обычный 8 4 3 3 4 3 2" xfId="45232"/>
    <cellStyle name="Обычный 8 4 3 3 4 4" xfId="37906"/>
    <cellStyle name="Обычный 8 4 3 3 4 5" xfId="23094"/>
    <cellStyle name="Обычный 8 4 3 3 5" xfId="24911"/>
    <cellStyle name="Обычный 8 4 3 3 5 2" xfId="32222"/>
    <cellStyle name="Обычный 8 4 3 3 5 2 2" xfId="47045"/>
    <cellStyle name="Обычный 8 4 3 3 5 3" xfId="39806"/>
    <cellStyle name="Обычный 8 4 3 3 6" xfId="28568"/>
    <cellStyle name="Обычный 8 4 3 3 6 2" xfId="43405"/>
    <cellStyle name="Обычный 8 4 3 3 7" xfId="36010"/>
    <cellStyle name="Обычный 8 4 3 3 8" xfId="21250"/>
    <cellStyle name="Обычный 8 4 3 4" xfId="17565"/>
    <cellStyle name="Обычный 8 4 3 4 2" xfId="18679"/>
    <cellStyle name="Обычный 8 4 3 4 2 2" xfId="20558"/>
    <cellStyle name="Обычный 8 4 3 4 2 2 2" xfId="27884"/>
    <cellStyle name="Обычный 8 4 3 4 2 2 2 2" xfId="35195"/>
    <cellStyle name="Обычный 8 4 3 4 2 2 2 2 2" xfId="50015"/>
    <cellStyle name="Обычный 8 4 3 4 2 2 2 3" xfId="42723"/>
    <cellStyle name="Обычный 8 4 3 4 2 2 3" xfId="31541"/>
    <cellStyle name="Обычный 8 4 3 4 2 2 3 2" xfId="46364"/>
    <cellStyle name="Обычный 8 4 3 4 2 2 4" xfId="39039"/>
    <cellStyle name="Обычный 8 4 3 4 2 2 5" xfId="24226"/>
    <cellStyle name="Обычный 8 4 3 4 2 3" xfId="26058"/>
    <cellStyle name="Обычный 8 4 3 4 2 3 2" xfId="33369"/>
    <cellStyle name="Обычный 8 4 3 4 2 3 2 2" xfId="48189"/>
    <cellStyle name="Обычный 8 4 3 4 2 3 3" xfId="40902"/>
    <cellStyle name="Обычный 8 4 3 4 2 4" xfId="29715"/>
    <cellStyle name="Обычный 8 4 3 4 2 4 2" xfId="44539"/>
    <cellStyle name="Обычный 8 4 3 4 2 5" xfId="37316"/>
    <cellStyle name="Обычный 8 4 3 4 2 6" xfId="22397"/>
    <cellStyle name="Обычный 8 4 3 4 3" xfId="19609"/>
    <cellStyle name="Обычный 8 4 3 4 3 2" xfId="26978"/>
    <cellStyle name="Обычный 8 4 3 4 3 2 2" xfId="34289"/>
    <cellStyle name="Обычный 8 4 3 4 3 2 2 2" xfId="49109"/>
    <cellStyle name="Обычный 8 4 3 4 3 2 3" xfId="41818"/>
    <cellStyle name="Обычный 8 4 3 4 3 3" xfId="30635"/>
    <cellStyle name="Обычный 8 4 3 4 3 3 2" xfId="45458"/>
    <cellStyle name="Обычный 8 4 3 4 3 4" xfId="38132"/>
    <cellStyle name="Обычный 8 4 3 4 3 5" xfId="23320"/>
    <cellStyle name="Обычный 8 4 3 4 4" xfId="25137"/>
    <cellStyle name="Обычный 8 4 3 4 4 2" xfId="32448"/>
    <cellStyle name="Обычный 8 4 3 4 4 2 2" xfId="47271"/>
    <cellStyle name="Обычный 8 4 3 4 4 3" xfId="40031"/>
    <cellStyle name="Обычный 8 4 3 4 5" xfId="28794"/>
    <cellStyle name="Обычный 8 4 3 4 5 2" xfId="43631"/>
    <cellStyle name="Обычный 8 4 3 4 6" xfId="36456"/>
    <cellStyle name="Обычный 8 4 3 4 7" xfId="21476"/>
    <cellStyle name="Обычный 8 4 3 5" xfId="18099"/>
    <cellStyle name="Обычный 8 4 3 5 2" xfId="20465"/>
    <cellStyle name="Обычный 8 4 3 5 2 2" xfId="27791"/>
    <cellStyle name="Обычный 8 4 3 5 2 2 2" xfId="35102"/>
    <cellStyle name="Обычный 8 4 3 5 2 2 2 2" xfId="49922"/>
    <cellStyle name="Обычный 8 4 3 5 2 2 3" xfId="42630"/>
    <cellStyle name="Обычный 8 4 3 5 2 3" xfId="31448"/>
    <cellStyle name="Обычный 8 4 3 5 2 3 2" xfId="46271"/>
    <cellStyle name="Обычный 8 4 3 5 2 4" xfId="38946"/>
    <cellStyle name="Обычный 8 4 3 5 2 5" xfId="24133"/>
    <cellStyle name="Обычный 8 4 3 5 3" xfId="25965"/>
    <cellStyle name="Обычный 8 4 3 5 3 2" xfId="33276"/>
    <cellStyle name="Обычный 8 4 3 5 3 2 2" xfId="48096"/>
    <cellStyle name="Обычный 8 4 3 5 3 3" xfId="40809"/>
    <cellStyle name="Обычный 8 4 3 5 4" xfId="29622"/>
    <cellStyle name="Обычный 8 4 3 5 4 2" xfId="44446"/>
    <cellStyle name="Обычный 8 4 3 5 5" xfId="36755"/>
    <cellStyle name="Обычный 8 4 3 5 6" xfId="22304"/>
    <cellStyle name="Обычный 8 4 3 6" xfId="18583"/>
    <cellStyle name="Обычный 8 4 3 6 2" xfId="26533"/>
    <cellStyle name="Обычный 8 4 3 6 2 2" xfId="33844"/>
    <cellStyle name="Обычный 8 4 3 6 2 2 2" xfId="48664"/>
    <cellStyle name="Обычный 8 4 3 6 2 3" xfId="41373"/>
    <cellStyle name="Обычный 8 4 3 6 3" xfId="30190"/>
    <cellStyle name="Обычный 8 4 3 6 3 2" xfId="45013"/>
    <cellStyle name="Обычный 8 4 3 6 4" xfId="37223"/>
    <cellStyle name="Обычный 8 4 3 6 5" xfId="22875"/>
    <cellStyle name="Обычный 8 4 3 7" xfId="19162"/>
    <cellStyle name="Обычный 8 4 3 7 2" xfId="31998"/>
    <cellStyle name="Обычный 8 4 3 7 2 2" xfId="46821"/>
    <cellStyle name="Обычный 8 4 3 7 3" xfId="37687"/>
    <cellStyle name="Обычный 8 4 3 7 4" xfId="24687"/>
    <cellStyle name="Обычный 8 4 3 8" xfId="28344"/>
    <cellStyle name="Обычный 8 4 3 8 2" xfId="43181"/>
    <cellStyle name="Обычный 8 4 3 8 3" xfId="36656"/>
    <cellStyle name="Обычный 8 4 3 9" xfId="36007"/>
    <cellStyle name="Обычный 8 4 4" xfId="17176"/>
    <cellStyle name="Обычный 8 4 4 2" xfId="17395"/>
    <cellStyle name="Обычный 8 4 4 2 2" xfId="17845"/>
    <cellStyle name="Обычный 8 4 4 2 2 2" xfId="18959"/>
    <cellStyle name="Обычный 8 4 4 2 2 2 2" xfId="20838"/>
    <cellStyle name="Обычный 8 4 4 2 2 2 2 2" xfId="28164"/>
    <cellStyle name="Обычный 8 4 4 2 2 2 2 2 2" xfId="35475"/>
    <cellStyle name="Обычный 8 4 4 2 2 2 2 2 2 2" xfId="50295"/>
    <cellStyle name="Обычный 8 4 4 2 2 2 2 2 3" xfId="43003"/>
    <cellStyle name="Обычный 8 4 4 2 2 2 2 3" xfId="31821"/>
    <cellStyle name="Обычный 8 4 4 2 2 2 2 3 2" xfId="46644"/>
    <cellStyle name="Обычный 8 4 4 2 2 2 2 4" xfId="39319"/>
    <cellStyle name="Обычный 8 4 4 2 2 2 2 5" xfId="24506"/>
    <cellStyle name="Обычный 8 4 4 2 2 2 3" xfId="26338"/>
    <cellStyle name="Обычный 8 4 4 2 2 2 3 2" xfId="33649"/>
    <cellStyle name="Обычный 8 4 4 2 2 2 3 2 2" xfId="48469"/>
    <cellStyle name="Обычный 8 4 4 2 2 2 3 3" xfId="41182"/>
    <cellStyle name="Обычный 8 4 4 2 2 2 4" xfId="29995"/>
    <cellStyle name="Обычный 8 4 4 2 2 2 4 2" xfId="44819"/>
    <cellStyle name="Обычный 8 4 4 2 2 2 5" xfId="37569"/>
    <cellStyle name="Обычный 8 4 4 2 2 2 6" xfId="22677"/>
    <cellStyle name="Обычный 8 4 4 2 2 3" xfId="19889"/>
    <cellStyle name="Обычный 8 4 4 2 2 3 2" xfId="27258"/>
    <cellStyle name="Обычный 8 4 4 2 2 3 2 2" xfId="34569"/>
    <cellStyle name="Обычный 8 4 4 2 2 3 2 2 2" xfId="49389"/>
    <cellStyle name="Обычный 8 4 4 2 2 3 2 3" xfId="42098"/>
    <cellStyle name="Обычный 8 4 4 2 2 3 3" xfId="30915"/>
    <cellStyle name="Обычный 8 4 4 2 2 3 3 2" xfId="45738"/>
    <cellStyle name="Обычный 8 4 4 2 2 3 4" xfId="38412"/>
    <cellStyle name="Обычный 8 4 4 2 2 3 5" xfId="23600"/>
    <cellStyle name="Обычный 8 4 4 2 2 4" xfId="25417"/>
    <cellStyle name="Обычный 8 4 4 2 2 4 2" xfId="32728"/>
    <cellStyle name="Обычный 8 4 4 2 2 4 2 2" xfId="47551"/>
    <cellStyle name="Обычный 8 4 4 2 2 4 3" xfId="40305"/>
    <cellStyle name="Обычный 8 4 4 2 2 5" xfId="29074"/>
    <cellStyle name="Обычный 8 4 4 2 2 5 2" xfId="43911"/>
    <cellStyle name="Обычный 8 4 4 2 2 6" xfId="36461"/>
    <cellStyle name="Обычный 8 4 4 2 2 7" xfId="21756"/>
    <cellStyle name="Обычный 8 4 4 2 3" xfId="18588"/>
    <cellStyle name="Обычный 8 4 4 2 3 2" xfId="20470"/>
    <cellStyle name="Обычный 8 4 4 2 3 2 2" xfId="27796"/>
    <cellStyle name="Обычный 8 4 4 2 3 2 2 2" xfId="35107"/>
    <cellStyle name="Обычный 8 4 4 2 3 2 2 2 2" xfId="49927"/>
    <cellStyle name="Обычный 8 4 4 2 3 2 2 3" xfId="42635"/>
    <cellStyle name="Обычный 8 4 4 2 3 2 3" xfId="31453"/>
    <cellStyle name="Обычный 8 4 4 2 3 2 3 2" xfId="46276"/>
    <cellStyle name="Обычный 8 4 4 2 3 2 4" xfId="38951"/>
    <cellStyle name="Обычный 8 4 4 2 3 2 5" xfId="24138"/>
    <cellStyle name="Обычный 8 4 4 2 3 3" xfId="25970"/>
    <cellStyle name="Обычный 8 4 4 2 3 3 2" xfId="33281"/>
    <cellStyle name="Обычный 8 4 4 2 3 3 2 2" xfId="48101"/>
    <cellStyle name="Обычный 8 4 4 2 3 3 3" xfId="40814"/>
    <cellStyle name="Обычный 8 4 4 2 3 4" xfId="29627"/>
    <cellStyle name="Обычный 8 4 4 2 3 4 2" xfId="44451"/>
    <cellStyle name="Обычный 8 4 4 2 3 5" xfId="37228"/>
    <cellStyle name="Обычный 8 4 4 2 3 6" xfId="22309"/>
    <cellStyle name="Обычный 8 4 4 2 4" xfId="19438"/>
    <cellStyle name="Обычный 8 4 4 2 4 2" xfId="26808"/>
    <cellStyle name="Обычный 8 4 4 2 4 2 2" xfId="34119"/>
    <cellStyle name="Обычный 8 4 4 2 4 2 2 2" xfId="48939"/>
    <cellStyle name="Обычный 8 4 4 2 4 2 3" xfId="41648"/>
    <cellStyle name="Обычный 8 4 4 2 4 3" xfId="30465"/>
    <cellStyle name="Обычный 8 4 4 2 4 3 2" xfId="45288"/>
    <cellStyle name="Обычный 8 4 4 2 4 4" xfId="37962"/>
    <cellStyle name="Обычный 8 4 4 2 4 5" xfId="23150"/>
    <cellStyle name="Обычный 8 4 4 2 5" xfId="24967"/>
    <cellStyle name="Обычный 8 4 4 2 5 2" xfId="32278"/>
    <cellStyle name="Обычный 8 4 4 2 5 2 2" xfId="47101"/>
    <cellStyle name="Обычный 8 4 4 2 5 3" xfId="39862"/>
    <cellStyle name="Обычный 8 4 4 2 6" xfId="28624"/>
    <cellStyle name="Обычный 8 4 4 2 6 2" xfId="43461"/>
    <cellStyle name="Обычный 8 4 4 2 7" xfId="36012"/>
    <cellStyle name="Обычный 8 4 4 2 8" xfId="21306"/>
    <cellStyle name="Обычный 8 4 4 3" xfId="17621"/>
    <cellStyle name="Обычный 8 4 4 3 2" xfId="18735"/>
    <cellStyle name="Обычный 8 4 4 3 2 2" xfId="20614"/>
    <cellStyle name="Обычный 8 4 4 3 2 2 2" xfId="27940"/>
    <cellStyle name="Обычный 8 4 4 3 2 2 2 2" xfId="35251"/>
    <cellStyle name="Обычный 8 4 4 3 2 2 2 2 2" xfId="50071"/>
    <cellStyle name="Обычный 8 4 4 3 2 2 2 3" xfId="42779"/>
    <cellStyle name="Обычный 8 4 4 3 2 2 3" xfId="31597"/>
    <cellStyle name="Обычный 8 4 4 3 2 2 3 2" xfId="46420"/>
    <cellStyle name="Обычный 8 4 4 3 2 2 4" xfId="39095"/>
    <cellStyle name="Обычный 8 4 4 3 2 2 5" xfId="24282"/>
    <cellStyle name="Обычный 8 4 4 3 2 3" xfId="26114"/>
    <cellStyle name="Обычный 8 4 4 3 2 3 2" xfId="33425"/>
    <cellStyle name="Обычный 8 4 4 3 2 3 2 2" xfId="48245"/>
    <cellStyle name="Обычный 8 4 4 3 2 3 3" xfId="40958"/>
    <cellStyle name="Обычный 8 4 4 3 2 4" xfId="29771"/>
    <cellStyle name="Обычный 8 4 4 3 2 4 2" xfId="44595"/>
    <cellStyle name="Обычный 8 4 4 3 2 5" xfId="37372"/>
    <cellStyle name="Обычный 8 4 4 3 2 6" xfId="22453"/>
    <cellStyle name="Обычный 8 4 4 3 3" xfId="19665"/>
    <cellStyle name="Обычный 8 4 4 3 3 2" xfId="27034"/>
    <cellStyle name="Обычный 8 4 4 3 3 2 2" xfId="34345"/>
    <cellStyle name="Обычный 8 4 4 3 3 2 2 2" xfId="49165"/>
    <cellStyle name="Обычный 8 4 4 3 3 2 3" xfId="41874"/>
    <cellStyle name="Обычный 8 4 4 3 3 3" xfId="30691"/>
    <cellStyle name="Обычный 8 4 4 3 3 3 2" xfId="45514"/>
    <cellStyle name="Обычный 8 4 4 3 3 4" xfId="38188"/>
    <cellStyle name="Обычный 8 4 4 3 3 5" xfId="23376"/>
    <cellStyle name="Обычный 8 4 4 3 4" xfId="25193"/>
    <cellStyle name="Обычный 8 4 4 3 4 2" xfId="32504"/>
    <cellStyle name="Обычный 8 4 4 3 4 2 2" xfId="47327"/>
    <cellStyle name="Обычный 8 4 4 3 4 3" xfId="40085"/>
    <cellStyle name="Обычный 8 4 4 3 5" xfId="28850"/>
    <cellStyle name="Обычный 8 4 4 3 5 2" xfId="43687"/>
    <cellStyle name="Обычный 8 4 4 3 6" xfId="36460"/>
    <cellStyle name="Обычный 8 4 4 3 7" xfId="21532"/>
    <cellStyle name="Обычный 8 4 4 4" xfId="18587"/>
    <cellStyle name="Обычный 8 4 4 4 2" xfId="20469"/>
    <cellStyle name="Обычный 8 4 4 4 2 2" xfId="27795"/>
    <cellStyle name="Обычный 8 4 4 4 2 2 2" xfId="35106"/>
    <cellStyle name="Обычный 8 4 4 4 2 2 2 2" xfId="49926"/>
    <cellStyle name="Обычный 8 4 4 4 2 2 3" xfId="42634"/>
    <cellStyle name="Обычный 8 4 4 4 2 3" xfId="31452"/>
    <cellStyle name="Обычный 8 4 4 4 2 3 2" xfId="46275"/>
    <cellStyle name="Обычный 8 4 4 4 2 4" xfId="38950"/>
    <cellStyle name="Обычный 8 4 4 4 2 5" xfId="24137"/>
    <cellStyle name="Обычный 8 4 4 4 3" xfId="25969"/>
    <cellStyle name="Обычный 8 4 4 4 3 2" xfId="33280"/>
    <cellStyle name="Обычный 8 4 4 4 3 2 2" xfId="48100"/>
    <cellStyle name="Обычный 8 4 4 4 3 3" xfId="40813"/>
    <cellStyle name="Обычный 8 4 4 4 4" xfId="29626"/>
    <cellStyle name="Обычный 8 4 4 4 4 2" xfId="44450"/>
    <cellStyle name="Обычный 8 4 4 4 5" xfId="37227"/>
    <cellStyle name="Обычный 8 4 4 4 6" xfId="22308"/>
    <cellStyle name="Обычный 8 4 4 5" xfId="19216"/>
    <cellStyle name="Обычный 8 4 4 5 2" xfId="26586"/>
    <cellStyle name="Обычный 8 4 4 5 2 2" xfId="33897"/>
    <cellStyle name="Обычный 8 4 4 5 2 2 2" xfId="48717"/>
    <cellStyle name="Обычный 8 4 4 5 2 3" xfId="41426"/>
    <cellStyle name="Обычный 8 4 4 5 3" xfId="30243"/>
    <cellStyle name="Обычный 8 4 4 5 3 2" xfId="45066"/>
    <cellStyle name="Обычный 8 4 4 5 4" xfId="37740"/>
    <cellStyle name="Обычный 8 4 4 5 5" xfId="22928"/>
    <cellStyle name="Обычный 8 4 4 6" xfId="24743"/>
    <cellStyle name="Обычный 8 4 4 6 2" xfId="32054"/>
    <cellStyle name="Обычный 8 4 4 6 2 2" xfId="46877"/>
    <cellStyle name="Обычный 8 4 4 6 3" xfId="39646"/>
    <cellStyle name="Обычный 8 4 4 7" xfId="28400"/>
    <cellStyle name="Обычный 8 4 4 7 2" xfId="43237"/>
    <cellStyle name="Обычный 8 4 4 8" xfId="36011"/>
    <cellStyle name="Обычный 8 4 4 9" xfId="21082"/>
    <cellStyle name="Обычный 8 4 5" xfId="17278"/>
    <cellStyle name="Обычный 8 4 5 2" xfId="17733"/>
    <cellStyle name="Обычный 8 4 5 2 2" xfId="18847"/>
    <cellStyle name="Обычный 8 4 5 2 2 2" xfId="20726"/>
    <cellStyle name="Обычный 8 4 5 2 2 2 2" xfId="28052"/>
    <cellStyle name="Обычный 8 4 5 2 2 2 2 2" xfId="35363"/>
    <cellStyle name="Обычный 8 4 5 2 2 2 2 2 2" xfId="50183"/>
    <cellStyle name="Обычный 8 4 5 2 2 2 2 3" xfId="42891"/>
    <cellStyle name="Обычный 8 4 5 2 2 2 3" xfId="31709"/>
    <cellStyle name="Обычный 8 4 5 2 2 2 3 2" xfId="46532"/>
    <cellStyle name="Обычный 8 4 5 2 2 2 4" xfId="39207"/>
    <cellStyle name="Обычный 8 4 5 2 2 2 5" xfId="24394"/>
    <cellStyle name="Обычный 8 4 5 2 2 3" xfId="26226"/>
    <cellStyle name="Обычный 8 4 5 2 2 3 2" xfId="33537"/>
    <cellStyle name="Обычный 8 4 5 2 2 3 2 2" xfId="48357"/>
    <cellStyle name="Обычный 8 4 5 2 2 3 3" xfId="41070"/>
    <cellStyle name="Обычный 8 4 5 2 2 4" xfId="29883"/>
    <cellStyle name="Обычный 8 4 5 2 2 4 2" xfId="44707"/>
    <cellStyle name="Обычный 8 4 5 2 2 5" xfId="37483"/>
    <cellStyle name="Обычный 8 4 5 2 2 6" xfId="22565"/>
    <cellStyle name="Обычный 8 4 5 2 3" xfId="19777"/>
    <cellStyle name="Обычный 8 4 5 2 3 2" xfId="27146"/>
    <cellStyle name="Обычный 8 4 5 2 3 2 2" xfId="34457"/>
    <cellStyle name="Обычный 8 4 5 2 3 2 2 2" xfId="49277"/>
    <cellStyle name="Обычный 8 4 5 2 3 2 3" xfId="41986"/>
    <cellStyle name="Обычный 8 4 5 2 3 3" xfId="30803"/>
    <cellStyle name="Обычный 8 4 5 2 3 3 2" xfId="45626"/>
    <cellStyle name="Обычный 8 4 5 2 3 4" xfId="38300"/>
    <cellStyle name="Обычный 8 4 5 2 3 5" xfId="23488"/>
    <cellStyle name="Обычный 8 4 5 2 4" xfId="25305"/>
    <cellStyle name="Обычный 8 4 5 2 4 2" xfId="32616"/>
    <cellStyle name="Обычный 8 4 5 2 4 2 2" xfId="47439"/>
    <cellStyle name="Обычный 8 4 5 2 4 3" xfId="40195"/>
    <cellStyle name="Обычный 8 4 5 2 5" xfId="28962"/>
    <cellStyle name="Обычный 8 4 5 2 5 2" xfId="43799"/>
    <cellStyle name="Обычный 8 4 5 2 6" xfId="36462"/>
    <cellStyle name="Обычный 8 4 5 2 7" xfId="21644"/>
    <cellStyle name="Обычный 8 4 5 3" xfId="18589"/>
    <cellStyle name="Обычный 8 4 5 3 2" xfId="20471"/>
    <cellStyle name="Обычный 8 4 5 3 2 2" xfId="27797"/>
    <cellStyle name="Обычный 8 4 5 3 2 2 2" xfId="35108"/>
    <cellStyle name="Обычный 8 4 5 3 2 2 2 2" xfId="49928"/>
    <cellStyle name="Обычный 8 4 5 3 2 2 3" xfId="42636"/>
    <cellStyle name="Обычный 8 4 5 3 2 3" xfId="31454"/>
    <cellStyle name="Обычный 8 4 5 3 2 3 2" xfId="46277"/>
    <cellStyle name="Обычный 8 4 5 3 2 4" xfId="38952"/>
    <cellStyle name="Обычный 8 4 5 3 2 5" xfId="24139"/>
    <cellStyle name="Обычный 8 4 5 3 3" xfId="25971"/>
    <cellStyle name="Обычный 8 4 5 3 3 2" xfId="33282"/>
    <cellStyle name="Обычный 8 4 5 3 3 2 2" xfId="48102"/>
    <cellStyle name="Обычный 8 4 5 3 3 3" xfId="40815"/>
    <cellStyle name="Обычный 8 4 5 3 4" xfId="29628"/>
    <cellStyle name="Обычный 8 4 5 3 4 2" xfId="44452"/>
    <cellStyle name="Обычный 8 4 5 3 5" xfId="37229"/>
    <cellStyle name="Обычный 8 4 5 3 6" xfId="22310"/>
    <cellStyle name="Обычный 8 4 5 4" xfId="19326"/>
    <cellStyle name="Обычный 8 4 5 4 2" xfId="26696"/>
    <cellStyle name="Обычный 8 4 5 4 2 2" xfId="34007"/>
    <cellStyle name="Обычный 8 4 5 4 2 2 2" xfId="48827"/>
    <cellStyle name="Обычный 8 4 5 4 2 3" xfId="41536"/>
    <cellStyle name="Обычный 8 4 5 4 3" xfId="30353"/>
    <cellStyle name="Обычный 8 4 5 4 3 2" xfId="45176"/>
    <cellStyle name="Обычный 8 4 5 4 4" xfId="37850"/>
    <cellStyle name="Обычный 8 4 5 4 5" xfId="23038"/>
    <cellStyle name="Обычный 8 4 5 5" xfId="24855"/>
    <cellStyle name="Обычный 8 4 5 5 2" xfId="32166"/>
    <cellStyle name="Обычный 8 4 5 5 2 2" xfId="46989"/>
    <cellStyle name="Обычный 8 4 5 5 3" xfId="39752"/>
    <cellStyle name="Обычный 8 4 5 6" xfId="28512"/>
    <cellStyle name="Обычный 8 4 5 6 2" xfId="43349"/>
    <cellStyle name="Обычный 8 4 5 7" xfId="36013"/>
    <cellStyle name="Обычный 8 4 5 8" xfId="21194"/>
    <cellStyle name="Обычный 8 4 6" xfId="17509"/>
    <cellStyle name="Обычный 8 4 6 2" xfId="18623"/>
    <cellStyle name="Обычный 8 4 6 2 2" xfId="20502"/>
    <cellStyle name="Обычный 8 4 6 2 2 2" xfId="27828"/>
    <cellStyle name="Обычный 8 4 6 2 2 2 2" xfId="35139"/>
    <cellStyle name="Обычный 8 4 6 2 2 2 2 2" xfId="49959"/>
    <cellStyle name="Обычный 8 4 6 2 2 2 3" xfId="42667"/>
    <cellStyle name="Обычный 8 4 6 2 2 3" xfId="31485"/>
    <cellStyle name="Обычный 8 4 6 2 2 3 2" xfId="46308"/>
    <cellStyle name="Обычный 8 4 6 2 2 4" xfId="38983"/>
    <cellStyle name="Обычный 8 4 6 2 2 5" xfId="24170"/>
    <cellStyle name="Обычный 8 4 6 2 3" xfId="26002"/>
    <cellStyle name="Обычный 8 4 6 2 3 2" xfId="33313"/>
    <cellStyle name="Обычный 8 4 6 2 3 2 2" xfId="48133"/>
    <cellStyle name="Обычный 8 4 6 2 3 3" xfId="40846"/>
    <cellStyle name="Обычный 8 4 6 2 4" xfId="29659"/>
    <cellStyle name="Обычный 8 4 6 2 4 2" xfId="44483"/>
    <cellStyle name="Обычный 8 4 6 2 5" xfId="37260"/>
    <cellStyle name="Обычный 8 4 6 2 6" xfId="22341"/>
    <cellStyle name="Обычный 8 4 6 3" xfId="19553"/>
    <cellStyle name="Обычный 8 4 6 3 2" xfId="26922"/>
    <cellStyle name="Обычный 8 4 6 3 2 2" xfId="34233"/>
    <cellStyle name="Обычный 8 4 6 3 2 2 2" xfId="49053"/>
    <cellStyle name="Обычный 8 4 6 3 2 3" xfId="41762"/>
    <cellStyle name="Обычный 8 4 6 3 3" xfId="30579"/>
    <cellStyle name="Обычный 8 4 6 3 3 2" xfId="45402"/>
    <cellStyle name="Обычный 8 4 6 3 4" xfId="38076"/>
    <cellStyle name="Обычный 8 4 6 3 5" xfId="23264"/>
    <cellStyle name="Обычный 8 4 6 4" xfId="25081"/>
    <cellStyle name="Обычный 8 4 6 4 2" xfId="32392"/>
    <cellStyle name="Обычный 8 4 6 4 2 2" xfId="47215"/>
    <cellStyle name="Обычный 8 4 6 4 3" xfId="39976"/>
    <cellStyle name="Обычный 8 4 6 5" xfId="28738"/>
    <cellStyle name="Обычный 8 4 6 5 2" xfId="43575"/>
    <cellStyle name="Обычный 8 4 6 6" xfId="36447"/>
    <cellStyle name="Обычный 8 4 6 7" xfId="21420"/>
    <cellStyle name="Обычный 8 4 7" xfId="18027"/>
    <cellStyle name="Обычный 8 4 7 2" xfId="18574"/>
    <cellStyle name="Обычный 8 4 7 2 2" xfId="27782"/>
    <cellStyle name="Обычный 8 4 7 2 2 2" xfId="35093"/>
    <cellStyle name="Обычный 8 4 7 2 2 2 2" xfId="49913"/>
    <cellStyle name="Обычный 8 4 7 2 2 3" xfId="42621"/>
    <cellStyle name="Обычный 8 4 7 2 3" xfId="31439"/>
    <cellStyle name="Обычный 8 4 7 2 3 2" xfId="46262"/>
    <cellStyle name="Обычный 8 4 7 2 4" xfId="37214"/>
    <cellStyle name="Обычный 8 4 7 2 5" xfId="24124"/>
    <cellStyle name="Обычный 8 4 7 3" xfId="20456"/>
    <cellStyle name="Обычный 8 4 7 3 2" xfId="33267"/>
    <cellStyle name="Обычный 8 4 7 3 2 2" xfId="48087"/>
    <cellStyle name="Обычный 8 4 7 3 3" xfId="38937"/>
    <cellStyle name="Обычный 8 4 7 3 4" xfId="25956"/>
    <cellStyle name="Обычный 8 4 7 4" xfId="29613"/>
    <cellStyle name="Обычный 8 4 7 4 2" xfId="44437"/>
    <cellStyle name="Обычный 8 4 7 5" xfId="36702"/>
    <cellStyle name="Обычный 8 4 7 6" xfId="22295"/>
    <cellStyle name="Обычный 8 4 8" xfId="20016"/>
    <cellStyle name="Обычный 8 4 9" xfId="19111"/>
    <cellStyle name="Обычный 8 4 9 2" xfId="26485"/>
    <cellStyle name="Обычный 8 4 9 2 2" xfId="33796"/>
    <cellStyle name="Обычный 8 4 9 2 2 2" xfId="48616"/>
    <cellStyle name="Обычный 8 4 9 2 3" xfId="41325"/>
    <cellStyle name="Обычный 8 4 9 3" xfId="30142"/>
    <cellStyle name="Обычный 8 4 9 3 2" xfId="44965"/>
    <cellStyle name="Обычный 8 4 9 4" xfId="37639"/>
    <cellStyle name="Обычный 8 4 9 5" xfId="22827"/>
    <cellStyle name="Обычный 8 5" xfId="16928"/>
    <cellStyle name="Обычный 8 5 10" xfId="36014"/>
    <cellStyle name="Обычный 8 5 11" xfId="20984"/>
    <cellStyle name="Обычный 8 5 2" xfId="17030"/>
    <cellStyle name="Обычный 8 5 2 10" xfId="21040"/>
    <cellStyle name="Обычный 8 5 2 2" xfId="17148"/>
    <cellStyle name="Обычный 8 5 2 2 2" xfId="17465"/>
    <cellStyle name="Обычный 8 5 2 2 2 2" xfId="17915"/>
    <cellStyle name="Обычный 8 5 2 2 2 2 2" xfId="19029"/>
    <cellStyle name="Обычный 8 5 2 2 2 2 2 2" xfId="20908"/>
    <cellStyle name="Обычный 8 5 2 2 2 2 2 2 2" xfId="28234"/>
    <cellStyle name="Обычный 8 5 2 2 2 2 2 2 2 2" xfId="35545"/>
    <cellStyle name="Обычный 8 5 2 2 2 2 2 2 2 2 2" xfId="50365"/>
    <cellStyle name="Обычный 8 5 2 2 2 2 2 2 2 3" xfId="43073"/>
    <cellStyle name="Обычный 8 5 2 2 2 2 2 2 3" xfId="31891"/>
    <cellStyle name="Обычный 8 5 2 2 2 2 2 2 3 2" xfId="46714"/>
    <cellStyle name="Обычный 8 5 2 2 2 2 2 2 4" xfId="39389"/>
    <cellStyle name="Обычный 8 5 2 2 2 2 2 2 5" xfId="24576"/>
    <cellStyle name="Обычный 8 5 2 2 2 2 2 3" xfId="26408"/>
    <cellStyle name="Обычный 8 5 2 2 2 2 2 3 2" xfId="33719"/>
    <cellStyle name="Обычный 8 5 2 2 2 2 2 3 2 2" xfId="48539"/>
    <cellStyle name="Обычный 8 5 2 2 2 2 2 3 3" xfId="41252"/>
    <cellStyle name="Обычный 8 5 2 2 2 2 2 4" xfId="30065"/>
    <cellStyle name="Обычный 8 5 2 2 2 2 2 4 2" xfId="44889"/>
    <cellStyle name="Обычный 8 5 2 2 2 2 2 5" xfId="37586"/>
    <cellStyle name="Обычный 8 5 2 2 2 2 2 6" xfId="22747"/>
    <cellStyle name="Обычный 8 5 2 2 2 2 3" xfId="19959"/>
    <cellStyle name="Обычный 8 5 2 2 2 2 3 2" xfId="27328"/>
    <cellStyle name="Обычный 8 5 2 2 2 2 3 2 2" xfId="34639"/>
    <cellStyle name="Обычный 8 5 2 2 2 2 3 2 2 2" xfId="49459"/>
    <cellStyle name="Обычный 8 5 2 2 2 2 3 2 3" xfId="42168"/>
    <cellStyle name="Обычный 8 5 2 2 2 2 3 3" xfId="30985"/>
    <cellStyle name="Обычный 8 5 2 2 2 2 3 3 2" xfId="45808"/>
    <cellStyle name="Обычный 8 5 2 2 2 2 3 4" xfId="38482"/>
    <cellStyle name="Обычный 8 5 2 2 2 2 3 5" xfId="23670"/>
    <cellStyle name="Обычный 8 5 2 2 2 2 4" xfId="25487"/>
    <cellStyle name="Обычный 8 5 2 2 2 2 4 2" xfId="32798"/>
    <cellStyle name="Обычный 8 5 2 2 2 2 4 2 2" xfId="47621"/>
    <cellStyle name="Обычный 8 5 2 2 2 2 4 3" xfId="40375"/>
    <cellStyle name="Обычный 8 5 2 2 2 2 5" xfId="29144"/>
    <cellStyle name="Обычный 8 5 2 2 2 2 5 2" xfId="43981"/>
    <cellStyle name="Обычный 8 5 2 2 2 2 6" xfId="36466"/>
    <cellStyle name="Обычный 8 5 2 2 2 2 7" xfId="21826"/>
    <cellStyle name="Обычный 8 5 2 2 2 3" xfId="18590"/>
    <cellStyle name="Обычный 8 5 2 2 2 3 2" xfId="20472"/>
    <cellStyle name="Обычный 8 5 2 2 2 3 2 2" xfId="27798"/>
    <cellStyle name="Обычный 8 5 2 2 2 3 2 2 2" xfId="35109"/>
    <cellStyle name="Обычный 8 5 2 2 2 3 2 2 2 2" xfId="49929"/>
    <cellStyle name="Обычный 8 5 2 2 2 3 2 2 3" xfId="42637"/>
    <cellStyle name="Обычный 8 5 2 2 2 3 2 3" xfId="31455"/>
    <cellStyle name="Обычный 8 5 2 2 2 3 2 3 2" xfId="46278"/>
    <cellStyle name="Обычный 8 5 2 2 2 3 2 4" xfId="38953"/>
    <cellStyle name="Обычный 8 5 2 2 2 3 2 5" xfId="24140"/>
    <cellStyle name="Обычный 8 5 2 2 2 3 3" xfId="25972"/>
    <cellStyle name="Обычный 8 5 2 2 2 3 3 2" xfId="33283"/>
    <cellStyle name="Обычный 8 5 2 2 2 3 3 2 2" xfId="48103"/>
    <cellStyle name="Обычный 8 5 2 2 2 3 3 3" xfId="40816"/>
    <cellStyle name="Обычный 8 5 2 2 2 3 4" xfId="29629"/>
    <cellStyle name="Обычный 8 5 2 2 2 3 4 2" xfId="44453"/>
    <cellStyle name="Обычный 8 5 2 2 2 3 5" xfId="37230"/>
    <cellStyle name="Обычный 8 5 2 2 2 3 6" xfId="22311"/>
    <cellStyle name="Обычный 8 5 2 2 2 4" xfId="19508"/>
    <cellStyle name="Обычный 8 5 2 2 2 4 2" xfId="26878"/>
    <cellStyle name="Обычный 8 5 2 2 2 4 2 2" xfId="34189"/>
    <cellStyle name="Обычный 8 5 2 2 2 4 2 2 2" xfId="49009"/>
    <cellStyle name="Обычный 8 5 2 2 2 4 2 3" xfId="41718"/>
    <cellStyle name="Обычный 8 5 2 2 2 4 3" xfId="30535"/>
    <cellStyle name="Обычный 8 5 2 2 2 4 3 2" xfId="45358"/>
    <cellStyle name="Обычный 8 5 2 2 2 4 4" xfId="38032"/>
    <cellStyle name="Обычный 8 5 2 2 2 4 5" xfId="23220"/>
    <cellStyle name="Обычный 8 5 2 2 2 5" xfId="25037"/>
    <cellStyle name="Обычный 8 5 2 2 2 5 2" xfId="32348"/>
    <cellStyle name="Обычный 8 5 2 2 2 5 2 2" xfId="47171"/>
    <cellStyle name="Обычный 8 5 2 2 2 5 3" xfId="39932"/>
    <cellStyle name="Обычный 8 5 2 2 2 6" xfId="28694"/>
    <cellStyle name="Обычный 8 5 2 2 2 6 2" xfId="43531"/>
    <cellStyle name="Обычный 8 5 2 2 2 7" xfId="36017"/>
    <cellStyle name="Обычный 8 5 2 2 2 8" xfId="21376"/>
    <cellStyle name="Обычный 8 5 2 2 3" xfId="17691"/>
    <cellStyle name="Обычный 8 5 2 2 3 2" xfId="18805"/>
    <cellStyle name="Обычный 8 5 2 2 3 2 2" xfId="20684"/>
    <cellStyle name="Обычный 8 5 2 2 3 2 2 2" xfId="28010"/>
    <cellStyle name="Обычный 8 5 2 2 3 2 2 2 2" xfId="35321"/>
    <cellStyle name="Обычный 8 5 2 2 3 2 2 2 2 2" xfId="50141"/>
    <cellStyle name="Обычный 8 5 2 2 3 2 2 2 3" xfId="42849"/>
    <cellStyle name="Обычный 8 5 2 2 3 2 2 3" xfId="31667"/>
    <cellStyle name="Обычный 8 5 2 2 3 2 2 3 2" xfId="46490"/>
    <cellStyle name="Обычный 8 5 2 2 3 2 2 4" xfId="39165"/>
    <cellStyle name="Обычный 8 5 2 2 3 2 2 5" xfId="24352"/>
    <cellStyle name="Обычный 8 5 2 2 3 2 3" xfId="26184"/>
    <cellStyle name="Обычный 8 5 2 2 3 2 3 2" xfId="33495"/>
    <cellStyle name="Обычный 8 5 2 2 3 2 3 2 2" xfId="48315"/>
    <cellStyle name="Обычный 8 5 2 2 3 2 3 3" xfId="41028"/>
    <cellStyle name="Обычный 8 5 2 2 3 2 4" xfId="29841"/>
    <cellStyle name="Обычный 8 5 2 2 3 2 4 2" xfId="44665"/>
    <cellStyle name="Обычный 8 5 2 2 3 2 5" xfId="37442"/>
    <cellStyle name="Обычный 8 5 2 2 3 2 6" xfId="22523"/>
    <cellStyle name="Обычный 8 5 2 2 3 3" xfId="19735"/>
    <cellStyle name="Обычный 8 5 2 2 3 3 2" xfId="27104"/>
    <cellStyle name="Обычный 8 5 2 2 3 3 2 2" xfId="34415"/>
    <cellStyle name="Обычный 8 5 2 2 3 3 2 2 2" xfId="49235"/>
    <cellStyle name="Обычный 8 5 2 2 3 3 2 3" xfId="41944"/>
    <cellStyle name="Обычный 8 5 2 2 3 3 3" xfId="30761"/>
    <cellStyle name="Обычный 8 5 2 2 3 3 3 2" xfId="45584"/>
    <cellStyle name="Обычный 8 5 2 2 3 3 4" xfId="38258"/>
    <cellStyle name="Обычный 8 5 2 2 3 3 5" xfId="23446"/>
    <cellStyle name="Обычный 8 5 2 2 3 4" xfId="25263"/>
    <cellStyle name="Обычный 8 5 2 2 3 4 2" xfId="32574"/>
    <cellStyle name="Обычный 8 5 2 2 3 4 2 2" xfId="47397"/>
    <cellStyle name="Обычный 8 5 2 2 3 4 3" xfId="40155"/>
    <cellStyle name="Обычный 8 5 2 2 3 5" xfId="28920"/>
    <cellStyle name="Обычный 8 5 2 2 3 5 2" xfId="43757"/>
    <cellStyle name="Обычный 8 5 2 2 3 6" xfId="36465"/>
    <cellStyle name="Обычный 8 5 2 2 3 7" xfId="21602"/>
    <cellStyle name="Обычный 8 5 2 2 4" xfId="18167"/>
    <cellStyle name="Обычный 8 5 2 2 4 2" xfId="20054"/>
    <cellStyle name="Обычный 8 5 2 2 4 2 2" xfId="27380"/>
    <cellStyle name="Обычный 8 5 2 2 4 2 2 2" xfId="34691"/>
    <cellStyle name="Обычный 8 5 2 2 4 2 2 2 2" xfId="49511"/>
    <cellStyle name="Обычный 8 5 2 2 4 2 2 3" xfId="42220"/>
    <cellStyle name="Обычный 8 5 2 2 4 2 3" xfId="31037"/>
    <cellStyle name="Обычный 8 5 2 2 4 2 3 2" xfId="45860"/>
    <cellStyle name="Обычный 8 5 2 2 4 2 4" xfId="38535"/>
    <cellStyle name="Обычный 8 5 2 2 4 2 5" xfId="23722"/>
    <cellStyle name="Обычный 8 5 2 2 4 3" xfId="25553"/>
    <cellStyle name="Обычный 8 5 2 2 4 3 2" xfId="32864"/>
    <cellStyle name="Обычный 8 5 2 2 4 3 2 2" xfId="47684"/>
    <cellStyle name="Обычный 8 5 2 2 4 3 3" xfId="40427"/>
    <cellStyle name="Обычный 8 5 2 2 4 4" xfId="29210"/>
    <cellStyle name="Обычный 8 5 2 2 4 4 2" xfId="44036"/>
    <cellStyle name="Обычный 8 5 2 2 4 5" xfId="36811"/>
    <cellStyle name="Обычный 8 5 2 2 4 6" xfId="21892"/>
    <cellStyle name="Обычный 8 5 2 2 5" xfId="19094"/>
    <cellStyle name="Обычный 8 5 2 2 5 2" xfId="26473"/>
    <cellStyle name="Обычный 8 5 2 2 5 2 2" xfId="33784"/>
    <cellStyle name="Обычный 8 5 2 2 5 2 2 2" xfId="48604"/>
    <cellStyle name="Обычный 8 5 2 2 5 2 3" xfId="41314"/>
    <cellStyle name="Обычный 8 5 2 2 5 3" xfId="30130"/>
    <cellStyle name="Обычный 8 5 2 2 5 3 2" xfId="44954"/>
    <cellStyle name="Обычный 8 5 2 2 5 4" xfId="37627"/>
    <cellStyle name="Обычный 8 5 2 2 5 5" xfId="22815"/>
    <cellStyle name="Обычный 8 5 2 2 6" xfId="24813"/>
    <cellStyle name="Обычный 8 5 2 2 6 2" xfId="32124"/>
    <cellStyle name="Обычный 8 5 2 2 6 2 2" xfId="46947"/>
    <cellStyle name="Обычный 8 5 2 2 6 3" xfId="39712"/>
    <cellStyle name="Обычный 8 5 2 2 7" xfId="28470"/>
    <cellStyle name="Обычный 8 5 2 2 7 2" xfId="43307"/>
    <cellStyle name="Обычный 8 5 2 2 8" xfId="36016"/>
    <cellStyle name="Обычный 8 5 2 2 9" xfId="21152"/>
    <cellStyle name="Обычный 8 5 2 3" xfId="17350"/>
    <cellStyle name="Обычный 8 5 2 3 2" xfId="17803"/>
    <cellStyle name="Обычный 8 5 2 3 2 2" xfId="18917"/>
    <cellStyle name="Обычный 8 5 2 3 2 2 2" xfId="20796"/>
    <cellStyle name="Обычный 8 5 2 3 2 2 2 2" xfId="28122"/>
    <cellStyle name="Обычный 8 5 2 3 2 2 2 2 2" xfId="35433"/>
    <cellStyle name="Обычный 8 5 2 3 2 2 2 2 2 2" xfId="50253"/>
    <cellStyle name="Обычный 8 5 2 3 2 2 2 2 3" xfId="42961"/>
    <cellStyle name="Обычный 8 5 2 3 2 2 2 3" xfId="31779"/>
    <cellStyle name="Обычный 8 5 2 3 2 2 2 3 2" xfId="46602"/>
    <cellStyle name="Обычный 8 5 2 3 2 2 2 4" xfId="39277"/>
    <cellStyle name="Обычный 8 5 2 3 2 2 2 5" xfId="24464"/>
    <cellStyle name="Обычный 8 5 2 3 2 2 3" xfId="26296"/>
    <cellStyle name="Обычный 8 5 2 3 2 2 3 2" xfId="33607"/>
    <cellStyle name="Обычный 8 5 2 3 2 2 3 2 2" xfId="48427"/>
    <cellStyle name="Обычный 8 5 2 3 2 2 3 3" xfId="41140"/>
    <cellStyle name="Обычный 8 5 2 3 2 2 4" xfId="29953"/>
    <cellStyle name="Обычный 8 5 2 3 2 2 4 2" xfId="44777"/>
    <cellStyle name="Обычный 8 5 2 3 2 2 5" xfId="37552"/>
    <cellStyle name="Обычный 8 5 2 3 2 2 6" xfId="22635"/>
    <cellStyle name="Обычный 8 5 2 3 2 3" xfId="19847"/>
    <cellStyle name="Обычный 8 5 2 3 2 3 2" xfId="27216"/>
    <cellStyle name="Обычный 8 5 2 3 2 3 2 2" xfId="34527"/>
    <cellStyle name="Обычный 8 5 2 3 2 3 2 2 2" xfId="49347"/>
    <cellStyle name="Обычный 8 5 2 3 2 3 2 3" xfId="42056"/>
    <cellStyle name="Обычный 8 5 2 3 2 3 3" xfId="30873"/>
    <cellStyle name="Обычный 8 5 2 3 2 3 3 2" xfId="45696"/>
    <cellStyle name="Обычный 8 5 2 3 2 3 4" xfId="38370"/>
    <cellStyle name="Обычный 8 5 2 3 2 3 5" xfId="23558"/>
    <cellStyle name="Обычный 8 5 2 3 2 4" xfId="25375"/>
    <cellStyle name="Обычный 8 5 2 3 2 4 2" xfId="32686"/>
    <cellStyle name="Обычный 8 5 2 3 2 4 2 2" xfId="47509"/>
    <cellStyle name="Обычный 8 5 2 3 2 4 3" xfId="40263"/>
    <cellStyle name="Обычный 8 5 2 3 2 5" xfId="29032"/>
    <cellStyle name="Обычный 8 5 2 3 2 5 2" xfId="43869"/>
    <cellStyle name="Обычный 8 5 2 3 2 6" xfId="36467"/>
    <cellStyle name="Обычный 8 5 2 3 2 7" xfId="21714"/>
    <cellStyle name="Обычный 8 5 2 3 3" xfId="18591"/>
    <cellStyle name="Обычный 8 5 2 3 3 2" xfId="20473"/>
    <cellStyle name="Обычный 8 5 2 3 3 2 2" xfId="27799"/>
    <cellStyle name="Обычный 8 5 2 3 3 2 2 2" xfId="35110"/>
    <cellStyle name="Обычный 8 5 2 3 3 2 2 2 2" xfId="49930"/>
    <cellStyle name="Обычный 8 5 2 3 3 2 2 3" xfId="42638"/>
    <cellStyle name="Обычный 8 5 2 3 3 2 3" xfId="31456"/>
    <cellStyle name="Обычный 8 5 2 3 3 2 3 2" xfId="46279"/>
    <cellStyle name="Обычный 8 5 2 3 3 2 4" xfId="38954"/>
    <cellStyle name="Обычный 8 5 2 3 3 2 5" xfId="24141"/>
    <cellStyle name="Обычный 8 5 2 3 3 3" xfId="25973"/>
    <cellStyle name="Обычный 8 5 2 3 3 3 2" xfId="33284"/>
    <cellStyle name="Обычный 8 5 2 3 3 3 2 2" xfId="48104"/>
    <cellStyle name="Обычный 8 5 2 3 3 3 3" xfId="40817"/>
    <cellStyle name="Обычный 8 5 2 3 3 4" xfId="29630"/>
    <cellStyle name="Обычный 8 5 2 3 3 4 2" xfId="44454"/>
    <cellStyle name="Обычный 8 5 2 3 3 5" xfId="37231"/>
    <cellStyle name="Обычный 8 5 2 3 3 6" xfId="22312"/>
    <cellStyle name="Обычный 8 5 2 3 4" xfId="19396"/>
    <cellStyle name="Обычный 8 5 2 3 4 2" xfId="26766"/>
    <cellStyle name="Обычный 8 5 2 3 4 2 2" xfId="34077"/>
    <cellStyle name="Обычный 8 5 2 3 4 2 2 2" xfId="48897"/>
    <cellStyle name="Обычный 8 5 2 3 4 2 3" xfId="41606"/>
    <cellStyle name="Обычный 8 5 2 3 4 3" xfId="30423"/>
    <cellStyle name="Обычный 8 5 2 3 4 3 2" xfId="45246"/>
    <cellStyle name="Обычный 8 5 2 3 4 4" xfId="37920"/>
    <cellStyle name="Обычный 8 5 2 3 4 5" xfId="23108"/>
    <cellStyle name="Обычный 8 5 2 3 5" xfId="24925"/>
    <cellStyle name="Обычный 8 5 2 3 5 2" xfId="32236"/>
    <cellStyle name="Обычный 8 5 2 3 5 2 2" xfId="47059"/>
    <cellStyle name="Обычный 8 5 2 3 5 3" xfId="39820"/>
    <cellStyle name="Обычный 8 5 2 3 6" xfId="28582"/>
    <cellStyle name="Обычный 8 5 2 3 6 2" xfId="43419"/>
    <cellStyle name="Обычный 8 5 2 3 7" xfId="36018"/>
    <cellStyle name="Обычный 8 5 2 3 8" xfId="21264"/>
    <cellStyle name="Обычный 8 5 2 4" xfId="17579"/>
    <cellStyle name="Обычный 8 5 2 4 2" xfId="18693"/>
    <cellStyle name="Обычный 8 5 2 4 2 2" xfId="20572"/>
    <cellStyle name="Обычный 8 5 2 4 2 2 2" xfId="27898"/>
    <cellStyle name="Обычный 8 5 2 4 2 2 2 2" xfId="35209"/>
    <cellStyle name="Обычный 8 5 2 4 2 2 2 2 2" xfId="50029"/>
    <cellStyle name="Обычный 8 5 2 4 2 2 2 3" xfId="42737"/>
    <cellStyle name="Обычный 8 5 2 4 2 2 3" xfId="31555"/>
    <cellStyle name="Обычный 8 5 2 4 2 2 3 2" xfId="46378"/>
    <cellStyle name="Обычный 8 5 2 4 2 2 4" xfId="39053"/>
    <cellStyle name="Обычный 8 5 2 4 2 2 5" xfId="24240"/>
    <cellStyle name="Обычный 8 5 2 4 2 3" xfId="26072"/>
    <cellStyle name="Обычный 8 5 2 4 2 3 2" xfId="33383"/>
    <cellStyle name="Обычный 8 5 2 4 2 3 2 2" xfId="48203"/>
    <cellStyle name="Обычный 8 5 2 4 2 3 3" xfId="40916"/>
    <cellStyle name="Обычный 8 5 2 4 2 4" xfId="29729"/>
    <cellStyle name="Обычный 8 5 2 4 2 4 2" xfId="44553"/>
    <cellStyle name="Обычный 8 5 2 4 2 5" xfId="37330"/>
    <cellStyle name="Обычный 8 5 2 4 2 6" xfId="22411"/>
    <cellStyle name="Обычный 8 5 2 4 3" xfId="19623"/>
    <cellStyle name="Обычный 8 5 2 4 3 2" xfId="26992"/>
    <cellStyle name="Обычный 8 5 2 4 3 2 2" xfId="34303"/>
    <cellStyle name="Обычный 8 5 2 4 3 2 2 2" xfId="49123"/>
    <cellStyle name="Обычный 8 5 2 4 3 2 3" xfId="41832"/>
    <cellStyle name="Обычный 8 5 2 4 3 3" xfId="30649"/>
    <cellStyle name="Обычный 8 5 2 4 3 3 2" xfId="45472"/>
    <cellStyle name="Обычный 8 5 2 4 3 4" xfId="38146"/>
    <cellStyle name="Обычный 8 5 2 4 3 5" xfId="23334"/>
    <cellStyle name="Обычный 8 5 2 4 4" xfId="25151"/>
    <cellStyle name="Обычный 8 5 2 4 4 2" xfId="32462"/>
    <cellStyle name="Обычный 8 5 2 4 4 2 2" xfId="47285"/>
    <cellStyle name="Обычный 8 5 2 4 4 3" xfId="40045"/>
    <cellStyle name="Обычный 8 5 2 4 5" xfId="28808"/>
    <cellStyle name="Обычный 8 5 2 4 5 2" xfId="43645"/>
    <cellStyle name="Обычный 8 5 2 4 6" xfId="36464"/>
    <cellStyle name="Обычный 8 5 2 4 7" xfId="21490"/>
    <cellStyle name="Обычный 8 5 2 5" xfId="18141"/>
    <cellStyle name="Обычный 8 5 2 5 2" xfId="20043"/>
    <cellStyle name="Обычный 8 5 2 5 2 2" xfId="27369"/>
    <cellStyle name="Обычный 8 5 2 5 2 2 2" xfId="34680"/>
    <cellStyle name="Обычный 8 5 2 5 2 2 2 2" xfId="49500"/>
    <cellStyle name="Обычный 8 5 2 5 2 2 3" xfId="42209"/>
    <cellStyle name="Обычный 8 5 2 5 2 3" xfId="31026"/>
    <cellStyle name="Обычный 8 5 2 5 2 3 2" xfId="45849"/>
    <cellStyle name="Обычный 8 5 2 5 2 4" xfId="38524"/>
    <cellStyle name="Обычный 8 5 2 5 2 5" xfId="23711"/>
    <cellStyle name="Обычный 8 5 2 5 3" xfId="25535"/>
    <cellStyle name="Обычный 8 5 2 5 3 2" xfId="32846"/>
    <cellStyle name="Обычный 8 5 2 5 3 2 2" xfId="47666"/>
    <cellStyle name="Обычный 8 5 2 5 3 3" xfId="40416"/>
    <cellStyle name="Обычный 8 5 2 5 4" xfId="29192"/>
    <cellStyle name="Обычный 8 5 2 5 4 2" xfId="44024"/>
    <cellStyle name="Обычный 8 5 2 5 5" xfId="36793"/>
    <cellStyle name="Обычный 8 5 2 5 6" xfId="21874"/>
    <cellStyle name="Обычный 8 5 2 6" xfId="19076"/>
    <cellStyle name="Обычный 8 5 2 6 2" xfId="26455"/>
    <cellStyle name="Обычный 8 5 2 6 2 2" xfId="33766"/>
    <cellStyle name="Обычный 8 5 2 6 2 2 2" xfId="48586"/>
    <cellStyle name="Обычный 8 5 2 6 2 3" xfId="41296"/>
    <cellStyle name="Обычный 8 5 2 6 3" xfId="30112"/>
    <cellStyle name="Обычный 8 5 2 6 3 2" xfId="44936"/>
    <cellStyle name="Обычный 8 5 2 6 4" xfId="37609"/>
    <cellStyle name="Обычный 8 5 2 6 5" xfId="22797"/>
    <cellStyle name="Обычный 8 5 2 7" xfId="24701"/>
    <cellStyle name="Обычный 8 5 2 7 2" xfId="32012"/>
    <cellStyle name="Обычный 8 5 2 7 2 2" xfId="46835"/>
    <cellStyle name="Обычный 8 5 2 7 3" xfId="39608"/>
    <cellStyle name="Обычный 8 5 2 8" xfId="28358"/>
    <cellStyle name="Обычный 8 5 2 8 2" xfId="43195"/>
    <cellStyle name="Обычный 8 5 2 9" xfId="36015"/>
    <cellStyle name="Обычный 8 5 3" xfId="17141"/>
    <cellStyle name="Обычный 8 5 3 2" xfId="17409"/>
    <cellStyle name="Обычный 8 5 3 2 2" xfId="17859"/>
    <cellStyle name="Обычный 8 5 3 2 2 2" xfId="18973"/>
    <cellStyle name="Обычный 8 5 3 2 2 2 2" xfId="20852"/>
    <cellStyle name="Обычный 8 5 3 2 2 2 2 2" xfId="28178"/>
    <cellStyle name="Обычный 8 5 3 2 2 2 2 2 2" xfId="35489"/>
    <cellStyle name="Обычный 8 5 3 2 2 2 2 2 2 2" xfId="50309"/>
    <cellStyle name="Обычный 8 5 3 2 2 2 2 2 3" xfId="43017"/>
    <cellStyle name="Обычный 8 5 3 2 2 2 2 3" xfId="31835"/>
    <cellStyle name="Обычный 8 5 3 2 2 2 2 3 2" xfId="46658"/>
    <cellStyle name="Обычный 8 5 3 2 2 2 2 4" xfId="39333"/>
    <cellStyle name="Обычный 8 5 3 2 2 2 2 5" xfId="24520"/>
    <cellStyle name="Обычный 8 5 3 2 2 2 3" xfId="26352"/>
    <cellStyle name="Обычный 8 5 3 2 2 2 3 2" xfId="33663"/>
    <cellStyle name="Обычный 8 5 3 2 2 2 3 2 2" xfId="48483"/>
    <cellStyle name="Обычный 8 5 3 2 2 2 3 3" xfId="41196"/>
    <cellStyle name="Обычный 8 5 3 2 2 2 4" xfId="30009"/>
    <cellStyle name="Обычный 8 5 3 2 2 2 4 2" xfId="44833"/>
    <cellStyle name="Обычный 8 5 3 2 2 2 5" xfId="37577"/>
    <cellStyle name="Обычный 8 5 3 2 2 2 6" xfId="22691"/>
    <cellStyle name="Обычный 8 5 3 2 2 3" xfId="19903"/>
    <cellStyle name="Обычный 8 5 3 2 2 3 2" xfId="27272"/>
    <cellStyle name="Обычный 8 5 3 2 2 3 2 2" xfId="34583"/>
    <cellStyle name="Обычный 8 5 3 2 2 3 2 2 2" xfId="49403"/>
    <cellStyle name="Обычный 8 5 3 2 2 3 2 3" xfId="42112"/>
    <cellStyle name="Обычный 8 5 3 2 2 3 3" xfId="30929"/>
    <cellStyle name="Обычный 8 5 3 2 2 3 3 2" xfId="45752"/>
    <cellStyle name="Обычный 8 5 3 2 2 3 4" xfId="38426"/>
    <cellStyle name="Обычный 8 5 3 2 2 3 5" xfId="23614"/>
    <cellStyle name="Обычный 8 5 3 2 2 4" xfId="25431"/>
    <cellStyle name="Обычный 8 5 3 2 2 4 2" xfId="32742"/>
    <cellStyle name="Обычный 8 5 3 2 2 4 2 2" xfId="47565"/>
    <cellStyle name="Обычный 8 5 3 2 2 4 3" xfId="40319"/>
    <cellStyle name="Обычный 8 5 3 2 2 5" xfId="29088"/>
    <cellStyle name="Обычный 8 5 3 2 2 5 2" xfId="43925"/>
    <cellStyle name="Обычный 8 5 3 2 2 6" xfId="36469"/>
    <cellStyle name="Обычный 8 5 3 2 2 7" xfId="21770"/>
    <cellStyle name="Обычный 8 5 3 2 3" xfId="18592"/>
    <cellStyle name="Обычный 8 5 3 2 3 2" xfId="20474"/>
    <cellStyle name="Обычный 8 5 3 2 3 2 2" xfId="27800"/>
    <cellStyle name="Обычный 8 5 3 2 3 2 2 2" xfId="35111"/>
    <cellStyle name="Обычный 8 5 3 2 3 2 2 2 2" xfId="49931"/>
    <cellStyle name="Обычный 8 5 3 2 3 2 2 3" xfId="42639"/>
    <cellStyle name="Обычный 8 5 3 2 3 2 3" xfId="31457"/>
    <cellStyle name="Обычный 8 5 3 2 3 2 3 2" xfId="46280"/>
    <cellStyle name="Обычный 8 5 3 2 3 2 4" xfId="38955"/>
    <cellStyle name="Обычный 8 5 3 2 3 2 5" xfId="24142"/>
    <cellStyle name="Обычный 8 5 3 2 3 3" xfId="25974"/>
    <cellStyle name="Обычный 8 5 3 2 3 3 2" xfId="33285"/>
    <cellStyle name="Обычный 8 5 3 2 3 3 2 2" xfId="48105"/>
    <cellStyle name="Обычный 8 5 3 2 3 3 3" xfId="40818"/>
    <cellStyle name="Обычный 8 5 3 2 3 4" xfId="29631"/>
    <cellStyle name="Обычный 8 5 3 2 3 4 2" xfId="44455"/>
    <cellStyle name="Обычный 8 5 3 2 3 5" xfId="37232"/>
    <cellStyle name="Обычный 8 5 3 2 3 6" xfId="22313"/>
    <cellStyle name="Обычный 8 5 3 2 4" xfId="19452"/>
    <cellStyle name="Обычный 8 5 3 2 4 2" xfId="26822"/>
    <cellStyle name="Обычный 8 5 3 2 4 2 2" xfId="34133"/>
    <cellStyle name="Обычный 8 5 3 2 4 2 2 2" xfId="48953"/>
    <cellStyle name="Обычный 8 5 3 2 4 2 3" xfId="41662"/>
    <cellStyle name="Обычный 8 5 3 2 4 3" xfId="30479"/>
    <cellStyle name="Обычный 8 5 3 2 4 3 2" xfId="45302"/>
    <cellStyle name="Обычный 8 5 3 2 4 4" xfId="37976"/>
    <cellStyle name="Обычный 8 5 3 2 4 5" xfId="23164"/>
    <cellStyle name="Обычный 8 5 3 2 5" xfId="24981"/>
    <cellStyle name="Обычный 8 5 3 2 5 2" xfId="32292"/>
    <cellStyle name="Обычный 8 5 3 2 5 2 2" xfId="47115"/>
    <cellStyle name="Обычный 8 5 3 2 5 3" xfId="39876"/>
    <cellStyle name="Обычный 8 5 3 2 6" xfId="28638"/>
    <cellStyle name="Обычный 8 5 3 2 6 2" xfId="43475"/>
    <cellStyle name="Обычный 8 5 3 2 7" xfId="36020"/>
    <cellStyle name="Обычный 8 5 3 2 8" xfId="21320"/>
    <cellStyle name="Обычный 8 5 3 3" xfId="17635"/>
    <cellStyle name="Обычный 8 5 3 3 2" xfId="18749"/>
    <cellStyle name="Обычный 8 5 3 3 2 2" xfId="20628"/>
    <cellStyle name="Обычный 8 5 3 3 2 2 2" xfId="27954"/>
    <cellStyle name="Обычный 8 5 3 3 2 2 2 2" xfId="35265"/>
    <cellStyle name="Обычный 8 5 3 3 2 2 2 2 2" xfId="50085"/>
    <cellStyle name="Обычный 8 5 3 3 2 2 2 3" xfId="42793"/>
    <cellStyle name="Обычный 8 5 3 3 2 2 3" xfId="31611"/>
    <cellStyle name="Обычный 8 5 3 3 2 2 3 2" xfId="46434"/>
    <cellStyle name="Обычный 8 5 3 3 2 2 4" xfId="39109"/>
    <cellStyle name="Обычный 8 5 3 3 2 2 5" xfId="24296"/>
    <cellStyle name="Обычный 8 5 3 3 2 3" xfId="26128"/>
    <cellStyle name="Обычный 8 5 3 3 2 3 2" xfId="33439"/>
    <cellStyle name="Обычный 8 5 3 3 2 3 2 2" xfId="48259"/>
    <cellStyle name="Обычный 8 5 3 3 2 3 3" xfId="40972"/>
    <cellStyle name="Обычный 8 5 3 3 2 4" xfId="29785"/>
    <cellStyle name="Обычный 8 5 3 3 2 4 2" xfId="44609"/>
    <cellStyle name="Обычный 8 5 3 3 2 5" xfId="37386"/>
    <cellStyle name="Обычный 8 5 3 3 2 6" xfId="22467"/>
    <cellStyle name="Обычный 8 5 3 3 3" xfId="19679"/>
    <cellStyle name="Обычный 8 5 3 3 3 2" xfId="27048"/>
    <cellStyle name="Обычный 8 5 3 3 3 2 2" xfId="34359"/>
    <cellStyle name="Обычный 8 5 3 3 3 2 2 2" xfId="49179"/>
    <cellStyle name="Обычный 8 5 3 3 3 2 3" xfId="41888"/>
    <cellStyle name="Обычный 8 5 3 3 3 3" xfId="30705"/>
    <cellStyle name="Обычный 8 5 3 3 3 3 2" xfId="45528"/>
    <cellStyle name="Обычный 8 5 3 3 3 4" xfId="38202"/>
    <cellStyle name="Обычный 8 5 3 3 3 5" xfId="23390"/>
    <cellStyle name="Обычный 8 5 3 3 4" xfId="25207"/>
    <cellStyle name="Обычный 8 5 3 3 4 2" xfId="32518"/>
    <cellStyle name="Обычный 8 5 3 3 4 2 2" xfId="47341"/>
    <cellStyle name="Обычный 8 5 3 3 4 3" xfId="40099"/>
    <cellStyle name="Обычный 8 5 3 3 5" xfId="28864"/>
    <cellStyle name="Обычный 8 5 3 3 5 2" xfId="43701"/>
    <cellStyle name="Обычный 8 5 3 3 6" xfId="36468"/>
    <cellStyle name="Обычный 8 5 3 3 7" xfId="21546"/>
    <cellStyle name="Обычный 8 5 3 4" xfId="18158"/>
    <cellStyle name="Обычный 8 5 3 4 2" xfId="20049"/>
    <cellStyle name="Обычный 8 5 3 4 2 2" xfId="27375"/>
    <cellStyle name="Обычный 8 5 3 4 2 2 2" xfId="34686"/>
    <cellStyle name="Обычный 8 5 3 4 2 2 2 2" xfId="49506"/>
    <cellStyle name="Обычный 8 5 3 4 2 2 3" xfId="42215"/>
    <cellStyle name="Обычный 8 5 3 4 2 3" xfId="31032"/>
    <cellStyle name="Обычный 8 5 3 4 2 3 2" xfId="45855"/>
    <cellStyle name="Обычный 8 5 3 4 2 4" xfId="38530"/>
    <cellStyle name="Обычный 8 5 3 4 2 5" xfId="23717"/>
    <cellStyle name="Обычный 8 5 3 4 3" xfId="25544"/>
    <cellStyle name="Обычный 8 5 3 4 3 2" xfId="32855"/>
    <cellStyle name="Обычный 8 5 3 4 3 2 2" xfId="47675"/>
    <cellStyle name="Обычный 8 5 3 4 3 3" xfId="40422"/>
    <cellStyle name="Обычный 8 5 3 4 4" xfId="29201"/>
    <cellStyle name="Обычный 8 5 3 4 4 2" xfId="44030"/>
    <cellStyle name="Обычный 8 5 3 4 5" xfId="36802"/>
    <cellStyle name="Обычный 8 5 3 4 6" xfId="21883"/>
    <cellStyle name="Обычный 8 5 3 5" xfId="19085"/>
    <cellStyle name="Обычный 8 5 3 5 2" xfId="26464"/>
    <cellStyle name="Обычный 8 5 3 5 2 2" xfId="33775"/>
    <cellStyle name="Обычный 8 5 3 5 2 2 2" xfId="48595"/>
    <cellStyle name="Обычный 8 5 3 5 2 3" xfId="41305"/>
    <cellStyle name="Обычный 8 5 3 5 3" xfId="30121"/>
    <cellStyle name="Обычный 8 5 3 5 3 2" xfId="44945"/>
    <cellStyle name="Обычный 8 5 3 5 4" xfId="37618"/>
    <cellStyle name="Обычный 8 5 3 5 5" xfId="22806"/>
    <cellStyle name="Обычный 8 5 3 6" xfId="24757"/>
    <cellStyle name="Обычный 8 5 3 6 2" xfId="32068"/>
    <cellStyle name="Обычный 8 5 3 6 2 2" xfId="46891"/>
    <cellStyle name="Обычный 8 5 3 6 3" xfId="39659"/>
    <cellStyle name="Обычный 8 5 3 7" xfId="28414"/>
    <cellStyle name="Обычный 8 5 3 7 2" xfId="43251"/>
    <cellStyle name="Обычный 8 5 3 8" xfId="36019"/>
    <cellStyle name="Обычный 8 5 3 9" xfId="21096"/>
    <cellStyle name="Обычный 8 5 4" xfId="17193"/>
    <cellStyle name="Обычный 8 5 4 2" xfId="17747"/>
    <cellStyle name="Обычный 8 5 4 2 2" xfId="18861"/>
    <cellStyle name="Обычный 8 5 4 2 2 2" xfId="20740"/>
    <cellStyle name="Обычный 8 5 4 2 2 2 2" xfId="28066"/>
    <cellStyle name="Обычный 8 5 4 2 2 2 2 2" xfId="35377"/>
    <cellStyle name="Обычный 8 5 4 2 2 2 2 2 2" xfId="50197"/>
    <cellStyle name="Обычный 8 5 4 2 2 2 2 3" xfId="42905"/>
    <cellStyle name="Обычный 8 5 4 2 2 2 3" xfId="31723"/>
    <cellStyle name="Обычный 8 5 4 2 2 2 3 2" xfId="46546"/>
    <cellStyle name="Обычный 8 5 4 2 2 2 4" xfId="39221"/>
    <cellStyle name="Обычный 8 5 4 2 2 2 5" xfId="24408"/>
    <cellStyle name="Обычный 8 5 4 2 2 3" xfId="26240"/>
    <cellStyle name="Обычный 8 5 4 2 2 3 2" xfId="33551"/>
    <cellStyle name="Обычный 8 5 4 2 2 3 2 2" xfId="48371"/>
    <cellStyle name="Обычный 8 5 4 2 2 3 3" xfId="41084"/>
    <cellStyle name="Обычный 8 5 4 2 2 4" xfId="29897"/>
    <cellStyle name="Обычный 8 5 4 2 2 4 2" xfId="44721"/>
    <cellStyle name="Обычный 8 5 4 2 2 5" xfId="37497"/>
    <cellStyle name="Обычный 8 5 4 2 2 6" xfId="22579"/>
    <cellStyle name="Обычный 8 5 4 2 3" xfId="19791"/>
    <cellStyle name="Обычный 8 5 4 2 3 2" xfId="27160"/>
    <cellStyle name="Обычный 8 5 4 2 3 2 2" xfId="34471"/>
    <cellStyle name="Обычный 8 5 4 2 3 2 2 2" xfId="49291"/>
    <cellStyle name="Обычный 8 5 4 2 3 2 3" xfId="42000"/>
    <cellStyle name="Обычный 8 5 4 2 3 3" xfId="30817"/>
    <cellStyle name="Обычный 8 5 4 2 3 3 2" xfId="45640"/>
    <cellStyle name="Обычный 8 5 4 2 3 4" xfId="38314"/>
    <cellStyle name="Обычный 8 5 4 2 3 5" xfId="23502"/>
    <cellStyle name="Обычный 8 5 4 2 4" xfId="25319"/>
    <cellStyle name="Обычный 8 5 4 2 4 2" xfId="32630"/>
    <cellStyle name="Обычный 8 5 4 2 4 2 2" xfId="47453"/>
    <cellStyle name="Обычный 8 5 4 2 4 3" xfId="40208"/>
    <cellStyle name="Обычный 8 5 4 2 5" xfId="28976"/>
    <cellStyle name="Обычный 8 5 4 2 5 2" xfId="43813"/>
    <cellStyle name="Обычный 8 5 4 2 6" xfId="36470"/>
    <cellStyle name="Обычный 8 5 4 2 7" xfId="21658"/>
    <cellStyle name="Обычный 8 5 4 3" xfId="18593"/>
    <cellStyle name="Обычный 8 5 4 3 2" xfId="20475"/>
    <cellStyle name="Обычный 8 5 4 3 2 2" xfId="27801"/>
    <cellStyle name="Обычный 8 5 4 3 2 2 2" xfId="35112"/>
    <cellStyle name="Обычный 8 5 4 3 2 2 2 2" xfId="49932"/>
    <cellStyle name="Обычный 8 5 4 3 2 2 3" xfId="42640"/>
    <cellStyle name="Обычный 8 5 4 3 2 3" xfId="31458"/>
    <cellStyle name="Обычный 8 5 4 3 2 3 2" xfId="46281"/>
    <cellStyle name="Обычный 8 5 4 3 2 4" xfId="38956"/>
    <cellStyle name="Обычный 8 5 4 3 2 5" xfId="24143"/>
    <cellStyle name="Обычный 8 5 4 3 3" xfId="25975"/>
    <cellStyle name="Обычный 8 5 4 3 3 2" xfId="33286"/>
    <cellStyle name="Обычный 8 5 4 3 3 2 2" xfId="48106"/>
    <cellStyle name="Обычный 8 5 4 3 3 3" xfId="40819"/>
    <cellStyle name="Обычный 8 5 4 3 4" xfId="29632"/>
    <cellStyle name="Обычный 8 5 4 3 4 2" xfId="44456"/>
    <cellStyle name="Обычный 8 5 4 3 5" xfId="37233"/>
    <cellStyle name="Обычный 8 5 4 3 6" xfId="22314"/>
    <cellStyle name="Обычный 8 5 4 4" xfId="19340"/>
    <cellStyle name="Обычный 8 5 4 4 2" xfId="26710"/>
    <cellStyle name="Обычный 8 5 4 4 2 2" xfId="34021"/>
    <cellStyle name="Обычный 8 5 4 4 2 2 2" xfId="48841"/>
    <cellStyle name="Обычный 8 5 4 4 2 3" xfId="41550"/>
    <cellStyle name="Обычный 8 5 4 4 3" xfId="30367"/>
    <cellStyle name="Обычный 8 5 4 4 3 2" xfId="45190"/>
    <cellStyle name="Обычный 8 5 4 4 4" xfId="37864"/>
    <cellStyle name="Обычный 8 5 4 4 5" xfId="23052"/>
    <cellStyle name="Обычный 8 5 4 5" xfId="24869"/>
    <cellStyle name="Обычный 8 5 4 5 2" xfId="32180"/>
    <cellStyle name="Обычный 8 5 4 5 2 2" xfId="47003"/>
    <cellStyle name="Обычный 8 5 4 5 3" xfId="39765"/>
    <cellStyle name="Обычный 8 5 4 6" xfId="28526"/>
    <cellStyle name="Обычный 8 5 4 6 2" xfId="43363"/>
    <cellStyle name="Обычный 8 5 4 7" xfId="36021"/>
    <cellStyle name="Обычный 8 5 4 8" xfId="21208"/>
    <cellStyle name="Обычный 8 5 5" xfId="17255"/>
    <cellStyle name="Обычный 8 5 5 2" xfId="18113"/>
    <cellStyle name="Обычный 8 5 5 2 2" xfId="20516"/>
    <cellStyle name="Обычный 8 5 5 2 2 2" xfId="27842"/>
    <cellStyle name="Обычный 8 5 5 2 2 2 2" xfId="35153"/>
    <cellStyle name="Обычный 8 5 5 2 2 2 2 2" xfId="49973"/>
    <cellStyle name="Обычный 8 5 5 2 2 2 3" xfId="42681"/>
    <cellStyle name="Обычный 8 5 5 2 2 3" xfId="31499"/>
    <cellStyle name="Обычный 8 5 5 2 2 3 2" xfId="46322"/>
    <cellStyle name="Обычный 8 5 5 2 2 4" xfId="38997"/>
    <cellStyle name="Обычный 8 5 5 2 2 5" xfId="24184"/>
    <cellStyle name="Обычный 8 5 5 2 3" xfId="26016"/>
    <cellStyle name="Обычный 8 5 5 2 3 2" xfId="33327"/>
    <cellStyle name="Обычный 8 5 5 2 3 2 2" xfId="48147"/>
    <cellStyle name="Обычный 8 5 5 2 3 3" xfId="40860"/>
    <cellStyle name="Обычный 8 5 5 2 4" xfId="29673"/>
    <cellStyle name="Обычный 8 5 5 2 4 2" xfId="44497"/>
    <cellStyle name="Обычный 8 5 5 2 5" xfId="36769"/>
    <cellStyle name="Обычный 8 5 5 2 6" xfId="22355"/>
    <cellStyle name="Обычный 8 5 5 3" xfId="18637"/>
    <cellStyle name="Обычный 8 5 5 3 2" xfId="26936"/>
    <cellStyle name="Обычный 8 5 5 3 2 2" xfId="34247"/>
    <cellStyle name="Обычный 8 5 5 3 2 2 2" xfId="49067"/>
    <cellStyle name="Обычный 8 5 5 3 2 3" xfId="41776"/>
    <cellStyle name="Обычный 8 5 5 3 3" xfId="30593"/>
    <cellStyle name="Обычный 8 5 5 3 3 2" xfId="45416"/>
    <cellStyle name="Обычный 8 5 5 3 4" xfId="37274"/>
    <cellStyle name="Обычный 8 5 5 3 5" xfId="23278"/>
    <cellStyle name="Обычный 8 5 5 4" xfId="19567"/>
    <cellStyle name="Обычный 8 5 5 4 2" xfId="32406"/>
    <cellStyle name="Обычный 8 5 5 4 2 2" xfId="47229"/>
    <cellStyle name="Обычный 8 5 5 4 3" xfId="38090"/>
    <cellStyle name="Обычный 8 5 5 4 4" xfId="25095"/>
    <cellStyle name="Обычный 8 5 5 5" xfId="28752"/>
    <cellStyle name="Обычный 8 5 5 5 2" xfId="43589"/>
    <cellStyle name="Обычный 8 5 5 6" xfId="36463"/>
    <cellStyle name="Обычный 8 5 5 7" xfId="21434"/>
    <cellStyle name="Обычный 8 5 6" xfId="17523"/>
    <cellStyle name="Обычный 8 5 6 2" xfId="20036"/>
    <cellStyle name="Обычный 8 5 6 2 2" xfId="27364"/>
    <cellStyle name="Обычный 8 5 6 2 2 2" xfId="34675"/>
    <cellStyle name="Обычный 8 5 6 2 2 2 2" xfId="49495"/>
    <cellStyle name="Обычный 8 5 6 2 2 3" xfId="42204"/>
    <cellStyle name="Обычный 8 5 6 2 3" xfId="31021"/>
    <cellStyle name="Обычный 8 5 6 2 3 2" xfId="45844"/>
    <cellStyle name="Обычный 8 5 6 2 4" xfId="38519"/>
    <cellStyle name="Обычный 8 5 6 2 5" xfId="23706"/>
    <cellStyle name="Обычный 8 5 6 3" xfId="25526"/>
    <cellStyle name="Обычный 8 5 6 3 2" xfId="32837"/>
    <cellStyle name="Обычный 8 5 6 3 2 2" xfId="47658"/>
    <cellStyle name="Обычный 8 5 6 3 3" xfId="40411"/>
    <cellStyle name="Обычный 8 5 6 4" xfId="29183"/>
    <cellStyle name="Обычный 8 5 6 4 2" xfId="44018"/>
    <cellStyle name="Обычный 8 5 6 5" xfId="36680"/>
    <cellStyle name="Обычный 8 5 6 6" xfId="21865"/>
    <cellStyle name="Обычный 8 5 7" xfId="18129"/>
    <cellStyle name="Обычный 8 5 7 2" xfId="26446"/>
    <cellStyle name="Обычный 8 5 7 2 2" xfId="33757"/>
    <cellStyle name="Обычный 8 5 7 2 2 2" xfId="48577"/>
    <cellStyle name="Обычный 8 5 7 2 3" xfId="41288"/>
    <cellStyle name="Обычный 8 5 7 3" xfId="30103"/>
    <cellStyle name="Обычный 8 5 7 3 2" xfId="44927"/>
    <cellStyle name="Обычный 8 5 7 4" xfId="36784"/>
    <cellStyle name="Обычный 8 5 7 5" xfId="22788"/>
    <cellStyle name="Обычный 8 5 8" xfId="19067"/>
    <cellStyle name="Обычный 8 5 8 2" xfId="31956"/>
    <cellStyle name="Обычный 8 5 8 2 2" xfId="46779"/>
    <cellStyle name="Обычный 8 5 8 3" xfId="37600"/>
    <cellStyle name="Обычный 8 5 8 4" xfId="24645"/>
    <cellStyle name="Обычный 8 5 9" xfId="28302"/>
    <cellStyle name="Обычный 8 5 9 2" xfId="43139"/>
    <cellStyle name="Обычный 8 6" xfId="17116"/>
    <cellStyle name="Обычный 8 6 10" xfId="21012"/>
    <cellStyle name="Обычный 8 6 2" xfId="17437"/>
    <cellStyle name="Обычный 8 6 2 2" xfId="17887"/>
    <cellStyle name="Обычный 8 6 2 2 2" xfId="19001"/>
    <cellStyle name="Обычный 8 6 2 2 2 2" xfId="20880"/>
    <cellStyle name="Обычный 8 6 2 2 2 2 2" xfId="24548"/>
    <cellStyle name="Обычный 8 6 2 2 2 2 2 2" xfId="28206"/>
    <cellStyle name="Обычный 8 6 2 2 2 2 2 2 2" xfId="35517"/>
    <cellStyle name="Обычный 8 6 2 2 2 2 2 2 2 2" xfId="50337"/>
    <cellStyle name="Обычный 8 6 2 2 2 2 2 2 3" xfId="43045"/>
    <cellStyle name="Обычный 8 6 2 2 2 2 2 3" xfId="31863"/>
    <cellStyle name="Обычный 8 6 2 2 2 2 2 3 2" xfId="46686"/>
    <cellStyle name="Обычный 8 6 2 2 2 2 2 4" xfId="39483"/>
    <cellStyle name="Обычный 8 6 2 2 2 2 3" xfId="26380"/>
    <cellStyle name="Обычный 8 6 2 2 2 2 3 2" xfId="33691"/>
    <cellStyle name="Обычный 8 6 2 2 2 2 3 2 2" xfId="48511"/>
    <cellStyle name="Обычный 8 6 2 2 2 2 3 3" xfId="41224"/>
    <cellStyle name="Обычный 8 6 2 2 2 2 4" xfId="30037"/>
    <cellStyle name="Обычный 8 6 2 2 2 2 4 2" xfId="44861"/>
    <cellStyle name="Обычный 8 6 2 2 2 2 5" xfId="39361"/>
    <cellStyle name="Обычный 8 6 2 2 2 2 6" xfId="22719"/>
    <cellStyle name="Обычный 8 6 2 2 2 3" xfId="19931"/>
    <cellStyle name="Обычный 8 6 2 2 2 3 2" xfId="27300"/>
    <cellStyle name="Обычный 8 6 2 2 2 3 2 2" xfId="34611"/>
    <cellStyle name="Обычный 8 6 2 2 2 3 2 2 2" xfId="49431"/>
    <cellStyle name="Обычный 8 6 2 2 2 3 2 3" xfId="42140"/>
    <cellStyle name="Обычный 8 6 2 2 2 3 3" xfId="30957"/>
    <cellStyle name="Обычный 8 6 2 2 2 3 3 2" xfId="45780"/>
    <cellStyle name="Обычный 8 6 2 2 2 3 4" xfId="38454"/>
    <cellStyle name="Обычный 8 6 2 2 2 3 5" xfId="23642"/>
    <cellStyle name="Обычный 8 6 2 2 2 4" xfId="25459"/>
    <cellStyle name="Обычный 8 6 2 2 2 4 2" xfId="32770"/>
    <cellStyle name="Обычный 8 6 2 2 2 4 2 2" xfId="47593"/>
    <cellStyle name="Обычный 8 6 2 2 2 4 3" xfId="40347"/>
    <cellStyle name="Обычный 8 6 2 2 2 5" xfId="29116"/>
    <cellStyle name="Обычный 8 6 2 2 2 5 2" xfId="43953"/>
    <cellStyle name="Обычный 8 6 2 2 2 6" xfId="36473"/>
    <cellStyle name="Обычный 8 6 2 2 2 7" xfId="21798"/>
    <cellStyle name="Обычный 8 6 2 2 3" xfId="18596"/>
    <cellStyle name="Обычный 8 6 2 2 3 2" xfId="20478"/>
    <cellStyle name="Обычный 8 6 2 2 3 2 2" xfId="27804"/>
    <cellStyle name="Обычный 8 6 2 2 3 2 2 2" xfId="35115"/>
    <cellStyle name="Обычный 8 6 2 2 3 2 2 2 2" xfId="49935"/>
    <cellStyle name="Обычный 8 6 2 2 3 2 2 3" xfId="42643"/>
    <cellStyle name="Обычный 8 6 2 2 3 2 3" xfId="31461"/>
    <cellStyle name="Обычный 8 6 2 2 3 2 3 2" xfId="46284"/>
    <cellStyle name="Обычный 8 6 2 2 3 2 4" xfId="38959"/>
    <cellStyle name="Обычный 8 6 2 2 3 2 5" xfId="24146"/>
    <cellStyle name="Обычный 8 6 2 2 3 3" xfId="25978"/>
    <cellStyle name="Обычный 8 6 2 2 3 3 2" xfId="33289"/>
    <cellStyle name="Обычный 8 6 2 2 3 3 2 2" xfId="48109"/>
    <cellStyle name="Обычный 8 6 2 2 3 3 3" xfId="40822"/>
    <cellStyle name="Обычный 8 6 2 2 3 4" xfId="29635"/>
    <cellStyle name="Обычный 8 6 2 2 3 4 2" xfId="44459"/>
    <cellStyle name="Обычный 8 6 2 2 3 5" xfId="37236"/>
    <cellStyle name="Обычный 8 6 2 2 3 6" xfId="22317"/>
    <cellStyle name="Обычный 8 6 2 2 4" xfId="19480"/>
    <cellStyle name="Обычный 8 6 2 2 4 2" xfId="26850"/>
    <cellStyle name="Обычный 8 6 2 2 4 2 2" xfId="34161"/>
    <cellStyle name="Обычный 8 6 2 2 4 2 2 2" xfId="48981"/>
    <cellStyle name="Обычный 8 6 2 2 4 2 3" xfId="41690"/>
    <cellStyle name="Обычный 8 6 2 2 4 3" xfId="30507"/>
    <cellStyle name="Обычный 8 6 2 2 4 3 2" xfId="45330"/>
    <cellStyle name="Обычный 8 6 2 2 4 4" xfId="38004"/>
    <cellStyle name="Обычный 8 6 2 2 4 5" xfId="23192"/>
    <cellStyle name="Обычный 8 6 2 2 5" xfId="25009"/>
    <cellStyle name="Обычный 8 6 2 2 5 2" xfId="32320"/>
    <cellStyle name="Обычный 8 6 2 2 5 2 2" xfId="47143"/>
    <cellStyle name="Обычный 8 6 2 2 5 3" xfId="39904"/>
    <cellStyle name="Обычный 8 6 2 2 6" xfId="28666"/>
    <cellStyle name="Обычный 8 6 2 2 6 2" xfId="43503"/>
    <cellStyle name="Обычный 8 6 2 2 7" xfId="36024"/>
    <cellStyle name="Обычный 8 6 2 2 8" xfId="21348"/>
    <cellStyle name="Обычный 8 6 2 3" xfId="17663"/>
    <cellStyle name="Обычный 8 6 2 3 2" xfId="18777"/>
    <cellStyle name="Обычный 8 6 2 3 2 2" xfId="20656"/>
    <cellStyle name="Обычный 8 6 2 3 2 2 2" xfId="27982"/>
    <cellStyle name="Обычный 8 6 2 3 2 2 2 2" xfId="35293"/>
    <cellStyle name="Обычный 8 6 2 3 2 2 2 2 2" xfId="50113"/>
    <cellStyle name="Обычный 8 6 2 3 2 2 2 3" xfId="42821"/>
    <cellStyle name="Обычный 8 6 2 3 2 2 3" xfId="31639"/>
    <cellStyle name="Обычный 8 6 2 3 2 2 3 2" xfId="46462"/>
    <cellStyle name="Обычный 8 6 2 3 2 2 4" xfId="39137"/>
    <cellStyle name="Обычный 8 6 2 3 2 2 5" xfId="24324"/>
    <cellStyle name="Обычный 8 6 2 3 2 3" xfId="26156"/>
    <cellStyle name="Обычный 8 6 2 3 2 3 2" xfId="33467"/>
    <cellStyle name="Обычный 8 6 2 3 2 3 2 2" xfId="48287"/>
    <cellStyle name="Обычный 8 6 2 3 2 3 3" xfId="41000"/>
    <cellStyle name="Обычный 8 6 2 3 2 4" xfId="29813"/>
    <cellStyle name="Обычный 8 6 2 3 2 4 2" xfId="44637"/>
    <cellStyle name="Обычный 8 6 2 3 2 5" xfId="37414"/>
    <cellStyle name="Обычный 8 6 2 3 2 6" xfId="22495"/>
    <cellStyle name="Обычный 8 6 2 3 3" xfId="19707"/>
    <cellStyle name="Обычный 8 6 2 3 3 2" xfId="27076"/>
    <cellStyle name="Обычный 8 6 2 3 3 2 2" xfId="34387"/>
    <cellStyle name="Обычный 8 6 2 3 3 2 2 2" xfId="49207"/>
    <cellStyle name="Обычный 8 6 2 3 3 2 3" xfId="41916"/>
    <cellStyle name="Обычный 8 6 2 3 3 3" xfId="30733"/>
    <cellStyle name="Обычный 8 6 2 3 3 3 2" xfId="45556"/>
    <cellStyle name="Обычный 8 6 2 3 3 4" xfId="38230"/>
    <cellStyle name="Обычный 8 6 2 3 3 5" xfId="23418"/>
    <cellStyle name="Обычный 8 6 2 3 4" xfId="25235"/>
    <cellStyle name="Обычный 8 6 2 3 4 2" xfId="32546"/>
    <cellStyle name="Обычный 8 6 2 3 4 2 2" xfId="47369"/>
    <cellStyle name="Обычный 8 6 2 3 4 3" xfId="40127"/>
    <cellStyle name="Обычный 8 6 2 3 5" xfId="28892"/>
    <cellStyle name="Обычный 8 6 2 3 5 2" xfId="43729"/>
    <cellStyle name="Обычный 8 6 2 3 6" xfId="36472"/>
    <cellStyle name="Обычный 8 6 2 3 7" xfId="21574"/>
    <cellStyle name="Обычный 8 6 2 4" xfId="18595"/>
    <cellStyle name="Обычный 8 6 2 4 2" xfId="20477"/>
    <cellStyle name="Обычный 8 6 2 4 2 2" xfId="27803"/>
    <cellStyle name="Обычный 8 6 2 4 2 2 2" xfId="35114"/>
    <cellStyle name="Обычный 8 6 2 4 2 2 2 2" xfId="49934"/>
    <cellStyle name="Обычный 8 6 2 4 2 2 3" xfId="42642"/>
    <cellStyle name="Обычный 8 6 2 4 2 3" xfId="31460"/>
    <cellStyle name="Обычный 8 6 2 4 2 3 2" xfId="46283"/>
    <cellStyle name="Обычный 8 6 2 4 2 4" xfId="38958"/>
    <cellStyle name="Обычный 8 6 2 4 2 5" xfId="24145"/>
    <cellStyle name="Обычный 8 6 2 4 3" xfId="25977"/>
    <cellStyle name="Обычный 8 6 2 4 3 2" xfId="33288"/>
    <cellStyle name="Обычный 8 6 2 4 3 2 2" xfId="48108"/>
    <cellStyle name="Обычный 8 6 2 4 3 3" xfId="40821"/>
    <cellStyle name="Обычный 8 6 2 4 4" xfId="29634"/>
    <cellStyle name="Обычный 8 6 2 4 4 2" xfId="44458"/>
    <cellStyle name="Обычный 8 6 2 4 5" xfId="37235"/>
    <cellStyle name="Обычный 8 6 2 4 6" xfId="22316"/>
    <cellStyle name="Обычный 8 6 2 5" xfId="19257"/>
    <cellStyle name="Обычный 8 6 2 5 2" xfId="26627"/>
    <cellStyle name="Обычный 8 6 2 5 2 2" xfId="33938"/>
    <cellStyle name="Обычный 8 6 2 5 2 2 2" xfId="48758"/>
    <cellStyle name="Обычный 8 6 2 5 2 3" xfId="41467"/>
    <cellStyle name="Обычный 8 6 2 5 3" xfId="30284"/>
    <cellStyle name="Обычный 8 6 2 5 3 2" xfId="45107"/>
    <cellStyle name="Обычный 8 6 2 5 4" xfId="37781"/>
    <cellStyle name="Обычный 8 6 2 5 5" xfId="22969"/>
    <cellStyle name="Обычный 8 6 2 6" xfId="24785"/>
    <cellStyle name="Обычный 8 6 2 6 2" xfId="32096"/>
    <cellStyle name="Обычный 8 6 2 6 2 2" xfId="46919"/>
    <cellStyle name="Обычный 8 6 2 6 3" xfId="39686"/>
    <cellStyle name="Обычный 8 6 2 7" xfId="28442"/>
    <cellStyle name="Обычный 8 6 2 7 2" xfId="43279"/>
    <cellStyle name="Обычный 8 6 2 8" xfId="36023"/>
    <cellStyle name="Обычный 8 6 2 9" xfId="21124"/>
    <cellStyle name="Обычный 8 6 3" xfId="17322"/>
    <cellStyle name="Обычный 8 6 3 2" xfId="17775"/>
    <cellStyle name="Обычный 8 6 3 2 2" xfId="18889"/>
    <cellStyle name="Обычный 8 6 3 2 2 2" xfId="20768"/>
    <cellStyle name="Обычный 8 6 3 2 2 2 2" xfId="28094"/>
    <cellStyle name="Обычный 8 6 3 2 2 2 2 2" xfId="35405"/>
    <cellStyle name="Обычный 8 6 3 2 2 2 2 2 2" xfId="50225"/>
    <cellStyle name="Обычный 8 6 3 2 2 2 2 3" xfId="42933"/>
    <cellStyle name="Обычный 8 6 3 2 2 2 3" xfId="31751"/>
    <cellStyle name="Обычный 8 6 3 2 2 2 3 2" xfId="46574"/>
    <cellStyle name="Обычный 8 6 3 2 2 2 4" xfId="39249"/>
    <cellStyle name="Обычный 8 6 3 2 2 2 5" xfId="24436"/>
    <cellStyle name="Обычный 8 6 3 2 2 3" xfId="26268"/>
    <cellStyle name="Обычный 8 6 3 2 2 3 2" xfId="33579"/>
    <cellStyle name="Обычный 8 6 3 2 2 3 2 2" xfId="48399"/>
    <cellStyle name="Обычный 8 6 3 2 2 3 3" xfId="41112"/>
    <cellStyle name="Обычный 8 6 3 2 2 4" xfId="29925"/>
    <cellStyle name="Обычный 8 6 3 2 2 4 2" xfId="44749"/>
    <cellStyle name="Обычный 8 6 3 2 2 5" xfId="37525"/>
    <cellStyle name="Обычный 8 6 3 2 2 6" xfId="22607"/>
    <cellStyle name="Обычный 8 6 3 2 3" xfId="19819"/>
    <cellStyle name="Обычный 8 6 3 2 3 2" xfId="27188"/>
    <cellStyle name="Обычный 8 6 3 2 3 2 2" xfId="34499"/>
    <cellStyle name="Обычный 8 6 3 2 3 2 2 2" xfId="49319"/>
    <cellStyle name="Обычный 8 6 3 2 3 2 3" xfId="42028"/>
    <cellStyle name="Обычный 8 6 3 2 3 3" xfId="30845"/>
    <cellStyle name="Обычный 8 6 3 2 3 3 2" xfId="45668"/>
    <cellStyle name="Обычный 8 6 3 2 3 4" xfId="38342"/>
    <cellStyle name="Обычный 8 6 3 2 3 5" xfId="23530"/>
    <cellStyle name="Обычный 8 6 3 2 4" xfId="25347"/>
    <cellStyle name="Обычный 8 6 3 2 4 2" xfId="32658"/>
    <cellStyle name="Обычный 8 6 3 2 4 2 2" xfId="47481"/>
    <cellStyle name="Обычный 8 6 3 2 4 3" xfId="40235"/>
    <cellStyle name="Обычный 8 6 3 2 5" xfId="29004"/>
    <cellStyle name="Обычный 8 6 3 2 5 2" xfId="43841"/>
    <cellStyle name="Обычный 8 6 3 2 6" xfId="36474"/>
    <cellStyle name="Обычный 8 6 3 2 7" xfId="21686"/>
    <cellStyle name="Обычный 8 6 3 3" xfId="18597"/>
    <cellStyle name="Обычный 8 6 3 3 2" xfId="20479"/>
    <cellStyle name="Обычный 8 6 3 3 2 2" xfId="27805"/>
    <cellStyle name="Обычный 8 6 3 3 2 2 2" xfId="35116"/>
    <cellStyle name="Обычный 8 6 3 3 2 2 2 2" xfId="49936"/>
    <cellStyle name="Обычный 8 6 3 3 2 2 3" xfId="42644"/>
    <cellStyle name="Обычный 8 6 3 3 2 3" xfId="31462"/>
    <cellStyle name="Обычный 8 6 3 3 2 3 2" xfId="46285"/>
    <cellStyle name="Обычный 8 6 3 3 2 4" xfId="38960"/>
    <cellStyle name="Обычный 8 6 3 3 2 5" xfId="24147"/>
    <cellStyle name="Обычный 8 6 3 3 3" xfId="25979"/>
    <cellStyle name="Обычный 8 6 3 3 3 2" xfId="33290"/>
    <cellStyle name="Обычный 8 6 3 3 3 2 2" xfId="48110"/>
    <cellStyle name="Обычный 8 6 3 3 3 3" xfId="40823"/>
    <cellStyle name="Обычный 8 6 3 3 4" xfId="29636"/>
    <cellStyle name="Обычный 8 6 3 3 4 2" xfId="44460"/>
    <cellStyle name="Обычный 8 6 3 3 5" xfId="37237"/>
    <cellStyle name="Обычный 8 6 3 3 6" xfId="22318"/>
    <cellStyle name="Обычный 8 6 3 4" xfId="19368"/>
    <cellStyle name="Обычный 8 6 3 4 2" xfId="26738"/>
    <cellStyle name="Обычный 8 6 3 4 2 2" xfId="34049"/>
    <cellStyle name="Обычный 8 6 3 4 2 2 2" xfId="48869"/>
    <cellStyle name="Обычный 8 6 3 4 2 3" xfId="41578"/>
    <cellStyle name="Обычный 8 6 3 4 3" xfId="30395"/>
    <cellStyle name="Обычный 8 6 3 4 3 2" xfId="45218"/>
    <cellStyle name="Обычный 8 6 3 4 4" xfId="37892"/>
    <cellStyle name="Обычный 8 6 3 4 5" xfId="23080"/>
    <cellStyle name="Обычный 8 6 3 5" xfId="24897"/>
    <cellStyle name="Обычный 8 6 3 5 2" xfId="32208"/>
    <cellStyle name="Обычный 8 6 3 5 2 2" xfId="47031"/>
    <cellStyle name="Обычный 8 6 3 5 3" xfId="39792"/>
    <cellStyle name="Обычный 8 6 3 6" xfId="28554"/>
    <cellStyle name="Обычный 8 6 3 6 2" xfId="43391"/>
    <cellStyle name="Обычный 8 6 3 7" xfId="36025"/>
    <cellStyle name="Обычный 8 6 3 8" xfId="21236"/>
    <cellStyle name="Обычный 8 6 4" xfId="17551"/>
    <cellStyle name="Обычный 8 6 4 2" xfId="18665"/>
    <cellStyle name="Обычный 8 6 4 2 2" xfId="20544"/>
    <cellStyle name="Обычный 8 6 4 2 2 2" xfId="27870"/>
    <cellStyle name="Обычный 8 6 4 2 2 2 2" xfId="35181"/>
    <cellStyle name="Обычный 8 6 4 2 2 2 2 2" xfId="50001"/>
    <cellStyle name="Обычный 8 6 4 2 2 2 3" xfId="42709"/>
    <cellStyle name="Обычный 8 6 4 2 2 3" xfId="31527"/>
    <cellStyle name="Обычный 8 6 4 2 2 3 2" xfId="46350"/>
    <cellStyle name="Обычный 8 6 4 2 2 4" xfId="39025"/>
    <cellStyle name="Обычный 8 6 4 2 2 5" xfId="24212"/>
    <cellStyle name="Обычный 8 6 4 2 3" xfId="26044"/>
    <cellStyle name="Обычный 8 6 4 2 3 2" xfId="33355"/>
    <cellStyle name="Обычный 8 6 4 2 3 2 2" xfId="48175"/>
    <cellStyle name="Обычный 8 6 4 2 3 3" xfId="40888"/>
    <cellStyle name="Обычный 8 6 4 2 4" xfId="29701"/>
    <cellStyle name="Обычный 8 6 4 2 4 2" xfId="44525"/>
    <cellStyle name="Обычный 8 6 4 2 5" xfId="37302"/>
    <cellStyle name="Обычный 8 6 4 2 6" xfId="22383"/>
    <cellStyle name="Обычный 8 6 4 3" xfId="19595"/>
    <cellStyle name="Обычный 8 6 4 3 2" xfId="26964"/>
    <cellStyle name="Обычный 8 6 4 3 2 2" xfId="34275"/>
    <cellStyle name="Обычный 8 6 4 3 2 2 2" xfId="49095"/>
    <cellStyle name="Обычный 8 6 4 3 2 3" xfId="41804"/>
    <cellStyle name="Обычный 8 6 4 3 3" xfId="30621"/>
    <cellStyle name="Обычный 8 6 4 3 3 2" xfId="45444"/>
    <cellStyle name="Обычный 8 6 4 3 4" xfId="38118"/>
    <cellStyle name="Обычный 8 6 4 3 5" xfId="23306"/>
    <cellStyle name="Обычный 8 6 4 4" xfId="25123"/>
    <cellStyle name="Обычный 8 6 4 4 2" xfId="32434"/>
    <cellStyle name="Обычный 8 6 4 4 2 2" xfId="47257"/>
    <cellStyle name="Обычный 8 6 4 4 3" xfId="40017"/>
    <cellStyle name="Обычный 8 6 4 5" xfId="28780"/>
    <cellStyle name="Обычный 8 6 4 5 2" xfId="43617"/>
    <cellStyle name="Обычный 8 6 4 6" xfId="36471"/>
    <cellStyle name="Обычный 8 6 4 7" xfId="21462"/>
    <cellStyle name="Обычный 8 6 5" xfId="18076"/>
    <cellStyle name="Обычный 8 6 5 2" xfId="20476"/>
    <cellStyle name="Обычный 8 6 5 2 2" xfId="27802"/>
    <cellStyle name="Обычный 8 6 5 2 2 2" xfId="35113"/>
    <cellStyle name="Обычный 8 6 5 2 2 2 2" xfId="49933"/>
    <cellStyle name="Обычный 8 6 5 2 2 3" xfId="42641"/>
    <cellStyle name="Обычный 8 6 5 2 3" xfId="31459"/>
    <cellStyle name="Обычный 8 6 5 2 3 2" xfId="46282"/>
    <cellStyle name="Обычный 8 6 5 2 4" xfId="38957"/>
    <cellStyle name="Обычный 8 6 5 2 5" xfId="24144"/>
    <cellStyle name="Обычный 8 6 5 3" xfId="25976"/>
    <cellStyle name="Обычный 8 6 5 3 2" xfId="33287"/>
    <cellStyle name="Обычный 8 6 5 3 2 2" xfId="48107"/>
    <cellStyle name="Обычный 8 6 5 3 3" xfId="40820"/>
    <cellStyle name="Обычный 8 6 5 4" xfId="29633"/>
    <cellStyle name="Обычный 8 6 5 4 2" xfId="44457"/>
    <cellStyle name="Обычный 8 6 5 5" xfId="36732"/>
    <cellStyle name="Обычный 8 6 5 6" xfId="22315"/>
    <cellStyle name="Обычный 8 6 6" xfId="18594"/>
    <cellStyle name="Обычный 8 6 6 2" xfId="26519"/>
    <cellStyle name="Обычный 8 6 6 2 2" xfId="33830"/>
    <cellStyle name="Обычный 8 6 6 2 2 2" xfId="48650"/>
    <cellStyle name="Обычный 8 6 6 2 3" xfId="41359"/>
    <cellStyle name="Обычный 8 6 6 3" xfId="30176"/>
    <cellStyle name="Обычный 8 6 6 3 2" xfId="44999"/>
    <cellStyle name="Обычный 8 6 6 4" xfId="37234"/>
    <cellStyle name="Обычный 8 6 6 5" xfId="22861"/>
    <cellStyle name="Обычный 8 6 7" xfId="19148"/>
    <cellStyle name="Обычный 8 6 7 2" xfId="31984"/>
    <cellStyle name="Обычный 8 6 7 2 2" xfId="46807"/>
    <cellStyle name="Обычный 8 6 7 3" xfId="37673"/>
    <cellStyle name="Обычный 8 6 7 4" xfId="24673"/>
    <cellStyle name="Обычный 8 6 8" xfId="28330"/>
    <cellStyle name="Обычный 8 6 8 2" xfId="43167"/>
    <cellStyle name="Обычный 8 6 8 3" xfId="36624"/>
    <cellStyle name="Обычный 8 6 9" xfId="36022"/>
    <cellStyle name="Обычный 8 7" xfId="17039"/>
    <cellStyle name="Обычный 8 7 2" xfId="17381"/>
    <cellStyle name="Обычный 8 7 2 2" xfId="17831"/>
    <cellStyle name="Обычный 8 7 2 2 2" xfId="18945"/>
    <cellStyle name="Обычный 8 7 2 2 2 2" xfId="20824"/>
    <cellStyle name="Обычный 8 7 2 2 2 2 2" xfId="28150"/>
    <cellStyle name="Обычный 8 7 2 2 2 2 2 2" xfId="35461"/>
    <cellStyle name="Обычный 8 7 2 2 2 2 2 2 2" xfId="50281"/>
    <cellStyle name="Обычный 8 7 2 2 2 2 2 3" xfId="42989"/>
    <cellStyle name="Обычный 8 7 2 2 2 2 3" xfId="31807"/>
    <cellStyle name="Обычный 8 7 2 2 2 2 3 2" xfId="46630"/>
    <cellStyle name="Обычный 8 7 2 2 2 2 4" xfId="39305"/>
    <cellStyle name="Обычный 8 7 2 2 2 2 5" xfId="24492"/>
    <cellStyle name="Обычный 8 7 2 2 2 3" xfId="26324"/>
    <cellStyle name="Обычный 8 7 2 2 2 3 2" xfId="33635"/>
    <cellStyle name="Обычный 8 7 2 2 2 3 2 2" xfId="48455"/>
    <cellStyle name="Обычный 8 7 2 2 2 3 3" xfId="41168"/>
    <cellStyle name="Обычный 8 7 2 2 2 4" xfId="29981"/>
    <cellStyle name="Обычный 8 7 2 2 2 4 2" xfId="44805"/>
    <cellStyle name="Обычный 8 7 2 2 2 5" xfId="37561"/>
    <cellStyle name="Обычный 8 7 2 2 2 6" xfId="22663"/>
    <cellStyle name="Обычный 8 7 2 2 3" xfId="19875"/>
    <cellStyle name="Обычный 8 7 2 2 3 2" xfId="27244"/>
    <cellStyle name="Обычный 8 7 2 2 3 2 2" xfId="34555"/>
    <cellStyle name="Обычный 8 7 2 2 3 2 2 2" xfId="49375"/>
    <cellStyle name="Обычный 8 7 2 2 3 2 3" xfId="42084"/>
    <cellStyle name="Обычный 8 7 2 2 3 3" xfId="30901"/>
    <cellStyle name="Обычный 8 7 2 2 3 3 2" xfId="45724"/>
    <cellStyle name="Обычный 8 7 2 2 3 4" xfId="38398"/>
    <cellStyle name="Обычный 8 7 2 2 3 5" xfId="23586"/>
    <cellStyle name="Обычный 8 7 2 2 4" xfId="25403"/>
    <cellStyle name="Обычный 8 7 2 2 4 2" xfId="32714"/>
    <cellStyle name="Обычный 8 7 2 2 4 2 2" xfId="47537"/>
    <cellStyle name="Обычный 8 7 2 2 4 3" xfId="40291"/>
    <cellStyle name="Обычный 8 7 2 2 5" xfId="29060"/>
    <cellStyle name="Обычный 8 7 2 2 5 2" xfId="43897"/>
    <cellStyle name="Обычный 8 7 2 2 6" xfId="36476"/>
    <cellStyle name="Обычный 8 7 2 2 7" xfId="21742"/>
    <cellStyle name="Обычный 8 7 2 3" xfId="18599"/>
    <cellStyle name="Обычный 8 7 2 3 2" xfId="20481"/>
    <cellStyle name="Обычный 8 7 2 3 2 2" xfId="27807"/>
    <cellStyle name="Обычный 8 7 2 3 2 2 2" xfId="35118"/>
    <cellStyle name="Обычный 8 7 2 3 2 2 2 2" xfId="49938"/>
    <cellStyle name="Обычный 8 7 2 3 2 2 3" xfId="42646"/>
    <cellStyle name="Обычный 8 7 2 3 2 3" xfId="31464"/>
    <cellStyle name="Обычный 8 7 2 3 2 3 2" xfId="46287"/>
    <cellStyle name="Обычный 8 7 2 3 2 4" xfId="38962"/>
    <cellStyle name="Обычный 8 7 2 3 2 5" xfId="24149"/>
    <cellStyle name="Обычный 8 7 2 3 3" xfId="25981"/>
    <cellStyle name="Обычный 8 7 2 3 3 2" xfId="33292"/>
    <cellStyle name="Обычный 8 7 2 3 3 2 2" xfId="48112"/>
    <cellStyle name="Обычный 8 7 2 3 3 3" xfId="40825"/>
    <cellStyle name="Обычный 8 7 2 3 4" xfId="29638"/>
    <cellStyle name="Обычный 8 7 2 3 4 2" xfId="44462"/>
    <cellStyle name="Обычный 8 7 2 3 5" xfId="37239"/>
    <cellStyle name="Обычный 8 7 2 3 6" xfId="22320"/>
    <cellStyle name="Обычный 8 7 2 4" xfId="19424"/>
    <cellStyle name="Обычный 8 7 2 4 2" xfId="26794"/>
    <cellStyle name="Обычный 8 7 2 4 2 2" xfId="34105"/>
    <cellStyle name="Обычный 8 7 2 4 2 2 2" xfId="48925"/>
    <cellStyle name="Обычный 8 7 2 4 2 3" xfId="41634"/>
    <cellStyle name="Обычный 8 7 2 4 3" xfId="30451"/>
    <cellStyle name="Обычный 8 7 2 4 3 2" xfId="45274"/>
    <cellStyle name="Обычный 8 7 2 4 4" xfId="37948"/>
    <cellStyle name="Обычный 8 7 2 4 5" xfId="23136"/>
    <cellStyle name="Обычный 8 7 2 5" xfId="24953"/>
    <cellStyle name="Обычный 8 7 2 5 2" xfId="32264"/>
    <cellStyle name="Обычный 8 7 2 5 2 2" xfId="47087"/>
    <cellStyle name="Обычный 8 7 2 5 3" xfId="39848"/>
    <cellStyle name="Обычный 8 7 2 6" xfId="28610"/>
    <cellStyle name="Обычный 8 7 2 6 2" xfId="43447"/>
    <cellStyle name="Обычный 8 7 2 7" xfId="36027"/>
    <cellStyle name="Обычный 8 7 2 8" xfId="21292"/>
    <cellStyle name="Обычный 8 7 3" xfId="17607"/>
    <cellStyle name="Обычный 8 7 3 2" xfId="18721"/>
    <cellStyle name="Обычный 8 7 3 2 2" xfId="20600"/>
    <cellStyle name="Обычный 8 7 3 2 2 2" xfId="27926"/>
    <cellStyle name="Обычный 8 7 3 2 2 2 2" xfId="35237"/>
    <cellStyle name="Обычный 8 7 3 2 2 2 2 2" xfId="50057"/>
    <cellStyle name="Обычный 8 7 3 2 2 2 3" xfId="42765"/>
    <cellStyle name="Обычный 8 7 3 2 2 3" xfId="31583"/>
    <cellStyle name="Обычный 8 7 3 2 2 3 2" xfId="46406"/>
    <cellStyle name="Обычный 8 7 3 2 2 4" xfId="39081"/>
    <cellStyle name="Обычный 8 7 3 2 2 5" xfId="24268"/>
    <cellStyle name="Обычный 8 7 3 2 3" xfId="26100"/>
    <cellStyle name="Обычный 8 7 3 2 3 2" xfId="33411"/>
    <cellStyle name="Обычный 8 7 3 2 3 2 2" xfId="48231"/>
    <cellStyle name="Обычный 8 7 3 2 3 3" xfId="40944"/>
    <cellStyle name="Обычный 8 7 3 2 4" xfId="29757"/>
    <cellStyle name="Обычный 8 7 3 2 4 2" xfId="44581"/>
    <cellStyle name="Обычный 8 7 3 2 5" xfId="37358"/>
    <cellStyle name="Обычный 8 7 3 2 6" xfId="22439"/>
    <cellStyle name="Обычный 8 7 3 3" xfId="19651"/>
    <cellStyle name="Обычный 8 7 3 3 2" xfId="27020"/>
    <cellStyle name="Обычный 8 7 3 3 2 2" xfId="34331"/>
    <cellStyle name="Обычный 8 7 3 3 2 2 2" xfId="49151"/>
    <cellStyle name="Обычный 8 7 3 3 2 3" xfId="41860"/>
    <cellStyle name="Обычный 8 7 3 3 3" xfId="30677"/>
    <cellStyle name="Обычный 8 7 3 3 3 2" xfId="45500"/>
    <cellStyle name="Обычный 8 7 3 3 4" xfId="38174"/>
    <cellStyle name="Обычный 8 7 3 3 5" xfId="23362"/>
    <cellStyle name="Обычный 8 7 3 4" xfId="25179"/>
    <cellStyle name="Обычный 8 7 3 4 2" xfId="32490"/>
    <cellStyle name="Обычный 8 7 3 4 2 2" xfId="47313"/>
    <cellStyle name="Обычный 8 7 3 4 3" xfId="40071"/>
    <cellStyle name="Обычный 8 7 3 5" xfId="28836"/>
    <cellStyle name="Обычный 8 7 3 5 2" xfId="43673"/>
    <cellStyle name="Обычный 8 7 3 6" xfId="36475"/>
    <cellStyle name="Обычный 8 7 3 7" xfId="21518"/>
    <cellStyle name="Обычный 8 7 4" xfId="18598"/>
    <cellStyle name="Обычный 8 7 4 2" xfId="20480"/>
    <cellStyle name="Обычный 8 7 4 2 2" xfId="27806"/>
    <cellStyle name="Обычный 8 7 4 2 2 2" xfId="35117"/>
    <cellStyle name="Обычный 8 7 4 2 2 2 2" xfId="49937"/>
    <cellStyle name="Обычный 8 7 4 2 2 3" xfId="42645"/>
    <cellStyle name="Обычный 8 7 4 2 3" xfId="31463"/>
    <cellStyle name="Обычный 8 7 4 2 3 2" xfId="46286"/>
    <cellStyle name="Обычный 8 7 4 2 4" xfId="38961"/>
    <cellStyle name="Обычный 8 7 4 2 5" xfId="24148"/>
    <cellStyle name="Обычный 8 7 4 3" xfId="25980"/>
    <cellStyle name="Обычный 8 7 4 3 2" xfId="33291"/>
    <cellStyle name="Обычный 8 7 4 3 2 2" xfId="48111"/>
    <cellStyle name="Обычный 8 7 4 3 3" xfId="40824"/>
    <cellStyle name="Обычный 8 7 4 4" xfId="29637"/>
    <cellStyle name="Обычный 8 7 4 4 2" xfId="44461"/>
    <cellStyle name="Обычный 8 7 4 5" xfId="37238"/>
    <cellStyle name="Обычный 8 7 4 6" xfId="22319"/>
    <cellStyle name="Обычный 8 7 5" xfId="19202"/>
    <cellStyle name="Обычный 8 7 5 2" xfId="26572"/>
    <cellStyle name="Обычный 8 7 5 2 2" xfId="33883"/>
    <cellStyle name="Обычный 8 7 5 2 2 2" xfId="48703"/>
    <cellStyle name="Обычный 8 7 5 2 3" xfId="41412"/>
    <cellStyle name="Обычный 8 7 5 3" xfId="30229"/>
    <cellStyle name="Обычный 8 7 5 3 2" xfId="45052"/>
    <cellStyle name="Обычный 8 7 5 4" xfId="37726"/>
    <cellStyle name="Обычный 8 7 5 5" xfId="22914"/>
    <cellStyle name="Обычный 8 7 6" xfId="24729"/>
    <cellStyle name="Обычный 8 7 6 2" xfId="32040"/>
    <cellStyle name="Обычный 8 7 6 2 2" xfId="46863"/>
    <cellStyle name="Обычный 8 7 6 3" xfId="39633"/>
    <cellStyle name="Обычный 8 7 7" xfId="28386"/>
    <cellStyle name="Обычный 8 7 7 2" xfId="43223"/>
    <cellStyle name="Обычный 8 7 8" xfId="36026"/>
    <cellStyle name="Обычный 8 7 9" xfId="21068"/>
    <cellStyle name="Обычный 8 8" xfId="17158"/>
    <cellStyle name="Обычный 8 8 2" xfId="17719"/>
    <cellStyle name="Обычный 8 8 2 2" xfId="18833"/>
    <cellStyle name="Обычный 8 8 2 2 2" xfId="20712"/>
    <cellStyle name="Обычный 8 8 2 2 2 2" xfId="28038"/>
    <cellStyle name="Обычный 8 8 2 2 2 2 2" xfId="35349"/>
    <cellStyle name="Обычный 8 8 2 2 2 2 2 2" xfId="50169"/>
    <cellStyle name="Обычный 8 8 2 2 2 2 3" xfId="42877"/>
    <cellStyle name="Обычный 8 8 2 2 2 3" xfId="31695"/>
    <cellStyle name="Обычный 8 8 2 2 2 3 2" xfId="46518"/>
    <cellStyle name="Обычный 8 8 2 2 2 4" xfId="39193"/>
    <cellStyle name="Обычный 8 8 2 2 2 5" xfId="24380"/>
    <cellStyle name="Обычный 8 8 2 2 3" xfId="26212"/>
    <cellStyle name="Обычный 8 8 2 2 3 2" xfId="33523"/>
    <cellStyle name="Обычный 8 8 2 2 3 2 2" xfId="48343"/>
    <cellStyle name="Обычный 8 8 2 2 3 3" xfId="41056"/>
    <cellStyle name="Обычный 8 8 2 2 4" xfId="29869"/>
    <cellStyle name="Обычный 8 8 2 2 4 2" xfId="44693"/>
    <cellStyle name="Обычный 8 8 2 2 5" xfId="37470"/>
    <cellStyle name="Обычный 8 8 2 2 6" xfId="22551"/>
    <cellStyle name="Обычный 8 8 2 3" xfId="19763"/>
    <cellStyle name="Обычный 8 8 2 3 2" xfId="27132"/>
    <cellStyle name="Обычный 8 8 2 3 2 2" xfId="34443"/>
    <cellStyle name="Обычный 8 8 2 3 2 2 2" xfId="49263"/>
    <cellStyle name="Обычный 8 8 2 3 2 3" xfId="41972"/>
    <cellStyle name="Обычный 8 8 2 3 3" xfId="30789"/>
    <cellStyle name="Обычный 8 8 2 3 3 2" xfId="45612"/>
    <cellStyle name="Обычный 8 8 2 3 4" xfId="38286"/>
    <cellStyle name="Обычный 8 8 2 3 5" xfId="23474"/>
    <cellStyle name="Обычный 8 8 2 4" xfId="25291"/>
    <cellStyle name="Обычный 8 8 2 4 2" xfId="32602"/>
    <cellStyle name="Обычный 8 8 2 4 2 2" xfId="47425"/>
    <cellStyle name="Обычный 8 8 2 4 3" xfId="40183"/>
    <cellStyle name="Обычный 8 8 2 5" xfId="28948"/>
    <cellStyle name="Обычный 8 8 2 5 2" xfId="43785"/>
    <cellStyle name="Обычный 8 8 2 6" xfId="36477"/>
    <cellStyle name="Обычный 8 8 2 7" xfId="21630"/>
    <cellStyle name="Обычный 8 8 3" xfId="18600"/>
    <cellStyle name="Обычный 8 8 3 2" xfId="20482"/>
    <cellStyle name="Обычный 8 8 3 2 2" xfId="27808"/>
    <cellStyle name="Обычный 8 8 3 2 2 2" xfId="35119"/>
    <cellStyle name="Обычный 8 8 3 2 2 2 2" xfId="49939"/>
    <cellStyle name="Обычный 8 8 3 2 2 3" xfId="42647"/>
    <cellStyle name="Обычный 8 8 3 2 3" xfId="31465"/>
    <cellStyle name="Обычный 8 8 3 2 3 2" xfId="46288"/>
    <cellStyle name="Обычный 8 8 3 2 4" xfId="38963"/>
    <cellStyle name="Обычный 8 8 3 2 5" xfId="24150"/>
    <cellStyle name="Обычный 8 8 3 3" xfId="25982"/>
    <cellStyle name="Обычный 8 8 3 3 2" xfId="33293"/>
    <cellStyle name="Обычный 8 8 3 3 2 2" xfId="48113"/>
    <cellStyle name="Обычный 8 8 3 3 3" xfId="40826"/>
    <cellStyle name="Обычный 8 8 3 4" xfId="29639"/>
    <cellStyle name="Обычный 8 8 3 4 2" xfId="44463"/>
    <cellStyle name="Обычный 8 8 3 5" xfId="37240"/>
    <cellStyle name="Обычный 8 8 3 6" xfId="22321"/>
    <cellStyle name="Обычный 8 8 4" xfId="19312"/>
    <cellStyle name="Обычный 8 8 4 2" xfId="26682"/>
    <cellStyle name="Обычный 8 8 4 2 2" xfId="33993"/>
    <cellStyle name="Обычный 8 8 4 2 2 2" xfId="48813"/>
    <cellStyle name="Обычный 8 8 4 2 3" xfId="41522"/>
    <cellStyle name="Обычный 8 8 4 3" xfId="30339"/>
    <cellStyle name="Обычный 8 8 4 3 2" xfId="45162"/>
    <cellStyle name="Обычный 8 8 4 4" xfId="37836"/>
    <cellStyle name="Обычный 8 8 4 5" xfId="23024"/>
    <cellStyle name="Обычный 8 8 5" xfId="24841"/>
    <cellStyle name="Обычный 8 8 5 2" xfId="32152"/>
    <cellStyle name="Обычный 8 8 5 2 2" xfId="46975"/>
    <cellStyle name="Обычный 8 8 5 3" xfId="39740"/>
    <cellStyle name="Обычный 8 8 6" xfId="28498"/>
    <cellStyle name="Обычный 8 8 6 2" xfId="43335"/>
    <cellStyle name="Обычный 8 8 7" xfId="36028"/>
    <cellStyle name="Обычный 8 8 8" xfId="21180"/>
    <cellStyle name="Обычный 8 9" xfId="17495"/>
    <cellStyle name="Обычный 8 9 2" xfId="18609"/>
    <cellStyle name="Обычный 8 9 2 2" xfId="20489"/>
    <cellStyle name="Обычный 8 9 2 2 2" xfId="27815"/>
    <cellStyle name="Обычный 8 9 2 2 2 2" xfId="35126"/>
    <cellStyle name="Обычный 8 9 2 2 2 2 2" xfId="49946"/>
    <cellStyle name="Обычный 8 9 2 2 2 3" xfId="42654"/>
    <cellStyle name="Обычный 8 9 2 2 3" xfId="31472"/>
    <cellStyle name="Обычный 8 9 2 2 3 2" xfId="46295"/>
    <cellStyle name="Обычный 8 9 2 2 4" xfId="38970"/>
    <cellStyle name="Обычный 8 9 2 2 5" xfId="24157"/>
    <cellStyle name="Обычный 8 9 2 3" xfId="25989"/>
    <cellStyle name="Обычный 8 9 2 3 2" xfId="33300"/>
    <cellStyle name="Обычный 8 9 2 3 2 2" xfId="48120"/>
    <cellStyle name="Обычный 8 9 2 3 3" xfId="40833"/>
    <cellStyle name="Обычный 8 9 2 4" xfId="29646"/>
    <cellStyle name="Обычный 8 9 2 4 2" xfId="44470"/>
    <cellStyle name="Обычный 8 9 2 5" xfId="37247"/>
    <cellStyle name="Обычный 8 9 2 6" xfId="22328"/>
    <cellStyle name="Обычный 8 9 3" xfId="19539"/>
    <cellStyle name="Обычный 8 9 3 2" xfId="26909"/>
    <cellStyle name="Обычный 8 9 3 2 2" xfId="34220"/>
    <cellStyle name="Обычный 8 9 3 2 2 2" xfId="49040"/>
    <cellStyle name="Обычный 8 9 3 2 3" xfId="41749"/>
    <cellStyle name="Обычный 8 9 3 3" xfId="30566"/>
    <cellStyle name="Обычный 8 9 3 3 2" xfId="45389"/>
    <cellStyle name="Обычный 8 9 3 4" xfId="38063"/>
    <cellStyle name="Обычный 8 9 3 5" xfId="23251"/>
    <cellStyle name="Обычный 8 9 4" xfId="25068"/>
    <cellStyle name="Обычный 8 9 4 2" xfId="32379"/>
    <cellStyle name="Обычный 8 9 4 2 2" xfId="47202"/>
    <cellStyle name="Обычный 8 9 4 3" xfId="39963"/>
    <cellStyle name="Обычный 8 9 5" xfId="28725"/>
    <cellStyle name="Обычный 8 9 5 2" xfId="43562"/>
    <cellStyle name="Обычный 8 9 6" xfId="36033"/>
    <cellStyle name="Обычный 8 9 7" xfId="21407"/>
    <cellStyle name="Обычный 8_001" xfId="14470"/>
    <cellStyle name="Обычный 9" xfId="796"/>
    <cellStyle name="Обычный 9 2" xfId="1630"/>
    <cellStyle name="Обычный 9 2 2" xfId="5336"/>
    <cellStyle name="Обычный 9 2 2 2" xfId="16976"/>
    <cellStyle name="Обычный 9 2 3" xfId="16896"/>
    <cellStyle name="Обычный 9 2 4" xfId="17119"/>
    <cellStyle name="Обычный 9 2 5" xfId="18029"/>
    <cellStyle name="Обычный 9 2 6" xfId="36569"/>
    <cellStyle name="Обычный 9 2 7" xfId="14472"/>
    <cellStyle name="Обычный 9 3" xfId="4504"/>
    <cellStyle name="Обычный 9 3 2" xfId="16897"/>
    <cellStyle name="Обычный 9 3 3" xfId="14473"/>
    <cellStyle name="Обычный 9 4" xfId="16895"/>
    <cellStyle name="Обычный 9 5" xfId="17118"/>
    <cellStyle name="Обычный 9 6" xfId="18028"/>
    <cellStyle name="Обычный 9 7" xfId="36568"/>
    <cellStyle name="Обычный 9 8" xfId="14471"/>
    <cellStyle name="Открывавшаяся гиперссылка" xfId="7" builtinId="9" hidden="1"/>
    <cellStyle name="Открывавшаяся гиперссылка" xfId="91" builtinId="9" hidden="1"/>
    <cellStyle name="Открывавшаяся гиперссылка" xfId="99" builtinId="9" hidden="1"/>
    <cellStyle name="Открывавшаяся гиперссылка" xfId="136" builtinId="9" hidden="1"/>
    <cellStyle name="Открывавшаяся гиперссылка" xfId="197" builtinId="9" hidden="1"/>
    <cellStyle name="Открывавшаяся гиперссылка" xfId="286" builtinId="9" hidden="1"/>
    <cellStyle name="Открывавшаяся гиперссылка" xfId="370" builtinId="9" hidden="1"/>
    <cellStyle name="Открывавшаяся гиперссылка" xfId="378" builtinId="9" hidden="1"/>
    <cellStyle name="Открывавшаяся гиперссылка" xfId="415" builtinId="9" hidden="1"/>
    <cellStyle name="Открывавшаяся гиперссылка" xfId="462" builtinId="9" hidden="1"/>
    <cellStyle name="Открывавшаяся гиперссылка" xfId="542" builtinId="9" hidden="1"/>
    <cellStyle name="Открывавшаяся гиперссылка" xfId="626" builtinId="9" hidden="1"/>
    <cellStyle name="Открывавшаяся гиперссылка" xfId="634" builtinId="9" hidden="1"/>
    <cellStyle name="Открывавшаяся гиперссылка" xfId="671" builtinId="9" hidden="1"/>
    <cellStyle name="Открывавшаяся гиперссылка" xfId="718" builtinId="9" hidden="1"/>
    <cellStyle name="Плохой" xfId="17" builtinId="27" hidden="1"/>
    <cellStyle name="Плохой" xfId="56" builtinId="27" hidden="1"/>
    <cellStyle name="Плохой" xfId="107" builtinId="27" hidden="1"/>
    <cellStyle name="Плохой" xfId="142" builtinId="27" hidden="1"/>
    <cellStyle name="Плохой" xfId="296" builtinId="27" hidden="1"/>
    <cellStyle name="Плохой" xfId="335" builtinId="27" hidden="1"/>
    <cellStyle name="Плохой" xfId="386" builtinId="27" hidden="1"/>
    <cellStyle name="Плохой" xfId="421" builtinId="27" hidden="1"/>
    <cellStyle name="Плохой" xfId="552" builtinId="27" hidden="1"/>
    <cellStyle name="Плохой" xfId="591" builtinId="27" hidden="1"/>
    <cellStyle name="Плохой" xfId="642" builtinId="27" hidden="1"/>
    <cellStyle name="Плохой" xfId="677" builtinId="27" hidden="1"/>
    <cellStyle name="Плохой" xfId="4155" builtinId="27" customBuiltin="1"/>
    <cellStyle name="Плохой 10" xfId="16898"/>
    <cellStyle name="Плохой 11" xfId="15698"/>
    <cellStyle name="Плохой 12" xfId="17020"/>
    <cellStyle name="Плохой 13" xfId="17120"/>
    <cellStyle name="Плохой 14" xfId="18030"/>
    <cellStyle name="Плохой 15" xfId="36570"/>
    <cellStyle name="Плохой 16" xfId="14474"/>
    <cellStyle name="Плохой 2" xfId="14475"/>
    <cellStyle name="Плохой 3" xfId="14476"/>
    <cellStyle name="Плохой 4" xfId="14477"/>
    <cellStyle name="Плохой 5" xfId="14478"/>
    <cellStyle name="Плохой 6" xfId="14479"/>
    <cellStyle name="Плохой 7" xfId="14480"/>
    <cellStyle name="Плохой 8" xfId="14481"/>
    <cellStyle name="Плохой 9" xfId="14482"/>
    <cellStyle name="Поле ввода" xfId="14483"/>
    <cellStyle name="Пояснение" xfId="25" builtinId="53" hidden="1"/>
    <cellStyle name="Пояснение" xfId="63" builtinId="53" hidden="1"/>
    <cellStyle name="Пояснение" xfId="103" builtinId="53" hidden="1"/>
    <cellStyle name="Пояснение" xfId="149" builtinId="53" hidden="1"/>
    <cellStyle name="Пояснение" xfId="304" builtinId="53" hidden="1"/>
    <cellStyle name="Пояснение" xfId="342" builtinId="53" hidden="1"/>
    <cellStyle name="Пояснение" xfId="382" builtinId="53" hidden="1"/>
    <cellStyle name="Пояснение" xfId="428" builtinId="53" hidden="1"/>
    <cellStyle name="Пояснение" xfId="560" builtinId="53" hidden="1"/>
    <cellStyle name="Пояснение" xfId="598" builtinId="53" hidden="1"/>
    <cellStyle name="Пояснение" xfId="638" builtinId="53" hidden="1"/>
    <cellStyle name="Пояснение" xfId="684" builtinId="53" hidden="1"/>
    <cellStyle name="Пояснение" xfId="4163" builtinId="53" customBuiltin="1"/>
    <cellStyle name="Пояснение 10" xfId="16899"/>
    <cellStyle name="Пояснение 11" xfId="15699"/>
    <cellStyle name="Пояснение 12" xfId="17021"/>
    <cellStyle name="Пояснение 13" xfId="17121"/>
    <cellStyle name="Пояснение 14" xfId="18031"/>
    <cellStyle name="Пояснение 15" xfId="36571"/>
    <cellStyle name="Пояснение 16" xfId="14484"/>
    <cellStyle name="Пояснение 2" xfId="14485"/>
    <cellStyle name="Пояснение 3" xfId="14486"/>
    <cellStyle name="Пояснение 4" xfId="14487"/>
    <cellStyle name="Пояснение 5" xfId="14488"/>
    <cellStyle name="Пояснение 6" xfId="14489"/>
    <cellStyle name="Пояснение 7" xfId="14490"/>
    <cellStyle name="Пояснение 8" xfId="14491"/>
    <cellStyle name="Пояснение 9" xfId="14492"/>
    <cellStyle name="Примечание" xfId="24" builtinId="10" hidden="1"/>
    <cellStyle name="Примечание" xfId="303" builtinId="10" hidden="1"/>
    <cellStyle name="Примечание" xfId="559" builtinId="10" hidden="1"/>
    <cellStyle name="Примечание" xfId="4162" builtinId="10" customBuiltin="1"/>
    <cellStyle name="Примечание 10" xfId="14494"/>
    <cellStyle name="Примечание 10 2" xfId="14495"/>
    <cellStyle name="Примечание 10 3" xfId="14496"/>
    <cellStyle name="Примечание 10 4" xfId="14497"/>
    <cellStyle name="Примечание 10 5" xfId="14498"/>
    <cellStyle name="Примечание 11" xfId="14499"/>
    <cellStyle name="Примечание 11 2" xfId="14500"/>
    <cellStyle name="Примечание 11 3" xfId="14501"/>
    <cellStyle name="Примечание 11 4" xfId="14502"/>
    <cellStyle name="Примечание 11 5" xfId="14503"/>
    <cellStyle name="Примечание 12" xfId="14504"/>
    <cellStyle name="Примечание 12 2" xfId="14505"/>
    <cellStyle name="Примечание 12 3" xfId="14506"/>
    <cellStyle name="Примечание 12 4" xfId="14507"/>
    <cellStyle name="Примечание 12 5" xfId="14508"/>
    <cellStyle name="Примечание 13" xfId="14509"/>
    <cellStyle name="Примечание 13 2" xfId="14510"/>
    <cellStyle name="Примечание 13 3" xfId="14511"/>
    <cellStyle name="Примечание 13 4" xfId="14512"/>
    <cellStyle name="Примечание 13 5" xfId="14513"/>
    <cellStyle name="Примечание 14" xfId="14514"/>
    <cellStyle name="Примечание 14 2" xfId="14515"/>
    <cellStyle name="Примечание 14 3" xfId="14516"/>
    <cellStyle name="Примечание 14 4" xfId="14517"/>
    <cellStyle name="Примечание 14 5" xfId="14518"/>
    <cellStyle name="Примечание 15" xfId="14519"/>
    <cellStyle name="Примечание 15 2" xfId="14520"/>
    <cellStyle name="Примечание 15 3" xfId="14521"/>
    <cellStyle name="Примечание 15 4" xfId="14522"/>
    <cellStyle name="Примечание 15 5" xfId="14523"/>
    <cellStyle name="Примечание 16" xfId="14524"/>
    <cellStyle name="Примечание 16 2" xfId="14525"/>
    <cellStyle name="Примечание 16 3" xfId="14526"/>
    <cellStyle name="Примечание 16 4" xfId="14527"/>
    <cellStyle name="Примечание 16 5" xfId="14528"/>
    <cellStyle name="Примечание 17" xfId="14529"/>
    <cellStyle name="Примечание 17 2" xfId="14530"/>
    <cellStyle name="Примечание 17 3" xfId="14531"/>
    <cellStyle name="Примечание 17 4" xfId="14532"/>
    <cellStyle name="Примечание 17 5" xfId="14533"/>
    <cellStyle name="Примечание 18" xfId="14534"/>
    <cellStyle name="Примечание 18 2" xfId="14535"/>
    <cellStyle name="Примечание 18 3" xfId="14536"/>
    <cellStyle name="Примечание 18 4" xfId="14537"/>
    <cellStyle name="Примечание 18 5" xfId="14538"/>
    <cellStyle name="Примечание 19" xfId="14539"/>
    <cellStyle name="Примечание 19 2" xfId="14540"/>
    <cellStyle name="Примечание 19 3" xfId="14541"/>
    <cellStyle name="Примечание 19 4" xfId="14542"/>
    <cellStyle name="Примечание 19 5" xfId="14543"/>
    <cellStyle name="Примечание 2" xfId="98" hidden="1"/>
    <cellStyle name="Примечание 2" xfId="190" hidden="1"/>
    <cellStyle name="Примечание 2" xfId="210" hidden="1"/>
    <cellStyle name="Примечание 2" xfId="217" hidden="1"/>
    <cellStyle name="Примечание 2" xfId="214" hidden="1"/>
    <cellStyle name="Примечание 2" xfId="224" hidden="1"/>
    <cellStyle name="Примечание 2" xfId="243" hidden="1"/>
    <cellStyle name="Примечание 2" xfId="246" hidden="1"/>
    <cellStyle name="Примечание 2" xfId="261" hidden="1"/>
    <cellStyle name="Примечание 2" xfId="268" hidden="1"/>
    <cellStyle name="Примечание 2" xfId="265" hidden="1"/>
    <cellStyle name="Примечание 2" xfId="275" hidden="1"/>
    <cellStyle name="Примечание 2" xfId="377" hidden="1"/>
    <cellStyle name="Примечание 2" xfId="457" hidden="1"/>
    <cellStyle name="Примечание 2" xfId="473" hidden="1"/>
    <cellStyle name="Примечание 2" xfId="480" hidden="1"/>
    <cellStyle name="Примечание 2" xfId="477" hidden="1"/>
    <cellStyle name="Примечание 2" xfId="487" hidden="1"/>
    <cellStyle name="Примечание 2" xfId="500" hidden="1"/>
    <cellStyle name="Примечание 2" xfId="503" hidden="1"/>
    <cellStyle name="Примечание 2" xfId="518" hidden="1"/>
    <cellStyle name="Примечание 2" xfId="525" hidden="1"/>
    <cellStyle name="Примечание 2" xfId="522" hidden="1"/>
    <cellStyle name="Примечание 2" xfId="532" hidden="1"/>
    <cellStyle name="Примечание 2" xfId="633" hidden="1"/>
    <cellStyle name="Примечание 2" xfId="713" hidden="1"/>
    <cellStyle name="Примечание 2" xfId="729" hidden="1"/>
    <cellStyle name="Примечание 2" xfId="736" hidden="1"/>
    <cellStyle name="Примечание 2" xfId="733" hidden="1"/>
    <cellStyle name="Примечание 2" xfId="743" hidden="1"/>
    <cellStyle name="Примечание 2" xfId="756" hidden="1"/>
    <cellStyle name="Примечание 2" xfId="759" hidden="1"/>
    <cellStyle name="Примечание 2" xfId="774" hidden="1"/>
    <cellStyle name="Примечание 2" xfId="781" hidden="1"/>
    <cellStyle name="Примечание 2" xfId="778" hidden="1"/>
    <cellStyle name="Примечание 2" xfId="788" hidden="1"/>
    <cellStyle name="Примечание 2" xfId="804" hidden="1"/>
    <cellStyle name="Примечание 2" xfId="807" hidden="1"/>
    <cellStyle name="Примечание 2" xfId="822" hidden="1"/>
    <cellStyle name="Примечание 2" xfId="829" hidden="1"/>
    <cellStyle name="Примечание 2" xfId="826" hidden="1"/>
    <cellStyle name="Примечание 2" xfId="836" hidden="1"/>
    <cellStyle name="Примечание 2" xfId="849" hidden="1"/>
    <cellStyle name="Примечание 2" xfId="852" hidden="1"/>
    <cellStyle name="Примечание 2" xfId="867" hidden="1"/>
    <cellStyle name="Примечание 2" xfId="874" hidden="1"/>
    <cellStyle name="Примечание 2" xfId="871" hidden="1"/>
    <cellStyle name="Примечание 2" xfId="881" hidden="1"/>
    <cellStyle name="Примечание 2" xfId="895" hidden="1"/>
    <cellStyle name="Примечание 2" xfId="898" hidden="1"/>
    <cellStyle name="Примечание 2" xfId="913" hidden="1"/>
    <cellStyle name="Примечание 2" xfId="920" hidden="1"/>
    <cellStyle name="Примечание 2" xfId="917" hidden="1"/>
    <cellStyle name="Примечание 2" xfId="927" hidden="1"/>
    <cellStyle name="Примечание 2" xfId="940" hidden="1"/>
    <cellStyle name="Примечание 2" xfId="943" hidden="1"/>
    <cellStyle name="Примечание 2" xfId="958" hidden="1"/>
    <cellStyle name="Примечание 2" xfId="965" hidden="1"/>
    <cellStyle name="Примечание 2" xfId="962" hidden="1"/>
    <cellStyle name="Примечание 2" xfId="972" hidden="1"/>
    <cellStyle name="Примечание 2" xfId="985" hidden="1"/>
    <cellStyle name="Примечание 2" xfId="988" hidden="1"/>
    <cellStyle name="Примечание 2" xfId="1003" hidden="1"/>
    <cellStyle name="Примечание 2" xfId="1010" hidden="1"/>
    <cellStyle name="Примечание 2" xfId="1007" hidden="1"/>
    <cellStyle name="Примечание 2" xfId="1017" hidden="1"/>
    <cellStyle name="Примечание 2" xfId="1030" hidden="1"/>
    <cellStyle name="Примечание 2" xfId="1033" hidden="1"/>
    <cellStyle name="Примечание 2" xfId="1048" hidden="1"/>
    <cellStyle name="Примечание 2" xfId="1055" hidden="1"/>
    <cellStyle name="Примечание 2" xfId="1052" hidden="1"/>
    <cellStyle name="Примечание 2" xfId="1062" hidden="1"/>
    <cellStyle name="Примечание 2" xfId="1153" hidden="1"/>
    <cellStyle name="Примечание 2" xfId="1179" hidden="1"/>
    <cellStyle name="Примечание 2" xfId="1197" hidden="1"/>
    <cellStyle name="Примечание 2" xfId="1204" hidden="1"/>
    <cellStyle name="Примечание 2" xfId="1201" hidden="1"/>
    <cellStyle name="Примечание 2" xfId="1211" hidden="1"/>
    <cellStyle name="Примечание 2" xfId="1227" hidden="1"/>
    <cellStyle name="Примечание 2" xfId="1230" hidden="1"/>
    <cellStyle name="Примечание 2" xfId="1245" hidden="1"/>
    <cellStyle name="Примечание 2" xfId="1252" hidden="1"/>
    <cellStyle name="Примечание 2" xfId="1249" hidden="1"/>
    <cellStyle name="Примечание 2" xfId="1259" hidden="1"/>
    <cellStyle name="Примечание 2" xfId="1315" hidden="1"/>
    <cellStyle name="Примечание 2" xfId="1372" hidden="1"/>
    <cellStyle name="Примечание 2" xfId="1387" hidden="1"/>
    <cellStyle name="Примечание 2" xfId="1394" hidden="1"/>
    <cellStyle name="Примечание 2" xfId="1391" hidden="1"/>
    <cellStyle name="Примечание 2" xfId="1401" hidden="1"/>
    <cellStyle name="Примечание 2" xfId="1414" hidden="1"/>
    <cellStyle name="Примечание 2" xfId="1417" hidden="1"/>
    <cellStyle name="Примечание 2" xfId="1432" hidden="1"/>
    <cellStyle name="Примечание 2" xfId="1439" hidden="1"/>
    <cellStyle name="Примечание 2" xfId="1436" hidden="1"/>
    <cellStyle name="Примечание 2" xfId="1446" hidden="1"/>
    <cellStyle name="Примечание 2" xfId="1511" hidden="1"/>
    <cellStyle name="Примечание 2" xfId="1548" hidden="1"/>
    <cellStyle name="Примечание 2" xfId="1564" hidden="1"/>
    <cellStyle name="Примечание 2" xfId="1571" hidden="1"/>
    <cellStyle name="Примечание 2" xfId="1568" hidden="1"/>
    <cellStyle name="Примечание 2" xfId="1578" hidden="1"/>
    <cellStyle name="Примечание 2" xfId="1591" hidden="1"/>
    <cellStyle name="Примечание 2" xfId="1594" hidden="1"/>
    <cellStyle name="Примечание 2" xfId="1609" hidden="1"/>
    <cellStyle name="Примечание 2" xfId="1616" hidden="1"/>
    <cellStyle name="Примечание 2" xfId="1613" hidden="1"/>
    <cellStyle name="Примечание 2" xfId="1623" hidden="1"/>
    <cellStyle name="Примечание 2" xfId="1637" hidden="1"/>
    <cellStyle name="Примечание 2" xfId="1640" hidden="1"/>
    <cellStyle name="Примечание 2" xfId="1655" hidden="1"/>
    <cellStyle name="Примечание 2" xfId="1662" hidden="1"/>
    <cellStyle name="Примечание 2" xfId="1659" hidden="1"/>
    <cellStyle name="Примечание 2" xfId="1669" hidden="1"/>
    <cellStyle name="Примечание 2" xfId="1682" hidden="1"/>
    <cellStyle name="Примечание 2" xfId="1685" hidden="1"/>
    <cellStyle name="Примечание 2" xfId="1700" hidden="1"/>
    <cellStyle name="Примечание 2" xfId="1707" hidden="1"/>
    <cellStyle name="Примечание 2" xfId="1704" hidden="1"/>
    <cellStyle name="Примечание 2" xfId="1714" hidden="1"/>
    <cellStyle name="Примечание 2" xfId="1728" hidden="1"/>
    <cellStyle name="Примечание 2" xfId="1731" hidden="1"/>
    <cellStyle name="Примечание 2" xfId="1746" hidden="1"/>
    <cellStyle name="Примечание 2" xfId="1753" hidden="1"/>
    <cellStyle name="Примечание 2" xfId="1750" hidden="1"/>
    <cellStyle name="Примечание 2" xfId="1760" hidden="1"/>
    <cellStyle name="Примечание 2" xfId="1773" hidden="1"/>
    <cellStyle name="Примечание 2" xfId="1776" hidden="1"/>
    <cellStyle name="Примечание 2" xfId="1791" hidden="1"/>
    <cellStyle name="Примечание 2" xfId="1798" hidden="1"/>
    <cellStyle name="Примечание 2" xfId="1795" hidden="1"/>
    <cellStyle name="Примечание 2" xfId="1805" hidden="1"/>
    <cellStyle name="Примечание 2" xfId="1818" hidden="1"/>
    <cellStyle name="Примечание 2" xfId="1821" hidden="1"/>
    <cellStyle name="Примечание 2" xfId="1836" hidden="1"/>
    <cellStyle name="Примечание 2" xfId="1843" hidden="1"/>
    <cellStyle name="Примечание 2" xfId="1840" hidden="1"/>
    <cellStyle name="Примечание 2" xfId="1850" hidden="1"/>
    <cellStyle name="Примечание 2" xfId="1863" hidden="1"/>
    <cellStyle name="Примечание 2" xfId="1866" hidden="1"/>
    <cellStyle name="Примечание 2" xfId="1881" hidden="1"/>
    <cellStyle name="Примечание 2" xfId="1888" hidden="1"/>
    <cellStyle name="Примечание 2" xfId="1885" hidden="1"/>
    <cellStyle name="Примечание 2" xfId="1895" hidden="1"/>
    <cellStyle name="Примечание 2" xfId="1492" hidden="1"/>
    <cellStyle name="Примечание 2" xfId="1364" hidden="1"/>
    <cellStyle name="Примечание 2" xfId="1347" hidden="1"/>
    <cellStyle name="Примечание 2" xfId="1340" hidden="1"/>
    <cellStyle name="Примечание 2" xfId="1343" hidden="1"/>
    <cellStyle name="Примечание 2" xfId="1333" hidden="1"/>
    <cellStyle name="Примечание 2" xfId="1316" hidden="1"/>
    <cellStyle name="Примечание 2" xfId="1308" hidden="1"/>
    <cellStyle name="Примечание 2" xfId="1291" hidden="1"/>
    <cellStyle name="Примечание 2" xfId="1284" hidden="1"/>
    <cellStyle name="Примечание 2" xfId="1287" hidden="1"/>
    <cellStyle name="Примечание 2" xfId="1277" hidden="1"/>
    <cellStyle name="Примечание 2" xfId="1154" hidden="1"/>
    <cellStyle name="Примечание 2" xfId="1115" hidden="1"/>
    <cellStyle name="Примечание 2" xfId="1099" hidden="1"/>
    <cellStyle name="Примечание 2" xfId="1092" hidden="1"/>
    <cellStyle name="Примечание 2" xfId="1095" hidden="1"/>
    <cellStyle name="Примечание 2" xfId="1085" hidden="1"/>
    <cellStyle name="Примечание 2" xfId="1903" hidden="1"/>
    <cellStyle name="Примечание 2" xfId="1906" hidden="1"/>
    <cellStyle name="Примечание 2" xfId="1921" hidden="1"/>
    <cellStyle name="Примечание 2" xfId="1928" hidden="1"/>
    <cellStyle name="Примечание 2" xfId="1925" hidden="1"/>
    <cellStyle name="Примечание 2" xfId="1935" hidden="1"/>
    <cellStyle name="Примечание 2" xfId="1954" hidden="1"/>
    <cellStyle name="Примечание 2" xfId="1957" hidden="1"/>
    <cellStyle name="Примечание 2" xfId="1972" hidden="1"/>
    <cellStyle name="Примечание 2" xfId="1979" hidden="1"/>
    <cellStyle name="Примечание 2" xfId="1976" hidden="1"/>
    <cellStyle name="Примечание 2" xfId="1986" hidden="1"/>
    <cellStyle name="Примечание 2" xfId="1999" hidden="1"/>
    <cellStyle name="Примечание 2" xfId="2002" hidden="1"/>
    <cellStyle name="Примечание 2" xfId="2017" hidden="1"/>
    <cellStyle name="Примечание 2" xfId="2024" hidden="1"/>
    <cellStyle name="Примечание 2" xfId="2021" hidden="1"/>
    <cellStyle name="Примечание 2" xfId="2031" hidden="1"/>
    <cellStyle name="Примечание 2" xfId="2047" hidden="1"/>
    <cellStyle name="Примечание 2" xfId="2050" hidden="1"/>
    <cellStyle name="Примечание 2" xfId="2065" hidden="1"/>
    <cellStyle name="Примечание 2" xfId="2072" hidden="1"/>
    <cellStyle name="Примечание 2" xfId="2069" hidden="1"/>
    <cellStyle name="Примечание 2" xfId="2079" hidden="1"/>
    <cellStyle name="Примечание 2" xfId="2092" hidden="1"/>
    <cellStyle name="Примечание 2" xfId="2095" hidden="1"/>
    <cellStyle name="Примечание 2" xfId="2110" hidden="1"/>
    <cellStyle name="Примечание 2" xfId="2117" hidden="1"/>
    <cellStyle name="Примечание 2" xfId="2114" hidden="1"/>
    <cellStyle name="Примечание 2" xfId="2124" hidden="1"/>
    <cellStyle name="Примечание 2" xfId="2138" hidden="1"/>
    <cellStyle name="Примечание 2" xfId="2141" hidden="1"/>
    <cellStyle name="Примечание 2" xfId="2156" hidden="1"/>
    <cellStyle name="Примечание 2" xfId="2163" hidden="1"/>
    <cellStyle name="Примечание 2" xfId="2160" hidden="1"/>
    <cellStyle name="Примечание 2" xfId="2170" hidden="1"/>
    <cellStyle name="Примечание 2" xfId="2183" hidden="1"/>
    <cellStyle name="Примечание 2" xfId="2186" hidden="1"/>
    <cellStyle name="Примечание 2" xfId="2201" hidden="1"/>
    <cellStyle name="Примечание 2" xfId="2208" hidden="1"/>
    <cellStyle name="Примечание 2" xfId="2205" hidden="1"/>
    <cellStyle name="Примечание 2" xfId="2215" hidden="1"/>
    <cellStyle name="Примечание 2" xfId="2227" hidden="1"/>
    <cellStyle name="Примечание 2" xfId="2230" hidden="1"/>
    <cellStyle name="Примечание 2" xfId="2245" hidden="1"/>
    <cellStyle name="Примечание 2" xfId="2252" hidden="1"/>
    <cellStyle name="Примечание 2" xfId="2249" hidden="1"/>
    <cellStyle name="Примечание 2" xfId="2259" hidden="1"/>
    <cellStyle name="Примечание 2" xfId="2272" hidden="1"/>
    <cellStyle name="Примечание 2" xfId="2275" hidden="1"/>
    <cellStyle name="Примечание 2" xfId="2289" hidden="1"/>
    <cellStyle name="Примечание 2" xfId="2296" hidden="1"/>
    <cellStyle name="Примечание 2" xfId="2293" hidden="1"/>
    <cellStyle name="Примечание 2" xfId="2303" hidden="1"/>
    <cellStyle name="Примечание 2" xfId="1941" hidden="1"/>
    <cellStyle name="Примечание 2" xfId="1543" hidden="1"/>
    <cellStyle name="Примечание 2" xfId="1529" hidden="1"/>
    <cellStyle name="Примечание 2" xfId="1522" hidden="1"/>
    <cellStyle name="Примечание 2" xfId="1525" hidden="1"/>
    <cellStyle name="Примечание 2" xfId="1515" hidden="1"/>
    <cellStyle name="Примечание 2" xfId="1490" hidden="1"/>
    <cellStyle name="Примечание 2" xfId="1487" hidden="1"/>
    <cellStyle name="Примечание 2" xfId="1473" hidden="1"/>
    <cellStyle name="Примечание 2" xfId="1466" hidden="1"/>
    <cellStyle name="Примечание 2" xfId="1469" hidden="1"/>
    <cellStyle name="Примечание 2" xfId="1459" hidden="1"/>
    <cellStyle name="Примечание 2" xfId="1161" hidden="1"/>
    <cellStyle name="Примечание 2" xfId="1144" hidden="1"/>
    <cellStyle name="Примечание 2" xfId="1130" hidden="1"/>
    <cellStyle name="Примечание 2" xfId="1123" hidden="1"/>
    <cellStyle name="Примечание 2" xfId="1126" hidden="1"/>
    <cellStyle name="Примечание 2" xfId="2039" hidden="1"/>
    <cellStyle name="Примечание 2" xfId="1324" hidden="1"/>
    <cellStyle name="Примечание 2" xfId="2235" hidden="1"/>
    <cellStyle name="Примечание 2" xfId="2129" hidden="1"/>
    <cellStyle name="Примечание 2" xfId="1328" hidden="1"/>
    <cellStyle name="Примечание 2" xfId="1940" hidden="1"/>
    <cellStyle name="Примечание 2" xfId="1553" hidden="1"/>
    <cellStyle name="Примечание 2" xfId="2316" hidden="1"/>
    <cellStyle name="Примечание 2" xfId="2319" hidden="1"/>
    <cellStyle name="Примечание 2" xfId="2333" hidden="1"/>
    <cellStyle name="Примечание 2" xfId="2340" hidden="1"/>
    <cellStyle name="Примечание 2" xfId="2337" hidden="1"/>
    <cellStyle name="Примечание 2" xfId="2347" hidden="1"/>
    <cellStyle name="Примечание 2" xfId="2358" hidden="1"/>
    <cellStyle name="Примечание 2" xfId="2361" hidden="1"/>
    <cellStyle name="Примечание 2" xfId="2375" hidden="1"/>
    <cellStyle name="Примечание 2" xfId="2382" hidden="1"/>
    <cellStyle name="Примечание 2" xfId="2379" hidden="1"/>
    <cellStyle name="Примечание 2" xfId="2389" hidden="1"/>
    <cellStyle name="Примечание 2" xfId="2400" hidden="1"/>
    <cellStyle name="Примечание 2" xfId="2403" hidden="1"/>
    <cellStyle name="Примечание 2" xfId="2417" hidden="1"/>
    <cellStyle name="Примечание 2" xfId="2424" hidden="1"/>
    <cellStyle name="Примечание 2" xfId="2421" hidden="1"/>
    <cellStyle name="Примечание 2" xfId="2431" hidden="1"/>
    <cellStyle name="Примечание 2" xfId="2442" hidden="1"/>
    <cellStyle name="Примечание 2" xfId="2445" hidden="1"/>
    <cellStyle name="Примечание 2" xfId="2459" hidden="1"/>
    <cellStyle name="Примечание 2" xfId="2466" hidden="1"/>
    <cellStyle name="Примечание 2" xfId="2463" hidden="1"/>
    <cellStyle name="Примечание 2" xfId="2473" hidden="1"/>
    <cellStyle name="Примечание 2" xfId="2485" hidden="1"/>
    <cellStyle name="Примечание 2" xfId="2488" hidden="1"/>
    <cellStyle name="Примечание 2" xfId="2502" hidden="1"/>
    <cellStyle name="Примечание 2" xfId="2509" hidden="1"/>
    <cellStyle name="Примечание 2" xfId="2506" hidden="1"/>
    <cellStyle name="Примечание 2" xfId="2516" hidden="1"/>
    <cellStyle name="Примечание 2" xfId="2527" hidden="1"/>
    <cellStyle name="Примечание 2" xfId="2530" hidden="1"/>
    <cellStyle name="Примечание 2" xfId="2544" hidden="1"/>
    <cellStyle name="Примечание 2" xfId="2551" hidden="1"/>
    <cellStyle name="Примечание 2" xfId="2548" hidden="1"/>
    <cellStyle name="Примечание 2" xfId="2558" hidden="1"/>
    <cellStyle name="Примечание 2" xfId="2569" hidden="1"/>
    <cellStyle name="Примечание 2" xfId="2572" hidden="1"/>
    <cellStyle name="Примечание 2" xfId="2586" hidden="1"/>
    <cellStyle name="Примечание 2" xfId="2593" hidden="1"/>
    <cellStyle name="Примечание 2" xfId="2590" hidden="1"/>
    <cellStyle name="Примечание 2" xfId="2600" hidden="1"/>
    <cellStyle name="Примечание 2" xfId="2611" hidden="1"/>
    <cellStyle name="Примечание 2" xfId="2614" hidden="1"/>
    <cellStyle name="Примечание 2" xfId="2628" hidden="1"/>
    <cellStyle name="Примечание 2" xfId="2635" hidden="1"/>
    <cellStyle name="Примечание 2" xfId="2632" hidden="1"/>
    <cellStyle name="Примечание 2" xfId="2642" hidden="1"/>
    <cellStyle name="Примечание 2" xfId="2705" hidden="1"/>
    <cellStyle name="Примечание 2" xfId="2719" hidden="1"/>
    <cellStyle name="Примечание 2" xfId="2735" hidden="1"/>
    <cellStyle name="Примечание 2" xfId="2742" hidden="1"/>
    <cellStyle name="Примечание 2" xfId="2739" hidden="1"/>
    <cellStyle name="Примечание 2" xfId="2749" hidden="1"/>
    <cellStyle name="Примечание 2" xfId="2760" hidden="1"/>
    <cellStyle name="Примечание 2" xfId="2763" hidden="1"/>
    <cellStyle name="Примечание 2" xfId="2777" hidden="1"/>
    <cellStyle name="Примечание 2" xfId="2784" hidden="1"/>
    <cellStyle name="Примечание 2" xfId="2781" hidden="1"/>
    <cellStyle name="Примечание 2" xfId="2791" hidden="1"/>
    <cellStyle name="Примечание 2" xfId="2844" hidden="1"/>
    <cellStyle name="Примечание 2" xfId="2901" hidden="1"/>
    <cellStyle name="Примечание 2" xfId="2915" hidden="1"/>
    <cellStyle name="Примечание 2" xfId="2922" hidden="1"/>
    <cellStyle name="Примечание 2" xfId="2919" hidden="1"/>
    <cellStyle name="Примечание 2" xfId="2929" hidden="1"/>
    <cellStyle name="Примечание 2" xfId="2940" hidden="1"/>
    <cellStyle name="Примечание 2" xfId="2943" hidden="1"/>
    <cellStyle name="Примечание 2" xfId="2957" hidden="1"/>
    <cellStyle name="Примечание 2" xfId="2964" hidden="1"/>
    <cellStyle name="Примечание 2" xfId="2961" hidden="1"/>
    <cellStyle name="Примечание 2" xfId="2971" hidden="1"/>
    <cellStyle name="Примечание 2" xfId="3033" hidden="1"/>
    <cellStyle name="Примечание 2" xfId="3070" hidden="1"/>
    <cellStyle name="Примечание 2" xfId="3085" hidden="1"/>
    <cellStyle name="Примечание 2" xfId="3092" hidden="1"/>
    <cellStyle name="Примечание 2" xfId="3089" hidden="1"/>
    <cellStyle name="Примечание 2" xfId="3099" hidden="1"/>
    <cellStyle name="Примечание 2" xfId="3110" hidden="1"/>
    <cellStyle name="Примечание 2" xfId="3113" hidden="1"/>
    <cellStyle name="Примечание 2" xfId="3127" hidden="1"/>
    <cellStyle name="Примечание 2" xfId="3134" hidden="1"/>
    <cellStyle name="Примечание 2" xfId="3131" hidden="1"/>
    <cellStyle name="Примечание 2" xfId="3141" hidden="1"/>
    <cellStyle name="Примечание 2" xfId="3152" hidden="1"/>
    <cellStyle name="Примечание 2" xfId="3155" hidden="1"/>
    <cellStyle name="Примечание 2" xfId="3169" hidden="1"/>
    <cellStyle name="Примечание 2" xfId="3176" hidden="1"/>
    <cellStyle name="Примечание 2" xfId="3173" hidden="1"/>
    <cellStyle name="Примечание 2" xfId="3183" hidden="1"/>
    <cellStyle name="Примечание 2" xfId="3194" hidden="1"/>
    <cellStyle name="Примечание 2" xfId="3197" hidden="1"/>
    <cellStyle name="Примечание 2" xfId="3211" hidden="1"/>
    <cellStyle name="Примечание 2" xfId="3218" hidden="1"/>
    <cellStyle name="Примечание 2" xfId="3215" hidden="1"/>
    <cellStyle name="Примечание 2" xfId="3225" hidden="1"/>
    <cellStyle name="Примечание 2" xfId="3237" hidden="1"/>
    <cellStyle name="Примечание 2" xfId="3240" hidden="1"/>
    <cellStyle name="Примечание 2" xfId="3254" hidden="1"/>
    <cellStyle name="Примечание 2" xfId="3261" hidden="1"/>
    <cellStyle name="Примечание 2" xfId="3258" hidden="1"/>
    <cellStyle name="Примечание 2" xfId="3268" hidden="1"/>
    <cellStyle name="Примечание 2" xfId="3279" hidden="1"/>
    <cellStyle name="Примечание 2" xfId="3282" hidden="1"/>
    <cellStyle name="Примечание 2" xfId="3296" hidden="1"/>
    <cellStyle name="Примечание 2" xfId="3303" hidden="1"/>
    <cellStyle name="Примечание 2" xfId="3300" hidden="1"/>
    <cellStyle name="Примечание 2" xfId="3310" hidden="1"/>
    <cellStyle name="Примечание 2" xfId="3321" hidden="1"/>
    <cellStyle name="Примечание 2" xfId="3324" hidden="1"/>
    <cellStyle name="Примечание 2" xfId="3338" hidden="1"/>
    <cellStyle name="Примечание 2" xfId="3345" hidden="1"/>
    <cellStyle name="Примечание 2" xfId="3342" hidden="1"/>
    <cellStyle name="Примечание 2" xfId="3352" hidden="1"/>
    <cellStyle name="Примечание 2" xfId="3363" hidden="1"/>
    <cellStyle name="Примечание 2" xfId="3366" hidden="1"/>
    <cellStyle name="Примечание 2" xfId="3380" hidden="1"/>
    <cellStyle name="Примечание 2" xfId="3387" hidden="1"/>
    <cellStyle name="Примечание 2" xfId="3384" hidden="1"/>
    <cellStyle name="Примечание 2" xfId="3394" hidden="1"/>
    <cellStyle name="Примечание 2" xfId="3014" hidden="1"/>
    <cellStyle name="Примечание 2" xfId="2893" hidden="1"/>
    <cellStyle name="Примечание 2" xfId="2876" hidden="1"/>
    <cellStyle name="Примечание 2" xfId="2869" hidden="1"/>
    <cellStyle name="Примечание 2" xfId="2872" hidden="1"/>
    <cellStyle name="Примечание 2" xfId="2862" hidden="1"/>
    <cellStyle name="Примечание 2" xfId="2845" hidden="1"/>
    <cellStyle name="Примечание 2" xfId="2837" hidden="1"/>
    <cellStyle name="Примечание 2" xfId="2820" hidden="1"/>
    <cellStyle name="Примечание 2" xfId="2813" hidden="1"/>
    <cellStyle name="Примечание 2" xfId="2816" hidden="1"/>
    <cellStyle name="Примечание 2" xfId="2806" hidden="1"/>
    <cellStyle name="Примечание 2" xfId="2706" hidden="1"/>
    <cellStyle name="Примечание 2" xfId="2667" hidden="1"/>
    <cellStyle name="Примечание 2" xfId="2651" hidden="1"/>
    <cellStyle name="Примечание 2" xfId="1165" hidden="1"/>
    <cellStyle name="Примечание 2" xfId="2647" hidden="1"/>
    <cellStyle name="Примечание 2" xfId="1075" hidden="1"/>
    <cellStyle name="Примечание 2" xfId="3400" hidden="1"/>
    <cellStyle name="Примечание 2" xfId="3403" hidden="1"/>
    <cellStyle name="Примечание 2" xfId="3418" hidden="1"/>
    <cellStyle name="Примечание 2" xfId="3425" hidden="1"/>
    <cellStyle name="Примечание 2" xfId="3422" hidden="1"/>
    <cellStyle name="Примечание 2" xfId="3432" hidden="1"/>
    <cellStyle name="Примечание 2" xfId="3451" hidden="1"/>
    <cellStyle name="Примечание 2" xfId="3454" hidden="1"/>
    <cellStyle name="Примечание 2" xfId="3469" hidden="1"/>
    <cellStyle name="Примечание 2" xfId="3476" hidden="1"/>
    <cellStyle name="Примечание 2" xfId="3473" hidden="1"/>
    <cellStyle name="Примечание 2" xfId="3483" hidden="1"/>
    <cellStyle name="Примечание 2" xfId="3496" hidden="1"/>
    <cellStyle name="Примечание 2" xfId="3499" hidden="1"/>
    <cellStyle name="Примечание 2" xfId="3514" hidden="1"/>
    <cellStyle name="Примечание 2" xfId="3521" hidden="1"/>
    <cellStyle name="Примечание 2" xfId="3518" hidden="1"/>
    <cellStyle name="Примечание 2" xfId="3528" hidden="1"/>
    <cellStyle name="Примечание 2" xfId="3544" hidden="1"/>
    <cellStyle name="Примечание 2" xfId="3547" hidden="1"/>
    <cellStyle name="Примечание 2" xfId="3562" hidden="1"/>
    <cellStyle name="Примечание 2" xfId="3569" hidden="1"/>
    <cellStyle name="Примечание 2" xfId="3566" hidden="1"/>
    <cellStyle name="Примечание 2" xfId="3576" hidden="1"/>
    <cellStyle name="Примечание 2" xfId="3589" hidden="1"/>
    <cellStyle name="Примечание 2" xfId="3592" hidden="1"/>
    <cellStyle name="Примечание 2" xfId="3607" hidden="1"/>
    <cellStyle name="Примечание 2" xfId="3614" hidden="1"/>
    <cellStyle name="Примечание 2" xfId="3611" hidden="1"/>
    <cellStyle name="Примечание 2" xfId="3621" hidden="1"/>
    <cellStyle name="Примечание 2" xfId="3635" hidden="1"/>
    <cellStyle name="Примечание 2" xfId="3638" hidden="1"/>
    <cellStyle name="Примечание 2" xfId="3653" hidden="1"/>
    <cellStyle name="Примечание 2" xfId="3660" hidden="1"/>
    <cellStyle name="Примечание 2" xfId="3657" hidden="1"/>
    <cellStyle name="Примечание 2" xfId="3667" hidden="1"/>
    <cellStyle name="Примечание 2" xfId="3680" hidden="1"/>
    <cellStyle name="Примечание 2" xfId="3683" hidden="1"/>
    <cellStyle name="Примечание 2" xfId="3698" hidden="1"/>
    <cellStyle name="Примечание 2" xfId="3705" hidden="1"/>
    <cellStyle name="Примечание 2" xfId="3702" hidden="1"/>
    <cellStyle name="Примечание 2" xfId="3712" hidden="1"/>
    <cellStyle name="Примечание 2" xfId="3724" hidden="1"/>
    <cellStyle name="Примечание 2" xfId="3727" hidden="1"/>
    <cellStyle name="Примечание 2" xfId="3742" hidden="1"/>
    <cellStyle name="Примечание 2" xfId="3749" hidden="1"/>
    <cellStyle name="Примечание 2" xfId="3746" hidden="1"/>
    <cellStyle name="Примечание 2" xfId="3756" hidden="1"/>
    <cellStyle name="Примечание 2" xfId="3769" hidden="1"/>
    <cellStyle name="Примечание 2" xfId="3772" hidden="1"/>
    <cellStyle name="Примечание 2" xfId="3786" hidden="1"/>
    <cellStyle name="Примечание 2" xfId="3793" hidden="1"/>
    <cellStyle name="Примечание 2" xfId="3790" hidden="1"/>
    <cellStyle name="Примечание 2" xfId="3800" hidden="1"/>
    <cellStyle name="Примечание 2" xfId="3438" hidden="1"/>
    <cellStyle name="Примечание 2" xfId="3065" hidden="1"/>
    <cellStyle name="Примечание 2" xfId="3051" hidden="1"/>
    <cellStyle name="Примечание 2" xfId="3044" hidden="1"/>
    <cellStyle name="Примечание 2" xfId="3047" hidden="1"/>
    <cellStyle name="Примечание 2" xfId="3037" hidden="1"/>
    <cellStyle name="Примечание 2" xfId="3012" hidden="1"/>
    <cellStyle name="Примечание 2" xfId="3009" hidden="1"/>
    <cellStyle name="Примечание 2" xfId="2995" hidden="1"/>
    <cellStyle name="Примечание 2" xfId="2988" hidden="1"/>
    <cellStyle name="Примечание 2" xfId="2991" hidden="1"/>
    <cellStyle name="Примечание 2" xfId="2981" hidden="1"/>
    <cellStyle name="Примечание 2" xfId="2713" hidden="1"/>
    <cellStyle name="Примечание 2" xfId="2696" hidden="1"/>
    <cellStyle name="Примечание 2" xfId="2682" hidden="1"/>
    <cellStyle name="Примечание 2" xfId="2675" hidden="1"/>
    <cellStyle name="Примечание 2" xfId="2678" hidden="1"/>
    <cellStyle name="Примечание 2" xfId="3536" hidden="1"/>
    <cellStyle name="Примечание 2" xfId="2853" hidden="1"/>
    <cellStyle name="Примечание 2" xfId="3732" hidden="1"/>
    <cellStyle name="Примечание 2" xfId="3626" hidden="1"/>
    <cellStyle name="Примечание 2" xfId="2857" hidden="1"/>
    <cellStyle name="Примечание 2" xfId="3437" hidden="1"/>
    <cellStyle name="Примечание 2" xfId="3075" hidden="1"/>
    <cellStyle name="Примечание 2" xfId="3813" hidden="1"/>
    <cellStyle name="Примечание 2" xfId="3816" hidden="1"/>
    <cellStyle name="Примечание 2" xfId="3830" hidden="1"/>
    <cellStyle name="Примечание 2" xfId="3837" hidden="1"/>
    <cellStyle name="Примечание 2" xfId="3834" hidden="1"/>
    <cellStyle name="Примечание 2" xfId="3844" hidden="1"/>
    <cellStyle name="Примечание 2" xfId="3855" hidden="1"/>
    <cellStyle name="Примечание 2" xfId="3858" hidden="1"/>
    <cellStyle name="Примечание 2" xfId="3872" hidden="1"/>
    <cellStyle name="Примечание 2" xfId="3879" hidden="1"/>
    <cellStyle name="Примечание 2" xfId="3876" hidden="1"/>
    <cellStyle name="Примечание 2" xfId="3886" hidden="1"/>
    <cellStyle name="Примечание 2" xfId="3897" hidden="1"/>
    <cellStyle name="Примечание 2" xfId="3900" hidden="1"/>
    <cellStyle name="Примечание 2" xfId="3914" hidden="1"/>
    <cellStyle name="Примечание 2" xfId="3921" hidden="1"/>
    <cellStyle name="Примечание 2" xfId="3918" hidden="1"/>
    <cellStyle name="Примечание 2" xfId="3928" hidden="1"/>
    <cellStyle name="Примечание 2" xfId="3939" hidden="1"/>
    <cellStyle name="Примечание 2" xfId="3942" hidden="1"/>
    <cellStyle name="Примечание 2" xfId="3956" hidden="1"/>
    <cellStyle name="Примечание 2" xfId="3963" hidden="1"/>
    <cellStyle name="Примечание 2" xfId="3960" hidden="1"/>
    <cellStyle name="Примечание 2" xfId="3970" hidden="1"/>
    <cellStyle name="Примечание 2" xfId="3982" hidden="1"/>
    <cellStyle name="Примечание 2" xfId="3985" hidden="1"/>
    <cellStyle name="Примечание 2" xfId="3999" hidden="1"/>
    <cellStyle name="Примечание 2" xfId="4006" hidden="1"/>
    <cellStyle name="Примечание 2" xfId="4003" hidden="1"/>
    <cellStyle name="Примечание 2" xfId="4013" hidden="1"/>
    <cellStyle name="Примечание 2" xfId="4024" hidden="1"/>
    <cellStyle name="Примечание 2" xfId="4027" hidden="1"/>
    <cellStyle name="Примечание 2" xfId="4041" hidden="1"/>
    <cellStyle name="Примечание 2" xfId="4048" hidden="1"/>
    <cellStyle name="Примечание 2" xfId="4045" hidden="1"/>
    <cellStyle name="Примечание 2" xfId="4055" hidden="1"/>
    <cellStyle name="Примечание 2" xfId="4066" hidden="1"/>
    <cellStyle name="Примечание 2" xfId="4069" hidden="1"/>
    <cellStyle name="Примечание 2" xfId="4083" hidden="1"/>
    <cellStyle name="Примечание 2" xfId="4090" hidden="1"/>
    <cellStyle name="Примечание 2" xfId="4087" hidden="1"/>
    <cellStyle name="Примечание 2" xfId="4097" hidden="1"/>
    <cellStyle name="Примечание 2" xfId="4108" hidden="1"/>
    <cellStyle name="Примечание 2" xfId="4111" hidden="1"/>
    <cellStyle name="Примечание 2" xfId="4125" hidden="1"/>
    <cellStyle name="Примечание 2" xfId="4132" hidden="1"/>
    <cellStyle name="Примечание 2" xfId="4129" hidden="1"/>
    <cellStyle name="Примечание 2" xfId="4139" hidden="1"/>
    <cellStyle name="Примечание 2" xfId="4206"/>
    <cellStyle name="Примечание 2 10" xfId="4301" hidden="1"/>
    <cellStyle name="Примечание 2 10" xfId="14545"/>
    <cellStyle name="Примечание 2 100" xfId="5270" hidden="1"/>
    <cellStyle name="Примечание 2 101" xfId="5277" hidden="1"/>
    <cellStyle name="Примечание 2 102" xfId="5274" hidden="1"/>
    <cellStyle name="Примечание 2 103" xfId="5284" hidden="1"/>
    <cellStyle name="Примечание 2 104" xfId="5297" hidden="1"/>
    <cellStyle name="Примечание 2 105" xfId="5300" hidden="1"/>
    <cellStyle name="Примечание 2 106" xfId="5315" hidden="1"/>
    <cellStyle name="Примечание 2 107" xfId="5322" hidden="1"/>
    <cellStyle name="Примечание 2 108" xfId="5319" hidden="1"/>
    <cellStyle name="Примечание 2 109" xfId="5329" hidden="1"/>
    <cellStyle name="Примечание 2 11" xfId="4308" hidden="1"/>
    <cellStyle name="Примечание 2 11" xfId="14546"/>
    <cellStyle name="Примечание 2 110" xfId="5343" hidden="1"/>
    <cellStyle name="Примечание 2 111" xfId="5346" hidden="1"/>
    <cellStyle name="Примечание 2 112" xfId="5361" hidden="1"/>
    <cellStyle name="Примечание 2 113" xfId="5368" hidden="1"/>
    <cellStyle name="Примечание 2 114" xfId="5365" hidden="1"/>
    <cellStyle name="Примечание 2 115" xfId="5375" hidden="1"/>
    <cellStyle name="Примечание 2 116" xfId="5388" hidden="1"/>
    <cellStyle name="Примечание 2 117" xfId="5391" hidden="1"/>
    <cellStyle name="Примечание 2 118" xfId="5406" hidden="1"/>
    <cellStyle name="Примечание 2 119" xfId="5413" hidden="1"/>
    <cellStyle name="Примечание 2 12" xfId="4305" hidden="1"/>
    <cellStyle name="Примечание 2 12" xfId="14547"/>
    <cellStyle name="Примечание 2 120" xfId="5410" hidden="1"/>
    <cellStyle name="Примечание 2 121" xfId="5420" hidden="1"/>
    <cellStyle name="Примечание 2 122" xfId="5434" hidden="1"/>
    <cellStyle name="Примечание 2 123" xfId="5437" hidden="1"/>
    <cellStyle name="Примечание 2 124" xfId="5452" hidden="1"/>
    <cellStyle name="Примечание 2 125" xfId="5459" hidden="1"/>
    <cellStyle name="Примечание 2 126" xfId="5456" hidden="1"/>
    <cellStyle name="Примечание 2 127" xfId="5466" hidden="1"/>
    <cellStyle name="Примечание 2 128" xfId="5479" hidden="1"/>
    <cellStyle name="Примечание 2 129" xfId="5482" hidden="1"/>
    <cellStyle name="Примечание 2 13" xfId="4315" hidden="1"/>
    <cellStyle name="Примечание 2 13" xfId="14548"/>
    <cellStyle name="Примечание 2 130" xfId="5497" hidden="1"/>
    <cellStyle name="Примечание 2 131" xfId="5504" hidden="1"/>
    <cellStyle name="Примечание 2 132" xfId="5501" hidden="1"/>
    <cellStyle name="Примечание 2 133" xfId="5511" hidden="1"/>
    <cellStyle name="Примечание 2 134" xfId="5524" hidden="1"/>
    <cellStyle name="Примечание 2 135" xfId="5527" hidden="1"/>
    <cellStyle name="Примечание 2 136" xfId="5542" hidden="1"/>
    <cellStyle name="Примечание 2 137" xfId="5549" hidden="1"/>
    <cellStyle name="Примечание 2 138" xfId="5546" hidden="1"/>
    <cellStyle name="Примечание 2 139" xfId="5556" hidden="1"/>
    <cellStyle name="Примечание 2 14" xfId="4329" hidden="1"/>
    <cellStyle name="Примечание 2 14" xfId="50411" hidden="1"/>
    <cellStyle name="Примечание 2 14" xfId="50430"/>
    <cellStyle name="Примечание 2 140" xfId="5569" hidden="1"/>
    <cellStyle name="Примечание 2 141" xfId="5572" hidden="1"/>
    <cellStyle name="Примечание 2 142" xfId="5587" hidden="1"/>
    <cellStyle name="Примечание 2 143" xfId="5594" hidden="1"/>
    <cellStyle name="Примечание 2 144" xfId="5591" hidden="1"/>
    <cellStyle name="Примечание 2 145" xfId="5601" hidden="1"/>
    <cellStyle name="Примечание 2 146" xfId="5198" hidden="1"/>
    <cellStyle name="Примечание 2 147" xfId="5070" hidden="1"/>
    <cellStyle name="Примечание 2 148" xfId="5053" hidden="1"/>
    <cellStyle name="Примечание 2 149" xfId="5046" hidden="1"/>
    <cellStyle name="Примечание 2 15" xfId="4332" hidden="1"/>
    <cellStyle name="Примечание 2 15" xfId="50414" hidden="1"/>
    <cellStyle name="Примечание 2 15" xfId="50433"/>
    <cellStyle name="Примечание 2 150" xfId="5049" hidden="1"/>
    <cellStyle name="Примечание 2 151" xfId="5039" hidden="1"/>
    <cellStyle name="Примечание 2 152" xfId="5022" hidden="1"/>
    <cellStyle name="Примечание 2 153" xfId="5014" hidden="1"/>
    <cellStyle name="Примечание 2 154" xfId="4997" hidden="1"/>
    <cellStyle name="Примечание 2 155" xfId="4990" hidden="1"/>
    <cellStyle name="Примечание 2 156" xfId="4993" hidden="1"/>
    <cellStyle name="Примечание 2 157" xfId="4983" hidden="1"/>
    <cellStyle name="Примечание 2 158" xfId="4860" hidden="1"/>
    <cellStyle name="Примечание 2 159" xfId="4821" hidden="1"/>
    <cellStyle name="Примечание 2 16" xfId="4347" hidden="1"/>
    <cellStyle name="Примечание 2 16" xfId="50448"/>
    <cellStyle name="Примечание 2 160" xfId="4805" hidden="1"/>
    <cellStyle name="Примечание 2 161" xfId="4798" hidden="1"/>
    <cellStyle name="Примечание 2 162" xfId="4801" hidden="1"/>
    <cellStyle name="Примечание 2 163" xfId="4791" hidden="1"/>
    <cellStyle name="Примечание 2 164" xfId="5609" hidden="1"/>
    <cellStyle name="Примечание 2 165" xfId="5612" hidden="1"/>
    <cellStyle name="Примечание 2 166" xfId="5627" hidden="1"/>
    <cellStyle name="Примечание 2 167" xfId="5634" hidden="1"/>
    <cellStyle name="Примечание 2 168" xfId="5631" hidden="1"/>
    <cellStyle name="Примечание 2 169" xfId="5641" hidden="1"/>
    <cellStyle name="Примечание 2 17" xfId="4354" hidden="1"/>
    <cellStyle name="Примечание 2 17" xfId="50455"/>
    <cellStyle name="Примечание 2 170" xfId="5660" hidden="1"/>
    <cellStyle name="Примечание 2 171" xfId="5663" hidden="1"/>
    <cellStyle name="Примечание 2 172" xfId="5678" hidden="1"/>
    <cellStyle name="Примечание 2 173" xfId="5685" hidden="1"/>
    <cellStyle name="Примечание 2 174" xfId="5682" hidden="1"/>
    <cellStyle name="Примечание 2 175" xfId="5692" hidden="1"/>
    <cellStyle name="Примечание 2 176" xfId="5705" hidden="1"/>
    <cellStyle name="Примечание 2 177" xfId="5708" hidden="1"/>
    <cellStyle name="Примечание 2 178" xfId="5723" hidden="1"/>
    <cellStyle name="Примечание 2 179" xfId="5730" hidden="1"/>
    <cellStyle name="Примечание 2 18" xfId="4351" hidden="1"/>
    <cellStyle name="Примечание 2 18" xfId="50452"/>
    <cellStyle name="Примечание 2 180" xfId="5727" hidden="1"/>
    <cellStyle name="Примечание 2 181" xfId="5737" hidden="1"/>
    <cellStyle name="Примечание 2 182" xfId="5753" hidden="1"/>
    <cellStyle name="Примечание 2 183" xfId="5756" hidden="1"/>
    <cellStyle name="Примечание 2 184" xfId="5771" hidden="1"/>
    <cellStyle name="Примечание 2 185" xfId="5778" hidden="1"/>
    <cellStyle name="Примечание 2 186" xfId="5775" hidden="1"/>
    <cellStyle name="Примечание 2 187" xfId="5785" hidden="1"/>
    <cellStyle name="Примечание 2 188" xfId="5798" hidden="1"/>
    <cellStyle name="Примечание 2 189" xfId="5801" hidden="1"/>
    <cellStyle name="Примечание 2 19" xfId="4361" hidden="1"/>
    <cellStyle name="Примечание 2 19" xfId="50462"/>
    <cellStyle name="Примечание 2 190" xfId="5816" hidden="1"/>
    <cellStyle name="Примечание 2 191" xfId="5823" hidden="1"/>
    <cellStyle name="Примечание 2 192" xfId="5820" hidden="1"/>
    <cellStyle name="Примечание 2 193" xfId="5830" hidden="1"/>
    <cellStyle name="Примечание 2 194" xfId="5844" hidden="1"/>
    <cellStyle name="Примечание 2 195" xfId="5847" hidden="1"/>
    <cellStyle name="Примечание 2 196" xfId="5862" hidden="1"/>
    <cellStyle name="Примечание 2 197" xfId="5869" hidden="1"/>
    <cellStyle name="Примечание 2 198" xfId="5866" hidden="1"/>
    <cellStyle name="Примечание 2 199" xfId="5876" hidden="1"/>
    <cellStyle name="Примечание 2 2" xfId="4233" hidden="1"/>
    <cellStyle name="Примечание 2 2" xfId="14549"/>
    <cellStyle name="Примечание 2 2 2" xfId="14550"/>
    <cellStyle name="Примечание 2 2 3" xfId="14551"/>
    <cellStyle name="Примечание 2 2 4" xfId="14552"/>
    <cellStyle name="Примечание 2 2 5" xfId="14553"/>
    <cellStyle name="Примечание 2 20" xfId="4374" hidden="1"/>
    <cellStyle name="Примечание 2 20" xfId="14544"/>
    <cellStyle name="Примечание 2 200" xfId="5889" hidden="1"/>
    <cellStyle name="Примечание 2 201" xfId="5892" hidden="1"/>
    <cellStyle name="Примечание 2 202" xfId="5907" hidden="1"/>
    <cellStyle name="Примечание 2 203" xfId="5914" hidden="1"/>
    <cellStyle name="Примечание 2 204" xfId="5911" hidden="1"/>
    <cellStyle name="Примечание 2 205" xfId="5921" hidden="1"/>
    <cellStyle name="Примечание 2 206" xfId="5933" hidden="1"/>
    <cellStyle name="Примечание 2 207" xfId="5936" hidden="1"/>
    <cellStyle name="Примечание 2 208" xfId="5951" hidden="1"/>
    <cellStyle name="Примечание 2 209" xfId="5958" hidden="1"/>
    <cellStyle name="Примечание 2 21" xfId="4377" hidden="1"/>
    <cellStyle name="Примечание 2 210" xfId="5955" hidden="1"/>
    <cellStyle name="Примечание 2 211" xfId="5965" hidden="1"/>
    <cellStyle name="Примечание 2 212" xfId="5978" hidden="1"/>
    <cellStyle name="Примечание 2 213" xfId="5981" hidden="1"/>
    <cellStyle name="Примечание 2 214" xfId="5995" hidden="1"/>
    <cellStyle name="Примечание 2 215" xfId="6002" hidden="1"/>
    <cellStyle name="Примечание 2 216" xfId="5999" hidden="1"/>
    <cellStyle name="Примечание 2 217" xfId="6009" hidden="1"/>
    <cellStyle name="Примечание 2 218" xfId="5647" hidden="1"/>
    <cellStyle name="Примечание 2 219" xfId="5249" hidden="1"/>
    <cellStyle name="Примечание 2 22" xfId="4392" hidden="1"/>
    <cellStyle name="Примечание 2 220" xfId="5235" hidden="1"/>
    <cellStyle name="Примечание 2 221" xfId="5228" hidden="1"/>
    <cellStyle name="Примечание 2 222" xfId="5231" hidden="1"/>
    <cellStyle name="Примечание 2 223" xfId="5221" hidden="1"/>
    <cellStyle name="Примечание 2 224" xfId="5196" hidden="1"/>
    <cellStyle name="Примечание 2 225" xfId="5193" hidden="1"/>
    <cellStyle name="Примечание 2 226" xfId="5179" hidden="1"/>
    <cellStyle name="Примечание 2 227" xfId="5172" hidden="1"/>
    <cellStyle name="Примечание 2 228" xfId="5175" hidden="1"/>
    <cellStyle name="Примечание 2 229" xfId="5165" hidden="1"/>
    <cellStyle name="Примечание 2 23" xfId="4399" hidden="1"/>
    <cellStyle name="Примечание 2 230" xfId="4867" hidden="1"/>
    <cellStyle name="Примечание 2 231" xfId="4850" hidden="1"/>
    <cellStyle name="Примечание 2 232" xfId="4836" hidden="1"/>
    <cellStyle name="Примечание 2 233" xfId="4829" hidden="1"/>
    <cellStyle name="Примечание 2 234" xfId="4832" hidden="1"/>
    <cellStyle name="Примечание 2 235" xfId="5745" hidden="1"/>
    <cellStyle name="Примечание 2 236" xfId="5030" hidden="1"/>
    <cellStyle name="Примечание 2 237" xfId="5941" hidden="1"/>
    <cellStyle name="Примечание 2 238" xfId="5835" hidden="1"/>
    <cellStyle name="Примечание 2 239" xfId="5034" hidden="1"/>
    <cellStyle name="Примечание 2 24" xfId="4396" hidden="1"/>
    <cellStyle name="Примечание 2 240" xfId="5646" hidden="1"/>
    <cellStyle name="Примечание 2 241" xfId="5259" hidden="1"/>
    <cellStyle name="Примечание 2 242" xfId="6022" hidden="1"/>
    <cellStyle name="Примечание 2 243" xfId="6025" hidden="1"/>
    <cellStyle name="Примечание 2 244" xfId="6039" hidden="1"/>
    <cellStyle name="Примечание 2 245" xfId="6046" hidden="1"/>
    <cellStyle name="Примечание 2 246" xfId="6043" hidden="1"/>
    <cellStyle name="Примечание 2 247" xfId="6053" hidden="1"/>
    <cellStyle name="Примечание 2 248" xfId="6064" hidden="1"/>
    <cellStyle name="Примечание 2 249" xfId="6067" hidden="1"/>
    <cellStyle name="Примечание 2 25" xfId="4406" hidden="1"/>
    <cellStyle name="Примечание 2 250" xfId="6081" hidden="1"/>
    <cellStyle name="Примечание 2 251" xfId="6088" hidden="1"/>
    <cellStyle name="Примечание 2 252" xfId="6085" hidden="1"/>
    <cellStyle name="Примечание 2 253" xfId="6095" hidden="1"/>
    <cellStyle name="Примечание 2 254" xfId="6106" hidden="1"/>
    <cellStyle name="Примечание 2 255" xfId="6109" hidden="1"/>
    <cellStyle name="Примечание 2 256" xfId="6123" hidden="1"/>
    <cellStyle name="Примечание 2 257" xfId="6130" hidden="1"/>
    <cellStyle name="Примечание 2 258" xfId="6127" hidden="1"/>
    <cellStyle name="Примечание 2 259" xfId="6137" hidden="1"/>
    <cellStyle name="Примечание 2 26" xfId="4419" hidden="1"/>
    <cellStyle name="Примечание 2 260" xfId="6148" hidden="1"/>
    <cellStyle name="Примечание 2 261" xfId="6151" hidden="1"/>
    <cellStyle name="Примечание 2 262" xfId="6165" hidden="1"/>
    <cellStyle name="Примечание 2 263" xfId="6172" hidden="1"/>
    <cellStyle name="Примечание 2 264" xfId="6169" hidden="1"/>
    <cellStyle name="Примечание 2 265" xfId="6179" hidden="1"/>
    <cellStyle name="Примечание 2 266" xfId="6191" hidden="1"/>
    <cellStyle name="Примечание 2 267" xfId="6194" hidden="1"/>
    <cellStyle name="Примечание 2 268" xfId="6208" hidden="1"/>
    <cellStyle name="Примечание 2 269" xfId="6215" hidden="1"/>
    <cellStyle name="Примечание 2 27" xfId="4422" hidden="1"/>
    <cellStyle name="Примечание 2 270" xfId="6212" hidden="1"/>
    <cellStyle name="Примечание 2 271" xfId="6222" hidden="1"/>
    <cellStyle name="Примечание 2 272" xfId="6233" hidden="1"/>
    <cellStyle name="Примечание 2 273" xfId="6236" hidden="1"/>
    <cellStyle name="Примечание 2 274" xfId="6250" hidden="1"/>
    <cellStyle name="Примечание 2 275" xfId="6257" hidden="1"/>
    <cellStyle name="Примечание 2 276" xfId="6254" hidden="1"/>
    <cellStyle name="Примечание 2 277" xfId="6264" hidden="1"/>
    <cellStyle name="Примечание 2 278" xfId="6275" hidden="1"/>
    <cellStyle name="Примечание 2 279" xfId="6278" hidden="1"/>
    <cellStyle name="Примечание 2 28" xfId="4437" hidden="1"/>
    <cellStyle name="Примечание 2 280" xfId="6292" hidden="1"/>
    <cellStyle name="Примечание 2 281" xfId="6299" hidden="1"/>
    <cellStyle name="Примечание 2 282" xfId="6296" hidden="1"/>
    <cellStyle name="Примечание 2 283" xfId="6306" hidden="1"/>
    <cellStyle name="Примечание 2 284" xfId="6317" hidden="1"/>
    <cellStyle name="Примечание 2 285" xfId="6320" hidden="1"/>
    <cellStyle name="Примечание 2 286" xfId="6334" hidden="1"/>
    <cellStyle name="Примечание 2 287" xfId="6341" hidden="1"/>
    <cellStyle name="Примечание 2 288" xfId="6338" hidden="1"/>
    <cellStyle name="Примечание 2 289" xfId="6348" hidden="1"/>
    <cellStyle name="Примечание 2 29" xfId="4444" hidden="1"/>
    <cellStyle name="Примечание 2 290" xfId="6411" hidden="1"/>
    <cellStyle name="Примечание 2 291" xfId="6425" hidden="1"/>
    <cellStyle name="Примечание 2 292" xfId="6441" hidden="1"/>
    <cellStyle name="Примечание 2 293" xfId="6448" hidden="1"/>
    <cellStyle name="Примечание 2 294" xfId="6445" hidden="1"/>
    <cellStyle name="Примечание 2 295" xfId="6455" hidden="1"/>
    <cellStyle name="Примечание 2 296" xfId="6466" hidden="1"/>
    <cellStyle name="Примечание 2 297" xfId="6469" hidden="1"/>
    <cellStyle name="Примечание 2 298" xfId="6483" hidden="1"/>
    <cellStyle name="Примечание 2 299" xfId="6490" hidden="1"/>
    <cellStyle name="Примечание 2 3" xfId="4240" hidden="1"/>
    <cellStyle name="Примечание 2 3" xfId="14554"/>
    <cellStyle name="Примечание 2 3 2" xfId="14555"/>
    <cellStyle name="Примечание 2 3 3" xfId="14556"/>
    <cellStyle name="Примечание 2 3 4" xfId="14557"/>
    <cellStyle name="Примечание 2 3 5" xfId="14558"/>
    <cellStyle name="Примечание 2 30" xfId="4441" hidden="1"/>
    <cellStyle name="Примечание 2 300" xfId="6487" hidden="1"/>
    <cellStyle name="Примечание 2 301" xfId="6497" hidden="1"/>
    <cellStyle name="Примечание 2 302" xfId="6550" hidden="1"/>
    <cellStyle name="Примечание 2 303" xfId="6607" hidden="1"/>
    <cellStyle name="Примечание 2 304" xfId="6621" hidden="1"/>
    <cellStyle name="Примечание 2 305" xfId="6628" hidden="1"/>
    <cellStyle name="Примечание 2 306" xfId="6625" hidden="1"/>
    <cellStyle name="Примечание 2 307" xfId="6635" hidden="1"/>
    <cellStyle name="Примечание 2 308" xfId="6646" hidden="1"/>
    <cellStyle name="Примечание 2 309" xfId="6649" hidden="1"/>
    <cellStyle name="Примечание 2 31" xfId="4451" hidden="1"/>
    <cellStyle name="Примечание 2 310" xfId="6663" hidden="1"/>
    <cellStyle name="Примечание 2 311" xfId="6670" hidden="1"/>
    <cellStyle name="Примечание 2 312" xfId="6667" hidden="1"/>
    <cellStyle name="Примечание 2 313" xfId="6677" hidden="1"/>
    <cellStyle name="Примечание 2 314" xfId="6739" hidden="1"/>
    <cellStyle name="Примечание 2 315" xfId="6776" hidden="1"/>
    <cellStyle name="Примечание 2 316" xfId="6791" hidden="1"/>
    <cellStyle name="Примечание 2 317" xfId="6798" hidden="1"/>
    <cellStyle name="Примечание 2 318" xfId="6795" hidden="1"/>
    <cellStyle name="Примечание 2 319" xfId="6805" hidden="1"/>
    <cellStyle name="Примечание 2 32" xfId="4464" hidden="1"/>
    <cellStyle name="Примечание 2 320" xfId="6816" hidden="1"/>
    <cellStyle name="Примечание 2 321" xfId="6819" hidden="1"/>
    <cellStyle name="Примечание 2 322" xfId="6833" hidden="1"/>
    <cellStyle name="Примечание 2 323" xfId="6840" hidden="1"/>
    <cellStyle name="Примечание 2 324" xfId="6837" hidden="1"/>
    <cellStyle name="Примечание 2 325" xfId="6847" hidden="1"/>
    <cellStyle name="Примечание 2 326" xfId="6858" hidden="1"/>
    <cellStyle name="Примечание 2 327" xfId="6861" hidden="1"/>
    <cellStyle name="Примечание 2 328" xfId="6875" hidden="1"/>
    <cellStyle name="Примечание 2 329" xfId="6882" hidden="1"/>
    <cellStyle name="Примечание 2 33" xfId="4467" hidden="1"/>
    <cellStyle name="Примечание 2 330" xfId="6879" hidden="1"/>
    <cellStyle name="Примечание 2 331" xfId="6889" hidden="1"/>
    <cellStyle name="Примечание 2 332" xfId="6900" hidden="1"/>
    <cellStyle name="Примечание 2 333" xfId="6903" hidden="1"/>
    <cellStyle name="Примечание 2 334" xfId="6917" hidden="1"/>
    <cellStyle name="Примечание 2 335" xfId="6924" hidden="1"/>
    <cellStyle name="Примечание 2 336" xfId="6921" hidden="1"/>
    <cellStyle name="Примечание 2 337" xfId="6931" hidden="1"/>
    <cellStyle name="Примечание 2 338" xfId="6943" hidden="1"/>
    <cellStyle name="Примечание 2 339" xfId="6946" hidden="1"/>
    <cellStyle name="Примечание 2 34" xfId="4482" hidden="1"/>
    <cellStyle name="Примечание 2 340" xfId="6960" hidden="1"/>
    <cellStyle name="Примечание 2 341" xfId="6967" hidden="1"/>
    <cellStyle name="Примечание 2 342" xfId="6964" hidden="1"/>
    <cellStyle name="Примечание 2 343" xfId="6974" hidden="1"/>
    <cellStyle name="Примечание 2 344" xfId="6985" hidden="1"/>
    <cellStyle name="Примечание 2 345" xfId="6988" hidden="1"/>
    <cellStyle name="Примечание 2 346" xfId="7002" hidden="1"/>
    <cellStyle name="Примечание 2 347" xfId="7009" hidden="1"/>
    <cellStyle name="Примечание 2 348" xfId="7006" hidden="1"/>
    <cellStyle name="Примечание 2 349" xfId="7016" hidden="1"/>
    <cellStyle name="Примечание 2 35" xfId="4489" hidden="1"/>
    <cellStyle name="Примечание 2 350" xfId="7027" hidden="1"/>
    <cellStyle name="Примечание 2 351" xfId="7030" hidden="1"/>
    <cellStyle name="Примечание 2 352" xfId="7044" hidden="1"/>
    <cellStyle name="Примечание 2 353" xfId="7051" hidden="1"/>
    <cellStyle name="Примечание 2 354" xfId="7048" hidden="1"/>
    <cellStyle name="Примечание 2 355" xfId="7058" hidden="1"/>
    <cellStyle name="Примечание 2 356" xfId="7069" hidden="1"/>
    <cellStyle name="Примечание 2 357" xfId="7072" hidden="1"/>
    <cellStyle name="Примечание 2 358" xfId="7086" hidden="1"/>
    <cellStyle name="Примечание 2 359" xfId="7093" hidden="1"/>
    <cellStyle name="Примечание 2 36" xfId="4486" hidden="1"/>
    <cellStyle name="Примечание 2 360" xfId="7090" hidden="1"/>
    <cellStyle name="Примечание 2 361" xfId="7100" hidden="1"/>
    <cellStyle name="Примечание 2 362" xfId="6720" hidden="1"/>
    <cellStyle name="Примечание 2 363" xfId="6599" hidden="1"/>
    <cellStyle name="Примечание 2 364" xfId="6582" hidden="1"/>
    <cellStyle name="Примечание 2 365" xfId="6575" hidden="1"/>
    <cellStyle name="Примечание 2 366" xfId="6578" hidden="1"/>
    <cellStyle name="Примечание 2 367" xfId="6568" hidden="1"/>
    <cellStyle name="Примечание 2 368" xfId="6551" hidden="1"/>
    <cellStyle name="Примечание 2 369" xfId="6543" hidden="1"/>
    <cellStyle name="Примечание 2 37" xfId="4496" hidden="1"/>
    <cellStyle name="Примечание 2 370" xfId="6526" hidden="1"/>
    <cellStyle name="Примечание 2 371" xfId="6519" hidden="1"/>
    <cellStyle name="Примечание 2 372" xfId="6522" hidden="1"/>
    <cellStyle name="Примечание 2 373" xfId="6512" hidden="1"/>
    <cellStyle name="Примечание 2 374" xfId="6412" hidden="1"/>
    <cellStyle name="Примечание 2 375" xfId="6373" hidden="1"/>
    <cellStyle name="Примечание 2 376" xfId="6357" hidden="1"/>
    <cellStyle name="Примечание 2 377" xfId="4871" hidden="1"/>
    <cellStyle name="Примечание 2 378" xfId="6353" hidden="1"/>
    <cellStyle name="Примечание 2 379" xfId="4781" hidden="1"/>
    <cellStyle name="Примечание 2 38" xfId="4511" hidden="1"/>
    <cellStyle name="Примечание 2 380" xfId="7106" hidden="1"/>
    <cellStyle name="Примечание 2 381" xfId="7109" hidden="1"/>
    <cellStyle name="Примечание 2 382" xfId="7124" hidden="1"/>
    <cellStyle name="Примечание 2 383" xfId="7131" hidden="1"/>
    <cellStyle name="Примечание 2 384" xfId="7128" hidden="1"/>
    <cellStyle name="Примечание 2 385" xfId="7138" hidden="1"/>
    <cellStyle name="Примечание 2 386" xfId="7157" hidden="1"/>
    <cellStyle name="Примечание 2 387" xfId="7160" hidden="1"/>
    <cellStyle name="Примечание 2 388" xfId="7175" hidden="1"/>
    <cellStyle name="Примечание 2 389" xfId="7182" hidden="1"/>
    <cellStyle name="Примечание 2 39" xfId="4514" hidden="1"/>
    <cellStyle name="Примечание 2 390" xfId="7179" hidden="1"/>
    <cellStyle name="Примечание 2 391" xfId="7189" hidden="1"/>
    <cellStyle name="Примечание 2 392" xfId="7202" hidden="1"/>
    <cellStyle name="Примечание 2 393" xfId="7205" hidden="1"/>
    <cellStyle name="Примечание 2 394" xfId="7220" hidden="1"/>
    <cellStyle name="Примечание 2 395" xfId="7227" hidden="1"/>
    <cellStyle name="Примечание 2 396" xfId="7224" hidden="1"/>
    <cellStyle name="Примечание 2 397" xfId="7234" hidden="1"/>
    <cellStyle name="Примечание 2 398" xfId="7250" hidden="1"/>
    <cellStyle name="Примечание 2 399" xfId="7253" hidden="1"/>
    <cellStyle name="Примечание 2 4" xfId="4255" hidden="1"/>
    <cellStyle name="Примечание 2 4" xfId="14559"/>
    <cellStyle name="Примечание 2 4 2" xfId="14560"/>
    <cellStyle name="Примечание 2 4 3" xfId="14561"/>
    <cellStyle name="Примечание 2 4 4" xfId="14562"/>
    <cellStyle name="Примечание 2 4 5" xfId="14563"/>
    <cellStyle name="Примечание 2 40" xfId="4529" hidden="1"/>
    <cellStyle name="Примечание 2 400" xfId="7268" hidden="1"/>
    <cellStyle name="Примечание 2 401" xfId="7275" hidden="1"/>
    <cellStyle name="Примечание 2 402" xfId="7272" hidden="1"/>
    <cellStyle name="Примечание 2 403" xfId="7282" hidden="1"/>
    <cellStyle name="Примечание 2 404" xfId="7295" hidden="1"/>
    <cellStyle name="Примечание 2 405" xfId="7298" hidden="1"/>
    <cellStyle name="Примечание 2 406" xfId="7313" hidden="1"/>
    <cellStyle name="Примечание 2 407" xfId="7320" hidden="1"/>
    <cellStyle name="Примечание 2 408" xfId="7317" hidden="1"/>
    <cellStyle name="Примечание 2 409" xfId="7327" hidden="1"/>
    <cellStyle name="Примечание 2 41" xfId="4536" hidden="1"/>
    <cellStyle name="Примечание 2 410" xfId="7341" hidden="1"/>
    <cellStyle name="Примечание 2 411" xfId="7344" hidden="1"/>
    <cellStyle name="Примечание 2 412" xfId="7359" hidden="1"/>
    <cellStyle name="Примечание 2 413" xfId="7366" hidden="1"/>
    <cellStyle name="Примечание 2 414" xfId="7363" hidden="1"/>
    <cellStyle name="Примечание 2 415" xfId="7373" hidden="1"/>
    <cellStyle name="Примечание 2 416" xfId="7386" hidden="1"/>
    <cellStyle name="Примечание 2 417" xfId="7389" hidden="1"/>
    <cellStyle name="Примечание 2 418" xfId="7404" hidden="1"/>
    <cellStyle name="Примечание 2 419" xfId="7411" hidden="1"/>
    <cellStyle name="Примечание 2 42" xfId="4533" hidden="1"/>
    <cellStyle name="Примечание 2 420" xfId="7408" hidden="1"/>
    <cellStyle name="Примечание 2 421" xfId="7418" hidden="1"/>
    <cellStyle name="Примечание 2 422" xfId="7430" hidden="1"/>
    <cellStyle name="Примечание 2 423" xfId="7433" hidden="1"/>
    <cellStyle name="Примечание 2 424" xfId="7448" hidden="1"/>
    <cellStyle name="Примечание 2 425" xfId="7455" hidden="1"/>
    <cellStyle name="Примечание 2 426" xfId="7452" hidden="1"/>
    <cellStyle name="Примечание 2 427" xfId="7462" hidden="1"/>
    <cellStyle name="Примечание 2 428" xfId="7475" hidden="1"/>
    <cellStyle name="Примечание 2 429" xfId="7478" hidden="1"/>
    <cellStyle name="Примечание 2 43" xfId="4543" hidden="1"/>
    <cellStyle name="Примечание 2 430" xfId="7492" hidden="1"/>
    <cellStyle name="Примечание 2 431" xfId="7499" hidden="1"/>
    <cellStyle name="Примечание 2 432" xfId="7496" hidden="1"/>
    <cellStyle name="Примечание 2 433" xfId="7506" hidden="1"/>
    <cellStyle name="Примечание 2 434" xfId="7144" hidden="1"/>
    <cellStyle name="Примечание 2 435" xfId="6771" hidden="1"/>
    <cellStyle name="Примечание 2 436" xfId="6757" hidden="1"/>
    <cellStyle name="Примечание 2 437" xfId="6750" hidden="1"/>
    <cellStyle name="Примечание 2 438" xfId="6753" hidden="1"/>
    <cellStyle name="Примечание 2 439" xfId="6743" hidden="1"/>
    <cellStyle name="Примечание 2 44" xfId="4556" hidden="1"/>
    <cellStyle name="Примечание 2 440" xfId="6718" hidden="1"/>
    <cellStyle name="Примечание 2 441" xfId="6715" hidden="1"/>
    <cellStyle name="Примечание 2 442" xfId="6701" hidden="1"/>
    <cellStyle name="Примечание 2 443" xfId="6694" hidden="1"/>
    <cellStyle name="Примечание 2 444" xfId="6697" hidden="1"/>
    <cellStyle name="Примечание 2 445" xfId="6687" hidden="1"/>
    <cellStyle name="Примечание 2 446" xfId="6419" hidden="1"/>
    <cellStyle name="Примечание 2 447" xfId="6402" hidden="1"/>
    <cellStyle name="Примечание 2 448" xfId="6388" hidden="1"/>
    <cellStyle name="Примечание 2 449" xfId="6381" hidden="1"/>
    <cellStyle name="Примечание 2 45" xfId="4559" hidden="1"/>
    <cellStyle name="Примечание 2 450" xfId="6384" hidden="1"/>
    <cellStyle name="Примечание 2 451" xfId="7242" hidden="1"/>
    <cellStyle name="Примечание 2 452" xfId="6559" hidden="1"/>
    <cellStyle name="Примечание 2 453" xfId="7438" hidden="1"/>
    <cellStyle name="Примечание 2 454" xfId="7332" hidden="1"/>
    <cellStyle name="Примечание 2 455" xfId="6563" hidden="1"/>
    <cellStyle name="Примечание 2 456" xfId="7143" hidden="1"/>
    <cellStyle name="Примечание 2 457" xfId="6781" hidden="1"/>
    <cellStyle name="Примечание 2 458" xfId="7519" hidden="1"/>
    <cellStyle name="Примечание 2 459" xfId="7522" hidden="1"/>
    <cellStyle name="Примечание 2 46" xfId="4574" hidden="1"/>
    <cellStyle name="Примечание 2 460" xfId="7536" hidden="1"/>
    <cellStyle name="Примечание 2 461" xfId="7543" hidden="1"/>
    <cellStyle name="Примечание 2 462" xfId="7540" hidden="1"/>
    <cellStyle name="Примечание 2 463" xfId="7550" hidden="1"/>
    <cellStyle name="Примечание 2 464" xfId="7561" hidden="1"/>
    <cellStyle name="Примечание 2 465" xfId="7564" hidden="1"/>
    <cellStyle name="Примечание 2 466" xfId="7578" hidden="1"/>
    <cellStyle name="Примечание 2 467" xfId="7585" hidden="1"/>
    <cellStyle name="Примечание 2 468" xfId="7582" hidden="1"/>
    <cellStyle name="Примечание 2 469" xfId="7592" hidden="1"/>
    <cellStyle name="Примечание 2 47" xfId="4581" hidden="1"/>
    <cellStyle name="Примечание 2 470" xfId="7603" hidden="1"/>
    <cellStyle name="Примечание 2 471" xfId="7606" hidden="1"/>
    <cellStyle name="Примечание 2 472" xfId="7620" hidden="1"/>
    <cellStyle name="Примечание 2 473" xfId="7627" hidden="1"/>
    <cellStyle name="Примечание 2 474" xfId="7624" hidden="1"/>
    <cellStyle name="Примечание 2 475" xfId="7634" hidden="1"/>
    <cellStyle name="Примечание 2 476" xfId="7645" hidden="1"/>
    <cellStyle name="Примечание 2 477" xfId="7648" hidden="1"/>
    <cellStyle name="Примечание 2 478" xfId="7662" hidden="1"/>
    <cellStyle name="Примечание 2 479" xfId="7669" hidden="1"/>
    <cellStyle name="Примечание 2 48" xfId="4578" hidden="1"/>
    <cellStyle name="Примечание 2 480" xfId="7666" hidden="1"/>
    <cellStyle name="Примечание 2 481" xfId="7676" hidden="1"/>
    <cellStyle name="Примечание 2 482" xfId="7688" hidden="1"/>
    <cellStyle name="Примечание 2 483" xfId="7691" hidden="1"/>
    <cellStyle name="Примечание 2 484" xfId="7705" hidden="1"/>
    <cellStyle name="Примечание 2 485" xfId="7712" hidden="1"/>
    <cellStyle name="Примечание 2 486" xfId="7709" hidden="1"/>
    <cellStyle name="Примечание 2 487" xfId="7719" hidden="1"/>
    <cellStyle name="Примечание 2 488" xfId="7730" hidden="1"/>
    <cellStyle name="Примечание 2 489" xfId="7733" hidden="1"/>
    <cellStyle name="Примечание 2 49" xfId="4588" hidden="1"/>
    <cellStyle name="Примечание 2 490" xfId="7747" hidden="1"/>
    <cellStyle name="Примечание 2 491" xfId="7754" hidden="1"/>
    <cellStyle name="Примечание 2 492" xfId="7751" hidden="1"/>
    <cellStyle name="Примечание 2 493" xfId="7761" hidden="1"/>
    <cellStyle name="Примечание 2 494" xfId="7772" hidden="1"/>
    <cellStyle name="Примечание 2 495" xfId="7775" hidden="1"/>
    <cellStyle name="Примечание 2 496" xfId="7789" hidden="1"/>
    <cellStyle name="Примечание 2 497" xfId="7796" hidden="1"/>
    <cellStyle name="Примечание 2 498" xfId="7793" hidden="1"/>
    <cellStyle name="Примечание 2 499" xfId="7803" hidden="1"/>
    <cellStyle name="Примечание 2 5" xfId="4262" hidden="1"/>
    <cellStyle name="Примечание 2 5" xfId="14564"/>
    <cellStyle name="Примечание 2 5 2" xfId="14565"/>
    <cellStyle name="Примечание 2 5 3" xfId="14566"/>
    <cellStyle name="Примечание 2 5 4" xfId="14567"/>
    <cellStyle name="Примечание 2 5 5" xfId="14568"/>
    <cellStyle name="Примечание 2 50" xfId="4602" hidden="1"/>
    <cellStyle name="Примечание 2 500" xfId="7814" hidden="1"/>
    <cellStyle name="Примечание 2 501" xfId="7817" hidden="1"/>
    <cellStyle name="Примечание 2 502" xfId="7831" hidden="1"/>
    <cellStyle name="Примечание 2 503" xfId="7838" hidden="1"/>
    <cellStyle name="Примечание 2 504" xfId="7835" hidden="1"/>
    <cellStyle name="Примечание 2 505" xfId="7845" hidden="1"/>
    <cellStyle name="Примечание 2 51" xfId="4605" hidden="1"/>
    <cellStyle name="Примечание 2 52" xfId="4620" hidden="1"/>
    <cellStyle name="Примечание 2 53" xfId="4627" hidden="1"/>
    <cellStyle name="Примечание 2 54" xfId="4624" hidden="1"/>
    <cellStyle name="Примечание 2 55" xfId="4634" hidden="1"/>
    <cellStyle name="Примечание 2 56" xfId="4647" hidden="1"/>
    <cellStyle name="Примечание 2 57" xfId="4650" hidden="1"/>
    <cellStyle name="Примечание 2 58" xfId="4665" hidden="1"/>
    <cellStyle name="Примечание 2 59" xfId="4672" hidden="1"/>
    <cellStyle name="Примечание 2 6" xfId="4259" hidden="1"/>
    <cellStyle name="Примечание 2 6" xfId="14569"/>
    <cellStyle name="Примечание 2 6 2" xfId="14570"/>
    <cellStyle name="Примечание 2 6 3" xfId="14571"/>
    <cellStyle name="Примечание 2 6 4" xfId="14572"/>
    <cellStyle name="Примечание 2 6 5" xfId="14573"/>
    <cellStyle name="Примечание 2 60" xfId="4669" hidden="1"/>
    <cellStyle name="Примечание 2 61" xfId="4679" hidden="1"/>
    <cellStyle name="Примечание 2 62" xfId="4692" hidden="1"/>
    <cellStyle name="Примечание 2 63" xfId="4695" hidden="1"/>
    <cellStyle name="Примечание 2 64" xfId="4710" hidden="1"/>
    <cellStyle name="Примечание 2 65" xfId="4717" hidden="1"/>
    <cellStyle name="Примечание 2 66" xfId="4714" hidden="1"/>
    <cellStyle name="Примечание 2 67" xfId="4724" hidden="1"/>
    <cellStyle name="Примечание 2 68" xfId="4737" hidden="1"/>
    <cellStyle name="Примечание 2 69" xfId="4740" hidden="1"/>
    <cellStyle name="Примечание 2 7" xfId="4269" hidden="1"/>
    <cellStyle name="Примечание 2 7" xfId="14574"/>
    <cellStyle name="Примечание 2 7 2" xfId="14575"/>
    <cellStyle name="Примечание 2 7 3" xfId="14576"/>
    <cellStyle name="Примечание 2 7 4" xfId="14577"/>
    <cellStyle name="Примечание 2 7 5" xfId="14578"/>
    <cellStyle name="Примечание 2 70" xfId="4755" hidden="1"/>
    <cellStyle name="Примечание 2 71" xfId="4762" hidden="1"/>
    <cellStyle name="Примечание 2 72" xfId="4759" hidden="1"/>
    <cellStyle name="Примечание 2 73" xfId="4769" hidden="1"/>
    <cellStyle name="Примечание 2 74" xfId="4859" hidden="1"/>
    <cellStyle name="Примечание 2 75" xfId="4885" hidden="1"/>
    <cellStyle name="Примечание 2 76" xfId="4903" hidden="1"/>
    <cellStyle name="Примечание 2 77" xfId="4910" hidden="1"/>
    <cellStyle name="Примечание 2 78" xfId="4907" hidden="1"/>
    <cellStyle name="Примечание 2 79" xfId="4917" hidden="1"/>
    <cellStyle name="Примечание 2 8" xfId="4283" hidden="1"/>
    <cellStyle name="Примечание 2 8" xfId="14579"/>
    <cellStyle name="Примечание 2 8 2" xfId="14580"/>
    <cellStyle name="Примечание 2 8 3" xfId="14581"/>
    <cellStyle name="Примечание 2 8 4" xfId="14582"/>
    <cellStyle name="Примечание 2 8 5" xfId="14583"/>
    <cellStyle name="Примечание 2 80" xfId="4933" hidden="1"/>
    <cellStyle name="Примечание 2 81" xfId="4936" hidden="1"/>
    <cellStyle name="Примечание 2 82" xfId="4951" hidden="1"/>
    <cellStyle name="Примечание 2 83" xfId="4958" hidden="1"/>
    <cellStyle name="Примечание 2 84" xfId="4955" hidden="1"/>
    <cellStyle name="Примечание 2 85" xfId="4965" hidden="1"/>
    <cellStyle name="Примечание 2 86" xfId="5021" hidden="1"/>
    <cellStyle name="Примечание 2 87" xfId="5078" hidden="1"/>
    <cellStyle name="Примечание 2 88" xfId="5093" hidden="1"/>
    <cellStyle name="Примечание 2 89" xfId="5100" hidden="1"/>
    <cellStyle name="Примечание 2 9" xfId="4286" hidden="1"/>
    <cellStyle name="Примечание 2 9" xfId="14584"/>
    <cellStyle name="Примечание 2 9 2" xfId="14585"/>
    <cellStyle name="Примечание 2 9 3" xfId="14586"/>
    <cellStyle name="Примечание 2 9 4" xfId="14587"/>
    <cellStyle name="Примечание 2 9 5" xfId="14588"/>
    <cellStyle name="Примечание 2 90" xfId="5097" hidden="1"/>
    <cellStyle name="Примечание 2 91" xfId="5107" hidden="1"/>
    <cellStyle name="Примечание 2 92" xfId="5120" hidden="1"/>
    <cellStyle name="Примечание 2 93" xfId="5123" hidden="1"/>
    <cellStyle name="Примечание 2 94" xfId="5138" hidden="1"/>
    <cellStyle name="Примечание 2 95" xfId="5145" hidden="1"/>
    <cellStyle name="Примечание 2 96" xfId="5142" hidden="1"/>
    <cellStyle name="Примечание 2 97" xfId="5152" hidden="1"/>
    <cellStyle name="Примечание 2 98" xfId="5217" hidden="1"/>
    <cellStyle name="Примечание 2 99" xfId="5254" hidden="1"/>
    <cellStyle name="Примечание 2_109_факт" xfId="14589"/>
    <cellStyle name="Примечание 20" xfId="14590"/>
    <cellStyle name="Примечание 20 2" xfId="14591"/>
    <cellStyle name="Примечание 20 3" xfId="14592"/>
    <cellStyle name="Примечание 20 4" xfId="14593"/>
    <cellStyle name="Примечание 20 5" xfId="14594"/>
    <cellStyle name="Примечание 21" xfId="14595"/>
    <cellStyle name="Примечание 21 2" xfId="14596"/>
    <cellStyle name="Примечание 21 3" xfId="14597"/>
    <cellStyle name="Примечание 21 4" xfId="14598"/>
    <cellStyle name="Примечание 21 5" xfId="14599"/>
    <cellStyle name="Примечание 22" xfId="14600"/>
    <cellStyle name="Примечание 22 2" xfId="14601"/>
    <cellStyle name="Примечание 22 3" xfId="14602"/>
    <cellStyle name="Примечание 22 4" xfId="14603"/>
    <cellStyle name="Примечание 22 5" xfId="14604"/>
    <cellStyle name="Примечание 23" xfId="14605"/>
    <cellStyle name="Примечание 23 2" xfId="14606"/>
    <cellStyle name="Примечание 23 3" xfId="14607"/>
    <cellStyle name="Примечание 23 4" xfId="14608"/>
    <cellStyle name="Примечание 23 5" xfId="14609"/>
    <cellStyle name="Примечание 24" xfId="14610"/>
    <cellStyle name="Примечание 24 2" xfId="14611"/>
    <cellStyle name="Примечание 24 3" xfId="14612"/>
    <cellStyle name="Примечание 24 4" xfId="14613"/>
    <cellStyle name="Примечание 24 5" xfId="14614"/>
    <cellStyle name="Примечание 25" xfId="14615"/>
    <cellStyle name="Примечание 25 2" xfId="14616"/>
    <cellStyle name="Примечание 25 3" xfId="14617"/>
    <cellStyle name="Примечание 25 4" xfId="14618"/>
    <cellStyle name="Примечание 25 5" xfId="14619"/>
    <cellStyle name="Примечание 26" xfId="14620"/>
    <cellStyle name="Примечание 26 2" xfId="14621"/>
    <cellStyle name="Примечание 26 3" xfId="14622"/>
    <cellStyle name="Примечание 26 4" xfId="14623"/>
    <cellStyle name="Примечание 26 5" xfId="14624"/>
    <cellStyle name="Примечание 26_43" xfId="14625"/>
    <cellStyle name="Примечание 27" xfId="14626"/>
    <cellStyle name="Примечание 27 2" xfId="14627"/>
    <cellStyle name="Примечание 27 3" xfId="14628"/>
    <cellStyle name="Примечание 27 4" xfId="14629"/>
    <cellStyle name="Примечание 27 5" xfId="14630"/>
    <cellStyle name="Примечание 28" xfId="14631"/>
    <cellStyle name="Примечание 28 2" xfId="14632"/>
    <cellStyle name="Примечание 28 3" xfId="14633"/>
    <cellStyle name="Примечание 28 4" xfId="14634"/>
    <cellStyle name="Примечание 28 5" xfId="14635"/>
    <cellStyle name="Примечание 29" xfId="14636"/>
    <cellStyle name="Примечание 29 2" xfId="14637"/>
    <cellStyle name="Примечание 29 3" xfId="14638"/>
    <cellStyle name="Примечание 29 4" xfId="14639"/>
    <cellStyle name="Примечание 29 5" xfId="14640"/>
    <cellStyle name="Примечание 3" xfId="14641"/>
    <cellStyle name="Примечание 3 2" xfId="14642"/>
    <cellStyle name="Примечание 3 3" xfId="14643"/>
    <cellStyle name="Примечание 3 4" xfId="14644"/>
    <cellStyle name="Примечание 3 5" xfId="14645"/>
    <cellStyle name="Примечание 30" xfId="14646"/>
    <cellStyle name="Примечание 30 2" xfId="14647"/>
    <cellStyle name="Примечание 30 3" xfId="14648"/>
    <cellStyle name="Примечание 30 4" xfId="14649"/>
    <cellStyle name="Примечание 30 5" xfId="14650"/>
    <cellStyle name="Примечание 31" xfId="14651"/>
    <cellStyle name="Примечание 31 2" xfId="14652"/>
    <cellStyle name="Примечание 31 3" xfId="14653"/>
    <cellStyle name="Примечание 31 4" xfId="14654"/>
    <cellStyle name="Примечание 31 5" xfId="14655"/>
    <cellStyle name="Примечание 32" xfId="14656"/>
    <cellStyle name="Примечание 32 2" xfId="14657"/>
    <cellStyle name="Примечание 32 3" xfId="14658"/>
    <cellStyle name="Примечание 32 4" xfId="14659"/>
    <cellStyle name="Примечание 32 5" xfId="14660"/>
    <cellStyle name="Примечание 33" xfId="14661"/>
    <cellStyle name="Примечание 33 2" xfId="14662"/>
    <cellStyle name="Примечание 33 3" xfId="14663"/>
    <cellStyle name="Примечание 33 4" xfId="14664"/>
    <cellStyle name="Примечание 33 5" xfId="14665"/>
    <cellStyle name="Примечание 34" xfId="16900"/>
    <cellStyle name="Примечание 35" xfId="15700"/>
    <cellStyle name="Примечание 36" xfId="17022"/>
    <cellStyle name="Примечание 37" xfId="17122"/>
    <cellStyle name="Примечание 38" xfId="18032"/>
    <cellStyle name="Примечание 39" xfId="36572"/>
    <cellStyle name="Примечание 4" xfId="14666"/>
    <cellStyle name="Примечание 4 2" xfId="14667"/>
    <cellStyle name="Примечание 4 3" xfId="14668"/>
    <cellStyle name="Примечание 4 4" xfId="14669"/>
    <cellStyle name="Примечание 4 5" xfId="14670"/>
    <cellStyle name="Примечание 40" xfId="14493"/>
    <cellStyle name="Примечание 5" xfId="14671"/>
    <cellStyle name="Примечание 5 2" xfId="14672"/>
    <cellStyle name="Примечание 5 3" xfId="14673"/>
    <cellStyle name="Примечание 5 4" xfId="14674"/>
    <cellStyle name="Примечание 5 5" xfId="14675"/>
    <cellStyle name="Примечание 6" xfId="14676"/>
    <cellStyle name="Примечание 6 2" xfId="14677"/>
    <cellStyle name="Примечание 6 3" xfId="14678"/>
    <cellStyle name="Примечание 6 4" xfId="14679"/>
    <cellStyle name="Примечание 6 5" xfId="14680"/>
    <cellStyle name="Примечание 7" xfId="14681"/>
    <cellStyle name="Примечание 7 2" xfId="14682"/>
    <cellStyle name="Примечание 7 3" xfId="14683"/>
    <cellStyle name="Примечание 7 4" xfId="14684"/>
    <cellStyle name="Примечание 7 5" xfId="14685"/>
    <cellStyle name="Примечание 8" xfId="14686"/>
    <cellStyle name="Примечание 8 2" xfId="14687"/>
    <cellStyle name="Примечание 8 3" xfId="14688"/>
    <cellStyle name="Примечание 8 4" xfId="14689"/>
    <cellStyle name="Примечание 8 5" xfId="14690"/>
    <cellStyle name="Примечание 9" xfId="14691"/>
    <cellStyle name="Примечание 9 2" xfId="14692"/>
    <cellStyle name="Примечание 9 3" xfId="14693"/>
    <cellStyle name="Примечание 9 4" xfId="14694"/>
    <cellStyle name="Примечание 9 5" xfId="14695"/>
    <cellStyle name="Процент_11п" xfId="14696"/>
    <cellStyle name="Процентный" xfId="2" builtinId="5" hidden="1"/>
    <cellStyle name="Процентный" xfId="284" builtinId="5" hidden="1"/>
    <cellStyle name="Процентный" xfId="540" builtinId="5" hidden="1"/>
    <cellStyle name="Процентный 10" xfId="17379"/>
    <cellStyle name="Процентный 11" xfId="18175"/>
    <cellStyle name="Процентный 12" xfId="24615"/>
    <cellStyle name="Процентный 13" xfId="28272"/>
    <cellStyle name="Процентный 14" xfId="20954"/>
    <cellStyle name="Процентный 2" xfId="89" hidden="1"/>
    <cellStyle name="Процентный 2" xfId="180" hidden="1"/>
    <cellStyle name="Процентный 2" xfId="204" hidden="1"/>
    <cellStyle name="Процентный 2" xfId="213" hidden="1"/>
    <cellStyle name="Процентный 2" xfId="203" hidden="1"/>
    <cellStyle name="Процентный 2" xfId="223" hidden="1"/>
    <cellStyle name="Процентный 2" xfId="237" hidden="1"/>
    <cellStyle name="Процентный 2" xfId="245" hidden="1"/>
    <cellStyle name="Процентный 2" xfId="255" hidden="1"/>
    <cellStyle name="Процентный 2" xfId="264" hidden="1"/>
    <cellStyle name="Процентный 2" xfId="254" hidden="1"/>
    <cellStyle name="Процентный 2" xfId="274" hidden="1"/>
    <cellStyle name="Процентный 2" xfId="368" hidden="1"/>
    <cellStyle name="Процентный 2" xfId="455" hidden="1"/>
    <cellStyle name="Процентный 2" xfId="467" hidden="1"/>
    <cellStyle name="Процентный 2" xfId="476" hidden="1"/>
    <cellStyle name="Процентный 2" xfId="466" hidden="1"/>
    <cellStyle name="Процентный 2" xfId="486" hidden="1"/>
    <cellStyle name="Процентный 2" xfId="494" hidden="1"/>
    <cellStyle name="Процентный 2" xfId="502" hidden="1"/>
    <cellStyle name="Процентный 2" xfId="512" hidden="1"/>
    <cellStyle name="Процентный 2" xfId="521" hidden="1"/>
    <cellStyle name="Процентный 2" xfId="511" hidden="1"/>
    <cellStyle name="Процентный 2" xfId="531" hidden="1"/>
    <cellStyle name="Процентный 2" xfId="624" hidden="1"/>
    <cellStyle name="Процентный 2" xfId="711" hidden="1"/>
    <cellStyle name="Процентный 2" xfId="723" hidden="1"/>
    <cellStyle name="Процентный 2" xfId="732" hidden="1"/>
    <cellStyle name="Процентный 2" xfId="722" hidden="1"/>
    <cellStyle name="Процентный 2" xfId="742" hidden="1"/>
    <cellStyle name="Процентный 2" xfId="750" hidden="1"/>
    <cellStyle name="Процентный 2" xfId="758" hidden="1"/>
    <cellStyle name="Процентный 2" xfId="768" hidden="1"/>
    <cellStyle name="Процентный 2" xfId="777" hidden="1"/>
    <cellStyle name="Процентный 2" xfId="767" hidden="1"/>
    <cellStyle name="Процентный 2" xfId="787" hidden="1"/>
    <cellStyle name="Процентный 2" xfId="798" hidden="1"/>
    <cellStyle name="Процентный 2" xfId="806" hidden="1"/>
    <cellStyle name="Процентный 2" xfId="816" hidden="1"/>
    <cellStyle name="Процентный 2" xfId="825" hidden="1"/>
    <cellStyle name="Процентный 2" xfId="815" hidden="1"/>
    <cellStyle name="Процентный 2" xfId="835" hidden="1"/>
    <cellStyle name="Процентный 2" xfId="843" hidden="1"/>
    <cellStyle name="Процентный 2" xfId="851" hidden="1"/>
    <cellStyle name="Процентный 2" xfId="861" hidden="1"/>
    <cellStyle name="Процентный 2" xfId="870" hidden="1"/>
    <cellStyle name="Процентный 2" xfId="860" hidden="1"/>
    <cellStyle name="Процентный 2" xfId="880" hidden="1"/>
    <cellStyle name="Процентный 2" xfId="889" hidden="1"/>
    <cellStyle name="Процентный 2" xfId="897" hidden="1"/>
    <cellStyle name="Процентный 2" xfId="907" hidden="1"/>
    <cellStyle name="Процентный 2" xfId="916" hidden="1"/>
    <cellStyle name="Процентный 2" xfId="906" hidden="1"/>
    <cellStyle name="Процентный 2" xfId="926" hidden="1"/>
    <cellStyle name="Процентный 2" xfId="934" hidden="1"/>
    <cellStyle name="Процентный 2" xfId="942" hidden="1"/>
    <cellStyle name="Процентный 2" xfId="952" hidden="1"/>
    <cellStyle name="Процентный 2" xfId="961" hidden="1"/>
    <cellStyle name="Процентный 2" xfId="951" hidden="1"/>
    <cellStyle name="Процентный 2" xfId="971" hidden="1"/>
    <cellStyle name="Процентный 2" xfId="979" hidden="1"/>
    <cellStyle name="Процентный 2" xfId="987" hidden="1"/>
    <cellStyle name="Процентный 2" xfId="997" hidden="1"/>
    <cellStyle name="Процентный 2" xfId="1006" hidden="1"/>
    <cellStyle name="Процентный 2" xfId="996" hidden="1"/>
    <cellStyle name="Процентный 2" xfId="1016" hidden="1"/>
    <cellStyle name="Процентный 2" xfId="1024" hidden="1"/>
    <cellStyle name="Процентный 2" xfId="1032" hidden="1"/>
    <cellStyle name="Процентный 2" xfId="1042" hidden="1"/>
    <cellStyle name="Процентный 2" xfId="1051" hidden="1"/>
    <cellStyle name="Процентный 2" xfId="1041" hidden="1"/>
    <cellStyle name="Процентный 2" xfId="1061" hidden="1"/>
    <cellStyle name="Процентный 2" xfId="1147" hidden="1"/>
    <cellStyle name="Процентный 2" xfId="1169" hidden="1"/>
    <cellStyle name="Процентный 2" xfId="1191" hidden="1"/>
    <cellStyle name="Процентный 2" xfId="1200" hidden="1"/>
    <cellStyle name="Процентный 2" xfId="1190" hidden="1"/>
    <cellStyle name="Процентный 2" xfId="1210" hidden="1"/>
    <cellStyle name="Процентный 2" xfId="1221" hidden="1"/>
    <cellStyle name="Процентный 2" xfId="1229" hidden="1"/>
    <cellStyle name="Процентный 2" xfId="1239" hidden="1"/>
    <cellStyle name="Процентный 2" xfId="1248" hidden="1"/>
    <cellStyle name="Процентный 2" xfId="1238" hidden="1"/>
    <cellStyle name="Процентный 2" xfId="1258" hidden="1"/>
    <cellStyle name="Процентный 2" xfId="1306" hidden="1"/>
    <cellStyle name="Процентный 2" xfId="1371" hidden="1"/>
    <cellStyle name="Процентный 2" xfId="1381" hidden="1"/>
    <cellStyle name="Процентный 2" xfId="1390" hidden="1"/>
    <cellStyle name="Процентный 2" xfId="1380" hidden="1"/>
    <cellStyle name="Процентный 2" xfId="1400" hidden="1"/>
    <cellStyle name="Процентный 2" xfId="1408" hidden="1"/>
    <cellStyle name="Процентный 2" xfId="1416" hidden="1"/>
    <cellStyle name="Процентный 2" xfId="1426" hidden="1"/>
    <cellStyle name="Процентный 2" xfId="1435" hidden="1"/>
    <cellStyle name="Процентный 2" xfId="1425" hidden="1"/>
    <cellStyle name="Процентный 2" xfId="1445" hidden="1"/>
    <cellStyle name="Процентный 2" xfId="1504" hidden="1"/>
    <cellStyle name="Процентный 2" xfId="1547" hidden="1"/>
    <cellStyle name="Процентный 2" xfId="1558" hidden="1"/>
    <cellStyle name="Процентный 2" xfId="1567" hidden="1"/>
    <cellStyle name="Процентный 2" xfId="1557" hidden="1"/>
    <cellStyle name="Процентный 2" xfId="1577" hidden="1"/>
    <cellStyle name="Процентный 2" xfId="1585" hidden="1"/>
    <cellStyle name="Процентный 2" xfId="1593" hidden="1"/>
    <cellStyle name="Процентный 2" xfId="1603" hidden="1"/>
    <cellStyle name="Процентный 2" xfId="1612" hidden="1"/>
    <cellStyle name="Процентный 2" xfId="1602" hidden="1"/>
    <cellStyle name="Процентный 2" xfId="1622" hidden="1"/>
    <cellStyle name="Процентный 2" xfId="1631" hidden="1"/>
    <cellStyle name="Процентный 2" xfId="1639" hidden="1"/>
    <cellStyle name="Процентный 2" xfId="1649" hidden="1"/>
    <cellStyle name="Процентный 2" xfId="1658" hidden="1"/>
    <cellStyle name="Процентный 2" xfId="1648" hidden="1"/>
    <cellStyle name="Процентный 2" xfId="1668" hidden="1"/>
    <cellStyle name="Процентный 2" xfId="1676" hidden="1"/>
    <cellStyle name="Процентный 2" xfId="1684" hidden="1"/>
    <cellStyle name="Процентный 2" xfId="1694" hidden="1"/>
    <cellStyle name="Процентный 2" xfId="1703" hidden="1"/>
    <cellStyle name="Процентный 2" xfId="1693" hidden="1"/>
    <cellStyle name="Процентный 2" xfId="1713" hidden="1"/>
    <cellStyle name="Процентный 2" xfId="1722" hidden="1"/>
    <cellStyle name="Процентный 2" xfId="1730" hidden="1"/>
    <cellStyle name="Процентный 2" xfId="1740" hidden="1"/>
    <cellStyle name="Процентный 2" xfId="1749" hidden="1"/>
    <cellStyle name="Процентный 2" xfId="1739" hidden="1"/>
    <cellStyle name="Процентный 2" xfId="1759" hidden="1"/>
    <cellStyle name="Процентный 2" xfId="1767" hidden="1"/>
    <cellStyle name="Процентный 2" xfId="1775" hidden="1"/>
    <cellStyle name="Процентный 2" xfId="1785" hidden="1"/>
    <cellStyle name="Процентный 2" xfId="1794" hidden="1"/>
    <cellStyle name="Процентный 2" xfId="1784" hidden="1"/>
    <cellStyle name="Процентный 2" xfId="1804" hidden="1"/>
    <cellStyle name="Процентный 2" xfId="1812" hidden="1"/>
    <cellStyle name="Процентный 2" xfId="1820" hidden="1"/>
    <cellStyle name="Процентный 2" xfId="1830" hidden="1"/>
    <cellStyle name="Процентный 2" xfId="1839" hidden="1"/>
    <cellStyle name="Процентный 2" xfId="1829" hidden="1"/>
    <cellStyle name="Процентный 2" xfId="1849" hidden="1"/>
    <cellStyle name="Процентный 2" xfId="1857" hidden="1"/>
    <cellStyle name="Процентный 2" xfId="1865" hidden="1"/>
    <cellStyle name="Процентный 2" xfId="1875" hidden="1"/>
    <cellStyle name="Процентный 2" xfId="1884" hidden="1"/>
    <cellStyle name="Процентный 2" xfId="1874" hidden="1"/>
    <cellStyle name="Процентный 2" xfId="1894" hidden="1"/>
    <cellStyle name="Процентный 2" xfId="1501" hidden="1"/>
    <cellStyle name="Процентный 2" xfId="1368" hidden="1"/>
    <cellStyle name="Процентный 2" xfId="1353" hidden="1"/>
    <cellStyle name="Процентный 2" xfId="1344" hidden="1"/>
    <cellStyle name="Процентный 2" xfId="1354" hidden="1"/>
    <cellStyle name="Процентный 2" xfId="1334" hidden="1"/>
    <cellStyle name="Процентный 2" xfId="1322" hidden="1"/>
    <cellStyle name="Процентный 2" xfId="1313" hidden="1"/>
    <cellStyle name="Процентный 2" xfId="1297" hidden="1"/>
    <cellStyle name="Процентный 2" xfId="1288" hidden="1"/>
    <cellStyle name="Процентный 2" xfId="1298" hidden="1"/>
    <cellStyle name="Процентный 2" xfId="1278" hidden="1"/>
    <cellStyle name="Процентный 2" xfId="1160" hidden="1"/>
    <cellStyle name="Процентный 2" xfId="1117" hidden="1"/>
    <cellStyle name="Процентный 2" xfId="1105" hidden="1"/>
    <cellStyle name="Процентный 2" xfId="1096" hidden="1"/>
    <cellStyle name="Процентный 2" xfId="1106" hidden="1"/>
    <cellStyle name="Процентный 2" xfId="1086" hidden="1"/>
    <cellStyle name="Процентный 2" xfId="1078" hidden="1"/>
    <cellStyle name="Процентный 2" xfId="1905" hidden="1"/>
    <cellStyle name="Процентный 2" xfId="1915" hidden="1"/>
    <cellStyle name="Процентный 2" xfId="1924" hidden="1"/>
    <cellStyle name="Процентный 2" xfId="1914" hidden="1"/>
    <cellStyle name="Процентный 2" xfId="1934" hidden="1"/>
    <cellStyle name="Процентный 2" xfId="1948" hidden="1"/>
    <cellStyle name="Процентный 2" xfId="1956" hidden="1"/>
    <cellStyle name="Процентный 2" xfId="1966" hidden="1"/>
    <cellStyle name="Процентный 2" xfId="1975" hidden="1"/>
    <cellStyle name="Процентный 2" xfId="1965" hidden="1"/>
    <cellStyle name="Процентный 2" xfId="1985" hidden="1"/>
    <cellStyle name="Процентный 2" xfId="1993" hidden="1"/>
    <cellStyle name="Процентный 2" xfId="2001" hidden="1"/>
    <cellStyle name="Процентный 2" xfId="2011" hidden="1"/>
    <cellStyle name="Процентный 2" xfId="2020" hidden="1"/>
    <cellStyle name="Процентный 2" xfId="2010" hidden="1"/>
    <cellStyle name="Процентный 2" xfId="2030" hidden="1"/>
    <cellStyle name="Процентный 2" xfId="2041" hidden="1"/>
    <cellStyle name="Процентный 2" xfId="2049" hidden="1"/>
    <cellStyle name="Процентный 2" xfId="2059" hidden="1"/>
    <cellStyle name="Процентный 2" xfId="2068" hidden="1"/>
    <cellStyle name="Процентный 2" xfId="2058" hidden="1"/>
    <cellStyle name="Процентный 2" xfId="2078" hidden="1"/>
    <cellStyle name="Процентный 2" xfId="2086" hidden="1"/>
    <cellStyle name="Процентный 2" xfId="2094" hidden="1"/>
    <cellStyle name="Процентный 2" xfId="2104" hidden="1"/>
    <cellStyle name="Процентный 2" xfId="2113" hidden="1"/>
    <cellStyle name="Процентный 2" xfId="2103" hidden="1"/>
    <cellStyle name="Процентный 2" xfId="2123" hidden="1"/>
    <cellStyle name="Процентный 2" xfId="2132" hidden="1"/>
    <cellStyle name="Процентный 2" xfId="2140" hidden="1"/>
    <cellStyle name="Процентный 2" xfId="2150" hidden="1"/>
    <cellStyle name="Процентный 2" xfId="2159" hidden="1"/>
    <cellStyle name="Процентный 2" xfId="2149" hidden="1"/>
    <cellStyle name="Процентный 2" xfId="2169" hidden="1"/>
    <cellStyle name="Процентный 2" xfId="2177" hidden="1"/>
    <cellStyle name="Процентный 2" xfId="2185" hidden="1"/>
    <cellStyle name="Процентный 2" xfId="2195" hidden="1"/>
    <cellStyle name="Процентный 2" xfId="2204" hidden="1"/>
    <cellStyle name="Процентный 2" xfId="2194" hidden="1"/>
    <cellStyle name="Процентный 2" xfId="2214" hidden="1"/>
    <cellStyle name="Процентный 2" xfId="2221" hidden="1"/>
    <cellStyle name="Процентный 2" xfId="2229" hidden="1"/>
    <cellStyle name="Процентный 2" xfId="2239" hidden="1"/>
    <cellStyle name="Процентный 2" xfId="2248" hidden="1"/>
    <cellStyle name="Процентный 2" xfId="2238" hidden="1"/>
    <cellStyle name="Процентный 2" xfId="2258" hidden="1"/>
    <cellStyle name="Процентный 2" xfId="2266" hidden="1"/>
    <cellStyle name="Процентный 2" xfId="2274" hidden="1"/>
    <cellStyle name="Процентный 2" xfId="2283" hidden="1"/>
    <cellStyle name="Процентный 2" xfId="2292" hidden="1"/>
    <cellStyle name="Процентный 2" xfId="2282" hidden="1"/>
    <cellStyle name="Процентный 2" xfId="2302" hidden="1"/>
    <cellStyle name="Процентный 2" xfId="1947" hidden="1"/>
    <cellStyle name="Процентный 2" xfId="1544" hidden="1"/>
    <cellStyle name="Процентный 2" xfId="1535" hidden="1"/>
    <cellStyle name="Процентный 2" xfId="1526" hidden="1"/>
    <cellStyle name="Процентный 2" xfId="1536" hidden="1"/>
    <cellStyle name="Процентный 2" xfId="1516" hidden="1"/>
    <cellStyle name="Процентный 2" xfId="1503" hidden="1"/>
    <cellStyle name="Процентный 2" xfId="1488" hidden="1"/>
    <cellStyle name="Процентный 2" xfId="1479" hidden="1"/>
    <cellStyle name="Процентный 2" xfId="1470" hidden="1"/>
    <cellStyle name="Процентный 2" xfId="1480" hidden="1"/>
    <cellStyle name="Процентный 2" xfId="1460" hidden="1"/>
    <cellStyle name="Процентный 2" xfId="1268" hidden="1"/>
    <cellStyle name="Процентный 2" xfId="1145" hidden="1"/>
    <cellStyle name="Процентный 2" xfId="1136" hidden="1"/>
    <cellStyle name="Процентный 2" xfId="1127" hidden="1"/>
    <cellStyle name="Процентный 2" xfId="1137" hidden="1"/>
    <cellStyle name="Процентный 2" xfId="1110" hidden="1"/>
    <cellStyle name="Процентный 2" xfId="1271" hidden="1"/>
    <cellStyle name="Процентный 2" xfId="2055" hidden="1"/>
    <cellStyle name="Процентный 2" xfId="1301" hidden="1"/>
    <cellStyle name="Процентный 2" xfId="2220" hidden="1"/>
    <cellStyle name="Процентный 2" xfId="1911" hidden="1"/>
    <cellStyle name="Процентный 2" xfId="1358" hidden="1"/>
    <cellStyle name="Процентный 2" xfId="2310" hidden="1"/>
    <cellStyle name="Процентный 2" xfId="2318" hidden="1"/>
    <cellStyle name="Процентный 2" xfId="2327" hidden="1"/>
    <cellStyle name="Процентный 2" xfId="2336" hidden="1"/>
    <cellStyle name="Процентный 2" xfId="2326" hidden="1"/>
    <cellStyle name="Процентный 2" xfId="2346" hidden="1"/>
    <cellStyle name="Процентный 2" xfId="2352" hidden="1"/>
    <cellStyle name="Процентный 2" xfId="2360" hidden="1"/>
    <cellStyle name="Процентный 2" xfId="2369" hidden="1"/>
    <cellStyle name="Процентный 2" xfId="2378" hidden="1"/>
    <cellStyle name="Процентный 2" xfId="2368" hidden="1"/>
    <cellStyle name="Процентный 2" xfId="2388" hidden="1"/>
    <cellStyle name="Процентный 2" xfId="2394" hidden="1"/>
    <cellStyle name="Процентный 2" xfId="2402" hidden="1"/>
    <cellStyle name="Процентный 2" xfId="2411" hidden="1"/>
    <cellStyle name="Процентный 2" xfId="2420" hidden="1"/>
    <cellStyle name="Процентный 2" xfId="2410" hidden="1"/>
    <cellStyle name="Процентный 2" xfId="2430" hidden="1"/>
    <cellStyle name="Процентный 2" xfId="2436" hidden="1"/>
    <cellStyle name="Процентный 2" xfId="2444" hidden="1"/>
    <cellStyle name="Процентный 2" xfId="2453" hidden="1"/>
    <cellStyle name="Процентный 2" xfId="2462" hidden="1"/>
    <cellStyle name="Процентный 2" xfId="2452" hidden="1"/>
    <cellStyle name="Процентный 2" xfId="2472" hidden="1"/>
    <cellStyle name="Процентный 2" xfId="2479" hidden="1"/>
    <cellStyle name="Процентный 2" xfId="2487" hidden="1"/>
    <cellStyle name="Процентный 2" xfId="2496" hidden="1"/>
    <cellStyle name="Процентный 2" xfId="2505" hidden="1"/>
    <cellStyle name="Процентный 2" xfId="2495" hidden="1"/>
    <cellStyle name="Процентный 2" xfId="2515" hidden="1"/>
    <cellStyle name="Процентный 2" xfId="2521" hidden="1"/>
    <cellStyle name="Процентный 2" xfId="2529" hidden="1"/>
    <cellStyle name="Процентный 2" xfId="2538" hidden="1"/>
    <cellStyle name="Процентный 2" xfId="2547" hidden="1"/>
    <cellStyle name="Процентный 2" xfId="2537" hidden="1"/>
    <cellStyle name="Процентный 2" xfId="2557" hidden="1"/>
    <cellStyle name="Процентный 2" xfId="2563" hidden="1"/>
    <cellStyle name="Процентный 2" xfId="2571" hidden="1"/>
    <cellStyle name="Процентный 2" xfId="2580" hidden="1"/>
    <cellStyle name="Процентный 2" xfId="2589" hidden="1"/>
    <cellStyle name="Процентный 2" xfId="2579" hidden="1"/>
    <cellStyle name="Процентный 2" xfId="2599" hidden="1"/>
    <cellStyle name="Процентный 2" xfId="2605" hidden="1"/>
    <cellStyle name="Процентный 2" xfId="2613" hidden="1"/>
    <cellStyle name="Процентный 2" xfId="2622" hidden="1"/>
    <cellStyle name="Процентный 2" xfId="2631" hidden="1"/>
    <cellStyle name="Процентный 2" xfId="2621" hidden="1"/>
    <cellStyle name="Процентный 2" xfId="2641" hidden="1"/>
    <cellStyle name="Процентный 2" xfId="2699" hidden="1"/>
    <cellStyle name="Процентный 2" xfId="2717" hidden="1"/>
    <cellStyle name="Процентный 2" xfId="2729" hidden="1"/>
    <cellStyle name="Процентный 2" xfId="2738" hidden="1"/>
    <cellStyle name="Процентный 2" xfId="2728" hidden="1"/>
    <cellStyle name="Процентный 2" xfId="2748" hidden="1"/>
    <cellStyle name="Процентный 2" xfId="2754" hidden="1"/>
    <cellStyle name="Процентный 2" xfId="2762" hidden="1"/>
    <cellStyle name="Процентный 2" xfId="2771" hidden="1"/>
    <cellStyle name="Процентный 2" xfId="2780" hidden="1"/>
    <cellStyle name="Процентный 2" xfId="2770" hidden="1"/>
    <cellStyle name="Процентный 2" xfId="2790" hidden="1"/>
    <cellStyle name="Процентный 2" xfId="2835" hidden="1"/>
    <cellStyle name="Процентный 2" xfId="2900" hidden="1"/>
    <cellStyle name="Процентный 2" xfId="2909" hidden="1"/>
    <cellStyle name="Процентный 2" xfId="2918" hidden="1"/>
    <cellStyle name="Процентный 2" xfId="2908" hidden="1"/>
    <cellStyle name="Процентный 2" xfId="2928" hidden="1"/>
    <cellStyle name="Процентный 2" xfId="2934" hidden="1"/>
    <cellStyle name="Процентный 2" xfId="2942" hidden="1"/>
    <cellStyle name="Процентный 2" xfId="2951" hidden="1"/>
    <cellStyle name="Процентный 2" xfId="2960" hidden="1"/>
    <cellStyle name="Процентный 2" xfId="2950" hidden="1"/>
    <cellStyle name="Процентный 2" xfId="2970" hidden="1"/>
    <cellStyle name="Процентный 2" xfId="3026" hidden="1"/>
    <cellStyle name="Процентный 2" xfId="3069" hidden="1"/>
    <cellStyle name="Процентный 2" xfId="3079" hidden="1"/>
    <cellStyle name="Процентный 2" xfId="3088" hidden="1"/>
    <cellStyle name="Процентный 2" xfId="3078" hidden="1"/>
    <cellStyle name="Процентный 2" xfId="3098" hidden="1"/>
    <cellStyle name="Процентный 2" xfId="3104" hidden="1"/>
    <cellStyle name="Процентный 2" xfId="3112" hidden="1"/>
    <cellStyle name="Процентный 2" xfId="3121" hidden="1"/>
    <cellStyle name="Процентный 2" xfId="3130" hidden="1"/>
    <cellStyle name="Процентный 2" xfId="3120" hidden="1"/>
    <cellStyle name="Процентный 2" xfId="3140" hidden="1"/>
    <cellStyle name="Процентный 2" xfId="3146" hidden="1"/>
    <cellStyle name="Процентный 2" xfId="3154" hidden="1"/>
    <cellStyle name="Процентный 2" xfId="3163" hidden="1"/>
    <cellStyle name="Процентный 2" xfId="3172" hidden="1"/>
    <cellStyle name="Процентный 2" xfId="3162" hidden="1"/>
    <cellStyle name="Процентный 2" xfId="3182" hidden="1"/>
    <cellStyle name="Процентный 2" xfId="3188" hidden="1"/>
    <cellStyle name="Процентный 2" xfId="3196" hidden="1"/>
    <cellStyle name="Процентный 2" xfId="3205" hidden="1"/>
    <cellStyle name="Процентный 2" xfId="3214" hidden="1"/>
    <cellStyle name="Процентный 2" xfId="3204" hidden="1"/>
    <cellStyle name="Процентный 2" xfId="3224" hidden="1"/>
    <cellStyle name="Процентный 2" xfId="3231" hidden="1"/>
    <cellStyle name="Процентный 2" xfId="3239" hidden="1"/>
    <cellStyle name="Процентный 2" xfId="3248" hidden="1"/>
    <cellStyle name="Процентный 2" xfId="3257" hidden="1"/>
    <cellStyle name="Процентный 2" xfId="3247" hidden="1"/>
    <cellStyle name="Процентный 2" xfId="3267" hidden="1"/>
    <cellStyle name="Процентный 2" xfId="3273" hidden="1"/>
    <cellStyle name="Процентный 2" xfId="3281" hidden="1"/>
    <cellStyle name="Процентный 2" xfId="3290" hidden="1"/>
    <cellStyle name="Процентный 2" xfId="3299" hidden="1"/>
    <cellStyle name="Процентный 2" xfId="3289" hidden="1"/>
    <cellStyle name="Процентный 2" xfId="3309" hidden="1"/>
    <cellStyle name="Процентный 2" xfId="3315" hidden="1"/>
    <cellStyle name="Процентный 2" xfId="3323" hidden="1"/>
    <cellStyle name="Процентный 2" xfId="3332" hidden="1"/>
    <cellStyle name="Процентный 2" xfId="3341" hidden="1"/>
    <cellStyle name="Процентный 2" xfId="3331" hidden="1"/>
    <cellStyle name="Процентный 2" xfId="3351" hidden="1"/>
    <cellStyle name="Процентный 2" xfId="3357" hidden="1"/>
    <cellStyle name="Процентный 2" xfId="3365" hidden="1"/>
    <cellStyle name="Процентный 2" xfId="3374" hidden="1"/>
    <cellStyle name="Процентный 2" xfId="3383" hidden="1"/>
    <cellStyle name="Процентный 2" xfId="3373" hidden="1"/>
    <cellStyle name="Процентный 2" xfId="3393" hidden="1"/>
    <cellStyle name="Процентный 2" xfId="3023" hidden="1"/>
    <cellStyle name="Процентный 2" xfId="2897" hidden="1"/>
    <cellStyle name="Процентный 2" xfId="2882" hidden="1"/>
    <cellStyle name="Процентный 2" xfId="2873" hidden="1"/>
    <cellStyle name="Процентный 2" xfId="2883" hidden="1"/>
    <cellStyle name="Процентный 2" xfId="2863" hidden="1"/>
    <cellStyle name="Процентный 2" xfId="2851" hidden="1"/>
    <cellStyle name="Процентный 2" xfId="2842" hidden="1"/>
    <cellStyle name="Процентный 2" xfId="2826" hidden="1"/>
    <cellStyle name="Процентный 2" xfId="2817" hidden="1"/>
    <cellStyle name="Процентный 2" xfId="2827" hidden="1"/>
    <cellStyle name="Процентный 2" xfId="2807" hidden="1"/>
    <cellStyle name="Процентный 2" xfId="2712" hidden="1"/>
    <cellStyle name="Процентный 2" xfId="2669" hidden="1"/>
    <cellStyle name="Процентный 2" xfId="2657" hidden="1"/>
    <cellStyle name="Процентный 2" xfId="2648" hidden="1"/>
    <cellStyle name="Процентный 2" xfId="2658" hidden="1"/>
    <cellStyle name="Процентный 2" xfId="1074" hidden="1"/>
    <cellStyle name="Процентный 2" xfId="1177" hidden="1"/>
    <cellStyle name="Процентный 2" xfId="3402" hidden="1"/>
    <cellStyle name="Процентный 2" xfId="3412" hidden="1"/>
    <cellStyle name="Процентный 2" xfId="3421" hidden="1"/>
    <cellStyle name="Процентный 2" xfId="3411" hidden="1"/>
    <cellStyle name="Процентный 2" xfId="3431" hidden="1"/>
    <cellStyle name="Процентный 2" xfId="3445" hidden="1"/>
    <cellStyle name="Процентный 2" xfId="3453" hidden="1"/>
    <cellStyle name="Процентный 2" xfId="3463" hidden="1"/>
    <cellStyle name="Процентный 2" xfId="3472" hidden="1"/>
    <cellStyle name="Процентный 2" xfId="3462" hidden="1"/>
    <cellStyle name="Процентный 2" xfId="3482" hidden="1"/>
    <cellStyle name="Процентный 2" xfId="3490" hidden="1"/>
    <cellStyle name="Процентный 2" xfId="3498" hidden="1"/>
    <cellStyle name="Процентный 2" xfId="3508" hidden="1"/>
    <cellStyle name="Процентный 2" xfId="3517" hidden="1"/>
    <cellStyle name="Процентный 2" xfId="3507" hidden="1"/>
    <cellStyle name="Процентный 2" xfId="3527" hidden="1"/>
    <cellStyle name="Процентный 2" xfId="3538" hidden="1"/>
    <cellStyle name="Процентный 2" xfId="3546" hidden="1"/>
    <cellStyle name="Процентный 2" xfId="3556" hidden="1"/>
    <cellStyle name="Процентный 2" xfId="3565" hidden="1"/>
    <cellStyle name="Процентный 2" xfId="3555" hidden="1"/>
    <cellStyle name="Процентный 2" xfId="3575" hidden="1"/>
    <cellStyle name="Процентный 2" xfId="3583" hidden="1"/>
    <cellStyle name="Процентный 2" xfId="3591" hidden="1"/>
    <cellStyle name="Процентный 2" xfId="3601" hidden="1"/>
    <cellStyle name="Процентный 2" xfId="3610" hidden="1"/>
    <cellStyle name="Процентный 2" xfId="3600" hidden="1"/>
    <cellStyle name="Процентный 2" xfId="3620" hidden="1"/>
    <cellStyle name="Процентный 2" xfId="3629" hidden="1"/>
    <cellStyle name="Процентный 2" xfId="3637" hidden="1"/>
    <cellStyle name="Процентный 2" xfId="3647" hidden="1"/>
    <cellStyle name="Процентный 2" xfId="3656" hidden="1"/>
    <cellStyle name="Процентный 2" xfId="3646" hidden="1"/>
    <cellStyle name="Процентный 2" xfId="3666" hidden="1"/>
    <cellStyle name="Процентный 2" xfId="3674" hidden="1"/>
    <cellStyle name="Процентный 2" xfId="3682" hidden="1"/>
    <cellStyle name="Процентный 2" xfId="3692" hidden="1"/>
    <cellStyle name="Процентный 2" xfId="3701" hidden="1"/>
    <cellStyle name="Процентный 2" xfId="3691" hidden="1"/>
    <cellStyle name="Процентный 2" xfId="3711" hidden="1"/>
    <cellStyle name="Процентный 2" xfId="3718" hidden="1"/>
    <cellStyle name="Процентный 2" xfId="3726" hidden="1"/>
    <cellStyle name="Процентный 2" xfId="3736" hidden="1"/>
    <cellStyle name="Процентный 2" xfId="3745" hidden="1"/>
    <cellStyle name="Процентный 2" xfId="3735" hidden="1"/>
    <cellStyle name="Процентный 2" xfId="3755" hidden="1"/>
    <cellStyle name="Процентный 2" xfId="3763" hidden="1"/>
    <cellStyle name="Процентный 2" xfId="3771" hidden="1"/>
    <cellStyle name="Процентный 2" xfId="3780" hidden="1"/>
    <cellStyle name="Процентный 2" xfId="3789" hidden="1"/>
    <cellStyle name="Процентный 2" xfId="3779" hidden="1"/>
    <cellStyle name="Процентный 2" xfId="3799" hidden="1"/>
    <cellStyle name="Процентный 2" xfId="3444" hidden="1"/>
    <cellStyle name="Процентный 2" xfId="3066" hidden="1"/>
    <cellStyle name="Процентный 2" xfId="3057" hidden="1"/>
    <cellStyle name="Процентный 2" xfId="3048" hidden="1"/>
    <cellStyle name="Процентный 2" xfId="3058" hidden="1"/>
    <cellStyle name="Процентный 2" xfId="3038" hidden="1"/>
    <cellStyle name="Процентный 2" xfId="3025" hidden="1"/>
    <cellStyle name="Процентный 2" xfId="3010" hidden="1"/>
    <cellStyle name="Процентный 2" xfId="3001" hidden="1"/>
    <cellStyle name="Процентный 2" xfId="2992" hidden="1"/>
    <cellStyle name="Процентный 2" xfId="3002" hidden="1"/>
    <cellStyle name="Процентный 2" xfId="2982" hidden="1"/>
    <cellStyle name="Процентный 2" xfId="2797" hidden="1"/>
    <cellStyle name="Процентный 2" xfId="2697" hidden="1"/>
    <cellStyle name="Процентный 2" xfId="2688" hidden="1"/>
    <cellStyle name="Процентный 2" xfId="2679" hidden="1"/>
    <cellStyle name="Процентный 2" xfId="2689" hidden="1"/>
    <cellStyle name="Процентный 2" xfId="2662" hidden="1"/>
    <cellStyle name="Процентный 2" xfId="2800" hidden="1"/>
    <cellStyle name="Процентный 2" xfId="3552" hidden="1"/>
    <cellStyle name="Процентный 2" xfId="2830" hidden="1"/>
    <cellStyle name="Процентный 2" xfId="3717" hidden="1"/>
    <cellStyle name="Процентный 2" xfId="3408" hidden="1"/>
    <cellStyle name="Процентный 2" xfId="2887" hidden="1"/>
    <cellStyle name="Процентный 2" xfId="3807" hidden="1"/>
    <cellStyle name="Процентный 2" xfId="3815" hidden="1"/>
    <cellStyle name="Процентный 2" xfId="3824" hidden="1"/>
    <cellStyle name="Процентный 2" xfId="3833" hidden="1"/>
    <cellStyle name="Процентный 2" xfId="3823" hidden="1"/>
    <cellStyle name="Процентный 2" xfId="3843" hidden="1"/>
    <cellStyle name="Процентный 2" xfId="3849" hidden="1"/>
    <cellStyle name="Процентный 2" xfId="3857" hidden="1"/>
    <cellStyle name="Процентный 2" xfId="3866" hidden="1"/>
    <cellStyle name="Процентный 2" xfId="3875" hidden="1"/>
    <cellStyle name="Процентный 2" xfId="3865" hidden="1"/>
    <cellStyle name="Процентный 2" xfId="3885" hidden="1"/>
    <cellStyle name="Процентный 2" xfId="3891" hidden="1"/>
    <cellStyle name="Процентный 2" xfId="3899" hidden="1"/>
    <cellStyle name="Процентный 2" xfId="3908" hidden="1"/>
    <cellStyle name="Процентный 2" xfId="3917" hidden="1"/>
    <cellStyle name="Процентный 2" xfId="3907" hidden="1"/>
    <cellStyle name="Процентный 2" xfId="3927" hidden="1"/>
    <cellStyle name="Процентный 2" xfId="3933" hidden="1"/>
    <cellStyle name="Процентный 2" xfId="3941" hidden="1"/>
    <cellStyle name="Процентный 2" xfId="3950" hidden="1"/>
    <cellStyle name="Процентный 2" xfId="3959" hidden="1"/>
    <cellStyle name="Процентный 2" xfId="3949" hidden="1"/>
    <cellStyle name="Процентный 2" xfId="3969" hidden="1"/>
    <cellStyle name="Процентный 2" xfId="3976" hidden="1"/>
    <cellStyle name="Процентный 2" xfId="3984" hidden="1"/>
    <cellStyle name="Процентный 2" xfId="3993" hidden="1"/>
    <cellStyle name="Процентный 2" xfId="4002" hidden="1"/>
    <cellStyle name="Процентный 2" xfId="3992" hidden="1"/>
    <cellStyle name="Процентный 2" xfId="4012" hidden="1"/>
    <cellStyle name="Процентный 2" xfId="4018" hidden="1"/>
    <cellStyle name="Процентный 2" xfId="4026" hidden="1"/>
    <cellStyle name="Процентный 2" xfId="4035" hidden="1"/>
    <cellStyle name="Процентный 2" xfId="4044" hidden="1"/>
    <cellStyle name="Процентный 2" xfId="4034" hidden="1"/>
    <cellStyle name="Процентный 2" xfId="4054" hidden="1"/>
    <cellStyle name="Процентный 2" xfId="4060" hidden="1"/>
    <cellStyle name="Процентный 2" xfId="4068" hidden="1"/>
    <cellStyle name="Процентный 2" xfId="4077" hidden="1"/>
    <cellStyle name="Процентный 2" xfId="4086" hidden="1"/>
    <cellStyle name="Процентный 2" xfId="4076" hidden="1"/>
    <cellStyle name="Процентный 2" xfId="4096" hidden="1"/>
    <cellStyle name="Процентный 2" xfId="4102" hidden="1"/>
    <cellStyle name="Процентный 2" xfId="4110" hidden="1"/>
    <cellStyle name="Процентный 2" xfId="4119" hidden="1"/>
    <cellStyle name="Процентный 2" xfId="4128" hidden="1"/>
    <cellStyle name="Процентный 2" xfId="4118" hidden="1"/>
    <cellStyle name="Процентный 2" xfId="4138" hidden="1"/>
    <cellStyle name="Процентный 2" xfId="4227" hidden="1"/>
    <cellStyle name="Процентный 2" xfId="4236" hidden="1"/>
    <cellStyle name="Процентный 2" xfId="4249" hidden="1"/>
    <cellStyle name="Процентный 2" xfId="4258" hidden="1"/>
    <cellStyle name="Процентный 2" xfId="4248" hidden="1"/>
    <cellStyle name="Процентный 2" xfId="4268" hidden="1"/>
    <cellStyle name="Процентный 2" xfId="4277" hidden="1"/>
    <cellStyle name="Процентный 2" xfId="4285" hidden="1"/>
    <cellStyle name="Процентный 2" xfId="4295" hidden="1"/>
    <cellStyle name="Процентный 2" xfId="4304" hidden="1"/>
    <cellStyle name="Процентный 2" xfId="4294" hidden="1"/>
    <cellStyle name="Процентный 2" xfId="4314" hidden="1"/>
    <cellStyle name="Процентный 2" xfId="4323" hidden="1"/>
    <cellStyle name="Процентный 2" xfId="4331" hidden="1"/>
    <cellStyle name="Процентный 2" xfId="4341" hidden="1"/>
    <cellStyle name="Процентный 2" xfId="4350" hidden="1"/>
    <cellStyle name="Процентный 2" xfId="4340" hidden="1"/>
    <cellStyle name="Процентный 2" xfId="4360" hidden="1"/>
    <cellStyle name="Процентный 2" xfId="4368" hidden="1"/>
    <cellStyle name="Процентный 2" xfId="4376" hidden="1"/>
    <cellStyle name="Процентный 2" xfId="4386" hidden="1"/>
    <cellStyle name="Процентный 2" xfId="4395" hidden="1"/>
    <cellStyle name="Процентный 2" xfId="4385" hidden="1"/>
    <cellStyle name="Процентный 2" xfId="4405" hidden="1"/>
    <cellStyle name="Процентный 2" xfId="4413" hidden="1"/>
    <cellStyle name="Процентный 2" xfId="4421" hidden="1"/>
    <cellStyle name="Процентный 2" xfId="4431" hidden="1"/>
    <cellStyle name="Процентный 2" xfId="4440" hidden="1"/>
    <cellStyle name="Процентный 2" xfId="4430" hidden="1"/>
    <cellStyle name="Процентный 2" xfId="4450" hidden="1"/>
    <cellStyle name="Процентный 2" xfId="4458" hidden="1"/>
    <cellStyle name="Процентный 2" xfId="4466" hidden="1"/>
    <cellStyle name="Процентный 2" xfId="4476" hidden="1"/>
    <cellStyle name="Процентный 2" xfId="4485" hidden="1"/>
    <cellStyle name="Процентный 2" xfId="4475" hidden="1"/>
    <cellStyle name="Процентный 2" xfId="4495" hidden="1"/>
    <cellStyle name="Процентный 2" xfId="4505" hidden="1"/>
    <cellStyle name="Процентный 2" xfId="4513" hidden="1"/>
    <cellStyle name="Процентный 2" xfId="4523" hidden="1"/>
    <cellStyle name="Процентный 2" xfId="4532" hidden="1"/>
    <cellStyle name="Процентный 2" xfId="4522" hidden="1"/>
    <cellStyle name="Процентный 2" xfId="4542" hidden="1"/>
    <cellStyle name="Процентный 2" xfId="4550" hidden="1"/>
    <cellStyle name="Процентный 2" xfId="4558" hidden="1"/>
    <cellStyle name="Процентный 2" xfId="4568" hidden="1"/>
    <cellStyle name="Процентный 2" xfId="4577" hidden="1"/>
    <cellStyle name="Процентный 2" xfId="4567" hidden="1"/>
    <cellStyle name="Процентный 2" xfId="4587" hidden="1"/>
    <cellStyle name="Процентный 2" xfId="4596" hidden="1"/>
    <cellStyle name="Процентный 2" xfId="4604" hidden="1"/>
    <cellStyle name="Процентный 2" xfId="4614" hidden="1"/>
    <cellStyle name="Процентный 2" xfId="4623" hidden="1"/>
    <cellStyle name="Процентный 2" xfId="4613" hidden="1"/>
    <cellStyle name="Процентный 2" xfId="4633" hidden="1"/>
    <cellStyle name="Процентный 2" xfId="4641" hidden="1"/>
    <cellStyle name="Процентный 2" xfId="4649" hidden="1"/>
    <cellStyle name="Процентный 2" xfId="4659" hidden="1"/>
    <cellStyle name="Процентный 2" xfId="4668" hidden="1"/>
    <cellStyle name="Процентный 2" xfId="4658" hidden="1"/>
    <cellStyle name="Процентный 2" xfId="4678" hidden="1"/>
    <cellStyle name="Процентный 2" xfId="4686" hidden="1"/>
    <cellStyle name="Процентный 2" xfId="4694" hidden="1"/>
    <cellStyle name="Процентный 2" xfId="4704" hidden="1"/>
    <cellStyle name="Процентный 2" xfId="4713" hidden="1"/>
    <cellStyle name="Процентный 2" xfId="4703" hidden="1"/>
    <cellStyle name="Процентный 2" xfId="4723" hidden="1"/>
    <cellStyle name="Процентный 2" xfId="4731" hidden="1"/>
    <cellStyle name="Процентный 2" xfId="4739" hidden="1"/>
    <cellStyle name="Процентный 2" xfId="4749" hidden="1"/>
    <cellStyle name="Процентный 2" xfId="4758" hidden="1"/>
    <cellStyle name="Процентный 2" xfId="4748" hidden="1"/>
    <cellStyle name="Процентный 2" xfId="4768" hidden="1"/>
    <cellStyle name="Процентный 2" xfId="4853" hidden="1"/>
    <cellStyle name="Процентный 2" xfId="4875" hidden="1"/>
    <cellStyle name="Процентный 2" xfId="4897" hidden="1"/>
    <cellStyle name="Процентный 2" xfId="4906" hidden="1"/>
    <cellStyle name="Процентный 2" xfId="4896" hidden="1"/>
    <cellStyle name="Процентный 2" xfId="4916" hidden="1"/>
    <cellStyle name="Процентный 2" xfId="4927" hidden="1"/>
    <cellStyle name="Процентный 2" xfId="4935" hidden="1"/>
    <cellStyle name="Процентный 2" xfId="4945" hidden="1"/>
    <cellStyle name="Процентный 2" xfId="4954" hidden="1"/>
    <cellStyle name="Процентный 2" xfId="4944" hidden="1"/>
    <cellStyle name="Процентный 2" xfId="4964" hidden="1"/>
    <cellStyle name="Процентный 2" xfId="5012" hidden="1"/>
    <cellStyle name="Процентный 2" xfId="5077" hidden="1"/>
    <cellStyle name="Процентный 2" xfId="5087" hidden="1"/>
    <cellStyle name="Процентный 2" xfId="5096" hidden="1"/>
    <cellStyle name="Процентный 2" xfId="5086" hidden="1"/>
    <cellStyle name="Процентный 2" xfId="5106" hidden="1"/>
    <cellStyle name="Процентный 2" xfId="5114" hidden="1"/>
    <cellStyle name="Процентный 2" xfId="5122" hidden="1"/>
    <cellStyle name="Процентный 2" xfId="5132" hidden="1"/>
    <cellStyle name="Процентный 2" xfId="5141" hidden="1"/>
    <cellStyle name="Процентный 2" xfId="5131" hidden="1"/>
    <cellStyle name="Процентный 2" xfId="5151" hidden="1"/>
    <cellStyle name="Процентный 2" xfId="5210" hidden="1"/>
    <cellStyle name="Процентный 2" xfId="5253" hidden="1"/>
    <cellStyle name="Процентный 2" xfId="5264" hidden="1"/>
    <cellStyle name="Процентный 2" xfId="5273" hidden="1"/>
    <cellStyle name="Процентный 2" xfId="5263" hidden="1"/>
    <cellStyle name="Процентный 2" xfId="5283" hidden="1"/>
    <cellStyle name="Процентный 2" xfId="5291" hidden="1"/>
    <cellStyle name="Процентный 2" xfId="5299" hidden="1"/>
    <cellStyle name="Процентный 2" xfId="5309" hidden="1"/>
    <cellStyle name="Процентный 2" xfId="5318" hidden="1"/>
    <cellStyle name="Процентный 2" xfId="5308" hidden="1"/>
    <cellStyle name="Процентный 2" xfId="5328" hidden="1"/>
    <cellStyle name="Процентный 2" xfId="5337" hidden="1"/>
    <cellStyle name="Процентный 2" xfId="5345" hidden="1"/>
    <cellStyle name="Процентный 2" xfId="5355" hidden="1"/>
    <cellStyle name="Процентный 2" xfId="5364" hidden="1"/>
    <cellStyle name="Процентный 2" xfId="5354" hidden="1"/>
    <cellStyle name="Процентный 2" xfId="5374" hidden="1"/>
    <cellStyle name="Процентный 2" xfId="5382" hidden="1"/>
    <cellStyle name="Процентный 2" xfId="5390" hidden="1"/>
    <cellStyle name="Процентный 2" xfId="5400" hidden="1"/>
    <cellStyle name="Процентный 2" xfId="5409" hidden="1"/>
    <cellStyle name="Процентный 2" xfId="5399" hidden="1"/>
    <cellStyle name="Процентный 2" xfId="5419" hidden="1"/>
    <cellStyle name="Процентный 2" xfId="5428" hidden="1"/>
    <cellStyle name="Процентный 2" xfId="5436" hidden="1"/>
    <cellStyle name="Процентный 2" xfId="5446" hidden="1"/>
    <cellStyle name="Процентный 2" xfId="5455" hidden="1"/>
    <cellStyle name="Процентный 2" xfId="5445" hidden="1"/>
    <cellStyle name="Процентный 2" xfId="5465" hidden="1"/>
    <cellStyle name="Процентный 2" xfId="5473" hidden="1"/>
    <cellStyle name="Процентный 2" xfId="5481" hidden="1"/>
    <cellStyle name="Процентный 2" xfId="5491" hidden="1"/>
    <cellStyle name="Процентный 2" xfId="5500" hidden="1"/>
    <cellStyle name="Процентный 2" xfId="5490" hidden="1"/>
    <cellStyle name="Процентный 2" xfId="5510" hidden="1"/>
    <cellStyle name="Процентный 2" xfId="5518" hidden="1"/>
    <cellStyle name="Процентный 2" xfId="5526" hidden="1"/>
    <cellStyle name="Процентный 2" xfId="5536" hidden="1"/>
    <cellStyle name="Процентный 2" xfId="5545" hidden="1"/>
    <cellStyle name="Процентный 2" xfId="5535" hidden="1"/>
    <cellStyle name="Процентный 2" xfId="5555" hidden="1"/>
    <cellStyle name="Процентный 2" xfId="5563" hidden="1"/>
    <cellStyle name="Процентный 2" xfId="5571" hidden="1"/>
    <cellStyle name="Процентный 2" xfId="5581" hidden="1"/>
    <cellStyle name="Процентный 2" xfId="5590" hidden="1"/>
    <cellStyle name="Процентный 2" xfId="5580" hidden="1"/>
    <cellStyle name="Процентный 2" xfId="5600" hidden="1"/>
    <cellStyle name="Процентный 2" xfId="5207" hidden="1"/>
    <cellStyle name="Процентный 2" xfId="5074" hidden="1"/>
    <cellStyle name="Процентный 2" xfId="5059" hidden="1"/>
    <cellStyle name="Процентный 2" xfId="5050" hidden="1"/>
    <cellStyle name="Процентный 2" xfId="5060" hidden="1"/>
    <cellStyle name="Процентный 2" xfId="5040" hidden="1"/>
    <cellStyle name="Процентный 2" xfId="5028" hidden="1"/>
    <cellStyle name="Процентный 2" xfId="5019" hidden="1"/>
    <cellStyle name="Процентный 2" xfId="5003" hidden="1"/>
    <cellStyle name="Процентный 2" xfId="4994" hidden="1"/>
    <cellStyle name="Процентный 2" xfId="5004" hidden="1"/>
    <cellStyle name="Процентный 2" xfId="4984" hidden="1"/>
    <cellStyle name="Процентный 2" xfId="4866" hidden="1"/>
    <cellStyle name="Процентный 2" xfId="4823" hidden="1"/>
    <cellStyle name="Процентный 2" xfId="4811" hidden="1"/>
    <cellStyle name="Процентный 2" xfId="4802" hidden="1"/>
    <cellStyle name="Процентный 2" xfId="4812" hidden="1"/>
    <cellStyle name="Процентный 2" xfId="4792" hidden="1"/>
    <cellStyle name="Процентный 2" xfId="4784" hidden="1"/>
    <cellStyle name="Процентный 2" xfId="5611" hidden="1"/>
    <cellStyle name="Процентный 2" xfId="5621" hidden="1"/>
    <cellStyle name="Процентный 2" xfId="5630" hidden="1"/>
    <cellStyle name="Процентный 2" xfId="5620" hidden="1"/>
    <cellStyle name="Процентный 2" xfId="5640" hidden="1"/>
    <cellStyle name="Процентный 2" xfId="5654" hidden="1"/>
    <cellStyle name="Процентный 2" xfId="5662" hidden="1"/>
    <cellStyle name="Процентный 2" xfId="5672" hidden="1"/>
    <cellStyle name="Процентный 2" xfId="5681" hidden="1"/>
    <cellStyle name="Процентный 2" xfId="5671" hidden="1"/>
    <cellStyle name="Процентный 2" xfId="5691" hidden="1"/>
    <cellStyle name="Процентный 2" xfId="5699" hidden="1"/>
    <cellStyle name="Процентный 2" xfId="5707" hidden="1"/>
    <cellStyle name="Процентный 2" xfId="5717" hidden="1"/>
    <cellStyle name="Процентный 2" xfId="5726" hidden="1"/>
    <cellStyle name="Процентный 2" xfId="5716" hidden="1"/>
    <cellStyle name="Процентный 2" xfId="5736" hidden="1"/>
    <cellStyle name="Процентный 2" xfId="5747" hidden="1"/>
    <cellStyle name="Процентный 2" xfId="5755" hidden="1"/>
    <cellStyle name="Процентный 2" xfId="5765" hidden="1"/>
    <cellStyle name="Процентный 2" xfId="5774" hidden="1"/>
    <cellStyle name="Процентный 2" xfId="5764" hidden="1"/>
    <cellStyle name="Процентный 2" xfId="5784" hidden="1"/>
    <cellStyle name="Процентный 2" xfId="5792" hidden="1"/>
    <cellStyle name="Процентный 2" xfId="5800" hidden="1"/>
    <cellStyle name="Процентный 2" xfId="5810" hidden="1"/>
    <cellStyle name="Процентный 2" xfId="5819" hidden="1"/>
    <cellStyle name="Процентный 2" xfId="5809" hidden="1"/>
    <cellStyle name="Процентный 2" xfId="5829" hidden="1"/>
    <cellStyle name="Процентный 2" xfId="5838" hidden="1"/>
    <cellStyle name="Процентный 2" xfId="5846" hidden="1"/>
    <cellStyle name="Процентный 2" xfId="5856" hidden="1"/>
    <cellStyle name="Процентный 2" xfId="5865" hidden="1"/>
    <cellStyle name="Процентный 2" xfId="5855" hidden="1"/>
    <cellStyle name="Процентный 2" xfId="5875" hidden="1"/>
    <cellStyle name="Процентный 2" xfId="5883" hidden="1"/>
    <cellStyle name="Процентный 2" xfId="5891" hidden="1"/>
    <cellStyle name="Процентный 2" xfId="5901" hidden="1"/>
    <cellStyle name="Процентный 2" xfId="5910" hidden="1"/>
    <cellStyle name="Процентный 2" xfId="5900" hidden="1"/>
    <cellStyle name="Процентный 2" xfId="5920" hidden="1"/>
    <cellStyle name="Процентный 2" xfId="5927" hidden="1"/>
    <cellStyle name="Процентный 2" xfId="5935" hidden="1"/>
    <cellStyle name="Процентный 2" xfId="5945" hidden="1"/>
    <cellStyle name="Процентный 2" xfId="5954" hidden="1"/>
    <cellStyle name="Процентный 2" xfId="5944" hidden="1"/>
    <cellStyle name="Процентный 2" xfId="5964" hidden="1"/>
    <cellStyle name="Процентный 2" xfId="5972" hidden="1"/>
    <cellStyle name="Процентный 2" xfId="5980" hidden="1"/>
    <cellStyle name="Процентный 2" xfId="5989" hidden="1"/>
    <cellStyle name="Процентный 2" xfId="5998" hidden="1"/>
    <cellStyle name="Процентный 2" xfId="5988" hidden="1"/>
    <cellStyle name="Процентный 2" xfId="6008" hidden="1"/>
    <cellStyle name="Процентный 2" xfId="5653" hidden="1"/>
    <cellStyle name="Процентный 2" xfId="5250" hidden="1"/>
    <cellStyle name="Процентный 2" xfId="5241" hidden="1"/>
    <cellStyle name="Процентный 2" xfId="5232" hidden="1"/>
    <cellStyle name="Процентный 2" xfId="5242" hidden="1"/>
    <cellStyle name="Процентный 2" xfId="5222" hidden="1"/>
    <cellStyle name="Процентный 2" xfId="5209" hidden="1"/>
    <cellStyle name="Процентный 2" xfId="5194" hidden="1"/>
    <cellStyle name="Процентный 2" xfId="5185" hidden="1"/>
    <cellStyle name="Процентный 2" xfId="5176" hidden="1"/>
    <cellStyle name="Процентный 2" xfId="5186" hidden="1"/>
    <cellStyle name="Процентный 2" xfId="5166" hidden="1"/>
    <cellStyle name="Процентный 2" xfId="4974" hidden="1"/>
    <cellStyle name="Процентный 2" xfId="4851" hidden="1"/>
    <cellStyle name="Процентный 2" xfId="4842" hidden="1"/>
    <cellStyle name="Процентный 2" xfId="4833" hidden="1"/>
    <cellStyle name="Процентный 2" xfId="4843" hidden="1"/>
    <cellStyle name="Процентный 2" xfId="4816" hidden="1"/>
    <cellStyle name="Процентный 2" xfId="4977" hidden="1"/>
    <cellStyle name="Процентный 2" xfId="5761" hidden="1"/>
    <cellStyle name="Процентный 2" xfId="5007" hidden="1"/>
    <cellStyle name="Процентный 2" xfId="5926" hidden="1"/>
    <cellStyle name="Процентный 2" xfId="5617" hidden="1"/>
    <cellStyle name="Процентный 2" xfId="5064" hidden="1"/>
    <cellStyle name="Процентный 2" xfId="6016" hidden="1"/>
    <cellStyle name="Процентный 2" xfId="6024" hidden="1"/>
    <cellStyle name="Процентный 2" xfId="6033" hidden="1"/>
    <cellStyle name="Процентный 2" xfId="6042" hidden="1"/>
    <cellStyle name="Процентный 2" xfId="6032" hidden="1"/>
    <cellStyle name="Процентный 2" xfId="6052" hidden="1"/>
    <cellStyle name="Процентный 2" xfId="6058" hidden="1"/>
    <cellStyle name="Процентный 2" xfId="6066" hidden="1"/>
    <cellStyle name="Процентный 2" xfId="6075" hidden="1"/>
    <cellStyle name="Процентный 2" xfId="6084" hidden="1"/>
    <cellStyle name="Процентный 2" xfId="6074" hidden="1"/>
    <cellStyle name="Процентный 2" xfId="6094" hidden="1"/>
    <cellStyle name="Процентный 2" xfId="6100" hidden="1"/>
    <cellStyle name="Процентный 2" xfId="6108" hidden="1"/>
    <cellStyle name="Процентный 2" xfId="6117" hidden="1"/>
    <cellStyle name="Процентный 2" xfId="6126" hidden="1"/>
    <cellStyle name="Процентный 2" xfId="6116" hidden="1"/>
    <cellStyle name="Процентный 2" xfId="6136" hidden="1"/>
    <cellStyle name="Процентный 2" xfId="6142" hidden="1"/>
    <cellStyle name="Процентный 2" xfId="6150" hidden="1"/>
    <cellStyle name="Процентный 2" xfId="6159" hidden="1"/>
    <cellStyle name="Процентный 2" xfId="6168" hidden="1"/>
    <cellStyle name="Процентный 2" xfId="6158" hidden="1"/>
    <cellStyle name="Процентный 2" xfId="6178" hidden="1"/>
    <cellStyle name="Процентный 2" xfId="6185" hidden="1"/>
    <cellStyle name="Процентный 2" xfId="6193" hidden="1"/>
    <cellStyle name="Процентный 2" xfId="6202" hidden="1"/>
    <cellStyle name="Процентный 2" xfId="6211" hidden="1"/>
    <cellStyle name="Процентный 2" xfId="6201" hidden="1"/>
    <cellStyle name="Процентный 2" xfId="6221" hidden="1"/>
    <cellStyle name="Процентный 2" xfId="6227" hidden="1"/>
    <cellStyle name="Процентный 2" xfId="6235" hidden="1"/>
    <cellStyle name="Процентный 2" xfId="6244" hidden="1"/>
    <cellStyle name="Процентный 2" xfId="6253" hidden="1"/>
    <cellStyle name="Процентный 2" xfId="6243" hidden="1"/>
    <cellStyle name="Процентный 2" xfId="6263" hidden="1"/>
    <cellStyle name="Процентный 2" xfId="6269" hidden="1"/>
    <cellStyle name="Процентный 2" xfId="6277" hidden="1"/>
    <cellStyle name="Процентный 2" xfId="6286" hidden="1"/>
    <cellStyle name="Процентный 2" xfId="6295" hidden="1"/>
    <cellStyle name="Процентный 2" xfId="6285" hidden="1"/>
    <cellStyle name="Процентный 2" xfId="6305" hidden="1"/>
    <cellStyle name="Процентный 2" xfId="6311" hidden="1"/>
    <cellStyle name="Процентный 2" xfId="6319" hidden="1"/>
    <cellStyle name="Процентный 2" xfId="6328" hidden="1"/>
    <cellStyle name="Процентный 2" xfId="6337" hidden="1"/>
    <cellStyle name="Процентный 2" xfId="6327" hidden="1"/>
    <cellStyle name="Процентный 2" xfId="6347" hidden="1"/>
    <cellStyle name="Процентный 2" xfId="6405" hidden="1"/>
    <cellStyle name="Процентный 2" xfId="6423" hidden="1"/>
    <cellStyle name="Процентный 2" xfId="6435" hidden="1"/>
    <cellStyle name="Процентный 2" xfId="6444" hidden="1"/>
    <cellStyle name="Процентный 2" xfId="6434" hidden="1"/>
    <cellStyle name="Процентный 2" xfId="6454" hidden="1"/>
    <cellStyle name="Процентный 2" xfId="6460" hidden="1"/>
    <cellStyle name="Процентный 2" xfId="6468" hidden="1"/>
    <cellStyle name="Процентный 2" xfId="6477" hidden="1"/>
    <cellStyle name="Процентный 2" xfId="6486" hidden="1"/>
    <cellStyle name="Процентный 2" xfId="6476" hidden="1"/>
    <cellStyle name="Процентный 2" xfId="6496" hidden="1"/>
    <cellStyle name="Процентный 2" xfId="6541" hidden="1"/>
    <cellStyle name="Процентный 2" xfId="6606" hidden="1"/>
    <cellStyle name="Процентный 2" xfId="6615" hidden="1"/>
    <cellStyle name="Процентный 2" xfId="6624" hidden="1"/>
    <cellStyle name="Процентный 2" xfId="6614" hidden="1"/>
    <cellStyle name="Процентный 2" xfId="6634" hidden="1"/>
    <cellStyle name="Процентный 2" xfId="6640" hidden="1"/>
    <cellStyle name="Процентный 2" xfId="6648" hidden="1"/>
    <cellStyle name="Процентный 2" xfId="6657" hidden="1"/>
    <cellStyle name="Процентный 2" xfId="6666" hidden="1"/>
    <cellStyle name="Процентный 2" xfId="6656" hidden="1"/>
    <cellStyle name="Процентный 2" xfId="6676" hidden="1"/>
    <cellStyle name="Процентный 2" xfId="6732" hidden="1"/>
    <cellStyle name="Процентный 2" xfId="6775" hidden="1"/>
    <cellStyle name="Процентный 2" xfId="6785" hidden="1"/>
    <cellStyle name="Процентный 2" xfId="6794" hidden="1"/>
    <cellStyle name="Процентный 2" xfId="6784" hidden="1"/>
    <cellStyle name="Процентный 2" xfId="6804" hidden="1"/>
    <cellStyle name="Процентный 2" xfId="6810" hidden="1"/>
    <cellStyle name="Процентный 2" xfId="6818" hidden="1"/>
    <cellStyle name="Процентный 2" xfId="6827" hidden="1"/>
    <cellStyle name="Процентный 2" xfId="6836" hidden="1"/>
    <cellStyle name="Процентный 2" xfId="6826" hidden="1"/>
    <cellStyle name="Процентный 2" xfId="6846" hidden="1"/>
    <cellStyle name="Процентный 2" xfId="6852" hidden="1"/>
    <cellStyle name="Процентный 2" xfId="6860" hidden="1"/>
    <cellStyle name="Процентный 2" xfId="6869" hidden="1"/>
    <cellStyle name="Процентный 2" xfId="6878" hidden="1"/>
    <cellStyle name="Процентный 2" xfId="6868" hidden="1"/>
    <cellStyle name="Процентный 2" xfId="6888" hidden="1"/>
    <cellStyle name="Процентный 2" xfId="6894" hidden="1"/>
    <cellStyle name="Процентный 2" xfId="6902" hidden="1"/>
    <cellStyle name="Процентный 2" xfId="6911" hidden="1"/>
    <cellStyle name="Процентный 2" xfId="6920" hidden="1"/>
    <cellStyle name="Процентный 2" xfId="6910" hidden="1"/>
    <cellStyle name="Процентный 2" xfId="6930" hidden="1"/>
    <cellStyle name="Процентный 2" xfId="6937" hidden="1"/>
    <cellStyle name="Процентный 2" xfId="6945" hidden="1"/>
    <cellStyle name="Процентный 2" xfId="6954" hidden="1"/>
    <cellStyle name="Процентный 2" xfId="6963" hidden="1"/>
    <cellStyle name="Процентный 2" xfId="6953" hidden="1"/>
    <cellStyle name="Процентный 2" xfId="6973" hidden="1"/>
    <cellStyle name="Процентный 2" xfId="6979" hidden="1"/>
    <cellStyle name="Процентный 2" xfId="6987" hidden="1"/>
    <cellStyle name="Процентный 2" xfId="6996" hidden="1"/>
    <cellStyle name="Процентный 2" xfId="7005" hidden="1"/>
    <cellStyle name="Процентный 2" xfId="6995" hidden="1"/>
    <cellStyle name="Процентный 2" xfId="7015" hidden="1"/>
    <cellStyle name="Процентный 2" xfId="7021" hidden="1"/>
    <cellStyle name="Процентный 2" xfId="7029" hidden="1"/>
    <cellStyle name="Процентный 2" xfId="7038" hidden="1"/>
    <cellStyle name="Процентный 2" xfId="7047" hidden="1"/>
    <cellStyle name="Процентный 2" xfId="7037" hidden="1"/>
    <cellStyle name="Процентный 2" xfId="7057" hidden="1"/>
    <cellStyle name="Процентный 2" xfId="7063" hidden="1"/>
    <cellStyle name="Процентный 2" xfId="7071" hidden="1"/>
    <cellStyle name="Процентный 2" xfId="7080" hidden="1"/>
    <cellStyle name="Процентный 2" xfId="7089" hidden="1"/>
    <cellStyle name="Процентный 2" xfId="7079" hidden="1"/>
    <cellStyle name="Процентный 2" xfId="7099" hidden="1"/>
    <cellStyle name="Процентный 2" xfId="6729" hidden="1"/>
    <cellStyle name="Процентный 2" xfId="6603" hidden="1"/>
    <cellStyle name="Процентный 2" xfId="6588" hidden="1"/>
    <cellStyle name="Процентный 2" xfId="6579" hidden="1"/>
    <cellStyle name="Процентный 2" xfId="6589" hidden="1"/>
    <cellStyle name="Процентный 2" xfId="6569" hidden="1"/>
    <cellStyle name="Процентный 2" xfId="6557" hidden="1"/>
    <cellStyle name="Процентный 2" xfId="6548" hidden="1"/>
    <cellStyle name="Процентный 2" xfId="6532" hidden="1"/>
    <cellStyle name="Процентный 2" xfId="6523" hidden="1"/>
    <cellStyle name="Процентный 2" xfId="6533" hidden="1"/>
    <cellStyle name="Процентный 2" xfId="6513" hidden="1"/>
    <cellStyle name="Процентный 2" xfId="6418" hidden="1"/>
    <cellStyle name="Процентный 2" xfId="6375" hidden="1"/>
    <cellStyle name="Процентный 2" xfId="6363" hidden="1"/>
    <cellStyle name="Процентный 2" xfId="6354" hidden="1"/>
    <cellStyle name="Процентный 2" xfId="6364" hidden="1"/>
    <cellStyle name="Процентный 2" xfId="4780" hidden="1"/>
    <cellStyle name="Процентный 2" xfId="4883" hidden="1"/>
    <cellStyle name="Процентный 2" xfId="7108" hidden="1"/>
    <cellStyle name="Процентный 2" xfId="7118" hidden="1"/>
    <cellStyle name="Процентный 2" xfId="7127" hidden="1"/>
    <cellStyle name="Процентный 2" xfId="7117" hidden="1"/>
    <cellStyle name="Процентный 2" xfId="7137" hidden="1"/>
    <cellStyle name="Процентный 2" xfId="7151" hidden="1"/>
    <cellStyle name="Процентный 2" xfId="7159" hidden="1"/>
    <cellStyle name="Процентный 2" xfId="7169" hidden="1"/>
    <cellStyle name="Процентный 2" xfId="7178" hidden="1"/>
    <cellStyle name="Процентный 2" xfId="7168" hidden="1"/>
    <cellStyle name="Процентный 2" xfId="7188" hidden="1"/>
    <cellStyle name="Процентный 2" xfId="7196" hidden="1"/>
    <cellStyle name="Процентный 2" xfId="7204" hidden="1"/>
    <cellStyle name="Процентный 2" xfId="7214" hidden="1"/>
    <cellStyle name="Процентный 2" xfId="7223" hidden="1"/>
    <cellStyle name="Процентный 2" xfId="7213" hidden="1"/>
    <cellStyle name="Процентный 2" xfId="7233" hidden="1"/>
    <cellStyle name="Процентный 2" xfId="7244" hidden="1"/>
    <cellStyle name="Процентный 2" xfId="7252" hidden="1"/>
    <cellStyle name="Процентный 2" xfId="7262" hidden="1"/>
    <cellStyle name="Процентный 2" xfId="7271" hidden="1"/>
    <cellStyle name="Процентный 2" xfId="7261" hidden="1"/>
    <cellStyle name="Процентный 2" xfId="7281" hidden="1"/>
    <cellStyle name="Процентный 2" xfId="7289" hidden="1"/>
    <cellStyle name="Процентный 2" xfId="7297" hidden="1"/>
    <cellStyle name="Процентный 2" xfId="7307" hidden="1"/>
    <cellStyle name="Процентный 2" xfId="7316" hidden="1"/>
    <cellStyle name="Процентный 2" xfId="7306" hidden="1"/>
    <cellStyle name="Процентный 2" xfId="7326" hidden="1"/>
    <cellStyle name="Процентный 2" xfId="7335" hidden="1"/>
    <cellStyle name="Процентный 2" xfId="7343" hidden="1"/>
    <cellStyle name="Процентный 2" xfId="7353" hidden="1"/>
    <cellStyle name="Процентный 2" xfId="7362" hidden="1"/>
    <cellStyle name="Процентный 2" xfId="7352" hidden="1"/>
    <cellStyle name="Процентный 2" xfId="7372" hidden="1"/>
    <cellStyle name="Процентный 2" xfId="7380" hidden="1"/>
    <cellStyle name="Процентный 2" xfId="7388" hidden="1"/>
    <cellStyle name="Процентный 2" xfId="7398" hidden="1"/>
    <cellStyle name="Процентный 2" xfId="7407" hidden="1"/>
    <cellStyle name="Процентный 2" xfId="7397" hidden="1"/>
    <cellStyle name="Процентный 2" xfId="7417" hidden="1"/>
    <cellStyle name="Процентный 2" xfId="7424" hidden="1"/>
    <cellStyle name="Процентный 2" xfId="7432" hidden="1"/>
    <cellStyle name="Процентный 2" xfId="7442" hidden="1"/>
    <cellStyle name="Процентный 2" xfId="7451" hidden="1"/>
    <cellStyle name="Процентный 2" xfId="7441" hidden="1"/>
    <cellStyle name="Процентный 2" xfId="7461" hidden="1"/>
    <cellStyle name="Процентный 2" xfId="7469" hidden="1"/>
    <cellStyle name="Процентный 2" xfId="7477" hidden="1"/>
    <cellStyle name="Процентный 2" xfId="7486" hidden="1"/>
    <cellStyle name="Процентный 2" xfId="7495" hidden="1"/>
    <cellStyle name="Процентный 2" xfId="7485" hidden="1"/>
    <cellStyle name="Процентный 2" xfId="7505" hidden="1"/>
    <cellStyle name="Процентный 2" xfId="7150" hidden="1"/>
    <cellStyle name="Процентный 2" xfId="6772" hidden="1"/>
    <cellStyle name="Процентный 2" xfId="6763" hidden="1"/>
    <cellStyle name="Процентный 2" xfId="6754" hidden="1"/>
    <cellStyle name="Процентный 2" xfId="6764" hidden="1"/>
    <cellStyle name="Процентный 2" xfId="6744" hidden="1"/>
    <cellStyle name="Процентный 2" xfId="6731" hidden="1"/>
    <cellStyle name="Процентный 2" xfId="6716" hidden="1"/>
    <cellStyle name="Процентный 2" xfId="6707" hidden="1"/>
    <cellStyle name="Процентный 2" xfId="6698" hidden="1"/>
    <cellStyle name="Процентный 2" xfId="6708" hidden="1"/>
    <cellStyle name="Процентный 2" xfId="6688" hidden="1"/>
    <cellStyle name="Процентный 2" xfId="6503" hidden="1"/>
    <cellStyle name="Процентный 2" xfId="6403" hidden="1"/>
    <cellStyle name="Процентный 2" xfId="6394" hidden="1"/>
    <cellStyle name="Процентный 2" xfId="6385" hidden="1"/>
    <cellStyle name="Процентный 2" xfId="6395" hidden="1"/>
    <cellStyle name="Процентный 2" xfId="6368" hidden="1"/>
    <cellStyle name="Процентный 2" xfId="6506" hidden="1"/>
    <cellStyle name="Процентный 2" xfId="7258" hidden="1"/>
    <cellStyle name="Процентный 2" xfId="6536" hidden="1"/>
    <cellStyle name="Процентный 2" xfId="7423" hidden="1"/>
    <cellStyle name="Процентный 2" xfId="7114" hidden="1"/>
    <cellStyle name="Процентный 2" xfId="6593" hidden="1"/>
    <cellStyle name="Процентный 2" xfId="7513" hidden="1"/>
    <cellStyle name="Процентный 2" xfId="7521" hidden="1"/>
    <cellStyle name="Процентный 2" xfId="7530" hidden="1"/>
    <cellStyle name="Процентный 2" xfId="7539" hidden="1"/>
    <cellStyle name="Процентный 2" xfId="7529" hidden="1"/>
    <cellStyle name="Процентный 2" xfId="7549" hidden="1"/>
    <cellStyle name="Процентный 2" xfId="7555" hidden="1"/>
    <cellStyle name="Процентный 2" xfId="7563" hidden="1"/>
    <cellStyle name="Процентный 2" xfId="7572" hidden="1"/>
    <cellStyle name="Процентный 2" xfId="7581" hidden="1"/>
    <cellStyle name="Процентный 2" xfId="7571" hidden="1"/>
    <cellStyle name="Процентный 2" xfId="7591" hidden="1"/>
    <cellStyle name="Процентный 2" xfId="7597" hidden="1"/>
    <cellStyle name="Процентный 2" xfId="7605" hidden="1"/>
    <cellStyle name="Процентный 2" xfId="7614" hidden="1"/>
    <cellStyle name="Процентный 2" xfId="7623" hidden="1"/>
    <cellStyle name="Процентный 2" xfId="7613" hidden="1"/>
    <cellStyle name="Процентный 2" xfId="7633" hidden="1"/>
    <cellStyle name="Процентный 2" xfId="7639" hidden="1"/>
    <cellStyle name="Процентный 2" xfId="7647" hidden="1"/>
    <cellStyle name="Процентный 2" xfId="7656" hidden="1"/>
    <cellStyle name="Процентный 2" xfId="7665" hidden="1"/>
    <cellStyle name="Процентный 2" xfId="7655" hidden="1"/>
    <cellStyle name="Процентный 2" xfId="7675" hidden="1"/>
    <cellStyle name="Процентный 2" xfId="7682" hidden="1"/>
    <cellStyle name="Процентный 2" xfId="7690" hidden="1"/>
    <cellStyle name="Процентный 2" xfId="7699" hidden="1"/>
    <cellStyle name="Процентный 2" xfId="7708" hidden="1"/>
    <cellStyle name="Процентный 2" xfId="7698" hidden="1"/>
    <cellStyle name="Процентный 2" xfId="7718" hidden="1"/>
    <cellStyle name="Процентный 2" xfId="7724" hidden="1"/>
    <cellStyle name="Процентный 2" xfId="7732" hidden="1"/>
    <cellStyle name="Процентный 2" xfId="7741" hidden="1"/>
    <cellStyle name="Процентный 2" xfId="7750" hidden="1"/>
    <cellStyle name="Процентный 2" xfId="7740" hidden="1"/>
    <cellStyle name="Процентный 2" xfId="7760" hidden="1"/>
    <cellStyle name="Процентный 2" xfId="7766" hidden="1"/>
    <cellStyle name="Процентный 2" xfId="7774" hidden="1"/>
    <cellStyle name="Процентный 2" xfId="7783" hidden="1"/>
    <cellStyle name="Процентный 2" xfId="7792" hidden="1"/>
    <cellStyle name="Процентный 2" xfId="7782" hidden="1"/>
    <cellStyle name="Процентный 2" xfId="7802" hidden="1"/>
    <cellStyle name="Процентный 2" xfId="7808" hidden="1"/>
    <cellStyle name="Процентный 2" xfId="7816" hidden="1"/>
    <cellStyle name="Процентный 2" xfId="7825" hidden="1"/>
    <cellStyle name="Процентный 2" xfId="7834" hidden="1"/>
    <cellStyle name="Процентный 2" xfId="7824" hidden="1"/>
    <cellStyle name="Процентный 2" xfId="7844" hidden="1"/>
    <cellStyle name="Процентный 2" xfId="4226" hidden="1"/>
    <cellStyle name="Процентный 2" xfId="4225" hidden="1"/>
    <cellStyle name="Процентный 2" xfId="7855" hidden="1"/>
    <cellStyle name="Процентный 2" xfId="7858" hidden="1"/>
    <cellStyle name="Процентный 2" xfId="4222" hidden="1"/>
    <cellStyle name="Процентный 2" xfId="7866" hidden="1"/>
    <cellStyle name="Процентный 2" xfId="7871" hidden="1"/>
    <cellStyle name="Процентный 2" xfId="7878" hidden="1"/>
    <cellStyle name="Процентный 2" xfId="7886" hidden="1"/>
    <cellStyle name="Процентный 2" xfId="7894" hidden="1"/>
    <cellStyle name="Процентный 2" xfId="7885" hidden="1"/>
    <cellStyle name="Процентный 2" xfId="7902" hidden="1"/>
    <cellStyle name="Процентный 2" xfId="7908" hidden="1"/>
    <cellStyle name="Процентный 2" xfId="7915" hidden="1"/>
    <cellStyle name="Процентный 2" xfId="7923" hidden="1"/>
    <cellStyle name="Процентный 2" xfId="7931" hidden="1"/>
    <cellStyle name="Процентный 2" xfId="7922" hidden="1"/>
    <cellStyle name="Процентный 2" xfId="7939" hidden="1"/>
    <cellStyle name="Процентный 2" xfId="7944" hidden="1"/>
    <cellStyle name="Процентный 2" xfId="7951" hidden="1"/>
    <cellStyle name="Процентный 2" xfId="7959" hidden="1"/>
    <cellStyle name="Процентный 2" xfId="7967" hidden="1"/>
    <cellStyle name="Процентный 2" xfId="7958" hidden="1"/>
    <cellStyle name="Процентный 2" xfId="7975" hidden="1"/>
    <cellStyle name="Процентный 2" xfId="7980" hidden="1"/>
    <cellStyle name="Процентный 2" xfId="7987" hidden="1"/>
    <cellStyle name="Процентный 2" xfId="7995" hidden="1"/>
    <cellStyle name="Процентный 2" xfId="8003" hidden="1"/>
    <cellStyle name="Процентный 2" xfId="7994" hidden="1"/>
    <cellStyle name="Процентный 2" xfId="8011" hidden="1"/>
    <cellStyle name="Процентный 2" xfId="8016" hidden="1"/>
    <cellStyle name="Процентный 2" xfId="8023" hidden="1"/>
    <cellStyle name="Процентный 2" xfId="8031" hidden="1"/>
    <cellStyle name="Процентный 2" xfId="8039" hidden="1"/>
    <cellStyle name="Процентный 2" xfId="8030" hidden="1"/>
    <cellStyle name="Процентный 2" xfId="8047" hidden="1"/>
    <cellStyle name="Процентный 2" xfId="8052" hidden="1"/>
    <cellStyle name="Процентный 2" xfId="8059" hidden="1"/>
    <cellStyle name="Процентный 2" xfId="8067" hidden="1"/>
    <cellStyle name="Процентный 2" xfId="8075" hidden="1"/>
    <cellStyle name="Процентный 2" xfId="8066" hidden="1"/>
    <cellStyle name="Процентный 2" xfId="8083" hidden="1"/>
    <cellStyle name="Процентный 2" xfId="8088" hidden="1"/>
    <cellStyle name="Процентный 2" xfId="8095" hidden="1"/>
    <cellStyle name="Процентный 2" xfId="8103" hidden="1"/>
    <cellStyle name="Процентный 2" xfId="8111" hidden="1"/>
    <cellStyle name="Процентный 2" xfId="8102" hidden="1"/>
    <cellStyle name="Процентный 2" xfId="8119" hidden="1"/>
    <cellStyle name="Процентный 2" xfId="8125" hidden="1"/>
    <cellStyle name="Процентный 2" xfId="8132" hidden="1"/>
    <cellStyle name="Процентный 2" xfId="8140" hidden="1"/>
    <cellStyle name="Процентный 2" xfId="8148" hidden="1"/>
    <cellStyle name="Процентный 2" xfId="8139" hidden="1"/>
    <cellStyle name="Процентный 2" xfId="8156" hidden="1"/>
    <cellStyle name="Процентный 2" xfId="8161" hidden="1"/>
    <cellStyle name="Процентный 2" xfId="8168" hidden="1"/>
    <cellStyle name="Процентный 2" xfId="8176" hidden="1"/>
    <cellStyle name="Процентный 2" xfId="8184" hidden="1"/>
    <cellStyle name="Процентный 2" xfId="8175" hidden="1"/>
    <cellStyle name="Процентный 2" xfId="8192" hidden="1"/>
    <cellStyle name="Процентный 2" xfId="8197" hidden="1"/>
    <cellStyle name="Процентный 2" xfId="8204" hidden="1"/>
    <cellStyle name="Процентный 2" xfId="8212" hidden="1"/>
    <cellStyle name="Процентный 2" xfId="8220" hidden="1"/>
    <cellStyle name="Процентный 2" xfId="8211" hidden="1"/>
    <cellStyle name="Процентный 2" xfId="8228" hidden="1"/>
    <cellStyle name="Процентный 2" xfId="8233" hidden="1"/>
    <cellStyle name="Процентный 2" xfId="8240" hidden="1"/>
    <cellStyle name="Процентный 2" xfId="8248" hidden="1"/>
    <cellStyle name="Процентный 2" xfId="8256" hidden="1"/>
    <cellStyle name="Процентный 2" xfId="8247" hidden="1"/>
    <cellStyle name="Процентный 2" xfId="8264" hidden="1"/>
    <cellStyle name="Процентный 2" xfId="8335" hidden="1"/>
    <cellStyle name="Процентный 2" xfId="8353" hidden="1"/>
    <cellStyle name="Процентный 2" xfId="8373" hidden="1"/>
    <cellStyle name="Процентный 2" xfId="8381" hidden="1"/>
    <cellStyle name="Процентный 2" xfId="8372" hidden="1"/>
    <cellStyle name="Процентный 2" xfId="8389" hidden="1"/>
    <cellStyle name="Процентный 2" xfId="8397" hidden="1"/>
    <cellStyle name="Процентный 2" xfId="8404" hidden="1"/>
    <cellStyle name="Процентный 2" xfId="8412" hidden="1"/>
    <cellStyle name="Процентный 2" xfId="8420" hidden="1"/>
    <cellStyle name="Процентный 2" xfId="8411" hidden="1"/>
    <cellStyle name="Процентный 2" xfId="8428" hidden="1"/>
    <cellStyle name="Процентный 2" xfId="8469" hidden="1"/>
    <cellStyle name="Процентный 2" xfId="8524" hidden="1"/>
    <cellStyle name="Процентный 2" xfId="8532" hidden="1"/>
    <cellStyle name="Процентный 2" xfId="8540" hidden="1"/>
    <cellStyle name="Процентный 2" xfId="8531" hidden="1"/>
    <cellStyle name="Процентный 2" xfId="8548" hidden="1"/>
    <cellStyle name="Процентный 2" xfId="8553" hidden="1"/>
    <cellStyle name="Процентный 2" xfId="8560" hidden="1"/>
    <cellStyle name="Процентный 2" xfId="8568" hidden="1"/>
    <cellStyle name="Процентный 2" xfId="8576" hidden="1"/>
    <cellStyle name="Процентный 2" xfId="8567" hidden="1"/>
    <cellStyle name="Процентный 2" xfId="8584" hidden="1"/>
    <cellStyle name="Процентный 2" xfId="8633" hidden="1"/>
    <cellStyle name="Процентный 2" xfId="8670" hidden="1"/>
    <cellStyle name="Процентный 2" xfId="8678" hidden="1"/>
    <cellStyle name="Процентный 2" xfId="8686" hidden="1"/>
    <cellStyle name="Процентный 2" xfId="8677" hidden="1"/>
    <cellStyle name="Процентный 2" xfId="8694" hidden="1"/>
    <cellStyle name="Процентный 2" xfId="8699" hidden="1"/>
    <cellStyle name="Процентный 2" xfId="8706" hidden="1"/>
    <cellStyle name="Процентный 2" xfId="8714" hidden="1"/>
    <cellStyle name="Процентный 2" xfId="8722" hidden="1"/>
    <cellStyle name="Процентный 2" xfId="8713" hidden="1"/>
    <cellStyle name="Процентный 2" xfId="8730" hidden="1"/>
    <cellStyle name="Процентный 2" xfId="8735" hidden="1"/>
    <cellStyle name="Процентный 2" xfId="8742" hidden="1"/>
    <cellStyle name="Процентный 2" xfId="8750" hidden="1"/>
    <cellStyle name="Процентный 2" xfId="8758" hidden="1"/>
    <cellStyle name="Процентный 2" xfId="8749" hidden="1"/>
    <cellStyle name="Процентный 2" xfId="8766" hidden="1"/>
    <cellStyle name="Процентный 2" xfId="8771" hidden="1"/>
    <cellStyle name="Процентный 2" xfId="8778" hidden="1"/>
    <cellStyle name="Процентный 2" xfId="8786" hidden="1"/>
    <cellStyle name="Процентный 2" xfId="8794" hidden="1"/>
    <cellStyle name="Процентный 2" xfId="8785" hidden="1"/>
    <cellStyle name="Процентный 2" xfId="8802" hidden="1"/>
    <cellStyle name="Процентный 2" xfId="8808" hidden="1"/>
    <cellStyle name="Процентный 2" xfId="8815" hidden="1"/>
    <cellStyle name="Процентный 2" xfId="8823" hidden="1"/>
    <cellStyle name="Процентный 2" xfId="8831" hidden="1"/>
    <cellStyle name="Процентный 2" xfId="8822" hidden="1"/>
    <cellStyle name="Процентный 2" xfId="8839" hidden="1"/>
    <cellStyle name="Процентный 2" xfId="8844" hidden="1"/>
    <cellStyle name="Процентный 2" xfId="8851" hidden="1"/>
    <cellStyle name="Процентный 2" xfId="8859" hidden="1"/>
    <cellStyle name="Процентный 2" xfId="8867" hidden="1"/>
    <cellStyle name="Процентный 2" xfId="8858" hidden="1"/>
    <cellStyle name="Процентный 2" xfId="8875" hidden="1"/>
    <cellStyle name="Процентный 2" xfId="8880" hidden="1"/>
    <cellStyle name="Процентный 2" xfId="8887" hidden="1"/>
    <cellStyle name="Процентный 2" xfId="8895" hidden="1"/>
    <cellStyle name="Процентный 2" xfId="8903" hidden="1"/>
    <cellStyle name="Процентный 2" xfId="8894" hidden="1"/>
    <cellStyle name="Процентный 2" xfId="8911" hidden="1"/>
    <cellStyle name="Процентный 2" xfId="8916" hidden="1"/>
    <cellStyle name="Процентный 2" xfId="8923" hidden="1"/>
    <cellStyle name="Процентный 2" xfId="8931" hidden="1"/>
    <cellStyle name="Процентный 2" xfId="8939" hidden="1"/>
    <cellStyle name="Процентный 2" xfId="8930" hidden="1"/>
    <cellStyle name="Процентный 2" xfId="8947" hidden="1"/>
    <cellStyle name="Процентный 2" xfId="8630" hidden="1"/>
    <cellStyle name="Процентный 2" xfId="8521" hidden="1"/>
    <cellStyle name="Процентный 2" xfId="8507" hidden="1"/>
    <cellStyle name="Процентный 2" xfId="8499" hidden="1"/>
    <cellStyle name="Процентный 2" xfId="8508" hidden="1"/>
    <cellStyle name="Процентный 2" xfId="8491" hidden="1"/>
    <cellStyle name="Процентный 2" xfId="8482" hidden="1"/>
    <cellStyle name="Процентный 2" xfId="8475" hidden="1"/>
    <cellStyle name="Процентный 2" xfId="8460" hidden="1"/>
    <cellStyle name="Процентный 2" xfId="8452" hidden="1"/>
    <cellStyle name="Процентный 2" xfId="8461" hidden="1"/>
    <cellStyle name="Процентный 2" xfId="8444" hidden="1"/>
    <cellStyle name="Процентный 2" xfId="8346" hidden="1"/>
    <cellStyle name="Процентный 2" xfId="8309" hidden="1"/>
    <cellStyle name="Процентный 2" xfId="8298" hidden="1"/>
    <cellStyle name="Процентный 2" xfId="8290" hidden="1"/>
    <cellStyle name="Процентный 2" xfId="8299" hidden="1"/>
    <cellStyle name="Процентный 2" xfId="8282" hidden="1"/>
    <cellStyle name="Процентный 2" xfId="8275" hidden="1"/>
    <cellStyle name="Процентный 2" xfId="8954" hidden="1"/>
    <cellStyle name="Процентный 2" xfId="8963" hidden="1"/>
    <cellStyle name="Процентный 2" xfId="8971" hidden="1"/>
    <cellStyle name="Процентный 2" xfId="8962" hidden="1"/>
    <cellStyle name="Процентный 2" xfId="8979" hidden="1"/>
    <cellStyle name="Процентный 2" xfId="8990" hidden="1"/>
    <cellStyle name="Процентный 2" xfId="8997" hidden="1"/>
    <cellStyle name="Процентный 2" xfId="9006" hidden="1"/>
    <cellStyle name="Процентный 2" xfId="9014" hidden="1"/>
    <cellStyle name="Процентный 2" xfId="9005" hidden="1"/>
    <cellStyle name="Процентный 2" xfId="9022" hidden="1"/>
    <cellStyle name="Процентный 2" xfId="9029" hidden="1"/>
    <cellStyle name="Процентный 2" xfId="9036" hidden="1"/>
    <cellStyle name="Процентный 2" xfId="9045" hidden="1"/>
    <cellStyle name="Процентный 2" xfId="9053" hidden="1"/>
    <cellStyle name="Процентный 2" xfId="9044" hidden="1"/>
    <cellStyle name="Процентный 2" xfId="9061" hidden="1"/>
    <cellStyle name="Процентный 2" xfId="9070" hidden="1"/>
    <cellStyle name="Процентный 2" xfId="9077" hidden="1"/>
    <cellStyle name="Процентный 2" xfId="9086" hidden="1"/>
    <cellStyle name="Процентный 2" xfId="9094" hidden="1"/>
    <cellStyle name="Процентный 2" xfId="9085" hidden="1"/>
    <cellStyle name="Процентный 2" xfId="9102" hidden="1"/>
    <cellStyle name="Процентный 2" xfId="9109" hidden="1"/>
    <cellStyle name="Процентный 2" xfId="9116" hidden="1"/>
    <cellStyle name="Процентный 2" xfId="9125" hidden="1"/>
    <cellStyle name="Процентный 2" xfId="9133" hidden="1"/>
    <cellStyle name="Процентный 2" xfId="9124" hidden="1"/>
    <cellStyle name="Процентный 2" xfId="9141" hidden="1"/>
    <cellStyle name="Процентный 2" xfId="9148" hidden="1"/>
    <cellStyle name="Процентный 2" xfId="9155" hidden="1"/>
    <cellStyle name="Процентный 2" xfId="9164" hidden="1"/>
    <cellStyle name="Процентный 2" xfId="9172" hidden="1"/>
    <cellStyle name="Процентный 2" xfId="9163" hidden="1"/>
    <cellStyle name="Процентный 2" xfId="9180" hidden="1"/>
    <cellStyle name="Процентный 2" xfId="9187" hidden="1"/>
    <cellStyle name="Процентный 2" xfId="9194" hidden="1"/>
    <cellStyle name="Процентный 2" xfId="9203" hidden="1"/>
    <cellStyle name="Процентный 2" xfId="9211" hidden="1"/>
    <cellStyle name="Процентный 2" xfId="9202" hidden="1"/>
    <cellStyle name="Процентный 2" xfId="9219" hidden="1"/>
    <cellStyle name="Процентный 2" xfId="9225" hidden="1"/>
    <cellStyle name="Процентный 2" xfId="9232" hidden="1"/>
    <cellStyle name="Процентный 2" xfId="9240" hidden="1"/>
    <cellStyle name="Процентный 2" xfId="9248" hidden="1"/>
    <cellStyle name="Процентный 2" xfId="9239" hidden="1"/>
    <cellStyle name="Процентный 2" xfId="9256" hidden="1"/>
    <cellStyle name="Процентный 2" xfId="9263" hidden="1"/>
    <cellStyle name="Процентный 2" xfId="9270" hidden="1"/>
    <cellStyle name="Процентный 2" xfId="9278" hidden="1"/>
    <cellStyle name="Процентный 2" xfId="9286" hidden="1"/>
    <cellStyle name="Процентный 2" xfId="9277" hidden="1"/>
    <cellStyle name="Процентный 2" xfId="9294" hidden="1"/>
    <cellStyle name="Процентный 2" xfId="8989" hidden="1"/>
    <cellStyle name="Процентный 2" xfId="8667" hidden="1"/>
    <cellStyle name="Процентный 2" xfId="8659" hidden="1"/>
    <cellStyle name="Процентный 2" xfId="8651" hidden="1"/>
    <cellStyle name="Процентный 2" xfId="8660" hidden="1"/>
    <cellStyle name="Процентный 2" xfId="8643" hidden="1"/>
    <cellStyle name="Процентный 2" xfId="8632" hidden="1"/>
    <cellStyle name="Процентный 2" xfId="8619" hidden="1"/>
    <cellStyle name="Процентный 2" xfId="8611" hidden="1"/>
    <cellStyle name="Процентный 2" xfId="8603" hidden="1"/>
    <cellStyle name="Процентный 2" xfId="8612" hidden="1"/>
    <cellStyle name="Процентный 2" xfId="8595" hidden="1"/>
    <cellStyle name="Процентный 2" xfId="8435" hidden="1"/>
    <cellStyle name="Процентный 2" xfId="8333" hidden="1"/>
    <cellStyle name="Процентный 2" xfId="8325" hidden="1"/>
    <cellStyle name="Процентный 2" xfId="8317" hidden="1"/>
    <cellStyle name="Процентный 2" xfId="8326" hidden="1"/>
    <cellStyle name="Процентный 2" xfId="8303" hidden="1"/>
    <cellStyle name="Процентный 2" xfId="8438" hidden="1"/>
    <cellStyle name="Процентный 2" xfId="9082" hidden="1"/>
    <cellStyle name="Процентный 2" xfId="8464" hidden="1"/>
    <cellStyle name="Процентный 2" xfId="9224" hidden="1"/>
    <cellStyle name="Процентный 2" xfId="8959" hidden="1"/>
    <cellStyle name="Процентный 2" xfId="8512" hidden="1"/>
    <cellStyle name="Процентный 2" xfId="9301" hidden="1"/>
    <cellStyle name="Процентный 2" xfId="9308" hidden="1"/>
    <cellStyle name="Процентный 2" xfId="9316" hidden="1"/>
    <cellStyle name="Процентный 2" xfId="9324" hidden="1"/>
    <cellStyle name="Процентный 2" xfId="9315" hidden="1"/>
    <cellStyle name="Процентный 2" xfId="9332" hidden="1"/>
    <cellStyle name="Процентный 2" xfId="9337" hidden="1"/>
    <cellStyle name="Процентный 2" xfId="9344" hidden="1"/>
    <cellStyle name="Процентный 2" xfId="9352" hidden="1"/>
    <cellStyle name="Процентный 2" xfId="9360" hidden="1"/>
    <cellStyle name="Процентный 2" xfId="9351" hidden="1"/>
    <cellStyle name="Процентный 2" xfId="9368" hidden="1"/>
    <cellStyle name="Процентный 2" xfId="9373" hidden="1"/>
    <cellStyle name="Процентный 2" xfId="9380" hidden="1"/>
    <cellStyle name="Процентный 2" xfId="9388" hidden="1"/>
    <cellStyle name="Процентный 2" xfId="9396" hidden="1"/>
    <cellStyle name="Процентный 2" xfId="9387" hidden="1"/>
    <cellStyle name="Процентный 2" xfId="9404" hidden="1"/>
    <cellStyle name="Процентный 2" xfId="9409" hidden="1"/>
    <cellStyle name="Процентный 2" xfId="9416" hidden="1"/>
    <cellStyle name="Процентный 2" xfId="9424" hidden="1"/>
    <cellStyle name="Процентный 2" xfId="9432" hidden="1"/>
    <cellStyle name="Процентный 2" xfId="9423" hidden="1"/>
    <cellStyle name="Процентный 2" xfId="9440" hidden="1"/>
    <cellStyle name="Процентный 2" xfId="9446" hidden="1"/>
    <cellStyle name="Процентный 2" xfId="9453" hidden="1"/>
    <cellStyle name="Процентный 2" xfId="9461" hidden="1"/>
    <cellStyle name="Процентный 2" xfId="9469" hidden="1"/>
    <cellStyle name="Процентный 2" xfId="9460" hidden="1"/>
    <cellStyle name="Процентный 2" xfId="9477" hidden="1"/>
    <cellStyle name="Процентный 2" xfId="9482" hidden="1"/>
    <cellStyle name="Процентный 2" xfId="9489" hidden="1"/>
    <cellStyle name="Процентный 2" xfId="9497" hidden="1"/>
    <cellStyle name="Процентный 2" xfId="9505" hidden="1"/>
    <cellStyle name="Процентный 2" xfId="9496" hidden="1"/>
    <cellStyle name="Процентный 2" xfId="9513" hidden="1"/>
    <cellStyle name="Процентный 2" xfId="9518" hidden="1"/>
    <cellStyle name="Процентный 2" xfId="9525" hidden="1"/>
    <cellStyle name="Процентный 2" xfId="9533" hidden="1"/>
    <cellStyle name="Процентный 2" xfId="9541" hidden="1"/>
    <cellStyle name="Процентный 2" xfId="9532" hidden="1"/>
    <cellStyle name="Процентный 2" xfId="9549" hidden="1"/>
    <cellStyle name="Процентный 2" xfId="9554" hidden="1"/>
    <cellStyle name="Процентный 2" xfId="9561" hidden="1"/>
    <cellStyle name="Процентный 2" xfId="9569" hidden="1"/>
    <cellStyle name="Процентный 2" xfId="9577" hidden="1"/>
    <cellStyle name="Процентный 2" xfId="9568" hidden="1"/>
    <cellStyle name="Процентный 2" xfId="9585" hidden="1"/>
    <cellStyle name="Процентный 2" xfId="9635" hidden="1"/>
    <cellStyle name="Процентный 2" xfId="9650" hidden="1"/>
    <cellStyle name="Процентный 2" xfId="9661" hidden="1"/>
    <cellStyle name="Процентный 2" xfId="9669" hidden="1"/>
    <cellStyle name="Процентный 2" xfId="9660" hidden="1"/>
    <cellStyle name="Процентный 2" xfId="9677" hidden="1"/>
    <cellStyle name="Процентный 2" xfId="9682" hidden="1"/>
    <cellStyle name="Процентный 2" xfId="9689" hidden="1"/>
    <cellStyle name="Процентный 2" xfId="9697" hidden="1"/>
    <cellStyle name="Процентный 2" xfId="9705" hidden="1"/>
    <cellStyle name="Процентный 2" xfId="9696" hidden="1"/>
    <cellStyle name="Процентный 2" xfId="9713" hidden="1"/>
    <cellStyle name="Процентный 2" xfId="9753" hidden="1"/>
    <cellStyle name="Процентный 2" xfId="9808" hidden="1"/>
    <cellStyle name="Процентный 2" xfId="9816" hidden="1"/>
    <cellStyle name="Процентный 2" xfId="9824" hidden="1"/>
    <cellStyle name="Процентный 2" xfId="9815" hidden="1"/>
    <cellStyle name="Процентный 2" xfId="9832" hidden="1"/>
    <cellStyle name="Процентный 2" xfId="9837" hidden="1"/>
    <cellStyle name="Процентный 2" xfId="9844" hidden="1"/>
    <cellStyle name="Процентный 2" xfId="9852" hidden="1"/>
    <cellStyle name="Процентный 2" xfId="9860" hidden="1"/>
    <cellStyle name="Процентный 2" xfId="9851" hidden="1"/>
    <cellStyle name="Процентный 2" xfId="9868" hidden="1"/>
    <cellStyle name="Процентный 2" xfId="9916" hidden="1"/>
    <cellStyle name="Процентный 2" xfId="9953" hidden="1"/>
    <cellStyle name="Процентный 2" xfId="9961" hidden="1"/>
    <cellStyle name="Процентный 2" xfId="9969" hidden="1"/>
    <cellStyle name="Процентный 2" xfId="9960" hidden="1"/>
    <cellStyle name="Процентный 2" xfId="9977" hidden="1"/>
    <cellStyle name="Процентный 2" xfId="9982" hidden="1"/>
    <cellStyle name="Процентный 2" xfId="9989" hidden="1"/>
    <cellStyle name="Процентный 2" xfId="9997" hidden="1"/>
    <cellStyle name="Процентный 2" xfId="10005" hidden="1"/>
    <cellStyle name="Процентный 2" xfId="9996" hidden="1"/>
    <cellStyle name="Процентный 2" xfId="10013" hidden="1"/>
    <cellStyle name="Процентный 2" xfId="10018" hidden="1"/>
    <cellStyle name="Процентный 2" xfId="10025" hidden="1"/>
    <cellStyle name="Процентный 2" xfId="10033" hidden="1"/>
    <cellStyle name="Процентный 2" xfId="10041" hidden="1"/>
    <cellStyle name="Процентный 2" xfId="10032" hidden="1"/>
    <cellStyle name="Процентный 2" xfId="10049" hidden="1"/>
    <cellStyle name="Процентный 2" xfId="10054" hidden="1"/>
    <cellStyle name="Процентный 2" xfId="10061" hidden="1"/>
    <cellStyle name="Процентный 2" xfId="10069" hidden="1"/>
    <cellStyle name="Процентный 2" xfId="10077" hidden="1"/>
    <cellStyle name="Процентный 2" xfId="10068" hidden="1"/>
    <cellStyle name="Процентный 2" xfId="10085" hidden="1"/>
    <cellStyle name="Процентный 2" xfId="10091" hidden="1"/>
    <cellStyle name="Процентный 2" xfId="10098" hidden="1"/>
    <cellStyle name="Процентный 2" xfId="10106" hidden="1"/>
    <cellStyle name="Процентный 2" xfId="10114" hidden="1"/>
    <cellStyle name="Процентный 2" xfId="10105" hidden="1"/>
    <cellStyle name="Процентный 2" xfId="10122" hidden="1"/>
    <cellStyle name="Процентный 2" xfId="10127" hidden="1"/>
    <cellStyle name="Процентный 2" xfId="10134" hidden="1"/>
    <cellStyle name="Процентный 2" xfId="10142" hidden="1"/>
    <cellStyle name="Процентный 2" xfId="10150" hidden="1"/>
    <cellStyle name="Процентный 2" xfId="10141" hidden="1"/>
    <cellStyle name="Процентный 2" xfId="10158" hidden="1"/>
    <cellStyle name="Процентный 2" xfId="10163" hidden="1"/>
    <cellStyle name="Процентный 2" xfId="10170" hidden="1"/>
    <cellStyle name="Процентный 2" xfId="10178" hidden="1"/>
    <cellStyle name="Процентный 2" xfId="10186" hidden="1"/>
    <cellStyle name="Процентный 2" xfId="10177" hidden="1"/>
    <cellStyle name="Процентный 2" xfId="10194" hidden="1"/>
    <cellStyle name="Процентный 2" xfId="10199" hidden="1"/>
    <cellStyle name="Процентный 2" xfId="10206" hidden="1"/>
    <cellStyle name="Процентный 2" xfId="10214" hidden="1"/>
    <cellStyle name="Процентный 2" xfId="10222" hidden="1"/>
    <cellStyle name="Процентный 2" xfId="10213" hidden="1"/>
    <cellStyle name="Процентный 2" xfId="10230" hidden="1"/>
    <cellStyle name="Процентный 2" xfId="9913" hidden="1"/>
    <cellStyle name="Процентный 2" xfId="9805" hidden="1"/>
    <cellStyle name="Процентный 2" xfId="9791" hidden="1"/>
    <cellStyle name="Процентный 2" xfId="9783" hidden="1"/>
    <cellStyle name="Процентный 2" xfId="9792" hidden="1"/>
    <cellStyle name="Процентный 2" xfId="9775" hidden="1"/>
    <cellStyle name="Процентный 2" xfId="9766" hidden="1"/>
    <cellStyle name="Процентный 2" xfId="9759" hidden="1"/>
    <cellStyle name="Процентный 2" xfId="9744" hidden="1"/>
    <cellStyle name="Процентный 2" xfId="9736" hidden="1"/>
    <cellStyle name="Процентный 2" xfId="9745" hidden="1"/>
    <cellStyle name="Процентный 2" xfId="9728" hidden="1"/>
    <cellStyle name="Процентный 2" xfId="9646" hidden="1"/>
    <cellStyle name="Процентный 2" xfId="9609" hidden="1"/>
    <cellStyle name="Процентный 2" xfId="9598" hidden="1"/>
    <cellStyle name="Процентный 2" xfId="9590" hidden="1"/>
    <cellStyle name="Процентный 2" xfId="9599" hidden="1"/>
    <cellStyle name="Процентный 2" xfId="8272" hidden="1"/>
    <cellStyle name="Процентный 2" xfId="8361" hidden="1"/>
    <cellStyle name="Процентный 2" xfId="10237" hidden="1"/>
    <cellStyle name="Процентный 2" xfId="10246" hidden="1"/>
    <cellStyle name="Процентный 2" xfId="10254" hidden="1"/>
    <cellStyle name="Процентный 2" xfId="10245" hidden="1"/>
    <cellStyle name="Процентный 2" xfId="10262" hidden="1"/>
    <cellStyle name="Процентный 2" xfId="10273" hidden="1"/>
    <cellStyle name="Процентный 2" xfId="10280" hidden="1"/>
    <cellStyle name="Процентный 2" xfId="10289" hidden="1"/>
    <cellStyle name="Процентный 2" xfId="10297" hidden="1"/>
    <cellStyle name="Процентный 2" xfId="10288" hidden="1"/>
    <cellStyle name="Процентный 2" xfId="10305" hidden="1"/>
    <cellStyle name="Процентный 2" xfId="10312" hidden="1"/>
    <cellStyle name="Процентный 2" xfId="10319" hidden="1"/>
    <cellStyle name="Процентный 2" xfId="10328" hidden="1"/>
    <cellStyle name="Процентный 2" xfId="10336" hidden="1"/>
    <cellStyle name="Процентный 2" xfId="10327" hidden="1"/>
    <cellStyle name="Процентный 2" xfId="10344" hidden="1"/>
    <cellStyle name="Процентный 2" xfId="10353" hidden="1"/>
    <cellStyle name="Процентный 2" xfId="10360" hidden="1"/>
    <cellStyle name="Процентный 2" xfId="10369" hidden="1"/>
    <cellStyle name="Процентный 2" xfId="10377" hidden="1"/>
    <cellStyle name="Процентный 2" xfId="10368" hidden="1"/>
    <cellStyle name="Процентный 2" xfId="10385" hidden="1"/>
    <cellStyle name="Процентный 2" xfId="10392" hidden="1"/>
    <cellStyle name="Процентный 2" xfId="10399" hidden="1"/>
    <cellStyle name="Процентный 2" xfId="10408" hidden="1"/>
    <cellStyle name="Процентный 2" xfId="10416" hidden="1"/>
    <cellStyle name="Процентный 2" xfId="10407" hidden="1"/>
    <cellStyle name="Процентный 2" xfId="10424" hidden="1"/>
    <cellStyle name="Процентный 2" xfId="10431" hidden="1"/>
    <cellStyle name="Процентный 2" xfId="10438" hidden="1"/>
    <cellStyle name="Процентный 2" xfId="10447" hidden="1"/>
    <cellStyle name="Процентный 2" xfId="10455" hidden="1"/>
    <cellStyle name="Процентный 2" xfId="10446" hidden="1"/>
    <cellStyle name="Процентный 2" xfId="10463" hidden="1"/>
    <cellStyle name="Процентный 2" xfId="10470" hidden="1"/>
    <cellStyle name="Процентный 2" xfId="10477" hidden="1"/>
    <cellStyle name="Процентный 2" xfId="10486" hidden="1"/>
    <cellStyle name="Процентный 2" xfId="10494" hidden="1"/>
    <cellStyle name="Процентный 2" xfId="10485" hidden="1"/>
    <cellStyle name="Процентный 2" xfId="10502" hidden="1"/>
    <cellStyle name="Процентный 2" xfId="10508" hidden="1"/>
    <cellStyle name="Процентный 2" xfId="10515" hidden="1"/>
    <cellStyle name="Процентный 2" xfId="10523" hidden="1"/>
    <cellStyle name="Процентный 2" xfId="10531" hidden="1"/>
    <cellStyle name="Процентный 2" xfId="10522" hidden="1"/>
    <cellStyle name="Процентный 2" xfId="10539" hidden="1"/>
    <cellStyle name="Процентный 2" xfId="10546" hidden="1"/>
    <cellStyle name="Процентный 2" xfId="10553" hidden="1"/>
    <cellStyle name="Процентный 2" xfId="10561" hidden="1"/>
    <cellStyle name="Процентный 2" xfId="10569" hidden="1"/>
    <cellStyle name="Процентный 2" xfId="10560" hidden="1"/>
    <cellStyle name="Процентный 2" xfId="10577" hidden="1"/>
    <cellStyle name="Процентный 2" xfId="10272" hidden="1"/>
    <cellStyle name="Процентный 2" xfId="9950" hidden="1"/>
    <cellStyle name="Процентный 2" xfId="9942" hidden="1"/>
    <cellStyle name="Процентный 2" xfId="9934" hidden="1"/>
    <cellStyle name="Процентный 2" xfId="9943" hidden="1"/>
    <cellStyle name="Процентный 2" xfId="9926" hidden="1"/>
    <cellStyle name="Процентный 2" xfId="9915" hidden="1"/>
    <cellStyle name="Процентный 2" xfId="9902" hidden="1"/>
    <cellStyle name="Процентный 2" xfId="9894" hidden="1"/>
    <cellStyle name="Процентный 2" xfId="9886" hidden="1"/>
    <cellStyle name="Процентный 2" xfId="9895" hidden="1"/>
    <cellStyle name="Процентный 2" xfId="9878" hidden="1"/>
    <cellStyle name="Процентный 2" xfId="9719" hidden="1"/>
    <cellStyle name="Процентный 2" xfId="9633" hidden="1"/>
    <cellStyle name="Процентный 2" xfId="9625" hidden="1"/>
    <cellStyle name="Процентный 2" xfId="9617" hidden="1"/>
    <cellStyle name="Процентный 2" xfId="9626" hidden="1"/>
    <cellStyle name="Процентный 2" xfId="9603" hidden="1"/>
    <cellStyle name="Процентный 2" xfId="9722" hidden="1"/>
    <cellStyle name="Процентный 2" xfId="10365" hidden="1"/>
    <cellStyle name="Процентный 2" xfId="9748" hidden="1"/>
    <cellStyle name="Процентный 2" xfId="10507" hidden="1"/>
    <cellStyle name="Процентный 2" xfId="10242" hidden="1"/>
    <cellStyle name="Процентный 2" xfId="9796" hidden="1"/>
    <cellStyle name="Процентный 2" xfId="10584" hidden="1"/>
    <cellStyle name="Процентный 2" xfId="10591" hidden="1"/>
    <cellStyle name="Процентный 2" xfId="10599" hidden="1"/>
    <cellStyle name="Процентный 2" xfId="10607" hidden="1"/>
    <cellStyle name="Процентный 2" xfId="10598" hidden="1"/>
    <cellStyle name="Процентный 2" xfId="10615" hidden="1"/>
    <cellStyle name="Процентный 2" xfId="10620" hidden="1"/>
    <cellStyle name="Процентный 2" xfId="10627" hidden="1"/>
    <cellStyle name="Процентный 2" xfId="10635" hidden="1"/>
    <cellStyle name="Процентный 2" xfId="10643" hidden="1"/>
    <cellStyle name="Процентный 2" xfId="10634" hidden="1"/>
    <cellStyle name="Процентный 2" xfId="10651" hidden="1"/>
    <cellStyle name="Процентный 2" xfId="10656" hidden="1"/>
    <cellStyle name="Процентный 2" xfId="10663" hidden="1"/>
    <cellStyle name="Процентный 2" xfId="10671" hidden="1"/>
    <cellStyle name="Процентный 2" xfId="10679" hidden="1"/>
    <cellStyle name="Процентный 2" xfId="10670" hidden="1"/>
    <cellStyle name="Процентный 2" xfId="10687" hidden="1"/>
    <cellStyle name="Процентный 2" xfId="10692" hidden="1"/>
    <cellStyle name="Процентный 2" xfId="10699" hidden="1"/>
    <cellStyle name="Процентный 2" xfId="10707" hidden="1"/>
    <cellStyle name="Процентный 2" xfId="10715" hidden="1"/>
    <cellStyle name="Процентный 2" xfId="10706" hidden="1"/>
    <cellStyle name="Процентный 2" xfId="10723" hidden="1"/>
    <cellStyle name="Процентный 2" xfId="10729" hidden="1"/>
    <cellStyle name="Процентный 2" xfId="10736" hidden="1"/>
    <cellStyle name="Процентный 2" xfId="10744" hidden="1"/>
    <cellStyle name="Процентный 2" xfId="10752" hidden="1"/>
    <cellStyle name="Процентный 2" xfId="10743" hidden="1"/>
    <cellStyle name="Процентный 2" xfId="10760" hidden="1"/>
    <cellStyle name="Процентный 2" xfId="10765" hidden="1"/>
    <cellStyle name="Процентный 2" xfId="10772" hidden="1"/>
    <cellStyle name="Процентный 2" xfId="10780" hidden="1"/>
    <cellStyle name="Процентный 2" xfId="10788" hidden="1"/>
    <cellStyle name="Процентный 2" xfId="10779" hidden="1"/>
    <cellStyle name="Процентный 2" xfId="10796" hidden="1"/>
    <cellStyle name="Процентный 2" xfId="10801" hidden="1"/>
    <cellStyle name="Процентный 2" xfId="10808" hidden="1"/>
    <cellStyle name="Процентный 2" xfId="10816" hidden="1"/>
    <cellStyle name="Процентный 2" xfId="10824" hidden="1"/>
    <cellStyle name="Процентный 2" xfId="10815" hidden="1"/>
    <cellStyle name="Процентный 2" xfId="10832" hidden="1"/>
    <cellStyle name="Процентный 2" xfId="10837" hidden="1"/>
    <cellStyle name="Процентный 2" xfId="10844" hidden="1"/>
    <cellStyle name="Процентный 2" xfId="10852" hidden="1"/>
    <cellStyle name="Процентный 2" xfId="10860" hidden="1"/>
    <cellStyle name="Процентный 2" xfId="10851" hidden="1"/>
    <cellStyle name="Процентный 2" xfId="10868" hidden="1"/>
    <cellStyle name="Процентный 2" xfId="14697"/>
    <cellStyle name="Процентный 2 10" xfId="16922" hidden="1"/>
    <cellStyle name="Процентный 2 10" xfId="50413" hidden="1"/>
    <cellStyle name="Процентный 2 10" xfId="50421" hidden="1"/>
    <cellStyle name="Процентный 2 10" xfId="50432"/>
    <cellStyle name="Процентный 2 11" xfId="17123"/>
    <cellStyle name="Процентный 2 12" xfId="18033"/>
    <cellStyle name="Процентный 2 13" xfId="36573"/>
    <cellStyle name="Процентный 2 14" xfId="50442"/>
    <cellStyle name="Процентный 2 15" xfId="50451"/>
    <cellStyle name="Процентный 2 16" xfId="50441"/>
    <cellStyle name="Процентный 2 17" xfId="50461"/>
    <cellStyle name="Процентный 2 2" xfId="14698"/>
    <cellStyle name="Процентный 2 3" xfId="14699"/>
    <cellStyle name="Процентный 2 4" xfId="14700"/>
    <cellStyle name="Процентный 2 5" xfId="14701"/>
    <cellStyle name="Процентный 2 6" xfId="14702"/>
    <cellStyle name="Процентный 2 7" xfId="14703"/>
    <cellStyle name="Процентный 2 8" xfId="14704"/>
    <cellStyle name="Процентный 2 9" xfId="14705"/>
    <cellStyle name="Процентный 3" xfId="14706"/>
    <cellStyle name="Процентный 3 2" xfId="16923"/>
    <cellStyle name="Процентный 3 3" xfId="17124"/>
    <cellStyle name="Процентный 3 4" xfId="18034"/>
    <cellStyle name="Процентный 3 5" xfId="36574"/>
    <cellStyle name="Процентный 4" xfId="14707"/>
    <cellStyle name="Процентный 4 2" xfId="14708"/>
    <cellStyle name="Процентный 4 2 2" xfId="14709"/>
    <cellStyle name="Процентный 4 2 3" xfId="14710"/>
    <cellStyle name="Процентный 4 2 4" xfId="14711"/>
    <cellStyle name="Процентный 4 2 5" xfId="14712"/>
    <cellStyle name="Процентный 4 3" xfId="14713"/>
    <cellStyle name="Процентный 4 4" xfId="14714"/>
    <cellStyle name="Процентный 4 5" xfId="14715"/>
    <cellStyle name="Процентный 4 6" xfId="14716"/>
    <cellStyle name="Процентный 5" xfId="14717"/>
    <cellStyle name="Процентный 5 2" xfId="14718"/>
    <cellStyle name="Процентный 5 3" xfId="14719"/>
    <cellStyle name="Процентный 5 4" xfId="14720"/>
    <cellStyle name="Процентный 5 5" xfId="14721"/>
    <cellStyle name="Процентный 6" xfId="14722"/>
    <cellStyle name="Процентный 6 2" xfId="17125"/>
    <cellStyle name="Процентный 6 2 2" xfId="17267"/>
    <cellStyle name="Процентный 6 2 3" xfId="36625"/>
    <cellStyle name="Процентный 6 3" xfId="17038"/>
    <cellStyle name="Процентный 6 3 2" xfId="20018"/>
    <cellStyle name="Процентный 6 3 3" xfId="36616"/>
    <cellStyle name="Процентный 6 4" xfId="18035"/>
    <cellStyle name="Процентный 6 4 2" xfId="19103"/>
    <cellStyle name="Процентный 6 4 3" xfId="36703"/>
    <cellStyle name="Процентный 6 5" xfId="36575"/>
    <cellStyle name="Процентный 7" xfId="14723"/>
    <cellStyle name="Процентный 7 2" xfId="17234"/>
    <cellStyle name="Процентный 7 2 2" xfId="17277"/>
    <cellStyle name="Процентный 7 2 3" xfId="36657"/>
    <cellStyle name="Процентный 7 3" xfId="17174"/>
    <cellStyle name="Процентный 7 3 2" xfId="20019"/>
    <cellStyle name="Процентный 7 3 3" xfId="36640"/>
    <cellStyle name="Процентный 7 4" xfId="18036"/>
    <cellStyle name="Процентный 7 4 2" xfId="19109"/>
    <cellStyle name="Процентный 7 4 3" xfId="36704"/>
    <cellStyle name="Процентный 7 5" xfId="36576"/>
    <cellStyle name="Процентный 8" xfId="4195"/>
    <cellStyle name="Процентный 8 2" xfId="17242"/>
    <cellStyle name="Процентный 8 2 2" xfId="17292"/>
    <cellStyle name="Процентный 8 2 3" xfId="36665"/>
    <cellStyle name="Процентный 8 3" xfId="17191"/>
    <cellStyle name="Процентный 8 3 2" xfId="20034"/>
    <cellStyle name="Процентный 8 3 3" xfId="36642"/>
    <cellStyle name="Процентный 8 4" xfId="18065"/>
    <cellStyle name="Процентный 8 4 2" xfId="19120"/>
    <cellStyle name="Процентный 8 4 3" xfId="36721"/>
    <cellStyle name="Процентный 8 5" xfId="36608"/>
    <cellStyle name="Процентный 9" xfId="15701"/>
    <cellStyle name="Процентный 9 2" xfId="17246"/>
    <cellStyle name="Процентный 9 2 2" xfId="17321"/>
    <cellStyle name="Процентный 9 2 3" xfId="36668"/>
    <cellStyle name="Процентный 9 3" xfId="17156"/>
    <cellStyle name="Процентный 9 3 2" xfId="20040"/>
    <cellStyle name="Процентный 9 3 3" xfId="36638"/>
    <cellStyle name="Процентный 9 4" xfId="18052"/>
    <cellStyle name="Процентный 9 4 2" xfId="19147"/>
    <cellStyle name="Процентный 9 4 3" xfId="36709"/>
    <cellStyle name="Процентный 9 5" xfId="36593"/>
    <cellStyle name="Связанная ячейка" xfId="21" builtinId="24" hidden="1"/>
    <cellStyle name="Связанная ячейка" xfId="60" builtinId="24" hidden="1"/>
    <cellStyle name="Связанная ячейка" xfId="118" builtinId="24" hidden="1"/>
    <cellStyle name="Связанная ячейка" xfId="146" builtinId="24" hidden="1"/>
    <cellStyle name="Связанная ячейка" xfId="300" builtinId="24" hidden="1"/>
    <cellStyle name="Связанная ячейка" xfId="339" builtinId="24" hidden="1"/>
    <cellStyle name="Связанная ячейка" xfId="397" builtinId="24" hidden="1"/>
    <cellStyle name="Связанная ячейка" xfId="425" builtinId="24" hidden="1"/>
    <cellStyle name="Связанная ячейка" xfId="556" builtinId="24" hidden="1"/>
    <cellStyle name="Связанная ячейка" xfId="595" builtinId="24" hidden="1"/>
    <cellStyle name="Связанная ячейка" xfId="653" builtinId="24" hidden="1"/>
    <cellStyle name="Связанная ячейка" xfId="681" builtinId="24" hidden="1"/>
    <cellStyle name="Связанная ячейка" xfId="4159" builtinId="24" customBuiltin="1"/>
    <cellStyle name="Связанная ячейка 10" xfId="16901"/>
    <cellStyle name="Связанная ячейка 11" xfId="15702"/>
    <cellStyle name="Связанная ячейка 12" xfId="17023"/>
    <cellStyle name="Связанная ячейка 13" xfId="17126"/>
    <cellStyle name="Связанная ячейка 14" xfId="18037"/>
    <cellStyle name="Связанная ячейка 15" xfId="36577"/>
    <cellStyle name="Связанная ячейка 16" xfId="14724"/>
    <cellStyle name="Связанная ячейка 2" xfId="14725"/>
    <cellStyle name="Связанная ячейка 3" xfId="14726"/>
    <cellStyle name="Связанная ячейка 4" xfId="14727"/>
    <cellStyle name="Связанная ячейка 5" xfId="14728"/>
    <cellStyle name="Связанная ячейка 6" xfId="14729"/>
    <cellStyle name="Связанная ячейка 7" xfId="14730"/>
    <cellStyle name="Связанная ячейка 8" xfId="14731"/>
    <cellStyle name="Связанная ячейка 9" xfId="14732"/>
    <cellStyle name="Стиль 1" xfId="14733"/>
    <cellStyle name="ТЕКСТ" xfId="14734"/>
    <cellStyle name="Текст предупреждения" xfId="23" builtinId="11" hidden="1"/>
    <cellStyle name="Текст предупреждения" xfId="62" builtinId="11" hidden="1"/>
    <cellStyle name="Текст предупреждения" xfId="110" builtinId="11" hidden="1"/>
    <cellStyle name="Текст предупреждения" xfId="148" builtinId="11" hidden="1"/>
    <cellStyle name="Текст предупреждения" xfId="302" builtinId="11" hidden="1"/>
    <cellStyle name="Текст предупреждения" xfId="341" builtinId="11" hidden="1"/>
    <cellStyle name="Текст предупреждения" xfId="389" builtinId="11" hidden="1"/>
    <cellStyle name="Текст предупреждения" xfId="427" builtinId="11" hidden="1"/>
    <cellStyle name="Текст предупреждения" xfId="558" builtinId="11" hidden="1"/>
    <cellStyle name="Текст предупреждения" xfId="597" builtinId="11" hidden="1"/>
    <cellStyle name="Текст предупреждения" xfId="645" builtinId="11" hidden="1"/>
    <cellStyle name="Текст предупреждения" xfId="683" builtinId="11" hidden="1"/>
    <cellStyle name="Текст предупреждения" xfId="4161" builtinId="11" customBuiltin="1"/>
    <cellStyle name="Текст предупреждения 10" xfId="16902"/>
    <cellStyle name="Текст предупреждения 11" xfId="15703"/>
    <cellStyle name="Текст предупреждения 12" xfId="17024"/>
    <cellStyle name="Текст предупреждения 13" xfId="17127"/>
    <cellStyle name="Текст предупреждения 14" xfId="18038"/>
    <cellStyle name="Текст предупреждения 15" xfId="36578"/>
    <cellStyle name="Текст предупреждения 16" xfId="14735"/>
    <cellStyle name="Текст предупреждения 2" xfId="14736"/>
    <cellStyle name="Текст предупреждения 3" xfId="14737"/>
    <cellStyle name="Текст предупреждения 4" xfId="14738"/>
    <cellStyle name="Текст предупреждения 5" xfId="14739"/>
    <cellStyle name="Текст предупреждения 6" xfId="14740"/>
    <cellStyle name="Текст предупреждения 7" xfId="14741"/>
    <cellStyle name="Текст предупреждения 8" xfId="14742"/>
    <cellStyle name="Текст предупреждения 9" xfId="14743"/>
    <cellStyle name="тонны" xfId="14744"/>
    <cellStyle name="Тысячи [0]_12п" xfId="14745"/>
    <cellStyle name="Тысячи [а]" xfId="14746"/>
    <cellStyle name="Тысячи_11п" xfId="14747"/>
    <cellStyle name="Финансовый" xfId="3" builtinId="3" hidden="1"/>
    <cellStyle name="Финансовый" xfId="285" builtinId="3" hidden="1"/>
    <cellStyle name="Финансовый" xfId="541" builtinId="3" hidden="1"/>
    <cellStyle name="Финансовый [0]" xfId="8" builtinId="6" hidden="1"/>
    <cellStyle name="Финансовый [0]" xfId="287" builtinId="6" hidden="1"/>
    <cellStyle name="Финансовый [0]" xfId="543" builtinId="6" hidden="1"/>
    <cellStyle name="Финансовый [0] 2" xfId="92" hidden="1"/>
    <cellStyle name="Финансовый [0] 2" xfId="193" hidden="1"/>
    <cellStyle name="Финансовый [0] 2" xfId="206" hidden="1"/>
    <cellStyle name="Финансовый [0] 2" xfId="220" hidden="1"/>
    <cellStyle name="Финансовый [0] 2" xfId="201" hidden="1"/>
    <cellStyle name="Финансовый [0] 2" xfId="227" hidden="1"/>
    <cellStyle name="Финансовый [0] 2" xfId="239" hidden="1"/>
    <cellStyle name="Финансовый [0] 2" xfId="249" hidden="1"/>
    <cellStyle name="Финансовый [0] 2" xfId="257" hidden="1"/>
    <cellStyle name="Финансовый [0] 2" xfId="271" hidden="1"/>
    <cellStyle name="Финансовый [0] 2" xfId="253" hidden="1"/>
    <cellStyle name="Финансовый [0] 2" xfId="278" hidden="1"/>
    <cellStyle name="Финансовый [0] 2" xfId="371" hidden="1"/>
    <cellStyle name="Финансовый [0] 2" xfId="460" hidden="1"/>
    <cellStyle name="Финансовый [0] 2" xfId="469" hidden="1"/>
    <cellStyle name="Финансовый [0] 2" xfId="483" hidden="1"/>
    <cellStyle name="Финансовый [0] 2" xfId="465" hidden="1"/>
    <cellStyle name="Финансовый [0] 2" xfId="490" hidden="1"/>
    <cellStyle name="Финансовый [0] 2" xfId="496" hidden="1"/>
    <cellStyle name="Финансовый [0] 2" xfId="506" hidden="1"/>
    <cellStyle name="Финансовый [0] 2" xfId="514" hidden="1"/>
    <cellStyle name="Финансовый [0] 2" xfId="528" hidden="1"/>
    <cellStyle name="Финансовый [0] 2" xfId="510" hidden="1"/>
    <cellStyle name="Финансовый [0] 2" xfId="535" hidden="1"/>
    <cellStyle name="Финансовый [0] 2" xfId="627" hidden="1"/>
    <cellStyle name="Финансовый [0] 2" xfId="716" hidden="1"/>
    <cellStyle name="Финансовый [0] 2" xfId="725" hidden="1"/>
    <cellStyle name="Финансовый [0] 2" xfId="739" hidden="1"/>
    <cellStyle name="Финансовый [0] 2" xfId="721" hidden="1"/>
    <cellStyle name="Финансовый [0] 2" xfId="746" hidden="1"/>
    <cellStyle name="Финансовый [0] 2" xfId="752" hidden="1"/>
    <cellStyle name="Финансовый [0] 2" xfId="762" hidden="1"/>
    <cellStyle name="Финансовый [0] 2" xfId="770" hidden="1"/>
    <cellStyle name="Финансовый [0] 2" xfId="784" hidden="1"/>
    <cellStyle name="Финансовый [0] 2" xfId="766" hidden="1"/>
    <cellStyle name="Финансовый [0] 2" xfId="791" hidden="1"/>
    <cellStyle name="Финансовый [0] 2" xfId="800" hidden="1"/>
    <cellStyle name="Финансовый [0] 2" xfId="810" hidden="1"/>
    <cellStyle name="Финансовый [0] 2" xfId="818" hidden="1"/>
    <cellStyle name="Финансовый [0] 2" xfId="832" hidden="1"/>
    <cellStyle name="Финансовый [0] 2" xfId="814" hidden="1"/>
    <cellStyle name="Финансовый [0] 2" xfId="839" hidden="1"/>
    <cellStyle name="Финансовый [0] 2" xfId="845" hidden="1"/>
    <cellStyle name="Финансовый [0] 2" xfId="855" hidden="1"/>
    <cellStyle name="Финансовый [0] 2" xfId="863" hidden="1"/>
    <cellStyle name="Финансовый [0] 2" xfId="877" hidden="1"/>
    <cellStyle name="Финансовый [0] 2" xfId="859" hidden="1"/>
    <cellStyle name="Финансовый [0] 2" xfId="884" hidden="1"/>
    <cellStyle name="Финансовый [0] 2" xfId="891" hidden="1"/>
    <cellStyle name="Финансовый [0] 2" xfId="901" hidden="1"/>
    <cellStyle name="Финансовый [0] 2" xfId="909" hidden="1"/>
    <cellStyle name="Финансовый [0] 2" xfId="923" hidden="1"/>
    <cellStyle name="Финансовый [0] 2" xfId="905" hidden="1"/>
    <cellStyle name="Финансовый [0] 2" xfId="930" hidden="1"/>
    <cellStyle name="Финансовый [0] 2" xfId="936" hidden="1"/>
    <cellStyle name="Финансовый [0] 2" xfId="946" hidden="1"/>
    <cellStyle name="Финансовый [0] 2" xfId="954" hidden="1"/>
    <cellStyle name="Финансовый [0] 2" xfId="968" hidden="1"/>
    <cellStyle name="Финансовый [0] 2" xfId="950" hidden="1"/>
    <cellStyle name="Финансовый [0] 2" xfId="975" hidden="1"/>
    <cellStyle name="Финансовый [0] 2" xfId="981" hidden="1"/>
    <cellStyle name="Финансовый [0] 2" xfId="991" hidden="1"/>
    <cellStyle name="Финансовый [0] 2" xfId="999" hidden="1"/>
    <cellStyle name="Финансовый [0] 2" xfId="1013" hidden="1"/>
    <cellStyle name="Финансовый [0] 2" xfId="995" hidden="1"/>
    <cellStyle name="Финансовый [0] 2" xfId="1020" hidden="1"/>
    <cellStyle name="Финансовый [0] 2" xfId="1026" hidden="1"/>
    <cellStyle name="Финансовый [0] 2" xfId="1036" hidden="1"/>
    <cellStyle name="Финансовый [0] 2" xfId="1044" hidden="1"/>
    <cellStyle name="Финансовый [0] 2" xfId="1058" hidden="1"/>
    <cellStyle name="Финансовый [0] 2" xfId="1040" hidden="1"/>
    <cellStyle name="Финансовый [0] 2" xfId="1065" hidden="1"/>
    <cellStyle name="Финансовый [0] 2" xfId="1149" hidden="1"/>
    <cellStyle name="Финансовый [0] 2" xfId="1182" hidden="1"/>
    <cellStyle name="Финансовый [0] 2" xfId="1193" hidden="1"/>
    <cellStyle name="Финансовый [0] 2" xfId="1207" hidden="1"/>
    <cellStyle name="Финансовый [0] 2" xfId="1188" hidden="1"/>
    <cellStyle name="Финансовый [0] 2" xfId="1214" hidden="1"/>
    <cellStyle name="Финансовый [0] 2" xfId="1223" hidden="1"/>
    <cellStyle name="Финансовый [0] 2" xfId="1233" hidden="1"/>
    <cellStyle name="Финансовый [0] 2" xfId="1241" hidden="1"/>
    <cellStyle name="Финансовый [0] 2" xfId="1255" hidden="1"/>
    <cellStyle name="Финансовый [0] 2" xfId="1237" hidden="1"/>
    <cellStyle name="Финансовый [0] 2" xfId="1262" hidden="1"/>
    <cellStyle name="Финансовый [0] 2" xfId="1309" hidden="1"/>
    <cellStyle name="Финансовый [0] 2" xfId="1375" hidden="1"/>
    <cellStyle name="Финансовый [0] 2" xfId="1383" hidden="1"/>
    <cellStyle name="Финансовый [0] 2" xfId="1397" hidden="1"/>
    <cellStyle name="Финансовый [0] 2" xfId="1379" hidden="1"/>
    <cellStyle name="Финансовый [0] 2" xfId="1404" hidden="1"/>
    <cellStyle name="Финансовый [0] 2" xfId="1410" hidden="1"/>
    <cellStyle name="Финансовый [0] 2" xfId="1420" hidden="1"/>
    <cellStyle name="Финансовый [0] 2" xfId="1428" hidden="1"/>
    <cellStyle name="Финансовый [0] 2" xfId="1442" hidden="1"/>
    <cellStyle name="Финансовый [0] 2" xfId="1424" hidden="1"/>
    <cellStyle name="Финансовый [0] 2" xfId="1449" hidden="1"/>
    <cellStyle name="Финансовый [0] 2" xfId="1506" hidden="1"/>
    <cellStyle name="Финансовый [0] 2" xfId="1551" hidden="1"/>
    <cellStyle name="Финансовый [0] 2" xfId="1560" hidden="1"/>
    <cellStyle name="Финансовый [0] 2" xfId="1574" hidden="1"/>
    <cellStyle name="Финансовый [0] 2" xfId="1556" hidden="1"/>
    <cellStyle name="Финансовый [0] 2" xfId="1581" hidden="1"/>
    <cellStyle name="Финансовый [0] 2" xfId="1587" hidden="1"/>
    <cellStyle name="Финансовый [0] 2" xfId="1597" hidden="1"/>
    <cellStyle name="Финансовый [0] 2" xfId="1605" hidden="1"/>
    <cellStyle name="Финансовый [0] 2" xfId="1619" hidden="1"/>
    <cellStyle name="Финансовый [0] 2" xfId="1601" hidden="1"/>
    <cellStyle name="Финансовый [0] 2" xfId="1626" hidden="1"/>
    <cellStyle name="Финансовый [0] 2" xfId="1633" hidden="1"/>
    <cellStyle name="Финансовый [0] 2" xfId="1643" hidden="1"/>
    <cellStyle name="Финансовый [0] 2" xfId="1651" hidden="1"/>
    <cellStyle name="Финансовый [0] 2" xfId="1665" hidden="1"/>
    <cellStyle name="Финансовый [0] 2" xfId="1647" hidden="1"/>
    <cellStyle name="Финансовый [0] 2" xfId="1672" hidden="1"/>
    <cellStyle name="Финансовый [0] 2" xfId="1678" hidden="1"/>
    <cellStyle name="Финансовый [0] 2" xfId="1688" hidden="1"/>
    <cellStyle name="Финансовый [0] 2" xfId="1696" hidden="1"/>
    <cellStyle name="Финансовый [0] 2" xfId="1710" hidden="1"/>
    <cellStyle name="Финансовый [0] 2" xfId="1692" hidden="1"/>
    <cellStyle name="Финансовый [0] 2" xfId="1717" hidden="1"/>
    <cellStyle name="Финансовый [0] 2" xfId="1724" hidden="1"/>
    <cellStyle name="Финансовый [0] 2" xfId="1734" hidden="1"/>
    <cellStyle name="Финансовый [0] 2" xfId="1742" hidden="1"/>
    <cellStyle name="Финансовый [0] 2" xfId="1756" hidden="1"/>
    <cellStyle name="Финансовый [0] 2" xfId="1738" hidden="1"/>
    <cellStyle name="Финансовый [0] 2" xfId="1763" hidden="1"/>
    <cellStyle name="Финансовый [0] 2" xfId="1769" hidden="1"/>
    <cellStyle name="Финансовый [0] 2" xfId="1779" hidden="1"/>
    <cellStyle name="Финансовый [0] 2" xfId="1787" hidden="1"/>
    <cellStyle name="Финансовый [0] 2" xfId="1801" hidden="1"/>
    <cellStyle name="Финансовый [0] 2" xfId="1783" hidden="1"/>
    <cellStyle name="Финансовый [0] 2" xfId="1808" hidden="1"/>
    <cellStyle name="Финансовый [0] 2" xfId="1814" hidden="1"/>
    <cellStyle name="Финансовый [0] 2" xfId="1824" hidden="1"/>
    <cellStyle name="Финансовый [0] 2" xfId="1832" hidden="1"/>
    <cellStyle name="Финансовый [0] 2" xfId="1846" hidden="1"/>
    <cellStyle name="Финансовый [0] 2" xfId="1828" hidden="1"/>
    <cellStyle name="Финансовый [0] 2" xfId="1853" hidden="1"/>
    <cellStyle name="Финансовый [0] 2" xfId="1859" hidden="1"/>
    <cellStyle name="Финансовый [0] 2" xfId="1869" hidden="1"/>
    <cellStyle name="Финансовый [0] 2" xfId="1877" hidden="1"/>
    <cellStyle name="Финансовый [0] 2" xfId="1891" hidden="1"/>
    <cellStyle name="Финансовый [0] 2" xfId="1873" hidden="1"/>
    <cellStyle name="Финансовый [0] 2" xfId="1898" hidden="1"/>
    <cellStyle name="Финансовый [0] 2" xfId="1498" hidden="1"/>
    <cellStyle name="Финансовый [0] 2" xfId="1361" hidden="1"/>
    <cellStyle name="Финансовый [0] 2" xfId="1351" hidden="1"/>
    <cellStyle name="Финансовый [0] 2" xfId="1337" hidden="1"/>
    <cellStyle name="Финансовый [0] 2" xfId="1356" hidden="1"/>
    <cellStyle name="Финансовый [0] 2" xfId="1330" hidden="1"/>
    <cellStyle name="Финансовый [0] 2" xfId="1320" hidden="1"/>
    <cellStyle name="Финансовый [0] 2" xfId="1303" hidden="1"/>
    <cellStyle name="Финансовый [0] 2" xfId="1295" hidden="1"/>
    <cellStyle name="Финансовый [0] 2" xfId="1281" hidden="1"/>
    <cellStyle name="Финансовый [0] 2" xfId="1299" hidden="1"/>
    <cellStyle name="Финансовый [0] 2" xfId="1274" hidden="1"/>
    <cellStyle name="Финансовый [0] 2" xfId="1158" hidden="1"/>
    <cellStyle name="Финансовый [0] 2" xfId="1112" hidden="1"/>
    <cellStyle name="Финансовый [0] 2" xfId="1103" hidden="1"/>
    <cellStyle name="Финансовый [0] 2" xfId="1089" hidden="1"/>
    <cellStyle name="Финансовый [0] 2" xfId="1107" hidden="1"/>
    <cellStyle name="Финансовый [0] 2" xfId="1082" hidden="1"/>
    <cellStyle name="Финансовый [0] 2" xfId="1073" hidden="1"/>
    <cellStyle name="Финансовый [0] 2" xfId="1909" hidden="1"/>
    <cellStyle name="Финансовый [0] 2" xfId="1917" hidden="1"/>
    <cellStyle name="Финансовый [0] 2" xfId="1931" hidden="1"/>
    <cellStyle name="Финансовый [0] 2" xfId="1913" hidden="1"/>
    <cellStyle name="Финансовый [0] 2" xfId="1938" hidden="1"/>
    <cellStyle name="Финансовый [0] 2" xfId="1950" hidden="1"/>
    <cellStyle name="Финансовый [0] 2" xfId="1960" hidden="1"/>
    <cellStyle name="Финансовый [0] 2" xfId="1968" hidden="1"/>
    <cellStyle name="Финансовый [0] 2" xfId="1982" hidden="1"/>
    <cellStyle name="Финансовый [0] 2" xfId="1964" hidden="1"/>
    <cellStyle name="Финансовый [0] 2" xfId="1989" hidden="1"/>
    <cellStyle name="Финансовый [0] 2" xfId="1995" hidden="1"/>
    <cellStyle name="Финансовый [0] 2" xfId="2005" hidden="1"/>
    <cellStyle name="Финансовый [0] 2" xfId="2013" hidden="1"/>
    <cellStyle name="Финансовый [0] 2" xfId="2027" hidden="1"/>
    <cellStyle name="Финансовый [0] 2" xfId="2009" hidden="1"/>
    <cellStyle name="Финансовый [0] 2" xfId="2034" hidden="1"/>
    <cellStyle name="Финансовый [0] 2" xfId="2043" hidden="1"/>
    <cellStyle name="Финансовый [0] 2" xfId="2053" hidden="1"/>
    <cellStyle name="Финансовый [0] 2" xfId="2061" hidden="1"/>
    <cellStyle name="Финансовый [0] 2" xfId="2075" hidden="1"/>
    <cellStyle name="Финансовый [0] 2" xfId="2057" hidden="1"/>
    <cellStyle name="Финансовый [0] 2" xfId="2082" hidden="1"/>
    <cellStyle name="Финансовый [0] 2" xfId="2088" hidden="1"/>
    <cellStyle name="Финансовый [0] 2" xfId="2098" hidden="1"/>
    <cellStyle name="Финансовый [0] 2" xfId="2106" hidden="1"/>
    <cellStyle name="Финансовый [0] 2" xfId="2120" hidden="1"/>
    <cellStyle name="Финансовый [0] 2" xfId="2102" hidden="1"/>
    <cellStyle name="Финансовый [0] 2" xfId="2127" hidden="1"/>
    <cellStyle name="Финансовый [0] 2" xfId="2134" hidden="1"/>
    <cellStyle name="Финансовый [0] 2" xfId="2144" hidden="1"/>
    <cellStyle name="Финансовый [0] 2" xfId="2152" hidden="1"/>
    <cellStyle name="Финансовый [0] 2" xfId="2166" hidden="1"/>
    <cellStyle name="Финансовый [0] 2" xfId="2148" hidden="1"/>
    <cellStyle name="Финансовый [0] 2" xfId="2173" hidden="1"/>
    <cellStyle name="Финансовый [0] 2" xfId="2179" hidden="1"/>
    <cellStyle name="Финансовый [0] 2" xfId="2189" hidden="1"/>
    <cellStyle name="Финансовый [0] 2" xfId="2197" hidden="1"/>
    <cellStyle name="Финансовый [0] 2" xfId="2211" hidden="1"/>
    <cellStyle name="Финансовый [0] 2" xfId="2193" hidden="1"/>
    <cellStyle name="Финансовый [0] 2" xfId="2218" hidden="1"/>
    <cellStyle name="Финансовый [0] 2" xfId="2223" hidden="1"/>
    <cellStyle name="Финансовый [0] 2" xfId="2233" hidden="1"/>
    <cellStyle name="Финансовый [0] 2" xfId="2241" hidden="1"/>
    <cellStyle name="Финансовый [0] 2" xfId="2255" hidden="1"/>
    <cellStyle name="Финансовый [0] 2" xfId="2237" hidden="1"/>
    <cellStyle name="Финансовый [0] 2" xfId="2262" hidden="1"/>
    <cellStyle name="Финансовый [0] 2" xfId="2268" hidden="1"/>
    <cellStyle name="Финансовый [0] 2" xfId="2278" hidden="1"/>
    <cellStyle name="Финансовый [0] 2" xfId="2285" hidden="1"/>
    <cellStyle name="Финансовый [0] 2" xfId="2299" hidden="1"/>
    <cellStyle name="Финансовый [0] 2" xfId="2281" hidden="1"/>
    <cellStyle name="Финансовый [0] 2" xfId="2306" hidden="1"/>
    <cellStyle name="Финансовый [0] 2" xfId="1945" hidden="1"/>
    <cellStyle name="Финансовый [0] 2" xfId="1540" hidden="1"/>
    <cellStyle name="Финансовый [0] 2" xfId="1533" hidden="1"/>
    <cellStyle name="Финансовый [0] 2" xfId="1519" hidden="1"/>
    <cellStyle name="Финансовый [0] 2" xfId="1537" hidden="1"/>
    <cellStyle name="Финансовый [0] 2" xfId="1512" hidden="1"/>
    <cellStyle name="Финансовый [0] 2" xfId="1499" hidden="1"/>
    <cellStyle name="Финансовый [0] 2" xfId="1484" hidden="1"/>
    <cellStyle name="Финансовый [0] 2" xfId="1477" hidden="1"/>
    <cellStyle name="Финансовый [0] 2" xfId="1463" hidden="1"/>
    <cellStyle name="Финансовый [0] 2" xfId="1481" hidden="1"/>
    <cellStyle name="Финансовый [0] 2" xfId="1456" hidden="1"/>
    <cellStyle name="Финансовый [0] 2" xfId="1184" hidden="1"/>
    <cellStyle name="Финансовый [0] 2" xfId="1141" hidden="1"/>
    <cellStyle name="Финансовый [0] 2" xfId="1134" hidden="1"/>
    <cellStyle name="Финансовый [0] 2" xfId="1120" hidden="1"/>
    <cellStyle name="Финансовый [0] 2" xfId="1138" hidden="1"/>
    <cellStyle name="Финансовый [0] 2" xfId="2309" hidden="1"/>
    <cellStyle name="Финансовый [0] 2" xfId="2265" hidden="1"/>
    <cellStyle name="Финансовый [0] 2" xfId="1109" hidden="1"/>
    <cellStyle name="Финансовый [0] 2" xfId="2264" hidden="1"/>
    <cellStyle name="Финансовый [0] 2" xfId="1355" hidden="1"/>
    <cellStyle name="Финансовый [0] 2" xfId="2191" hidden="1"/>
    <cellStyle name="Финансовый [0] 2" xfId="1366" hidden="1"/>
    <cellStyle name="Финансовый [0] 2" xfId="2312" hidden="1"/>
    <cellStyle name="Финансовый [0] 2" xfId="2322" hidden="1"/>
    <cellStyle name="Финансовый [0] 2" xfId="2329" hidden="1"/>
    <cellStyle name="Финансовый [0] 2" xfId="2343" hidden="1"/>
    <cellStyle name="Финансовый [0] 2" xfId="2325" hidden="1"/>
    <cellStyle name="Финансовый [0] 2" xfId="2350" hidden="1"/>
    <cellStyle name="Финансовый [0] 2" xfId="2354" hidden="1"/>
    <cellStyle name="Финансовый [0] 2" xfId="2364" hidden="1"/>
    <cellStyle name="Финансовый [0] 2" xfId="2371" hidden="1"/>
    <cellStyle name="Финансовый [0] 2" xfId="2385" hidden="1"/>
    <cellStyle name="Финансовый [0] 2" xfId="2367" hidden="1"/>
    <cellStyle name="Финансовый [0] 2" xfId="2392" hidden="1"/>
    <cellStyle name="Финансовый [0] 2" xfId="2396" hidden="1"/>
    <cellStyle name="Финансовый [0] 2" xfId="2406" hidden="1"/>
    <cellStyle name="Финансовый [0] 2" xfId="2413" hidden="1"/>
    <cellStyle name="Финансовый [0] 2" xfId="2427" hidden="1"/>
    <cellStyle name="Финансовый [0] 2" xfId="2409" hidden="1"/>
    <cellStyle name="Финансовый [0] 2" xfId="2434" hidden="1"/>
    <cellStyle name="Финансовый [0] 2" xfId="2438" hidden="1"/>
    <cellStyle name="Финансовый [0] 2" xfId="2448" hidden="1"/>
    <cellStyle name="Финансовый [0] 2" xfId="2455" hidden="1"/>
    <cellStyle name="Финансовый [0] 2" xfId="2469" hidden="1"/>
    <cellStyle name="Финансовый [0] 2" xfId="2451" hidden="1"/>
    <cellStyle name="Финансовый [0] 2" xfId="2476" hidden="1"/>
    <cellStyle name="Финансовый [0] 2" xfId="2481" hidden="1"/>
    <cellStyle name="Финансовый [0] 2" xfId="2491" hidden="1"/>
    <cellStyle name="Финансовый [0] 2" xfId="2498" hidden="1"/>
    <cellStyle name="Финансовый [0] 2" xfId="2512" hidden="1"/>
    <cellStyle name="Финансовый [0] 2" xfId="2494" hidden="1"/>
    <cellStyle name="Финансовый [0] 2" xfId="2519" hidden="1"/>
    <cellStyle name="Финансовый [0] 2" xfId="2523" hidden="1"/>
    <cellStyle name="Финансовый [0] 2" xfId="2533" hidden="1"/>
    <cellStyle name="Финансовый [0] 2" xfId="2540" hidden="1"/>
    <cellStyle name="Финансовый [0] 2" xfId="2554" hidden="1"/>
    <cellStyle name="Финансовый [0] 2" xfId="2536" hidden="1"/>
    <cellStyle name="Финансовый [0] 2" xfId="2561" hidden="1"/>
    <cellStyle name="Финансовый [0] 2" xfId="2565" hidden="1"/>
    <cellStyle name="Финансовый [0] 2" xfId="2575" hidden="1"/>
    <cellStyle name="Финансовый [0] 2" xfId="2582" hidden="1"/>
    <cellStyle name="Финансовый [0] 2" xfId="2596" hidden="1"/>
    <cellStyle name="Финансовый [0] 2" xfId="2578" hidden="1"/>
    <cellStyle name="Финансовый [0] 2" xfId="2603" hidden="1"/>
    <cellStyle name="Финансовый [0] 2" xfId="2607" hidden="1"/>
    <cellStyle name="Финансовый [0] 2" xfId="2617" hidden="1"/>
    <cellStyle name="Финансовый [0] 2" xfId="2624" hidden="1"/>
    <cellStyle name="Финансовый [0] 2" xfId="2638" hidden="1"/>
    <cellStyle name="Финансовый [0] 2" xfId="2620" hidden="1"/>
    <cellStyle name="Финансовый [0] 2" xfId="2645" hidden="1"/>
    <cellStyle name="Финансовый [0] 2" xfId="2701" hidden="1"/>
    <cellStyle name="Финансовый [0] 2" xfId="2722" hidden="1"/>
    <cellStyle name="Финансовый [0] 2" xfId="2731" hidden="1"/>
    <cellStyle name="Финансовый [0] 2" xfId="2745" hidden="1"/>
    <cellStyle name="Финансовый [0] 2" xfId="2727" hidden="1"/>
    <cellStyle name="Финансовый [0] 2" xfId="2752" hidden="1"/>
    <cellStyle name="Финансовый [0] 2" xfId="2756" hidden="1"/>
    <cellStyle name="Финансовый [0] 2" xfId="2766" hidden="1"/>
    <cellStyle name="Финансовый [0] 2" xfId="2773" hidden="1"/>
    <cellStyle name="Финансовый [0] 2" xfId="2787" hidden="1"/>
    <cellStyle name="Финансовый [0] 2" xfId="2769" hidden="1"/>
    <cellStyle name="Финансовый [0] 2" xfId="2794" hidden="1"/>
    <cellStyle name="Финансовый [0] 2" xfId="2838" hidden="1"/>
    <cellStyle name="Финансовый [0] 2" xfId="2904" hidden="1"/>
    <cellStyle name="Финансовый [0] 2" xfId="2911" hidden="1"/>
    <cellStyle name="Финансовый [0] 2" xfId="2925" hidden="1"/>
    <cellStyle name="Финансовый [0] 2" xfId="2907" hidden="1"/>
    <cellStyle name="Финансовый [0] 2" xfId="2932" hidden="1"/>
    <cellStyle name="Финансовый [0] 2" xfId="2936" hidden="1"/>
    <cellStyle name="Финансовый [0] 2" xfId="2946" hidden="1"/>
    <cellStyle name="Финансовый [0] 2" xfId="2953" hidden="1"/>
    <cellStyle name="Финансовый [0] 2" xfId="2967" hidden="1"/>
    <cellStyle name="Финансовый [0] 2" xfId="2949" hidden="1"/>
    <cellStyle name="Финансовый [0] 2" xfId="2974" hidden="1"/>
    <cellStyle name="Финансовый [0] 2" xfId="3028" hidden="1"/>
    <cellStyle name="Финансовый [0] 2" xfId="3073" hidden="1"/>
    <cellStyle name="Финансовый [0] 2" xfId="3081" hidden="1"/>
    <cellStyle name="Финансовый [0] 2" xfId="3095" hidden="1"/>
    <cellStyle name="Финансовый [0] 2" xfId="3077" hidden="1"/>
    <cellStyle name="Финансовый [0] 2" xfId="3102" hidden="1"/>
    <cellStyle name="Финансовый [0] 2" xfId="3106" hidden="1"/>
    <cellStyle name="Финансовый [0] 2" xfId="3116" hidden="1"/>
    <cellStyle name="Финансовый [0] 2" xfId="3123" hidden="1"/>
    <cellStyle name="Финансовый [0] 2" xfId="3137" hidden="1"/>
    <cellStyle name="Финансовый [0] 2" xfId="3119" hidden="1"/>
    <cellStyle name="Финансовый [0] 2" xfId="3144" hidden="1"/>
    <cellStyle name="Финансовый [0] 2" xfId="3148" hidden="1"/>
    <cellStyle name="Финансовый [0] 2" xfId="3158" hidden="1"/>
    <cellStyle name="Финансовый [0] 2" xfId="3165" hidden="1"/>
    <cellStyle name="Финансовый [0] 2" xfId="3179" hidden="1"/>
    <cellStyle name="Финансовый [0] 2" xfId="3161" hidden="1"/>
    <cellStyle name="Финансовый [0] 2" xfId="3186" hidden="1"/>
    <cellStyle name="Финансовый [0] 2" xfId="3190" hidden="1"/>
    <cellStyle name="Финансовый [0] 2" xfId="3200" hidden="1"/>
    <cellStyle name="Финансовый [0] 2" xfId="3207" hidden="1"/>
    <cellStyle name="Финансовый [0] 2" xfId="3221" hidden="1"/>
    <cellStyle name="Финансовый [0] 2" xfId="3203" hidden="1"/>
    <cellStyle name="Финансовый [0] 2" xfId="3228" hidden="1"/>
    <cellStyle name="Финансовый [0] 2" xfId="3233" hidden="1"/>
    <cellStyle name="Финансовый [0] 2" xfId="3243" hidden="1"/>
    <cellStyle name="Финансовый [0] 2" xfId="3250" hidden="1"/>
    <cellStyle name="Финансовый [0] 2" xfId="3264" hidden="1"/>
    <cellStyle name="Финансовый [0] 2" xfId="3246" hidden="1"/>
    <cellStyle name="Финансовый [0] 2" xfId="3271" hidden="1"/>
    <cellStyle name="Финансовый [0] 2" xfId="3275" hidden="1"/>
    <cellStyle name="Финансовый [0] 2" xfId="3285" hidden="1"/>
    <cellStyle name="Финансовый [0] 2" xfId="3292" hidden="1"/>
    <cellStyle name="Финансовый [0] 2" xfId="3306" hidden="1"/>
    <cellStyle name="Финансовый [0] 2" xfId="3288" hidden="1"/>
    <cellStyle name="Финансовый [0] 2" xfId="3313" hidden="1"/>
    <cellStyle name="Финансовый [0] 2" xfId="3317" hidden="1"/>
    <cellStyle name="Финансовый [0] 2" xfId="3327" hidden="1"/>
    <cellStyle name="Финансовый [0] 2" xfId="3334" hidden="1"/>
    <cellStyle name="Финансовый [0] 2" xfId="3348" hidden="1"/>
    <cellStyle name="Финансовый [0] 2" xfId="3330" hidden="1"/>
    <cellStyle name="Финансовый [0] 2" xfId="3355" hidden="1"/>
    <cellStyle name="Финансовый [0] 2" xfId="3359" hidden="1"/>
    <cellStyle name="Финансовый [0] 2" xfId="3369" hidden="1"/>
    <cellStyle name="Финансовый [0] 2" xfId="3376" hidden="1"/>
    <cellStyle name="Финансовый [0] 2" xfId="3390" hidden="1"/>
    <cellStyle name="Финансовый [0] 2" xfId="3372" hidden="1"/>
    <cellStyle name="Финансовый [0] 2" xfId="3397" hidden="1"/>
    <cellStyle name="Финансовый [0] 2" xfId="3020" hidden="1"/>
    <cellStyle name="Финансовый [0] 2" xfId="2890" hidden="1"/>
    <cellStyle name="Финансовый [0] 2" xfId="2880" hidden="1"/>
    <cellStyle name="Финансовый [0] 2" xfId="2866" hidden="1"/>
    <cellStyle name="Финансовый [0] 2" xfId="2885" hidden="1"/>
    <cellStyle name="Финансовый [0] 2" xfId="2859" hidden="1"/>
    <cellStyle name="Финансовый [0] 2" xfId="2849" hidden="1"/>
    <cellStyle name="Финансовый [0] 2" xfId="2832" hidden="1"/>
    <cellStyle name="Финансовый [0] 2" xfId="2824" hidden="1"/>
    <cellStyle name="Финансовый [0] 2" xfId="2810" hidden="1"/>
    <cellStyle name="Финансовый [0] 2" xfId="2828" hidden="1"/>
    <cellStyle name="Финансовый [0] 2" xfId="2803" hidden="1"/>
    <cellStyle name="Финансовый [0] 2" xfId="2710" hidden="1"/>
    <cellStyle name="Финансовый [0] 2" xfId="2664" hidden="1"/>
    <cellStyle name="Финансовый [0] 2" xfId="2655" hidden="1"/>
    <cellStyle name="Финансовый [0] 2" xfId="1219" hidden="1"/>
    <cellStyle name="Финансовый [0] 2" xfId="2659" hidden="1"/>
    <cellStyle name="Финансовый [0] 2" xfId="1453" hidden="1"/>
    <cellStyle name="Финансовый [0] 2" xfId="1189" hidden="1"/>
    <cellStyle name="Финансовый [0] 2" xfId="3406" hidden="1"/>
    <cellStyle name="Финансовый [0] 2" xfId="3414" hidden="1"/>
    <cellStyle name="Финансовый [0] 2" xfId="3428" hidden="1"/>
    <cellStyle name="Финансовый [0] 2" xfId="3410" hidden="1"/>
    <cellStyle name="Финансовый [0] 2" xfId="3435" hidden="1"/>
    <cellStyle name="Финансовый [0] 2" xfId="3447" hidden="1"/>
    <cellStyle name="Финансовый [0] 2" xfId="3457" hidden="1"/>
    <cellStyle name="Финансовый [0] 2" xfId="3465" hidden="1"/>
    <cellStyle name="Финансовый [0] 2" xfId="3479" hidden="1"/>
    <cellStyle name="Финансовый [0] 2" xfId="3461" hidden="1"/>
    <cellStyle name="Финансовый [0] 2" xfId="3486" hidden="1"/>
    <cellStyle name="Финансовый [0] 2" xfId="3492" hidden="1"/>
    <cellStyle name="Финансовый [0] 2" xfId="3502" hidden="1"/>
    <cellStyle name="Финансовый [0] 2" xfId="3510" hidden="1"/>
    <cellStyle name="Финансовый [0] 2" xfId="3524" hidden="1"/>
    <cellStyle name="Финансовый [0] 2" xfId="3506" hidden="1"/>
    <cellStyle name="Финансовый [0] 2" xfId="3531" hidden="1"/>
    <cellStyle name="Финансовый [0] 2" xfId="3540" hidden="1"/>
    <cellStyle name="Финансовый [0] 2" xfId="3550" hidden="1"/>
    <cellStyle name="Финансовый [0] 2" xfId="3558" hidden="1"/>
    <cellStyle name="Финансовый [0] 2" xfId="3572" hidden="1"/>
    <cellStyle name="Финансовый [0] 2" xfId="3554" hidden="1"/>
    <cellStyle name="Финансовый [0] 2" xfId="3579" hidden="1"/>
    <cellStyle name="Финансовый [0] 2" xfId="3585" hidden="1"/>
    <cellStyle name="Финансовый [0] 2" xfId="3595" hidden="1"/>
    <cellStyle name="Финансовый [0] 2" xfId="3603" hidden="1"/>
    <cellStyle name="Финансовый [0] 2" xfId="3617" hidden="1"/>
    <cellStyle name="Финансовый [0] 2" xfId="3599" hidden="1"/>
    <cellStyle name="Финансовый [0] 2" xfId="3624" hidden="1"/>
    <cellStyle name="Финансовый [0] 2" xfId="3631" hidden="1"/>
    <cellStyle name="Финансовый [0] 2" xfId="3641" hidden="1"/>
    <cellStyle name="Финансовый [0] 2" xfId="3649" hidden="1"/>
    <cellStyle name="Финансовый [0] 2" xfId="3663" hidden="1"/>
    <cellStyle name="Финансовый [0] 2" xfId="3645" hidden="1"/>
    <cellStyle name="Финансовый [0] 2" xfId="3670" hidden="1"/>
    <cellStyle name="Финансовый [0] 2" xfId="3676" hidden="1"/>
    <cellStyle name="Финансовый [0] 2" xfId="3686" hidden="1"/>
    <cellStyle name="Финансовый [0] 2" xfId="3694" hidden="1"/>
    <cellStyle name="Финансовый [0] 2" xfId="3708" hidden="1"/>
    <cellStyle name="Финансовый [0] 2" xfId="3690" hidden="1"/>
    <cellStyle name="Финансовый [0] 2" xfId="3715" hidden="1"/>
    <cellStyle name="Финансовый [0] 2" xfId="3720" hidden="1"/>
    <cellStyle name="Финансовый [0] 2" xfId="3730" hidden="1"/>
    <cellStyle name="Финансовый [0] 2" xfId="3738" hidden="1"/>
    <cellStyle name="Финансовый [0] 2" xfId="3752" hidden="1"/>
    <cellStyle name="Финансовый [0] 2" xfId="3734" hidden="1"/>
    <cellStyle name="Финансовый [0] 2" xfId="3759" hidden="1"/>
    <cellStyle name="Финансовый [0] 2" xfId="3765" hidden="1"/>
    <cellStyle name="Финансовый [0] 2" xfId="3775" hidden="1"/>
    <cellStyle name="Финансовый [0] 2" xfId="3782" hidden="1"/>
    <cellStyle name="Финансовый [0] 2" xfId="3796" hidden="1"/>
    <cellStyle name="Финансовый [0] 2" xfId="3778" hidden="1"/>
    <cellStyle name="Финансовый [0] 2" xfId="3803" hidden="1"/>
    <cellStyle name="Финансовый [0] 2" xfId="3442" hidden="1"/>
    <cellStyle name="Финансовый [0] 2" xfId="3062" hidden="1"/>
    <cellStyle name="Финансовый [0] 2" xfId="3055" hidden="1"/>
    <cellStyle name="Финансовый [0] 2" xfId="3041" hidden="1"/>
    <cellStyle name="Финансовый [0] 2" xfId="3059" hidden="1"/>
    <cellStyle name="Финансовый [0] 2" xfId="3034" hidden="1"/>
    <cellStyle name="Финансовый [0] 2" xfId="3021" hidden="1"/>
    <cellStyle name="Финансовый [0] 2" xfId="3006" hidden="1"/>
    <cellStyle name="Финансовый [0] 2" xfId="2999" hidden="1"/>
    <cellStyle name="Финансовый [0] 2" xfId="2985" hidden="1"/>
    <cellStyle name="Финансовый [0] 2" xfId="3003" hidden="1"/>
    <cellStyle name="Финансовый [0] 2" xfId="2978" hidden="1"/>
    <cellStyle name="Финансовый [0] 2" xfId="2724" hidden="1"/>
    <cellStyle name="Финансовый [0] 2" xfId="2693" hidden="1"/>
    <cellStyle name="Финансовый [0] 2" xfId="2686" hidden="1"/>
    <cellStyle name="Финансовый [0] 2" xfId="2672" hidden="1"/>
    <cellStyle name="Финансовый [0] 2" xfId="2690" hidden="1"/>
    <cellStyle name="Финансовый [0] 2" xfId="3806" hidden="1"/>
    <cellStyle name="Финансовый [0] 2" xfId="3762" hidden="1"/>
    <cellStyle name="Финансовый [0] 2" xfId="2661" hidden="1"/>
    <cellStyle name="Финансовый [0] 2" xfId="3761" hidden="1"/>
    <cellStyle name="Финансовый [0] 2" xfId="2884" hidden="1"/>
    <cellStyle name="Финансовый [0] 2" xfId="3688" hidden="1"/>
    <cellStyle name="Финансовый [0] 2" xfId="2895" hidden="1"/>
    <cellStyle name="Финансовый [0] 2" xfId="3809" hidden="1"/>
    <cellStyle name="Финансовый [0] 2" xfId="3819" hidden="1"/>
    <cellStyle name="Финансовый [0] 2" xfId="3826" hidden="1"/>
    <cellStyle name="Финансовый [0] 2" xfId="3840" hidden="1"/>
    <cellStyle name="Финансовый [0] 2" xfId="3822" hidden="1"/>
    <cellStyle name="Финансовый [0] 2" xfId="3847" hidden="1"/>
    <cellStyle name="Финансовый [0] 2" xfId="3851" hidden="1"/>
    <cellStyle name="Финансовый [0] 2" xfId="3861" hidden="1"/>
    <cellStyle name="Финансовый [0] 2" xfId="3868" hidden="1"/>
    <cellStyle name="Финансовый [0] 2" xfId="3882" hidden="1"/>
    <cellStyle name="Финансовый [0] 2" xfId="3864" hidden="1"/>
    <cellStyle name="Финансовый [0] 2" xfId="3889" hidden="1"/>
    <cellStyle name="Финансовый [0] 2" xfId="3893" hidden="1"/>
    <cellStyle name="Финансовый [0] 2" xfId="3903" hidden="1"/>
    <cellStyle name="Финансовый [0] 2" xfId="3910" hidden="1"/>
    <cellStyle name="Финансовый [0] 2" xfId="3924" hidden="1"/>
    <cellStyle name="Финансовый [0] 2" xfId="3906" hidden="1"/>
    <cellStyle name="Финансовый [0] 2" xfId="3931" hidden="1"/>
    <cellStyle name="Финансовый [0] 2" xfId="3935" hidden="1"/>
    <cellStyle name="Финансовый [0] 2" xfId="3945" hidden="1"/>
    <cellStyle name="Финансовый [0] 2" xfId="3952" hidden="1"/>
    <cellStyle name="Финансовый [0] 2" xfId="3966" hidden="1"/>
    <cellStyle name="Финансовый [0] 2" xfId="3948" hidden="1"/>
    <cellStyle name="Финансовый [0] 2" xfId="3973" hidden="1"/>
    <cellStyle name="Финансовый [0] 2" xfId="3978" hidden="1"/>
    <cellStyle name="Финансовый [0] 2" xfId="3988" hidden="1"/>
    <cellStyle name="Финансовый [0] 2" xfId="3995" hidden="1"/>
    <cellStyle name="Финансовый [0] 2" xfId="4009" hidden="1"/>
    <cellStyle name="Финансовый [0] 2" xfId="3991" hidden="1"/>
    <cellStyle name="Финансовый [0] 2" xfId="4016" hidden="1"/>
    <cellStyle name="Финансовый [0] 2" xfId="4020" hidden="1"/>
    <cellStyle name="Финансовый [0] 2" xfId="4030" hidden="1"/>
    <cellStyle name="Финансовый [0] 2" xfId="4037" hidden="1"/>
    <cellStyle name="Финансовый [0] 2" xfId="4051" hidden="1"/>
    <cellStyle name="Финансовый [0] 2" xfId="4033" hidden="1"/>
    <cellStyle name="Финансовый [0] 2" xfId="4058" hidden="1"/>
    <cellStyle name="Финансовый [0] 2" xfId="4062" hidden="1"/>
    <cellStyle name="Финансовый [0] 2" xfId="4072" hidden="1"/>
    <cellStyle name="Финансовый [0] 2" xfId="4079" hidden="1"/>
    <cellStyle name="Финансовый [0] 2" xfId="4093" hidden="1"/>
    <cellStyle name="Финансовый [0] 2" xfId="4075" hidden="1"/>
    <cellStyle name="Финансовый [0] 2" xfId="4100" hidden="1"/>
    <cellStyle name="Финансовый [0] 2" xfId="4104" hidden="1"/>
    <cellStyle name="Финансовый [0] 2" xfId="4114" hidden="1"/>
    <cellStyle name="Финансовый [0] 2" xfId="4121" hidden="1"/>
    <cellStyle name="Финансовый [0] 2" xfId="4135" hidden="1"/>
    <cellStyle name="Финансовый [0] 2" xfId="4117" hidden="1"/>
    <cellStyle name="Финансовый [0] 2" xfId="4142" hidden="1"/>
    <cellStyle name="Финансовый [0] 2" xfId="4229" hidden="1"/>
    <cellStyle name="Финансовый [0] 2" xfId="4243" hidden="1"/>
    <cellStyle name="Финансовый [0] 2" xfId="4251" hidden="1"/>
    <cellStyle name="Финансовый [0] 2" xfId="4265" hidden="1"/>
    <cellStyle name="Финансовый [0] 2" xfId="4247" hidden="1"/>
    <cellStyle name="Финансовый [0] 2" xfId="4272" hidden="1"/>
    <cellStyle name="Финансовый [0] 2" xfId="4279" hidden="1"/>
    <cellStyle name="Финансовый [0] 2" xfId="4289" hidden="1"/>
    <cellStyle name="Финансовый [0] 2" xfId="4297" hidden="1"/>
    <cellStyle name="Финансовый [0] 2" xfId="4311" hidden="1"/>
    <cellStyle name="Финансовый [0] 2" xfId="4293" hidden="1"/>
    <cellStyle name="Финансовый [0] 2" xfId="4318" hidden="1"/>
    <cellStyle name="Финансовый [0] 2" xfId="4325" hidden="1"/>
    <cellStyle name="Финансовый [0] 2" xfId="4335" hidden="1"/>
    <cellStyle name="Финансовый [0] 2" xfId="4343" hidden="1"/>
    <cellStyle name="Финансовый [0] 2" xfId="4357" hidden="1"/>
    <cellStyle name="Финансовый [0] 2" xfId="4339" hidden="1"/>
    <cellStyle name="Финансовый [0] 2" xfId="4364" hidden="1"/>
    <cellStyle name="Финансовый [0] 2" xfId="4370" hidden="1"/>
    <cellStyle name="Финансовый [0] 2" xfId="4380" hidden="1"/>
    <cellStyle name="Финансовый [0] 2" xfId="4388" hidden="1"/>
    <cellStyle name="Финансовый [0] 2" xfId="4402" hidden="1"/>
    <cellStyle name="Финансовый [0] 2" xfId="4384" hidden="1"/>
    <cellStyle name="Финансовый [0] 2" xfId="4409" hidden="1"/>
    <cellStyle name="Финансовый [0] 2" xfId="4415" hidden="1"/>
    <cellStyle name="Финансовый [0] 2" xfId="4425" hidden="1"/>
    <cellStyle name="Финансовый [0] 2" xfId="4433" hidden="1"/>
    <cellStyle name="Финансовый [0] 2" xfId="4447" hidden="1"/>
    <cellStyle name="Финансовый [0] 2" xfId="4429" hidden="1"/>
    <cellStyle name="Финансовый [0] 2" xfId="4454" hidden="1"/>
    <cellStyle name="Финансовый [0] 2" xfId="4460" hidden="1"/>
    <cellStyle name="Финансовый [0] 2" xfId="4470" hidden="1"/>
    <cellStyle name="Финансовый [0] 2" xfId="4478" hidden="1"/>
    <cellStyle name="Финансовый [0] 2" xfId="4492" hidden="1"/>
    <cellStyle name="Финансовый [0] 2" xfId="4474" hidden="1"/>
    <cellStyle name="Финансовый [0] 2" xfId="4499" hidden="1"/>
    <cellStyle name="Финансовый [0] 2" xfId="4507" hidden="1"/>
    <cellStyle name="Финансовый [0] 2" xfId="4517" hidden="1"/>
    <cellStyle name="Финансовый [0] 2" xfId="4525" hidden="1"/>
    <cellStyle name="Финансовый [0] 2" xfId="4539" hidden="1"/>
    <cellStyle name="Финансовый [0] 2" xfId="4521" hidden="1"/>
    <cellStyle name="Финансовый [0] 2" xfId="4546" hidden="1"/>
    <cellStyle name="Финансовый [0] 2" xfId="4552" hidden="1"/>
    <cellStyle name="Финансовый [0] 2" xfId="4562" hidden="1"/>
    <cellStyle name="Финансовый [0] 2" xfId="4570" hidden="1"/>
    <cellStyle name="Финансовый [0] 2" xfId="4584" hidden="1"/>
    <cellStyle name="Финансовый [0] 2" xfId="4566" hidden="1"/>
    <cellStyle name="Финансовый [0] 2" xfId="4591" hidden="1"/>
    <cellStyle name="Финансовый [0] 2" xfId="4598" hidden="1"/>
    <cellStyle name="Финансовый [0] 2" xfId="4608" hidden="1"/>
    <cellStyle name="Финансовый [0] 2" xfId="4616" hidden="1"/>
    <cellStyle name="Финансовый [0] 2" xfId="4630" hidden="1"/>
    <cellStyle name="Финансовый [0] 2" xfId="4612" hidden="1"/>
    <cellStyle name="Финансовый [0] 2" xfId="4637" hidden="1"/>
    <cellStyle name="Финансовый [0] 2" xfId="4643" hidden="1"/>
    <cellStyle name="Финансовый [0] 2" xfId="4653" hidden="1"/>
    <cellStyle name="Финансовый [0] 2" xfId="4661" hidden="1"/>
    <cellStyle name="Финансовый [0] 2" xfId="4675" hidden="1"/>
    <cellStyle name="Финансовый [0] 2" xfId="4657" hidden="1"/>
    <cellStyle name="Финансовый [0] 2" xfId="4682" hidden="1"/>
    <cellStyle name="Финансовый [0] 2" xfId="4688" hidden="1"/>
    <cellStyle name="Финансовый [0] 2" xfId="4698" hidden="1"/>
    <cellStyle name="Финансовый [0] 2" xfId="4706" hidden="1"/>
    <cellStyle name="Финансовый [0] 2" xfId="4720" hidden="1"/>
    <cellStyle name="Финансовый [0] 2" xfId="4702" hidden="1"/>
    <cellStyle name="Финансовый [0] 2" xfId="4727" hidden="1"/>
    <cellStyle name="Финансовый [0] 2" xfId="4733" hidden="1"/>
    <cellStyle name="Финансовый [0] 2" xfId="4743" hidden="1"/>
    <cellStyle name="Финансовый [0] 2" xfId="4751" hidden="1"/>
    <cellStyle name="Финансовый [0] 2" xfId="4765" hidden="1"/>
    <cellStyle name="Финансовый [0] 2" xfId="4747" hidden="1"/>
    <cellStyle name="Финансовый [0] 2" xfId="4772" hidden="1"/>
    <cellStyle name="Финансовый [0] 2" xfId="4855" hidden="1"/>
    <cellStyle name="Финансовый [0] 2" xfId="4888" hidden="1"/>
    <cellStyle name="Финансовый [0] 2" xfId="4899" hidden="1"/>
    <cellStyle name="Финансовый [0] 2" xfId="4913" hidden="1"/>
    <cellStyle name="Финансовый [0] 2" xfId="4894" hidden="1"/>
    <cellStyle name="Финансовый [0] 2" xfId="4920" hidden="1"/>
    <cellStyle name="Финансовый [0] 2" xfId="4929" hidden="1"/>
    <cellStyle name="Финансовый [0] 2" xfId="4939" hidden="1"/>
    <cellStyle name="Финансовый [0] 2" xfId="4947" hidden="1"/>
    <cellStyle name="Финансовый [0] 2" xfId="4961" hidden="1"/>
    <cellStyle name="Финансовый [0] 2" xfId="4943" hidden="1"/>
    <cellStyle name="Финансовый [0] 2" xfId="4968" hidden="1"/>
    <cellStyle name="Финансовый [0] 2" xfId="5015" hidden="1"/>
    <cellStyle name="Финансовый [0] 2" xfId="5081" hidden="1"/>
    <cellStyle name="Финансовый [0] 2" xfId="5089" hidden="1"/>
    <cellStyle name="Финансовый [0] 2" xfId="5103" hidden="1"/>
    <cellStyle name="Финансовый [0] 2" xfId="5085" hidden="1"/>
    <cellStyle name="Финансовый [0] 2" xfId="5110" hidden="1"/>
    <cellStyle name="Финансовый [0] 2" xfId="5116" hidden="1"/>
    <cellStyle name="Финансовый [0] 2" xfId="5126" hidden="1"/>
    <cellStyle name="Финансовый [0] 2" xfId="5134" hidden="1"/>
    <cellStyle name="Финансовый [0] 2" xfId="5148" hidden="1"/>
    <cellStyle name="Финансовый [0] 2" xfId="5130" hidden="1"/>
    <cellStyle name="Финансовый [0] 2" xfId="5155" hidden="1"/>
    <cellStyle name="Финансовый [0] 2" xfId="5212" hidden="1"/>
    <cellStyle name="Финансовый [0] 2" xfId="5257" hidden="1"/>
    <cellStyle name="Финансовый [0] 2" xfId="5266" hidden="1"/>
    <cellStyle name="Финансовый [0] 2" xfId="5280" hidden="1"/>
    <cellStyle name="Финансовый [0] 2" xfId="5262" hidden="1"/>
    <cellStyle name="Финансовый [0] 2" xfId="5287" hidden="1"/>
    <cellStyle name="Финансовый [0] 2" xfId="5293" hidden="1"/>
    <cellStyle name="Финансовый [0] 2" xfId="5303" hidden="1"/>
    <cellStyle name="Финансовый [0] 2" xfId="5311" hidden="1"/>
    <cellStyle name="Финансовый [0] 2" xfId="5325" hidden="1"/>
    <cellStyle name="Финансовый [0] 2" xfId="5307" hidden="1"/>
    <cellStyle name="Финансовый [0] 2" xfId="5332" hidden="1"/>
    <cellStyle name="Финансовый [0] 2" xfId="5339" hidden="1"/>
    <cellStyle name="Финансовый [0] 2" xfId="5349" hidden="1"/>
    <cellStyle name="Финансовый [0] 2" xfId="5357" hidden="1"/>
    <cellStyle name="Финансовый [0] 2" xfId="5371" hidden="1"/>
    <cellStyle name="Финансовый [0] 2" xfId="5353" hidden="1"/>
    <cellStyle name="Финансовый [0] 2" xfId="5378" hidden="1"/>
    <cellStyle name="Финансовый [0] 2" xfId="5384" hidden="1"/>
    <cellStyle name="Финансовый [0] 2" xfId="5394" hidden="1"/>
    <cellStyle name="Финансовый [0] 2" xfId="5402" hidden="1"/>
    <cellStyle name="Финансовый [0] 2" xfId="5416" hidden="1"/>
    <cellStyle name="Финансовый [0] 2" xfId="5398" hidden="1"/>
    <cellStyle name="Финансовый [0] 2" xfId="5423" hidden="1"/>
    <cellStyle name="Финансовый [0] 2" xfId="5430" hidden="1"/>
    <cellStyle name="Финансовый [0] 2" xfId="5440" hidden="1"/>
    <cellStyle name="Финансовый [0] 2" xfId="5448" hidden="1"/>
    <cellStyle name="Финансовый [0] 2" xfId="5462" hidden="1"/>
    <cellStyle name="Финансовый [0] 2" xfId="5444" hidden="1"/>
    <cellStyle name="Финансовый [0] 2" xfId="5469" hidden="1"/>
    <cellStyle name="Финансовый [0] 2" xfId="5475" hidden="1"/>
    <cellStyle name="Финансовый [0] 2" xfId="5485" hidden="1"/>
    <cellStyle name="Финансовый [0] 2" xfId="5493" hidden="1"/>
    <cellStyle name="Финансовый [0] 2" xfId="5507" hidden="1"/>
    <cellStyle name="Финансовый [0] 2" xfId="5489" hidden="1"/>
    <cellStyle name="Финансовый [0] 2" xfId="5514" hidden="1"/>
    <cellStyle name="Финансовый [0] 2" xfId="5520" hidden="1"/>
    <cellStyle name="Финансовый [0] 2" xfId="5530" hidden="1"/>
    <cellStyle name="Финансовый [0] 2" xfId="5538" hidden="1"/>
    <cellStyle name="Финансовый [0] 2" xfId="5552" hidden="1"/>
    <cellStyle name="Финансовый [0] 2" xfId="5534" hidden="1"/>
    <cellStyle name="Финансовый [0] 2" xfId="5559" hidden="1"/>
    <cellStyle name="Финансовый [0] 2" xfId="5565" hidden="1"/>
    <cellStyle name="Финансовый [0] 2" xfId="5575" hidden="1"/>
    <cellStyle name="Финансовый [0] 2" xfId="5583" hidden="1"/>
    <cellStyle name="Финансовый [0] 2" xfId="5597" hidden="1"/>
    <cellStyle name="Финансовый [0] 2" xfId="5579" hidden="1"/>
    <cellStyle name="Финансовый [0] 2" xfId="5604" hidden="1"/>
    <cellStyle name="Финансовый [0] 2" xfId="5204" hidden="1"/>
    <cellStyle name="Финансовый [0] 2" xfId="5067" hidden="1"/>
    <cellStyle name="Финансовый [0] 2" xfId="5057" hidden="1"/>
    <cellStyle name="Финансовый [0] 2" xfId="5043" hidden="1"/>
    <cellStyle name="Финансовый [0] 2" xfId="5062" hidden="1"/>
    <cellStyle name="Финансовый [0] 2" xfId="5036" hidden="1"/>
    <cellStyle name="Финансовый [0] 2" xfId="5026" hidden="1"/>
    <cellStyle name="Финансовый [0] 2" xfId="5009" hidden="1"/>
    <cellStyle name="Финансовый [0] 2" xfId="5001" hidden="1"/>
    <cellStyle name="Финансовый [0] 2" xfId="4987" hidden="1"/>
    <cellStyle name="Финансовый [0] 2" xfId="5005" hidden="1"/>
    <cellStyle name="Финансовый [0] 2" xfId="4980" hidden="1"/>
    <cellStyle name="Финансовый [0] 2" xfId="4864" hidden="1"/>
    <cellStyle name="Финансовый [0] 2" xfId="4818" hidden="1"/>
    <cellStyle name="Финансовый [0] 2" xfId="4809" hidden="1"/>
    <cellStyle name="Финансовый [0] 2" xfId="4795" hidden="1"/>
    <cellStyle name="Финансовый [0] 2" xfId="4813" hidden="1"/>
    <cellStyle name="Финансовый [0] 2" xfId="4788" hidden="1"/>
    <cellStyle name="Финансовый [0] 2" xfId="4779" hidden="1"/>
    <cellStyle name="Финансовый [0] 2" xfId="5615" hidden="1"/>
    <cellStyle name="Финансовый [0] 2" xfId="5623" hidden="1"/>
    <cellStyle name="Финансовый [0] 2" xfId="5637" hidden="1"/>
    <cellStyle name="Финансовый [0] 2" xfId="5619" hidden="1"/>
    <cellStyle name="Финансовый [0] 2" xfId="5644" hidden="1"/>
    <cellStyle name="Финансовый [0] 2" xfId="5656" hidden="1"/>
    <cellStyle name="Финансовый [0] 2" xfId="5666" hidden="1"/>
    <cellStyle name="Финансовый [0] 2" xfId="5674" hidden="1"/>
    <cellStyle name="Финансовый [0] 2" xfId="5688" hidden="1"/>
    <cellStyle name="Финансовый [0] 2" xfId="5670" hidden="1"/>
    <cellStyle name="Финансовый [0] 2" xfId="5695" hidden="1"/>
    <cellStyle name="Финансовый [0] 2" xfId="5701" hidden="1"/>
    <cellStyle name="Финансовый [0] 2" xfId="5711" hidden="1"/>
    <cellStyle name="Финансовый [0] 2" xfId="5719" hidden="1"/>
    <cellStyle name="Финансовый [0] 2" xfId="5733" hidden="1"/>
    <cellStyle name="Финансовый [0] 2" xfId="5715" hidden="1"/>
    <cellStyle name="Финансовый [0] 2" xfId="5740" hidden="1"/>
    <cellStyle name="Финансовый [0] 2" xfId="5749" hidden="1"/>
    <cellStyle name="Финансовый [0] 2" xfId="5759" hidden="1"/>
    <cellStyle name="Финансовый [0] 2" xfId="5767" hidden="1"/>
    <cellStyle name="Финансовый [0] 2" xfId="5781" hidden="1"/>
    <cellStyle name="Финансовый [0] 2" xfId="5763" hidden="1"/>
    <cellStyle name="Финансовый [0] 2" xfId="5788" hidden="1"/>
    <cellStyle name="Финансовый [0] 2" xfId="5794" hidden="1"/>
    <cellStyle name="Финансовый [0] 2" xfId="5804" hidden="1"/>
    <cellStyle name="Финансовый [0] 2" xfId="5812" hidden="1"/>
    <cellStyle name="Финансовый [0] 2" xfId="5826" hidden="1"/>
    <cellStyle name="Финансовый [0] 2" xfId="5808" hidden="1"/>
    <cellStyle name="Финансовый [0] 2" xfId="5833" hidden="1"/>
    <cellStyle name="Финансовый [0] 2" xfId="5840" hidden="1"/>
    <cellStyle name="Финансовый [0] 2" xfId="5850" hidden="1"/>
    <cellStyle name="Финансовый [0] 2" xfId="5858" hidden="1"/>
    <cellStyle name="Финансовый [0] 2" xfId="5872" hidden="1"/>
    <cellStyle name="Финансовый [0] 2" xfId="5854" hidden="1"/>
    <cellStyle name="Финансовый [0] 2" xfId="5879" hidden="1"/>
    <cellStyle name="Финансовый [0] 2" xfId="5885" hidden="1"/>
    <cellStyle name="Финансовый [0] 2" xfId="5895" hidden="1"/>
    <cellStyle name="Финансовый [0] 2" xfId="5903" hidden="1"/>
    <cellStyle name="Финансовый [0] 2" xfId="5917" hidden="1"/>
    <cellStyle name="Финансовый [0] 2" xfId="5899" hidden="1"/>
    <cellStyle name="Финансовый [0] 2" xfId="5924" hidden="1"/>
    <cellStyle name="Финансовый [0] 2" xfId="5929" hidden="1"/>
    <cellStyle name="Финансовый [0] 2" xfId="5939" hidden="1"/>
    <cellStyle name="Финансовый [0] 2" xfId="5947" hidden="1"/>
    <cellStyle name="Финансовый [0] 2" xfId="5961" hidden="1"/>
    <cellStyle name="Финансовый [0] 2" xfId="5943" hidden="1"/>
    <cellStyle name="Финансовый [0] 2" xfId="5968" hidden="1"/>
    <cellStyle name="Финансовый [0] 2" xfId="5974" hidden="1"/>
    <cellStyle name="Финансовый [0] 2" xfId="5984" hidden="1"/>
    <cellStyle name="Финансовый [0] 2" xfId="5991" hidden="1"/>
    <cellStyle name="Финансовый [0] 2" xfId="6005" hidden="1"/>
    <cellStyle name="Финансовый [0] 2" xfId="5987" hidden="1"/>
    <cellStyle name="Финансовый [0] 2" xfId="6012" hidden="1"/>
    <cellStyle name="Финансовый [0] 2" xfId="5651" hidden="1"/>
    <cellStyle name="Финансовый [0] 2" xfId="5246" hidden="1"/>
    <cellStyle name="Финансовый [0] 2" xfId="5239" hidden="1"/>
    <cellStyle name="Финансовый [0] 2" xfId="5225" hidden="1"/>
    <cellStyle name="Финансовый [0] 2" xfId="5243" hidden="1"/>
    <cellStyle name="Финансовый [0] 2" xfId="5218" hidden="1"/>
    <cellStyle name="Финансовый [0] 2" xfId="5205" hidden="1"/>
    <cellStyle name="Финансовый [0] 2" xfId="5190" hidden="1"/>
    <cellStyle name="Финансовый [0] 2" xfId="5183" hidden="1"/>
    <cellStyle name="Финансовый [0] 2" xfId="5169" hidden="1"/>
    <cellStyle name="Финансовый [0] 2" xfId="5187" hidden="1"/>
    <cellStyle name="Финансовый [0] 2" xfId="5162" hidden="1"/>
    <cellStyle name="Финансовый [0] 2" xfId="4890" hidden="1"/>
    <cellStyle name="Финансовый [0] 2" xfId="4847" hidden="1"/>
    <cellStyle name="Финансовый [0] 2" xfId="4840" hidden="1"/>
    <cellStyle name="Финансовый [0] 2" xfId="4826" hidden="1"/>
    <cellStyle name="Финансовый [0] 2" xfId="4844" hidden="1"/>
    <cellStyle name="Финансовый [0] 2" xfId="6015" hidden="1"/>
    <cellStyle name="Финансовый [0] 2" xfId="5971" hidden="1"/>
    <cellStyle name="Финансовый [0] 2" xfId="4815" hidden="1"/>
    <cellStyle name="Финансовый [0] 2" xfId="5970" hidden="1"/>
    <cellStyle name="Финансовый [0] 2" xfId="5061" hidden="1"/>
    <cellStyle name="Финансовый [0] 2" xfId="5897" hidden="1"/>
    <cellStyle name="Финансовый [0] 2" xfId="5072" hidden="1"/>
    <cellStyle name="Финансовый [0] 2" xfId="6018" hidden="1"/>
    <cellStyle name="Финансовый [0] 2" xfId="6028" hidden="1"/>
    <cellStyle name="Финансовый [0] 2" xfId="6035" hidden="1"/>
    <cellStyle name="Финансовый [0] 2" xfId="6049" hidden="1"/>
    <cellStyle name="Финансовый [0] 2" xfId="6031" hidden="1"/>
    <cellStyle name="Финансовый [0] 2" xfId="6056" hidden="1"/>
    <cellStyle name="Финансовый [0] 2" xfId="6060" hidden="1"/>
    <cellStyle name="Финансовый [0] 2" xfId="6070" hidden="1"/>
    <cellStyle name="Финансовый [0] 2" xfId="6077" hidden="1"/>
    <cellStyle name="Финансовый [0] 2" xfId="6091" hidden="1"/>
    <cellStyle name="Финансовый [0] 2" xfId="6073" hidden="1"/>
    <cellStyle name="Финансовый [0] 2" xfId="6098" hidden="1"/>
    <cellStyle name="Финансовый [0] 2" xfId="6102" hidden="1"/>
    <cellStyle name="Финансовый [0] 2" xfId="6112" hidden="1"/>
    <cellStyle name="Финансовый [0] 2" xfId="6119" hidden="1"/>
    <cellStyle name="Финансовый [0] 2" xfId="6133" hidden="1"/>
    <cellStyle name="Финансовый [0] 2" xfId="6115" hidden="1"/>
    <cellStyle name="Финансовый [0] 2" xfId="6140" hidden="1"/>
    <cellStyle name="Финансовый [0] 2" xfId="6144" hidden="1"/>
    <cellStyle name="Финансовый [0] 2" xfId="6154" hidden="1"/>
    <cellStyle name="Финансовый [0] 2" xfId="6161" hidden="1"/>
    <cellStyle name="Финансовый [0] 2" xfId="6175" hidden="1"/>
    <cellStyle name="Финансовый [0] 2" xfId="6157" hidden="1"/>
    <cellStyle name="Финансовый [0] 2" xfId="6182" hidden="1"/>
    <cellStyle name="Финансовый [0] 2" xfId="6187" hidden="1"/>
    <cellStyle name="Финансовый [0] 2" xfId="6197" hidden="1"/>
    <cellStyle name="Финансовый [0] 2" xfId="6204" hidden="1"/>
    <cellStyle name="Финансовый [0] 2" xfId="6218" hidden="1"/>
    <cellStyle name="Финансовый [0] 2" xfId="6200" hidden="1"/>
    <cellStyle name="Финансовый [0] 2" xfId="6225" hidden="1"/>
    <cellStyle name="Финансовый [0] 2" xfId="6229" hidden="1"/>
    <cellStyle name="Финансовый [0] 2" xfId="6239" hidden="1"/>
    <cellStyle name="Финансовый [0] 2" xfId="6246" hidden="1"/>
    <cellStyle name="Финансовый [0] 2" xfId="6260" hidden="1"/>
    <cellStyle name="Финансовый [0] 2" xfId="6242" hidden="1"/>
    <cellStyle name="Финансовый [0] 2" xfId="6267" hidden="1"/>
    <cellStyle name="Финансовый [0] 2" xfId="6271" hidden="1"/>
    <cellStyle name="Финансовый [0] 2" xfId="6281" hidden="1"/>
    <cellStyle name="Финансовый [0] 2" xfId="6288" hidden="1"/>
    <cellStyle name="Финансовый [0] 2" xfId="6302" hidden="1"/>
    <cellStyle name="Финансовый [0] 2" xfId="6284" hidden="1"/>
    <cellStyle name="Финансовый [0] 2" xfId="6309" hidden="1"/>
    <cellStyle name="Финансовый [0] 2" xfId="6313" hidden="1"/>
    <cellStyle name="Финансовый [0] 2" xfId="6323" hidden="1"/>
    <cellStyle name="Финансовый [0] 2" xfId="6330" hidden="1"/>
    <cellStyle name="Финансовый [0] 2" xfId="6344" hidden="1"/>
    <cellStyle name="Финансовый [0] 2" xfId="6326" hidden="1"/>
    <cellStyle name="Финансовый [0] 2" xfId="6351" hidden="1"/>
    <cellStyle name="Финансовый [0] 2" xfId="6407" hidden="1"/>
    <cellStyle name="Финансовый [0] 2" xfId="6428" hidden="1"/>
    <cellStyle name="Финансовый [0] 2" xfId="6437" hidden="1"/>
    <cellStyle name="Финансовый [0] 2" xfId="6451" hidden="1"/>
    <cellStyle name="Финансовый [0] 2" xfId="6433" hidden="1"/>
    <cellStyle name="Финансовый [0] 2" xfId="6458" hidden="1"/>
    <cellStyle name="Финансовый [0] 2" xfId="6462" hidden="1"/>
    <cellStyle name="Финансовый [0] 2" xfId="6472" hidden="1"/>
    <cellStyle name="Финансовый [0] 2" xfId="6479" hidden="1"/>
    <cellStyle name="Финансовый [0] 2" xfId="6493" hidden="1"/>
    <cellStyle name="Финансовый [0] 2" xfId="6475" hidden="1"/>
    <cellStyle name="Финансовый [0] 2" xfId="6500" hidden="1"/>
    <cellStyle name="Финансовый [0] 2" xfId="6544" hidden="1"/>
    <cellStyle name="Финансовый [0] 2" xfId="6610" hidden="1"/>
    <cellStyle name="Финансовый [0] 2" xfId="6617" hidden="1"/>
    <cellStyle name="Финансовый [0] 2" xfId="6631" hidden="1"/>
    <cellStyle name="Финансовый [0] 2" xfId="6613" hidden="1"/>
    <cellStyle name="Финансовый [0] 2" xfId="6638" hidden="1"/>
    <cellStyle name="Финансовый [0] 2" xfId="6642" hidden="1"/>
    <cellStyle name="Финансовый [0] 2" xfId="6652" hidden="1"/>
    <cellStyle name="Финансовый [0] 2" xfId="6659" hidden="1"/>
    <cellStyle name="Финансовый [0] 2" xfId="6673" hidden="1"/>
    <cellStyle name="Финансовый [0] 2" xfId="6655" hidden="1"/>
    <cellStyle name="Финансовый [0] 2" xfId="6680" hidden="1"/>
    <cellStyle name="Финансовый [0] 2" xfId="6734" hidden="1"/>
    <cellStyle name="Финансовый [0] 2" xfId="6779" hidden="1"/>
    <cellStyle name="Финансовый [0] 2" xfId="6787" hidden="1"/>
    <cellStyle name="Финансовый [0] 2" xfId="6801" hidden="1"/>
    <cellStyle name="Финансовый [0] 2" xfId="6783" hidden="1"/>
    <cellStyle name="Финансовый [0] 2" xfId="6808" hidden="1"/>
    <cellStyle name="Финансовый [0] 2" xfId="6812" hidden="1"/>
    <cellStyle name="Финансовый [0] 2" xfId="6822" hidden="1"/>
    <cellStyle name="Финансовый [0] 2" xfId="6829" hidden="1"/>
    <cellStyle name="Финансовый [0] 2" xfId="6843" hidden="1"/>
    <cellStyle name="Финансовый [0] 2" xfId="6825" hidden="1"/>
    <cellStyle name="Финансовый [0] 2" xfId="6850" hidden="1"/>
    <cellStyle name="Финансовый [0] 2" xfId="6854" hidden="1"/>
    <cellStyle name="Финансовый [0] 2" xfId="6864" hidden="1"/>
    <cellStyle name="Финансовый [0] 2" xfId="6871" hidden="1"/>
    <cellStyle name="Финансовый [0] 2" xfId="6885" hidden="1"/>
    <cellStyle name="Финансовый [0] 2" xfId="6867" hidden="1"/>
    <cellStyle name="Финансовый [0] 2" xfId="6892" hidden="1"/>
    <cellStyle name="Финансовый [0] 2" xfId="6896" hidden="1"/>
    <cellStyle name="Финансовый [0] 2" xfId="6906" hidden="1"/>
    <cellStyle name="Финансовый [0] 2" xfId="6913" hidden="1"/>
    <cellStyle name="Финансовый [0] 2" xfId="6927" hidden="1"/>
    <cellStyle name="Финансовый [0] 2" xfId="6909" hidden="1"/>
    <cellStyle name="Финансовый [0] 2" xfId="6934" hidden="1"/>
    <cellStyle name="Финансовый [0] 2" xfId="6939" hidden="1"/>
    <cellStyle name="Финансовый [0] 2" xfId="6949" hidden="1"/>
    <cellStyle name="Финансовый [0] 2" xfId="6956" hidden="1"/>
    <cellStyle name="Финансовый [0] 2" xfId="6970" hidden="1"/>
    <cellStyle name="Финансовый [0] 2" xfId="6952" hidden="1"/>
    <cellStyle name="Финансовый [0] 2" xfId="6977" hidden="1"/>
    <cellStyle name="Финансовый [0] 2" xfId="6981" hidden="1"/>
    <cellStyle name="Финансовый [0] 2" xfId="6991" hidden="1"/>
    <cellStyle name="Финансовый [0] 2" xfId="6998" hidden="1"/>
    <cellStyle name="Финансовый [0] 2" xfId="7012" hidden="1"/>
    <cellStyle name="Финансовый [0] 2" xfId="6994" hidden="1"/>
    <cellStyle name="Финансовый [0] 2" xfId="7019" hidden="1"/>
    <cellStyle name="Финансовый [0] 2" xfId="7023" hidden="1"/>
    <cellStyle name="Финансовый [0] 2" xfId="7033" hidden="1"/>
    <cellStyle name="Финансовый [0] 2" xfId="7040" hidden="1"/>
    <cellStyle name="Финансовый [0] 2" xfId="7054" hidden="1"/>
    <cellStyle name="Финансовый [0] 2" xfId="7036" hidden="1"/>
    <cellStyle name="Финансовый [0] 2" xfId="7061" hidden="1"/>
    <cellStyle name="Финансовый [0] 2" xfId="7065" hidden="1"/>
    <cellStyle name="Финансовый [0] 2" xfId="7075" hidden="1"/>
    <cellStyle name="Финансовый [0] 2" xfId="7082" hidden="1"/>
    <cellStyle name="Финансовый [0] 2" xfId="7096" hidden="1"/>
    <cellStyle name="Финансовый [0] 2" xfId="7078" hidden="1"/>
    <cellStyle name="Финансовый [0] 2" xfId="7103" hidden="1"/>
    <cellStyle name="Финансовый [0] 2" xfId="6726" hidden="1"/>
    <cellStyle name="Финансовый [0] 2" xfId="6596" hidden="1"/>
    <cellStyle name="Финансовый [0] 2" xfId="6586" hidden="1"/>
    <cellStyle name="Финансовый [0] 2" xfId="6572" hidden="1"/>
    <cellStyle name="Финансовый [0] 2" xfId="6591" hidden="1"/>
    <cellStyle name="Финансовый [0] 2" xfId="6565" hidden="1"/>
    <cellStyle name="Финансовый [0] 2" xfId="6555" hidden="1"/>
    <cellStyle name="Финансовый [0] 2" xfId="6538" hidden="1"/>
    <cellStyle name="Финансовый [0] 2" xfId="6530" hidden="1"/>
    <cellStyle name="Финансовый [0] 2" xfId="6516" hidden="1"/>
    <cellStyle name="Финансовый [0] 2" xfId="6534" hidden="1"/>
    <cellStyle name="Финансовый [0] 2" xfId="6509" hidden="1"/>
    <cellStyle name="Финансовый [0] 2" xfId="6416" hidden="1"/>
    <cellStyle name="Финансовый [0] 2" xfId="6370" hidden="1"/>
    <cellStyle name="Финансовый [0] 2" xfId="6361" hidden="1"/>
    <cellStyle name="Финансовый [0] 2" xfId="4925" hidden="1"/>
    <cellStyle name="Финансовый [0] 2" xfId="6365" hidden="1"/>
    <cellStyle name="Финансовый [0] 2" xfId="5159" hidden="1"/>
    <cellStyle name="Финансовый [0] 2" xfId="4895" hidden="1"/>
    <cellStyle name="Финансовый [0] 2" xfId="7112" hidden="1"/>
    <cellStyle name="Финансовый [0] 2" xfId="7120" hidden="1"/>
    <cellStyle name="Финансовый [0] 2" xfId="7134" hidden="1"/>
    <cellStyle name="Финансовый [0] 2" xfId="7116" hidden="1"/>
    <cellStyle name="Финансовый [0] 2" xfId="7141" hidden="1"/>
    <cellStyle name="Финансовый [0] 2" xfId="7153" hidden="1"/>
    <cellStyle name="Финансовый [0] 2" xfId="7163" hidden="1"/>
    <cellStyle name="Финансовый [0] 2" xfId="7171" hidden="1"/>
    <cellStyle name="Финансовый [0] 2" xfId="7185" hidden="1"/>
    <cellStyle name="Финансовый [0] 2" xfId="7167" hidden="1"/>
    <cellStyle name="Финансовый [0] 2" xfId="7192" hidden="1"/>
    <cellStyle name="Финансовый [0] 2" xfId="7198" hidden="1"/>
    <cellStyle name="Финансовый [0] 2" xfId="7208" hidden="1"/>
    <cellStyle name="Финансовый [0] 2" xfId="7216" hidden="1"/>
    <cellStyle name="Финансовый [0] 2" xfId="7230" hidden="1"/>
    <cellStyle name="Финансовый [0] 2" xfId="7212" hidden="1"/>
    <cellStyle name="Финансовый [0] 2" xfId="7237" hidden="1"/>
    <cellStyle name="Финансовый [0] 2" xfId="7246" hidden="1"/>
    <cellStyle name="Финансовый [0] 2" xfId="7256" hidden="1"/>
    <cellStyle name="Финансовый [0] 2" xfId="7264" hidden="1"/>
    <cellStyle name="Финансовый [0] 2" xfId="7278" hidden="1"/>
    <cellStyle name="Финансовый [0] 2" xfId="7260" hidden="1"/>
    <cellStyle name="Финансовый [0] 2" xfId="7285" hidden="1"/>
    <cellStyle name="Финансовый [0] 2" xfId="7291" hidden="1"/>
    <cellStyle name="Финансовый [0] 2" xfId="7301" hidden="1"/>
    <cellStyle name="Финансовый [0] 2" xfId="7309" hidden="1"/>
    <cellStyle name="Финансовый [0] 2" xfId="7323" hidden="1"/>
    <cellStyle name="Финансовый [0] 2" xfId="7305" hidden="1"/>
    <cellStyle name="Финансовый [0] 2" xfId="7330" hidden="1"/>
    <cellStyle name="Финансовый [0] 2" xfId="7337" hidden="1"/>
    <cellStyle name="Финансовый [0] 2" xfId="7347" hidden="1"/>
    <cellStyle name="Финансовый [0] 2" xfId="7355" hidden="1"/>
    <cellStyle name="Финансовый [0] 2" xfId="7369" hidden="1"/>
    <cellStyle name="Финансовый [0] 2" xfId="7351" hidden="1"/>
    <cellStyle name="Финансовый [0] 2" xfId="7376" hidden="1"/>
    <cellStyle name="Финансовый [0] 2" xfId="7382" hidden="1"/>
    <cellStyle name="Финансовый [0] 2" xfId="7392" hidden="1"/>
    <cellStyle name="Финансовый [0] 2" xfId="7400" hidden="1"/>
    <cellStyle name="Финансовый [0] 2" xfId="7414" hidden="1"/>
    <cellStyle name="Финансовый [0] 2" xfId="7396" hidden="1"/>
    <cellStyle name="Финансовый [0] 2" xfId="7421" hidden="1"/>
    <cellStyle name="Финансовый [0] 2" xfId="7426" hidden="1"/>
    <cellStyle name="Финансовый [0] 2" xfId="7436" hidden="1"/>
    <cellStyle name="Финансовый [0] 2" xfId="7444" hidden="1"/>
    <cellStyle name="Финансовый [0] 2" xfId="7458" hidden="1"/>
    <cellStyle name="Финансовый [0] 2" xfId="7440" hidden="1"/>
    <cellStyle name="Финансовый [0] 2" xfId="7465" hidden="1"/>
    <cellStyle name="Финансовый [0] 2" xfId="7471" hidden="1"/>
    <cellStyle name="Финансовый [0] 2" xfId="7481" hidden="1"/>
    <cellStyle name="Финансовый [0] 2" xfId="7488" hidden="1"/>
    <cellStyle name="Финансовый [0] 2" xfId="7502" hidden="1"/>
    <cellStyle name="Финансовый [0] 2" xfId="7484" hidden="1"/>
    <cellStyle name="Финансовый [0] 2" xfId="7509" hidden="1"/>
    <cellStyle name="Финансовый [0] 2" xfId="7148" hidden="1"/>
    <cellStyle name="Финансовый [0] 2" xfId="6768" hidden="1"/>
    <cellStyle name="Финансовый [0] 2" xfId="6761" hidden="1"/>
    <cellStyle name="Финансовый [0] 2" xfId="6747" hidden="1"/>
    <cellStyle name="Финансовый [0] 2" xfId="6765" hidden="1"/>
    <cellStyle name="Финансовый [0] 2" xfId="6740" hidden="1"/>
    <cellStyle name="Финансовый [0] 2" xfId="6727" hidden="1"/>
    <cellStyle name="Финансовый [0] 2" xfId="6712" hidden="1"/>
    <cellStyle name="Финансовый [0] 2" xfId="6705" hidden="1"/>
    <cellStyle name="Финансовый [0] 2" xfId="6691" hidden="1"/>
    <cellStyle name="Финансовый [0] 2" xfId="6709" hidden="1"/>
    <cellStyle name="Финансовый [0] 2" xfId="6684" hidden="1"/>
    <cellStyle name="Финансовый [0] 2" xfId="6430" hidden="1"/>
    <cellStyle name="Финансовый [0] 2" xfId="6399" hidden="1"/>
    <cellStyle name="Финансовый [0] 2" xfId="6392" hidden="1"/>
    <cellStyle name="Финансовый [0] 2" xfId="6378" hidden="1"/>
    <cellStyle name="Финансовый [0] 2" xfId="6396" hidden="1"/>
    <cellStyle name="Финансовый [0] 2" xfId="7512" hidden="1"/>
    <cellStyle name="Финансовый [0] 2" xfId="7468" hidden="1"/>
    <cellStyle name="Финансовый [0] 2" xfId="6367" hidden="1"/>
    <cellStyle name="Финансовый [0] 2" xfId="7467" hidden="1"/>
    <cellStyle name="Финансовый [0] 2" xfId="6590" hidden="1"/>
    <cellStyle name="Финансовый [0] 2" xfId="7394" hidden="1"/>
    <cellStyle name="Финансовый [0] 2" xfId="6601" hidden="1"/>
    <cellStyle name="Финансовый [0] 2" xfId="7515" hidden="1"/>
    <cellStyle name="Финансовый [0] 2" xfId="7525" hidden="1"/>
    <cellStyle name="Финансовый [0] 2" xfId="7532" hidden="1"/>
    <cellStyle name="Финансовый [0] 2" xfId="7546" hidden="1"/>
    <cellStyle name="Финансовый [0] 2" xfId="7528" hidden="1"/>
    <cellStyle name="Финансовый [0] 2" xfId="7553" hidden="1"/>
    <cellStyle name="Финансовый [0] 2" xfId="7557" hidden="1"/>
    <cellStyle name="Финансовый [0] 2" xfId="7567" hidden="1"/>
    <cellStyle name="Финансовый [0] 2" xfId="7574" hidden="1"/>
    <cellStyle name="Финансовый [0] 2" xfId="7588" hidden="1"/>
    <cellStyle name="Финансовый [0] 2" xfId="7570" hidden="1"/>
    <cellStyle name="Финансовый [0] 2" xfId="7595" hidden="1"/>
    <cellStyle name="Финансовый [0] 2" xfId="7599" hidden="1"/>
    <cellStyle name="Финансовый [0] 2" xfId="7609" hidden="1"/>
    <cellStyle name="Финансовый [0] 2" xfId="7616" hidden="1"/>
    <cellStyle name="Финансовый [0] 2" xfId="7630" hidden="1"/>
    <cellStyle name="Финансовый [0] 2" xfId="7612" hidden="1"/>
    <cellStyle name="Финансовый [0] 2" xfId="7637" hidden="1"/>
    <cellStyle name="Финансовый [0] 2" xfId="7641" hidden="1"/>
    <cellStyle name="Финансовый [0] 2" xfId="7651" hidden="1"/>
    <cellStyle name="Финансовый [0] 2" xfId="7658" hidden="1"/>
    <cellStyle name="Финансовый [0] 2" xfId="7672" hidden="1"/>
    <cellStyle name="Финансовый [0] 2" xfId="7654" hidden="1"/>
    <cellStyle name="Финансовый [0] 2" xfId="7679" hidden="1"/>
    <cellStyle name="Финансовый [0] 2" xfId="7684" hidden="1"/>
    <cellStyle name="Финансовый [0] 2" xfId="7694" hidden="1"/>
    <cellStyle name="Финансовый [0] 2" xfId="7701" hidden="1"/>
    <cellStyle name="Финансовый [0] 2" xfId="7715" hidden="1"/>
    <cellStyle name="Финансовый [0] 2" xfId="7697" hidden="1"/>
    <cellStyle name="Финансовый [0] 2" xfId="7722" hidden="1"/>
    <cellStyle name="Финансовый [0] 2" xfId="7726" hidden="1"/>
    <cellStyle name="Финансовый [0] 2" xfId="7736" hidden="1"/>
    <cellStyle name="Финансовый [0] 2" xfId="7743" hidden="1"/>
    <cellStyle name="Финансовый [0] 2" xfId="7757" hidden="1"/>
    <cellStyle name="Финансовый [0] 2" xfId="7739" hidden="1"/>
    <cellStyle name="Финансовый [0] 2" xfId="7764" hidden="1"/>
    <cellStyle name="Финансовый [0] 2" xfId="7768" hidden="1"/>
    <cellStyle name="Финансовый [0] 2" xfId="7778" hidden="1"/>
    <cellStyle name="Финансовый [0] 2" xfId="7785" hidden="1"/>
    <cellStyle name="Финансовый [0] 2" xfId="7799" hidden="1"/>
    <cellStyle name="Финансовый [0] 2" xfId="7781" hidden="1"/>
    <cellStyle name="Финансовый [0] 2" xfId="7806" hidden="1"/>
    <cellStyle name="Финансовый [0] 2" xfId="7810" hidden="1"/>
    <cellStyle name="Финансовый [0] 2" xfId="7820" hidden="1"/>
    <cellStyle name="Финансовый [0] 2" xfId="7827" hidden="1"/>
    <cellStyle name="Финансовый [0] 2" xfId="7841" hidden="1"/>
    <cellStyle name="Финансовый [0] 2" xfId="7823" hidden="1"/>
    <cellStyle name="Финансовый [0] 2" xfId="7848" hidden="1"/>
    <cellStyle name="Финансовый [0] 2" xfId="4239" hidden="1"/>
    <cellStyle name="Финансовый [0] 2" xfId="7852" hidden="1"/>
    <cellStyle name="Финансовый [0] 2" xfId="7853" hidden="1"/>
    <cellStyle name="Финансовый [0] 2" xfId="7863" hidden="1"/>
    <cellStyle name="Финансовый [0] 2" xfId="4204" hidden="1"/>
    <cellStyle name="Финансовый [0] 2" xfId="7869" hidden="1"/>
    <cellStyle name="Финансовый [0] 2" xfId="7873" hidden="1"/>
    <cellStyle name="Финансовый [0] 2" xfId="7881" hidden="1"/>
    <cellStyle name="Финансовый [0] 2" xfId="7888" hidden="1"/>
    <cellStyle name="Финансовый [0] 2" xfId="7899" hidden="1"/>
    <cellStyle name="Финансовый [0] 2" xfId="7884" hidden="1"/>
    <cellStyle name="Финансовый [0] 2" xfId="7905" hidden="1"/>
    <cellStyle name="Финансовый [0] 2" xfId="7910" hidden="1"/>
    <cellStyle name="Финансовый [0] 2" xfId="7918" hidden="1"/>
    <cellStyle name="Финансовый [0] 2" xfId="7925" hidden="1"/>
    <cellStyle name="Финансовый [0] 2" xfId="7936" hidden="1"/>
    <cellStyle name="Финансовый [0] 2" xfId="7921" hidden="1"/>
    <cellStyle name="Финансовый [0] 2" xfId="7942" hidden="1"/>
    <cellStyle name="Финансовый [0] 2" xfId="7946" hidden="1"/>
    <cellStyle name="Финансовый [0] 2" xfId="7954" hidden="1"/>
    <cellStyle name="Финансовый [0] 2" xfId="7961" hidden="1"/>
    <cellStyle name="Финансовый [0] 2" xfId="7972" hidden="1"/>
    <cellStyle name="Финансовый [0] 2" xfId="7957" hidden="1"/>
    <cellStyle name="Финансовый [0] 2" xfId="7978" hidden="1"/>
    <cellStyle name="Финансовый [0] 2" xfId="7982" hidden="1"/>
    <cellStyle name="Финансовый [0] 2" xfId="7990" hidden="1"/>
    <cellStyle name="Финансовый [0] 2" xfId="7997" hidden="1"/>
    <cellStyle name="Финансовый [0] 2" xfId="8008" hidden="1"/>
    <cellStyle name="Финансовый [0] 2" xfId="7993" hidden="1"/>
    <cellStyle name="Финансовый [0] 2" xfId="8014" hidden="1"/>
    <cellStyle name="Финансовый [0] 2" xfId="8018" hidden="1"/>
    <cellStyle name="Финансовый [0] 2" xfId="8026" hidden="1"/>
    <cellStyle name="Финансовый [0] 2" xfId="8033" hidden="1"/>
    <cellStyle name="Финансовый [0] 2" xfId="8044" hidden="1"/>
    <cellStyle name="Финансовый [0] 2" xfId="8029" hidden="1"/>
    <cellStyle name="Финансовый [0] 2" xfId="8050" hidden="1"/>
    <cellStyle name="Финансовый [0] 2" xfId="8054" hidden="1"/>
    <cellStyle name="Финансовый [0] 2" xfId="8062" hidden="1"/>
    <cellStyle name="Финансовый [0] 2" xfId="8069" hidden="1"/>
    <cellStyle name="Финансовый [0] 2" xfId="8080" hidden="1"/>
    <cellStyle name="Финансовый [0] 2" xfId="8065" hidden="1"/>
    <cellStyle name="Финансовый [0] 2" xfId="8086" hidden="1"/>
    <cellStyle name="Финансовый [0] 2" xfId="8090" hidden="1"/>
    <cellStyle name="Финансовый [0] 2" xfId="8098" hidden="1"/>
    <cellStyle name="Финансовый [0] 2" xfId="8105" hidden="1"/>
    <cellStyle name="Финансовый [0] 2" xfId="8116" hidden="1"/>
    <cellStyle name="Финансовый [0] 2" xfId="8101" hidden="1"/>
    <cellStyle name="Финансовый [0] 2" xfId="8122" hidden="1"/>
    <cellStyle name="Финансовый [0] 2" xfId="8127" hidden="1"/>
    <cellStyle name="Финансовый [0] 2" xfId="8135" hidden="1"/>
    <cellStyle name="Финансовый [0] 2" xfId="8142" hidden="1"/>
    <cellStyle name="Финансовый [0] 2" xfId="8153" hidden="1"/>
    <cellStyle name="Финансовый [0] 2" xfId="8138" hidden="1"/>
    <cellStyle name="Финансовый [0] 2" xfId="8159" hidden="1"/>
    <cellStyle name="Финансовый [0] 2" xfId="8163" hidden="1"/>
    <cellStyle name="Финансовый [0] 2" xfId="8171" hidden="1"/>
    <cellStyle name="Финансовый [0] 2" xfId="8178" hidden="1"/>
    <cellStyle name="Финансовый [0] 2" xfId="8189" hidden="1"/>
    <cellStyle name="Финансовый [0] 2" xfId="8174" hidden="1"/>
    <cellStyle name="Финансовый [0] 2" xfId="8195" hidden="1"/>
    <cellStyle name="Финансовый [0] 2" xfId="8199" hidden="1"/>
    <cellStyle name="Финансовый [0] 2" xfId="8207" hidden="1"/>
    <cellStyle name="Финансовый [0] 2" xfId="8214" hidden="1"/>
    <cellStyle name="Финансовый [0] 2" xfId="8225" hidden="1"/>
    <cellStyle name="Финансовый [0] 2" xfId="8210" hidden="1"/>
    <cellStyle name="Финансовый [0] 2" xfId="8231" hidden="1"/>
    <cellStyle name="Финансовый [0] 2" xfId="8235" hidden="1"/>
    <cellStyle name="Финансовый [0] 2" xfId="8243" hidden="1"/>
    <cellStyle name="Финансовый [0] 2" xfId="8250" hidden="1"/>
    <cellStyle name="Финансовый [0] 2" xfId="8261" hidden="1"/>
    <cellStyle name="Финансовый [0] 2" xfId="8246" hidden="1"/>
    <cellStyle name="Финансовый [0] 2" xfId="8267" hidden="1"/>
    <cellStyle name="Финансовый [0] 2" xfId="8337" hidden="1"/>
    <cellStyle name="Финансовый [0] 2" xfId="8365" hidden="1"/>
    <cellStyle name="Финансовый [0] 2" xfId="8375" hidden="1"/>
    <cellStyle name="Финансовый [0] 2" xfId="8386" hidden="1"/>
    <cellStyle name="Финансовый [0] 2" xfId="8370" hidden="1"/>
    <cellStyle name="Финансовый [0] 2" xfId="8392" hidden="1"/>
    <cellStyle name="Финансовый [0] 2" xfId="8399" hidden="1"/>
    <cellStyle name="Финансовый [0] 2" xfId="8407" hidden="1"/>
    <cellStyle name="Финансовый [0] 2" xfId="8414" hidden="1"/>
    <cellStyle name="Финансовый [0] 2" xfId="8425" hidden="1"/>
    <cellStyle name="Финансовый [0] 2" xfId="8410" hidden="1"/>
    <cellStyle name="Финансовый [0] 2" xfId="8431" hidden="1"/>
    <cellStyle name="Финансовый [0] 2" xfId="8471" hidden="1"/>
    <cellStyle name="Финансовый [0] 2" xfId="8527" hidden="1"/>
    <cellStyle name="Финансовый [0] 2" xfId="8534" hidden="1"/>
    <cellStyle name="Финансовый [0] 2" xfId="8545" hidden="1"/>
    <cellStyle name="Финансовый [0] 2" xfId="8530" hidden="1"/>
    <cellStyle name="Финансовый [0] 2" xfId="8551" hidden="1"/>
    <cellStyle name="Финансовый [0] 2" xfId="8555" hidden="1"/>
    <cellStyle name="Финансовый [0] 2" xfId="8563" hidden="1"/>
    <cellStyle name="Финансовый [0] 2" xfId="8570" hidden="1"/>
    <cellStyle name="Финансовый [0] 2" xfId="8581" hidden="1"/>
    <cellStyle name="Финансовый [0] 2" xfId="8566" hidden="1"/>
    <cellStyle name="Финансовый [0] 2" xfId="8587" hidden="1"/>
    <cellStyle name="Финансовый [0] 2" xfId="8635" hidden="1"/>
    <cellStyle name="Финансовый [0] 2" xfId="8673" hidden="1"/>
    <cellStyle name="Финансовый [0] 2" xfId="8680" hidden="1"/>
    <cellStyle name="Финансовый [0] 2" xfId="8691" hidden="1"/>
    <cellStyle name="Финансовый [0] 2" xfId="8676" hidden="1"/>
    <cellStyle name="Финансовый [0] 2" xfId="8697" hidden="1"/>
    <cellStyle name="Финансовый [0] 2" xfId="8701" hidden="1"/>
    <cellStyle name="Финансовый [0] 2" xfId="8709" hidden="1"/>
    <cellStyle name="Финансовый [0] 2" xfId="8716" hidden="1"/>
    <cellStyle name="Финансовый [0] 2" xfId="8727" hidden="1"/>
    <cellStyle name="Финансовый [0] 2" xfId="8712" hidden="1"/>
    <cellStyle name="Финансовый [0] 2" xfId="8733" hidden="1"/>
    <cellStyle name="Финансовый [0] 2" xfId="8737" hidden="1"/>
    <cellStyle name="Финансовый [0] 2" xfId="8745" hidden="1"/>
    <cellStyle name="Финансовый [0] 2" xfId="8752" hidden="1"/>
    <cellStyle name="Финансовый [0] 2" xfId="8763" hidden="1"/>
    <cellStyle name="Финансовый [0] 2" xfId="8748" hidden="1"/>
    <cellStyle name="Финансовый [0] 2" xfId="8769" hidden="1"/>
    <cellStyle name="Финансовый [0] 2" xfId="8773" hidden="1"/>
    <cellStyle name="Финансовый [0] 2" xfId="8781" hidden="1"/>
    <cellStyle name="Финансовый [0] 2" xfId="8788" hidden="1"/>
    <cellStyle name="Финансовый [0] 2" xfId="8799" hidden="1"/>
    <cellStyle name="Финансовый [0] 2" xfId="8784" hidden="1"/>
    <cellStyle name="Финансовый [0] 2" xfId="8805" hidden="1"/>
    <cellStyle name="Финансовый [0] 2" xfId="8810" hidden="1"/>
    <cellStyle name="Финансовый [0] 2" xfId="8818" hidden="1"/>
    <cellStyle name="Финансовый [0] 2" xfId="8825" hidden="1"/>
    <cellStyle name="Финансовый [0] 2" xfId="8836" hidden="1"/>
    <cellStyle name="Финансовый [0] 2" xfId="8821" hidden="1"/>
    <cellStyle name="Финансовый [0] 2" xfId="8842" hidden="1"/>
    <cellStyle name="Финансовый [0] 2" xfId="8846" hidden="1"/>
    <cellStyle name="Финансовый [0] 2" xfId="8854" hidden="1"/>
    <cellStyle name="Финансовый [0] 2" xfId="8861" hidden="1"/>
    <cellStyle name="Финансовый [0] 2" xfId="8872" hidden="1"/>
    <cellStyle name="Финансовый [0] 2" xfId="8857" hidden="1"/>
    <cellStyle name="Финансовый [0] 2" xfId="8878" hidden="1"/>
    <cellStyle name="Финансовый [0] 2" xfId="8882" hidden="1"/>
    <cellStyle name="Финансовый [0] 2" xfId="8890" hidden="1"/>
    <cellStyle name="Финансовый [0] 2" xfId="8897" hidden="1"/>
    <cellStyle name="Финансовый [0] 2" xfId="8908" hidden="1"/>
    <cellStyle name="Финансовый [0] 2" xfId="8893" hidden="1"/>
    <cellStyle name="Финансовый [0] 2" xfId="8914" hidden="1"/>
    <cellStyle name="Финансовый [0] 2" xfId="8918" hidden="1"/>
    <cellStyle name="Финансовый [0] 2" xfId="8926" hidden="1"/>
    <cellStyle name="Финансовый [0] 2" xfId="8933" hidden="1"/>
    <cellStyle name="Финансовый [0] 2" xfId="8944" hidden="1"/>
    <cellStyle name="Финансовый [0] 2" xfId="8929" hidden="1"/>
    <cellStyle name="Финансовый [0] 2" xfId="8950" hidden="1"/>
    <cellStyle name="Финансовый [0] 2" xfId="8627" hidden="1"/>
    <cellStyle name="Финансовый [0] 2" xfId="8515" hidden="1"/>
    <cellStyle name="Финансовый [0] 2" xfId="8505" hidden="1"/>
    <cellStyle name="Финансовый [0] 2" xfId="8494" hidden="1"/>
    <cellStyle name="Финансовый [0] 2" xfId="8510" hidden="1"/>
    <cellStyle name="Финансовый [0] 2" xfId="8488" hidden="1"/>
    <cellStyle name="Финансовый [0] 2" xfId="8480" hidden="1"/>
    <cellStyle name="Финансовый [0] 2" xfId="8466" hidden="1"/>
    <cellStyle name="Финансовый [0] 2" xfId="8458" hidden="1"/>
    <cellStyle name="Финансовый [0] 2" xfId="8447" hidden="1"/>
    <cellStyle name="Финансовый [0] 2" xfId="8462" hidden="1"/>
    <cellStyle name="Финансовый [0] 2" xfId="8441" hidden="1"/>
    <cellStyle name="Финансовый [0] 2" xfId="8344" hidden="1"/>
    <cellStyle name="Финансовый [0] 2" xfId="8305" hidden="1"/>
    <cellStyle name="Финансовый [0] 2" xfId="8296" hidden="1"/>
    <cellStyle name="Финансовый [0] 2" xfId="8285" hidden="1"/>
    <cellStyle name="Финансовый [0] 2" xfId="8300" hidden="1"/>
    <cellStyle name="Финансовый [0] 2" xfId="8279" hidden="1"/>
    <cellStyle name="Финансовый [0] 2" xfId="8271" hidden="1"/>
    <cellStyle name="Финансовый [0] 2" xfId="8957" hidden="1"/>
    <cellStyle name="Финансовый [0] 2" xfId="8965" hidden="1"/>
    <cellStyle name="Финансовый [0] 2" xfId="8976" hidden="1"/>
    <cellStyle name="Финансовый [0] 2" xfId="8961" hidden="1"/>
    <cellStyle name="Финансовый [0] 2" xfId="8982" hidden="1"/>
    <cellStyle name="Финансовый [0] 2" xfId="8992" hidden="1"/>
    <cellStyle name="Финансовый [0] 2" xfId="9000" hidden="1"/>
    <cellStyle name="Финансовый [0] 2" xfId="9008" hidden="1"/>
    <cellStyle name="Финансовый [0] 2" xfId="9019" hidden="1"/>
    <cellStyle name="Финансовый [0] 2" xfId="9004" hidden="1"/>
    <cellStyle name="Финансовый [0] 2" xfId="9025" hidden="1"/>
    <cellStyle name="Финансовый [0] 2" xfId="9031" hidden="1"/>
    <cellStyle name="Финансовый [0] 2" xfId="9039" hidden="1"/>
    <cellStyle name="Финансовый [0] 2" xfId="9047" hidden="1"/>
    <cellStyle name="Финансовый [0] 2" xfId="9058" hidden="1"/>
    <cellStyle name="Финансовый [0] 2" xfId="9043" hidden="1"/>
    <cellStyle name="Финансовый [0] 2" xfId="9064" hidden="1"/>
    <cellStyle name="Финансовый [0] 2" xfId="9072" hidden="1"/>
    <cellStyle name="Финансовый [0] 2" xfId="9080" hidden="1"/>
    <cellStyle name="Финансовый [0] 2" xfId="9088" hidden="1"/>
    <cellStyle name="Финансовый [0] 2" xfId="9099" hidden="1"/>
    <cellStyle name="Финансовый [0] 2" xfId="9084" hidden="1"/>
    <cellStyle name="Финансовый [0] 2" xfId="9105" hidden="1"/>
    <cellStyle name="Финансовый [0] 2" xfId="9111" hidden="1"/>
    <cellStyle name="Финансовый [0] 2" xfId="9119" hidden="1"/>
    <cellStyle name="Финансовый [0] 2" xfId="9127" hidden="1"/>
    <cellStyle name="Финансовый [0] 2" xfId="9138" hidden="1"/>
    <cellStyle name="Финансовый [0] 2" xfId="9123" hidden="1"/>
    <cellStyle name="Финансовый [0] 2" xfId="9144" hidden="1"/>
    <cellStyle name="Финансовый [0] 2" xfId="9150" hidden="1"/>
    <cellStyle name="Финансовый [0] 2" xfId="9158" hidden="1"/>
    <cellStyle name="Финансовый [0] 2" xfId="9166" hidden="1"/>
    <cellStyle name="Финансовый [0] 2" xfId="9177" hidden="1"/>
    <cellStyle name="Финансовый [0] 2" xfId="9162" hidden="1"/>
    <cellStyle name="Финансовый [0] 2" xfId="9183" hidden="1"/>
    <cellStyle name="Финансовый [0] 2" xfId="9189" hidden="1"/>
    <cellStyle name="Финансовый [0] 2" xfId="9197" hidden="1"/>
    <cellStyle name="Финансовый [0] 2" xfId="9205" hidden="1"/>
    <cellStyle name="Финансовый [0] 2" xfId="9216" hidden="1"/>
    <cellStyle name="Финансовый [0] 2" xfId="9201" hidden="1"/>
    <cellStyle name="Финансовый [0] 2" xfId="9222" hidden="1"/>
    <cellStyle name="Финансовый [0] 2" xfId="9227" hidden="1"/>
    <cellStyle name="Финансовый [0] 2" xfId="9235" hidden="1"/>
    <cellStyle name="Финансовый [0] 2" xfId="9242" hidden="1"/>
    <cellStyle name="Финансовый [0] 2" xfId="9253" hidden="1"/>
    <cellStyle name="Финансовый [0] 2" xfId="9238" hidden="1"/>
    <cellStyle name="Финансовый [0] 2" xfId="9259" hidden="1"/>
    <cellStyle name="Финансовый [0] 2" xfId="9265" hidden="1"/>
    <cellStyle name="Финансовый [0] 2" xfId="9273" hidden="1"/>
    <cellStyle name="Финансовый [0] 2" xfId="9280" hidden="1"/>
    <cellStyle name="Финансовый [0] 2" xfId="9291" hidden="1"/>
    <cellStyle name="Финансовый [0] 2" xfId="9276" hidden="1"/>
    <cellStyle name="Финансовый [0] 2" xfId="9297" hidden="1"/>
    <cellStyle name="Финансовый [0] 2" xfId="8987" hidden="1"/>
    <cellStyle name="Финансовый [0] 2" xfId="8664" hidden="1"/>
    <cellStyle name="Финансовый [0] 2" xfId="8657" hidden="1"/>
    <cellStyle name="Финансовый [0] 2" xfId="8646" hidden="1"/>
    <cellStyle name="Финансовый [0] 2" xfId="8661" hidden="1"/>
    <cellStyle name="Финансовый [0] 2" xfId="8640" hidden="1"/>
    <cellStyle name="Финансовый [0] 2" xfId="8628" hidden="1"/>
    <cellStyle name="Финансовый [0] 2" xfId="8616" hidden="1"/>
    <cellStyle name="Финансовый [0] 2" xfId="8609" hidden="1"/>
    <cellStyle name="Финансовый [0] 2" xfId="8598" hidden="1"/>
    <cellStyle name="Финансовый [0] 2" xfId="8613" hidden="1"/>
    <cellStyle name="Финансовый [0] 2" xfId="8592" hidden="1"/>
    <cellStyle name="Финансовый [0] 2" xfId="8367" hidden="1"/>
    <cellStyle name="Финансовый [0] 2" xfId="8330" hidden="1"/>
    <cellStyle name="Финансовый [0] 2" xfId="8323" hidden="1"/>
    <cellStyle name="Финансовый [0] 2" xfId="8312" hidden="1"/>
    <cellStyle name="Финансовый [0] 2" xfId="8327" hidden="1"/>
    <cellStyle name="Финансовый [0] 2" xfId="9300" hidden="1"/>
    <cellStyle name="Финансовый [0] 2" xfId="9262" hidden="1"/>
    <cellStyle name="Финансовый [0] 2" xfId="8302" hidden="1"/>
    <cellStyle name="Финансовый [0] 2" xfId="9261" hidden="1"/>
    <cellStyle name="Финансовый [0] 2" xfId="8509" hidden="1"/>
    <cellStyle name="Финансовый [0] 2" xfId="9199" hidden="1"/>
    <cellStyle name="Финансовый [0] 2" xfId="8519" hidden="1"/>
    <cellStyle name="Финансовый [0] 2" xfId="9303" hidden="1"/>
    <cellStyle name="Финансовый [0] 2" xfId="9311" hidden="1"/>
    <cellStyle name="Финансовый [0] 2" xfId="9318" hidden="1"/>
    <cellStyle name="Финансовый [0] 2" xfId="9329" hidden="1"/>
    <cellStyle name="Финансовый [0] 2" xfId="9314" hidden="1"/>
    <cellStyle name="Финансовый [0] 2" xfId="9335" hidden="1"/>
    <cellStyle name="Финансовый [0] 2" xfId="9339" hidden="1"/>
    <cellStyle name="Финансовый [0] 2" xfId="9347" hidden="1"/>
    <cellStyle name="Финансовый [0] 2" xfId="9354" hidden="1"/>
    <cellStyle name="Финансовый [0] 2" xfId="9365" hidden="1"/>
    <cellStyle name="Финансовый [0] 2" xfId="9350" hidden="1"/>
    <cellStyle name="Финансовый [0] 2" xfId="9371" hidden="1"/>
    <cellStyle name="Финансовый [0] 2" xfId="9375" hidden="1"/>
    <cellStyle name="Финансовый [0] 2" xfId="9383" hidden="1"/>
    <cellStyle name="Финансовый [0] 2" xfId="9390" hidden="1"/>
    <cellStyle name="Финансовый [0] 2" xfId="9401" hidden="1"/>
    <cellStyle name="Финансовый [0] 2" xfId="9386" hidden="1"/>
    <cellStyle name="Финансовый [0] 2" xfId="9407" hidden="1"/>
    <cellStyle name="Финансовый [0] 2" xfId="9411" hidden="1"/>
    <cellStyle name="Финансовый [0] 2" xfId="9419" hidden="1"/>
    <cellStyle name="Финансовый [0] 2" xfId="9426" hidden="1"/>
    <cellStyle name="Финансовый [0] 2" xfId="9437" hidden="1"/>
    <cellStyle name="Финансовый [0] 2" xfId="9422" hidden="1"/>
    <cellStyle name="Финансовый [0] 2" xfId="9443" hidden="1"/>
    <cellStyle name="Финансовый [0] 2" xfId="9448" hidden="1"/>
    <cellStyle name="Финансовый [0] 2" xfId="9456" hidden="1"/>
    <cellStyle name="Финансовый [0] 2" xfId="9463" hidden="1"/>
    <cellStyle name="Финансовый [0] 2" xfId="9474" hidden="1"/>
    <cellStyle name="Финансовый [0] 2" xfId="9459" hidden="1"/>
    <cellStyle name="Финансовый [0] 2" xfId="9480" hidden="1"/>
    <cellStyle name="Финансовый [0] 2" xfId="9484" hidden="1"/>
    <cellStyle name="Финансовый [0] 2" xfId="9492" hidden="1"/>
    <cellStyle name="Финансовый [0] 2" xfId="9499" hidden="1"/>
    <cellStyle name="Финансовый [0] 2" xfId="9510" hidden="1"/>
    <cellStyle name="Финансовый [0] 2" xfId="9495" hidden="1"/>
    <cellStyle name="Финансовый [0] 2" xfId="9516" hidden="1"/>
    <cellStyle name="Финансовый [0] 2" xfId="9520" hidden="1"/>
    <cellStyle name="Финансовый [0] 2" xfId="9528" hidden="1"/>
    <cellStyle name="Финансовый [0] 2" xfId="9535" hidden="1"/>
    <cellStyle name="Финансовый [0] 2" xfId="9546" hidden="1"/>
    <cellStyle name="Финансовый [0] 2" xfId="9531" hidden="1"/>
    <cellStyle name="Финансовый [0] 2" xfId="9552" hidden="1"/>
    <cellStyle name="Финансовый [0] 2" xfId="9556" hidden="1"/>
    <cellStyle name="Финансовый [0] 2" xfId="9564" hidden="1"/>
    <cellStyle name="Финансовый [0] 2" xfId="9571" hidden="1"/>
    <cellStyle name="Финансовый [0] 2" xfId="9582" hidden="1"/>
    <cellStyle name="Финансовый [0] 2" xfId="9567" hidden="1"/>
    <cellStyle name="Финансовый [0] 2" xfId="9588" hidden="1"/>
    <cellStyle name="Финансовый [0] 2" xfId="9637" hidden="1"/>
    <cellStyle name="Финансовый [0] 2" xfId="9654" hidden="1"/>
    <cellStyle name="Финансовый [0] 2" xfId="9663" hidden="1"/>
    <cellStyle name="Финансовый [0] 2" xfId="9674" hidden="1"/>
    <cellStyle name="Финансовый [0] 2" xfId="9659" hidden="1"/>
    <cellStyle name="Финансовый [0] 2" xfId="9680" hidden="1"/>
    <cellStyle name="Финансовый [0] 2" xfId="9684" hidden="1"/>
    <cellStyle name="Финансовый [0] 2" xfId="9692" hidden="1"/>
    <cellStyle name="Финансовый [0] 2" xfId="9699" hidden="1"/>
    <cellStyle name="Финансовый [0] 2" xfId="9710" hidden="1"/>
    <cellStyle name="Финансовый [0] 2" xfId="9695" hidden="1"/>
    <cellStyle name="Финансовый [0] 2" xfId="9716" hidden="1"/>
    <cellStyle name="Финансовый [0] 2" xfId="9755" hidden="1"/>
    <cellStyle name="Финансовый [0] 2" xfId="9811" hidden="1"/>
    <cellStyle name="Финансовый [0] 2" xfId="9818" hidden="1"/>
    <cellStyle name="Финансовый [0] 2" xfId="9829" hidden="1"/>
    <cellStyle name="Финансовый [0] 2" xfId="9814" hidden="1"/>
    <cellStyle name="Финансовый [0] 2" xfId="9835" hidden="1"/>
    <cellStyle name="Финансовый [0] 2" xfId="9839" hidden="1"/>
    <cellStyle name="Финансовый [0] 2" xfId="9847" hidden="1"/>
    <cellStyle name="Финансовый [0] 2" xfId="9854" hidden="1"/>
    <cellStyle name="Финансовый [0] 2" xfId="9865" hidden="1"/>
    <cellStyle name="Финансовый [0] 2" xfId="9850" hidden="1"/>
    <cellStyle name="Финансовый [0] 2" xfId="9871" hidden="1"/>
    <cellStyle name="Финансовый [0] 2" xfId="9918" hidden="1"/>
    <cellStyle name="Финансовый [0] 2" xfId="9956" hidden="1"/>
    <cellStyle name="Финансовый [0] 2" xfId="9963" hidden="1"/>
    <cellStyle name="Финансовый [0] 2" xfId="9974" hidden="1"/>
    <cellStyle name="Финансовый [0] 2" xfId="9959" hidden="1"/>
    <cellStyle name="Финансовый [0] 2" xfId="9980" hidden="1"/>
    <cellStyle name="Финансовый [0] 2" xfId="9984" hidden="1"/>
    <cellStyle name="Финансовый [0] 2" xfId="9992" hidden="1"/>
    <cellStyle name="Финансовый [0] 2" xfId="9999" hidden="1"/>
    <cellStyle name="Финансовый [0] 2" xfId="10010" hidden="1"/>
    <cellStyle name="Финансовый [0] 2" xfId="9995" hidden="1"/>
    <cellStyle name="Финансовый [0] 2" xfId="10016" hidden="1"/>
    <cellStyle name="Финансовый [0] 2" xfId="10020" hidden="1"/>
    <cellStyle name="Финансовый [0] 2" xfId="10028" hidden="1"/>
    <cellStyle name="Финансовый [0] 2" xfId="10035" hidden="1"/>
    <cellStyle name="Финансовый [0] 2" xfId="10046" hidden="1"/>
    <cellStyle name="Финансовый [0] 2" xfId="10031" hidden="1"/>
    <cellStyle name="Финансовый [0] 2" xfId="10052" hidden="1"/>
    <cellStyle name="Финансовый [0] 2" xfId="10056" hidden="1"/>
    <cellStyle name="Финансовый [0] 2" xfId="10064" hidden="1"/>
    <cellStyle name="Финансовый [0] 2" xfId="10071" hidden="1"/>
    <cellStyle name="Финансовый [0] 2" xfId="10082" hidden="1"/>
    <cellStyle name="Финансовый [0] 2" xfId="10067" hidden="1"/>
    <cellStyle name="Финансовый [0] 2" xfId="10088" hidden="1"/>
    <cellStyle name="Финансовый [0] 2" xfId="10093" hidden="1"/>
    <cellStyle name="Финансовый [0] 2" xfId="10101" hidden="1"/>
    <cellStyle name="Финансовый [0] 2" xfId="10108" hidden="1"/>
    <cellStyle name="Финансовый [0] 2" xfId="10119" hidden="1"/>
    <cellStyle name="Финансовый [0] 2" xfId="10104" hidden="1"/>
    <cellStyle name="Финансовый [0] 2" xfId="10125" hidden="1"/>
    <cellStyle name="Финансовый [0] 2" xfId="10129" hidden="1"/>
    <cellStyle name="Финансовый [0] 2" xfId="10137" hidden="1"/>
    <cellStyle name="Финансовый [0] 2" xfId="10144" hidden="1"/>
    <cellStyle name="Финансовый [0] 2" xfId="10155" hidden="1"/>
    <cellStyle name="Финансовый [0] 2" xfId="10140" hidden="1"/>
    <cellStyle name="Финансовый [0] 2" xfId="10161" hidden="1"/>
    <cellStyle name="Финансовый [0] 2" xfId="10165" hidden="1"/>
    <cellStyle name="Финансовый [0] 2" xfId="10173" hidden="1"/>
    <cellStyle name="Финансовый [0] 2" xfId="10180" hidden="1"/>
    <cellStyle name="Финансовый [0] 2" xfId="10191" hidden="1"/>
    <cellStyle name="Финансовый [0] 2" xfId="10176" hidden="1"/>
    <cellStyle name="Финансовый [0] 2" xfId="10197" hidden="1"/>
    <cellStyle name="Финансовый [0] 2" xfId="10201" hidden="1"/>
    <cellStyle name="Финансовый [0] 2" xfId="10209" hidden="1"/>
    <cellStyle name="Финансовый [0] 2" xfId="10216" hidden="1"/>
    <cellStyle name="Финансовый [0] 2" xfId="10227" hidden="1"/>
    <cellStyle name="Финансовый [0] 2" xfId="10212" hidden="1"/>
    <cellStyle name="Финансовый [0] 2" xfId="10233" hidden="1"/>
    <cellStyle name="Финансовый [0] 2" xfId="9910" hidden="1"/>
    <cellStyle name="Финансовый [0] 2" xfId="9799" hidden="1"/>
    <cellStyle name="Финансовый [0] 2" xfId="9789" hidden="1"/>
    <cellStyle name="Финансовый [0] 2" xfId="9778" hidden="1"/>
    <cellStyle name="Финансовый [0] 2" xfId="9794" hidden="1"/>
    <cellStyle name="Финансовый [0] 2" xfId="9772" hidden="1"/>
    <cellStyle name="Финансовый [0] 2" xfId="9764" hidden="1"/>
    <cellStyle name="Финансовый [0] 2" xfId="9750" hidden="1"/>
    <cellStyle name="Финансовый [0] 2" xfId="9742" hidden="1"/>
    <cellStyle name="Финансовый [0] 2" xfId="9731" hidden="1"/>
    <cellStyle name="Финансовый [0] 2" xfId="9746" hidden="1"/>
    <cellStyle name="Финансовый [0] 2" xfId="9725" hidden="1"/>
    <cellStyle name="Финансовый [0] 2" xfId="9644" hidden="1"/>
    <cellStyle name="Финансовый [0] 2" xfId="9605" hidden="1"/>
    <cellStyle name="Финансовый [0] 2" xfId="9596" hidden="1"/>
    <cellStyle name="Финансовый [0] 2" xfId="8396" hidden="1"/>
    <cellStyle name="Финансовый [0] 2" xfId="9600" hidden="1"/>
    <cellStyle name="Финансовый [0] 2" xfId="8589" hidden="1"/>
    <cellStyle name="Финансовый [0] 2" xfId="8371" hidden="1"/>
    <cellStyle name="Финансовый [0] 2" xfId="10240" hidden="1"/>
    <cellStyle name="Финансовый [0] 2" xfId="10248" hidden="1"/>
    <cellStyle name="Финансовый [0] 2" xfId="10259" hidden="1"/>
    <cellStyle name="Финансовый [0] 2" xfId="10244" hidden="1"/>
    <cellStyle name="Финансовый [0] 2" xfId="10265" hidden="1"/>
    <cellStyle name="Финансовый [0] 2" xfId="10275" hidden="1"/>
    <cellStyle name="Финансовый [0] 2" xfId="10283" hidden="1"/>
    <cellStyle name="Финансовый [0] 2" xfId="10291" hidden="1"/>
    <cellStyle name="Финансовый [0] 2" xfId="10302" hidden="1"/>
    <cellStyle name="Финансовый [0] 2" xfId="10287" hidden="1"/>
    <cellStyle name="Финансовый [0] 2" xfId="10308" hidden="1"/>
    <cellStyle name="Финансовый [0] 2" xfId="10314" hidden="1"/>
    <cellStyle name="Финансовый [0] 2" xfId="10322" hidden="1"/>
    <cellStyle name="Финансовый [0] 2" xfId="10330" hidden="1"/>
    <cellStyle name="Финансовый [0] 2" xfId="10341" hidden="1"/>
    <cellStyle name="Финансовый [0] 2" xfId="10326" hidden="1"/>
    <cellStyle name="Финансовый [0] 2" xfId="10347" hidden="1"/>
    <cellStyle name="Финансовый [0] 2" xfId="10355" hidden="1"/>
    <cellStyle name="Финансовый [0] 2" xfId="10363" hidden="1"/>
    <cellStyle name="Финансовый [0] 2" xfId="10371" hidden="1"/>
    <cellStyle name="Финансовый [0] 2" xfId="10382" hidden="1"/>
    <cellStyle name="Финансовый [0] 2" xfId="10367" hidden="1"/>
    <cellStyle name="Финансовый [0] 2" xfId="10388" hidden="1"/>
    <cellStyle name="Финансовый [0] 2" xfId="10394" hidden="1"/>
    <cellStyle name="Финансовый [0] 2" xfId="10402" hidden="1"/>
    <cellStyle name="Финансовый [0] 2" xfId="10410" hidden="1"/>
    <cellStyle name="Финансовый [0] 2" xfId="10421" hidden="1"/>
    <cellStyle name="Финансовый [0] 2" xfId="10406" hidden="1"/>
    <cellStyle name="Финансовый [0] 2" xfId="10427" hidden="1"/>
    <cellStyle name="Финансовый [0] 2" xfId="10433" hidden="1"/>
    <cellStyle name="Финансовый [0] 2" xfId="10441" hidden="1"/>
    <cellStyle name="Финансовый [0] 2" xfId="10449" hidden="1"/>
    <cellStyle name="Финансовый [0] 2" xfId="10460" hidden="1"/>
    <cellStyle name="Финансовый [0] 2" xfId="10445" hidden="1"/>
    <cellStyle name="Финансовый [0] 2" xfId="10466" hidden="1"/>
    <cellStyle name="Финансовый [0] 2" xfId="10472" hidden="1"/>
    <cellStyle name="Финансовый [0] 2" xfId="10480" hidden="1"/>
    <cellStyle name="Финансовый [0] 2" xfId="10488" hidden="1"/>
    <cellStyle name="Финансовый [0] 2" xfId="10499" hidden="1"/>
    <cellStyle name="Финансовый [0] 2" xfId="10484" hidden="1"/>
    <cellStyle name="Финансовый [0] 2" xfId="10505" hidden="1"/>
    <cellStyle name="Финансовый [0] 2" xfId="10510" hidden="1"/>
    <cellStyle name="Финансовый [0] 2" xfId="10518" hidden="1"/>
    <cellStyle name="Финансовый [0] 2" xfId="10525" hidden="1"/>
    <cellStyle name="Финансовый [0] 2" xfId="10536" hidden="1"/>
    <cellStyle name="Финансовый [0] 2" xfId="10521" hidden="1"/>
    <cellStyle name="Финансовый [0] 2" xfId="10542" hidden="1"/>
    <cellStyle name="Финансовый [0] 2" xfId="10548" hidden="1"/>
    <cellStyle name="Финансовый [0] 2" xfId="10556" hidden="1"/>
    <cellStyle name="Финансовый [0] 2" xfId="10563" hidden="1"/>
    <cellStyle name="Финансовый [0] 2" xfId="10574" hidden="1"/>
    <cellStyle name="Финансовый [0] 2" xfId="10559" hidden="1"/>
    <cellStyle name="Финансовый [0] 2" xfId="10580" hidden="1"/>
    <cellStyle name="Финансовый [0] 2" xfId="10270" hidden="1"/>
    <cellStyle name="Финансовый [0] 2" xfId="9947" hidden="1"/>
    <cellStyle name="Финансовый [0] 2" xfId="9940" hidden="1"/>
    <cellStyle name="Финансовый [0] 2" xfId="9929" hidden="1"/>
    <cellStyle name="Финансовый [0] 2" xfId="9944" hidden="1"/>
    <cellStyle name="Финансовый [0] 2" xfId="9923" hidden="1"/>
    <cellStyle name="Финансовый [0] 2" xfId="9911" hidden="1"/>
    <cellStyle name="Финансовый [0] 2" xfId="9899" hidden="1"/>
    <cellStyle name="Финансовый [0] 2" xfId="9892" hidden="1"/>
    <cellStyle name="Финансовый [0] 2" xfId="9881" hidden="1"/>
    <cellStyle name="Финансовый [0] 2" xfId="9896" hidden="1"/>
    <cellStyle name="Финансовый [0] 2" xfId="9875" hidden="1"/>
    <cellStyle name="Финансовый [0] 2" xfId="9656" hidden="1"/>
    <cellStyle name="Финансовый [0] 2" xfId="9630" hidden="1"/>
    <cellStyle name="Финансовый [0] 2" xfId="9623" hidden="1"/>
    <cellStyle name="Финансовый [0] 2" xfId="9612" hidden="1"/>
    <cellStyle name="Финансовый [0] 2" xfId="9627" hidden="1"/>
    <cellStyle name="Финансовый [0] 2" xfId="10583" hidden="1"/>
    <cellStyle name="Финансовый [0] 2" xfId="10545" hidden="1"/>
    <cellStyle name="Финансовый [0] 2" xfId="9602" hidden="1"/>
    <cellStyle name="Финансовый [0] 2" xfId="10544" hidden="1"/>
    <cellStyle name="Финансовый [0] 2" xfId="9793" hidden="1"/>
    <cellStyle name="Финансовый [0] 2" xfId="10482" hidden="1"/>
    <cellStyle name="Финансовый [0] 2" xfId="9803" hidden="1"/>
    <cellStyle name="Финансовый [0] 2" xfId="10586" hidden="1"/>
    <cellStyle name="Финансовый [0] 2" xfId="10594" hidden="1"/>
    <cellStyle name="Финансовый [0] 2" xfId="10601" hidden="1"/>
    <cellStyle name="Финансовый [0] 2" xfId="10612" hidden="1"/>
    <cellStyle name="Финансовый [0] 2" xfId="10597" hidden="1"/>
    <cellStyle name="Финансовый [0] 2" xfId="10618" hidden="1"/>
    <cellStyle name="Финансовый [0] 2" xfId="10622" hidden="1"/>
    <cellStyle name="Финансовый [0] 2" xfId="10630" hidden="1"/>
    <cellStyle name="Финансовый [0] 2" xfId="10637" hidden="1"/>
    <cellStyle name="Финансовый [0] 2" xfId="10648" hidden="1"/>
    <cellStyle name="Финансовый [0] 2" xfId="10633" hidden="1"/>
    <cellStyle name="Финансовый [0] 2" xfId="10654" hidden="1"/>
    <cellStyle name="Финансовый [0] 2" xfId="10658" hidden="1"/>
    <cellStyle name="Финансовый [0] 2" xfId="10666" hidden="1"/>
    <cellStyle name="Финансовый [0] 2" xfId="10673" hidden="1"/>
    <cellStyle name="Финансовый [0] 2" xfId="10684" hidden="1"/>
    <cellStyle name="Финансовый [0] 2" xfId="10669" hidden="1"/>
    <cellStyle name="Финансовый [0] 2" xfId="10690" hidden="1"/>
    <cellStyle name="Финансовый [0] 2" xfId="10694" hidden="1"/>
    <cellStyle name="Финансовый [0] 2" xfId="10702" hidden="1"/>
    <cellStyle name="Финансовый [0] 2" xfId="10709" hidden="1"/>
    <cellStyle name="Финансовый [0] 2" xfId="10720" hidden="1"/>
    <cellStyle name="Финансовый [0] 2" xfId="10705" hidden="1"/>
    <cellStyle name="Финансовый [0] 2" xfId="10726" hidden="1"/>
    <cellStyle name="Финансовый [0] 2" xfId="10731" hidden="1"/>
    <cellStyle name="Финансовый [0] 2" xfId="10739" hidden="1"/>
    <cellStyle name="Финансовый [0] 2" xfId="10746" hidden="1"/>
    <cellStyle name="Финансовый [0] 2" xfId="10757" hidden="1"/>
    <cellStyle name="Финансовый [0] 2" xfId="10742" hidden="1"/>
    <cellStyle name="Финансовый [0] 2" xfId="10763" hidden="1"/>
    <cellStyle name="Финансовый [0] 2" xfId="10767" hidden="1"/>
    <cellStyle name="Финансовый [0] 2" xfId="10775" hidden="1"/>
    <cellStyle name="Финансовый [0] 2" xfId="10782" hidden="1"/>
    <cellStyle name="Финансовый [0] 2" xfId="10793" hidden="1"/>
    <cellStyle name="Финансовый [0] 2" xfId="10778" hidden="1"/>
    <cellStyle name="Финансовый [0] 2" xfId="10799" hidden="1"/>
    <cellStyle name="Финансовый [0] 2" xfId="10803" hidden="1"/>
    <cellStyle name="Финансовый [0] 2" xfId="10811" hidden="1"/>
    <cellStyle name="Финансовый [0] 2" xfId="10818" hidden="1"/>
    <cellStyle name="Финансовый [0] 2" xfId="10829" hidden="1"/>
    <cellStyle name="Финансовый [0] 2" xfId="10814" hidden="1"/>
    <cellStyle name="Финансовый [0] 2" xfId="10835" hidden="1"/>
    <cellStyle name="Финансовый [0] 2" xfId="10839" hidden="1"/>
    <cellStyle name="Финансовый [0] 2" xfId="10847" hidden="1"/>
    <cellStyle name="Финансовый [0] 2" xfId="10854" hidden="1"/>
    <cellStyle name="Финансовый [0] 2" xfId="10865" hidden="1"/>
    <cellStyle name="Финансовый [0] 2" xfId="10850" hidden="1"/>
    <cellStyle name="Финансовый [0] 2" xfId="10871" hidden="1"/>
    <cellStyle name="Финансовый [0] 2" xfId="50407" hidden="1"/>
    <cellStyle name="Финансовый [0] 2" xfId="50417" hidden="1"/>
    <cellStyle name="Финансовый [0] 2" xfId="50419" hidden="1"/>
    <cellStyle name="Финансовый [0] 2" xfId="50423" hidden="1"/>
    <cellStyle name="Финансовый [0] 2" xfId="50426" hidden="1"/>
    <cellStyle name="Финансовый [0] 2" xfId="50436" hidden="1"/>
    <cellStyle name="Финансовый [0] 2" xfId="50444" hidden="1"/>
    <cellStyle name="Финансовый [0] 2" xfId="50458" hidden="1"/>
    <cellStyle name="Финансовый [0] 2" xfId="50440" hidden="1"/>
    <cellStyle name="Финансовый [0] 2" xfId="50465" hidden="1"/>
    <cellStyle name="Финансовый 10" xfId="17380"/>
    <cellStyle name="Финансовый 11" xfId="18176"/>
    <cellStyle name="Финансовый 12" xfId="24616"/>
    <cellStyle name="Финансовый 13" xfId="28273"/>
    <cellStyle name="Финансовый 14" xfId="20955"/>
    <cellStyle name="Финансовый 2" xfId="90" hidden="1"/>
    <cellStyle name="Финансовый 2" xfId="194" hidden="1"/>
    <cellStyle name="Финансовый 2" xfId="205" hidden="1"/>
    <cellStyle name="Финансовый 2" xfId="221" hidden="1"/>
    <cellStyle name="Финансовый 2" xfId="200" hidden="1"/>
    <cellStyle name="Финансовый 2" xfId="228" hidden="1"/>
    <cellStyle name="Финансовый 2" xfId="238" hidden="1"/>
    <cellStyle name="Финансовый 2" xfId="250" hidden="1"/>
    <cellStyle name="Финансовый 2" xfId="256" hidden="1"/>
    <cellStyle name="Финансовый 2" xfId="272" hidden="1"/>
    <cellStyle name="Финансовый 2" xfId="252" hidden="1"/>
    <cellStyle name="Финансовый 2" xfId="279" hidden="1"/>
    <cellStyle name="Финансовый 2" xfId="369" hidden="1"/>
    <cellStyle name="Финансовый 2" xfId="461" hidden="1"/>
    <cellStyle name="Финансовый 2" xfId="468" hidden="1"/>
    <cellStyle name="Финансовый 2" xfId="484" hidden="1"/>
    <cellStyle name="Финансовый 2" xfId="464" hidden="1"/>
    <cellStyle name="Финансовый 2" xfId="491" hidden="1"/>
    <cellStyle name="Финансовый 2" xfId="495" hidden="1"/>
    <cellStyle name="Финансовый 2" xfId="507" hidden="1"/>
    <cellStyle name="Финансовый 2" xfId="513" hidden="1"/>
    <cellStyle name="Финансовый 2" xfId="529" hidden="1"/>
    <cellStyle name="Финансовый 2" xfId="509" hidden="1"/>
    <cellStyle name="Финансовый 2" xfId="536" hidden="1"/>
    <cellStyle name="Финансовый 2" xfId="625" hidden="1"/>
    <cellStyle name="Финансовый 2" xfId="717" hidden="1"/>
    <cellStyle name="Финансовый 2" xfId="724" hidden="1"/>
    <cellStyle name="Финансовый 2" xfId="740" hidden="1"/>
    <cellStyle name="Финансовый 2" xfId="720" hidden="1"/>
    <cellStyle name="Финансовый 2" xfId="747" hidden="1"/>
    <cellStyle name="Финансовый 2" xfId="751" hidden="1"/>
    <cellStyle name="Финансовый 2" xfId="763" hidden="1"/>
    <cellStyle name="Финансовый 2" xfId="769" hidden="1"/>
    <cellStyle name="Финансовый 2" xfId="785" hidden="1"/>
    <cellStyle name="Финансовый 2" xfId="765" hidden="1"/>
    <cellStyle name="Финансовый 2" xfId="792" hidden="1"/>
    <cellStyle name="Финансовый 2" xfId="799" hidden="1"/>
    <cellStyle name="Финансовый 2" xfId="811" hidden="1"/>
    <cellStyle name="Финансовый 2" xfId="817" hidden="1"/>
    <cellStyle name="Финансовый 2" xfId="833" hidden="1"/>
    <cellStyle name="Финансовый 2" xfId="813" hidden="1"/>
    <cellStyle name="Финансовый 2" xfId="840" hidden="1"/>
    <cellStyle name="Финансовый 2" xfId="844" hidden="1"/>
    <cellStyle name="Финансовый 2" xfId="856" hidden="1"/>
    <cellStyle name="Финансовый 2" xfId="862" hidden="1"/>
    <cellStyle name="Финансовый 2" xfId="878" hidden="1"/>
    <cellStyle name="Финансовый 2" xfId="858" hidden="1"/>
    <cellStyle name="Финансовый 2" xfId="885" hidden="1"/>
    <cellStyle name="Финансовый 2" xfId="890" hidden="1"/>
    <cellStyle name="Финансовый 2" xfId="902" hidden="1"/>
    <cellStyle name="Финансовый 2" xfId="908" hidden="1"/>
    <cellStyle name="Финансовый 2" xfId="924" hidden="1"/>
    <cellStyle name="Финансовый 2" xfId="904" hidden="1"/>
    <cellStyle name="Финансовый 2" xfId="931" hidden="1"/>
    <cellStyle name="Финансовый 2" xfId="935" hidden="1"/>
    <cellStyle name="Финансовый 2" xfId="947" hidden="1"/>
    <cellStyle name="Финансовый 2" xfId="953" hidden="1"/>
    <cellStyle name="Финансовый 2" xfId="969" hidden="1"/>
    <cellStyle name="Финансовый 2" xfId="949" hidden="1"/>
    <cellStyle name="Финансовый 2" xfId="976" hidden="1"/>
    <cellStyle name="Финансовый 2" xfId="980" hidden="1"/>
    <cellStyle name="Финансовый 2" xfId="992" hidden="1"/>
    <cellStyle name="Финансовый 2" xfId="998" hidden="1"/>
    <cellStyle name="Финансовый 2" xfId="1014" hidden="1"/>
    <cellStyle name="Финансовый 2" xfId="994" hidden="1"/>
    <cellStyle name="Финансовый 2" xfId="1021" hidden="1"/>
    <cellStyle name="Финансовый 2" xfId="1025" hidden="1"/>
    <cellStyle name="Финансовый 2" xfId="1037" hidden="1"/>
    <cellStyle name="Финансовый 2" xfId="1043" hidden="1"/>
    <cellStyle name="Финансовый 2" xfId="1059" hidden="1"/>
    <cellStyle name="Финансовый 2" xfId="1039" hidden="1"/>
    <cellStyle name="Финансовый 2" xfId="1066" hidden="1"/>
    <cellStyle name="Финансовый 2" xfId="1148" hidden="1"/>
    <cellStyle name="Финансовый 2" xfId="1183" hidden="1"/>
    <cellStyle name="Финансовый 2" xfId="1192" hidden="1"/>
    <cellStyle name="Финансовый 2" xfId="1208" hidden="1"/>
    <cellStyle name="Финансовый 2" xfId="1187" hidden="1"/>
    <cellStyle name="Финансовый 2" xfId="1215" hidden="1"/>
    <cellStyle name="Финансовый 2" xfId="1222" hidden="1"/>
    <cellStyle name="Финансовый 2" xfId="1234" hidden="1"/>
    <cellStyle name="Финансовый 2" xfId="1240" hidden="1"/>
    <cellStyle name="Финансовый 2" xfId="1256" hidden="1"/>
    <cellStyle name="Финансовый 2" xfId="1236" hidden="1"/>
    <cellStyle name="Финансовый 2" xfId="1263" hidden="1"/>
    <cellStyle name="Финансовый 2" xfId="1307" hidden="1"/>
    <cellStyle name="Финансовый 2" xfId="1376" hidden="1"/>
    <cellStyle name="Финансовый 2" xfId="1382" hidden="1"/>
    <cellStyle name="Финансовый 2" xfId="1398" hidden="1"/>
    <cellStyle name="Финансовый 2" xfId="1378" hidden="1"/>
    <cellStyle name="Финансовый 2" xfId="1405" hidden="1"/>
    <cellStyle name="Финансовый 2" xfId="1409" hidden="1"/>
    <cellStyle name="Финансовый 2" xfId="1421" hidden="1"/>
    <cellStyle name="Финансовый 2" xfId="1427" hidden="1"/>
    <cellStyle name="Финансовый 2" xfId="1443" hidden="1"/>
    <cellStyle name="Финансовый 2" xfId="1423" hidden="1"/>
    <cellStyle name="Финансовый 2" xfId="1450" hidden="1"/>
    <cellStyle name="Финансовый 2" xfId="1505" hidden="1"/>
    <cellStyle name="Финансовый 2" xfId="1552" hidden="1"/>
    <cellStyle name="Финансовый 2" xfId="1559" hidden="1"/>
    <cellStyle name="Финансовый 2" xfId="1575" hidden="1"/>
    <cellStyle name="Финансовый 2" xfId="1555" hidden="1"/>
    <cellStyle name="Финансовый 2" xfId="1582" hidden="1"/>
    <cellStyle name="Финансовый 2" xfId="1586" hidden="1"/>
    <cellStyle name="Финансовый 2" xfId="1598" hidden="1"/>
    <cellStyle name="Финансовый 2" xfId="1604" hidden="1"/>
    <cellStyle name="Финансовый 2" xfId="1620" hidden="1"/>
    <cellStyle name="Финансовый 2" xfId="1600" hidden="1"/>
    <cellStyle name="Финансовый 2" xfId="1627" hidden="1"/>
    <cellStyle name="Финансовый 2" xfId="1632" hidden="1"/>
    <cellStyle name="Финансовый 2" xfId="1644" hidden="1"/>
    <cellStyle name="Финансовый 2" xfId="1650" hidden="1"/>
    <cellStyle name="Финансовый 2" xfId="1666" hidden="1"/>
    <cellStyle name="Финансовый 2" xfId="1646" hidden="1"/>
    <cellStyle name="Финансовый 2" xfId="1673" hidden="1"/>
    <cellStyle name="Финансовый 2" xfId="1677" hidden="1"/>
    <cellStyle name="Финансовый 2" xfId="1689" hidden="1"/>
    <cellStyle name="Финансовый 2" xfId="1695" hidden="1"/>
    <cellStyle name="Финансовый 2" xfId="1711" hidden="1"/>
    <cellStyle name="Финансовый 2" xfId="1691" hidden="1"/>
    <cellStyle name="Финансовый 2" xfId="1718" hidden="1"/>
    <cellStyle name="Финансовый 2" xfId="1723" hidden="1"/>
    <cellStyle name="Финансовый 2" xfId="1735" hidden="1"/>
    <cellStyle name="Финансовый 2" xfId="1741" hidden="1"/>
    <cellStyle name="Финансовый 2" xfId="1757" hidden="1"/>
    <cellStyle name="Финансовый 2" xfId="1737" hidden="1"/>
    <cellStyle name="Финансовый 2" xfId="1764" hidden="1"/>
    <cellStyle name="Финансовый 2" xfId="1768" hidden="1"/>
    <cellStyle name="Финансовый 2" xfId="1780" hidden="1"/>
    <cellStyle name="Финансовый 2" xfId="1786" hidden="1"/>
    <cellStyle name="Финансовый 2" xfId="1802" hidden="1"/>
    <cellStyle name="Финансовый 2" xfId="1782" hidden="1"/>
    <cellStyle name="Финансовый 2" xfId="1809" hidden="1"/>
    <cellStyle name="Финансовый 2" xfId="1813" hidden="1"/>
    <cellStyle name="Финансовый 2" xfId="1825" hidden="1"/>
    <cellStyle name="Финансовый 2" xfId="1831" hidden="1"/>
    <cellStyle name="Финансовый 2" xfId="1847" hidden="1"/>
    <cellStyle name="Финансовый 2" xfId="1827" hidden="1"/>
    <cellStyle name="Финансовый 2" xfId="1854" hidden="1"/>
    <cellStyle name="Финансовый 2" xfId="1858" hidden="1"/>
    <cellStyle name="Финансовый 2" xfId="1870" hidden="1"/>
    <cellStyle name="Финансовый 2" xfId="1876" hidden="1"/>
    <cellStyle name="Финансовый 2" xfId="1892" hidden="1"/>
    <cellStyle name="Финансовый 2" xfId="1872" hidden="1"/>
    <cellStyle name="Финансовый 2" xfId="1899" hidden="1"/>
    <cellStyle name="Финансовый 2" xfId="1500" hidden="1"/>
    <cellStyle name="Финансовый 2" xfId="1360" hidden="1"/>
    <cellStyle name="Финансовый 2" xfId="1352" hidden="1"/>
    <cellStyle name="Финансовый 2" xfId="1336" hidden="1"/>
    <cellStyle name="Финансовый 2" xfId="1357" hidden="1"/>
    <cellStyle name="Финансовый 2" xfId="1329" hidden="1"/>
    <cellStyle name="Финансовый 2" xfId="1321" hidden="1"/>
    <cellStyle name="Финансовый 2" xfId="1302" hidden="1"/>
    <cellStyle name="Финансовый 2" xfId="1296" hidden="1"/>
    <cellStyle name="Финансовый 2" xfId="1280" hidden="1"/>
    <cellStyle name="Финансовый 2" xfId="1300" hidden="1"/>
    <cellStyle name="Финансовый 2" xfId="1273" hidden="1"/>
    <cellStyle name="Финансовый 2" xfId="1159" hidden="1"/>
    <cellStyle name="Финансовый 2" xfId="1111" hidden="1"/>
    <cellStyle name="Финансовый 2" xfId="1104" hidden="1"/>
    <cellStyle name="Финансовый 2" xfId="1088" hidden="1"/>
    <cellStyle name="Финансовый 2" xfId="1108" hidden="1"/>
    <cellStyle name="Финансовый 2" xfId="1081" hidden="1"/>
    <cellStyle name="Финансовый 2" xfId="1077" hidden="1"/>
    <cellStyle name="Финансовый 2" xfId="1910" hidden="1"/>
    <cellStyle name="Финансовый 2" xfId="1916" hidden="1"/>
    <cellStyle name="Финансовый 2" xfId="1932" hidden="1"/>
    <cellStyle name="Финансовый 2" xfId="1912" hidden="1"/>
    <cellStyle name="Финансовый 2" xfId="1939" hidden="1"/>
    <cellStyle name="Финансовый 2" xfId="1949" hidden="1"/>
    <cellStyle name="Финансовый 2" xfId="1961" hidden="1"/>
    <cellStyle name="Финансовый 2" xfId="1967" hidden="1"/>
    <cellStyle name="Финансовый 2" xfId="1983" hidden="1"/>
    <cellStyle name="Финансовый 2" xfId="1963" hidden="1"/>
    <cellStyle name="Финансовый 2" xfId="1990" hidden="1"/>
    <cellStyle name="Финансовый 2" xfId="1994" hidden="1"/>
    <cellStyle name="Финансовый 2" xfId="2006" hidden="1"/>
    <cellStyle name="Финансовый 2" xfId="2012" hidden="1"/>
    <cellStyle name="Финансовый 2" xfId="2028" hidden="1"/>
    <cellStyle name="Финансовый 2" xfId="2008" hidden="1"/>
    <cellStyle name="Финансовый 2" xfId="2035" hidden="1"/>
    <cellStyle name="Финансовый 2" xfId="2042" hidden="1"/>
    <cellStyle name="Финансовый 2" xfId="2054" hidden="1"/>
    <cellStyle name="Финансовый 2" xfId="2060" hidden="1"/>
    <cellStyle name="Финансовый 2" xfId="2076" hidden="1"/>
    <cellStyle name="Финансовый 2" xfId="2056" hidden="1"/>
    <cellStyle name="Финансовый 2" xfId="2083" hidden="1"/>
    <cellStyle name="Финансовый 2" xfId="2087" hidden="1"/>
    <cellStyle name="Финансовый 2" xfId="2099" hidden="1"/>
    <cellStyle name="Финансовый 2" xfId="2105" hidden="1"/>
    <cellStyle name="Финансовый 2" xfId="2121" hidden="1"/>
    <cellStyle name="Финансовый 2" xfId="2101" hidden="1"/>
    <cellStyle name="Финансовый 2" xfId="2128" hidden="1"/>
    <cellStyle name="Финансовый 2" xfId="2133" hidden="1"/>
    <cellStyle name="Финансовый 2" xfId="2145" hidden="1"/>
    <cellStyle name="Финансовый 2" xfId="2151" hidden="1"/>
    <cellStyle name="Финансовый 2" xfId="2167" hidden="1"/>
    <cellStyle name="Финансовый 2" xfId="2147" hidden="1"/>
    <cellStyle name="Финансовый 2" xfId="2174" hidden="1"/>
    <cellStyle name="Финансовый 2" xfId="2178" hidden="1"/>
    <cellStyle name="Финансовый 2" xfId="2190" hidden="1"/>
    <cellStyle name="Финансовый 2" xfId="2196" hidden="1"/>
    <cellStyle name="Финансовый 2" xfId="2212" hidden="1"/>
    <cellStyle name="Финансовый 2" xfId="2192" hidden="1"/>
    <cellStyle name="Финансовый 2" xfId="2219" hidden="1"/>
    <cellStyle name="Финансовый 2" xfId="2222" hidden="1"/>
    <cellStyle name="Финансовый 2" xfId="2234" hidden="1"/>
    <cellStyle name="Финансовый 2" xfId="2240" hidden="1"/>
    <cellStyle name="Финансовый 2" xfId="2256" hidden="1"/>
    <cellStyle name="Финансовый 2" xfId="2236" hidden="1"/>
    <cellStyle name="Финансовый 2" xfId="2263" hidden="1"/>
    <cellStyle name="Финансовый 2" xfId="2267" hidden="1"/>
    <cellStyle name="Финансовый 2" xfId="2279" hidden="1"/>
    <cellStyle name="Финансовый 2" xfId="2284" hidden="1"/>
    <cellStyle name="Финансовый 2" xfId="2300" hidden="1"/>
    <cellStyle name="Финансовый 2" xfId="2280" hidden="1"/>
    <cellStyle name="Финансовый 2" xfId="2307" hidden="1"/>
    <cellStyle name="Финансовый 2" xfId="1946" hidden="1"/>
    <cellStyle name="Финансовый 2" xfId="1539" hidden="1"/>
    <cellStyle name="Финансовый 2" xfId="1534" hidden="1"/>
    <cellStyle name="Финансовый 2" xfId="1518" hidden="1"/>
    <cellStyle name="Финансовый 2" xfId="1538" hidden="1"/>
    <cellStyle name="Финансовый 2" xfId="1510" hidden="1"/>
    <cellStyle name="Финансовый 2" xfId="1502" hidden="1"/>
    <cellStyle name="Финансовый 2" xfId="1483" hidden="1"/>
    <cellStyle name="Финансовый 2" xfId="1478" hidden="1"/>
    <cellStyle name="Финансовый 2" xfId="1462" hidden="1"/>
    <cellStyle name="Финансовый 2" xfId="1482" hidden="1"/>
    <cellStyle name="Финансовый 2" xfId="1455" hidden="1"/>
    <cellStyle name="Финансовый 2" xfId="1185" hidden="1"/>
    <cellStyle name="Финансовый 2" xfId="1140" hidden="1"/>
    <cellStyle name="Финансовый 2" xfId="1135" hidden="1"/>
    <cellStyle name="Финансовый 2" xfId="1119" hidden="1"/>
    <cellStyle name="Финансовый 2" xfId="1139" hidden="1"/>
    <cellStyle name="Финансовый 2" xfId="2037" hidden="1"/>
    <cellStyle name="Финансовый 2" xfId="2085" hidden="1"/>
    <cellStyle name="Финансовый 2" xfId="2100" hidden="1"/>
    <cellStyle name="Финансовый 2" xfId="2084" hidden="1"/>
    <cellStyle name="Финансовый 2" xfId="1326" hidden="1"/>
    <cellStyle name="Финансовый 2" xfId="2007" hidden="1"/>
    <cellStyle name="Финансовый 2" xfId="1367" hidden="1"/>
    <cellStyle name="Финансовый 2" xfId="2311" hidden="1"/>
    <cellStyle name="Финансовый 2" xfId="2323" hidden="1"/>
    <cellStyle name="Финансовый 2" xfId="2328" hidden="1"/>
    <cellStyle name="Финансовый 2" xfId="2344" hidden="1"/>
    <cellStyle name="Финансовый 2" xfId="2324" hidden="1"/>
    <cellStyle name="Финансовый 2" xfId="2351" hidden="1"/>
    <cellStyle name="Финансовый 2" xfId="2353" hidden="1"/>
    <cellStyle name="Финансовый 2" xfId="2365" hidden="1"/>
    <cellStyle name="Финансовый 2" xfId="2370" hidden="1"/>
    <cellStyle name="Финансовый 2" xfId="2386" hidden="1"/>
    <cellStyle name="Финансовый 2" xfId="2366" hidden="1"/>
    <cellStyle name="Финансовый 2" xfId="2393" hidden="1"/>
    <cellStyle name="Финансовый 2" xfId="2395" hidden="1"/>
    <cellStyle name="Финансовый 2" xfId="2407" hidden="1"/>
    <cellStyle name="Финансовый 2" xfId="2412" hidden="1"/>
    <cellStyle name="Финансовый 2" xfId="2428" hidden="1"/>
    <cellStyle name="Финансовый 2" xfId="2408" hidden="1"/>
    <cellStyle name="Финансовый 2" xfId="2435" hidden="1"/>
    <cellStyle name="Финансовый 2" xfId="2437" hidden="1"/>
    <cellStyle name="Финансовый 2" xfId="2449" hidden="1"/>
    <cellStyle name="Финансовый 2" xfId="2454" hidden="1"/>
    <cellStyle name="Финансовый 2" xfId="2470" hidden="1"/>
    <cellStyle name="Финансовый 2" xfId="2450" hidden="1"/>
    <cellStyle name="Финансовый 2" xfId="2477" hidden="1"/>
    <cellStyle name="Финансовый 2" xfId="2480" hidden="1"/>
    <cellStyle name="Финансовый 2" xfId="2492" hidden="1"/>
    <cellStyle name="Финансовый 2" xfId="2497" hidden="1"/>
    <cellStyle name="Финансовый 2" xfId="2513" hidden="1"/>
    <cellStyle name="Финансовый 2" xfId="2493" hidden="1"/>
    <cellStyle name="Финансовый 2" xfId="2520" hidden="1"/>
    <cellStyle name="Финансовый 2" xfId="2522" hidden="1"/>
    <cellStyle name="Финансовый 2" xfId="2534" hidden="1"/>
    <cellStyle name="Финансовый 2" xfId="2539" hidden="1"/>
    <cellStyle name="Финансовый 2" xfId="2555" hidden="1"/>
    <cellStyle name="Финансовый 2" xfId="2535" hidden="1"/>
    <cellStyle name="Финансовый 2" xfId="2562" hidden="1"/>
    <cellStyle name="Финансовый 2" xfId="2564" hidden="1"/>
    <cellStyle name="Финансовый 2" xfId="2576" hidden="1"/>
    <cellStyle name="Финансовый 2" xfId="2581" hidden="1"/>
    <cellStyle name="Финансовый 2" xfId="2597" hidden="1"/>
    <cellStyle name="Финансовый 2" xfId="2577" hidden="1"/>
    <cellStyle name="Финансовый 2" xfId="2604" hidden="1"/>
    <cellStyle name="Финансовый 2" xfId="2606" hidden="1"/>
    <cellStyle name="Финансовый 2" xfId="2618" hidden="1"/>
    <cellStyle name="Финансовый 2" xfId="2623" hidden="1"/>
    <cellStyle name="Финансовый 2" xfId="2639" hidden="1"/>
    <cellStyle name="Финансовый 2" xfId="2619" hidden="1"/>
    <cellStyle name="Финансовый 2" xfId="2646" hidden="1"/>
    <cellStyle name="Финансовый 2" xfId="2700" hidden="1"/>
    <cellStyle name="Финансовый 2" xfId="2723" hidden="1"/>
    <cellStyle name="Финансовый 2" xfId="2730" hidden="1"/>
    <cellStyle name="Финансовый 2" xfId="2746" hidden="1"/>
    <cellStyle name="Финансовый 2" xfId="2726" hidden="1"/>
    <cellStyle name="Финансовый 2" xfId="2753" hidden="1"/>
    <cellStyle name="Финансовый 2" xfId="2755" hidden="1"/>
    <cellStyle name="Финансовый 2" xfId="2767" hidden="1"/>
    <cellStyle name="Финансовый 2" xfId="2772" hidden="1"/>
    <cellStyle name="Финансовый 2" xfId="2788" hidden="1"/>
    <cellStyle name="Финансовый 2" xfId="2768" hidden="1"/>
    <cellStyle name="Финансовый 2" xfId="2795" hidden="1"/>
    <cellStyle name="Финансовый 2" xfId="2836" hidden="1"/>
    <cellStyle name="Финансовый 2" xfId="2905" hidden="1"/>
    <cellStyle name="Финансовый 2" xfId="2910" hidden="1"/>
    <cellStyle name="Финансовый 2" xfId="2926" hidden="1"/>
    <cellStyle name="Финансовый 2" xfId="2906" hidden="1"/>
    <cellStyle name="Финансовый 2" xfId="2933" hidden="1"/>
    <cellStyle name="Финансовый 2" xfId="2935" hidden="1"/>
    <cellStyle name="Финансовый 2" xfId="2947" hidden="1"/>
    <cellStyle name="Финансовый 2" xfId="2952" hidden="1"/>
    <cellStyle name="Финансовый 2" xfId="2968" hidden="1"/>
    <cellStyle name="Финансовый 2" xfId="2948" hidden="1"/>
    <cellStyle name="Финансовый 2" xfId="2975" hidden="1"/>
    <cellStyle name="Финансовый 2" xfId="3027" hidden="1"/>
    <cellStyle name="Финансовый 2" xfId="3074" hidden="1"/>
    <cellStyle name="Финансовый 2" xfId="3080" hidden="1"/>
    <cellStyle name="Финансовый 2" xfId="3096" hidden="1"/>
    <cellStyle name="Финансовый 2" xfId="3076" hidden="1"/>
    <cellStyle name="Финансовый 2" xfId="3103" hidden="1"/>
    <cellStyle name="Финансовый 2" xfId="3105" hidden="1"/>
    <cellStyle name="Финансовый 2" xfId="3117" hidden="1"/>
    <cellStyle name="Финансовый 2" xfId="3122" hidden="1"/>
    <cellStyle name="Финансовый 2" xfId="3138" hidden="1"/>
    <cellStyle name="Финансовый 2" xfId="3118" hidden="1"/>
    <cellStyle name="Финансовый 2" xfId="3145" hidden="1"/>
    <cellStyle name="Финансовый 2" xfId="3147" hidden="1"/>
    <cellStyle name="Финансовый 2" xfId="3159" hidden="1"/>
    <cellStyle name="Финансовый 2" xfId="3164" hidden="1"/>
    <cellStyle name="Финансовый 2" xfId="3180" hidden="1"/>
    <cellStyle name="Финансовый 2" xfId="3160" hidden="1"/>
    <cellStyle name="Финансовый 2" xfId="3187" hidden="1"/>
    <cellStyle name="Финансовый 2" xfId="3189" hidden="1"/>
    <cellStyle name="Финансовый 2" xfId="3201" hidden="1"/>
    <cellStyle name="Финансовый 2" xfId="3206" hidden="1"/>
    <cellStyle name="Финансовый 2" xfId="3222" hidden="1"/>
    <cellStyle name="Финансовый 2" xfId="3202" hidden="1"/>
    <cellStyle name="Финансовый 2" xfId="3229" hidden="1"/>
    <cellStyle name="Финансовый 2" xfId="3232" hidden="1"/>
    <cellStyle name="Финансовый 2" xfId="3244" hidden="1"/>
    <cellStyle name="Финансовый 2" xfId="3249" hidden="1"/>
    <cellStyle name="Финансовый 2" xfId="3265" hidden="1"/>
    <cellStyle name="Финансовый 2" xfId="3245" hidden="1"/>
    <cellStyle name="Финансовый 2" xfId="3272" hidden="1"/>
    <cellStyle name="Финансовый 2" xfId="3274" hidden="1"/>
    <cellStyle name="Финансовый 2" xfId="3286" hidden="1"/>
    <cellStyle name="Финансовый 2" xfId="3291" hidden="1"/>
    <cellStyle name="Финансовый 2" xfId="3307" hidden="1"/>
    <cellStyle name="Финансовый 2" xfId="3287" hidden="1"/>
    <cellStyle name="Финансовый 2" xfId="3314" hidden="1"/>
    <cellStyle name="Финансовый 2" xfId="3316" hidden="1"/>
    <cellStyle name="Финансовый 2" xfId="3328" hidden="1"/>
    <cellStyle name="Финансовый 2" xfId="3333" hidden="1"/>
    <cellStyle name="Финансовый 2" xfId="3349" hidden="1"/>
    <cellStyle name="Финансовый 2" xfId="3329" hidden="1"/>
    <cellStyle name="Финансовый 2" xfId="3356" hidden="1"/>
    <cellStyle name="Финансовый 2" xfId="3358" hidden="1"/>
    <cellStyle name="Финансовый 2" xfId="3370" hidden="1"/>
    <cellStyle name="Финансовый 2" xfId="3375" hidden="1"/>
    <cellStyle name="Финансовый 2" xfId="3391" hidden="1"/>
    <cellStyle name="Финансовый 2" xfId="3371" hidden="1"/>
    <cellStyle name="Финансовый 2" xfId="3398" hidden="1"/>
    <cellStyle name="Финансовый 2" xfId="3022" hidden="1"/>
    <cellStyle name="Финансовый 2" xfId="2889" hidden="1"/>
    <cellStyle name="Финансовый 2" xfId="2881" hidden="1"/>
    <cellStyle name="Финансовый 2" xfId="2865" hidden="1"/>
    <cellStyle name="Финансовый 2" xfId="2886" hidden="1"/>
    <cellStyle name="Финансовый 2" xfId="2858" hidden="1"/>
    <cellStyle name="Финансовый 2" xfId="2850" hidden="1"/>
    <cellStyle name="Финансовый 2" xfId="2831" hidden="1"/>
    <cellStyle name="Финансовый 2" xfId="2825" hidden="1"/>
    <cellStyle name="Финансовый 2" xfId="2809" hidden="1"/>
    <cellStyle name="Финансовый 2" xfId="2829" hidden="1"/>
    <cellStyle name="Финансовый 2" xfId="2802" hidden="1"/>
    <cellStyle name="Финансовый 2" xfId="2711" hidden="1"/>
    <cellStyle name="Финансовый 2" xfId="2663" hidden="1"/>
    <cellStyle name="Финансовый 2" xfId="2656" hidden="1"/>
    <cellStyle name="Финансовый 2" xfId="1173" hidden="1"/>
    <cellStyle name="Финансовый 2" xfId="2660" hidden="1"/>
    <cellStyle name="Финансовый 2" xfId="1167" hidden="1"/>
    <cellStyle name="Финансовый 2" xfId="1178" hidden="1"/>
    <cellStyle name="Финансовый 2" xfId="3407" hidden="1"/>
    <cellStyle name="Финансовый 2" xfId="3413" hidden="1"/>
    <cellStyle name="Финансовый 2" xfId="3429" hidden="1"/>
    <cellStyle name="Финансовый 2" xfId="3409" hidden="1"/>
    <cellStyle name="Финансовый 2" xfId="3436" hidden="1"/>
    <cellStyle name="Финансовый 2" xfId="3446" hidden="1"/>
    <cellStyle name="Финансовый 2" xfId="3458" hidden="1"/>
    <cellStyle name="Финансовый 2" xfId="3464" hidden="1"/>
    <cellStyle name="Финансовый 2" xfId="3480" hidden="1"/>
    <cellStyle name="Финансовый 2" xfId="3460" hidden="1"/>
    <cellStyle name="Финансовый 2" xfId="3487" hidden="1"/>
    <cellStyle name="Финансовый 2" xfId="3491" hidden="1"/>
    <cellStyle name="Финансовый 2" xfId="3503" hidden="1"/>
    <cellStyle name="Финансовый 2" xfId="3509" hidden="1"/>
    <cellStyle name="Финансовый 2" xfId="3525" hidden="1"/>
    <cellStyle name="Финансовый 2" xfId="3505" hidden="1"/>
    <cellStyle name="Финансовый 2" xfId="3532" hidden="1"/>
    <cellStyle name="Финансовый 2" xfId="3539" hidden="1"/>
    <cellStyle name="Финансовый 2" xfId="3551" hidden="1"/>
    <cellStyle name="Финансовый 2" xfId="3557" hidden="1"/>
    <cellStyle name="Финансовый 2" xfId="3573" hidden="1"/>
    <cellStyle name="Финансовый 2" xfId="3553" hidden="1"/>
    <cellStyle name="Финансовый 2" xfId="3580" hidden="1"/>
    <cellStyle name="Финансовый 2" xfId="3584" hidden="1"/>
    <cellStyle name="Финансовый 2" xfId="3596" hidden="1"/>
    <cellStyle name="Финансовый 2" xfId="3602" hidden="1"/>
    <cellStyle name="Финансовый 2" xfId="3618" hidden="1"/>
    <cellStyle name="Финансовый 2" xfId="3598" hidden="1"/>
    <cellStyle name="Финансовый 2" xfId="3625" hidden="1"/>
    <cellStyle name="Финансовый 2" xfId="3630" hidden="1"/>
    <cellStyle name="Финансовый 2" xfId="3642" hidden="1"/>
    <cellStyle name="Финансовый 2" xfId="3648" hidden="1"/>
    <cellStyle name="Финансовый 2" xfId="3664" hidden="1"/>
    <cellStyle name="Финансовый 2" xfId="3644" hidden="1"/>
    <cellStyle name="Финансовый 2" xfId="3671" hidden="1"/>
    <cellStyle name="Финансовый 2" xfId="3675" hidden="1"/>
    <cellStyle name="Финансовый 2" xfId="3687" hidden="1"/>
    <cellStyle name="Финансовый 2" xfId="3693" hidden="1"/>
    <cellStyle name="Финансовый 2" xfId="3709" hidden="1"/>
    <cellStyle name="Финансовый 2" xfId="3689" hidden="1"/>
    <cellStyle name="Финансовый 2" xfId="3716" hidden="1"/>
    <cellStyle name="Финансовый 2" xfId="3719" hidden="1"/>
    <cellStyle name="Финансовый 2" xfId="3731" hidden="1"/>
    <cellStyle name="Финансовый 2" xfId="3737" hidden="1"/>
    <cellStyle name="Финансовый 2" xfId="3753" hidden="1"/>
    <cellStyle name="Финансовый 2" xfId="3733" hidden="1"/>
    <cellStyle name="Финансовый 2" xfId="3760" hidden="1"/>
    <cellStyle name="Финансовый 2" xfId="3764" hidden="1"/>
    <cellStyle name="Финансовый 2" xfId="3776" hidden="1"/>
    <cellStyle name="Финансовый 2" xfId="3781" hidden="1"/>
    <cellStyle name="Финансовый 2" xfId="3797" hidden="1"/>
    <cellStyle name="Финансовый 2" xfId="3777" hidden="1"/>
    <cellStyle name="Финансовый 2" xfId="3804" hidden="1"/>
    <cellStyle name="Финансовый 2" xfId="3443" hidden="1"/>
    <cellStyle name="Финансовый 2" xfId="3061" hidden="1"/>
    <cellStyle name="Финансовый 2" xfId="3056" hidden="1"/>
    <cellStyle name="Финансовый 2" xfId="3040" hidden="1"/>
    <cellStyle name="Финансовый 2" xfId="3060" hidden="1"/>
    <cellStyle name="Финансовый 2" xfId="3032" hidden="1"/>
    <cellStyle name="Финансовый 2" xfId="3024" hidden="1"/>
    <cellStyle name="Финансовый 2" xfId="3005" hidden="1"/>
    <cellStyle name="Финансовый 2" xfId="3000" hidden="1"/>
    <cellStyle name="Финансовый 2" xfId="2984" hidden="1"/>
    <cellStyle name="Финансовый 2" xfId="3004" hidden="1"/>
    <cellStyle name="Финансовый 2" xfId="2977" hidden="1"/>
    <cellStyle name="Финансовый 2" xfId="2725" hidden="1"/>
    <cellStyle name="Финансовый 2" xfId="2692" hidden="1"/>
    <cellStyle name="Финансовый 2" xfId="2687" hidden="1"/>
    <cellStyle name="Финансовый 2" xfId="2671" hidden="1"/>
    <cellStyle name="Финансовый 2" xfId="2691" hidden="1"/>
    <cellStyle name="Финансовый 2" xfId="3534" hidden="1"/>
    <cellStyle name="Финансовый 2" xfId="3582" hidden="1"/>
    <cellStyle name="Финансовый 2" xfId="3597" hidden="1"/>
    <cellStyle name="Финансовый 2" xfId="3581" hidden="1"/>
    <cellStyle name="Финансовый 2" xfId="2855" hidden="1"/>
    <cellStyle name="Финансовый 2" xfId="3504" hidden="1"/>
    <cellStyle name="Финансовый 2" xfId="2896" hidden="1"/>
    <cellStyle name="Финансовый 2" xfId="3808" hidden="1"/>
    <cellStyle name="Финансовый 2" xfId="3820" hidden="1"/>
    <cellStyle name="Финансовый 2" xfId="3825" hidden="1"/>
    <cellStyle name="Финансовый 2" xfId="3841" hidden="1"/>
    <cellStyle name="Финансовый 2" xfId="3821" hidden="1"/>
    <cellStyle name="Финансовый 2" xfId="3848" hidden="1"/>
    <cellStyle name="Финансовый 2" xfId="3850" hidden="1"/>
    <cellStyle name="Финансовый 2" xfId="3862" hidden="1"/>
    <cellStyle name="Финансовый 2" xfId="3867" hidden="1"/>
    <cellStyle name="Финансовый 2" xfId="3883" hidden="1"/>
    <cellStyle name="Финансовый 2" xfId="3863" hidden="1"/>
    <cellStyle name="Финансовый 2" xfId="3890" hidden="1"/>
    <cellStyle name="Финансовый 2" xfId="3892" hidden="1"/>
    <cellStyle name="Финансовый 2" xfId="3904" hidden="1"/>
    <cellStyle name="Финансовый 2" xfId="3909" hidden="1"/>
    <cellStyle name="Финансовый 2" xfId="3925" hidden="1"/>
    <cellStyle name="Финансовый 2" xfId="3905" hidden="1"/>
    <cellStyle name="Финансовый 2" xfId="3932" hidden="1"/>
    <cellStyle name="Финансовый 2" xfId="3934" hidden="1"/>
    <cellStyle name="Финансовый 2" xfId="3946" hidden="1"/>
    <cellStyle name="Финансовый 2" xfId="3951" hidden="1"/>
    <cellStyle name="Финансовый 2" xfId="3967" hidden="1"/>
    <cellStyle name="Финансовый 2" xfId="3947" hidden="1"/>
    <cellStyle name="Финансовый 2" xfId="3974" hidden="1"/>
    <cellStyle name="Финансовый 2" xfId="3977" hidden="1"/>
    <cellStyle name="Финансовый 2" xfId="3989" hidden="1"/>
    <cellStyle name="Финансовый 2" xfId="3994" hidden="1"/>
    <cellStyle name="Финансовый 2" xfId="4010" hidden="1"/>
    <cellStyle name="Финансовый 2" xfId="3990" hidden="1"/>
    <cellStyle name="Финансовый 2" xfId="4017" hidden="1"/>
    <cellStyle name="Финансовый 2" xfId="4019" hidden="1"/>
    <cellStyle name="Финансовый 2" xfId="4031" hidden="1"/>
    <cellStyle name="Финансовый 2" xfId="4036" hidden="1"/>
    <cellStyle name="Финансовый 2" xfId="4052" hidden="1"/>
    <cellStyle name="Финансовый 2" xfId="4032" hidden="1"/>
    <cellStyle name="Финансовый 2" xfId="4059" hidden="1"/>
    <cellStyle name="Финансовый 2" xfId="4061" hidden="1"/>
    <cellStyle name="Финансовый 2" xfId="4073" hidden="1"/>
    <cellStyle name="Финансовый 2" xfId="4078" hidden="1"/>
    <cellStyle name="Финансовый 2" xfId="4094" hidden="1"/>
    <cellStyle name="Финансовый 2" xfId="4074" hidden="1"/>
    <cellStyle name="Финансовый 2" xfId="4101" hidden="1"/>
    <cellStyle name="Финансовый 2" xfId="4103" hidden="1"/>
    <cellStyle name="Финансовый 2" xfId="4115" hidden="1"/>
    <cellStyle name="Финансовый 2" xfId="4120" hidden="1"/>
    <cellStyle name="Финансовый 2" xfId="4136" hidden="1"/>
    <cellStyle name="Финансовый 2" xfId="4116" hidden="1"/>
    <cellStyle name="Финансовый 2" xfId="4143" hidden="1"/>
    <cellStyle name="Финансовый 2" xfId="4228" hidden="1"/>
    <cellStyle name="Финансовый 2" xfId="4244" hidden="1"/>
    <cellStyle name="Финансовый 2" xfId="4250" hidden="1"/>
    <cellStyle name="Финансовый 2" xfId="4266" hidden="1"/>
    <cellStyle name="Финансовый 2" xfId="4246" hidden="1"/>
    <cellStyle name="Финансовый 2" xfId="4273" hidden="1"/>
    <cellStyle name="Финансовый 2" xfId="4278" hidden="1"/>
    <cellStyle name="Финансовый 2" xfId="4290" hidden="1"/>
    <cellStyle name="Финансовый 2" xfId="4296" hidden="1"/>
    <cellStyle name="Финансовый 2" xfId="4312" hidden="1"/>
    <cellStyle name="Финансовый 2" xfId="4292" hidden="1"/>
    <cellStyle name="Финансовый 2" xfId="4319" hidden="1"/>
    <cellStyle name="Финансовый 2" xfId="4324" hidden="1"/>
    <cellStyle name="Финансовый 2" xfId="4336" hidden="1"/>
    <cellStyle name="Финансовый 2" xfId="4342" hidden="1"/>
    <cellStyle name="Финансовый 2" xfId="4358" hidden="1"/>
    <cellStyle name="Финансовый 2" xfId="4338" hidden="1"/>
    <cellStyle name="Финансовый 2" xfId="4365" hidden="1"/>
    <cellStyle name="Финансовый 2" xfId="4369" hidden="1"/>
    <cellStyle name="Финансовый 2" xfId="4381" hidden="1"/>
    <cellStyle name="Финансовый 2" xfId="4387" hidden="1"/>
    <cellStyle name="Финансовый 2" xfId="4403" hidden="1"/>
    <cellStyle name="Финансовый 2" xfId="4383" hidden="1"/>
    <cellStyle name="Финансовый 2" xfId="4410" hidden="1"/>
    <cellStyle name="Финансовый 2" xfId="4414" hidden="1"/>
    <cellStyle name="Финансовый 2" xfId="4426" hidden="1"/>
    <cellStyle name="Финансовый 2" xfId="4432" hidden="1"/>
    <cellStyle name="Финансовый 2" xfId="4448" hidden="1"/>
    <cellStyle name="Финансовый 2" xfId="4428" hidden="1"/>
    <cellStyle name="Финансовый 2" xfId="4455" hidden="1"/>
    <cellStyle name="Финансовый 2" xfId="4459" hidden="1"/>
    <cellStyle name="Финансовый 2" xfId="4471" hidden="1"/>
    <cellStyle name="Финансовый 2" xfId="4477" hidden="1"/>
    <cellStyle name="Финансовый 2" xfId="4493" hidden="1"/>
    <cellStyle name="Финансовый 2" xfId="4473" hidden="1"/>
    <cellStyle name="Финансовый 2" xfId="4500" hidden="1"/>
    <cellStyle name="Финансовый 2" xfId="4506" hidden="1"/>
    <cellStyle name="Финансовый 2" xfId="4518" hidden="1"/>
    <cellStyle name="Финансовый 2" xfId="4524" hidden="1"/>
    <cellStyle name="Финансовый 2" xfId="4540" hidden="1"/>
    <cellStyle name="Финансовый 2" xfId="4520" hidden="1"/>
    <cellStyle name="Финансовый 2" xfId="4547" hidden="1"/>
    <cellStyle name="Финансовый 2" xfId="4551" hidden="1"/>
    <cellStyle name="Финансовый 2" xfId="4563" hidden="1"/>
    <cellStyle name="Финансовый 2" xfId="4569" hidden="1"/>
    <cellStyle name="Финансовый 2" xfId="4585" hidden="1"/>
    <cellStyle name="Финансовый 2" xfId="4565" hidden="1"/>
    <cellStyle name="Финансовый 2" xfId="4592" hidden="1"/>
    <cellStyle name="Финансовый 2" xfId="4597" hidden="1"/>
    <cellStyle name="Финансовый 2" xfId="4609" hidden="1"/>
    <cellStyle name="Финансовый 2" xfId="4615" hidden="1"/>
    <cellStyle name="Финансовый 2" xfId="4631" hidden="1"/>
    <cellStyle name="Финансовый 2" xfId="4611" hidden="1"/>
    <cellStyle name="Финансовый 2" xfId="4638" hidden="1"/>
    <cellStyle name="Финансовый 2" xfId="4642" hidden="1"/>
    <cellStyle name="Финансовый 2" xfId="4654" hidden="1"/>
    <cellStyle name="Финансовый 2" xfId="4660" hidden="1"/>
    <cellStyle name="Финансовый 2" xfId="4676" hidden="1"/>
    <cellStyle name="Финансовый 2" xfId="4656" hidden="1"/>
    <cellStyle name="Финансовый 2" xfId="4683" hidden="1"/>
    <cellStyle name="Финансовый 2" xfId="4687" hidden="1"/>
    <cellStyle name="Финансовый 2" xfId="4699" hidden="1"/>
    <cellStyle name="Финансовый 2" xfId="4705" hidden="1"/>
    <cellStyle name="Финансовый 2" xfId="4721" hidden="1"/>
    <cellStyle name="Финансовый 2" xfId="4701" hidden="1"/>
    <cellStyle name="Финансовый 2" xfId="4728" hidden="1"/>
    <cellStyle name="Финансовый 2" xfId="4732" hidden="1"/>
    <cellStyle name="Финансовый 2" xfId="4744" hidden="1"/>
    <cellStyle name="Финансовый 2" xfId="4750" hidden="1"/>
    <cellStyle name="Финансовый 2" xfId="4766" hidden="1"/>
    <cellStyle name="Финансовый 2" xfId="4746" hidden="1"/>
    <cellStyle name="Финансовый 2" xfId="4773" hidden="1"/>
    <cellStyle name="Финансовый 2" xfId="4854" hidden="1"/>
    <cellStyle name="Финансовый 2" xfId="4889" hidden="1"/>
    <cellStyle name="Финансовый 2" xfId="4898" hidden="1"/>
    <cellStyle name="Финансовый 2" xfId="4914" hidden="1"/>
    <cellStyle name="Финансовый 2" xfId="4893" hidden="1"/>
    <cellStyle name="Финансовый 2" xfId="4921" hidden="1"/>
    <cellStyle name="Финансовый 2" xfId="4928" hidden="1"/>
    <cellStyle name="Финансовый 2" xfId="4940" hidden="1"/>
    <cellStyle name="Финансовый 2" xfId="4946" hidden="1"/>
    <cellStyle name="Финансовый 2" xfId="4962" hidden="1"/>
    <cellStyle name="Финансовый 2" xfId="4942" hidden="1"/>
    <cellStyle name="Финансовый 2" xfId="4969" hidden="1"/>
    <cellStyle name="Финансовый 2" xfId="5013" hidden="1"/>
    <cellStyle name="Финансовый 2" xfId="5082" hidden="1"/>
    <cellStyle name="Финансовый 2" xfId="5088" hidden="1"/>
    <cellStyle name="Финансовый 2" xfId="5104" hidden="1"/>
    <cellStyle name="Финансовый 2" xfId="5084" hidden="1"/>
    <cellStyle name="Финансовый 2" xfId="5111" hidden="1"/>
    <cellStyle name="Финансовый 2" xfId="5115" hidden="1"/>
    <cellStyle name="Финансовый 2" xfId="5127" hidden="1"/>
    <cellStyle name="Финансовый 2" xfId="5133" hidden="1"/>
    <cellStyle name="Финансовый 2" xfId="5149" hidden="1"/>
    <cellStyle name="Финансовый 2" xfId="5129" hidden="1"/>
    <cellStyle name="Финансовый 2" xfId="5156" hidden="1"/>
    <cellStyle name="Финансовый 2" xfId="5211" hidden="1"/>
    <cellStyle name="Финансовый 2" xfId="5258" hidden="1"/>
    <cellStyle name="Финансовый 2" xfId="5265" hidden="1"/>
    <cellStyle name="Финансовый 2" xfId="5281" hidden="1"/>
    <cellStyle name="Финансовый 2" xfId="5261" hidden="1"/>
    <cellStyle name="Финансовый 2" xfId="5288" hidden="1"/>
    <cellStyle name="Финансовый 2" xfId="5292" hidden="1"/>
    <cellStyle name="Финансовый 2" xfId="5304" hidden="1"/>
    <cellStyle name="Финансовый 2" xfId="5310" hidden="1"/>
    <cellStyle name="Финансовый 2" xfId="5326" hidden="1"/>
    <cellStyle name="Финансовый 2" xfId="5306" hidden="1"/>
    <cellStyle name="Финансовый 2" xfId="5333" hidden="1"/>
    <cellStyle name="Финансовый 2" xfId="5338" hidden="1"/>
    <cellStyle name="Финансовый 2" xfId="5350" hidden="1"/>
    <cellStyle name="Финансовый 2" xfId="5356" hidden="1"/>
    <cellStyle name="Финансовый 2" xfId="5372" hidden="1"/>
    <cellStyle name="Финансовый 2" xfId="5352" hidden="1"/>
    <cellStyle name="Финансовый 2" xfId="5379" hidden="1"/>
    <cellStyle name="Финансовый 2" xfId="5383" hidden="1"/>
    <cellStyle name="Финансовый 2" xfId="5395" hidden="1"/>
    <cellStyle name="Финансовый 2" xfId="5401" hidden="1"/>
    <cellStyle name="Финансовый 2" xfId="5417" hidden="1"/>
    <cellStyle name="Финансовый 2" xfId="5397" hidden="1"/>
    <cellStyle name="Финансовый 2" xfId="5424" hidden="1"/>
    <cellStyle name="Финансовый 2" xfId="5429" hidden="1"/>
    <cellStyle name="Финансовый 2" xfId="5441" hidden="1"/>
    <cellStyle name="Финансовый 2" xfId="5447" hidden="1"/>
    <cellStyle name="Финансовый 2" xfId="5463" hidden="1"/>
    <cellStyle name="Финансовый 2" xfId="5443" hidden="1"/>
    <cellStyle name="Финансовый 2" xfId="5470" hidden="1"/>
    <cellStyle name="Финансовый 2" xfId="5474" hidden="1"/>
    <cellStyle name="Финансовый 2" xfId="5486" hidden="1"/>
    <cellStyle name="Финансовый 2" xfId="5492" hidden="1"/>
    <cellStyle name="Финансовый 2" xfId="5508" hidden="1"/>
    <cellStyle name="Финансовый 2" xfId="5488" hidden="1"/>
    <cellStyle name="Финансовый 2" xfId="5515" hidden="1"/>
    <cellStyle name="Финансовый 2" xfId="5519" hidden="1"/>
    <cellStyle name="Финансовый 2" xfId="5531" hidden="1"/>
    <cellStyle name="Финансовый 2" xfId="5537" hidden="1"/>
    <cellStyle name="Финансовый 2" xfId="5553" hidden="1"/>
    <cellStyle name="Финансовый 2" xfId="5533" hidden="1"/>
    <cellStyle name="Финансовый 2" xfId="5560" hidden="1"/>
    <cellStyle name="Финансовый 2" xfId="5564" hidden="1"/>
    <cellStyle name="Финансовый 2" xfId="5576" hidden="1"/>
    <cellStyle name="Финансовый 2" xfId="5582" hidden="1"/>
    <cellStyle name="Финансовый 2" xfId="5598" hidden="1"/>
    <cellStyle name="Финансовый 2" xfId="5578" hidden="1"/>
    <cellStyle name="Финансовый 2" xfId="5605" hidden="1"/>
    <cellStyle name="Финансовый 2" xfId="5206" hidden="1"/>
    <cellStyle name="Финансовый 2" xfId="5066" hidden="1"/>
    <cellStyle name="Финансовый 2" xfId="5058" hidden="1"/>
    <cellStyle name="Финансовый 2" xfId="5042" hidden="1"/>
    <cellStyle name="Финансовый 2" xfId="5063" hidden="1"/>
    <cellStyle name="Финансовый 2" xfId="5035" hidden="1"/>
    <cellStyle name="Финансовый 2" xfId="5027" hidden="1"/>
    <cellStyle name="Финансовый 2" xfId="5008" hidden="1"/>
    <cellStyle name="Финансовый 2" xfId="5002" hidden="1"/>
    <cellStyle name="Финансовый 2" xfId="4986" hidden="1"/>
    <cellStyle name="Финансовый 2" xfId="5006" hidden="1"/>
    <cellStyle name="Финансовый 2" xfId="4979" hidden="1"/>
    <cellStyle name="Финансовый 2" xfId="4865" hidden="1"/>
    <cellStyle name="Финансовый 2" xfId="4817" hidden="1"/>
    <cellStyle name="Финансовый 2" xfId="4810" hidden="1"/>
    <cellStyle name="Финансовый 2" xfId="4794" hidden="1"/>
    <cellStyle name="Финансовый 2" xfId="4814" hidden="1"/>
    <cellStyle name="Финансовый 2" xfId="4787" hidden="1"/>
    <cellStyle name="Финансовый 2" xfId="4783" hidden="1"/>
    <cellStyle name="Финансовый 2" xfId="5616" hidden="1"/>
    <cellStyle name="Финансовый 2" xfId="5622" hidden="1"/>
    <cellStyle name="Финансовый 2" xfId="5638" hidden="1"/>
    <cellStyle name="Финансовый 2" xfId="5618" hidden="1"/>
    <cellStyle name="Финансовый 2" xfId="5645" hidden="1"/>
    <cellStyle name="Финансовый 2" xfId="5655" hidden="1"/>
    <cellStyle name="Финансовый 2" xfId="5667" hidden="1"/>
    <cellStyle name="Финансовый 2" xfId="5673" hidden="1"/>
    <cellStyle name="Финансовый 2" xfId="5689" hidden="1"/>
    <cellStyle name="Финансовый 2" xfId="5669" hidden="1"/>
    <cellStyle name="Финансовый 2" xfId="5696" hidden="1"/>
    <cellStyle name="Финансовый 2" xfId="5700" hidden="1"/>
    <cellStyle name="Финансовый 2" xfId="5712" hidden="1"/>
    <cellStyle name="Финансовый 2" xfId="5718" hidden="1"/>
    <cellStyle name="Финансовый 2" xfId="5734" hidden="1"/>
    <cellStyle name="Финансовый 2" xfId="5714" hidden="1"/>
    <cellStyle name="Финансовый 2" xfId="5741" hidden="1"/>
    <cellStyle name="Финансовый 2" xfId="5748" hidden="1"/>
    <cellStyle name="Финансовый 2" xfId="5760" hidden="1"/>
    <cellStyle name="Финансовый 2" xfId="5766" hidden="1"/>
    <cellStyle name="Финансовый 2" xfId="5782" hidden="1"/>
    <cellStyle name="Финансовый 2" xfId="5762" hidden="1"/>
    <cellStyle name="Финансовый 2" xfId="5789" hidden="1"/>
    <cellStyle name="Финансовый 2" xfId="5793" hidden="1"/>
    <cellStyle name="Финансовый 2" xfId="5805" hidden="1"/>
    <cellStyle name="Финансовый 2" xfId="5811" hidden="1"/>
    <cellStyle name="Финансовый 2" xfId="5827" hidden="1"/>
    <cellStyle name="Финансовый 2" xfId="5807" hidden="1"/>
    <cellStyle name="Финансовый 2" xfId="5834" hidden="1"/>
    <cellStyle name="Финансовый 2" xfId="5839" hidden="1"/>
    <cellStyle name="Финансовый 2" xfId="5851" hidden="1"/>
    <cellStyle name="Финансовый 2" xfId="5857" hidden="1"/>
    <cellStyle name="Финансовый 2" xfId="5873" hidden="1"/>
    <cellStyle name="Финансовый 2" xfId="5853" hidden="1"/>
    <cellStyle name="Финансовый 2" xfId="5880" hidden="1"/>
    <cellStyle name="Финансовый 2" xfId="5884" hidden="1"/>
    <cellStyle name="Финансовый 2" xfId="5896" hidden="1"/>
    <cellStyle name="Финансовый 2" xfId="5902" hidden="1"/>
    <cellStyle name="Финансовый 2" xfId="5918" hidden="1"/>
    <cellStyle name="Финансовый 2" xfId="5898" hidden="1"/>
    <cellStyle name="Финансовый 2" xfId="5925" hidden="1"/>
    <cellStyle name="Финансовый 2" xfId="5928" hidden="1"/>
    <cellStyle name="Финансовый 2" xfId="5940" hidden="1"/>
    <cellStyle name="Финансовый 2" xfId="5946" hidden="1"/>
    <cellStyle name="Финансовый 2" xfId="5962" hidden="1"/>
    <cellStyle name="Финансовый 2" xfId="5942" hidden="1"/>
    <cellStyle name="Финансовый 2" xfId="5969" hidden="1"/>
    <cellStyle name="Финансовый 2" xfId="5973" hidden="1"/>
    <cellStyle name="Финансовый 2" xfId="5985" hidden="1"/>
    <cellStyle name="Финансовый 2" xfId="5990" hidden="1"/>
    <cellStyle name="Финансовый 2" xfId="6006" hidden="1"/>
    <cellStyle name="Финансовый 2" xfId="5986" hidden="1"/>
    <cellStyle name="Финансовый 2" xfId="6013" hidden="1"/>
    <cellStyle name="Финансовый 2" xfId="5652" hidden="1"/>
    <cellStyle name="Финансовый 2" xfId="5245" hidden="1"/>
    <cellStyle name="Финансовый 2" xfId="5240" hidden="1"/>
    <cellStyle name="Финансовый 2" xfId="5224" hidden="1"/>
    <cellStyle name="Финансовый 2" xfId="5244" hidden="1"/>
    <cellStyle name="Финансовый 2" xfId="5216" hidden="1"/>
    <cellStyle name="Финансовый 2" xfId="5208" hidden="1"/>
    <cellStyle name="Финансовый 2" xfId="5189" hidden="1"/>
    <cellStyle name="Финансовый 2" xfId="5184" hidden="1"/>
    <cellStyle name="Финансовый 2" xfId="5168" hidden="1"/>
    <cellStyle name="Финансовый 2" xfId="5188" hidden="1"/>
    <cellStyle name="Финансовый 2" xfId="5161" hidden="1"/>
    <cellStyle name="Финансовый 2" xfId="4891" hidden="1"/>
    <cellStyle name="Финансовый 2" xfId="4846" hidden="1"/>
    <cellStyle name="Финансовый 2" xfId="4841" hidden="1"/>
    <cellStyle name="Финансовый 2" xfId="4825" hidden="1"/>
    <cellStyle name="Финансовый 2" xfId="4845" hidden="1"/>
    <cellStyle name="Финансовый 2" xfId="5743" hidden="1"/>
    <cellStyle name="Финансовый 2" xfId="5791" hidden="1"/>
    <cellStyle name="Финансовый 2" xfId="5806" hidden="1"/>
    <cellStyle name="Финансовый 2" xfId="5790" hidden="1"/>
    <cellStyle name="Финансовый 2" xfId="5032" hidden="1"/>
    <cellStyle name="Финансовый 2" xfId="5713" hidden="1"/>
    <cellStyle name="Финансовый 2" xfId="5073" hidden="1"/>
    <cellStyle name="Финансовый 2" xfId="6017" hidden="1"/>
    <cellStyle name="Финансовый 2" xfId="6029" hidden="1"/>
    <cellStyle name="Финансовый 2" xfId="6034" hidden="1"/>
    <cellStyle name="Финансовый 2" xfId="6050" hidden="1"/>
    <cellStyle name="Финансовый 2" xfId="6030" hidden="1"/>
    <cellStyle name="Финансовый 2" xfId="6057" hidden="1"/>
    <cellStyle name="Финансовый 2" xfId="6059" hidden="1"/>
    <cellStyle name="Финансовый 2" xfId="6071" hidden="1"/>
    <cellStyle name="Финансовый 2" xfId="6076" hidden="1"/>
    <cellStyle name="Финансовый 2" xfId="6092" hidden="1"/>
    <cellStyle name="Финансовый 2" xfId="6072" hidden="1"/>
    <cellStyle name="Финансовый 2" xfId="6099" hidden="1"/>
    <cellStyle name="Финансовый 2" xfId="6101" hidden="1"/>
    <cellStyle name="Финансовый 2" xfId="6113" hidden="1"/>
    <cellStyle name="Финансовый 2" xfId="6118" hidden="1"/>
    <cellStyle name="Финансовый 2" xfId="6134" hidden="1"/>
    <cellStyle name="Финансовый 2" xfId="6114" hidden="1"/>
    <cellStyle name="Финансовый 2" xfId="6141" hidden="1"/>
    <cellStyle name="Финансовый 2" xfId="6143" hidden="1"/>
    <cellStyle name="Финансовый 2" xfId="6155" hidden="1"/>
    <cellStyle name="Финансовый 2" xfId="6160" hidden="1"/>
    <cellStyle name="Финансовый 2" xfId="6176" hidden="1"/>
    <cellStyle name="Финансовый 2" xfId="6156" hidden="1"/>
    <cellStyle name="Финансовый 2" xfId="6183" hidden="1"/>
    <cellStyle name="Финансовый 2" xfId="6186" hidden="1"/>
    <cellStyle name="Финансовый 2" xfId="6198" hidden="1"/>
    <cellStyle name="Финансовый 2" xfId="6203" hidden="1"/>
    <cellStyle name="Финансовый 2" xfId="6219" hidden="1"/>
    <cellStyle name="Финансовый 2" xfId="6199" hidden="1"/>
    <cellStyle name="Финансовый 2" xfId="6226" hidden="1"/>
    <cellStyle name="Финансовый 2" xfId="6228" hidden="1"/>
    <cellStyle name="Финансовый 2" xfId="6240" hidden="1"/>
    <cellStyle name="Финансовый 2" xfId="6245" hidden="1"/>
    <cellStyle name="Финансовый 2" xfId="6261" hidden="1"/>
    <cellStyle name="Финансовый 2" xfId="6241" hidden="1"/>
    <cellStyle name="Финансовый 2" xfId="6268" hidden="1"/>
    <cellStyle name="Финансовый 2" xfId="6270" hidden="1"/>
    <cellStyle name="Финансовый 2" xfId="6282" hidden="1"/>
    <cellStyle name="Финансовый 2" xfId="6287" hidden="1"/>
    <cellStyle name="Финансовый 2" xfId="6303" hidden="1"/>
    <cellStyle name="Финансовый 2" xfId="6283" hidden="1"/>
    <cellStyle name="Финансовый 2" xfId="6310" hidden="1"/>
    <cellStyle name="Финансовый 2" xfId="6312" hidden="1"/>
    <cellStyle name="Финансовый 2" xfId="6324" hidden="1"/>
    <cellStyle name="Финансовый 2" xfId="6329" hidden="1"/>
    <cellStyle name="Финансовый 2" xfId="6345" hidden="1"/>
    <cellStyle name="Финансовый 2" xfId="6325" hidden="1"/>
    <cellStyle name="Финансовый 2" xfId="6352" hidden="1"/>
    <cellStyle name="Финансовый 2" xfId="6406" hidden="1"/>
    <cellStyle name="Финансовый 2" xfId="6429" hidden="1"/>
    <cellStyle name="Финансовый 2" xfId="6436" hidden="1"/>
    <cellStyle name="Финансовый 2" xfId="6452" hidden="1"/>
    <cellStyle name="Финансовый 2" xfId="6432" hidden="1"/>
    <cellStyle name="Финансовый 2" xfId="6459" hidden="1"/>
    <cellStyle name="Финансовый 2" xfId="6461" hidden="1"/>
    <cellStyle name="Финансовый 2" xfId="6473" hidden="1"/>
    <cellStyle name="Финансовый 2" xfId="6478" hidden="1"/>
    <cellStyle name="Финансовый 2" xfId="6494" hidden="1"/>
    <cellStyle name="Финансовый 2" xfId="6474" hidden="1"/>
    <cellStyle name="Финансовый 2" xfId="6501" hidden="1"/>
    <cellStyle name="Финансовый 2" xfId="6542" hidden="1"/>
    <cellStyle name="Финансовый 2" xfId="6611" hidden="1"/>
    <cellStyle name="Финансовый 2" xfId="6616" hidden="1"/>
    <cellStyle name="Финансовый 2" xfId="6632" hidden="1"/>
    <cellStyle name="Финансовый 2" xfId="6612" hidden="1"/>
    <cellStyle name="Финансовый 2" xfId="6639" hidden="1"/>
    <cellStyle name="Финансовый 2" xfId="6641" hidden="1"/>
    <cellStyle name="Финансовый 2" xfId="6653" hidden="1"/>
    <cellStyle name="Финансовый 2" xfId="6658" hidden="1"/>
    <cellStyle name="Финансовый 2" xfId="6674" hidden="1"/>
    <cellStyle name="Финансовый 2" xfId="6654" hidden="1"/>
    <cellStyle name="Финансовый 2" xfId="6681" hidden="1"/>
    <cellStyle name="Финансовый 2" xfId="6733" hidden="1"/>
    <cellStyle name="Финансовый 2" xfId="6780" hidden="1"/>
    <cellStyle name="Финансовый 2" xfId="6786" hidden="1"/>
    <cellStyle name="Финансовый 2" xfId="6802" hidden="1"/>
    <cellStyle name="Финансовый 2" xfId="6782" hidden="1"/>
    <cellStyle name="Финансовый 2" xfId="6809" hidden="1"/>
    <cellStyle name="Финансовый 2" xfId="6811" hidden="1"/>
    <cellStyle name="Финансовый 2" xfId="6823" hidden="1"/>
    <cellStyle name="Финансовый 2" xfId="6828" hidden="1"/>
    <cellStyle name="Финансовый 2" xfId="6844" hidden="1"/>
    <cellStyle name="Финансовый 2" xfId="6824" hidden="1"/>
    <cellStyle name="Финансовый 2" xfId="6851" hidden="1"/>
    <cellStyle name="Финансовый 2" xfId="6853" hidden="1"/>
    <cellStyle name="Финансовый 2" xfId="6865" hidden="1"/>
    <cellStyle name="Финансовый 2" xfId="6870" hidden="1"/>
    <cellStyle name="Финансовый 2" xfId="6886" hidden="1"/>
    <cellStyle name="Финансовый 2" xfId="6866" hidden="1"/>
    <cellStyle name="Финансовый 2" xfId="6893" hidden="1"/>
    <cellStyle name="Финансовый 2" xfId="6895" hidden="1"/>
    <cellStyle name="Финансовый 2" xfId="6907" hidden="1"/>
    <cellStyle name="Финансовый 2" xfId="6912" hidden="1"/>
    <cellStyle name="Финансовый 2" xfId="6928" hidden="1"/>
    <cellStyle name="Финансовый 2" xfId="6908" hidden="1"/>
    <cellStyle name="Финансовый 2" xfId="6935" hidden="1"/>
    <cellStyle name="Финансовый 2" xfId="6938" hidden="1"/>
    <cellStyle name="Финансовый 2" xfId="6950" hidden="1"/>
    <cellStyle name="Финансовый 2" xfId="6955" hidden="1"/>
    <cellStyle name="Финансовый 2" xfId="6971" hidden="1"/>
    <cellStyle name="Финансовый 2" xfId="6951" hidden="1"/>
    <cellStyle name="Финансовый 2" xfId="6978" hidden="1"/>
    <cellStyle name="Финансовый 2" xfId="6980" hidden="1"/>
    <cellStyle name="Финансовый 2" xfId="6992" hidden="1"/>
    <cellStyle name="Финансовый 2" xfId="6997" hidden="1"/>
    <cellStyle name="Финансовый 2" xfId="7013" hidden="1"/>
    <cellStyle name="Финансовый 2" xfId="6993" hidden="1"/>
    <cellStyle name="Финансовый 2" xfId="7020" hidden="1"/>
    <cellStyle name="Финансовый 2" xfId="7022" hidden="1"/>
    <cellStyle name="Финансовый 2" xfId="7034" hidden="1"/>
    <cellStyle name="Финансовый 2" xfId="7039" hidden="1"/>
    <cellStyle name="Финансовый 2" xfId="7055" hidden="1"/>
    <cellStyle name="Финансовый 2" xfId="7035" hidden="1"/>
    <cellStyle name="Финансовый 2" xfId="7062" hidden="1"/>
    <cellStyle name="Финансовый 2" xfId="7064" hidden="1"/>
    <cellStyle name="Финансовый 2" xfId="7076" hidden="1"/>
    <cellStyle name="Финансовый 2" xfId="7081" hidden="1"/>
    <cellStyle name="Финансовый 2" xfId="7097" hidden="1"/>
    <cellStyle name="Финансовый 2" xfId="7077" hidden="1"/>
    <cellStyle name="Финансовый 2" xfId="7104" hidden="1"/>
    <cellStyle name="Финансовый 2" xfId="6728" hidden="1"/>
    <cellStyle name="Финансовый 2" xfId="6595" hidden="1"/>
    <cellStyle name="Финансовый 2" xfId="6587" hidden="1"/>
    <cellStyle name="Финансовый 2" xfId="6571" hidden="1"/>
    <cellStyle name="Финансовый 2" xfId="6592" hidden="1"/>
    <cellStyle name="Финансовый 2" xfId="6564" hidden="1"/>
    <cellStyle name="Финансовый 2" xfId="6556" hidden="1"/>
    <cellStyle name="Финансовый 2" xfId="6537" hidden="1"/>
    <cellStyle name="Финансовый 2" xfId="6531" hidden="1"/>
    <cellStyle name="Финансовый 2" xfId="6515" hidden="1"/>
    <cellStyle name="Финансовый 2" xfId="6535" hidden="1"/>
    <cellStyle name="Финансовый 2" xfId="6508" hidden="1"/>
    <cellStyle name="Финансовый 2" xfId="6417" hidden="1"/>
    <cellStyle name="Финансовый 2" xfId="6369" hidden="1"/>
    <cellStyle name="Финансовый 2" xfId="6362" hidden="1"/>
    <cellStyle name="Финансовый 2" xfId="4879" hidden="1"/>
    <cellStyle name="Финансовый 2" xfId="6366" hidden="1"/>
    <cellStyle name="Финансовый 2" xfId="4873" hidden="1"/>
    <cellStyle name="Финансовый 2" xfId="4884" hidden="1"/>
    <cellStyle name="Финансовый 2" xfId="7113" hidden="1"/>
    <cellStyle name="Финансовый 2" xfId="7119" hidden="1"/>
    <cellStyle name="Финансовый 2" xfId="7135" hidden="1"/>
    <cellStyle name="Финансовый 2" xfId="7115" hidden="1"/>
    <cellStyle name="Финансовый 2" xfId="7142" hidden="1"/>
    <cellStyle name="Финансовый 2" xfId="7152" hidden="1"/>
    <cellStyle name="Финансовый 2" xfId="7164" hidden="1"/>
    <cellStyle name="Финансовый 2" xfId="7170" hidden="1"/>
    <cellStyle name="Финансовый 2" xfId="7186" hidden="1"/>
    <cellStyle name="Финансовый 2" xfId="7166" hidden="1"/>
    <cellStyle name="Финансовый 2" xfId="7193" hidden="1"/>
    <cellStyle name="Финансовый 2" xfId="7197" hidden="1"/>
    <cellStyle name="Финансовый 2" xfId="7209" hidden="1"/>
    <cellStyle name="Финансовый 2" xfId="7215" hidden="1"/>
    <cellStyle name="Финансовый 2" xfId="7231" hidden="1"/>
    <cellStyle name="Финансовый 2" xfId="7211" hidden="1"/>
    <cellStyle name="Финансовый 2" xfId="7238" hidden="1"/>
    <cellStyle name="Финансовый 2" xfId="7245" hidden="1"/>
    <cellStyle name="Финансовый 2" xfId="7257" hidden="1"/>
    <cellStyle name="Финансовый 2" xfId="7263" hidden="1"/>
    <cellStyle name="Финансовый 2" xfId="7279" hidden="1"/>
    <cellStyle name="Финансовый 2" xfId="7259" hidden="1"/>
    <cellStyle name="Финансовый 2" xfId="7286" hidden="1"/>
    <cellStyle name="Финансовый 2" xfId="7290" hidden="1"/>
    <cellStyle name="Финансовый 2" xfId="7302" hidden="1"/>
    <cellStyle name="Финансовый 2" xfId="7308" hidden="1"/>
    <cellStyle name="Финансовый 2" xfId="7324" hidden="1"/>
    <cellStyle name="Финансовый 2" xfId="7304" hidden="1"/>
    <cellStyle name="Финансовый 2" xfId="7331" hidden="1"/>
    <cellStyle name="Финансовый 2" xfId="7336" hidden="1"/>
    <cellStyle name="Финансовый 2" xfId="7348" hidden="1"/>
    <cellStyle name="Финансовый 2" xfId="7354" hidden="1"/>
    <cellStyle name="Финансовый 2" xfId="7370" hidden="1"/>
    <cellStyle name="Финансовый 2" xfId="7350" hidden="1"/>
    <cellStyle name="Финансовый 2" xfId="7377" hidden="1"/>
    <cellStyle name="Финансовый 2" xfId="7381" hidden="1"/>
    <cellStyle name="Финансовый 2" xfId="7393" hidden="1"/>
    <cellStyle name="Финансовый 2" xfId="7399" hidden="1"/>
    <cellStyle name="Финансовый 2" xfId="7415" hidden="1"/>
    <cellStyle name="Финансовый 2" xfId="7395" hidden="1"/>
    <cellStyle name="Финансовый 2" xfId="7422" hidden="1"/>
    <cellStyle name="Финансовый 2" xfId="7425" hidden="1"/>
    <cellStyle name="Финансовый 2" xfId="7437" hidden="1"/>
    <cellStyle name="Финансовый 2" xfId="7443" hidden="1"/>
    <cellStyle name="Финансовый 2" xfId="7459" hidden="1"/>
    <cellStyle name="Финансовый 2" xfId="7439" hidden="1"/>
    <cellStyle name="Финансовый 2" xfId="7466" hidden="1"/>
    <cellStyle name="Финансовый 2" xfId="7470" hidden="1"/>
    <cellStyle name="Финансовый 2" xfId="7482" hidden="1"/>
    <cellStyle name="Финансовый 2" xfId="7487" hidden="1"/>
    <cellStyle name="Финансовый 2" xfId="7503" hidden="1"/>
    <cellStyle name="Финансовый 2" xfId="7483" hidden="1"/>
    <cellStyle name="Финансовый 2" xfId="7510" hidden="1"/>
    <cellStyle name="Финансовый 2" xfId="7149" hidden="1"/>
    <cellStyle name="Финансовый 2" xfId="6767" hidden="1"/>
    <cellStyle name="Финансовый 2" xfId="6762" hidden="1"/>
    <cellStyle name="Финансовый 2" xfId="6746" hidden="1"/>
    <cellStyle name="Финансовый 2" xfId="6766" hidden="1"/>
    <cellStyle name="Финансовый 2" xfId="6738" hidden="1"/>
    <cellStyle name="Финансовый 2" xfId="6730" hidden="1"/>
    <cellStyle name="Финансовый 2" xfId="6711" hidden="1"/>
    <cellStyle name="Финансовый 2" xfId="6706" hidden="1"/>
    <cellStyle name="Финансовый 2" xfId="6690" hidden="1"/>
    <cellStyle name="Финансовый 2" xfId="6710" hidden="1"/>
    <cellStyle name="Финансовый 2" xfId="6683" hidden="1"/>
    <cellStyle name="Финансовый 2" xfId="6431" hidden="1"/>
    <cellStyle name="Финансовый 2" xfId="6398" hidden="1"/>
    <cellStyle name="Финансовый 2" xfId="6393" hidden="1"/>
    <cellStyle name="Финансовый 2" xfId="6377" hidden="1"/>
    <cellStyle name="Финансовый 2" xfId="6397" hidden="1"/>
    <cellStyle name="Финансовый 2" xfId="7240" hidden="1"/>
    <cellStyle name="Финансовый 2" xfId="7288" hidden="1"/>
    <cellStyle name="Финансовый 2" xfId="7303" hidden="1"/>
    <cellStyle name="Финансовый 2" xfId="7287" hidden="1"/>
    <cellStyle name="Финансовый 2" xfId="6561" hidden="1"/>
    <cellStyle name="Финансовый 2" xfId="7210" hidden="1"/>
    <cellStyle name="Финансовый 2" xfId="6602" hidden="1"/>
    <cellStyle name="Финансовый 2" xfId="7514" hidden="1"/>
    <cellStyle name="Финансовый 2" xfId="7526" hidden="1"/>
    <cellStyle name="Финансовый 2" xfId="7531" hidden="1"/>
    <cellStyle name="Финансовый 2" xfId="7547" hidden="1"/>
    <cellStyle name="Финансовый 2" xfId="7527" hidden="1"/>
    <cellStyle name="Финансовый 2" xfId="7554" hidden="1"/>
    <cellStyle name="Финансовый 2" xfId="7556" hidden="1"/>
    <cellStyle name="Финансовый 2" xfId="7568" hidden="1"/>
    <cellStyle name="Финансовый 2" xfId="7573" hidden="1"/>
    <cellStyle name="Финансовый 2" xfId="7589" hidden="1"/>
    <cellStyle name="Финансовый 2" xfId="7569" hidden="1"/>
    <cellStyle name="Финансовый 2" xfId="7596" hidden="1"/>
    <cellStyle name="Финансовый 2" xfId="7598" hidden="1"/>
    <cellStyle name="Финансовый 2" xfId="7610" hidden="1"/>
    <cellStyle name="Финансовый 2" xfId="7615" hidden="1"/>
    <cellStyle name="Финансовый 2" xfId="7631" hidden="1"/>
    <cellStyle name="Финансовый 2" xfId="7611" hidden="1"/>
    <cellStyle name="Финансовый 2" xfId="7638" hidden="1"/>
    <cellStyle name="Финансовый 2" xfId="7640" hidden="1"/>
    <cellStyle name="Финансовый 2" xfId="7652" hidden="1"/>
    <cellStyle name="Финансовый 2" xfId="7657" hidden="1"/>
    <cellStyle name="Финансовый 2" xfId="7673" hidden="1"/>
    <cellStyle name="Финансовый 2" xfId="7653" hidden="1"/>
    <cellStyle name="Финансовый 2" xfId="7680" hidden="1"/>
    <cellStyle name="Финансовый 2" xfId="7683" hidden="1"/>
    <cellStyle name="Финансовый 2" xfId="7695" hidden="1"/>
    <cellStyle name="Финансовый 2" xfId="7700" hidden="1"/>
    <cellStyle name="Финансовый 2" xfId="7716" hidden="1"/>
    <cellStyle name="Финансовый 2" xfId="7696" hidden="1"/>
    <cellStyle name="Финансовый 2" xfId="7723" hidden="1"/>
    <cellStyle name="Финансовый 2" xfId="7725" hidden="1"/>
    <cellStyle name="Финансовый 2" xfId="7737" hidden="1"/>
    <cellStyle name="Финансовый 2" xfId="7742" hidden="1"/>
    <cellStyle name="Финансовый 2" xfId="7758" hidden="1"/>
    <cellStyle name="Финансовый 2" xfId="7738" hidden="1"/>
    <cellStyle name="Финансовый 2" xfId="7765" hidden="1"/>
    <cellStyle name="Финансовый 2" xfId="7767" hidden="1"/>
    <cellStyle name="Финансовый 2" xfId="7779" hidden="1"/>
    <cellStyle name="Финансовый 2" xfId="7784" hidden="1"/>
    <cellStyle name="Финансовый 2" xfId="7800" hidden="1"/>
    <cellStyle name="Финансовый 2" xfId="7780" hidden="1"/>
    <cellStyle name="Финансовый 2" xfId="7807" hidden="1"/>
    <cellStyle name="Финансовый 2" xfId="7809" hidden="1"/>
    <cellStyle name="Финансовый 2" xfId="7821" hidden="1"/>
    <cellStyle name="Финансовый 2" xfId="7826" hidden="1"/>
    <cellStyle name="Финансовый 2" xfId="7842" hidden="1"/>
    <cellStyle name="Финансовый 2" xfId="7822" hidden="1"/>
    <cellStyle name="Финансовый 2" xfId="7849" hidden="1"/>
    <cellStyle name="Финансовый 2" xfId="4234" hidden="1"/>
    <cellStyle name="Финансовый 2" xfId="4223" hidden="1"/>
    <cellStyle name="Финансовый 2" xfId="4224" hidden="1"/>
    <cellStyle name="Финансовый 2" xfId="7864" hidden="1"/>
    <cellStyle name="Финансовый 2" xfId="7856" hidden="1"/>
    <cellStyle name="Финансовый 2" xfId="7870" hidden="1"/>
    <cellStyle name="Финансовый 2" xfId="7872" hidden="1"/>
    <cellStyle name="Финансовый 2" xfId="7882" hidden="1"/>
    <cellStyle name="Финансовый 2" xfId="7887" hidden="1"/>
    <cellStyle name="Финансовый 2" xfId="7900" hidden="1"/>
    <cellStyle name="Финансовый 2" xfId="7883" hidden="1"/>
    <cellStyle name="Финансовый 2" xfId="7906" hidden="1"/>
    <cellStyle name="Финансовый 2" xfId="7909" hidden="1"/>
    <cellStyle name="Финансовый 2" xfId="7919" hidden="1"/>
    <cellStyle name="Финансовый 2" xfId="7924" hidden="1"/>
    <cellStyle name="Финансовый 2" xfId="7937" hidden="1"/>
    <cellStyle name="Финансовый 2" xfId="7920" hidden="1"/>
    <cellStyle name="Финансовый 2" xfId="7943" hidden="1"/>
    <cellStyle name="Финансовый 2" xfId="7945" hidden="1"/>
    <cellStyle name="Финансовый 2" xfId="7955" hidden="1"/>
    <cellStyle name="Финансовый 2" xfId="7960" hidden="1"/>
    <cellStyle name="Финансовый 2" xfId="7973" hidden="1"/>
    <cellStyle name="Финансовый 2" xfId="7956" hidden="1"/>
    <cellStyle name="Финансовый 2" xfId="7979" hidden="1"/>
    <cellStyle name="Финансовый 2" xfId="7981" hidden="1"/>
    <cellStyle name="Финансовый 2" xfId="7991" hidden="1"/>
    <cellStyle name="Финансовый 2" xfId="7996" hidden="1"/>
    <cellStyle name="Финансовый 2" xfId="8009" hidden="1"/>
    <cellStyle name="Финансовый 2" xfId="7992" hidden="1"/>
    <cellStyle name="Финансовый 2" xfId="8015" hidden="1"/>
    <cellStyle name="Финансовый 2" xfId="8017" hidden="1"/>
    <cellStyle name="Финансовый 2" xfId="8027" hidden="1"/>
    <cellStyle name="Финансовый 2" xfId="8032" hidden="1"/>
    <cellStyle name="Финансовый 2" xfId="8045" hidden="1"/>
    <cellStyle name="Финансовый 2" xfId="8028" hidden="1"/>
    <cellStyle name="Финансовый 2" xfId="8051" hidden="1"/>
    <cellStyle name="Финансовый 2" xfId="8053" hidden="1"/>
    <cellStyle name="Финансовый 2" xfId="8063" hidden="1"/>
    <cellStyle name="Финансовый 2" xfId="8068" hidden="1"/>
    <cellStyle name="Финансовый 2" xfId="8081" hidden="1"/>
    <cellStyle name="Финансовый 2" xfId="8064" hidden="1"/>
    <cellStyle name="Финансовый 2" xfId="8087" hidden="1"/>
    <cellStyle name="Финансовый 2" xfId="8089" hidden="1"/>
    <cellStyle name="Финансовый 2" xfId="8099" hidden="1"/>
    <cellStyle name="Финансовый 2" xfId="8104" hidden="1"/>
    <cellStyle name="Финансовый 2" xfId="8117" hidden="1"/>
    <cellStyle name="Финансовый 2" xfId="8100" hidden="1"/>
    <cellStyle name="Финансовый 2" xfId="8123" hidden="1"/>
    <cellStyle name="Финансовый 2" xfId="8126" hidden="1"/>
    <cellStyle name="Финансовый 2" xfId="8136" hidden="1"/>
    <cellStyle name="Финансовый 2" xfId="8141" hidden="1"/>
    <cellStyle name="Финансовый 2" xfId="8154" hidden="1"/>
    <cellStyle name="Финансовый 2" xfId="8137" hidden="1"/>
    <cellStyle name="Финансовый 2" xfId="8160" hidden="1"/>
    <cellStyle name="Финансовый 2" xfId="8162" hidden="1"/>
    <cellStyle name="Финансовый 2" xfId="8172" hidden="1"/>
    <cellStyle name="Финансовый 2" xfId="8177" hidden="1"/>
    <cellStyle name="Финансовый 2" xfId="8190" hidden="1"/>
    <cellStyle name="Финансовый 2" xfId="8173" hidden="1"/>
    <cellStyle name="Финансовый 2" xfId="8196" hidden="1"/>
    <cellStyle name="Финансовый 2" xfId="8198" hidden="1"/>
    <cellStyle name="Финансовый 2" xfId="8208" hidden="1"/>
    <cellStyle name="Финансовый 2" xfId="8213" hidden="1"/>
    <cellStyle name="Финансовый 2" xfId="8226" hidden="1"/>
    <cellStyle name="Финансовый 2" xfId="8209" hidden="1"/>
    <cellStyle name="Финансовый 2" xfId="8232" hidden="1"/>
    <cellStyle name="Финансовый 2" xfId="8234" hidden="1"/>
    <cellStyle name="Финансовый 2" xfId="8244" hidden="1"/>
    <cellStyle name="Финансовый 2" xfId="8249" hidden="1"/>
    <cellStyle name="Финансовый 2" xfId="8262" hidden="1"/>
    <cellStyle name="Финансовый 2" xfId="8245" hidden="1"/>
    <cellStyle name="Финансовый 2" xfId="8268" hidden="1"/>
    <cellStyle name="Финансовый 2" xfId="8336" hidden="1"/>
    <cellStyle name="Финансовый 2" xfId="8366" hidden="1"/>
    <cellStyle name="Финансовый 2" xfId="8374" hidden="1"/>
    <cellStyle name="Финансовый 2" xfId="8387" hidden="1"/>
    <cellStyle name="Финансовый 2" xfId="8369" hidden="1"/>
    <cellStyle name="Финансовый 2" xfId="8393" hidden="1"/>
    <cellStyle name="Финансовый 2" xfId="8398" hidden="1"/>
    <cellStyle name="Финансовый 2" xfId="8408" hidden="1"/>
    <cellStyle name="Финансовый 2" xfId="8413" hidden="1"/>
    <cellStyle name="Финансовый 2" xfId="8426" hidden="1"/>
    <cellStyle name="Финансовый 2" xfId="8409" hidden="1"/>
    <cellStyle name="Финансовый 2" xfId="8432" hidden="1"/>
    <cellStyle name="Финансовый 2" xfId="8470" hidden="1"/>
    <cellStyle name="Финансовый 2" xfId="8528" hidden="1"/>
    <cellStyle name="Финансовый 2" xfId="8533" hidden="1"/>
    <cellStyle name="Финансовый 2" xfId="8546" hidden="1"/>
    <cellStyle name="Финансовый 2" xfId="8529" hidden="1"/>
    <cellStyle name="Финансовый 2" xfId="8552" hidden="1"/>
    <cellStyle name="Финансовый 2" xfId="8554" hidden="1"/>
    <cellStyle name="Финансовый 2" xfId="8564" hidden="1"/>
    <cellStyle name="Финансовый 2" xfId="8569" hidden="1"/>
    <cellStyle name="Финансовый 2" xfId="8582" hidden="1"/>
    <cellStyle name="Финансовый 2" xfId="8565" hidden="1"/>
    <cellStyle name="Финансовый 2" xfId="8588" hidden="1"/>
    <cellStyle name="Финансовый 2" xfId="8634" hidden="1"/>
    <cellStyle name="Финансовый 2" xfId="8674" hidden="1"/>
    <cellStyle name="Финансовый 2" xfId="8679" hidden="1"/>
    <cellStyle name="Финансовый 2" xfId="8692" hidden="1"/>
    <cellStyle name="Финансовый 2" xfId="8675" hidden="1"/>
    <cellStyle name="Финансовый 2" xfId="8698" hidden="1"/>
    <cellStyle name="Финансовый 2" xfId="8700" hidden="1"/>
    <cellStyle name="Финансовый 2" xfId="8710" hidden="1"/>
    <cellStyle name="Финансовый 2" xfId="8715" hidden="1"/>
    <cellStyle name="Финансовый 2" xfId="8728" hidden="1"/>
    <cellStyle name="Финансовый 2" xfId="8711" hidden="1"/>
    <cellStyle name="Финансовый 2" xfId="8734" hidden="1"/>
    <cellStyle name="Финансовый 2" xfId="8736" hidden="1"/>
    <cellStyle name="Финансовый 2" xfId="8746" hidden="1"/>
    <cellStyle name="Финансовый 2" xfId="8751" hidden="1"/>
    <cellStyle name="Финансовый 2" xfId="8764" hidden="1"/>
    <cellStyle name="Финансовый 2" xfId="8747" hidden="1"/>
    <cellStyle name="Финансовый 2" xfId="8770" hidden="1"/>
    <cellStyle name="Финансовый 2" xfId="8772" hidden="1"/>
    <cellStyle name="Финансовый 2" xfId="8782" hidden="1"/>
    <cellStyle name="Финансовый 2" xfId="8787" hidden="1"/>
    <cellStyle name="Финансовый 2" xfId="8800" hidden="1"/>
    <cellStyle name="Финансовый 2" xfId="8783" hidden="1"/>
    <cellStyle name="Финансовый 2" xfId="8806" hidden="1"/>
    <cellStyle name="Финансовый 2" xfId="8809" hidden="1"/>
    <cellStyle name="Финансовый 2" xfId="8819" hidden="1"/>
    <cellStyle name="Финансовый 2" xfId="8824" hidden="1"/>
    <cellStyle name="Финансовый 2" xfId="8837" hidden="1"/>
    <cellStyle name="Финансовый 2" xfId="8820" hidden="1"/>
    <cellStyle name="Финансовый 2" xfId="8843" hidden="1"/>
    <cellStyle name="Финансовый 2" xfId="8845" hidden="1"/>
    <cellStyle name="Финансовый 2" xfId="8855" hidden="1"/>
    <cellStyle name="Финансовый 2" xfId="8860" hidden="1"/>
    <cellStyle name="Финансовый 2" xfId="8873" hidden="1"/>
    <cellStyle name="Финансовый 2" xfId="8856" hidden="1"/>
    <cellStyle name="Финансовый 2" xfId="8879" hidden="1"/>
    <cellStyle name="Финансовый 2" xfId="8881" hidden="1"/>
    <cellStyle name="Финансовый 2" xfId="8891" hidden="1"/>
    <cellStyle name="Финансовый 2" xfId="8896" hidden="1"/>
    <cellStyle name="Финансовый 2" xfId="8909" hidden="1"/>
    <cellStyle name="Финансовый 2" xfId="8892" hidden="1"/>
    <cellStyle name="Финансовый 2" xfId="8915" hidden="1"/>
    <cellStyle name="Финансовый 2" xfId="8917" hidden="1"/>
    <cellStyle name="Финансовый 2" xfId="8927" hidden="1"/>
    <cellStyle name="Финансовый 2" xfId="8932" hidden="1"/>
    <cellStyle name="Финансовый 2" xfId="8945" hidden="1"/>
    <cellStyle name="Финансовый 2" xfId="8928" hidden="1"/>
    <cellStyle name="Финансовый 2" xfId="8951" hidden="1"/>
    <cellStyle name="Финансовый 2" xfId="8629" hidden="1"/>
    <cellStyle name="Финансовый 2" xfId="8514" hidden="1"/>
    <cellStyle name="Финансовый 2" xfId="8506" hidden="1"/>
    <cellStyle name="Финансовый 2" xfId="8493" hidden="1"/>
    <cellStyle name="Финансовый 2" xfId="8511" hidden="1"/>
    <cellStyle name="Финансовый 2" xfId="8487" hidden="1"/>
    <cellStyle name="Финансовый 2" xfId="8481" hidden="1"/>
    <cellStyle name="Финансовый 2" xfId="8465" hidden="1"/>
    <cellStyle name="Финансовый 2" xfId="8459" hidden="1"/>
    <cellStyle name="Финансовый 2" xfId="8446" hidden="1"/>
    <cellStyle name="Финансовый 2" xfId="8463" hidden="1"/>
    <cellStyle name="Финансовый 2" xfId="8440" hidden="1"/>
    <cellStyle name="Финансовый 2" xfId="8345" hidden="1"/>
    <cellStyle name="Финансовый 2" xfId="8304" hidden="1"/>
    <cellStyle name="Финансовый 2" xfId="8297" hidden="1"/>
    <cellStyle name="Финансовый 2" xfId="8284" hidden="1"/>
    <cellStyle name="Финансовый 2" xfId="8301" hidden="1"/>
    <cellStyle name="Финансовый 2" xfId="8278" hidden="1"/>
    <cellStyle name="Финансовый 2" xfId="8274" hidden="1"/>
    <cellStyle name="Финансовый 2" xfId="8958" hidden="1"/>
    <cellStyle name="Финансовый 2" xfId="8964" hidden="1"/>
    <cellStyle name="Финансовый 2" xfId="8977" hidden="1"/>
    <cellStyle name="Финансовый 2" xfId="8960" hidden="1"/>
    <cellStyle name="Финансовый 2" xfId="8983" hidden="1"/>
    <cellStyle name="Финансовый 2" xfId="8991" hidden="1"/>
    <cellStyle name="Финансовый 2" xfId="9001" hidden="1"/>
    <cellStyle name="Финансовый 2" xfId="9007" hidden="1"/>
    <cellStyle name="Финансовый 2" xfId="9020" hidden="1"/>
    <cellStyle name="Финансовый 2" xfId="9003" hidden="1"/>
    <cellStyle name="Финансовый 2" xfId="9026" hidden="1"/>
    <cellStyle name="Финансовый 2" xfId="9030" hidden="1"/>
    <cellStyle name="Финансовый 2" xfId="9040" hidden="1"/>
    <cellStyle name="Финансовый 2" xfId="9046" hidden="1"/>
    <cellStyle name="Финансовый 2" xfId="9059" hidden="1"/>
    <cellStyle name="Финансовый 2" xfId="9042" hidden="1"/>
    <cellStyle name="Финансовый 2" xfId="9065" hidden="1"/>
    <cellStyle name="Финансовый 2" xfId="9071" hidden="1"/>
    <cellStyle name="Финансовый 2" xfId="9081" hidden="1"/>
    <cellStyle name="Финансовый 2" xfId="9087" hidden="1"/>
    <cellStyle name="Финансовый 2" xfId="9100" hidden="1"/>
    <cellStyle name="Финансовый 2" xfId="9083" hidden="1"/>
    <cellStyle name="Финансовый 2" xfId="9106" hidden="1"/>
    <cellStyle name="Финансовый 2" xfId="9110" hidden="1"/>
    <cellStyle name="Финансовый 2" xfId="9120" hidden="1"/>
    <cellStyle name="Финансовый 2" xfId="9126" hidden="1"/>
    <cellStyle name="Финансовый 2" xfId="9139" hidden="1"/>
    <cellStyle name="Финансовый 2" xfId="9122" hidden="1"/>
    <cellStyle name="Финансовый 2" xfId="9145" hidden="1"/>
    <cellStyle name="Финансовый 2" xfId="9149" hidden="1"/>
    <cellStyle name="Финансовый 2" xfId="9159" hidden="1"/>
    <cellStyle name="Финансовый 2" xfId="9165" hidden="1"/>
    <cellStyle name="Финансовый 2" xfId="9178" hidden="1"/>
    <cellStyle name="Финансовый 2" xfId="9161" hidden="1"/>
    <cellStyle name="Финансовый 2" xfId="9184" hidden="1"/>
    <cellStyle name="Финансовый 2" xfId="9188" hidden="1"/>
    <cellStyle name="Финансовый 2" xfId="9198" hidden="1"/>
    <cellStyle name="Финансовый 2" xfId="9204" hidden="1"/>
    <cellStyle name="Финансовый 2" xfId="9217" hidden="1"/>
    <cellStyle name="Финансовый 2" xfId="9200" hidden="1"/>
    <cellStyle name="Финансовый 2" xfId="9223" hidden="1"/>
    <cellStyle name="Финансовый 2" xfId="9226" hidden="1"/>
    <cellStyle name="Финансовый 2" xfId="9236" hidden="1"/>
    <cellStyle name="Финансовый 2" xfId="9241" hidden="1"/>
    <cellStyle name="Финансовый 2" xfId="9254" hidden="1"/>
    <cellStyle name="Финансовый 2" xfId="9237" hidden="1"/>
    <cellStyle name="Финансовый 2" xfId="9260" hidden="1"/>
    <cellStyle name="Финансовый 2" xfId="9264" hidden="1"/>
    <cellStyle name="Финансовый 2" xfId="9274" hidden="1"/>
    <cellStyle name="Финансовый 2" xfId="9279" hidden="1"/>
    <cellStyle name="Финансовый 2" xfId="9292" hidden="1"/>
    <cellStyle name="Финансовый 2" xfId="9275" hidden="1"/>
    <cellStyle name="Финансовый 2" xfId="9298" hidden="1"/>
    <cellStyle name="Финансовый 2" xfId="8988" hidden="1"/>
    <cellStyle name="Финансовый 2" xfId="8663" hidden="1"/>
    <cellStyle name="Финансовый 2" xfId="8658" hidden="1"/>
    <cellStyle name="Финансовый 2" xfId="8645" hidden="1"/>
    <cellStyle name="Финансовый 2" xfId="8662" hidden="1"/>
    <cellStyle name="Финансовый 2" xfId="8639" hidden="1"/>
    <cellStyle name="Финансовый 2" xfId="8631" hidden="1"/>
    <cellStyle name="Финансовый 2" xfId="8615" hidden="1"/>
    <cellStyle name="Финансовый 2" xfId="8610" hidden="1"/>
    <cellStyle name="Финансовый 2" xfId="8597" hidden="1"/>
    <cellStyle name="Финансовый 2" xfId="8614" hidden="1"/>
    <cellStyle name="Финансовый 2" xfId="8591" hidden="1"/>
    <cellStyle name="Финансовый 2" xfId="8368" hidden="1"/>
    <cellStyle name="Финансовый 2" xfId="8329" hidden="1"/>
    <cellStyle name="Финансовый 2" xfId="8324" hidden="1"/>
    <cellStyle name="Финансовый 2" xfId="8311" hidden="1"/>
    <cellStyle name="Финансовый 2" xfId="8328" hidden="1"/>
    <cellStyle name="Финансовый 2" xfId="9067" hidden="1"/>
    <cellStyle name="Финансовый 2" xfId="9108" hidden="1"/>
    <cellStyle name="Финансовый 2" xfId="9121" hidden="1"/>
    <cellStyle name="Финансовый 2" xfId="9107" hidden="1"/>
    <cellStyle name="Финансовый 2" xfId="8485" hidden="1"/>
    <cellStyle name="Финансовый 2" xfId="9041" hidden="1"/>
    <cellStyle name="Финансовый 2" xfId="8520" hidden="1"/>
    <cellStyle name="Финансовый 2" xfId="9302" hidden="1"/>
    <cellStyle name="Финансовый 2" xfId="9312" hidden="1"/>
    <cellStyle name="Финансовый 2" xfId="9317" hidden="1"/>
    <cellStyle name="Финансовый 2" xfId="9330" hidden="1"/>
    <cellStyle name="Финансовый 2" xfId="9313" hidden="1"/>
    <cellStyle name="Финансовый 2" xfId="9336" hidden="1"/>
    <cellStyle name="Финансовый 2" xfId="9338" hidden="1"/>
    <cellStyle name="Финансовый 2" xfId="9348" hidden="1"/>
    <cellStyle name="Финансовый 2" xfId="9353" hidden="1"/>
    <cellStyle name="Финансовый 2" xfId="9366" hidden="1"/>
    <cellStyle name="Финансовый 2" xfId="9349" hidden="1"/>
    <cellStyle name="Финансовый 2" xfId="9372" hidden="1"/>
    <cellStyle name="Финансовый 2" xfId="9374" hidden="1"/>
    <cellStyle name="Финансовый 2" xfId="9384" hidden="1"/>
    <cellStyle name="Финансовый 2" xfId="9389" hidden="1"/>
    <cellStyle name="Финансовый 2" xfId="9402" hidden="1"/>
    <cellStyle name="Финансовый 2" xfId="9385" hidden="1"/>
    <cellStyle name="Финансовый 2" xfId="9408" hidden="1"/>
    <cellStyle name="Финансовый 2" xfId="9410" hidden="1"/>
    <cellStyle name="Финансовый 2" xfId="9420" hidden="1"/>
    <cellStyle name="Финансовый 2" xfId="9425" hidden="1"/>
    <cellStyle name="Финансовый 2" xfId="9438" hidden="1"/>
    <cellStyle name="Финансовый 2" xfId="9421" hidden="1"/>
    <cellStyle name="Финансовый 2" xfId="9444" hidden="1"/>
    <cellStyle name="Финансовый 2" xfId="9447" hidden="1"/>
    <cellStyle name="Финансовый 2" xfId="9457" hidden="1"/>
    <cellStyle name="Финансовый 2" xfId="9462" hidden="1"/>
    <cellStyle name="Финансовый 2" xfId="9475" hidden="1"/>
    <cellStyle name="Финансовый 2" xfId="9458" hidden="1"/>
    <cellStyle name="Финансовый 2" xfId="9481" hidden="1"/>
    <cellStyle name="Финансовый 2" xfId="9483" hidden="1"/>
    <cellStyle name="Финансовый 2" xfId="9493" hidden="1"/>
    <cellStyle name="Финансовый 2" xfId="9498" hidden="1"/>
    <cellStyle name="Финансовый 2" xfId="9511" hidden="1"/>
    <cellStyle name="Финансовый 2" xfId="9494" hidden="1"/>
    <cellStyle name="Финансовый 2" xfId="9517" hidden="1"/>
    <cellStyle name="Финансовый 2" xfId="9519" hidden="1"/>
    <cellStyle name="Финансовый 2" xfId="9529" hidden="1"/>
    <cellStyle name="Финансовый 2" xfId="9534" hidden="1"/>
    <cellStyle name="Финансовый 2" xfId="9547" hidden="1"/>
    <cellStyle name="Финансовый 2" xfId="9530" hidden="1"/>
    <cellStyle name="Финансовый 2" xfId="9553" hidden="1"/>
    <cellStyle name="Финансовый 2" xfId="9555" hidden="1"/>
    <cellStyle name="Финансовый 2" xfId="9565" hidden="1"/>
    <cellStyle name="Финансовый 2" xfId="9570" hidden="1"/>
    <cellStyle name="Финансовый 2" xfId="9583" hidden="1"/>
    <cellStyle name="Финансовый 2" xfId="9566" hidden="1"/>
    <cellStyle name="Финансовый 2" xfId="9589" hidden="1"/>
    <cellStyle name="Финансовый 2" xfId="9636" hidden="1"/>
    <cellStyle name="Финансовый 2" xfId="9655" hidden="1"/>
    <cellStyle name="Финансовый 2" xfId="9662" hidden="1"/>
    <cellStyle name="Финансовый 2" xfId="9675" hidden="1"/>
    <cellStyle name="Финансовый 2" xfId="9658" hidden="1"/>
    <cellStyle name="Финансовый 2" xfId="9681" hidden="1"/>
    <cellStyle name="Финансовый 2" xfId="9683" hidden="1"/>
    <cellStyle name="Финансовый 2" xfId="9693" hidden="1"/>
    <cellStyle name="Финансовый 2" xfId="9698" hidden="1"/>
    <cellStyle name="Финансовый 2" xfId="9711" hidden="1"/>
    <cellStyle name="Финансовый 2" xfId="9694" hidden="1"/>
    <cellStyle name="Финансовый 2" xfId="9717" hidden="1"/>
    <cellStyle name="Финансовый 2" xfId="9754" hidden="1"/>
    <cellStyle name="Финансовый 2" xfId="9812" hidden="1"/>
    <cellStyle name="Финансовый 2" xfId="9817" hidden="1"/>
    <cellStyle name="Финансовый 2" xfId="9830" hidden="1"/>
    <cellStyle name="Финансовый 2" xfId="9813" hidden="1"/>
    <cellStyle name="Финансовый 2" xfId="9836" hidden="1"/>
    <cellStyle name="Финансовый 2" xfId="9838" hidden="1"/>
    <cellStyle name="Финансовый 2" xfId="9848" hidden="1"/>
    <cellStyle name="Финансовый 2" xfId="9853" hidden="1"/>
    <cellStyle name="Финансовый 2" xfId="9866" hidden="1"/>
    <cellStyle name="Финансовый 2" xfId="9849" hidden="1"/>
    <cellStyle name="Финансовый 2" xfId="9872" hidden="1"/>
    <cellStyle name="Финансовый 2" xfId="9917" hidden="1"/>
    <cellStyle name="Финансовый 2" xfId="9957" hidden="1"/>
    <cellStyle name="Финансовый 2" xfId="9962" hidden="1"/>
    <cellStyle name="Финансовый 2" xfId="9975" hidden="1"/>
    <cellStyle name="Финансовый 2" xfId="9958" hidden="1"/>
    <cellStyle name="Финансовый 2" xfId="9981" hidden="1"/>
    <cellStyle name="Финансовый 2" xfId="9983" hidden="1"/>
    <cellStyle name="Финансовый 2" xfId="9993" hidden="1"/>
    <cellStyle name="Финансовый 2" xfId="9998" hidden="1"/>
    <cellStyle name="Финансовый 2" xfId="10011" hidden="1"/>
    <cellStyle name="Финансовый 2" xfId="9994" hidden="1"/>
    <cellStyle name="Финансовый 2" xfId="10017" hidden="1"/>
    <cellStyle name="Финансовый 2" xfId="10019" hidden="1"/>
    <cellStyle name="Финансовый 2" xfId="10029" hidden="1"/>
    <cellStyle name="Финансовый 2" xfId="10034" hidden="1"/>
    <cellStyle name="Финансовый 2" xfId="10047" hidden="1"/>
    <cellStyle name="Финансовый 2" xfId="10030" hidden="1"/>
    <cellStyle name="Финансовый 2" xfId="10053" hidden="1"/>
    <cellStyle name="Финансовый 2" xfId="10055" hidden="1"/>
    <cellStyle name="Финансовый 2" xfId="10065" hidden="1"/>
    <cellStyle name="Финансовый 2" xfId="10070" hidden="1"/>
    <cellStyle name="Финансовый 2" xfId="10083" hidden="1"/>
    <cellStyle name="Финансовый 2" xfId="10066" hidden="1"/>
    <cellStyle name="Финансовый 2" xfId="10089" hidden="1"/>
    <cellStyle name="Финансовый 2" xfId="10092" hidden="1"/>
    <cellStyle name="Финансовый 2" xfId="10102" hidden="1"/>
    <cellStyle name="Финансовый 2" xfId="10107" hidden="1"/>
    <cellStyle name="Финансовый 2" xfId="10120" hidden="1"/>
    <cellStyle name="Финансовый 2" xfId="10103" hidden="1"/>
    <cellStyle name="Финансовый 2" xfId="10126" hidden="1"/>
    <cellStyle name="Финансовый 2" xfId="10128" hidden="1"/>
    <cellStyle name="Финансовый 2" xfId="10138" hidden="1"/>
    <cellStyle name="Финансовый 2" xfId="10143" hidden="1"/>
    <cellStyle name="Финансовый 2" xfId="10156" hidden="1"/>
    <cellStyle name="Финансовый 2" xfId="10139" hidden="1"/>
    <cellStyle name="Финансовый 2" xfId="10162" hidden="1"/>
    <cellStyle name="Финансовый 2" xfId="10164" hidden="1"/>
    <cellStyle name="Финансовый 2" xfId="10174" hidden="1"/>
    <cellStyle name="Финансовый 2" xfId="10179" hidden="1"/>
    <cellStyle name="Финансовый 2" xfId="10192" hidden="1"/>
    <cellStyle name="Финансовый 2" xfId="10175" hidden="1"/>
    <cellStyle name="Финансовый 2" xfId="10198" hidden="1"/>
    <cellStyle name="Финансовый 2" xfId="10200" hidden="1"/>
    <cellStyle name="Финансовый 2" xfId="10210" hidden="1"/>
    <cellStyle name="Финансовый 2" xfId="10215" hidden="1"/>
    <cellStyle name="Финансовый 2" xfId="10228" hidden="1"/>
    <cellStyle name="Финансовый 2" xfId="10211" hidden="1"/>
    <cellStyle name="Финансовый 2" xfId="10234" hidden="1"/>
    <cellStyle name="Финансовый 2" xfId="9912" hidden="1"/>
    <cellStyle name="Финансовый 2" xfId="9798" hidden="1"/>
    <cellStyle name="Финансовый 2" xfId="9790" hidden="1"/>
    <cellStyle name="Финансовый 2" xfId="9777" hidden="1"/>
    <cellStyle name="Финансовый 2" xfId="9795" hidden="1"/>
    <cellStyle name="Финансовый 2" xfId="9771" hidden="1"/>
    <cellStyle name="Финансовый 2" xfId="9765" hidden="1"/>
    <cellStyle name="Финансовый 2" xfId="9749" hidden="1"/>
    <cellStyle name="Финансовый 2" xfId="9743" hidden="1"/>
    <cellStyle name="Финансовый 2" xfId="9730" hidden="1"/>
    <cellStyle name="Финансовый 2" xfId="9747" hidden="1"/>
    <cellStyle name="Финансовый 2" xfId="9724" hidden="1"/>
    <cellStyle name="Финансовый 2" xfId="9645" hidden="1"/>
    <cellStyle name="Финансовый 2" xfId="9604" hidden="1"/>
    <cellStyle name="Финансовый 2" xfId="9597" hidden="1"/>
    <cellStyle name="Финансовый 2" xfId="8357" hidden="1"/>
    <cellStyle name="Финансовый 2" xfId="9601" hidden="1"/>
    <cellStyle name="Финансовый 2" xfId="8351" hidden="1"/>
    <cellStyle name="Финансовый 2" xfId="8362" hidden="1"/>
    <cellStyle name="Финансовый 2" xfId="10241" hidden="1"/>
    <cellStyle name="Финансовый 2" xfId="10247" hidden="1"/>
    <cellStyle name="Финансовый 2" xfId="10260" hidden="1"/>
    <cellStyle name="Финансовый 2" xfId="10243" hidden="1"/>
    <cellStyle name="Финансовый 2" xfId="10266" hidden="1"/>
    <cellStyle name="Финансовый 2" xfId="10274" hidden="1"/>
    <cellStyle name="Финансовый 2" xfId="10284" hidden="1"/>
    <cellStyle name="Финансовый 2" xfId="10290" hidden="1"/>
    <cellStyle name="Финансовый 2" xfId="10303" hidden="1"/>
    <cellStyle name="Финансовый 2" xfId="10286" hidden="1"/>
    <cellStyle name="Финансовый 2" xfId="10309" hidden="1"/>
    <cellStyle name="Финансовый 2" xfId="10313" hidden="1"/>
    <cellStyle name="Финансовый 2" xfId="10323" hidden="1"/>
    <cellStyle name="Финансовый 2" xfId="10329" hidden="1"/>
    <cellStyle name="Финансовый 2" xfId="10342" hidden="1"/>
    <cellStyle name="Финансовый 2" xfId="10325" hidden="1"/>
    <cellStyle name="Финансовый 2" xfId="10348" hidden="1"/>
    <cellStyle name="Финансовый 2" xfId="10354" hidden="1"/>
    <cellStyle name="Финансовый 2" xfId="10364" hidden="1"/>
    <cellStyle name="Финансовый 2" xfId="10370" hidden="1"/>
    <cellStyle name="Финансовый 2" xfId="10383" hidden="1"/>
    <cellStyle name="Финансовый 2" xfId="10366" hidden="1"/>
    <cellStyle name="Финансовый 2" xfId="10389" hidden="1"/>
    <cellStyle name="Финансовый 2" xfId="10393" hidden="1"/>
    <cellStyle name="Финансовый 2" xfId="10403" hidden="1"/>
    <cellStyle name="Финансовый 2" xfId="10409" hidden="1"/>
    <cellStyle name="Финансовый 2" xfId="10422" hidden="1"/>
    <cellStyle name="Финансовый 2" xfId="10405" hidden="1"/>
    <cellStyle name="Финансовый 2" xfId="10428" hidden="1"/>
    <cellStyle name="Финансовый 2" xfId="10432" hidden="1"/>
    <cellStyle name="Финансовый 2" xfId="10442" hidden="1"/>
    <cellStyle name="Финансовый 2" xfId="10448" hidden="1"/>
    <cellStyle name="Финансовый 2" xfId="10461" hidden="1"/>
    <cellStyle name="Финансовый 2" xfId="10444" hidden="1"/>
    <cellStyle name="Финансовый 2" xfId="10467" hidden="1"/>
    <cellStyle name="Финансовый 2" xfId="10471" hidden="1"/>
    <cellStyle name="Финансовый 2" xfId="10481" hidden="1"/>
    <cellStyle name="Финансовый 2" xfId="10487" hidden="1"/>
    <cellStyle name="Финансовый 2" xfId="10500" hidden="1"/>
    <cellStyle name="Финансовый 2" xfId="10483" hidden="1"/>
    <cellStyle name="Финансовый 2" xfId="10506" hidden="1"/>
    <cellStyle name="Финансовый 2" xfId="10509" hidden="1"/>
    <cellStyle name="Финансовый 2" xfId="10519" hidden="1"/>
    <cellStyle name="Финансовый 2" xfId="10524" hidden="1"/>
    <cellStyle name="Финансовый 2" xfId="10537" hidden="1"/>
    <cellStyle name="Финансовый 2" xfId="10520" hidden="1"/>
    <cellStyle name="Финансовый 2" xfId="10543" hidden="1"/>
    <cellStyle name="Финансовый 2" xfId="10547" hidden="1"/>
    <cellStyle name="Финансовый 2" xfId="10557" hidden="1"/>
    <cellStyle name="Финансовый 2" xfId="10562" hidden="1"/>
    <cellStyle name="Финансовый 2" xfId="10575" hidden="1"/>
    <cellStyle name="Финансовый 2" xfId="10558" hidden="1"/>
    <cellStyle name="Финансовый 2" xfId="10581" hidden="1"/>
    <cellStyle name="Финансовый 2" xfId="10271" hidden="1"/>
    <cellStyle name="Финансовый 2" xfId="9946" hidden="1"/>
    <cellStyle name="Финансовый 2" xfId="9941" hidden="1"/>
    <cellStyle name="Финансовый 2" xfId="9928" hidden="1"/>
    <cellStyle name="Финансовый 2" xfId="9945" hidden="1"/>
    <cellStyle name="Финансовый 2" xfId="9922" hidden="1"/>
    <cellStyle name="Финансовый 2" xfId="9914" hidden="1"/>
    <cellStyle name="Финансовый 2" xfId="9898" hidden="1"/>
    <cellStyle name="Финансовый 2" xfId="9893" hidden="1"/>
    <cellStyle name="Финансовый 2" xfId="9880" hidden="1"/>
    <cellStyle name="Финансовый 2" xfId="9897" hidden="1"/>
    <cellStyle name="Финансовый 2" xfId="9874" hidden="1"/>
    <cellStyle name="Финансовый 2" xfId="9657" hidden="1"/>
    <cellStyle name="Финансовый 2" xfId="9629" hidden="1"/>
    <cellStyle name="Финансовый 2" xfId="9624" hidden="1"/>
    <cellStyle name="Финансовый 2" xfId="9611" hidden="1"/>
    <cellStyle name="Финансовый 2" xfId="9628" hidden="1"/>
    <cellStyle name="Финансовый 2" xfId="10350" hidden="1"/>
    <cellStyle name="Финансовый 2" xfId="10391" hidden="1"/>
    <cellStyle name="Финансовый 2" xfId="10404" hidden="1"/>
    <cellStyle name="Финансовый 2" xfId="10390" hidden="1"/>
    <cellStyle name="Финансовый 2" xfId="9769" hidden="1"/>
    <cellStyle name="Финансовый 2" xfId="10324" hidden="1"/>
    <cellStyle name="Финансовый 2" xfId="9804" hidden="1"/>
    <cellStyle name="Финансовый 2" xfId="10585" hidden="1"/>
    <cellStyle name="Финансовый 2" xfId="10595" hidden="1"/>
    <cellStyle name="Финансовый 2" xfId="10600" hidden="1"/>
    <cellStyle name="Финансовый 2" xfId="10613" hidden="1"/>
    <cellStyle name="Финансовый 2" xfId="10596" hidden="1"/>
    <cellStyle name="Финансовый 2" xfId="10619" hidden="1"/>
    <cellStyle name="Финансовый 2" xfId="10621" hidden="1"/>
    <cellStyle name="Финансовый 2" xfId="10631" hidden="1"/>
    <cellStyle name="Финансовый 2" xfId="10636" hidden="1"/>
    <cellStyle name="Финансовый 2" xfId="10649" hidden="1"/>
    <cellStyle name="Финансовый 2" xfId="10632" hidden="1"/>
    <cellStyle name="Финансовый 2" xfId="10655" hidden="1"/>
    <cellStyle name="Финансовый 2" xfId="10657" hidden="1"/>
    <cellStyle name="Финансовый 2" xfId="10667" hidden="1"/>
    <cellStyle name="Финансовый 2" xfId="10672" hidden="1"/>
    <cellStyle name="Финансовый 2" xfId="10685" hidden="1"/>
    <cellStyle name="Финансовый 2" xfId="10668" hidden="1"/>
    <cellStyle name="Финансовый 2" xfId="10691" hidden="1"/>
    <cellStyle name="Финансовый 2" xfId="10693" hidden="1"/>
    <cellStyle name="Финансовый 2" xfId="10703" hidden="1"/>
    <cellStyle name="Финансовый 2" xfId="10708" hidden="1"/>
    <cellStyle name="Финансовый 2" xfId="10721" hidden="1"/>
    <cellStyle name="Финансовый 2" xfId="10704" hidden="1"/>
    <cellStyle name="Финансовый 2" xfId="10727" hidden="1"/>
    <cellStyle name="Финансовый 2" xfId="10730" hidden="1"/>
    <cellStyle name="Финансовый 2" xfId="10740" hidden="1"/>
    <cellStyle name="Финансовый 2" xfId="10745" hidden="1"/>
    <cellStyle name="Финансовый 2" xfId="10758" hidden="1"/>
    <cellStyle name="Финансовый 2" xfId="10741" hidden="1"/>
    <cellStyle name="Финансовый 2" xfId="10764" hidden="1"/>
    <cellStyle name="Финансовый 2" xfId="10766" hidden="1"/>
    <cellStyle name="Финансовый 2" xfId="10776" hidden="1"/>
    <cellStyle name="Финансовый 2" xfId="10781" hidden="1"/>
    <cellStyle name="Финансовый 2" xfId="10794" hidden="1"/>
    <cellStyle name="Финансовый 2" xfId="10777" hidden="1"/>
    <cellStyle name="Финансовый 2" xfId="10800" hidden="1"/>
    <cellStyle name="Финансовый 2" xfId="10802" hidden="1"/>
    <cellStyle name="Финансовый 2" xfId="10812" hidden="1"/>
    <cellStyle name="Финансовый 2" xfId="10817" hidden="1"/>
    <cellStyle name="Финансовый 2" xfId="10830" hidden="1"/>
    <cellStyle name="Финансовый 2" xfId="10813" hidden="1"/>
    <cellStyle name="Финансовый 2" xfId="10836" hidden="1"/>
    <cellStyle name="Финансовый 2" xfId="10838" hidden="1"/>
    <cellStyle name="Финансовый 2" xfId="10848" hidden="1"/>
    <cellStyle name="Финансовый 2" xfId="10853" hidden="1"/>
    <cellStyle name="Финансовый 2" xfId="10866" hidden="1"/>
    <cellStyle name="Финансовый 2" xfId="10849" hidden="1"/>
    <cellStyle name="Финансовый 2" xfId="10872" hidden="1"/>
    <cellStyle name="Финансовый 2" xfId="14748"/>
    <cellStyle name="Финансовый 2 10" xfId="50439"/>
    <cellStyle name="Финансовый 2 11" xfId="50466"/>
    <cellStyle name="Финансовый 2 2" xfId="14749"/>
    <cellStyle name="Финансовый 2 2 2" xfId="14750"/>
    <cellStyle name="Финансовый 2 3" xfId="16925" hidden="1"/>
    <cellStyle name="Финансовый 2 3" xfId="50418" hidden="1"/>
    <cellStyle name="Финансовый 2 3" xfId="50424" hidden="1"/>
    <cellStyle name="Финансовый 2 3" xfId="50437"/>
    <cellStyle name="Финансовый 2 4" xfId="16903"/>
    <cellStyle name="Финансовый 2 5" xfId="17128"/>
    <cellStyle name="Финансовый 2 6" xfId="18039"/>
    <cellStyle name="Финансовый 2 7" xfId="36579"/>
    <cellStyle name="Финансовый 2 8" xfId="50443"/>
    <cellStyle name="Финансовый 2 9" xfId="50459"/>
    <cellStyle name="Финансовый 2_БПДИ, СПРКПЭ" xfId="14751"/>
    <cellStyle name="Финансовый 3" xfId="16926"/>
    <cellStyle name="Финансовый 4" xfId="16927"/>
    <cellStyle name="Финансовый 5" xfId="16981"/>
    <cellStyle name="Финансовый 6" xfId="16924"/>
    <cellStyle name="Финансовый 7" xfId="4199"/>
    <cellStyle name="Финансовый 7 2" xfId="18601"/>
    <cellStyle name="Финансовый 7 3" xfId="18146"/>
    <cellStyle name="Финансовый 7 4" xfId="19110"/>
    <cellStyle name="Финансовый 7 5" xfId="17175"/>
    <cellStyle name="Финансовый 8" xfId="17192"/>
    <cellStyle name="Финансовый 9" xfId="17157"/>
    <cellStyle name="Хороший" xfId="16" builtinId="26" hidden="1"/>
    <cellStyle name="Хороший" xfId="55" builtinId="26" hidden="1"/>
    <cellStyle name="Хороший" xfId="111" builtinId="26" hidden="1"/>
    <cellStyle name="Хороший" xfId="141" builtinId="26" hidden="1"/>
    <cellStyle name="Хороший" xfId="295" builtinId="26" hidden="1"/>
    <cellStyle name="Хороший" xfId="334" builtinId="26" hidden="1"/>
    <cellStyle name="Хороший" xfId="390" builtinId="26" hidden="1"/>
    <cellStyle name="Хороший" xfId="420" builtinId="26" hidden="1"/>
    <cellStyle name="Хороший" xfId="551" builtinId="26" hidden="1"/>
    <cellStyle name="Хороший" xfId="590" builtinId="26" hidden="1"/>
    <cellStyle name="Хороший" xfId="646" builtinId="26" hidden="1"/>
    <cellStyle name="Хороший" xfId="676" builtinId="26" hidden="1"/>
    <cellStyle name="Хороший" xfId="4154" builtinId="26" customBuiltin="1"/>
    <cellStyle name="Хороший 10" xfId="16904"/>
    <cellStyle name="Хороший 11" xfId="15704"/>
    <cellStyle name="Хороший 12" xfId="17025"/>
    <cellStyle name="Хороший 13" xfId="17129"/>
    <cellStyle name="Хороший 14" xfId="18040"/>
    <cellStyle name="Хороший 15" xfId="36580"/>
    <cellStyle name="Хороший 16" xfId="14752"/>
    <cellStyle name="Хороший 2" xfId="14753"/>
    <cellStyle name="Хороший 3" xfId="14754"/>
    <cellStyle name="Хороший 4" xfId="14755"/>
    <cellStyle name="Хороший 5" xfId="14756"/>
    <cellStyle name="Хороший 6" xfId="14757"/>
    <cellStyle name="Хороший 7" xfId="14758"/>
    <cellStyle name="Хороший 8" xfId="14759"/>
    <cellStyle name="Хороший 9" xfId="14760"/>
    <cellStyle name="-хэхцэ_щ" xfId="14761"/>
  </cellStyles>
  <dxfs count="14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sz val="11"/>
        <color indexed="10"/>
      </font>
      <fill>
        <patternFill patternType="none">
          <fgColor indexed="64"/>
          <bgColor indexed="65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FFCC"/>
      <color rgb="FF0000FF"/>
      <color rgb="FF000080"/>
      <color rgb="FFDC24B5"/>
      <color rgb="FFC9C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externalLink" Target="externalLinks/externalLink4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externalLink" Target="externalLinks/externalLink5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externalLink" Target="externalLinks/externalLink6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3</xdr:row>
          <xdr:rowOff>69850</xdr:rowOff>
        </xdr:from>
        <xdr:to>
          <xdr:col>7</xdr:col>
          <xdr:colOff>495300</xdr:colOff>
          <xdr:row>5</xdr:row>
          <xdr:rowOff>0</xdr:rowOff>
        </xdr:to>
        <xdr:sp macro="" textlink="">
          <xdr:nvSpPr>
            <xdr:cNvPr id="920591" name="Button 15" hidden="1">
              <a:extLst>
                <a:ext uri="{63B3BB69-23CF-44E3-9099-C40C66FF867C}">
                  <a14:compatExt spid="_x0000_s920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Загрузить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6</xdr:row>
          <xdr:rowOff>31750</xdr:rowOff>
        </xdr:from>
        <xdr:to>
          <xdr:col>7</xdr:col>
          <xdr:colOff>1517650</xdr:colOff>
          <xdr:row>13</xdr:row>
          <xdr:rowOff>184150</xdr:rowOff>
        </xdr:to>
        <xdr:sp macro="" textlink="">
          <xdr:nvSpPr>
            <xdr:cNvPr id="920592" name="Button 16" hidden="1">
              <a:extLst>
                <a:ext uri="{63B3BB69-23CF-44E3-9099-C40C66FF867C}">
                  <a14:compatExt spid="_x0000_s920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Листы: Баланс, ОФР заполнение на основании форм финансовой отчетности файл: "БалансОФР_КодКомпании_ДДММГГГГ.xlsm"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3</xdr:row>
          <xdr:rowOff>107950</xdr:rowOff>
        </xdr:from>
        <xdr:to>
          <xdr:col>7</xdr:col>
          <xdr:colOff>184150</xdr:colOff>
          <xdr:row>4</xdr:row>
          <xdr:rowOff>298450</xdr:rowOff>
        </xdr:to>
        <xdr:sp macro="" textlink="">
          <xdr:nvSpPr>
            <xdr:cNvPr id="1077250" name="Button 2" hidden="1">
              <a:extLst>
                <a:ext uri="{63B3BB69-23CF-44E3-9099-C40C66FF867C}">
                  <a14:compatExt spid="_x0000_s107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Проверка форматов даты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3</xdr:row>
          <xdr:rowOff>107950</xdr:rowOff>
        </xdr:from>
        <xdr:to>
          <xdr:col>7</xdr:col>
          <xdr:colOff>184150</xdr:colOff>
          <xdr:row>4</xdr:row>
          <xdr:rowOff>298450</xdr:rowOff>
        </xdr:to>
        <xdr:sp macro="" textlink="">
          <xdr:nvSpPr>
            <xdr:cNvPr id="1393665" name="Button 1" hidden="1">
              <a:extLst>
                <a:ext uri="{63B3BB69-23CF-44E3-9099-C40C66FF867C}">
                  <a14:compatExt spid="_x0000_s139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Проверка ГИД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222250</xdr:colOff>
          <xdr:row>2</xdr:row>
          <xdr:rowOff>298450</xdr:rowOff>
        </xdr:from>
        <xdr:to>
          <xdr:col>15</xdr:col>
          <xdr:colOff>374650</xdr:colOff>
          <xdr:row>3</xdr:row>
          <xdr:rowOff>107950</xdr:rowOff>
        </xdr:to>
        <xdr:sp macro="" textlink="">
          <xdr:nvSpPr>
            <xdr:cNvPr id="1537029" name="Button 5" hidden="1">
              <a:extLst>
                <a:ext uri="{63B3BB69-23CF-44E3-9099-C40C66FF867C}">
                  <a14:compatExt spid="_x0000_s1537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184150</xdr:colOff>
          <xdr:row>2</xdr:row>
          <xdr:rowOff>69850</xdr:rowOff>
        </xdr:from>
        <xdr:to>
          <xdr:col>11</xdr:col>
          <xdr:colOff>266700</xdr:colOff>
          <xdr:row>2</xdr:row>
          <xdr:rowOff>381000</xdr:rowOff>
        </xdr:to>
        <xdr:sp macro="" textlink="">
          <xdr:nvSpPr>
            <xdr:cNvPr id="1553414" name="Button 6" hidden="1">
              <a:extLst>
                <a:ext uri="{63B3BB69-23CF-44E3-9099-C40C66FF867C}">
                  <a14:compatExt spid="_x0000_s155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2</xdr:row>
          <xdr:rowOff>107950</xdr:rowOff>
        </xdr:from>
        <xdr:to>
          <xdr:col>9</xdr:col>
          <xdr:colOff>336550</xdr:colOff>
          <xdr:row>3</xdr:row>
          <xdr:rowOff>31750</xdr:rowOff>
        </xdr:to>
        <xdr:sp macro="" textlink="">
          <xdr:nvSpPr>
            <xdr:cNvPr id="1627139" name="Button 3" hidden="1">
              <a:extLst>
                <a:ext uri="{63B3BB69-23CF-44E3-9099-C40C66FF867C}">
                  <a14:compatExt spid="_x0000_s162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908050</xdr:colOff>
          <xdr:row>1</xdr:row>
          <xdr:rowOff>76200</xdr:rowOff>
        </xdr:from>
        <xdr:to>
          <xdr:col>3</xdr:col>
          <xdr:colOff>2317750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2171700</xdr:colOff>
          <xdr:row>1</xdr:row>
          <xdr:rowOff>152400</xdr:rowOff>
        </xdr:from>
        <xdr:to>
          <xdr:col>2</xdr:col>
          <xdr:colOff>3613150</xdr:colOff>
          <xdr:row>3</xdr:row>
          <xdr:rowOff>76200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4756150</xdr:colOff>
          <xdr:row>2</xdr:row>
          <xdr:rowOff>69850</xdr:rowOff>
        </xdr:from>
        <xdr:to>
          <xdr:col>2</xdr:col>
          <xdr:colOff>6172200</xdr:colOff>
          <xdr:row>3</xdr:row>
          <xdr:rowOff>31750</xdr:rowOff>
        </xdr:to>
        <xdr:sp macro="" textlink="">
          <xdr:nvSpPr>
            <xdr:cNvPr id="1466370" name="Button 2" hidden="1">
              <a:extLst>
                <a:ext uri="{63B3BB69-23CF-44E3-9099-C40C66FF867C}">
                  <a14:compatExt spid="_x0000_s1466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</xdr:colOff>
          <xdr:row>1</xdr:row>
          <xdr:rowOff>107950</xdr:rowOff>
        </xdr:from>
        <xdr:to>
          <xdr:col>4</xdr:col>
          <xdr:colOff>146050</xdr:colOff>
          <xdr:row>2</xdr:row>
          <xdr:rowOff>0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69850</xdr:colOff>
          <xdr:row>1</xdr:row>
          <xdr:rowOff>146050</xdr:rowOff>
        </xdr:from>
        <xdr:to>
          <xdr:col>12</xdr:col>
          <xdr:colOff>412750</xdr:colOff>
          <xdr:row>2</xdr:row>
          <xdr:rowOff>260350</xdr:rowOff>
        </xdr:to>
        <xdr:sp macro="" textlink="">
          <xdr:nvSpPr>
            <xdr:cNvPr id="923651" name="Button 3" hidden="1">
              <a:extLst>
                <a:ext uri="{63B3BB69-23CF-44E3-9099-C40C66FF867C}">
                  <a14:compatExt spid="_x0000_s923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2622550</xdr:colOff>
          <xdr:row>1</xdr:row>
          <xdr:rowOff>31750</xdr:rowOff>
        </xdr:from>
        <xdr:to>
          <xdr:col>3</xdr:col>
          <xdr:colOff>1257300</xdr:colOff>
          <xdr:row>2</xdr:row>
          <xdr:rowOff>31750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1022350</xdr:colOff>
          <xdr:row>1</xdr:row>
          <xdr:rowOff>69850</xdr:rowOff>
        </xdr:from>
        <xdr:to>
          <xdr:col>6</xdr:col>
          <xdr:colOff>336550</xdr:colOff>
          <xdr:row>2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1022350</xdr:colOff>
          <xdr:row>1</xdr:row>
          <xdr:rowOff>69850</xdr:rowOff>
        </xdr:from>
        <xdr:to>
          <xdr:col>6</xdr:col>
          <xdr:colOff>342900</xdr:colOff>
          <xdr:row>2</xdr:row>
          <xdr:rowOff>31750</xdr:rowOff>
        </xdr:to>
        <xdr:sp macro="" textlink="">
          <xdr:nvSpPr>
            <xdr:cNvPr id="22562" name="Button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1098550</xdr:colOff>
          <xdr:row>1</xdr:row>
          <xdr:rowOff>107950</xdr:rowOff>
        </xdr:from>
        <xdr:to>
          <xdr:col>5</xdr:col>
          <xdr:colOff>107950</xdr:colOff>
          <xdr:row>2</xdr:row>
          <xdr:rowOff>76200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3314700</xdr:colOff>
          <xdr:row>1</xdr:row>
          <xdr:rowOff>114300</xdr:rowOff>
        </xdr:from>
        <xdr:to>
          <xdr:col>2</xdr:col>
          <xdr:colOff>4756150</xdr:colOff>
          <xdr:row>2</xdr:row>
          <xdr:rowOff>260350</xdr:rowOff>
        </xdr:to>
        <xdr:sp macro="" textlink="">
          <xdr:nvSpPr>
            <xdr:cNvPr id="128008" name="Button 8" hidden="1">
              <a:extLst>
                <a:ext uri="{63B3BB69-23CF-44E3-9099-C40C66FF867C}">
                  <a14:compatExt spid="_x0000_s128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2</xdr:row>
          <xdr:rowOff>69850</xdr:rowOff>
        </xdr:from>
        <xdr:to>
          <xdr:col>4</xdr:col>
          <xdr:colOff>1784350</xdr:colOff>
          <xdr:row>3</xdr:row>
          <xdr:rowOff>31750</xdr:rowOff>
        </xdr:to>
        <xdr:sp macro="" textlink="">
          <xdr:nvSpPr>
            <xdr:cNvPr id="129034" name="Button 10" hidden="1">
              <a:extLst>
                <a:ext uri="{63B3BB69-23CF-44E3-9099-C40C66FF867C}">
                  <a14:compatExt spid="_x0000_s12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</xdr:row>
          <xdr:rowOff>0</xdr:rowOff>
        </xdr:from>
        <xdr:to>
          <xdr:col>10</xdr:col>
          <xdr:colOff>107950</xdr:colOff>
          <xdr:row>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565150</xdr:colOff>
          <xdr:row>3</xdr:row>
          <xdr:rowOff>0</xdr:rowOff>
        </xdr:from>
        <xdr:to>
          <xdr:col>8</xdr:col>
          <xdr:colOff>831850</xdr:colOff>
          <xdr:row>3</xdr:row>
          <xdr:rowOff>304800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3003550</xdr:colOff>
          <xdr:row>1</xdr:row>
          <xdr:rowOff>76200</xdr:rowOff>
        </xdr:from>
        <xdr:to>
          <xdr:col>3</xdr:col>
          <xdr:colOff>1098550</xdr:colOff>
          <xdr:row>2</xdr:row>
          <xdr:rowOff>69850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1555750</xdr:colOff>
          <xdr:row>1</xdr:row>
          <xdr:rowOff>38100</xdr:rowOff>
        </xdr:from>
        <xdr:to>
          <xdr:col>3</xdr:col>
          <xdr:colOff>2965450</xdr:colOff>
          <xdr:row>2</xdr:row>
          <xdr:rowOff>31750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1555750</xdr:colOff>
          <xdr:row>1</xdr:row>
          <xdr:rowOff>38100</xdr:rowOff>
        </xdr:from>
        <xdr:to>
          <xdr:col>3</xdr:col>
          <xdr:colOff>2965450</xdr:colOff>
          <xdr:row>2</xdr:row>
          <xdr:rowOff>31750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2</xdr:row>
          <xdr:rowOff>31750</xdr:rowOff>
        </xdr:from>
        <xdr:to>
          <xdr:col>3</xdr:col>
          <xdr:colOff>1898650</xdr:colOff>
          <xdr:row>2</xdr:row>
          <xdr:rowOff>336550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838200</xdr:colOff>
          <xdr:row>1</xdr:row>
          <xdr:rowOff>69850</xdr:rowOff>
        </xdr:from>
        <xdr:to>
          <xdr:col>7</xdr:col>
          <xdr:colOff>228600</xdr:colOff>
          <xdr:row>1</xdr:row>
          <xdr:rowOff>228600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412750</xdr:colOff>
          <xdr:row>2</xdr:row>
          <xdr:rowOff>69850</xdr:rowOff>
        </xdr:from>
        <xdr:to>
          <xdr:col>7</xdr:col>
          <xdr:colOff>755650</xdr:colOff>
          <xdr:row>3</xdr:row>
          <xdr:rowOff>184150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1</xdr:row>
          <xdr:rowOff>107950</xdr:rowOff>
        </xdr:from>
        <xdr:to>
          <xdr:col>3</xdr:col>
          <xdr:colOff>831850</xdr:colOff>
          <xdr:row>2</xdr:row>
          <xdr:rowOff>222250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2051050</xdr:colOff>
          <xdr:row>1</xdr:row>
          <xdr:rowOff>69850</xdr:rowOff>
        </xdr:from>
        <xdr:to>
          <xdr:col>3</xdr:col>
          <xdr:colOff>0</xdr:colOff>
          <xdr:row>2</xdr:row>
          <xdr:rowOff>184150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1936750</xdr:colOff>
          <xdr:row>1</xdr:row>
          <xdr:rowOff>107950</xdr:rowOff>
        </xdr:from>
        <xdr:to>
          <xdr:col>3</xdr:col>
          <xdr:colOff>984250</xdr:colOff>
          <xdr:row>2</xdr:row>
          <xdr:rowOff>222250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1936750</xdr:colOff>
          <xdr:row>1</xdr:row>
          <xdr:rowOff>107950</xdr:rowOff>
        </xdr:from>
        <xdr:to>
          <xdr:col>3</xdr:col>
          <xdr:colOff>984250</xdr:colOff>
          <xdr:row>2</xdr:row>
          <xdr:rowOff>222250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1</xdr:row>
          <xdr:rowOff>69850</xdr:rowOff>
        </xdr:from>
        <xdr:to>
          <xdr:col>3</xdr:col>
          <xdr:colOff>1593850</xdr:colOff>
          <xdr:row>2</xdr:row>
          <xdr:rowOff>38100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946150</xdr:colOff>
          <xdr:row>1</xdr:row>
          <xdr:rowOff>146050</xdr:rowOff>
        </xdr:from>
        <xdr:to>
          <xdr:col>7</xdr:col>
          <xdr:colOff>952500</xdr:colOff>
          <xdr:row>2</xdr:row>
          <xdr:rowOff>114300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3848100</xdr:colOff>
          <xdr:row>1</xdr:row>
          <xdr:rowOff>298450</xdr:rowOff>
        </xdr:from>
        <xdr:to>
          <xdr:col>2</xdr:col>
          <xdr:colOff>5257800</xdr:colOff>
          <xdr:row>2</xdr:row>
          <xdr:rowOff>298450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152400</xdr:rowOff>
        </xdr:from>
        <xdr:to>
          <xdr:col>4</xdr:col>
          <xdr:colOff>146050</xdr:colOff>
          <xdr:row>2</xdr:row>
          <xdr:rowOff>298450</xdr:rowOff>
        </xdr:to>
        <xdr:sp macro="" textlink="">
          <xdr:nvSpPr>
            <xdr:cNvPr id="150557" name="Button 29" hidden="1">
              <a:extLst>
                <a:ext uri="{63B3BB69-23CF-44E3-9099-C40C66FF867C}">
                  <a14:compatExt spid="_x0000_s150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1974850</xdr:colOff>
          <xdr:row>2</xdr:row>
          <xdr:rowOff>107950</xdr:rowOff>
        </xdr:from>
        <xdr:to>
          <xdr:col>4</xdr:col>
          <xdr:colOff>990600</xdr:colOff>
          <xdr:row>3</xdr:row>
          <xdr:rowOff>107950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</xdr:row>
          <xdr:rowOff>146050</xdr:rowOff>
        </xdr:from>
        <xdr:to>
          <xdr:col>6</xdr:col>
          <xdr:colOff>0</xdr:colOff>
          <xdr:row>2</xdr:row>
          <xdr:rowOff>298450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76200</xdr:rowOff>
        </xdr:from>
        <xdr:to>
          <xdr:col>5</xdr:col>
          <xdr:colOff>1403350</xdr:colOff>
          <xdr:row>4</xdr:row>
          <xdr:rowOff>31750</xdr:rowOff>
        </xdr:to>
        <xdr:sp macro="" textlink="">
          <xdr:nvSpPr>
            <xdr:cNvPr id="918530" name="Button 2" hidden="1">
              <a:extLst>
                <a:ext uri="{63B3BB69-23CF-44E3-9099-C40C66FF867C}">
                  <a14:compatExt spid="_x0000_s918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146050</xdr:rowOff>
        </xdr:from>
        <xdr:to>
          <xdr:col>7</xdr:col>
          <xdr:colOff>793750</xdr:colOff>
          <xdr:row>3</xdr:row>
          <xdr:rowOff>266700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107950</xdr:rowOff>
        </xdr:from>
        <xdr:to>
          <xdr:col>8</xdr:col>
          <xdr:colOff>419100</xdr:colOff>
          <xdr:row>2</xdr:row>
          <xdr:rowOff>190500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565150</xdr:colOff>
          <xdr:row>1</xdr:row>
          <xdr:rowOff>38100</xdr:rowOff>
        </xdr:from>
        <xdr:to>
          <xdr:col>13</xdr:col>
          <xdr:colOff>869950</xdr:colOff>
          <xdr:row>2</xdr:row>
          <xdr:rowOff>146050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565150</xdr:colOff>
          <xdr:row>1</xdr:row>
          <xdr:rowOff>38100</xdr:rowOff>
        </xdr:from>
        <xdr:to>
          <xdr:col>13</xdr:col>
          <xdr:colOff>869950</xdr:colOff>
          <xdr:row>2</xdr:row>
          <xdr:rowOff>146050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1</xdr:row>
          <xdr:rowOff>107950</xdr:rowOff>
        </xdr:from>
        <xdr:to>
          <xdr:col>3</xdr:col>
          <xdr:colOff>1898650</xdr:colOff>
          <xdr:row>3</xdr:row>
          <xdr:rowOff>31750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1060450</xdr:colOff>
          <xdr:row>1</xdr:row>
          <xdr:rowOff>76200</xdr:rowOff>
        </xdr:from>
        <xdr:to>
          <xdr:col>5</xdr:col>
          <xdr:colOff>1327150</xdr:colOff>
          <xdr:row>3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298450</xdr:colOff>
          <xdr:row>1</xdr:row>
          <xdr:rowOff>107950</xdr:rowOff>
        </xdr:from>
        <xdr:to>
          <xdr:col>7</xdr:col>
          <xdr:colOff>412750</xdr:colOff>
          <xdr:row>3</xdr:row>
          <xdr:rowOff>69850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222250</xdr:colOff>
          <xdr:row>1</xdr:row>
          <xdr:rowOff>69850</xdr:rowOff>
        </xdr:from>
        <xdr:to>
          <xdr:col>8</xdr:col>
          <xdr:colOff>190500</xdr:colOff>
          <xdr:row>3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990600</xdr:colOff>
          <xdr:row>1</xdr:row>
          <xdr:rowOff>146050</xdr:rowOff>
        </xdr:from>
        <xdr:to>
          <xdr:col>5</xdr:col>
          <xdr:colOff>2432050</xdr:colOff>
          <xdr:row>3</xdr:row>
          <xdr:rowOff>69850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184150</xdr:rowOff>
        </xdr:from>
        <xdr:to>
          <xdr:col>6</xdr:col>
          <xdr:colOff>1479550</xdr:colOff>
          <xdr:row>3</xdr:row>
          <xdr:rowOff>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2</xdr:row>
          <xdr:rowOff>69850</xdr:rowOff>
        </xdr:from>
        <xdr:to>
          <xdr:col>4</xdr:col>
          <xdr:colOff>374650</xdr:colOff>
          <xdr:row>3</xdr:row>
          <xdr:rowOff>184150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450850</xdr:colOff>
          <xdr:row>2</xdr:row>
          <xdr:rowOff>69850</xdr:rowOff>
        </xdr:from>
        <xdr:to>
          <xdr:col>5</xdr:col>
          <xdr:colOff>31750</xdr:colOff>
          <xdr:row>3</xdr:row>
          <xdr:rowOff>152400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3308350</xdr:colOff>
          <xdr:row>2</xdr:row>
          <xdr:rowOff>76200</xdr:rowOff>
        </xdr:from>
        <xdr:to>
          <xdr:col>3</xdr:col>
          <xdr:colOff>1060450</xdr:colOff>
          <xdr:row>3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1</xdr:row>
          <xdr:rowOff>69850</xdr:rowOff>
        </xdr:from>
        <xdr:to>
          <xdr:col>4</xdr:col>
          <xdr:colOff>184150</xdr:colOff>
          <xdr:row>2</xdr:row>
          <xdr:rowOff>184150</xdr:rowOff>
        </xdr:to>
        <xdr:sp macro="" textlink="">
          <xdr:nvSpPr>
            <xdr:cNvPr id="924673" name="Button 1" hidden="1">
              <a:extLst>
                <a:ext uri="{63B3BB69-23CF-44E3-9099-C40C66FF867C}">
                  <a14:compatExt spid="_x0000_s92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1</xdr:row>
          <xdr:rowOff>69850</xdr:rowOff>
        </xdr:from>
        <xdr:to>
          <xdr:col>4</xdr:col>
          <xdr:colOff>184150</xdr:colOff>
          <xdr:row>2</xdr:row>
          <xdr:rowOff>184150</xdr:rowOff>
        </xdr:to>
        <xdr:sp macro="" textlink="">
          <xdr:nvSpPr>
            <xdr:cNvPr id="924675" name="Button 3" hidden="1">
              <a:extLst>
                <a:ext uri="{63B3BB69-23CF-44E3-9099-C40C66FF867C}">
                  <a14:compatExt spid="_x0000_s924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793750</xdr:colOff>
          <xdr:row>0</xdr:row>
          <xdr:rowOff>0</xdr:rowOff>
        </xdr:from>
        <xdr:to>
          <xdr:col>8</xdr:col>
          <xdr:colOff>800100</xdr:colOff>
          <xdr:row>0</xdr:row>
          <xdr:rowOff>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793750</xdr:colOff>
          <xdr:row>1</xdr:row>
          <xdr:rowOff>298450</xdr:rowOff>
        </xdr:from>
        <xdr:to>
          <xdr:col>8</xdr:col>
          <xdr:colOff>831850</xdr:colOff>
          <xdr:row>2</xdr:row>
          <xdr:rowOff>298450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2622550</xdr:colOff>
          <xdr:row>2</xdr:row>
          <xdr:rowOff>298450</xdr:rowOff>
        </xdr:from>
        <xdr:to>
          <xdr:col>9</xdr:col>
          <xdr:colOff>2019300</xdr:colOff>
          <xdr:row>3</xdr:row>
          <xdr:rowOff>228600</xdr:rowOff>
        </xdr:to>
        <xdr:sp macro="" textlink="">
          <xdr:nvSpPr>
            <xdr:cNvPr id="919584" name="Button 32" hidden="1">
              <a:extLst>
                <a:ext uri="{63B3BB69-23CF-44E3-9099-C40C66FF867C}">
                  <a14:compatExt spid="_x0000_s919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1</xdr:row>
          <xdr:rowOff>69850</xdr:rowOff>
        </xdr:from>
        <xdr:to>
          <xdr:col>10</xdr:col>
          <xdr:colOff>228600</xdr:colOff>
          <xdr:row>2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1441450</xdr:colOff>
          <xdr:row>1</xdr:row>
          <xdr:rowOff>38100</xdr:rowOff>
        </xdr:from>
        <xdr:to>
          <xdr:col>4</xdr:col>
          <xdr:colOff>488950</xdr:colOff>
          <xdr:row>2</xdr:row>
          <xdr:rowOff>146050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2</xdr:row>
          <xdr:rowOff>69850</xdr:rowOff>
        </xdr:from>
        <xdr:to>
          <xdr:col>4</xdr:col>
          <xdr:colOff>31750</xdr:colOff>
          <xdr:row>3</xdr:row>
          <xdr:rowOff>152400</xdr:rowOff>
        </xdr:to>
        <xdr:sp macro="" textlink="">
          <xdr:nvSpPr>
            <xdr:cNvPr id="1203201" name="Button 1" hidden="1">
              <a:extLst>
                <a:ext uri="{63B3BB69-23CF-44E3-9099-C40C66FF867C}">
                  <a14:compatExt spid="_x0000_s120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831850</xdr:colOff>
          <xdr:row>1</xdr:row>
          <xdr:rowOff>184150</xdr:rowOff>
        </xdr:from>
        <xdr:to>
          <xdr:col>7</xdr:col>
          <xdr:colOff>1409700</xdr:colOff>
          <xdr:row>2</xdr:row>
          <xdr:rowOff>298450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4451350</xdr:colOff>
          <xdr:row>2</xdr:row>
          <xdr:rowOff>114300</xdr:rowOff>
        </xdr:from>
        <xdr:to>
          <xdr:col>3</xdr:col>
          <xdr:colOff>5861050</xdr:colOff>
          <xdr:row>3</xdr:row>
          <xdr:rowOff>298450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793750</xdr:colOff>
          <xdr:row>2</xdr:row>
          <xdr:rowOff>69850</xdr:rowOff>
        </xdr:from>
        <xdr:to>
          <xdr:col>12</xdr:col>
          <xdr:colOff>1060450</xdr:colOff>
          <xdr:row>3</xdr:row>
          <xdr:rowOff>69850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336550</xdr:colOff>
          <xdr:row>2</xdr:row>
          <xdr:rowOff>69850</xdr:rowOff>
        </xdr:from>
        <xdr:to>
          <xdr:col>12</xdr:col>
          <xdr:colOff>603250</xdr:colOff>
          <xdr:row>2</xdr:row>
          <xdr:rowOff>374650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565150</xdr:colOff>
          <xdr:row>2</xdr:row>
          <xdr:rowOff>146050</xdr:rowOff>
        </xdr:from>
        <xdr:to>
          <xdr:col>9</xdr:col>
          <xdr:colOff>419100</xdr:colOff>
          <xdr:row>3</xdr:row>
          <xdr:rowOff>107950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</xdr:row>
          <xdr:rowOff>69850</xdr:rowOff>
        </xdr:from>
        <xdr:to>
          <xdr:col>8</xdr:col>
          <xdr:colOff>869950</xdr:colOff>
          <xdr:row>3</xdr:row>
          <xdr:rowOff>152400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260350</xdr:rowOff>
        </xdr:from>
        <xdr:to>
          <xdr:col>0</xdr:col>
          <xdr:colOff>0</xdr:colOff>
          <xdr:row>1</xdr:row>
          <xdr:rowOff>260350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1479550</xdr:colOff>
          <xdr:row>2</xdr:row>
          <xdr:rowOff>31750</xdr:rowOff>
        </xdr:from>
        <xdr:to>
          <xdr:col>6</xdr:col>
          <xdr:colOff>336550</xdr:colOff>
          <xdr:row>2</xdr:row>
          <xdr:rowOff>342900</xdr:rowOff>
        </xdr:to>
        <xdr:sp macro="" textlink="">
          <xdr:nvSpPr>
            <xdr:cNvPr id="77774" name="Button 974" hidden="1">
              <a:extLst>
                <a:ext uri="{63B3BB69-23CF-44E3-9099-C40C66FF867C}">
                  <a14:compatExt spid="_x0000_s77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77855" name="Button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856" name="Button 32" hidden="1">
              <a:extLst>
                <a:ext uri="{63B3BB69-23CF-44E3-9099-C40C66FF867C}">
                  <a14:compatExt spid="_x0000_s7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887" name="Button 63" hidden="1">
              <a:extLst>
                <a:ext uri="{63B3BB69-23CF-44E3-9099-C40C66FF867C}">
                  <a14:compatExt spid="_x0000_s7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888" name="Button 64" hidden="1">
              <a:extLst>
                <a:ext uri="{63B3BB69-23CF-44E3-9099-C40C66FF867C}">
                  <a14:compatExt spid="_x0000_s77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19" name="Button 95" hidden="1">
              <a:extLst>
                <a:ext uri="{63B3BB69-23CF-44E3-9099-C40C66FF867C}">
                  <a14:compatExt spid="_x0000_s7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20" name="Button 96" hidden="1">
              <a:extLst>
                <a:ext uri="{63B3BB69-23CF-44E3-9099-C40C66FF867C}">
                  <a14:compatExt spid="_x0000_s7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51" name="Button 127" hidden="1">
              <a:extLst>
                <a:ext uri="{63B3BB69-23CF-44E3-9099-C40C66FF867C}">
                  <a14:compatExt spid="_x0000_s77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52" name="Button 128" hidden="1">
              <a:extLst>
                <a:ext uri="{63B3BB69-23CF-44E3-9099-C40C66FF867C}">
                  <a14:compatExt spid="_x0000_s77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83" name="Button 159" hidden="1">
              <a:extLst>
                <a:ext uri="{63B3BB69-23CF-44E3-9099-C40C66FF867C}">
                  <a14:compatExt spid="_x0000_s77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7984" name="Button 160" hidden="1">
              <a:extLst>
                <a:ext uri="{63B3BB69-23CF-44E3-9099-C40C66FF867C}">
                  <a14:compatExt spid="_x0000_s77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15" name="Button 191" hidden="1">
              <a:extLst>
                <a:ext uri="{63B3BB69-23CF-44E3-9099-C40C66FF867C}">
                  <a14:compatExt spid="_x0000_s78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16" name="Button 192" hidden="1">
              <a:extLst>
                <a:ext uri="{63B3BB69-23CF-44E3-9099-C40C66FF867C}">
                  <a14:compatExt spid="_x0000_s78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47" name="Button 223" hidden="1">
              <a:extLst>
                <a:ext uri="{63B3BB69-23CF-44E3-9099-C40C66FF867C}">
                  <a14:compatExt spid="_x0000_s78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48" name="Button 224" hidden="1">
              <a:extLst>
                <a:ext uri="{63B3BB69-23CF-44E3-9099-C40C66FF867C}">
                  <a14:compatExt spid="_x0000_s78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79" name="Button 255" hidden="1">
              <a:extLst>
                <a:ext uri="{63B3BB69-23CF-44E3-9099-C40C66FF867C}">
                  <a14:compatExt spid="_x0000_s78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080" name="Button 256" hidden="1">
              <a:extLst>
                <a:ext uri="{63B3BB69-23CF-44E3-9099-C40C66FF867C}">
                  <a14:compatExt spid="_x0000_s78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11" name="Button 287" hidden="1">
              <a:extLst>
                <a:ext uri="{63B3BB69-23CF-44E3-9099-C40C66FF867C}">
                  <a14:compatExt spid="_x0000_s78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12" name="Button 288" hidden="1">
              <a:extLst>
                <a:ext uri="{63B3BB69-23CF-44E3-9099-C40C66FF867C}">
                  <a14:compatExt spid="_x0000_s78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43" name="Button 319" hidden="1">
              <a:extLst>
                <a:ext uri="{63B3BB69-23CF-44E3-9099-C40C66FF867C}">
                  <a14:compatExt spid="_x0000_s78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44" name="Button 320" hidden="1">
              <a:extLst>
                <a:ext uri="{63B3BB69-23CF-44E3-9099-C40C66FF867C}">
                  <a14:compatExt spid="_x0000_s78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75" name="Button 351" hidden="1">
              <a:extLst>
                <a:ext uri="{63B3BB69-23CF-44E3-9099-C40C66FF867C}">
                  <a14:compatExt spid="_x0000_s78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176" name="Button 352" hidden="1">
              <a:extLst>
                <a:ext uri="{63B3BB69-23CF-44E3-9099-C40C66FF867C}">
                  <a14:compatExt spid="_x0000_s78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07" name="Button 383" hidden="1">
              <a:extLst>
                <a:ext uri="{63B3BB69-23CF-44E3-9099-C40C66FF867C}">
                  <a14:compatExt spid="_x0000_s7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08" name="Button 384" hidden="1">
              <a:extLst>
                <a:ext uri="{63B3BB69-23CF-44E3-9099-C40C66FF867C}">
                  <a14:compatExt spid="_x0000_s7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39" name="Button 415" hidden="1">
              <a:extLst>
                <a:ext uri="{63B3BB69-23CF-44E3-9099-C40C66FF867C}">
                  <a14:compatExt spid="_x0000_s7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40" name="Button 416" hidden="1">
              <a:extLst>
                <a:ext uri="{63B3BB69-23CF-44E3-9099-C40C66FF867C}">
                  <a14:compatExt spid="_x0000_s7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71" name="Button 447" hidden="1">
              <a:extLst>
                <a:ext uri="{63B3BB69-23CF-44E3-9099-C40C66FF867C}">
                  <a14:compatExt spid="_x0000_s78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272" name="Button 448" hidden="1">
              <a:extLst>
                <a:ext uri="{63B3BB69-23CF-44E3-9099-C40C66FF867C}">
                  <a14:compatExt spid="_x0000_s78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03" name="Button 479" hidden="1">
              <a:extLst>
                <a:ext uri="{63B3BB69-23CF-44E3-9099-C40C66FF867C}">
                  <a14:compatExt spid="_x0000_s78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04" name="Button 480" hidden="1">
              <a:extLst>
                <a:ext uri="{63B3BB69-23CF-44E3-9099-C40C66FF867C}">
                  <a14:compatExt spid="_x0000_s78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35" name="Button 511" hidden="1">
              <a:extLst>
                <a:ext uri="{63B3BB69-23CF-44E3-9099-C40C66FF867C}">
                  <a14:compatExt spid="_x0000_s78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36" name="Button 512" hidden="1">
              <a:extLst>
                <a:ext uri="{63B3BB69-23CF-44E3-9099-C40C66FF867C}">
                  <a14:compatExt spid="_x0000_s78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67" name="Button 543" hidden="1">
              <a:extLst>
                <a:ext uri="{63B3BB69-23CF-44E3-9099-C40C66FF867C}">
                  <a14:compatExt spid="_x0000_s78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68" name="Button 544" hidden="1">
              <a:extLst>
                <a:ext uri="{63B3BB69-23CF-44E3-9099-C40C66FF867C}">
                  <a14:compatExt spid="_x0000_s78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399" name="Button 575" hidden="1">
              <a:extLst>
                <a:ext uri="{63B3BB69-23CF-44E3-9099-C40C66FF867C}">
                  <a14:compatExt spid="_x0000_s7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00" name="Button 576" hidden="1">
              <a:extLst>
                <a:ext uri="{63B3BB69-23CF-44E3-9099-C40C66FF867C}">
                  <a14:compatExt spid="_x0000_s7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31" name="Button 607" hidden="1">
              <a:extLst>
                <a:ext uri="{63B3BB69-23CF-44E3-9099-C40C66FF867C}">
                  <a14:compatExt spid="_x0000_s78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32" name="Button 608" hidden="1">
              <a:extLst>
                <a:ext uri="{63B3BB69-23CF-44E3-9099-C40C66FF867C}">
                  <a14:compatExt spid="_x0000_s78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63" name="Button 639" hidden="1">
              <a:extLst>
                <a:ext uri="{63B3BB69-23CF-44E3-9099-C40C66FF867C}">
                  <a14:compatExt spid="_x0000_s7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64" name="Button 640" hidden="1">
              <a:extLst>
                <a:ext uri="{63B3BB69-23CF-44E3-9099-C40C66FF867C}">
                  <a14:compatExt spid="_x0000_s7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95" name="Button 671" hidden="1">
              <a:extLst>
                <a:ext uri="{63B3BB69-23CF-44E3-9099-C40C66FF867C}">
                  <a14:compatExt spid="_x0000_s78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496" name="Button 672" hidden="1">
              <a:extLst>
                <a:ext uri="{63B3BB69-23CF-44E3-9099-C40C66FF867C}">
                  <a14:compatExt spid="_x0000_s78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27" name="Button 703" hidden="1">
              <a:extLst>
                <a:ext uri="{63B3BB69-23CF-44E3-9099-C40C66FF867C}">
                  <a14:compatExt spid="_x0000_s78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28" name="Button 704" hidden="1">
              <a:extLst>
                <a:ext uri="{63B3BB69-23CF-44E3-9099-C40C66FF867C}">
                  <a14:compatExt spid="_x0000_s78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59" name="Button 735" hidden="1">
              <a:extLst>
                <a:ext uri="{63B3BB69-23CF-44E3-9099-C40C66FF867C}">
                  <a14:compatExt spid="_x0000_s7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60" name="Button 736" hidden="1">
              <a:extLst>
                <a:ext uri="{63B3BB69-23CF-44E3-9099-C40C66FF867C}">
                  <a14:compatExt spid="_x0000_s7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91" name="Button 767" hidden="1">
              <a:extLst>
                <a:ext uri="{63B3BB69-23CF-44E3-9099-C40C66FF867C}">
                  <a14:compatExt spid="_x0000_s7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592" name="Button 768" hidden="1">
              <a:extLst>
                <a:ext uri="{63B3BB69-23CF-44E3-9099-C40C66FF867C}">
                  <a14:compatExt spid="_x0000_s7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23" name="Button 799" hidden="1">
              <a:extLst>
                <a:ext uri="{63B3BB69-23CF-44E3-9099-C40C66FF867C}">
                  <a14:compatExt spid="_x0000_s7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24" name="Button 800" hidden="1">
              <a:extLst>
                <a:ext uri="{63B3BB69-23CF-44E3-9099-C40C66FF867C}">
                  <a14:compatExt spid="_x0000_s7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55" name="Button 831" hidden="1">
              <a:extLst>
                <a:ext uri="{63B3BB69-23CF-44E3-9099-C40C66FF867C}">
                  <a14:compatExt spid="_x0000_s78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56" name="Button 832" hidden="1">
              <a:extLst>
                <a:ext uri="{63B3BB69-23CF-44E3-9099-C40C66FF867C}">
                  <a14:compatExt spid="_x0000_s78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87" name="Button 863" hidden="1">
              <a:extLst>
                <a:ext uri="{63B3BB69-23CF-44E3-9099-C40C66FF867C}">
                  <a14:compatExt spid="_x0000_s7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688" name="Button 864" hidden="1">
              <a:extLst>
                <a:ext uri="{63B3BB69-23CF-44E3-9099-C40C66FF867C}">
                  <a14:compatExt spid="_x0000_s7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19" name="Button 895" hidden="1">
              <a:extLst>
                <a:ext uri="{63B3BB69-23CF-44E3-9099-C40C66FF867C}">
                  <a14:compatExt spid="_x0000_s7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20" name="Button 896" hidden="1">
              <a:extLst>
                <a:ext uri="{63B3BB69-23CF-44E3-9099-C40C66FF867C}">
                  <a14:compatExt spid="_x0000_s7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51" name="Button 927" hidden="1">
              <a:extLst>
                <a:ext uri="{63B3BB69-23CF-44E3-9099-C40C66FF867C}">
                  <a14:compatExt spid="_x0000_s7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52" name="Button 928" hidden="1">
              <a:extLst>
                <a:ext uri="{63B3BB69-23CF-44E3-9099-C40C66FF867C}">
                  <a14:compatExt spid="_x0000_s7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83" name="Button 959" hidden="1">
              <a:extLst>
                <a:ext uri="{63B3BB69-23CF-44E3-9099-C40C66FF867C}">
                  <a14:compatExt spid="_x0000_s7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784" name="Button 960" hidden="1">
              <a:extLst>
                <a:ext uri="{63B3BB69-23CF-44E3-9099-C40C66FF867C}">
                  <a14:compatExt spid="_x0000_s7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15" name="Button 991" hidden="1">
              <a:extLst>
                <a:ext uri="{63B3BB69-23CF-44E3-9099-C40C66FF867C}">
                  <a14:compatExt spid="_x0000_s7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16" name="Button 992" hidden="1">
              <a:extLst>
                <a:ext uri="{63B3BB69-23CF-44E3-9099-C40C66FF867C}">
                  <a14:compatExt spid="_x0000_s7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47" name="Button 1023" hidden="1">
              <a:extLst>
                <a:ext uri="{63B3BB69-23CF-44E3-9099-C40C66FF867C}">
                  <a14:compatExt spid="_x0000_s78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48" name="Button 1024" hidden="1">
              <a:extLst>
                <a:ext uri="{63B3BB69-23CF-44E3-9099-C40C66FF867C}">
                  <a14:compatExt spid="_x0000_s78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79" name="Button 1055" hidden="1">
              <a:extLst>
                <a:ext uri="{63B3BB69-23CF-44E3-9099-C40C66FF867C}">
                  <a14:compatExt spid="_x0000_s7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880" name="Button 1056" hidden="1">
              <a:extLst>
                <a:ext uri="{63B3BB69-23CF-44E3-9099-C40C66FF867C}">
                  <a14:compatExt spid="_x0000_s7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11" name="Button 1087" hidden="1">
              <a:extLst>
                <a:ext uri="{63B3BB69-23CF-44E3-9099-C40C66FF867C}">
                  <a14:compatExt spid="_x0000_s78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12" name="Button 1088" hidden="1">
              <a:extLst>
                <a:ext uri="{63B3BB69-23CF-44E3-9099-C40C66FF867C}">
                  <a14:compatExt spid="_x0000_s7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43" name="Button 1119" hidden="1">
              <a:extLst>
                <a:ext uri="{63B3BB69-23CF-44E3-9099-C40C66FF867C}">
                  <a14:compatExt spid="_x0000_s7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44" name="Button 1120" hidden="1">
              <a:extLst>
                <a:ext uri="{63B3BB69-23CF-44E3-9099-C40C66FF867C}">
                  <a14:compatExt spid="_x0000_s7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75" name="Button 1151" hidden="1">
              <a:extLst>
                <a:ext uri="{63B3BB69-23CF-44E3-9099-C40C66FF867C}">
                  <a14:compatExt spid="_x0000_s7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8976" name="Button 1152" hidden="1">
              <a:extLst>
                <a:ext uri="{63B3BB69-23CF-44E3-9099-C40C66FF867C}">
                  <a14:compatExt spid="_x0000_s7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07" name="Button 1183" hidden="1">
              <a:extLst>
                <a:ext uri="{63B3BB69-23CF-44E3-9099-C40C66FF867C}">
                  <a14:compatExt spid="_x0000_s7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08" name="Button 1184" hidden="1">
              <a:extLst>
                <a:ext uri="{63B3BB69-23CF-44E3-9099-C40C66FF867C}">
                  <a14:compatExt spid="_x0000_s7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39" name="Button 1215" hidden="1">
              <a:extLst>
                <a:ext uri="{63B3BB69-23CF-44E3-9099-C40C66FF867C}">
                  <a14:compatExt spid="_x0000_s7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40" name="Button 1216" hidden="1">
              <a:extLst>
                <a:ext uri="{63B3BB69-23CF-44E3-9099-C40C66FF867C}">
                  <a14:compatExt spid="_x0000_s7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71" name="Button 1247" hidden="1">
              <a:extLst>
                <a:ext uri="{63B3BB69-23CF-44E3-9099-C40C66FF867C}">
                  <a14:compatExt spid="_x0000_s79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072" name="Button 1248" hidden="1">
              <a:extLst>
                <a:ext uri="{63B3BB69-23CF-44E3-9099-C40C66FF867C}">
                  <a14:compatExt spid="_x0000_s79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03" name="Button 1279" hidden="1">
              <a:extLst>
                <a:ext uri="{63B3BB69-23CF-44E3-9099-C40C66FF867C}">
                  <a14:compatExt spid="_x0000_s79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04" name="Button 1280" hidden="1">
              <a:extLst>
                <a:ext uri="{63B3BB69-23CF-44E3-9099-C40C66FF867C}">
                  <a14:compatExt spid="_x0000_s79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35" name="Button 1311" hidden="1">
              <a:extLst>
                <a:ext uri="{63B3BB69-23CF-44E3-9099-C40C66FF867C}">
                  <a14:compatExt spid="_x0000_s79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36" name="Button 1312" hidden="1">
              <a:extLst>
                <a:ext uri="{63B3BB69-23CF-44E3-9099-C40C66FF867C}">
                  <a14:compatExt spid="_x0000_s79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67" name="Button 1343" hidden="1">
              <a:extLst>
                <a:ext uri="{63B3BB69-23CF-44E3-9099-C40C66FF867C}">
                  <a14:compatExt spid="_x0000_s79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68" name="Button 1344" hidden="1">
              <a:extLst>
                <a:ext uri="{63B3BB69-23CF-44E3-9099-C40C66FF867C}">
                  <a14:compatExt spid="_x0000_s79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199" name="Button 1375" hidden="1">
              <a:extLst>
                <a:ext uri="{63B3BB69-23CF-44E3-9099-C40C66FF867C}">
                  <a14:compatExt spid="_x0000_s79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00" name="Button 1376" hidden="1">
              <a:extLst>
                <a:ext uri="{63B3BB69-23CF-44E3-9099-C40C66FF867C}">
                  <a14:compatExt spid="_x0000_s79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31" name="Button 1407" hidden="1">
              <a:extLst>
                <a:ext uri="{63B3BB69-23CF-44E3-9099-C40C66FF867C}">
                  <a14:compatExt spid="_x0000_s7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32" name="Button 1408" hidden="1">
              <a:extLst>
                <a:ext uri="{63B3BB69-23CF-44E3-9099-C40C66FF867C}">
                  <a14:compatExt spid="_x0000_s7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63" name="Button 1439" hidden="1">
              <a:extLst>
                <a:ext uri="{63B3BB69-23CF-44E3-9099-C40C66FF867C}">
                  <a14:compatExt spid="_x0000_s7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64" name="Button 1440" hidden="1">
              <a:extLst>
                <a:ext uri="{63B3BB69-23CF-44E3-9099-C40C66FF867C}">
                  <a14:compatExt spid="_x0000_s7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95" name="Button 1471" hidden="1">
              <a:extLst>
                <a:ext uri="{63B3BB69-23CF-44E3-9099-C40C66FF867C}">
                  <a14:compatExt spid="_x0000_s79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296" name="Button 1472" hidden="1">
              <a:extLst>
                <a:ext uri="{63B3BB69-23CF-44E3-9099-C40C66FF867C}">
                  <a14:compatExt spid="_x0000_s79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27" name="Button 1503" hidden="1">
              <a:extLst>
                <a:ext uri="{63B3BB69-23CF-44E3-9099-C40C66FF867C}">
                  <a14:compatExt spid="_x0000_s79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28" name="Button 1504" hidden="1">
              <a:extLst>
                <a:ext uri="{63B3BB69-23CF-44E3-9099-C40C66FF867C}">
                  <a14:compatExt spid="_x0000_s79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59" name="Button 1535" hidden="1">
              <a:extLst>
                <a:ext uri="{63B3BB69-23CF-44E3-9099-C40C66FF867C}">
                  <a14:compatExt spid="_x0000_s79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60" name="Button 1536" hidden="1">
              <a:extLst>
                <a:ext uri="{63B3BB69-23CF-44E3-9099-C40C66FF867C}">
                  <a14:compatExt spid="_x0000_s79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91" name="Button 1567" hidden="1">
              <a:extLst>
                <a:ext uri="{63B3BB69-23CF-44E3-9099-C40C66FF867C}">
                  <a14:compatExt spid="_x0000_s79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392" name="Button 1568" hidden="1">
              <a:extLst>
                <a:ext uri="{63B3BB69-23CF-44E3-9099-C40C66FF867C}">
                  <a14:compatExt spid="_x0000_s79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23" name="Button 1599" hidden="1">
              <a:extLst>
                <a:ext uri="{63B3BB69-23CF-44E3-9099-C40C66FF867C}">
                  <a14:compatExt spid="_x0000_s79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24" name="Button 1600" hidden="1">
              <a:extLst>
                <a:ext uri="{63B3BB69-23CF-44E3-9099-C40C66FF867C}">
                  <a14:compatExt spid="_x0000_s79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55" name="Button 1631" hidden="1">
              <a:extLst>
                <a:ext uri="{63B3BB69-23CF-44E3-9099-C40C66FF867C}">
                  <a14:compatExt spid="_x0000_s79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56" name="Button 1632" hidden="1">
              <a:extLst>
                <a:ext uri="{63B3BB69-23CF-44E3-9099-C40C66FF867C}">
                  <a14:compatExt spid="_x0000_s79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87" name="Button 1663" hidden="1">
              <a:extLst>
                <a:ext uri="{63B3BB69-23CF-44E3-9099-C40C66FF867C}">
                  <a14:compatExt spid="_x0000_s7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488" name="Button 1664" hidden="1">
              <a:extLst>
                <a:ext uri="{63B3BB69-23CF-44E3-9099-C40C66FF867C}">
                  <a14:compatExt spid="_x0000_s7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19" name="Button 1695" hidden="1">
              <a:extLst>
                <a:ext uri="{63B3BB69-23CF-44E3-9099-C40C66FF867C}">
                  <a14:compatExt spid="_x0000_s7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20" name="Button 1696" hidden="1">
              <a:extLst>
                <a:ext uri="{63B3BB69-23CF-44E3-9099-C40C66FF867C}">
                  <a14:compatExt spid="_x0000_s7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51" name="Button 1727" hidden="1">
              <a:extLst>
                <a:ext uri="{63B3BB69-23CF-44E3-9099-C40C66FF867C}">
                  <a14:compatExt spid="_x0000_s7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52" name="Button 1728" hidden="1">
              <a:extLst>
                <a:ext uri="{63B3BB69-23CF-44E3-9099-C40C66FF867C}">
                  <a14:compatExt spid="_x0000_s79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83" name="Button 1759" hidden="1">
              <a:extLst>
                <a:ext uri="{63B3BB69-23CF-44E3-9099-C40C66FF867C}">
                  <a14:compatExt spid="_x0000_s79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584" name="Button 1760" hidden="1">
              <a:extLst>
                <a:ext uri="{63B3BB69-23CF-44E3-9099-C40C66FF867C}">
                  <a14:compatExt spid="_x0000_s79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15" name="Button 1791" hidden="1">
              <a:extLst>
                <a:ext uri="{63B3BB69-23CF-44E3-9099-C40C66FF867C}">
                  <a14:compatExt spid="_x0000_s79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16" name="Button 1792" hidden="1">
              <a:extLst>
                <a:ext uri="{63B3BB69-23CF-44E3-9099-C40C66FF867C}">
                  <a14:compatExt spid="_x0000_s79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47" name="Button 1823" hidden="1">
              <a:extLst>
                <a:ext uri="{63B3BB69-23CF-44E3-9099-C40C66FF867C}">
                  <a14:compatExt spid="_x0000_s7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48" name="Button 1824" hidden="1">
              <a:extLst>
                <a:ext uri="{63B3BB69-23CF-44E3-9099-C40C66FF867C}">
                  <a14:compatExt spid="_x0000_s7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79" name="Button 1855" hidden="1">
              <a:extLst>
                <a:ext uri="{63B3BB69-23CF-44E3-9099-C40C66FF867C}">
                  <a14:compatExt spid="_x0000_s79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680" name="Button 1856" hidden="1">
              <a:extLst>
                <a:ext uri="{63B3BB69-23CF-44E3-9099-C40C66FF867C}">
                  <a14:compatExt spid="_x0000_s79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711" name="Button 1887" hidden="1">
              <a:extLst>
                <a:ext uri="{63B3BB69-23CF-44E3-9099-C40C66FF867C}">
                  <a14:compatExt spid="_x0000_s7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31750</xdr:rowOff>
        </xdr:from>
        <xdr:to>
          <xdr:col>24</xdr:col>
          <xdr:colOff>0</xdr:colOff>
          <xdr:row>3</xdr:row>
          <xdr:rowOff>31750</xdr:rowOff>
        </xdr:to>
        <xdr:sp macro="" textlink="">
          <xdr:nvSpPr>
            <xdr:cNvPr id="79712" name="Button 1888" hidden="1">
              <a:extLst>
                <a:ext uri="{63B3BB69-23CF-44E3-9099-C40C66FF867C}">
                  <a14:compatExt spid="_x0000_s7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внутригрупповых контрагентов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</xdr:row>
          <xdr:rowOff>152400</xdr:rowOff>
        </xdr:from>
        <xdr:to>
          <xdr:col>8</xdr:col>
          <xdr:colOff>1714500</xdr:colOff>
          <xdr:row>2</xdr:row>
          <xdr:rowOff>266700</xdr:rowOff>
        </xdr:to>
        <xdr:sp macro="" textlink="">
          <xdr:nvSpPr>
            <xdr:cNvPr id="79743" name="Button 1919" hidden="1">
              <a:extLst>
                <a:ext uri="{63B3BB69-23CF-44E3-9099-C40C66FF867C}">
                  <a14:compatExt spid="_x0000_s79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</xdr:row>
          <xdr:rowOff>146050</xdr:rowOff>
        </xdr:from>
        <xdr:to>
          <xdr:col>6</xdr:col>
          <xdr:colOff>1670050</xdr:colOff>
          <xdr:row>2</xdr:row>
          <xdr:rowOff>266700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1</xdr:row>
          <xdr:rowOff>69850</xdr:rowOff>
        </xdr:from>
        <xdr:to>
          <xdr:col>4</xdr:col>
          <xdr:colOff>152400</xdr:colOff>
          <xdr:row>2</xdr:row>
          <xdr:rowOff>107950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1136650</xdr:colOff>
          <xdr:row>2</xdr:row>
          <xdr:rowOff>38100</xdr:rowOff>
        </xdr:from>
        <xdr:to>
          <xdr:col>4</xdr:col>
          <xdr:colOff>1174750</xdr:colOff>
          <xdr:row>3</xdr:row>
          <xdr:rowOff>107950</xdr:rowOff>
        </xdr:to>
        <xdr:sp macro="" textlink="">
          <xdr:nvSpPr>
            <xdr:cNvPr id="91164" name="Button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1403350</xdr:colOff>
          <xdr:row>2</xdr:row>
          <xdr:rowOff>69850</xdr:rowOff>
        </xdr:from>
        <xdr:to>
          <xdr:col>2</xdr:col>
          <xdr:colOff>2851150</xdr:colOff>
          <xdr:row>3</xdr:row>
          <xdr:rowOff>184150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1066800</xdr:colOff>
          <xdr:row>2</xdr:row>
          <xdr:rowOff>107950</xdr:rowOff>
        </xdr:from>
        <xdr:to>
          <xdr:col>6</xdr:col>
          <xdr:colOff>1136650</xdr:colOff>
          <xdr:row>4</xdr:row>
          <xdr:rowOff>69850</xdr:rowOff>
        </xdr:to>
        <xdr:sp macro="" textlink="">
          <xdr:nvSpPr>
            <xdr:cNvPr id="95252" name="Button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298450</xdr:colOff>
          <xdr:row>2</xdr:row>
          <xdr:rowOff>0</xdr:rowOff>
        </xdr:from>
        <xdr:to>
          <xdr:col>9</xdr:col>
          <xdr:colOff>336550</xdr:colOff>
          <xdr:row>3</xdr:row>
          <xdr:rowOff>146050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4</xdr:row>
          <xdr:rowOff>146050</xdr:rowOff>
        </xdr:from>
        <xdr:to>
          <xdr:col>6</xdr:col>
          <xdr:colOff>1371600</xdr:colOff>
          <xdr:row>7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76200</xdr:rowOff>
        </xdr:from>
        <xdr:to>
          <xdr:col>4</xdr:col>
          <xdr:colOff>488950</xdr:colOff>
          <xdr:row>4</xdr:row>
          <xdr:rowOff>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</xdr:row>
          <xdr:rowOff>107950</xdr:rowOff>
        </xdr:from>
        <xdr:to>
          <xdr:col>3</xdr:col>
          <xdr:colOff>1600200</xdr:colOff>
          <xdr:row>4</xdr:row>
          <xdr:rowOff>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603250</xdr:colOff>
          <xdr:row>2</xdr:row>
          <xdr:rowOff>107950</xdr:rowOff>
        </xdr:from>
        <xdr:to>
          <xdr:col>7</xdr:col>
          <xdr:colOff>2012950</xdr:colOff>
          <xdr:row>3</xdr:row>
          <xdr:rowOff>76200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2</xdr:row>
          <xdr:rowOff>107950</xdr:rowOff>
        </xdr:from>
        <xdr:to>
          <xdr:col>9</xdr:col>
          <xdr:colOff>533400</xdr:colOff>
          <xdr:row>4</xdr:row>
          <xdr:rowOff>0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1</xdr:row>
          <xdr:rowOff>146050</xdr:rowOff>
        </xdr:from>
        <xdr:to>
          <xdr:col>5</xdr:col>
          <xdr:colOff>2241550</xdr:colOff>
          <xdr:row>3</xdr:row>
          <xdr:rowOff>69850</xdr:rowOff>
        </xdr:to>
        <xdr:sp macro="" textlink="">
          <xdr:nvSpPr>
            <xdr:cNvPr id="140294" name="Button 6" hidden="1">
              <a:extLst>
                <a:ext uri="{63B3BB69-23CF-44E3-9099-C40C66FF867C}">
                  <a14:compatExt spid="_x0000_s140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184150</xdr:colOff>
          <xdr:row>4</xdr:row>
          <xdr:rowOff>69850</xdr:rowOff>
        </xdr:from>
        <xdr:to>
          <xdr:col>5</xdr:col>
          <xdr:colOff>1593850</xdr:colOff>
          <xdr:row>4</xdr:row>
          <xdr:rowOff>374650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107950</xdr:colOff>
          <xdr:row>1</xdr:row>
          <xdr:rowOff>184150</xdr:rowOff>
        </xdr:from>
        <xdr:to>
          <xdr:col>7</xdr:col>
          <xdr:colOff>488950</xdr:colOff>
          <xdr:row>2</xdr:row>
          <xdr:rowOff>298450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908050</xdr:colOff>
          <xdr:row>2</xdr:row>
          <xdr:rowOff>0</xdr:rowOff>
        </xdr:from>
        <xdr:to>
          <xdr:col>4</xdr:col>
          <xdr:colOff>952500</xdr:colOff>
          <xdr:row>3</xdr:row>
          <xdr:rowOff>114300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2</xdr:row>
          <xdr:rowOff>69850</xdr:rowOff>
        </xdr:from>
        <xdr:to>
          <xdr:col>6</xdr:col>
          <xdr:colOff>723900</xdr:colOff>
          <xdr:row>3</xdr:row>
          <xdr:rowOff>69850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107950</xdr:colOff>
          <xdr:row>2</xdr:row>
          <xdr:rowOff>31750</xdr:rowOff>
        </xdr:from>
        <xdr:to>
          <xdr:col>18</xdr:col>
          <xdr:colOff>717550</xdr:colOff>
          <xdr:row>3</xdr:row>
          <xdr:rowOff>31750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222250</xdr:colOff>
          <xdr:row>3</xdr:row>
          <xdr:rowOff>69850</xdr:rowOff>
        </xdr:from>
        <xdr:to>
          <xdr:col>11</xdr:col>
          <xdr:colOff>1670050</xdr:colOff>
          <xdr:row>4</xdr:row>
          <xdr:rowOff>69850</xdr:rowOff>
        </xdr:to>
        <xdr:sp macro="" textlink="">
          <xdr:nvSpPr>
            <xdr:cNvPr id="1536004" name="Button 4" hidden="1">
              <a:extLst>
                <a:ext uri="{63B3BB69-23CF-44E3-9099-C40C66FF867C}">
                  <a14:compatExt spid="_x0000_s1536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строку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znfs.gk.rosatom.local\PROFILE\NiVKozlov\Profile\Desktop\&#1047;&#1072;&#1088;&#1091;&#1073;&#1077;&#1078;&#1085;&#1072;&#1103;&#1042;&#1099;&#1088;&#1091;&#1095;&#1082;&#1072;_&#1050;&#1086;&#1076;&#1050;&#1086;&#1084;&#1087;&#1072;&#1085;&#1080;&#1080;_&#1044;&#1044;&#1052;&#1052;&#1043;&#1043;&#1043;&#1043;_V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k\Users\PeAZverev\Desktop\&#1050;&#1086;&#1087;&#1080;&#1103;%20&#1060;&#1057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6;&#1077;&#1089;&#1091;&#1088;&#1089;&#1099;%20&#1087;&#1086;&#1076;&#1088;&#1072;&#1079;&#1076;&#1077;&#1083;&#1077;&#1085;&#1080;&#1081;\&#1041;&#1091;&#1093;&#1075;&#1072;&#1083;&#1090;&#1077;&#1088;&#1080;&#1103;\&#1055;&#1088;&#1086;&#1077;&#1082;&#1090;%20&#1052;&#1057;&#1060;&#1054;\8.%20&#1054;&#1090;&#1095;&#1077;&#1090;&#1085;&#1086;&#1089;&#1090;&#1100;\8.2%20&#1056;&#1057;&#1041;&#1059;\41.%20&#1060;&#1057;&#1044;%209%20&#1084;&#1077;&#1089;&#1103;&#1094;&#1077;&#1074;%202020\03.%209%20&#1084;&#1077;&#1089;&#1103;&#1094;&#1077;&#1074;%202020\&#1060;&#1057;&#1044;%20&#1088;&#1072;&#1089;&#1089;&#1099;&#1083;&#1082;&#1072;\&#1060;&#1057;&#1044;_&#1050;&#1086;&#1076;&#1050;&#1086;&#1084;&#1087;&#1072;&#1085;&#1080;&#1080;_&#1044;&#1044;&#1052;&#1052;&#1043;&#1043;&#1043;&#1043;_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k\Users\PeAZverev\Desktop\2018\&#1060;&#1057;&#104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znfs.gk.rosatom.local\PROFILE\&#1056;&#1077;&#1089;&#1091;&#1088;&#1089;&#1099;%20&#1087;&#1086;&#1076;&#1088;&#1072;&#1079;&#1076;&#1077;&#1083;&#1077;&#1085;&#1080;&#1081;\&#1041;&#1091;&#1093;&#1075;&#1072;&#1083;&#1090;&#1077;&#1088;&#1080;&#1103;\&#1055;&#1088;&#1086;&#1077;&#1082;&#1090;%20&#1052;&#1057;&#1060;&#1054;\8.%20&#1054;&#1090;&#1095;&#1077;&#1090;&#1085;&#1086;&#1089;&#1090;&#1100;\8.2%20&#1056;&#1057;&#1041;&#1059;\43.%20&#1060;&#1057;&#1044;%201%20&#1082;&#1074;&#1072;&#1088;&#1090;&#1072;&#1083;%202021\03.%201%20&#1082;&#1074;&#1072;&#1088;&#1090;&#1072;&#1083;%202021\&#1044;&#1083;&#1103;%20&#1080;&#1079;&#1084;&#1077;&#1085;&#1077;&#1085;&#1080;&#1081;\&#1085;&#1072;%2021%20&#1075;&#1086;&#1076;\&#1051;&#1080;&#1089;&#1090;%20&#1085;&#1072;&#1079;&#1099;&#1074;&#1072;&#1077;&#1084;%20&#171;08_&#1053;&#1048;&#1054;&#1050;&#1056;&#187;\08_&#1053;&#1048;&#1054;&#1050;&#1056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6;&#1077;&#1089;&#1091;&#1088;&#1089;&#1099;%20&#1087;&#1086;&#1076;&#1088;&#1072;&#1079;&#1076;&#1077;&#1083;&#1077;&#1085;&#1080;&#1081;/&#1041;&#1091;&#1093;&#1075;&#1072;&#1083;&#1090;&#1077;&#1088;&#1080;&#1103;/&#1055;&#1088;&#1086;&#1077;&#1082;&#1090;%20&#1052;&#1057;&#1060;&#1054;/8.%20&#1054;&#1090;&#1095;&#1077;&#1090;&#1085;&#1086;&#1089;&#1090;&#1100;/8.2%20&#1056;&#1057;&#1041;&#1059;/50.%20&#1060;&#1057;&#1044;%20&#1043;&#1054;&#1044;%202022/&#1043;&#1054;&#1044;%202022/&#1043;&#1054;&#1044;%202023_&#1060;&#1057;&#1044;_&#1050;&#1086;&#1076;&#1050;&#1086;&#1084;&#1087;&#1072;&#1085;&#1080;&#1080;_&#1044;&#1044;&#1052;&#1052;&#1043;&#1043;&#1043;&#1043;_&#1083;&#1080;&#1089;&#1090;&#1072;%2010_&#1088;&#1072;&#1089;&#1096;_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убежная выручка"/>
      <sheetName val="Справочники"/>
      <sheetName val="Список_компаний"/>
    </sheetNames>
    <sheetDataSet>
      <sheetData sheetId="0"/>
      <sheetData sheetId="1">
        <row r="2">
          <cell r="E2" t="str">
            <v>1 квартал 2021</v>
          </cell>
        </row>
        <row r="4">
          <cell r="C4" t="str">
            <v>{AB} Абхазия</v>
          </cell>
        </row>
        <row r="5">
          <cell r="C5" t="str">
            <v>{AD} Андорра</v>
          </cell>
        </row>
        <row r="6">
          <cell r="C6" t="str">
            <v>{AE} ОАЭ</v>
          </cell>
        </row>
        <row r="7">
          <cell r="C7" t="str">
            <v>{AF} Афганистан</v>
          </cell>
        </row>
        <row r="8">
          <cell r="C8" t="str">
            <v>{AG} Антигуа/Бар</v>
          </cell>
        </row>
        <row r="9">
          <cell r="C9" t="str">
            <v>{AI} Ангилья</v>
          </cell>
        </row>
        <row r="10">
          <cell r="C10" t="str">
            <v>{AL} Албания</v>
          </cell>
        </row>
        <row r="11">
          <cell r="C11" t="str">
            <v>{AM} Армения</v>
          </cell>
        </row>
        <row r="12">
          <cell r="C12" t="str">
            <v>{AN} Антил.(Нид</v>
          </cell>
        </row>
        <row r="13">
          <cell r="C13" t="str">
            <v>{AO} Ангола</v>
          </cell>
        </row>
        <row r="14">
          <cell r="C14" t="str">
            <v>{AQ} Антарктика</v>
          </cell>
        </row>
        <row r="15">
          <cell r="C15" t="str">
            <v>{AR} Аргентина</v>
          </cell>
        </row>
        <row r="16">
          <cell r="C16" t="str">
            <v>{AS} Амер.Самоа</v>
          </cell>
        </row>
        <row r="17">
          <cell r="C17" t="str">
            <v>{AT} Австрия</v>
          </cell>
        </row>
        <row r="18">
          <cell r="C18" t="str">
            <v>{AU} Австралия</v>
          </cell>
        </row>
        <row r="19">
          <cell r="C19" t="str">
            <v>{AW} Аруба</v>
          </cell>
        </row>
        <row r="20">
          <cell r="C20" t="str">
            <v>{AX} Эландскиео</v>
          </cell>
        </row>
        <row r="21">
          <cell r="C21" t="str">
            <v>{AZ} Азербайджан</v>
          </cell>
        </row>
        <row r="22">
          <cell r="C22" t="str">
            <v>{BA} Босния-Герц</v>
          </cell>
        </row>
        <row r="23">
          <cell r="C23" t="str">
            <v>{BB} Барбадос</v>
          </cell>
        </row>
        <row r="24">
          <cell r="C24" t="str">
            <v>{BD} Бангладеш</v>
          </cell>
        </row>
        <row r="25">
          <cell r="C25" t="str">
            <v>{BE} Бельгия</v>
          </cell>
        </row>
        <row r="26">
          <cell r="C26" t="str">
            <v>{BF} Буркина-Фас</v>
          </cell>
        </row>
        <row r="27">
          <cell r="C27" t="str">
            <v>{BG} Болгария</v>
          </cell>
        </row>
        <row r="28">
          <cell r="C28" t="str">
            <v>{BH} Бахрейн</v>
          </cell>
        </row>
        <row r="29">
          <cell r="C29" t="str">
            <v>{BI} Бурунди</v>
          </cell>
        </row>
        <row r="30">
          <cell r="C30" t="str">
            <v>{BJ} Бенин</v>
          </cell>
        </row>
        <row r="31">
          <cell r="C31" t="str">
            <v>{BL} Сен-Бартеле</v>
          </cell>
        </row>
        <row r="32">
          <cell r="C32" t="str">
            <v>{BM} Бермудcкие</v>
          </cell>
        </row>
        <row r="33">
          <cell r="C33" t="str">
            <v>{BN} Бруней</v>
          </cell>
        </row>
        <row r="34">
          <cell r="C34" t="str">
            <v>{BO} Боливия</v>
          </cell>
        </row>
        <row r="35">
          <cell r="C35" t="str">
            <v>{BQ} Бонэйр</v>
          </cell>
        </row>
        <row r="36">
          <cell r="C36" t="str">
            <v>{BR} Бразилия</v>
          </cell>
        </row>
        <row r="37">
          <cell r="C37" t="str">
            <v>{BS} Багамcкиео</v>
          </cell>
        </row>
        <row r="38">
          <cell r="C38" t="str">
            <v>{BT} Бутан</v>
          </cell>
        </row>
        <row r="39">
          <cell r="C39" t="str">
            <v>{BV} о.Буве</v>
          </cell>
        </row>
        <row r="40">
          <cell r="C40" t="str">
            <v>{BW} Ботсвана</v>
          </cell>
        </row>
        <row r="41">
          <cell r="C41" t="str">
            <v>{BY} Беларусь</v>
          </cell>
        </row>
        <row r="42">
          <cell r="C42" t="str">
            <v>{BZ} Белиз</v>
          </cell>
        </row>
        <row r="43">
          <cell r="C43" t="str">
            <v>{CA} Канада</v>
          </cell>
        </row>
        <row r="44">
          <cell r="C44" t="str">
            <v>{CC} Кокосовыео</v>
          </cell>
        </row>
        <row r="45">
          <cell r="C45" t="str">
            <v>{CD} Респ.Конго</v>
          </cell>
        </row>
        <row r="46">
          <cell r="C46" t="str">
            <v>{CF} ЦАР</v>
          </cell>
        </row>
        <row r="47">
          <cell r="C47" t="str">
            <v>{CG} Конго</v>
          </cell>
        </row>
        <row r="48">
          <cell r="C48" t="str">
            <v>{CH} Швейцария</v>
          </cell>
        </row>
        <row r="49">
          <cell r="C49" t="str">
            <v>{CI} Кот-д'Ивуар</v>
          </cell>
        </row>
        <row r="50">
          <cell r="C50" t="str">
            <v>{CK} О-ваКука</v>
          </cell>
        </row>
        <row r="51">
          <cell r="C51" t="str">
            <v>{CL} Чили</v>
          </cell>
        </row>
        <row r="52">
          <cell r="C52" t="str">
            <v>{CM} Камерун</v>
          </cell>
        </row>
        <row r="53">
          <cell r="C53" t="str">
            <v>{CN} Китай</v>
          </cell>
        </row>
        <row r="54">
          <cell r="C54" t="str">
            <v>{CO} Колумбия</v>
          </cell>
        </row>
        <row r="55">
          <cell r="C55" t="str">
            <v>{CR} Коста-Рика</v>
          </cell>
        </row>
        <row r="56">
          <cell r="C56" t="str">
            <v>{CS} Серб./Черногор</v>
          </cell>
        </row>
        <row r="57">
          <cell r="C57" t="str">
            <v>{CU} Куба</v>
          </cell>
        </row>
        <row r="58">
          <cell r="C58" t="str">
            <v>{CV} Кабо-Верде</v>
          </cell>
        </row>
        <row r="59">
          <cell r="C59" t="str">
            <v>{CW} Кюрасао</v>
          </cell>
        </row>
        <row r="60">
          <cell r="C60" t="str">
            <v>{CX} О.Рождеств</v>
          </cell>
        </row>
        <row r="61">
          <cell r="C61" t="str">
            <v>{CY} Кипр</v>
          </cell>
        </row>
        <row r="62">
          <cell r="C62" t="str">
            <v>{CZ} Чехия</v>
          </cell>
        </row>
        <row r="63">
          <cell r="C63" t="str">
            <v>{DE} Германия</v>
          </cell>
        </row>
        <row r="64">
          <cell r="C64" t="str">
            <v>{DJ} Джибути</v>
          </cell>
        </row>
        <row r="65">
          <cell r="C65" t="str">
            <v>{DK} Дания</v>
          </cell>
        </row>
        <row r="66">
          <cell r="C66" t="str">
            <v>{DM} Доминика</v>
          </cell>
        </row>
        <row r="67">
          <cell r="C67" t="str">
            <v>{DO} Доминик.ре</v>
          </cell>
        </row>
        <row r="68">
          <cell r="C68" t="str">
            <v>{DZ} Алжир</v>
          </cell>
        </row>
        <row r="69">
          <cell r="C69" t="str">
            <v>{EC} Эквадор</v>
          </cell>
        </row>
        <row r="70">
          <cell r="C70" t="str">
            <v>{EE} Эстония</v>
          </cell>
        </row>
        <row r="71">
          <cell r="C71" t="str">
            <v>{EG} Египет</v>
          </cell>
        </row>
        <row r="72">
          <cell r="C72" t="str">
            <v>{EH} Зап.-сахарс</v>
          </cell>
        </row>
        <row r="73">
          <cell r="C73" t="str">
            <v>{ER} Эритрея</v>
          </cell>
        </row>
        <row r="74">
          <cell r="C74" t="str">
            <v>{ES} Испания</v>
          </cell>
        </row>
        <row r="75">
          <cell r="C75" t="str">
            <v>{ET} Эфиопия</v>
          </cell>
        </row>
        <row r="76">
          <cell r="C76" t="str">
            <v>{EU} Европ.Союз</v>
          </cell>
        </row>
        <row r="77">
          <cell r="C77" t="str">
            <v>{FI} Финляндия</v>
          </cell>
        </row>
        <row r="78">
          <cell r="C78" t="str">
            <v>{FJ} Фиджи</v>
          </cell>
        </row>
        <row r="79">
          <cell r="C79" t="str">
            <v>{FK} Фолкленд.о</v>
          </cell>
        </row>
        <row r="80">
          <cell r="C80" t="str">
            <v>{FM} Микронезия</v>
          </cell>
        </row>
        <row r="81">
          <cell r="C81" t="str">
            <v>{FO} Фареры</v>
          </cell>
        </row>
        <row r="82">
          <cell r="C82" t="str">
            <v>{FR} Франция</v>
          </cell>
        </row>
        <row r="83">
          <cell r="C83" t="str">
            <v>{GA} Габон</v>
          </cell>
        </row>
        <row r="84">
          <cell r="C84" t="str">
            <v>{GB} Соед.Корол</v>
          </cell>
        </row>
        <row r="85">
          <cell r="C85" t="str">
            <v>{GD} Гренада</v>
          </cell>
        </row>
        <row r="86">
          <cell r="C86" t="str">
            <v>{GE} Грузия</v>
          </cell>
        </row>
        <row r="87">
          <cell r="C87" t="str">
            <v>{GF} Франц.Гайа</v>
          </cell>
        </row>
        <row r="88">
          <cell r="C88" t="str">
            <v>{GG} Гернси</v>
          </cell>
        </row>
        <row r="89">
          <cell r="C89" t="str">
            <v>{GH} Гана</v>
          </cell>
        </row>
        <row r="90">
          <cell r="C90" t="str">
            <v>{GI} Гибралтар</v>
          </cell>
        </row>
        <row r="91">
          <cell r="C91" t="str">
            <v>{GL} Гренландия</v>
          </cell>
        </row>
        <row r="92">
          <cell r="C92" t="str">
            <v>{GM} Гамбия</v>
          </cell>
        </row>
        <row r="93">
          <cell r="C93" t="str">
            <v>{GN} Гвинея</v>
          </cell>
        </row>
        <row r="94">
          <cell r="C94" t="str">
            <v>{GP} Гваделупа</v>
          </cell>
        </row>
        <row r="95">
          <cell r="C95" t="str">
            <v>{GQ} Экват.Гвин</v>
          </cell>
        </row>
        <row r="96">
          <cell r="C96" t="str">
            <v>{GR} Греция</v>
          </cell>
        </row>
        <row r="97">
          <cell r="C97" t="str">
            <v>{GS} Сэндвичевы</v>
          </cell>
        </row>
        <row r="98">
          <cell r="C98" t="str">
            <v>{GT} Гватемала</v>
          </cell>
        </row>
        <row r="99">
          <cell r="C99" t="str">
            <v>{GU} Гуам</v>
          </cell>
        </row>
        <row r="100">
          <cell r="C100" t="str">
            <v>{GW} Гвинея-Биса</v>
          </cell>
        </row>
        <row r="101">
          <cell r="C101" t="str">
            <v>{GY} Гайана</v>
          </cell>
        </row>
        <row r="102">
          <cell r="C102" t="str">
            <v>{HK} Гонконг</v>
          </cell>
        </row>
        <row r="103">
          <cell r="C103" t="str">
            <v>{HM} о.Херд</v>
          </cell>
        </row>
        <row r="104">
          <cell r="C104" t="str">
            <v>{HN} Гондурас</v>
          </cell>
        </row>
        <row r="105">
          <cell r="C105" t="str">
            <v>{HR} Хорватия</v>
          </cell>
        </row>
        <row r="106">
          <cell r="C106" t="str">
            <v>{HT} Гаити</v>
          </cell>
        </row>
        <row r="107">
          <cell r="C107" t="str">
            <v>{HU} Венгрия</v>
          </cell>
        </row>
        <row r="108">
          <cell r="C108" t="str">
            <v>{ID} Индонезия</v>
          </cell>
        </row>
        <row r="109">
          <cell r="C109" t="str">
            <v>{IE} Ирландия</v>
          </cell>
        </row>
        <row r="110">
          <cell r="C110" t="str">
            <v>{IL} Израиль</v>
          </cell>
        </row>
        <row r="111">
          <cell r="C111" t="str">
            <v>{IM} ОстровМэн</v>
          </cell>
        </row>
        <row r="112">
          <cell r="C112" t="str">
            <v>{IN} Индия</v>
          </cell>
        </row>
        <row r="113">
          <cell r="C113" t="str">
            <v>{IO} БритТеррИн</v>
          </cell>
        </row>
        <row r="114">
          <cell r="C114" t="str">
            <v>{IQ} Ирак</v>
          </cell>
        </row>
        <row r="115">
          <cell r="C115" t="str">
            <v>{IR} Иран</v>
          </cell>
        </row>
        <row r="116">
          <cell r="C116" t="str">
            <v>{IS} Исландия</v>
          </cell>
        </row>
        <row r="117">
          <cell r="C117" t="str">
            <v>{IT} Италия</v>
          </cell>
        </row>
        <row r="118">
          <cell r="C118" t="str">
            <v>{JE} Джерси</v>
          </cell>
        </row>
        <row r="119">
          <cell r="C119" t="str">
            <v>{JM} Ямайка</v>
          </cell>
        </row>
        <row r="120">
          <cell r="C120" t="str">
            <v>{JO} Иордания</v>
          </cell>
        </row>
        <row r="121">
          <cell r="C121" t="str">
            <v>{JP} Япония</v>
          </cell>
        </row>
        <row r="122">
          <cell r="C122" t="str">
            <v>{KE} Кения</v>
          </cell>
        </row>
        <row r="123">
          <cell r="C123" t="str">
            <v>{KG} Киргизия</v>
          </cell>
        </row>
        <row r="124">
          <cell r="C124" t="str">
            <v>{KH} Камбоджа</v>
          </cell>
        </row>
        <row r="125">
          <cell r="C125" t="str">
            <v>{KI} Кирибати</v>
          </cell>
        </row>
        <row r="126">
          <cell r="C126" t="str">
            <v>{KM} Коморскиео</v>
          </cell>
        </row>
        <row r="127">
          <cell r="C127" t="str">
            <v>{KN} Ст.Киттс&amp;Н</v>
          </cell>
        </row>
        <row r="128">
          <cell r="C128" t="str">
            <v>{KP} СевернаяКо</v>
          </cell>
        </row>
        <row r="129">
          <cell r="C129" t="str">
            <v>{KR} ЮжнаяКорея</v>
          </cell>
        </row>
        <row r="130">
          <cell r="C130" t="str">
            <v>{KW} Кувейт</v>
          </cell>
        </row>
        <row r="131">
          <cell r="C131" t="str">
            <v>{KY} Каймановыо</v>
          </cell>
        </row>
        <row r="132">
          <cell r="C132" t="str">
            <v>{KZ} Казахстан</v>
          </cell>
        </row>
        <row r="133">
          <cell r="C133" t="str">
            <v>{LA} Лаос</v>
          </cell>
        </row>
        <row r="134">
          <cell r="C134" t="str">
            <v>{LB} Ливан</v>
          </cell>
        </row>
        <row r="135">
          <cell r="C135" t="str">
            <v>{LC} Сент-Люсия</v>
          </cell>
        </row>
        <row r="136">
          <cell r="C136" t="str">
            <v>{LI} Лихтенштейн</v>
          </cell>
        </row>
        <row r="137">
          <cell r="C137" t="str">
            <v>{LK} Шри-Ланка</v>
          </cell>
        </row>
        <row r="138">
          <cell r="C138" t="str">
            <v>{LR} Либерия</v>
          </cell>
        </row>
        <row r="139">
          <cell r="C139" t="str">
            <v>{LS} Лесото</v>
          </cell>
        </row>
        <row r="140">
          <cell r="C140" t="str">
            <v>{LT} Литва</v>
          </cell>
        </row>
        <row r="141">
          <cell r="C141" t="str">
            <v>{LU} Люксембург</v>
          </cell>
        </row>
        <row r="142">
          <cell r="C142" t="str">
            <v>{LV} Латвия</v>
          </cell>
        </row>
        <row r="143">
          <cell r="C143" t="str">
            <v>{LY} Ливия</v>
          </cell>
        </row>
        <row r="144">
          <cell r="C144" t="str">
            <v>{MA} Марокко</v>
          </cell>
        </row>
        <row r="145">
          <cell r="C145" t="str">
            <v>{MC} Монако</v>
          </cell>
        </row>
        <row r="146">
          <cell r="C146" t="str">
            <v>{MD} Молдавия</v>
          </cell>
        </row>
        <row r="147">
          <cell r="C147" t="str">
            <v>{ME} Черногория</v>
          </cell>
        </row>
        <row r="148">
          <cell r="C148" t="str">
            <v>{MG} Мадагаскар</v>
          </cell>
        </row>
        <row r="149">
          <cell r="C149" t="str">
            <v>{MH} Маршалловы</v>
          </cell>
        </row>
        <row r="150">
          <cell r="C150" t="str">
            <v>{MK} Македония</v>
          </cell>
        </row>
        <row r="151">
          <cell r="C151" t="str">
            <v>{ML} Мали</v>
          </cell>
        </row>
        <row r="152">
          <cell r="C152" t="str">
            <v>{MM} Мьянма</v>
          </cell>
        </row>
        <row r="153">
          <cell r="C153" t="str">
            <v>{MN} Монголия</v>
          </cell>
        </row>
        <row r="154">
          <cell r="C154" t="str">
            <v>{MO} Макао</v>
          </cell>
        </row>
        <row r="155">
          <cell r="C155" t="str">
            <v>{MP} С.-Мариан.</v>
          </cell>
        </row>
        <row r="156">
          <cell r="C156" t="str">
            <v>{MQ} Мартиника</v>
          </cell>
        </row>
        <row r="157">
          <cell r="C157" t="str">
            <v>{MR} Мавритания</v>
          </cell>
        </row>
        <row r="158">
          <cell r="C158" t="str">
            <v>{MS} Монтсеррат</v>
          </cell>
        </row>
        <row r="159">
          <cell r="C159" t="str">
            <v>{MT} Мальта</v>
          </cell>
        </row>
        <row r="160">
          <cell r="C160" t="str">
            <v>{MU} Маврикий</v>
          </cell>
        </row>
        <row r="161">
          <cell r="C161" t="str">
            <v>{MV} Мальдивск.</v>
          </cell>
        </row>
        <row r="162">
          <cell r="C162" t="str">
            <v>{MW} Малави</v>
          </cell>
        </row>
        <row r="163">
          <cell r="C163" t="str">
            <v>{MX} Мексика</v>
          </cell>
        </row>
        <row r="164">
          <cell r="C164" t="str">
            <v>{MY} Малайзия</v>
          </cell>
        </row>
        <row r="165">
          <cell r="C165" t="str">
            <v>{MZ} Мозамбик</v>
          </cell>
        </row>
        <row r="166">
          <cell r="C166" t="str">
            <v>{NA} Намибия</v>
          </cell>
        </row>
        <row r="167">
          <cell r="C167" t="str">
            <v>{NC} НоваяКалед</v>
          </cell>
        </row>
        <row r="168">
          <cell r="C168" t="str">
            <v>{NE} Нигер</v>
          </cell>
        </row>
        <row r="169">
          <cell r="C169" t="str">
            <v>{NF} О.Норфолк</v>
          </cell>
        </row>
        <row r="170">
          <cell r="C170" t="str">
            <v>{NG} Нигерия</v>
          </cell>
        </row>
        <row r="171">
          <cell r="C171" t="str">
            <v>{NI} Никарагуа</v>
          </cell>
        </row>
        <row r="172">
          <cell r="C172" t="str">
            <v>{NL} Нидерланды</v>
          </cell>
        </row>
        <row r="173">
          <cell r="C173" t="str">
            <v>{NO} Норвегия</v>
          </cell>
        </row>
        <row r="174">
          <cell r="C174" t="str">
            <v>{NP} Непал</v>
          </cell>
        </row>
        <row r="175">
          <cell r="C175" t="str">
            <v>{NR} Науру</v>
          </cell>
        </row>
        <row r="176">
          <cell r="C176" t="str">
            <v>{NT} НАТО</v>
          </cell>
        </row>
        <row r="177">
          <cell r="C177" t="str">
            <v>{NU} Ниуэ</v>
          </cell>
        </row>
        <row r="178">
          <cell r="C178" t="str">
            <v>{NZ} НоваяЗелан</v>
          </cell>
        </row>
        <row r="179">
          <cell r="C179" t="str">
            <v>{OM} Оман</v>
          </cell>
        </row>
        <row r="180">
          <cell r="C180" t="str">
            <v>{OR} Оранжевый</v>
          </cell>
        </row>
        <row r="181">
          <cell r="C181" t="str">
            <v>{PA} Панама</v>
          </cell>
        </row>
        <row r="182">
          <cell r="C182" t="str">
            <v>{PE} Перу</v>
          </cell>
        </row>
        <row r="183">
          <cell r="C183" t="str">
            <v>{PF} Фр.Полинез</v>
          </cell>
        </row>
        <row r="184">
          <cell r="C184" t="str">
            <v>{PG} Папуа-Н.Гв</v>
          </cell>
        </row>
        <row r="185">
          <cell r="C185" t="str">
            <v>{PH} Филиппины</v>
          </cell>
        </row>
        <row r="186">
          <cell r="C186" t="str">
            <v>{PK} Пакистан</v>
          </cell>
        </row>
        <row r="187">
          <cell r="C187" t="str">
            <v>{PL} Польша</v>
          </cell>
        </row>
        <row r="188">
          <cell r="C188" t="str">
            <v>{PM} С.-Пьер,Мик</v>
          </cell>
        </row>
        <row r="189">
          <cell r="C189" t="str">
            <v>{PN} О-ваПиткэр</v>
          </cell>
        </row>
        <row r="190">
          <cell r="C190" t="str">
            <v>{PR} Пуэрто-Рико</v>
          </cell>
        </row>
        <row r="191">
          <cell r="C191" t="str">
            <v>{PS} Палестина</v>
          </cell>
        </row>
        <row r="192">
          <cell r="C192" t="str">
            <v>{PT} Португалия</v>
          </cell>
        </row>
        <row r="193">
          <cell r="C193" t="str">
            <v>{PW} Палау</v>
          </cell>
        </row>
        <row r="194">
          <cell r="C194" t="str">
            <v>{PY} Парагвай</v>
          </cell>
        </row>
        <row r="195">
          <cell r="C195" t="str">
            <v>{QA} Катар</v>
          </cell>
        </row>
        <row r="196">
          <cell r="C196" t="str">
            <v>{RE} Реюньон</v>
          </cell>
        </row>
        <row r="197">
          <cell r="C197" t="str">
            <v>{RO} Румыния</v>
          </cell>
        </row>
        <row r="198">
          <cell r="C198" t="str">
            <v>{RS} Сербия</v>
          </cell>
        </row>
        <row r="199">
          <cell r="C199" t="str">
            <v>{RU} Россия</v>
          </cell>
        </row>
        <row r="200">
          <cell r="C200" t="str">
            <v>{RW} Руанда</v>
          </cell>
        </row>
        <row r="201">
          <cell r="C201" t="str">
            <v>{SA} Сауд.Арави</v>
          </cell>
        </row>
        <row r="202">
          <cell r="C202" t="str">
            <v>{SB} Соломоновы</v>
          </cell>
        </row>
        <row r="203">
          <cell r="C203" t="str">
            <v>{SC} Сейшельск.</v>
          </cell>
        </row>
        <row r="204">
          <cell r="C204" t="str">
            <v>{SD} Судан</v>
          </cell>
        </row>
        <row r="205">
          <cell r="C205" t="str">
            <v>{SE} Швеция</v>
          </cell>
        </row>
        <row r="206">
          <cell r="C206" t="str">
            <v>{SG} Сингапур</v>
          </cell>
        </row>
        <row r="207">
          <cell r="C207" t="str">
            <v>{SH} О.Св.Елен</v>
          </cell>
        </row>
        <row r="208">
          <cell r="C208" t="str">
            <v>{SI} Словения</v>
          </cell>
        </row>
        <row r="209">
          <cell r="C209" t="str">
            <v>{SJ} Шпицберген</v>
          </cell>
        </row>
        <row r="210">
          <cell r="C210" t="str">
            <v>{SK} Словакия</v>
          </cell>
        </row>
        <row r="211">
          <cell r="C211" t="str">
            <v>{SL} Сьерра-Леон</v>
          </cell>
        </row>
        <row r="212">
          <cell r="C212" t="str">
            <v>{SM} Сан-Марино</v>
          </cell>
        </row>
        <row r="213">
          <cell r="C213" t="str">
            <v>{SN} Сенегал</v>
          </cell>
        </row>
        <row r="214">
          <cell r="C214" t="str">
            <v>{SO} Сомали</v>
          </cell>
        </row>
        <row r="215">
          <cell r="C215" t="str">
            <v>{SR} Суринам</v>
          </cell>
        </row>
        <row r="216">
          <cell r="C216" t="str">
            <v>{ST} С.-ТомеиП</v>
          </cell>
        </row>
        <row r="217">
          <cell r="C217" t="str">
            <v>{SV} Сальвадор</v>
          </cell>
        </row>
        <row r="218">
          <cell r="C218" t="str">
            <v>{SX} Сен-Мартен</v>
          </cell>
        </row>
        <row r="219">
          <cell r="C219" t="str">
            <v>{SY} Сирия</v>
          </cell>
        </row>
        <row r="220">
          <cell r="C220" t="str">
            <v>{SZ} Свазиленд</v>
          </cell>
        </row>
        <row r="221">
          <cell r="C221" t="str">
            <v>{TC} Теркс,Кайк</v>
          </cell>
        </row>
        <row r="222">
          <cell r="C222" t="str">
            <v>{TD} Чад</v>
          </cell>
        </row>
        <row r="223">
          <cell r="C223" t="str">
            <v>{TF} FrenchS.Te</v>
          </cell>
        </row>
        <row r="224">
          <cell r="C224" t="str">
            <v>{TG} Того</v>
          </cell>
        </row>
        <row r="225">
          <cell r="C225" t="str">
            <v>{TH} Таиланд</v>
          </cell>
        </row>
        <row r="226">
          <cell r="C226" t="str">
            <v>{TJ} Таджикистан</v>
          </cell>
        </row>
        <row r="227">
          <cell r="C227" t="str">
            <v>{TK} О-ваТокела</v>
          </cell>
        </row>
        <row r="228">
          <cell r="C228" t="str">
            <v>{TL} Вост.Тимоа</v>
          </cell>
        </row>
        <row r="229">
          <cell r="C229" t="str">
            <v>{TM} Туркмениста</v>
          </cell>
        </row>
        <row r="230">
          <cell r="C230" t="str">
            <v>{TN} Тунис</v>
          </cell>
        </row>
        <row r="231">
          <cell r="C231" t="str">
            <v>{TO} Тонга</v>
          </cell>
        </row>
        <row r="232">
          <cell r="C232" t="str">
            <v>{TP} ВосточныйТимо</v>
          </cell>
        </row>
        <row r="233">
          <cell r="C233" t="str">
            <v>{TR} Турция</v>
          </cell>
        </row>
        <row r="234">
          <cell r="C234" t="str">
            <v>{TT} Тринидад,То</v>
          </cell>
        </row>
        <row r="235">
          <cell r="C235" t="str">
            <v>{TV} Тувалу</v>
          </cell>
        </row>
        <row r="236">
          <cell r="C236" t="str">
            <v>{TW} Тайвань</v>
          </cell>
        </row>
        <row r="237">
          <cell r="C237" t="str">
            <v>{TZ} Танзания</v>
          </cell>
        </row>
        <row r="238">
          <cell r="C238" t="str">
            <v>{UA} Украина</v>
          </cell>
        </row>
        <row r="239">
          <cell r="C239" t="str">
            <v>{UG} Уганда</v>
          </cell>
        </row>
        <row r="240">
          <cell r="C240" t="str">
            <v>{UM} Мал.Аутл.</v>
          </cell>
        </row>
        <row r="241">
          <cell r="C241" t="str">
            <v>{UN} Объед.нации</v>
          </cell>
        </row>
        <row r="242">
          <cell r="C242" t="str">
            <v>{US} США</v>
          </cell>
        </row>
        <row r="243">
          <cell r="C243" t="str">
            <v>{UY} Уругвай</v>
          </cell>
        </row>
        <row r="244">
          <cell r="C244" t="str">
            <v>{UZ} Узбекистан</v>
          </cell>
        </row>
        <row r="245">
          <cell r="C245" t="str">
            <v>{VA} Ватикан</v>
          </cell>
        </row>
        <row r="246">
          <cell r="C246" t="str">
            <v>{VC} Сент-Винсен</v>
          </cell>
        </row>
        <row r="247">
          <cell r="C247" t="str">
            <v>{VE} Венесуэла</v>
          </cell>
        </row>
        <row r="248">
          <cell r="C248" t="str">
            <v>{VG} Брит.Виргин</v>
          </cell>
        </row>
        <row r="249">
          <cell r="C249" t="str">
            <v>{VI} Амер.Виргин</v>
          </cell>
        </row>
        <row r="250">
          <cell r="C250" t="str">
            <v>{VN} Вьетнам</v>
          </cell>
        </row>
        <row r="251">
          <cell r="C251" t="str">
            <v>{VU} Вануату</v>
          </cell>
        </row>
        <row r="252">
          <cell r="C252" t="str">
            <v>{WF} Уоллис,Фут</v>
          </cell>
        </row>
        <row r="253">
          <cell r="C253" t="str">
            <v>{WS} Зап.Самоа</v>
          </cell>
        </row>
        <row r="254">
          <cell r="C254" t="str">
            <v>{YE} Йемен</v>
          </cell>
        </row>
        <row r="255">
          <cell r="C255" t="str">
            <v>{YT} Майотта</v>
          </cell>
        </row>
        <row r="256">
          <cell r="C256" t="str">
            <v>{ZA} ЮжнаяАфрик</v>
          </cell>
        </row>
        <row r="257">
          <cell r="C257" t="str">
            <v>{ZM} Замбия</v>
          </cell>
        </row>
        <row r="258">
          <cell r="C258" t="str">
            <v>{ZW} Зимбабве</v>
          </cell>
        </row>
      </sheetData>
      <sheetData sheetId="2">
        <row r="8">
          <cell r="A8" t="str">
            <v>ARAKO</v>
          </cell>
        </row>
        <row r="9">
          <cell r="A9" t="str">
            <v>UMATEX Group Europe</v>
          </cell>
        </row>
        <row r="10">
          <cell r="A10" t="str">
            <v>UMATEX Composite Materials Trading</v>
          </cell>
        </row>
        <row r="11">
          <cell r="A11" t="str">
            <v>Uranium One Holding N.V.</v>
          </cell>
        </row>
        <row r="12">
          <cell r="A12" t="str">
            <v>Uranium One Trading AG</v>
          </cell>
        </row>
        <row r="13">
          <cell r="A13" t="str">
            <v>INTERNEXCO GmbH (Швейцария)</v>
          </cell>
        </row>
        <row r="14">
          <cell r="A14" t="str">
            <v>Ganz</v>
          </cell>
        </row>
        <row r="15">
          <cell r="A15" t="str">
            <v>Mantra Resources Ltd.</v>
          </cell>
        </row>
        <row r="16">
          <cell r="A16" t="str">
            <v>NUKEM</v>
          </cell>
        </row>
        <row r="17">
          <cell r="A17" t="str">
            <v>Nukem Technologies</v>
          </cell>
        </row>
        <row r="18">
          <cell r="A18" t="str">
            <v>KWINDER HOLDINGS LIMITED</v>
          </cell>
        </row>
        <row r="19">
          <cell r="A19" t="str">
            <v>Uranium</v>
          </cell>
        </row>
        <row r="20">
          <cell r="A20" t="str">
            <v>UMP Trading</v>
          </cell>
        </row>
        <row r="21">
          <cell r="A21" t="str">
            <v>ROSATOM FINANCE</v>
          </cell>
        </row>
        <row r="22">
          <cell r="A22" t="str">
            <v>RAOS Voima</v>
          </cell>
        </row>
        <row r="23">
          <cell r="A23" t="str">
            <v>RAOS Project</v>
          </cell>
        </row>
        <row r="24">
          <cell r="A24" t="str">
            <v>Raims</v>
          </cell>
        </row>
        <row r="25">
          <cell r="A25" t="str">
            <v>TRADEWILL LIMITED</v>
          </cell>
        </row>
        <row r="26">
          <cell r="A26" t="str">
            <v>TENEX-USA</v>
          </cell>
        </row>
        <row r="27">
          <cell r="A27" t="str">
            <v>TENEX-Japan</v>
          </cell>
        </row>
        <row r="28">
          <cell r="A28" t="str">
            <v>TENEX-Korea</v>
          </cell>
        </row>
        <row r="29">
          <cell r="A29" t="str">
            <v>TITAN2 IC</v>
          </cell>
        </row>
        <row r="30">
          <cell r="A30" t="str">
            <v>EMSS Holdings</v>
          </cell>
        </row>
        <row r="31">
          <cell r="A31" t="str">
            <v>АКМЭ-Инжиниринг</v>
          </cell>
        </row>
        <row r="32">
          <cell r="A32" t="str">
            <v>АЛАБУГА-ВОЛОКНО</v>
          </cell>
        </row>
        <row r="33">
          <cell r="A33" t="str">
            <v>Аргон</v>
          </cell>
        </row>
        <row r="34">
          <cell r="A34" t="str">
            <v>АРМЗ</v>
          </cell>
        </row>
        <row r="35">
          <cell r="A35" t="str">
            <v>Аккую Нуклеар</v>
          </cell>
        </row>
        <row r="36">
          <cell r="A36" t="str">
            <v>АСЭ</v>
          </cell>
        </row>
        <row r="37">
          <cell r="A37" t="str">
            <v>АТА</v>
          </cell>
        </row>
        <row r="38">
          <cell r="A38" t="str">
            <v>АТМ</v>
          </cell>
        </row>
        <row r="39">
          <cell r="A39" t="str">
            <v>АтомМедТехнолоджи-ДВ</v>
          </cell>
        </row>
        <row r="40">
          <cell r="A40" t="str">
            <v>Атомбезопасность</v>
          </cell>
        </row>
        <row r="41">
          <cell r="A41" t="str">
            <v>Атомзащитаинформ</v>
          </cell>
        </row>
        <row r="42">
          <cell r="A42" t="str">
            <v>Атомкомплект</v>
          </cell>
        </row>
        <row r="43">
          <cell r="A43" t="str">
            <v>Атом-охрана</v>
          </cell>
        </row>
        <row r="44">
          <cell r="A44" t="str">
            <v>Атомспецтранс</v>
          </cell>
        </row>
        <row r="45">
          <cell r="A45" t="str">
            <v>Атомтехэнерго</v>
          </cell>
        </row>
        <row r="46">
          <cell r="A46" t="str">
            <v>Атомфлот</v>
          </cell>
        </row>
        <row r="47">
          <cell r="A47" t="str">
            <v>Атомэнергомаш</v>
          </cell>
        </row>
        <row r="48">
          <cell r="A48" t="str">
            <v>Атомэнергосбыт</v>
          </cell>
        </row>
        <row r="49">
          <cell r="A49" t="str">
            <v>Атомэнергоремонт</v>
          </cell>
        </row>
        <row r="50">
          <cell r="A50" t="str">
            <v>Атомтехэкспорт</v>
          </cell>
        </row>
        <row r="51">
          <cell r="A51" t="str">
            <v>Атомэнергопромсбыт</v>
          </cell>
        </row>
        <row r="52">
          <cell r="A52" t="str">
            <v>АтомКапитал</v>
          </cell>
        </row>
        <row r="53">
          <cell r="A53" t="str">
            <v>АТОМПРОЕКТ</v>
          </cell>
        </row>
        <row r="54">
          <cell r="A54" t="str">
            <v>АТЦ СПб</v>
          </cell>
        </row>
        <row r="55">
          <cell r="A55" t="str">
            <v>АЭМ-технологии</v>
          </cell>
        </row>
        <row r="56">
          <cell r="A56" t="str">
            <v>АЭП</v>
          </cell>
        </row>
        <row r="57">
          <cell r="A57" t="str">
            <v>АЭПК</v>
          </cell>
        </row>
        <row r="58">
          <cell r="A58" t="str">
            <v>АЭХК</v>
          </cell>
        </row>
        <row r="59">
          <cell r="A59" t="str">
            <v>Балтийская АЭС</v>
          </cell>
        </row>
        <row r="60">
          <cell r="A60" t="str">
            <v>ВДМУ</v>
          </cell>
        </row>
        <row r="61">
          <cell r="A61" t="str">
            <v>ВО Изотоп</v>
          </cell>
        </row>
        <row r="62">
          <cell r="A62" t="str">
            <v>ВетроОГК</v>
          </cell>
        </row>
        <row r="63">
          <cell r="A63" t="str">
            <v>ВетроОГК-2</v>
          </cell>
        </row>
        <row r="64">
          <cell r="A64" t="str">
            <v>ВНИИА</v>
          </cell>
        </row>
        <row r="65">
          <cell r="A65" t="str">
            <v>ВНИИАЭС</v>
          </cell>
        </row>
        <row r="66">
          <cell r="A66" t="str">
            <v>ВНИИНМ</v>
          </cell>
        </row>
        <row r="67">
          <cell r="A67" t="str">
            <v>ВНИИТФ</v>
          </cell>
        </row>
        <row r="68">
          <cell r="A68" t="str">
            <v>ВНИИХТ</v>
          </cell>
        </row>
        <row r="69">
          <cell r="A69" t="str">
            <v>ВНИИЭФ</v>
          </cell>
        </row>
        <row r="70">
          <cell r="A70" t="str">
            <v>ВНИПИПромтехнологии</v>
          </cell>
        </row>
        <row r="71">
          <cell r="A71" t="str">
            <v>Гидропресс</v>
          </cell>
        </row>
        <row r="72">
          <cell r="A72" t="str">
            <v>Гиредмет</v>
          </cell>
        </row>
        <row r="73">
          <cell r="A73" t="str">
            <v>Гидрографическое предприятие</v>
          </cell>
        </row>
        <row r="74">
          <cell r="A74" t="str">
            <v>Госкорпорация Росатом</v>
          </cell>
        </row>
        <row r="75">
          <cell r="A75" t="str">
            <v>Гринатом</v>
          </cell>
        </row>
        <row r="76">
          <cell r="A76" t="str">
            <v>ГСПИ</v>
          </cell>
        </row>
        <row r="77">
          <cell r="A77" t="str">
            <v>ГХК</v>
          </cell>
        </row>
        <row r="78">
          <cell r="A78" t="str">
            <v>Далур</v>
          </cell>
        </row>
        <row r="79">
          <cell r="A79" t="str">
            <v>Дедал</v>
          </cell>
        </row>
        <row r="80">
          <cell r="A80" t="str">
            <v>ДЕЗ</v>
          </cell>
        </row>
        <row r="81">
          <cell r="A81" t="str">
            <v>АРМЗ-Сервис</v>
          </cell>
        </row>
        <row r="82">
          <cell r="A82" t="str">
            <v>ЗАЭС</v>
          </cell>
        </row>
        <row r="83">
          <cell r="A83" t="str">
            <v>ЗиО-Подольск</v>
          </cell>
        </row>
        <row r="84">
          <cell r="A84" t="str">
            <v>ЗУКМ</v>
          </cell>
        </row>
        <row r="85">
          <cell r="A85" t="str">
            <v>ИРМ</v>
          </cell>
        </row>
        <row r="86">
          <cell r="A86" t="str">
            <v>ИТЦ ДЖЭТ</v>
          </cell>
        </row>
        <row r="87">
          <cell r="A87" t="str">
            <v>ИиС РФЯЦ - ВНИИЭФ</v>
          </cell>
        </row>
        <row r="88">
          <cell r="A88" t="str">
            <v>ИЦ РГЦ</v>
          </cell>
        </row>
        <row r="89">
          <cell r="A89" t="str">
            <v>Инжект</v>
          </cell>
        </row>
        <row r="90">
          <cell r="A90" t="str">
            <v>ИФТП</v>
          </cell>
        </row>
        <row r="91">
          <cell r="A91" t="str">
            <v>КМЗ</v>
          </cell>
        </row>
        <row r="92">
          <cell r="A92" t="str">
            <v>Красная Звезда</v>
          </cell>
        </row>
        <row r="93">
          <cell r="A93" t="str">
            <v>Краун</v>
          </cell>
        </row>
        <row r="94">
          <cell r="A94" t="str">
            <v>Консист-ОС</v>
          </cell>
        </row>
        <row r="95">
          <cell r="A95" t="str">
            <v>КОНЦЕРН ТИТАН-2</v>
          </cell>
        </row>
        <row r="96">
          <cell r="A96" t="str">
            <v>КЦ</v>
          </cell>
        </row>
        <row r="97">
          <cell r="A97" t="str">
            <v>Маяк</v>
          </cell>
        </row>
        <row r="98">
          <cell r="A98" t="str">
            <v>Марс</v>
          </cell>
        </row>
        <row r="99">
          <cell r="A99" t="str">
            <v>МЗП</v>
          </cell>
        </row>
        <row r="100">
          <cell r="A100" t="str">
            <v>Молния</v>
          </cell>
        </row>
        <row r="101">
          <cell r="A101" t="str">
            <v>МСЗ-М</v>
          </cell>
        </row>
        <row r="102">
          <cell r="A102" t="str">
            <v>МСЗ</v>
          </cell>
        </row>
        <row r="103">
          <cell r="A103" t="str">
            <v>Наука и инновации</v>
          </cell>
        </row>
        <row r="104">
          <cell r="A104" t="str">
            <v>НИИГрафит</v>
          </cell>
        </row>
        <row r="105">
          <cell r="A105" t="str">
            <v>НИИАР-ГЕНЕРАЦИЯ</v>
          </cell>
        </row>
        <row r="106">
          <cell r="A106" t="str">
            <v>НЗХК-Инструмент</v>
          </cell>
        </row>
        <row r="107">
          <cell r="A107" t="str">
            <v>НЗХК-Энергия</v>
          </cell>
        </row>
        <row r="108">
          <cell r="A108" t="str">
            <v>НЗХК</v>
          </cell>
        </row>
        <row r="109">
          <cell r="A109" t="str">
            <v>ИК АСЭ</v>
          </cell>
        </row>
        <row r="110">
          <cell r="A110" t="str">
            <v>НИИАР</v>
          </cell>
        </row>
        <row r="111">
          <cell r="A111" t="str">
            <v>НИИП</v>
          </cell>
        </row>
        <row r="112">
          <cell r="A112" t="str">
            <v>НИИТФА</v>
          </cell>
        </row>
        <row r="113">
          <cell r="A113" t="str">
            <v>НИИЭФА</v>
          </cell>
        </row>
        <row r="114">
          <cell r="A114" t="str">
            <v>НИКИМТ-Атомстрой</v>
          </cell>
        </row>
        <row r="115">
          <cell r="A115" t="str">
            <v>НИКИЭТ</v>
          </cell>
        </row>
        <row r="116">
          <cell r="A116" t="str">
            <v>НИТИ</v>
          </cell>
        </row>
        <row r="117">
          <cell r="A117" t="str">
            <v>НИФХИ</v>
          </cell>
        </row>
        <row r="118">
          <cell r="A118" t="str">
            <v>Нижние котлы - ДУ</v>
          </cell>
        </row>
        <row r="119">
          <cell r="A119" t="str">
            <v>НПО Луч</v>
          </cell>
        </row>
        <row r="120">
          <cell r="A120" t="str">
            <v>НПО РИ</v>
          </cell>
        </row>
        <row r="121">
          <cell r="A121" t="str">
            <v>НО РАО</v>
          </cell>
        </row>
        <row r="122">
          <cell r="A122" t="str">
            <v>НоваВинд</v>
          </cell>
        </row>
        <row r="123">
          <cell r="A123" t="str">
            <v>НТЦ ЯФИ</v>
          </cell>
        </row>
        <row r="124">
          <cell r="A124" t="str">
            <v>Обесп РФЯЦ-ВНИИЭФ</v>
          </cell>
        </row>
        <row r="125">
          <cell r="A125" t="str">
            <v>РИР</v>
          </cell>
        </row>
        <row r="126">
          <cell r="A126" t="str">
            <v>ТВЭЛ-КЦ</v>
          </cell>
        </row>
        <row r="127">
          <cell r="A127" t="str">
            <v>ОИК</v>
          </cell>
        </row>
        <row r="128">
          <cell r="A128" t="str">
            <v>ОК РСК</v>
          </cell>
        </row>
        <row r="129">
          <cell r="A129" t="str">
            <v>ОКБМ</v>
          </cell>
        </row>
        <row r="130">
          <cell r="A130" t="str">
            <v>ОДЦ УГР</v>
          </cell>
        </row>
        <row r="131">
          <cell r="A131" t="str">
            <v>Первая горнорудная компания</v>
          </cell>
        </row>
        <row r="132">
          <cell r="A132" t="str">
            <v>ПО Север</v>
          </cell>
        </row>
        <row r="133">
          <cell r="A133" t="str">
            <v>Прорыв</v>
          </cell>
        </row>
        <row r="134">
          <cell r="A134" t="str">
            <v>Препрег-СКМ</v>
          </cell>
        </row>
        <row r="135">
          <cell r="A135" t="str">
            <v>Препрег-Дубна</v>
          </cell>
        </row>
        <row r="136">
          <cell r="A136" t="str">
            <v>ППГХО</v>
          </cell>
        </row>
        <row r="137">
          <cell r="A137" t="str">
            <v>ПСЗ</v>
          </cell>
        </row>
        <row r="138">
          <cell r="A138" t="str">
            <v>ПСР</v>
          </cell>
        </row>
        <row r="139">
          <cell r="A139" t="str">
            <v>Промышленные инновации</v>
          </cell>
        </row>
        <row r="140">
          <cell r="A140" t="str">
            <v>РАДОН</v>
          </cell>
        </row>
        <row r="141">
          <cell r="A141" t="str">
            <v>РАСУ</v>
          </cell>
        </row>
        <row r="142">
          <cell r="A142" t="str">
            <v>РАОС</v>
          </cell>
        </row>
        <row r="143">
          <cell r="A143" t="str">
            <v>РБМ</v>
          </cell>
        </row>
        <row r="144">
          <cell r="A144" t="str">
            <v>Росэнергоатом</v>
          </cell>
        </row>
        <row r="145">
          <cell r="A145" t="str">
            <v>РЭНЕРА</v>
          </cell>
        </row>
        <row r="146">
          <cell r="A146" t="str">
            <v>ФЭО</v>
          </cell>
        </row>
        <row r="147">
          <cell r="A147" t="str">
            <v>РХК</v>
          </cell>
        </row>
        <row r="148">
          <cell r="A148" t="str">
            <v>REIN</v>
          </cell>
        </row>
        <row r="149">
          <cell r="A149" t="str">
            <v>Русатом Сервис</v>
          </cell>
        </row>
        <row r="150">
          <cell r="A150" t="str">
            <v>Русатом Вотэр Азия</v>
          </cell>
        </row>
        <row r="151">
          <cell r="A151" t="str">
            <v>Русатом Гринвэй</v>
          </cell>
        </row>
        <row r="152">
          <cell r="A152" t="str">
            <v>Русреактор</v>
          </cell>
        </row>
        <row r="153">
          <cell r="A153" t="str">
            <v>Русатом Карго</v>
          </cell>
        </row>
        <row r="154">
          <cell r="A154" t="str">
            <v>РСП</v>
          </cell>
        </row>
        <row r="155">
          <cell r="A155" t="str">
            <v>ЦПиРУГ</v>
          </cell>
        </row>
        <row r="156">
          <cell r="A156" t="str">
            <v>ЦПТИ</v>
          </cell>
        </row>
        <row r="157">
          <cell r="A157" t="str">
            <v>РИР-Саров</v>
          </cell>
        </row>
        <row r="158">
          <cell r="A158" t="str">
            <v>РИР-Лесной</v>
          </cell>
        </row>
        <row r="159">
          <cell r="A159" t="str">
            <v>РЦП</v>
          </cell>
        </row>
        <row r="160">
          <cell r="A160" t="str">
            <v>РЦР</v>
          </cell>
        </row>
        <row r="161">
          <cell r="A161" t="str">
            <v>РЭМКО</v>
          </cell>
        </row>
        <row r="162">
          <cell r="A162" t="str">
            <v>С-плюс</v>
          </cell>
        </row>
        <row r="163">
          <cell r="A163" t="str">
            <v>Сайпрус</v>
          </cell>
        </row>
        <row r="164">
          <cell r="A164" t="str">
            <v>СвердНИИхиммаш</v>
          </cell>
        </row>
        <row r="165">
          <cell r="A165" t="str">
            <v>СГК</v>
          </cell>
        </row>
        <row r="166">
          <cell r="A166" t="str">
            <v>СЕЗАМ</v>
          </cell>
        </row>
        <row r="167">
          <cell r="A167" t="str">
            <v>СМБ</v>
          </cell>
        </row>
        <row r="168">
          <cell r="A168" t="str">
            <v>СМУ№1ооо</v>
          </cell>
        </row>
        <row r="169">
          <cell r="A169" t="str">
            <v>СНИИП</v>
          </cell>
        </row>
        <row r="170">
          <cell r="A170" t="str">
            <v>СПб ИЗОТОП</v>
          </cell>
        </row>
        <row r="171">
          <cell r="A171" t="str">
            <v>СТСК</v>
          </cell>
        </row>
        <row r="172">
          <cell r="A172" t="str">
            <v>Старт</v>
          </cell>
        </row>
        <row r="173">
          <cell r="A173" t="str">
            <v>СХК</v>
          </cell>
        </row>
        <row r="174">
          <cell r="A174" t="str">
            <v>СЭСК</v>
          </cell>
        </row>
        <row r="175">
          <cell r="A175" t="str">
            <v>Тепловодоканал</v>
          </cell>
        </row>
        <row r="176">
          <cell r="A176" t="str">
            <v>Точмаш-авто</v>
          </cell>
        </row>
        <row r="177">
          <cell r="A177" t="str">
            <v>ТВЭЛ</v>
          </cell>
        </row>
        <row r="178">
          <cell r="A178" t="str">
            <v>ТВЭЛ-Строй</v>
          </cell>
        </row>
        <row r="179">
          <cell r="A179" t="str">
            <v>ТЕНЕКС-Сервис</v>
          </cell>
        </row>
        <row r="180">
          <cell r="A180" t="str">
            <v>Технопарк-Технология</v>
          </cell>
        </row>
        <row r="181">
          <cell r="A181" t="str">
            <v>Техснабэкспорт</v>
          </cell>
        </row>
        <row r="182">
          <cell r="A182" t="str">
            <v>Точмаш</v>
          </cell>
        </row>
        <row r="183">
          <cell r="A183" t="str">
            <v>ТРИНИТИ</v>
          </cell>
        </row>
        <row r="184">
          <cell r="A184" t="str">
            <v>Трест РСЭМ</v>
          </cell>
        </row>
        <row r="185">
          <cell r="A185" t="str">
            <v>ТЦ ТЕНЕКС</v>
          </cell>
        </row>
        <row r="186">
          <cell r="A186" t="str">
            <v>УАЗ</v>
          </cell>
        </row>
        <row r="187">
          <cell r="A187" t="str">
            <v>УУГ</v>
          </cell>
        </row>
        <row r="188">
          <cell r="A188" t="str">
            <v>УК Нижние котлы</v>
          </cell>
        </row>
        <row r="189">
          <cell r="A189" t="str">
            <v>НПО Центротех</v>
          </cell>
        </row>
        <row r="190">
          <cell r="A190" t="str">
            <v>УЭМЗ</v>
          </cell>
        </row>
        <row r="191">
          <cell r="A191" t="str">
            <v>УЭХК</v>
          </cell>
        </row>
        <row r="192">
          <cell r="A192" t="str">
            <v>ЛЦ ЯТЦ</v>
          </cell>
        </row>
        <row r="193">
          <cell r="A193" t="str">
            <v>ФЭИ</v>
          </cell>
        </row>
        <row r="194">
          <cell r="A194" t="str">
            <v>Хиагда</v>
          </cell>
        </row>
        <row r="195">
          <cell r="A195" t="str">
            <v>ХК АЭМ</v>
          </cell>
        </row>
        <row r="196">
          <cell r="A196" t="str">
            <v>ЦВТД</v>
          </cell>
        </row>
        <row r="197">
          <cell r="A197" t="str">
            <v>Центр энергоэффективности ИНТЕР РАО ЕЭС</v>
          </cell>
        </row>
        <row r="198">
          <cell r="A198" t="str">
            <v>ЦентрАтом</v>
          </cell>
        </row>
        <row r="199">
          <cell r="A199" t="str">
            <v>ЦКБМ</v>
          </cell>
        </row>
        <row r="200">
          <cell r="A200" t="str">
            <v>ЦНИИТМАШ</v>
          </cell>
        </row>
        <row r="201">
          <cell r="A201" t="str">
            <v>ЦОУ</v>
          </cell>
        </row>
        <row r="202">
          <cell r="A202" t="str">
            <v>ЧМЗ</v>
          </cell>
        </row>
        <row r="203">
          <cell r="A203" t="str">
            <v>ЧУ ПЦИТЭР</v>
          </cell>
        </row>
        <row r="204">
          <cell r="A204" t="str">
            <v>ЧУ Наука и Инновации</v>
          </cell>
        </row>
        <row r="205">
          <cell r="A205" t="str">
            <v>Экоальянс</v>
          </cell>
        </row>
        <row r="206">
          <cell r="A206" t="str">
            <v>ЭГМК</v>
          </cell>
        </row>
        <row r="207">
          <cell r="A207" t="str">
            <v>ЭГМК-проект</v>
          </cell>
        </row>
        <row r="208">
          <cell r="A208" t="str">
            <v>Эксп №2</v>
          </cell>
        </row>
        <row r="209">
          <cell r="A209" t="str">
            <v>ЭЛЕМАШ-МАГНИТ</v>
          </cell>
        </row>
        <row r="210">
          <cell r="A210" t="str">
            <v>Элерон</v>
          </cell>
        </row>
        <row r="211">
          <cell r="A211" t="str">
            <v>Энергомашспецсталь</v>
          </cell>
        </row>
        <row r="212">
          <cell r="A212" t="str">
            <v>Энергоспецмонтаж</v>
          </cell>
        </row>
        <row r="213">
          <cell r="A213" t="str">
            <v>ЭНИЦ</v>
          </cell>
        </row>
        <row r="214">
          <cell r="A214" t="str">
            <v>ЭХЗ</v>
          </cell>
        </row>
        <row r="215">
          <cell r="A215" t="str">
            <v>ЭХП</v>
          </cell>
        </row>
        <row r="216">
          <cell r="A216" t="str">
            <v>ЮМАТЕКС</v>
          </cell>
        </row>
        <row r="217">
          <cell r="A217" t="str">
            <v>ЯМТ-Снежинск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токи"/>
      <sheetName val="Титул"/>
      <sheetName val="Технич_лист"/>
      <sheetName val="Содержание"/>
      <sheetName val="Параметры_загрузки"/>
      <sheetName val="Список_компаний"/>
      <sheetName val="Справочник"/>
      <sheetName val="Проверки"/>
      <sheetName val="Проверка_форматов_даты"/>
      <sheetName val="Лист_ошибок"/>
      <sheetName val="mapping"/>
      <sheetName val="tech"/>
      <sheetName val="Баланс"/>
      <sheetName val="ОФР"/>
      <sheetName val="ДДС"/>
      <sheetName val="ДДС_приложение"/>
      <sheetName val="ОСВ_авт"/>
      <sheetName val="ОСВ_система"/>
      <sheetName val="Свод_по_счетам"/>
      <sheetName val="Список изменений в ФСД(2017г) "/>
      <sheetName val="01"/>
      <sheetName val="02_01"/>
      <sheetName val="02_02"/>
      <sheetName val="03"/>
      <sheetName val="04"/>
      <sheetName val="05"/>
      <sheetName val="07"/>
      <sheetName val="07_расш"/>
      <sheetName val="08"/>
      <sheetName val="08_расш"/>
      <sheetName val="09"/>
      <sheetName val="10"/>
      <sheetName val="10_расш"/>
      <sheetName val="14"/>
      <sheetName val="15"/>
      <sheetName val="16"/>
      <sheetName val="19"/>
      <sheetName val="Затраты_Вход_1"/>
      <sheetName val="Затраты_Вход_2"/>
      <sheetName val="Затраты_Выход"/>
      <sheetName val="21"/>
      <sheetName val="40"/>
      <sheetName val="41_01"/>
      <sheetName val="41_02"/>
      <sheetName val="43"/>
      <sheetName val="45"/>
      <sheetName val="НЗП_ГП"/>
      <sheetName val="Долгосроч_договоры"/>
      <sheetName val="46"/>
      <sheetName val="Дл-ср_договор"/>
      <sheetName val="Гарантии_2"/>
      <sheetName val="50"/>
      <sheetName val="51"/>
      <sheetName val="52"/>
      <sheetName val="55"/>
      <sheetName val="57"/>
      <sheetName val="50_51_52_55_57_движ"/>
      <sheetName val="Фин_договоры"/>
      <sheetName val="58_01_1"/>
      <sheetName val="58_01_2"/>
      <sheetName val="58_02"/>
      <sheetName val="58_02_движ"/>
      <sheetName val="58_03_1"/>
      <sheetName val="58_03_2"/>
      <sheetName val="58_04"/>
      <sheetName val="59_01"/>
      <sheetName val="59_02"/>
      <sheetName val="59_03"/>
      <sheetName val="ДП_полученные"/>
      <sheetName val="ДП_выданные"/>
      <sheetName val="60_01"/>
      <sheetName val="60_02"/>
      <sheetName val="62_01"/>
      <sheetName val="62_02"/>
      <sheetName val="60,62_обесп"/>
      <sheetName val="ОКХ"/>
      <sheetName val="60,62,76_контр"/>
      <sheetName val="63"/>
      <sheetName val="66"/>
      <sheetName val="67"/>
      <sheetName val="68"/>
      <sheetName val="КГН"/>
      <sheetName val="Налог_на_прибыль"/>
      <sheetName val="Налог_пров"/>
      <sheetName val="Налоговые_льготы_имущество"/>
      <sheetName val="Налоговые_льготы_прочие"/>
      <sheetName val="69"/>
      <sheetName val="73"/>
      <sheetName val="75_01"/>
      <sheetName val="75_01_Неденеж"/>
      <sheetName val="75_02"/>
      <sheetName val="76"/>
      <sheetName val="76_01_%"/>
      <sheetName val="77"/>
      <sheetName val="78"/>
      <sheetName val="80"/>
      <sheetName val="83"/>
      <sheetName val="83_расш"/>
      <sheetName val="84"/>
      <sheetName val="84_расш"/>
      <sheetName val="86"/>
      <sheetName val="90"/>
      <sheetName val="90_ОРВГ"/>
      <sheetName val="90_контр"/>
      <sheetName val="91_01"/>
      <sheetName val="91_01_ВГО"/>
      <sheetName val="91_02"/>
      <sheetName val="91_02_ВГО"/>
      <sheetName val="Прочие_расш"/>
      <sheetName val="ОСС"/>
      <sheetName val="96"/>
      <sheetName val="96_движ"/>
      <sheetName val="97"/>
      <sheetName val="98_01"/>
      <sheetName val="98_02"/>
      <sheetName val="98_04"/>
      <sheetName val="99"/>
      <sheetName val="Числ_ФОТ_ИТ"/>
      <sheetName val="Дог_аренды_получ"/>
      <sheetName val="Дог_аренды_выдан"/>
      <sheetName val="Прир_рес"/>
      <sheetName val="Аудит_комп"/>
      <sheetName val="Иски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DG3" t="str">
            <v>Титул</v>
          </cell>
        </row>
        <row r="4">
          <cell r="DG4" t="str">
            <v>Список компаний</v>
          </cell>
        </row>
        <row r="5">
          <cell r="DG5" t="str">
            <v>ОСВ_система</v>
          </cell>
        </row>
        <row r="6">
          <cell r="DG6" t="str">
            <v>ОСВ авт</v>
          </cell>
        </row>
        <row r="7">
          <cell r="DG7" t="str">
            <v>ОСВ сверка</v>
          </cell>
        </row>
        <row r="8">
          <cell r="DG8" t="str">
            <v>Свод_по_счетам</v>
          </cell>
        </row>
        <row r="9">
          <cell r="DG9" t="str">
            <v>Баланс</v>
          </cell>
        </row>
        <row r="10">
          <cell r="DG10" t="str">
            <v>ОФР</v>
          </cell>
        </row>
        <row r="11">
          <cell r="DG11" t="str">
            <v>ДДС</v>
          </cell>
        </row>
        <row r="12">
          <cell r="DG12" t="str">
            <v>ДДС_приложение</v>
          </cell>
        </row>
        <row r="13">
          <cell r="DG13" t="str">
            <v>01</v>
          </cell>
        </row>
        <row r="14">
          <cell r="DG14" t="str">
            <v>02_01</v>
          </cell>
        </row>
        <row r="15">
          <cell r="DG15" t="str">
            <v>02_02</v>
          </cell>
        </row>
        <row r="16">
          <cell r="DG16" t="str">
            <v>03</v>
          </cell>
        </row>
        <row r="17">
          <cell r="DG17" t="str">
            <v>04</v>
          </cell>
        </row>
        <row r="18">
          <cell r="DG18" t="str">
            <v>05</v>
          </cell>
        </row>
        <row r="19">
          <cell r="DG19" t="str">
            <v>07</v>
          </cell>
        </row>
        <row r="20">
          <cell r="DG20" t="str">
            <v>07_расш</v>
          </cell>
        </row>
        <row r="21">
          <cell r="DG21" t="str">
            <v>08</v>
          </cell>
        </row>
        <row r="22">
          <cell r="DG22" t="str">
            <v>08_расш</v>
          </cell>
        </row>
        <row r="23">
          <cell r="DG23" t="str">
            <v>09</v>
          </cell>
        </row>
        <row r="24">
          <cell r="DG24">
            <v>10</v>
          </cell>
        </row>
        <row r="25">
          <cell r="DG25" t="str">
            <v>10_расш</v>
          </cell>
        </row>
        <row r="26">
          <cell r="DG26">
            <v>14</v>
          </cell>
        </row>
        <row r="27">
          <cell r="DG27">
            <v>15</v>
          </cell>
        </row>
        <row r="28">
          <cell r="DG28">
            <v>16</v>
          </cell>
        </row>
        <row r="29">
          <cell r="DG29">
            <v>19</v>
          </cell>
        </row>
        <row r="30">
          <cell r="DG30" t="str">
            <v>Затраты_Вход_1</v>
          </cell>
        </row>
        <row r="31">
          <cell r="DG31" t="str">
            <v>Затраты_Вход_2</v>
          </cell>
        </row>
        <row r="32">
          <cell r="DG32" t="str">
            <v>Затраты_Выход</v>
          </cell>
        </row>
        <row r="33">
          <cell r="DG33">
            <v>21</v>
          </cell>
        </row>
        <row r="34">
          <cell r="DG34">
            <v>40</v>
          </cell>
        </row>
        <row r="35">
          <cell r="DG35" t="str">
            <v>41_01</v>
          </cell>
        </row>
        <row r="36">
          <cell r="DG36" t="str">
            <v>41_02</v>
          </cell>
        </row>
        <row r="37">
          <cell r="DG37">
            <v>43</v>
          </cell>
        </row>
        <row r="38">
          <cell r="DG38">
            <v>45</v>
          </cell>
        </row>
        <row r="39">
          <cell r="DG39" t="str">
            <v>НЗП_ГП</v>
          </cell>
        </row>
        <row r="40">
          <cell r="DG40" t="str">
            <v>Долгосроч_договоры</v>
          </cell>
        </row>
        <row r="41">
          <cell r="DG41">
            <v>46</v>
          </cell>
        </row>
        <row r="42">
          <cell r="DG42" t="str">
            <v>Дл-ср_договор</v>
          </cell>
        </row>
        <row r="43">
          <cell r="DG43" t="str">
            <v>Гарантии_2</v>
          </cell>
        </row>
        <row r="44">
          <cell r="DG44">
            <v>50</v>
          </cell>
        </row>
        <row r="45">
          <cell r="DG45">
            <v>51</v>
          </cell>
        </row>
        <row r="46">
          <cell r="DG46">
            <v>52</v>
          </cell>
        </row>
        <row r="47">
          <cell r="DG47">
            <v>55</v>
          </cell>
        </row>
        <row r="48">
          <cell r="DG48">
            <v>57</v>
          </cell>
        </row>
        <row r="49">
          <cell r="DG49" t="str">
            <v>50_51_52_55_57_движ</v>
          </cell>
        </row>
        <row r="50">
          <cell r="DG50" t="str">
            <v>Фин_договоры</v>
          </cell>
        </row>
        <row r="51">
          <cell r="DG51" t="str">
            <v>58_01_1</v>
          </cell>
        </row>
        <row r="52">
          <cell r="DG52" t="str">
            <v>58_01_2</v>
          </cell>
        </row>
        <row r="53">
          <cell r="DG53" t="str">
            <v>58_02</v>
          </cell>
        </row>
        <row r="54">
          <cell r="DG54" t="str">
            <v>58_02_движ</v>
          </cell>
        </row>
        <row r="55">
          <cell r="DG55" t="str">
            <v>58_03_1</v>
          </cell>
        </row>
        <row r="56">
          <cell r="DG56" t="str">
            <v>58_03_2</v>
          </cell>
        </row>
        <row r="57">
          <cell r="DG57" t="str">
            <v>58_04</v>
          </cell>
        </row>
        <row r="58">
          <cell r="DG58" t="str">
            <v>59_01</v>
          </cell>
        </row>
        <row r="59">
          <cell r="DG59" t="str">
            <v>59_02</v>
          </cell>
        </row>
        <row r="60">
          <cell r="DG60" t="str">
            <v>59_03</v>
          </cell>
        </row>
        <row r="61">
          <cell r="DG61" t="str">
            <v>ДП_полученные</v>
          </cell>
        </row>
        <row r="62">
          <cell r="DG62" t="str">
            <v>ДП_выданные</v>
          </cell>
        </row>
        <row r="63">
          <cell r="DG63" t="str">
            <v>60_01</v>
          </cell>
        </row>
        <row r="64">
          <cell r="DG64" t="str">
            <v>60_02</v>
          </cell>
        </row>
        <row r="65">
          <cell r="DG65" t="str">
            <v>62_01</v>
          </cell>
        </row>
        <row r="66">
          <cell r="DG66" t="str">
            <v>62_02</v>
          </cell>
        </row>
        <row r="67">
          <cell r="DG67" t="str">
            <v>ОКХ</v>
          </cell>
        </row>
        <row r="68">
          <cell r="DG68" t="str">
            <v>60,62,76_контр</v>
          </cell>
        </row>
        <row r="69">
          <cell r="DG69">
            <v>63</v>
          </cell>
        </row>
        <row r="70">
          <cell r="DG70">
            <v>66</v>
          </cell>
        </row>
        <row r="71">
          <cell r="DG71">
            <v>67</v>
          </cell>
        </row>
        <row r="72">
          <cell r="DG72">
            <v>68</v>
          </cell>
        </row>
        <row r="73">
          <cell r="DG73" t="str">
            <v>68_расш</v>
          </cell>
        </row>
        <row r="74">
          <cell r="DG74" t="str">
            <v>Налог_на_прибыль</v>
          </cell>
        </row>
        <row r="75">
          <cell r="DG75" t="str">
            <v>Налог_пров</v>
          </cell>
        </row>
        <row r="76">
          <cell r="DG76" t="str">
            <v>Налоговые_льготы_имущество</v>
          </cell>
        </row>
        <row r="77">
          <cell r="DG77" t="str">
            <v>Налоговые_льготы_прочие</v>
          </cell>
        </row>
        <row r="78">
          <cell r="DG78">
            <v>69</v>
          </cell>
        </row>
        <row r="79">
          <cell r="DG79">
            <v>73</v>
          </cell>
        </row>
        <row r="80">
          <cell r="DG80" t="str">
            <v>75_01</v>
          </cell>
        </row>
        <row r="81">
          <cell r="DG81" t="str">
            <v>75_01_Неденеж</v>
          </cell>
        </row>
        <row r="82">
          <cell r="DG82" t="str">
            <v>75_02</v>
          </cell>
        </row>
        <row r="83">
          <cell r="DG83">
            <v>76</v>
          </cell>
        </row>
        <row r="84">
          <cell r="DG84" t="str">
            <v>76_01_%</v>
          </cell>
        </row>
        <row r="85">
          <cell r="DG85">
            <v>77</v>
          </cell>
        </row>
        <row r="86">
          <cell r="DG86">
            <v>78</v>
          </cell>
        </row>
        <row r="87">
          <cell r="DG87">
            <v>80</v>
          </cell>
        </row>
        <row r="88">
          <cell r="DG88">
            <v>83</v>
          </cell>
        </row>
        <row r="89">
          <cell r="DG89" t="str">
            <v>83_расш</v>
          </cell>
        </row>
        <row r="90">
          <cell r="DG90">
            <v>84</v>
          </cell>
        </row>
        <row r="91">
          <cell r="DG91" t="str">
            <v>84_расш</v>
          </cell>
        </row>
        <row r="92">
          <cell r="DG92">
            <v>86</v>
          </cell>
        </row>
        <row r="93">
          <cell r="DG93">
            <v>90</v>
          </cell>
        </row>
        <row r="94">
          <cell r="DG94" t="str">
            <v>90_ОРВГ</v>
          </cell>
        </row>
        <row r="95">
          <cell r="DG95" t="str">
            <v>90_контр</v>
          </cell>
        </row>
        <row r="96">
          <cell r="DG96" t="str">
            <v>91_01</v>
          </cell>
        </row>
        <row r="97">
          <cell r="DG97" t="str">
            <v>91_01_ВГО</v>
          </cell>
        </row>
        <row r="98">
          <cell r="DG98" t="str">
            <v>91_02</v>
          </cell>
        </row>
        <row r="99">
          <cell r="DG99" t="str">
            <v>91_02_ВГО</v>
          </cell>
        </row>
        <row r="100">
          <cell r="DG100" t="str">
            <v>Прочие_расш</v>
          </cell>
        </row>
        <row r="101">
          <cell r="DG101" t="str">
            <v>ОСС</v>
          </cell>
        </row>
        <row r="102">
          <cell r="DG102">
            <v>96</v>
          </cell>
        </row>
        <row r="103">
          <cell r="DG103" t="str">
            <v>96_движ</v>
          </cell>
        </row>
        <row r="104">
          <cell r="DG104">
            <v>97</v>
          </cell>
        </row>
        <row r="105">
          <cell r="DG105" t="str">
            <v>98_01</v>
          </cell>
        </row>
        <row r="106">
          <cell r="DG106" t="str">
            <v>98_02</v>
          </cell>
        </row>
        <row r="107">
          <cell r="DG107" t="str">
            <v>98_04</v>
          </cell>
        </row>
        <row r="108">
          <cell r="DG108">
            <v>99</v>
          </cell>
        </row>
        <row r="109">
          <cell r="DG109" t="str">
            <v>списки</v>
          </cell>
        </row>
        <row r="110">
          <cell r="DG110" t="str">
            <v>список связанных сторон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токи"/>
      <sheetName val="Титул"/>
      <sheetName val="Технич_лист"/>
      <sheetName val="Содержание"/>
      <sheetName val="Параметры_загрузки"/>
      <sheetName val="Список_компаний"/>
      <sheetName val="Справочник"/>
      <sheetName val="Проверки"/>
      <sheetName val="Проверка_форматов_даты"/>
      <sheetName val="Лист_ошибок"/>
      <sheetName val="mapping"/>
      <sheetName val="tech"/>
      <sheetName val="Баланс"/>
      <sheetName val="ОФР"/>
      <sheetName val="ДДС"/>
      <sheetName val="ДДС_приложение"/>
      <sheetName val="ОСВ_авт"/>
      <sheetName val="ОСВ_система"/>
      <sheetName val="Свод_по_счетам"/>
      <sheetName val="01"/>
      <sheetName val="02_01"/>
      <sheetName val="02_02"/>
      <sheetName val="03"/>
      <sheetName val="04"/>
      <sheetName val="05"/>
      <sheetName val="07"/>
      <sheetName val="07_расш"/>
      <sheetName val="08"/>
      <sheetName val="08_расш"/>
      <sheetName val="09"/>
      <sheetName val="10"/>
      <sheetName val="10_расш"/>
      <sheetName val="14"/>
      <sheetName val="15"/>
      <sheetName val="16"/>
      <sheetName val="19"/>
      <sheetName val="Затраты_Вход_1"/>
      <sheetName val="Затраты_Вход_2"/>
      <sheetName val="Затраты_Выход"/>
      <sheetName val="21"/>
      <sheetName val="40"/>
      <sheetName val="41_01"/>
      <sheetName val="41_02"/>
      <sheetName val="43"/>
      <sheetName val="45"/>
      <sheetName val="НЗП_ГП"/>
      <sheetName val="Долгосроч_договоры"/>
      <sheetName val="46"/>
      <sheetName val="50"/>
      <sheetName val="51"/>
      <sheetName val="52"/>
      <sheetName val="55"/>
      <sheetName val="57"/>
      <sheetName val="50_51_52_55_57_движ"/>
      <sheetName val="Фин_договоры"/>
      <sheetName val="58_01_1"/>
      <sheetName val="58_01_2"/>
      <sheetName val="58_02"/>
      <sheetName val="58_02_движ"/>
      <sheetName val="58_03_1"/>
      <sheetName val="58_03_2"/>
      <sheetName val="58_04"/>
      <sheetName val="59_01"/>
      <sheetName val="59_02"/>
      <sheetName val="59_03"/>
      <sheetName val="ДП_полученные"/>
      <sheetName val="ДП_выданные"/>
      <sheetName val="60_01"/>
      <sheetName val="60_02"/>
      <sheetName val="62_01"/>
      <sheetName val="62_02"/>
      <sheetName val="ОКХ"/>
      <sheetName val="60,62,63,76_контр"/>
      <sheetName val="66"/>
      <sheetName val="67"/>
      <sheetName val="68"/>
      <sheetName val="Налог_на_прибыль"/>
      <sheetName val="Налог_пров"/>
      <sheetName val="Налоговые_льготы_имущество"/>
      <sheetName val="Налоговые_льготы_прочие"/>
      <sheetName val="69"/>
      <sheetName val="73"/>
      <sheetName val="75_01"/>
      <sheetName val="75_01_Неденеж"/>
      <sheetName val="75_02"/>
      <sheetName val="76"/>
      <sheetName val="76_01_%"/>
      <sheetName val="77"/>
      <sheetName val="78"/>
      <sheetName val="80"/>
      <sheetName val="83"/>
      <sheetName val="83_расш"/>
      <sheetName val="84"/>
      <sheetName val="84_расш"/>
      <sheetName val="86"/>
      <sheetName val="90"/>
      <sheetName val="90_ОРВГ"/>
      <sheetName val="90_контр"/>
      <sheetName val="91_01"/>
      <sheetName val="91_01_ВГО"/>
      <sheetName val="91_02"/>
      <sheetName val="91_02_ВГО"/>
      <sheetName val="Прочие_расш"/>
      <sheetName val="ОСС"/>
      <sheetName val="96"/>
      <sheetName val="96_движ"/>
      <sheetName val="97"/>
      <sheetName val="98_01"/>
      <sheetName val="98_02"/>
      <sheetName val="98_04"/>
      <sheetName val="99"/>
      <sheetName val="Список изменений в ФСД(2020г)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DK3" t="str">
            <v>Титул</v>
          </cell>
        </row>
        <row r="4">
          <cell r="DK4" t="str">
            <v>Список компаний</v>
          </cell>
        </row>
        <row r="5">
          <cell r="DK5" t="str">
            <v>Проверки</v>
          </cell>
        </row>
        <row r="6">
          <cell r="DK6" t="str">
            <v>ОСВ_система</v>
          </cell>
        </row>
        <row r="7">
          <cell r="DK7" t="str">
            <v>ОСВ авт</v>
          </cell>
        </row>
        <row r="8">
          <cell r="DK8" t="str">
            <v>ОСВ сверка</v>
          </cell>
        </row>
        <row r="9">
          <cell r="DK9" t="str">
            <v>Свод_по_счетам</v>
          </cell>
        </row>
        <row r="10">
          <cell r="DK10" t="str">
            <v>Баланс (Прочие оборотные Активы и Резервы в пассиве, ДБП, ц.ф.)</v>
          </cell>
        </row>
        <row r="11">
          <cell r="DK11" t="str">
            <v>Баланс (Прочие обязательства)</v>
          </cell>
        </row>
        <row r="12">
          <cell r="DK12" t="str">
            <v>Баланс (Заемные средства (как долгосрочные, так и краткосрочные))</v>
          </cell>
        </row>
        <row r="13">
          <cell r="DK13" t="str">
            <v>Баланс (Раздел Капитал)</v>
          </cell>
        </row>
        <row r="14">
          <cell r="DK14" t="str">
            <v>Баланс (Запасы)</v>
          </cell>
        </row>
        <row r="15">
          <cell r="DK15" t="str">
            <v>Баланс (ДТ и КТ )</v>
          </cell>
        </row>
        <row r="16">
          <cell r="DK16" t="str">
            <v xml:space="preserve">Баланс (Денежные средства) </v>
          </cell>
        </row>
        <row r="17">
          <cell r="DK17" t="str">
            <v>Баланс (Финансовые вложения (долгосрочные, краткосрочные))</v>
          </cell>
        </row>
        <row r="18">
          <cell r="DK18" t="str">
            <v>Баланс (ОНА/ОНО)</v>
          </cell>
        </row>
        <row r="19">
          <cell r="DK19" t="str">
            <v>Баланс (1й раздел в части НМА, ОСов, НИОКРов и Прочих ВНА)</v>
          </cell>
        </row>
        <row r="20">
          <cell r="DK20" t="str">
            <v>ОФР</v>
          </cell>
        </row>
        <row r="21">
          <cell r="DK21" t="str">
            <v>ДДС</v>
          </cell>
        </row>
        <row r="22">
          <cell r="DK22" t="str">
            <v>ДДС_приложение</v>
          </cell>
        </row>
        <row r="23">
          <cell r="DK23" t="str">
            <v>01</v>
          </cell>
        </row>
        <row r="24">
          <cell r="DK24" t="str">
            <v>02_01</v>
          </cell>
        </row>
        <row r="25">
          <cell r="DK25" t="str">
            <v>02_02</v>
          </cell>
        </row>
        <row r="26">
          <cell r="DK26" t="str">
            <v>03</v>
          </cell>
        </row>
        <row r="27">
          <cell r="DK27" t="str">
            <v>04</v>
          </cell>
        </row>
        <row r="28">
          <cell r="DK28" t="str">
            <v>05</v>
          </cell>
        </row>
        <row r="29">
          <cell r="DK29" t="str">
            <v>07</v>
          </cell>
        </row>
        <row r="30">
          <cell r="DK30" t="str">
            <v>07_расш</v>
          </cell>
        </row>
        <row r="31">
          <cell r="DK31" t="str">
            <v>08</v>
          </cell>
        </row>
        <row r="32">
          <cell r="DK32" t="str">
            <v>08_расш</v>
          </cell>
        </row>
        <row r="33">
          <cell r="DK33" t="str">
            <v>09</v>
          </cell>
        </row>
        <row r="34">
          <cell r="DK34">
            <v>10</v>
          </cell>
        </row>
        <row r="35">
          <cell r="DK35" t="str">
            <v>10_расш</v>
          </cell>
        </row>
        <row r="36">
          <cell r="DK36">
            <v>14</v>
          </cell>
        </row>
        <row r="37">
          <cell r="DK37">
            <v>15</v>
          </cell>
        </row>
        <row r="38">
          <cell r="DK38">
            <v>16</v>
          </cell>
        </row>
        <row r="39">
          <cell r="DK39">
            <v>19</v>
          </cell>
        </row>
        <row r="40">
          <cell r="DK40" t="str">
            <v>Затраты_Вход_1</v>
          </cell>
        </row>
        <row r="41">
          <cell r="DK41" t="str">
            <v>Затраты_Вход_2</v>
          </cell>
        </row>
        <row r="42">
          <cell r="DK42" t="str">
            <v>Затраты_Выход</v>
          </cell>
        </row>
        <row r="43">
          <cell r="DK43">
            <v>21</v>
          </cell>
        </row>
        <row r="44">
          <cell r="DK44">
            <v>40</v>
          </cell>
        </row>
        <row r="45">
          <cell r="DK45" t="str">
            <v>41_01</v>
          </cell>
        </row>
        <row r="46">
          <cell r="DK46" t="str">
            <v>41_02</v>
          </cell>
        </row>
        <row r="47">
          <cell r="DK47">
            <v>43</v>
          </cell>
        </row>
        <row r="48">
          <cell r="DK48">
            <v>45</v>
          </cell>
        </row>
        <row r="49">
          <cell r="DK49" t="str">
            <v>НЗП_ГП</v>
          </cell>
        </row>
        <row r="50">
          <cell r="DK50" t="str">
            <v>Долгосроч_договоры</v>
          </cell>
        </row>
        <row r="51">
          <cell r="DK51">
            <v>46</v>
          </cell>
        </row>
        <row r="52">
          <cell r="DK52" t="str">
            <v>Дл-ср_договор</v>
          </cell>
        </row>
        <row r="53">
          <cell r="DK53" t="str">
            <v>Гарантии_2</v>
          </cell>
        </row>
        <row r="54">
          <cell r="DK54">
            <v>50</v>
          </cell>
        </row>
        <row r="55">
          <cell r="DK55">
            <v>51</v>
          </cell>
        </row>
        <row r="56">
          <cell r="DK56">
            <v>52</v>
          </cell>
        </row>
        <row r="57">
          <cell r="DK57">
            <v>55</v>
          </cell>
        </row>
        <row r="58">
          <cell r="DK58">
            <v>57</v>
          </cell>
        </row>
        <row r="59">
          <cell r="DK59" t="str">
            <v>50_51_52_55_57_движ</v>
          </cell>
        </row>
        <row r="60">
          <cell r="DK60" t="str">
            <v>Фин_договоры</v>
          </cell>
        </row>
        <row r="61">
          <cell r="DK61" t="str">
            <v>58_01_1</v>
          </cell>
        </row>
        <row r="62">
          <cell r="DK62" t="str">
            <v>58_01_2</v>
          </cell>
        </row>
        <row r="63">
          <cell r="DK63" t="str">
            <v>58_02</v>
          </cell>
        </row>
        <row r="64">
          <cell r="DK64" t="str">
            <v>58_02_движ</v>
          </cell>
        </row>
        <row r="65">
          <cell r="DK65" t="str">
            <v>58_03_1</v>
          </cell>
        </row>
        <row r="66">
          <cell r="DK66" t="str">
            <v>58_03_2</v>
          </cell>
        </row>
        <row r="67">
          <cell r="DK67" t="str">
            <v>58_04</v>
          </cell>
        </row>
        <row r="68">
          <cell r="DK68" t="str">
            <v>59_01</v>
          </cell>
        </row>
        <row r="69">
          <cell r="DK69" t="str">
            <v>59_02</v>
          </cell>
        </row>
        <row r="70">
          <cell r="DK70" t="str">
            <v>59_03</v>
          </cell>
        </row>
        <row r="71">
          <cell r="DK71" t="str">
            <v>ДП_полученные</v>
          </cell>
        </row>
        <row r="72">
          <cell r="DK72" t="str">
            <v>ДП_выданные</v>
          </cell>
        </row>
        <row r="73">
          <cell r="DK73" t="str">
            <v>60_01</v>
          </cell>
        </row>
        <row r="74">
          <cell r="DK74" t="str">
            <v>60_02</v>
          </cell>
        </row>
        <row r="75">
          <cell r="DK75" t="str">
            <v>62_01</v>
          </cell>
        </row>
        <row r="76">
          <cell r="DK76" t="str">
            <v>62_02</v>
          </cell>
        </row>
        <row r="77">
          <cell r="DK77" t="str">
            <v>ОКХ</v>
          </cell>
        </row>
        <row r="78">
          <cell r="DK78" t="str">
            <v>60,62,63,76_контр</v>
          </cell>
        </row>
        <row r="79">
          <cell r="DK79">
            <v>63</v>
          </cell>
        </row>
        <row r="80">
          <cell r="DK80">
            <v>66</v>
          </cell>
        </row>
        <row r="81">
          <cell r="DK81">
            <v>67</v>
          </cell>
        </row>
        <row r="82">
          <cell r="DK82">
            <v>68</v>
          </cell>
        </row>
        <row r="83">
          <cell r="DK83" t="str">
            <v>68_расш</v>
          </cell>
        </row>
        <row r="84">
          <cell r="DK84" t="str">
            <v>Налог_на_прибыль</v>
          </cell>
        </row>
        <row r="85">
          <cell r="DK85" t="str">
            <v>Налог_пров</v>
          </cell>
        </row>
        <row r="86">
          <cell r="DK86" t="str">
            <v>Налоговые_льготы_имущество</v>
          </cell>
        </row>
        <row r="87">
          <cell r="DK87" t="str">
            <v>Налоговые_льготы_прочие</v>
          </cell>
        </row>
        <row r="88">
          <cell r="DK88">
            <v>69</v>
          </cell>
        </row>
        <row r="89">
          <cell r="DK89">
            <v>73</v>
          </cell>
        </row>
        <row r="90">
          <cell r="DK90" t="str">
            <v>75_01</v>
          </cell>
        </row>
        <row r="91">
          <cell r="DK91" t="str">
            <v>75_01_Неденеж</v>
          </cell>
        </row>
        <row r="92">
          <cell r="DK92" t="str">
            <v>75_02</v>
          </cell>
        </row>
        <row r="93">
          <cell r="DK93">
            <v>76</v>
          </cell>
        </row>
        <row r="94">
          <cell r="DK94" t="str">
            <v>76_01_%</v>
          </cell>
        </row>
        <row r="95">
          <cell r="DK95">
            <v>77</v>
          </cell>
        </row>
        <row r="96">
          <cell r="DK96">
            <v>78</v>
          </cell>
        </row>
        <row r="97">
          <cell r="DK97">
            <v>80</v>
          </cell>
        </row>
        <row r="98">
          <cell r="DK98">
            <v>83</v>
          </cell>
        </row>
        <row r="99">
          <cell r="DK99" t="str">
            <v>83_расш</v>
          </cell>
        </row>
        <row r="100">
          <cell r="DK100">
            <v>84</v>
          </cell>
        </row>
        <row r="101">
          <cell r="DK101" t="str">
            <v>84_расш</v>
          </cell>
        </row>
        <row r="102">
          <cell r="DK102">
            <v>86</v>
          </cell>
        </row>
        <row r="103">
          <cell r="DK103">
            <v>90</v>
          </cell>
        </row>
        <row r="104">
          <cell r="DK104" t="str">
            <v>90_ОРВГ</v>
          </cell>
        </row>
        <row r="105">
          <cell r="DK105" t="str">
            <v>90_контр</v>
          </cell>
        </row>
        <row r="106">
          <cell r="DK106" t="str">
            <v>91_01</v>
          </cell>
        </row>
        <row r="107">
          <cell r="DK107" t="str">
            <v>91_01_ВГО</v>
          </cell>
        </row>
        <row r="108">
          <cell r="DK108" t="str">
            <v>91_02</v>
          </cell>
        </row>
        <row r="109">
          <cell r="DK109" t="str">
            <v>91_02_ВГО</v>
          </cell>
        </row>
        <row r="110">
          <cell r="DK110" t="str">
            <v>Прочие_расш</v>
          </cell>
        </row>
        <row r="111">
          <cell r="DK111" t="str">
            <v>ОСС</v>
          </cell>
        </row>
        <row r="112">
          <cell r="DK112">
            <v>96</v>
          </cell>
        </row>
        <row r="113">
          <cell r="DK113" t="str">
            <v>96_движ</v>
          </cell>
        </row>
        <row r="114">
          <cell r="DK114">
            <v>97</v>
          </cell>
        </row>
        <row r="115">
          <cell r="DK115" t="str">
            <v>98_01</v>
          </cell>
        </row>
        <row r="116">
          <cell r="DK116" t="str">
            <v>98_02</v>
          </cell>
        </row>
        <row r="117">
          <cell r="DK117" t="str">
            <v>98_04</v>
          </cell>
        </row>
        <row r="118">
          <cell r="DK118">
            <v>99</v>
          </cell>
        </row>
        <row r="119">
          <cell r="DK119" t="str">
            <v>списки</v>
          </cell>
        </row>
        <row r="120">
          <cell r="DK120" t="str">
            <v>список связанных сторон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токи"/>
      <sheetName val="Титул"/>
      <sheetName val="Технич_лист"/>
      <sheetName val="Содержание"/>
      <sheetName val="Параметры_загрузки"/>
      <sheetName val="Список_компаний"/>
      <sheetName val="Справочник"/>
      <sheetName val="Проверки"/>
      <sheetName val="Проверка_форматов_даты"/>
      <sheetName val="Лист_ошибок"/>
      <sheetName val="mapping"/>
      <sheetName val="tech"/>
      <sheetName val="Баланс"/>
      <sheetName val="ОФР"/>
      <sheetName val="ДДС"/>
      <sheetName val="ДДС_приложение"/>
      <sheetName val="ОСВ_авт"/>
      <sheetName val="ОСВ_система"/>
      <sheetName val="Свод_по_счетам"/>
      <sheetName val="01"/>
      <sheetName val="02_01"/>
      <sheetName val="02_02"/>
      <sheetName val="03"/>
      <sheetName val="04"/>
      <sheetName val="05"/>
      <sheetName val="07"/>
      <sheetName val="07_расш"/>
      <sheetName val="08"/>
      <sheetName val="08_расш"/>
      <sheetName val="09"/>
      <sheetName val="10"/>
      <sheetName val="10_расш"/>
      <sheetName val="14"/>
      <sheetName val="15"/>
      <sheetName val="16"/>
      <sheetName val="19"/>
      <sheetName val="Затраты_Вход_1"/>
      <sheetName val="Затраты_Вход_2"/>
      <sheetName val="Затраты_Выход"/>
      <sheetName val="21"/>
      <sheetName val="40"/>
      <sheetName val="41_01"/>
      <sheetName val="41_02"/>
      <sheetName val="43"/>
      <sheetName val="45"/>
      <sheetName val="НЗП_ГП"/>
      <sheetName val="Долгосроч_договоры"/>
      <sheetName val="46"/>
      <sheetName val="Дл-ср_договор"/>
      <sheetName val="Гарантии_2"/>
      <sheetName val="50"/>
      <sheetName val="51"/>
      <sheetName val="52"/>
      <sheetName val="55"/>
      <sheetName val="57"/>
      <sheetName val="50_51_52_55_57_движ"/>
      <sheetName val="Фин_договоры"/>
      <sheetName val="58_01_1"/>
      <sheetName val="58_01_2"/>
      <sheetName val="58_02"/>
      <sheetName val="58_02_движ"/>
      <sheetName val="58_03_1"/>
      <sheetName val="58_03_2"/>
      <sheetName val="58_04"/>
      <sheetName val="59_01"/>
      <sheetName val="59_02"/>
      <sheetName val="59_03"/>
      <sheetName val="ДП_полученные"/>
      <sheetName val="ДП_выданные"/>
      <sheetName val="60_01"/>
      <sheetName val="60_02"/>
      <sheetName val="62_01"/>
      <sheetName val="62_02"/>
      <sheetName val="60,62_обесп"/>
      <sheetName val="ОКХ"/>
      <sheetName val="60,62,63,76_контр"/>
      <sheetName val="66"/>
      <sheetName val="67"/>
      <sheetName val="68"/>
      <sheetName val="КГН"/>
      <sheetName val="Налог_на_прибыль"/>
      <sheetName val="Налог_пров"/>
      <sheetName val="Налоговые_льготы_имущество"/>
      <sheetName val="Налоговые_льготы_прочие"/>
      <sheetName val="69"/>
      <sheetName val="73"/>
      <sheetName val="75_01"/>
      <sheetName val="75_01_Неденеж"/>
      <sheetName val="75_02"/>
      <sheetName val="76"/>
      <sheetName val="76_01_%"/>
      <sheetName val="77"/>
      <sheetName val="78"/>
      <sheetName val="80"/>
      <sheetName val="83"/>
      <sheetName val="83_расш"/>
      <sheetName val="84"/>
      <sheetName val="84_расш"/>
      <sheetName val="86"/>
      <sheetName val="90"/>
      <sheetName val="90_ОРВГ"/>
      <sheetName val="90_контр"/>
      <sheetName val="91_01"/>
      <sheetName val="91_01_ВГО"/>
      <sheetName val="91_02"/>
      <sheetName val="91_02_ВГО"/>
      <sheetName val="Прочие_расш"/>
      <sheetName val="ОСС"/>
      <sheetName val="96"/>
      <sheetName val="96_движ"/>
      <sheetName val="97"/>
      <sheetName val="98_01"/>
      <sheetName val="98_02"/>
      <sheetName val="98_04"/>
      <sheetName val="99"/>
      <sheetName val="Список изменений в ФСД(2019г) "/>
      <sheetName val="Числ_ФОТ_ИТ"/>
      <sheetName val="Дог_аренды_получ"/>
      <sheetName val="Дог_аренды_выдан"/>
      <sheetName val="Прир_рес"/>
      <sheetName val="Аудит_комп"/>
      <sheetName val="Иск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J4" t="str">
            <v>{1010000} Доходы от долевого участия в других организациях</v>
          </cell>
        </row>
        <row r="5">
          <cell r="J5" t="str">
            <v>{1020000} Доходы от совместной деятельности</v>
          </cell>
        </row>
        <row r="6">
          <cell r="J6" t="str">
            <v>{1030100} Доходы от реализации основных средств (нетто)</v>
          </cell>
        </row>
        <row r="7">
          <cell r="J7" t="str">
            <v>{1030101} Доходы от реализации основных средств (НДС)</v>
          </cell>
        </row>
        <row r="8">
          <cell r="J8" t="str">
            <v>{1030300} Доходы в сумме превышения согласованной учредителями стоимости имущества, переданного в уставный капитал и его балансовой стоимостью (с учетом восстановленного НДС)</v>
          </cell>
        </row>
        <row r="9">
          <cell r="J9" t="str">
            <v>{1040100} Доходы от реализации НМА (нетто)</v>
          </cell>
        </row>
        <row r="10">
          <cell r="J10" t="str">
            <v>{1040101} Доходы от реализации НМА (НДС)</v>
          </cell>
        </row>
        <row r="11">
          <cell r="J11" t="str">
            <v>{1050100} Доходы от реализации незавершенного строительства (нетто)</v>
          </cell>
        </row>
        <row r="12">
          <cell r="J12" t="str">
            <v>{1050101} Доходы от реализации незавершенного строительства (НДС)</v>
          </cell>
        </row>
        <row r="13">
          <cell r="J13" t="str">
            <v>{1060100} Доходы от реализации сырья, материалов и неликвидов (нетто)</v>
          </cell>
        </row>
        <row r="14">
          <cell r="J14" t="str">
            <v>{1060101} Доходы от реализации сырья, материалов и неликвидов (НДС)</v>
          </cell>
        </row>
        <row r="15">
          <cell r="J15" t="str">
            <v>{1060300} Доходы от реализации лома и отходов черных и цветных металлов (нетто)</v>
          </cell>
        </row>
        <row r="16">
          <cell r="J16" t="str">
            <v>{1060500} Доходы от реализации лома и отходов, содержащих драгоценные металлы и камни (нетто)</v>
          </cell>
        </row>
        <row r="17">
          <cell r="J17" t="str">
            <v>{1070104} Доходы от реализации акций дочерних организаций, обращающихся на ОРЦБ</v>
          </cell>
        </row>
        <row r="18">
          <cell r="J18" t="str">
            <v>{1070105} Доходы от реализации акций дочерних организаций, не обращающихся на ОРЦБ</v>
          </cell>
        </row>
        <row r="19">
          <cell r="J19" t="str">
            <v>{1070200} Доходы от реализации паев (долей) в УК дочерних организаций</v>
          </cell>
        </row>
        <row r="20">
          <cell r="J20" t="str">
            <v>{1070304} Доходы от реализации акций зависимых организаций, обращающихся на ОРЦБ</v>
          </cell>
        </row>
        <row r="21">
          <cell r="J21" t="str">
            <v>{1070305} Доходы от реализации акций зависимых организаций, не обращающихся на ОРЦБ</v>
          </cell>
        </row>
        <row r="22">
          <cell r="J22" t="str">
            <v>{1070400} Доходы от реализации паев (долей) в УК зависимых организаций</v>
          </cell>
        </row>
        <row r="23">
          <cell r="J23" t="str">
            <v>{1070504} Доходы от реализации акций прочих организаций, обращающихся на ОРЦБ</v>
          </cell>
        </row>
        <row r="24">
          <cell r="J24" t="str">
            <v>{1070505} Доходы от реализации акций прочих организаций, не обращающихся на ОРЦБ</v>
          </cell>
        </row>
        <row r="25">
          <cell r="J25" t="str">
            <v>{1070600} Доходы от реализации паев (долей) в УК прочих организаций</v>
          </cell>
        </row>
        <row r="26">
          <cell r="J26" t="str">
            <v>{1070700} Доходы от распределения имущества ликвидируемой организации</v>
          </cell>
        </row>
        <row r="27">
          <cell r="J27" t="str">
            <v>{1080100} Доходы от реализации государственных и муниципальных ценных бумаг</v>
          </cell>
        </row>
        <row r="28">
          <cell r="J28" t="str">
            <v>{1080200} Доходы от реализации банковских облигаций</v>
          </cell>
        </row>
        <row r="29">
          <cell r="J29" t="str">
            <v>{1080300} Доходы от реализации банковских векселей</v>
          </cell>
        </row>
        <row r="30">
          <cell r="J30" t="str">
            <v>{1080400} Доходы от реализации векселей прочих эмитентов</v>
          </cell>
        </row>
        <row r="31">
          <cell r="J31" t="str">
            <v>{1080500} Доходы от реализации облигаций прочих эмитентов</v>
          </cell>
        </row>
        <row r="32">
          <cell r="J32" t="str">
            <v>{1080600} Доходы от предъявления векселя к погашению</v>
          </cell>
        </row>
        <row r="33">
          <cell r="J33" t="str">
            <v>{1090100} Доходы от переуступки прав требований до наступления срока платежа</v>
          </cell>
        </row>
        <row r="34">
          <cell r="J34" t="str">
            <v>{1090200} Доходы от переуступки прав требований после наступления срока платежа</v>
          </cell>
        </row>
        <row r="35">
          <cell r="J35" t="str">
            <v>{1090300} Доходы от переуступки прав требований как реализации финансовых услуг</v>
          </cell>
        </row>
        <row r="36">
          <cell r="J36" t="str">
            <v>{1100000} Доходы от реализации прочих финансовых вложений</v>
          </cell>
        </row>
        <row r="37">
          <cell r="J37" t="str">
            <v>{1110100} Доходы от реализации прочих активов (нетто)</v>
          </cell>
        </row>
        <row r="38">
          <cell r="J38" t="str">
            <v>{1110101} Доходы от реализации прочих активов (НДС)</v>
          </cell>
        </row>
        <row r="39">
          <cell r="J39" t="str">
            <v>{1110200} Доходы от реализации доходных вложений (нетто)</v>
          </cell>
        </row>
        <row r="40">
          <cell r="J40" t="str">
            <v>{1110201} Доходы от реализации доходных вложений (НДС)</v>
          </cell>
        </row>
        <row r="41">
          <cell r="J41" t="str">
            <v>{1110300} Доходы от реализации права на земельные участки</v>
          </cell>
        </row>
        <row r="42">
          <cell r="J42" t="str">
            <v>{1120000} Доходы от предоставления в пользование прав на результаты интеллектуальной деятельности</v>
          </cell>
        </row>
        <row r="43">
          <cell r="J43" t="str">
            <v>{1130112} Доходы от ОС, переданных в пользование (аренда, лизинг) (нетто) (объекты движимого имущества)</v>
          </cell>
        </row>
        <row r="44">
          <cell r="J44" t="str">
            <v>{1130113} Доходы от ОС, переданных в пользование (аренда, лизинг) (нетто) (объекты недвижимого имущества)</v>
          </cell>
        </row>
        <row r="45">
          <cell r="J45" t="str">
            <v>{1130122} Доходы от ОС, переданных в пользование (аренда, лизинг) (НДС) (объекты движимого имущества)</v>
          </cell>
        </row>
        <row r="46">
          <cell r="J46" t="str">
            <v>{1130123} Доходы от ОС, переданных в пользование (аренда, лизинг) (НДС) (объекты недвижимого имущества)</v>
          </cell>
        </row>
        <row r="47">
          <cell r="J47" t="str">
            <v>{1130212} Доходы от вложений в материальные ценности, переданные в аренду, лизинг (объекты движимого имущества) (нетто)</v>
          </cell>
        </row>
        <row r="48">
          <cell r="J48" t="str">
            <v>{1130213} Доходы от вложений в материальные ценности, переданные в аренду, лизинг (объекты недвижимого имущества) (нетто)</v>
          </cell>
        </row>
        <row r="49">
          <cell r="J49" t="str">
            <v>{1130222} Доходы от вложений в материальные ценности, переданные в аренду, лизинг (объекты движимого имущества) (НДС)</v>
          </cell>
        </row>
        <row r="50">
          <cell r="J50" t="str">
            <v>{1130223} Доходы от вложений в материальные ценности, переданные в аренду, лизинг (объекты недвижимого имущества) (НДС)</v>
          </cell>
        </row>
        <row r="51">
          <cell r="J51" t="str">
            <v>{1150100} Процентный доход по долгосрочным займам</v>
          </cell>
        </row>
        <row r="52">
          <cell r="J52" t="str">
            <v>{1150200} Дисконтный доход по долгосрочным займам</v>
          </cell>
        </row>
        <row r="53">
          <cell r="J53" t="str">
            <v>{1150300} Процентные доходы от временного использования долгосрочных займов</v>
          </cell>
        </row>
        <row r="54">
          <cell r="J54" t="str">
            <v>{1160100} Процентный доход по краткосрочным займам</v>
          </cell>
        </row>
        <row r="55">
          <cell r="J55" t="str">
            <v>{1160200} Дисконтный доход по краткосрочным займам</v>
          </cell>
        </row>
        <row r="56">
          <cell r="J56" t="str">
            <v>{1160300} Процентные доходы от временного использования краткосрочных займов</v>
          </cell>
        </row>
        <row r="57">
          <cell r="J57" t="str">
            <v>{1170000} Процентный доход по депозитам</v>
          </cell>
        </row>
        <row r="58">
          <cell r="J58" t="str">
            <v>{1180100} Процентный доход по банковским счетам</v>
          </cell>
        </row>
        <row r="59">
          <cell r="J59" t="str">
            <v>{1180200} Процентный доход по векселям</v>
          </cell>
        </row>
        <row r="60">
          <cell r="J60" t="str">
            <v>{1180300} Дисконтный доход по векселям</v>
          </cell>
        </row>
        <row r="61">
          <cell r="J61" t="str">
            <v>{1180400} Процентный доход по облигациям (кроме государственных)</v>
          </cell>
        </row>
        <row r="62">
          <cell r="J62" t="str">
            <v>{1180500} Дисконтный доход по облигациям (кроме государственных)</v>
          </cell>
        </row>
        <row r="63">
          <cell r="J63" t="str">
            <v>{1180600} Процентный доход по государственным облигациям</v>
          </cell>
        </row>
        <row r="64">
          <cell r="J64" t="str">
            <v>{1180700} Дисконтный доход по государственным облигациям</v>
          </cell>
        </row>
        <row r="65">
          <cell r="J65" t="str">
            <v>{1180800} Проценты, полученные по прочим долговым обязательствам</v>
          </cell>
        </row>
        <row r="66">
          <cell r="J66" t="str">
            <v>{1180900} Процентные доходы от изменения дисконтированной стоимости</v>
          </cell>
        </row>
        <row r="67">
          <cell r="J67" t="str">
            <v>{1190110} Доходы в виде неустойки в случае неисполнения или ненадлежащего исполнения обязательства (нетто)</v>
          </cell>
        </row>
        <row r="68">
          <cell r="J68" t="str">
            <v>{1190111} Доходы в виде неустойки в случае неисполнения или ненадлежащего исполнения обязательства (НДС)</v>
          </cell>
        </row>
        <row r="69">
          <cell r="J69" t="str">
            <v>{1190200} Доходы от возмещения убытков, причиненных неисполнением или ненадлежащим исполнением обязательства</v>
          </cell>
        </row>
        <row r="70">
          <cell r="J70" t="str">
            <v>{1190300} Доходы от процентов за пользование чужими денежными средствами вследствие их неправомерного удержания, уклонения от их возврата, иной просрочки в их уплате либо неосновательного получения или сбережения за счет другого лица</v>
          </cell>
        </row>
        <row r="71">
          <cell r="J71" t="str">
            <v>{1200100} Доходы в виде курсовых разниц по дог. в у.е.</v>
          </cell>
        </row>
        <row r="72">
          <cell r="J72" t="str">
            <v>{1200200} Доходы в виде курсовых разниц по обязательствам и активам, выраженным в иностранной валюте</v>
          </cell>
        </row>
        <row r="73">
          <cell r="J73" t="str">
            <v>{1210000} Доходы от операций купли-продажи иностранной валюты</v>
          </cell>
        </row>
        <row r="74">
          <cell r="J74" t="str">
            <v>{1220100} Доходы в виде сумм восстановленных резервов по сомнительной задолженности</v>
          </cell>
        </row>
        <row r="75">
          <cell r="J75" t="str">
            <v>{1220200} Доходы в виде сумм восстановленных резервов под снижение ТМЦ</v>
          </cell>
        </row>
        <row r="76">
          <cell r="J76" t="str">
            <v>{1220300} Доходы в виде сумм восстановленных резервов под обесценение инвестиций/вкладов в УК дочерних организаций</v>
          </cell>
        </row>
        <row r="77">
          <cell r="J77" t="str">
            <v>{1220400} Доходы в виде сумм восстановленных резервов под обесценение инвестиций/вкладов в УК зависимых организаций</v>
          </cell>
        </row>
        <row r="78">
          <cell r="J78" t="str">
            <v>{1220500} Доходы в виде сумм восстановленных резервов под обесценение инвестиций/вкладов в УК прочих организаций, приобретенных для торговли</v>
          </cell>
        </row>
        <row r="79">
          <cell r="J79" t="str">
            <v>{1220600} Доходы в виде сумм восстановленных резервов под обесценение инвестиций/вкладов в УК прочих организаций, приобретенных для прочих целей</v>
          </cell>
        </row>
        <row r="80">
          <cell r="J80" t="str">
            <v>{1220700} Доходы в виде сумм восстановленных резервов под обесценение долговых ценных бумаг, приобретенных для торговли</v>
          </cell>
        </row>
        <row r="81">
          <cell r="J81" t="str">
            <v>{1220800} Доходы в виде сумм восстановленных резервов под обесценение долговых ценных бумаг, приобретенных для прочих целей</v>
          </cell>
        </row>
        <row r="82">
          <cell r="J82" t="str">
            <v>{1220900} Доходы в виде сумм восстановленных резервов под обесценение прочих финансовых вложений</v>
          </cell>
        </row>
        <row r="83">
          <cell r="J83" t="str">
            <v>{1221000} Доходы в виде сумм восстановленных резервов под снижение стоимости незавершенного строительства</v>
          </cell>
        </row>
        <row r="84">
          <cell r="J84" t="str">
            <v>{1230100} Доходы в виде сумм восстановленных оценочных обязательств по рекультивации нарушенных земель</v>
          </cell>
        </row>
        <row r="85">
          <cell r="J85" t="str">
            <v>{1230200} Доходы в виде сумм восстановленных оценочных обязательств на проведение экологических мероприятий</v>
          </cell>
        </row>
        <row r="86">
          <cell r="J86" t="str">
            <v>{1230300} Доходы в виде сумм восстановленных оценочных обязательств по обременительным договорам</v>
          </cell>
        </row>
        <row r="87">
          <cell r="J87" t="str">
            <v>{1230400} Доходы в виде сумм восстановленных оценочных обязательств по судебным искам</v>
          </cell>
        </row>
        <row r="88">
          <cell r="J88" t="str">
            <v>{1230500} Доходы в виде сумм восстановленных оценочных обязательств по налоговым искам/претензиям</v>
          </cell>
        </row>
        <row r="89">
          <cell r="J89" t="str">
            <v>{1230600} Доходы в виде сумм восстановленных оценочных обязательств на реструктуризацию</v>
          </cell>
        </row>
        <row r="90">
          <cell r="J90" t="str">
            <v>{1230700} Доходы в виде сумм восстановленных оценочных обязательств по гарантийным обязательствам</v>
          </cell>
        </row>
        <row r="91">
          <cell r="J91" t="str">
            <v>{1230800} Доходы в виде сумм восстановленных оценочных обязательств по финансовым гарантиям /поручительствам</v>
          </cell>
        </row>
        <row r="92">
          <cell r="J92" t="str">
            <v>{1230900} Доходы в виде сумм восстановленных оценочных обязательств по выводу из эксплуатации объектов основных средств</v>
          </cell>
        </row>
        <row r="93">
          <cell r="J93" t="str">
            <v>{1231000} Доходы в виде сумм восстановленных оценочных обязательств на выплату вознаграждений по итогам года</v>
          </cell>
        </row>
        <row r="94">
          <cell r="J94" t="str">
            <v>{1231100} Доходы в виде сумм восстановленных оценочных обязательств на выплату отпускных</v>
          </cell>
        </row>
        <row r="95">
          <cell r="J95" t="str">
            <v>{1231200} Доходы в виде сумм восстановленных оценочных обязательств по обращению с радиоактивными и прочими отходами</v>
          </cell>
        </row>
        <row r="96">
          <cell r="J96" t="str">
            <v>{1231300} Доходы от восстановления оц.обяз. на выплату проектной премии</v>
          </cell>
        </row>
        <row r="97">
          <cell r="J97" t="str">
            <v>{1231400} Восстановление оценочного обязательства по прочим премиям персоналу в соответствии с ЕУСОТ и выплатам персоналу в рамках реструктуризации</v>
          </cell>
        </row>
        <row r="98">
          <cell r="J98" t="str">
            <v>{1239900} Доходы в виде сумм восстановленных прочих оценочных обязательств</v>
          </cell>
        </row>
        <row r="99">
          <cell r="J99" t="str">
            <v>{1240000} Доходы в виде сумм восстановленных отраслевых резервов</v>
          </cell>
        </row>
        <row r="100">
          <cell r="J100" t="str">
            <v>{1250004} Доходы от переоценки ценных бумаг по рыночной стоимости, обращающихся на ОРЦБ</v>
          </cell>
        </row>
        <row r="101">
          <cell r="J101" t="str">
            <v>{1250005} Доходы от переоценки ценных бумаг по рыночной стоимости, не обращающихся на ОРЦБ</v>
          </cell>
        </row>
        <row r="102">
          <cell r="J102" t="str">
            <v>{1260000} Доходы от поступления дебиторской задолженности, списанной в прошлые годы</v>
          </cell>
        </row>
        <row r="103">
          <cell r="J103" t="str">
            <v>{1270000} Доходы в виде стоимости излишков ТМЦ и прочего имущества, которые выявлены в результате инвентаризации</v>
          </cell>
        </row>
        <row r="104">
          <cell r="J104" t="str">
            <v>{1280000} Доходы в виде стоимости ТМЦ, полученных при ликвидации ОС</v>
          </cell>
        </row>
        <row r="105">
          <cell r="J105" t="str">
            <v>{1290000} Доходы в виде стоимости ТМЦ, полученных при разборке, ликвидации, утилизации МПЗ</v>
          </cell>
        </row>
        <row r="106">
          <cell r="J106" t="str">
            <v>{1300100} Доходы, связанные с имуществом и денежными средствами, полученными из федерального, региональных и местных бюджетов (в рамках инвестиционной деятельности)</v>
          </cell>
        </row>
        <row r="107">
          <cell r="J107" t="str">
            <v>{1300200} Доходы, связанные с имуществом и денежными средствами, полученными из федерального, региональных и местных бюджетов (в рамках операционной и финансовой деятельности)</v>
          </cell>
        </row>
        <row r="108">
          <cell r="J108" t="str">
            <v>{1310100} Доходы, связанные с имуществом, полученным в рамках международной безвозмездной материально-технической помощи</v>
          </cell>
        </row>
        <row r="109">
          <cell r="J109" t="str">
            <v>{1310200} Доходы, связанные с имуществом и денежными средствами, полученными (созданными) за счет средств Специальных резервных фондов ГК</v>
          </cell>
        </row>
        <row r="110">
          <cell r="J110" t="str">
            <v>{1310300} Доход в виде использованного не по назначению имущества, полученного в рамках целевых поступлений, целевого финансирования</v>
          </cell>
        </row>
        <row r="111">
          <cell r="J111" t="str">
            <v>{1310400} Доходы, связанные с имуществом, полученным в счет уплаты взносов Фонда социального страхования</v>
          </cell>
        </row>
        <row r="112">
          <cell r="J112" t="str">
            <v>{1310900} Доходы, связанные с имуществом, полученным в рамках прочего целевого финансирования</v>
          </cell>
        </row>
        <row r="113">
          <cell r="J113" t="str">
            <v>{1320100} Доходы от организации, если уставный капитал получающей стороны не менее чем на 50% состоит из вклада передающей организации (ОС и НМА)</v>
          </cell>
        </row>
        <row r="114">
          <cell r="J114" t="str">
            <v>{1320200} Доходы от организации, если уставный капитал получающей стороны не менее чем на 50% состоит из вклада передающей организации (кроме ОС и НМА)</v>
          </cell>
        </row>
        <row r="115">
          <cell r="J115" t="str">
            <v>{1320300} Доходы от организации, если уставный капитал передающей стороны не менее чем на 50% состоит из вклада получающей организации (ОС и НМА)</v>
          </cell>
        </row>
        <row r="116">
          <cell r="J116" t="str">
            <v>{1320400} Доходы от организации, если уставный капитал передающей стороны не менее чем на 50% состоит из вклада получающей организации (кроме ОС и НМА)</v>
          </cell>
        </row>
        <row r="117">
          <cell r="J117" t="str">
            <v>{1320500} Прочее безвозмездно полученное имущество</v>
          </cell>
        </row>
        <row r="118">
          <cell r="J118" t="str">
            <v>{1330000} Страховое возмещение при наступлении страхового случая</v>
          </cell>
        </row>
        <row r="119">
          <cell r="J119" t="str">
            <v>{1340100} Доходы прошлых лет, выявленные в отчетном периоде (нетто)</v>
          </cell>
        </row>
        <row r="120">
          <cell r="J120" t="str">
            <v>{1340110} Доходы прошлых лет, выявленные в отчетном периоде (НДС)</v>
          </cell>
        </row>
        <row r="121">
          <cell r="J121" t="str">
            <v>{1400500} Доход в виде сумм возврата госпошлин</v>
          </cell>
        </row>
        <row r="122">
          <cell r="J122" t="str">
            <v>{1700000} Доход в виде сумм возврата судебных расходов и арбитражных сборов</v>
          </cell>
        </row>
        <row r="123">
          <cell r="J123" t="str">
            <v>{1710000} Доходы в виде списанной кредиторской задолженности</v>
          </cell>
        </row>
        <row r="124">
          <cell r="J124" t="str">
            <v>{1840000} Положительная вариационная маржа</v>
          </cell>
        </row>
        <row r="125">
          <cell r="J125" t="str">
            <v>{1850000} Прочие доходы от ПФИ, не связанные с реализацией базисного актива</v>
          </cell>
        </row>
        <row r="126">
          <cell r="J126" t="str">
            <v>{1860000} Доходы от переоценки ПФИ по справедливой стоимости</v>
          </cell>
        </row>
        <row r="127">
          <cell r="J127" t="str">
            <v>{1870000} Доходы от предоставления товарных займов (Дт58 Кт 91)</v>
          </cell>
        </row>
        <row r="128">
          <cell r="J128" t="str">
            <v>{1880000} Доходы от получения товарных займов (Дт 66,67 Кт 91)</v>
          </cell>
        </row>
        <row r="129">
          <cell r="J129" t="str">
            <v>{1890000} Доходы полученные при возврате имущества из хозяйственного ведения, оперативного управления</v>
          </cell>
        </row>
        <row r="130">
          <cell r="J130" t="str">
            <v>{1920000} Доходы от переоценки основных средств, введенных в эксплуатацию до принятия ЕУП</v>
          </cell>
        </row>
        <row r="131">
          <cell r="J131" t="str">
            <v>{1999900} Другие доходы (нетто)</v>
          </cell>
        </row>
        <row r="132">
          <cell r="J132" t="str">
            <v>{1999910} Другие доходы (НДС)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_НИОКР"/>
      <sheetName val="Список_компаний"/>
      <sheetName val="Лист3"/>
    </sheetNames>
    <sheetDataSet>
      <sheetData sheetId="0"/>
      <sheetData sheetId="1"/>
      <sheetData sheetId="2">
        <row r="4">
          <cell r="A4" t="str">
            <v>{113201} Резерв на вывод из эксплуатации и НИОКР до 2008</v>
          </cell>
        </row>
        <row r="5">
          <cell r="A5" t="str">
            <v>{113202} Резерв на вывод из эксплуатации и НИОКР 2008</v>
          </cell>
        </row>
        <row r="6">
          <cell r="A6" t="str">
            <v>{113203} Резерв на вывод из эксплуатации и НИОКР 2009</v>
          </cell>
        </row>
        <row r="7">
          <cell r="A7" t="str">
            <v>{113204} Резерв на вывод из эксплуатации и НИОКР 2010</v>
          </cell>
        </row>
        <row r="8">
          <cell r="A8" t="str">
            <v>{113205} Резерв на вывод из эксплуатации и НИОКР 2011</v>
          </cell>
        </row>
        <row r="9">
          <cell r="A9" t="str">
            <v>{113212} Резерв на вывод из эксплуатации и НИОКР 2012</v>
          </cell>
        </row>
        <row r="10">
          <cell r="A10" t="str">
            <v>{113213} Резерв на вывод из эксплуатации и НИОКР 2013</v>
          </cell>
        </row>
        <row r="11">
          <cell r="A11" t="str">
            <v>{113214} Резерв на вывод из эксплуатации и НИОКР 2014</v>
          </cell>
        </row>
        <row r="12">
          <cell r="A12" t="str">
            <v>{113215} Резерв на вывод из эксплуатации и НИОКР 2015</v>
          </cell>
        </row>
        <row r="13">
          <cell r="A13" t="str">
            <v>{113216} Резерв на вывод из эксплуатации и НИОКР 2016</v>
          </cell>
        </row>
        <row r="14">
          <cell r="A14" t="str">
            <v>{113217} Резерв на вывод из эксплуатации и НИОКР 2017</v>
          </cell>
        </row>
        <row r="15">
          <cell r="A15" t="str">
            <v>{113218} Резерв на вывод из эксплуатации и НИОКР 2018</v>
          </cell>
        </row>
        <row r="16">
          <cell r="A16" t="str">
            <v>{113219} Резерв на вывод из эксплуатации и НИОКР 2019</v>
          </cell>
        </row>
        <row r="17">
          <cell r="A17" t="str">
            <v>{113220} Резерв на вывод из эксплуатации и НИОКР 2020</v>
          </cell>
        </row>
        <row r="18">
          <cell r="A18" t="str">
            <v>{113221} Резерв на вывод из эксплуатации и НИОКР 2021</v>
          </cell>
        </row>
        <row r="19">
          <cell r="A19" t="str">
            <v>{125101} Резерв на вывод из эксплуатации и НИОКР ГК до 2008</v>
          </cell>
        </row>
        <row r="20">
          <cell r="A20" t="str">
            <v>{125102} Резерв на вывод из эксплуатации и НИОКР ГК 2008</v>
          </cell>
        </row>
        <row r="21">
          <cell r="A21" t="str">
            <v>{125103} Резерв на вывод из эксплуатации и НИОКР ГК 2009</v>
          </cell>
        </row>
        <row r="22">
          <cell r="A22" t="str">
            <v>{125104} Резерв на вывод из эксплуатации и НИОКР ГК 2010</v>
          </cell>
        </row>
        <row r="23">
          <cell r="A23" t="str">
            <v>{125105} Резерв на вывод из эксплуатации и НИОКР ГК 2011</v>
          </cell>
        </row>
        <row r="24">
          <cell r="A24" t="str">
            <v>{125112} Резерв на вывод из эксплуатации и НИОКР ГК 2012</v>
          </cell>
        </row>
        <row r="25">
          <cell r="A25" t="str">
            <v>{125113} Резерв на вывод из эксплуатации и НИОКР ГК 2013</v>
          </cell>
        </row>
        <row r="26">
          <cell r="A26" t="str">
            <v>{125114} Резерв на вывод из эксплуатации и НИОКР ГК 2014</v>
          </cell>
        </row>
        <row r="27">
          <cell r="A27" t="str">
            <v>{125115} Резерв на вывод из эксплуатации и НИОКР ГК 2015</v>
          </cell>
        </row>
        <row r="28">
          <cell r="A28" t="str">
            <v>{125116} Резерв на вывод из эксплуатации и НИОКР ГК 2016</v>
          </cell>
        </row>
        <row r="29">
          <cell r="A29" t="str">
            <v>{125117} Резерв на вывод из эксплуатации и НИОКР ГК 2017</v>
          </cell>
        </row>
        <row r="30">
          <cell r="A30" t="str">
            <v>{125118} Резерв на вывод из эксплуатации и НИОКР ГК 2018</v>
          </cell>
        </row>
        <row r="31">
          <cell r="A31" t="str">
            <v>{125119} Резерв на вывод из эксплуатации и НИОКР ГК 2019</v>
          </cell>
        </row>
        <row r="32">
          <cell r="A32" t="str">
            <v>{125120} Резерв на вывод из эксплуатации и НИОКР ГК 2020</v>
          </cell>
        </row>
        <row r="33">
          <cell r="A33" t="str">
            <v>{125121} Резерв на вывод из эксплуатации и НИОКР ГК 2021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токи"/>
      <sheetName val="Титул"/>
      <sheetName val="Технич_лист"/>
      <sheetName val="Содержание"/>
      <sheetName val="Параметры_загрузки"/>
      <sheetName val="Список_компаний"/>
      <sheetName val="Справочник"/>
      <sheetName val="Проверки"/>
      <sheetName val="Проверка_форматов_даты"/>
      <sheetName val="Проверка_ГИД"/>
      <sheetName val="Лист_ошибок"/>
      <sheetName val="mapping"/>
      <sheetName val="tech"/>
      <sheetName val="Баланс"/>
      <sheetName val="ОФР"/>
      <sheetName val="ДДС"/>
      <sheetName val="ДДС_приложение"/>
      <sheetName val="ОСВ_авт"/>
      <sheetName val="ОСВ_система"/>
      <sheetName val="Свод_по_счетам"/>
      <sheetName val="01"/>
      <sheetName val="02"/>
      <sheetName val="03"/>
      <sheetName val="04"/>
      <sheetName val="05"/>
      <sheetName val="07"/>
      <sheetName val="07_расш"/>
      <sheetName val="08"/>
      <sheetName val="08_расш"/>
      <sheetName val="08_НИОКР"/>
      <sheetName val="09"/>
      <sheetName val="10"/>
      <sheetName val="10_расш"/>
      <sheetName val="14"/>
      <sheetName val="15"/>
      <sheetName val="16"/>
      <sheetName val="19"/>
      <sheetName val="Затраты_Вход_1"/>
      <sheetName val="Затраты_Вход_2"/>
      <sheetName val="Затраты_Выход"/>
      <sheetName val="21"/>
      <sheetName val="40"/>
      <sheetName val="41_01"/>
      <sheetName val="41_02"/>
      <sheetName val="43"/>
      <sheetName val="45"/>
      <sheetName val="НЗП_ГП"/>
      <sheetName val="Долгосроч_договоры"/>
      <sheetName val="46"/>
      <sheetName val="50"/>
      <sheetName val="51"/>
      <sheetName val="52"/>
      <sheetName val="55"/>
      <sheetName val="57"/>
      <sheetName val="50_51_52_55_57_движ"/>
      <sheetName val="Фин_договоры"/>
      <sheetName val="58_01_1"/>
      <sheetName val="58_01_2"/>
      <sheetName val="58_02"/>
      <sheetName val="58_02_движ"/>
      <sheetName val="58_03_1"/>
      <sheetName val="58_03_2"/>
      <sheetName val="58_04"/>
      <sheetName val="59_01"/>
      <sheetName val="59_02"/>
      <sheetName val="59_03"/>
      <sheetName val="ДП_полученные"/>
      <sheetName val="ДП_выданные"/>
      <sheetName val="60_01"/>
      <sheetName val="60_02"/>
      <sheetName val="62_01"/>
      <sheetName val="62_02"/>
      <sheetName val="ОКХ"/>
      <sheetName val="60,62,63,76_контр"/>
      <sheetName val="66"/>
      <sheetName val="67"/>
      <sheetName val="68"/>
      <sheetName val="Налог_на_прибыль"/>
      <sheetName val="Налог_пров"/>
      <sheetName val="Налоговые_льготы_имущество"/>
      <sheetName val="Налоговые_льготы_прочие"/>
      <sheetName val="69"/>
      <sheetName val="73"/>
      <sheetName val="75_01"/>
      <sheetName val="75_01_Неденеж"/>
      <sheetName val="75_02"/>
      <sheetName val="76"/>
      <sheetName val="76_01_%"/>
      <sheetName val="77"/>
      <sheetName val="78"/>
      <sheetName val="80"/>
      <sheetName val="83"/>
      <sheetName val="83_расш"/>
      <sheetName val="84"/>
      <sheetName val="84_расш"/>
      <sheetName val="86"/>
      <sheetName val="90"/>
      <sheetName val="90_ОРВГ"/>
      <sheetName val="90_контр"/>
      <sheetName val="91_01"/>
      <sheetName val="91_01_ВГО"/>
      <sheetName val="91_02"/>
      <sheetName val="91_02_ВГО"/>
      <sheetName val="Прочие_расш"/>
      <sheetName val="ОСС"/>
      <sheetName val="96"/>
      <sheetName val="96_движ"/>
      <sheetName val="97"/>
      <sheetName val="98_01"/>
      <sheetName val="98_02"/>
      <sheetName val="98_04"/>
      <sheetName val="99"/>
      <sheetName val="Зарубежная_выручка"/>
      <sheetName val="Список изменений в ФСД(2022г)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DL1" t="str">
            <v>Наименование листа</v>
          </cell>
          <cell r="DM1" t="str">
            <v>Наименование формы</v>
          </cell>
          <cell r="DN1" t="str">
            <v>Ответственный сотрудник ОКО за лист ФСД 2022г.</v>
          </cell>
        </row>
        <row r="3">
          <cell r="DL3" t="str">
            <v>Титул</v>
          </cell>
          <cell r="DM3" t="str">
            <v>Титул</v>
          </cell>
          <cell r="DN3" t="str">
            <v>Козлов Николай Викторович  NiVKozlov@rosatom.ru  (499) 949-47-02</v>
          </cell>
        </row>
        <row r="4">
          <cell r="DL4" t="str">
            <v>Список компаний</v>
          </cell>
          <cell r="DM4" t="str">
            <v>Список_компаний</v>
          </cell>
          <cell r="DN4" t="str">
            <v>Козлов Николай Викторович  NiVKozlov@rosatom.ru  (499) 949-47-02</v>
          </cell>
        </row>
        <row r="5">
          <cell r="DL5" t="str">
            <v>Проверки</v>
          </cell>
          <cell r="DM5" t="str">
            <v>Заполнение на основании форм сбора данных</v>
          </cell>
        </row>
        <row r="6">
          <cell r="DL6" t="str">
            <v>ОСВ_система</v>
          </cell>
          <cell r="DM6" t="str">
            <v>Оборотно-сальдовая ведомость. Заполнение из системы</v>
          </cell>
          <cell r="DN6" t="str">
            <v>Андреев Сергей Евгеньевич  SeEAndreev@rosatom.ru  (499) 949-44-84</v>
          </cell>
        </row>
        <row r="7">
          <cell r="DL7" t="str">
            <v>ОСВ авт</v>
          </cell>
          <cell r="DM7" t="str">
            <v>Оборотно-сальдовая ведомость. Заполнение на основании форм сбора данных</v>
          </cell>
          <cell r="DN7" t="str">
            <v>Андреев Сергей Евгеньевич  SeEAndreev@rosatom.ru  (499) 949-44-84</v>
          </cell>
        </row>
        <row r="8">
          <cell r="DL8" t="str">
            <v>ОСВ сверка</v>
          </cell>
          <cell r="DM8" t="str">
            <v>Оборотно-сальдовая ведомость (сверка с данными учетных систем)</v>
          </cell>
          <cell r="DN8" t="str">
            <v>Андреев Сергей Евгеньевич  SeEAndreev@rosatom.ru  (499) 949-44-84</v>
          </cell>
        </row>
        <row r="9">
          <cell r="DL9" t="str">
            <v>Свод_по_счетам</v>
          </cell>
          <cell r="DM9" t="str">
            <v>Сводная таблица по счетам 11, 28, 42, 90.04, 90.05, 90.07, 90.08, 94</v>
          </cell>
          <cell r="DN9" t="str">
            <v>Козлов Николай Викторович  NiVKozlov@rosatom.ru  (499) 949-47-02</v>
          </cell>
        </row>
        <row r="10">
          <cell r="DL10" t="str">
            <v>Баланс (Прочие оборотные Активы и Резервы в пассиве, ДБП, ц.ф.)</v>
          </cell>
          <cell r="DM10" t="str">
            <v xml:space="preserve">Бухгалтерский баланс </v>
          </cell>
          <cell r="DN10" t="str">
            <v>Гуров Александр Анатольевич AAGurov@rosatom.ru  (499) 949-41-27</v>
          </cell>
        </row>
        <row r="11">
          <cell r="DL11" t="str">
            <v>Баланс (Прочие обязательства)</v>
          </cell>
          <cell r="DM11" t="str">
            <v xml:space="preserve">Бухгалтерский баланс </v>
          </cell>
          <cell r="DN11" t="str">
            <v>Гуров Александр Анатольевич AAGurov@rosatom.ru  (499) 949-41-27</v>
          </cell>
        </row>
        <row r="12">
          <cell r="DL12" t="str">
            <v>Баланс (Заемные средства (как долгосрочные, так и краткосрочные))</v>
          </cell>
          <cell r="DM12" t="str">
            <v xml:space="preserve">Бухгалтерский баланс </v>
          </cell>
          <cell r="DN12" t="str">
            <v>Мишуров Александр Владимирович  AlVMishurov@rosatom.ru  (499) 949-46-63</v>
          </cell>
        </row>
        <row r="13">
          <cell r="DL13" t="str">
            <v>Баланс (Раздел Капитал)</v>
          </cell>
          <cell r="DM13" t="str">
            <v xml:space="preserve">Бухгалтерский баланс </v>
          </cell>
          <cell r="DN13" t="str">
            <v>Кукоба Мария Викторовна  MVKukoba@rosatom.ru  (499) 949-26-20</v>
          </cell>
        </row>
        <row r="14">
          <cell r="DL14" t="str">
            <v>Баланс (Запасы)</v>
          </cell>
          <cell r="DM14" t="str">
            <v xml:space="preserve">Бухгалтерский баланс </v>
          </cell>
          <cell r="DN14" t="str">
            <v>Малахай Виктория Николаевна  VNMalakhay@rosatom.ru  (499) 949-48-22</v>
          </cell>
        </row>
        <row r="15">
          <cell r="DL15" t="str">
            <v>Баланс (ДТ и КТ )</v>
          </cell>
          <cell r="DM15" t="str">
            <v xml:space="preserve">Бухгалтерский баланс </v>
          </cell>
          <cell r="DN15" t="str">
            <v>Емельянова Наталия Валериевна  NVEmelyanova@rosatom.ru  (499) 949-47-82</v>
          </cell>
        </row>
        <row r="16">
          <cell r="DL16" t="str">
            <v>Баланс (ДТи КТ, в части аренды)</v>
          </cell>
          <cell r="DM16" t="str">
            <v xml:space="preserve">Бухгалтерский баланс </v>
          </cell>
          <cell r="DN16" t="str">
            <v>Малахай Виктория Николаевна  VNMalakhay@rosatom.ru  (499) 949-48-22</v>
          </cell>
        </row>
        <row r="17">
          <cell r="DL17" t="str">
            <v xml:space="preserve">Баланс (Денежные средства) </v>
          </cell>
          <cell r="DM17" t="str">
            <v xml:space="preserve">Бухгалтерский баланс </v>
          </cell>
          <cell r="DN17" t="str">
            <v>Кожевникова Светлана Игоревна  SIKozhevnikova@rosatom.ru  (499) 949-43-51</v>
          </cell>
        </row>
        <row r="18">
          <cell r="DL18" t="str">
            <v>Баланс (Финансовые вложения (долгосрочные, краткосрочные))</v>
          </cell>
          <cell r="DM18" t="str">
            <v xml:space="preserve">Бухгалтерский баланс </v>
          </cell>
          <cell r="DN18" t="str">
            <v>Бурцева Ольга Леонидовна  OlLBurtseva@rosatom.ru  (499) 949-20-37</v>
          </cell>
        </row>
        <row r="19">
          <cell r="DL19" t="str">
            <v>Баланс (ОНА/ОНО)</v>
          </cell>
          <cell r="DM19" t="str">
            <v xml:space="preserve">Бухгалтерский баланс </v>
          </cell>
          <cell r="DN19" t="str">
            <v>Денисова Ольга Александровна  OAlDenisova@rosatom.ru  (499) 949-41-89</v>
          </cell>
        </row>
        <row r="20">
          <cell r="DL20" t="str">
            <v>Баланс (1й раздел в части НМА, ОСов, НИОКРов и Прочих ВНА)</v>
          </cell>
          <cell r="DM20" t="str">
            <v xml:space="preserve">Бухгалтерский баланс </v>
          </cell>
          <cell r="DN20" t="str">
            <v>Новик Екатерина Михайловна &lt;EMNovik@rosatom.ru&gt;  (499) 949-27-01</v>
          </cell>
        </row>
        <row r="21">
          <cell r="DL21" t="str">
            <v>Баланс (Кредиты и Займы)</v>
          </cell>
          <cell r="DM21" t="str">
            <v xml:space="preserve">Бухгалтерский баланс </v>
          </cell>
          <cell r="DN21" t="str">
            <v>Мишуров Александр Владимирович  AlVMishurov@rosatom.ru  (499) 949-46-63</v>
          </cell>
        </row>
        <row r="22">
          <cell r="DL22" t="str">
            <v>ОФР</v>
          </cell>
          <cell r="DM22" t="str">
            <v>Отчет о финансовых результатах</v>
          </cell>
          <cell r="DN22" t="str">
            <v>Андреев Сергей Евгеньевич  SeEAndreev@rosatom.ru  (499) 949-44-84</v>
          </cell>
        </row>
        <row r="23">
          <cell r="DL23" t="str">
            <v>ДДС</v>
          </cell>
          <cell r="DM23" t="str">
            <v>Отчет о движении денежных средств</v>
          </cell>
          <cell r="DN23" t="str">
            <v>Кукоба Мария Викторовна  MVKukoba@rosatom.ru  (499) 949-26-20
Кожевникова Светлана Игоревна  SIKozhevnikova@rosatom.ru  (499) 949-43-51</v>
          </cell>
        </row>
        <row r="24">
          <cell r="DL24" t="str">
            <v>ДДС_приложение</v>
          </cell>
          <cell r="DM24" t="str">
            <v>Расшифровка движения денежных средств</v>
          </cell>
          <cell r="DN24" t="str">
            <v>Кукоба Мария Викторовна  MVKukoba@rosatom.ru  (499) 949-26-20</v>
          </cell>
        </row>
        <row r="25">
          <cell r="DL25" t="str">
            <v>01</v>
          </cell>
          <cell r="DM25" t="str">
            <v>Счет 01. Основные средства</v>
          </cell>
          <cell r="DN25" t="str">
            <v>Новик Екатерина Михайловна &lt;EMNovik@rosatom.ru&gt;  (499) 949-27-01</v>
          </cell>
        </row>
        <row r="26">
          <cell r="DL26" t="str">
            <v>02</v>
          </cell>
          <cell r="DM26" t="str">
            <v>Счет 02.01. Амортизация основных средств</v>
          </cell>
          <cell r="DN26" t="str">
            <v>Новик Екатерина Михайловна &lt;EMNovik@rosatom.ru&gt;  (499) 949-27-01</v>
          </cell>
        </row>
        <row r="27">
          <cell r="DL27" t="str">
            <v>02_02</v>
          </cell>
          <cell r="DM27" t="str">
            <v>Счет 02.02. Амортизация доходных вложений, учитываемых на счете 03</v>
          </cell>
          <cell r="DN27" t="str">
            <v>Новик Екатерина Михайловна &lt;EMNovik@rosatom.ru&gt;  (499) 949-27-01</v>
          </cell>
        </row>
        <row r="28">
          <cell r="DL28" t="str">
            <v>03</v>
          </cell>
          <cell r="DM28" t="str">
            <v>Счет 03. Доходные вложения в материальные ценности</v>
          </cell>
          <cell r="DN28" t="str">
            <v>Новик Екатерина Михайловна &lt;EMNovik@rosatom.ru&gt;  (499) 949-27-01</v>
          </cell>
        </row>
        <row r="29">
          <cell r="DL29" t="str">
            <v>04</v>
          </cell>
          <cell r="DM29" t="str">
            <v>Счет 04. Нематериальные активы</v>
          </cell>
          <cell r="DN29" t="str">
            <v>Новик Екатерина Михайловна &lt;EMNovik@rosatom.ru&gt;  (499) 949-27-01</v>
          </cell>
        </row>
        <row r="30">
          <cell r="DL30" t="str">
            <v>05</v>
          </cell>
          <cell r="DM30" t="str">
            <v>Счет 05. Амортизация НМА</v>
          </cell>
          <cell r="DN30" t="str">
            <v>Новик Екатерина Михайловна &lt;EMNovik@rosatom.ru&gt;  (499) 949-27-01</v>
          </cell>
        </row>
        <row r="31">
          <cell r="DL31" t="str">
            <v>07</v>
          </cell>
          <cell r="DM31" t="str">
            <v>Счет 07. Оборудование к установке</v>
          </cell>
          <cell r="DN31" t="str">
            <v>Новик Екатерина Михайловна &lt;EMNovik@rosatom.ru&gt;  (499) 949-27-01</v>
          </cell>
        </row>
        <row r="32">
          <cell r="DL32" t="str">
            <v>07_расш</v>
          </cell>
          <cell r="DM32" t="str">
            <v>Счет 07. Оборудование к установке</v>
          </cell>
          <cell r="DN32" t="str">
            <v>Новик Екатерина Михайловна &lt;EMNovik@rosatom.ru&gt;  (499) 949-27-01</v>
          </cell>
        </row>
        <row r="33">
          <cell r="DL33" t="str">
            <v>08</v>
          </cell>
          <cell r="DM33" t="str">
            <v>Счет 08. Капитальные вложения</v>
          </cell>
          <cell r="DN33" t="str">
            <v>Новик Екатерина Михайловна &lt;EMNovik@rosatom.ru&gt;  (499) 949-27-01</v>
          </cell>
        </row>
        <row r="34">
          <cell r="DL34" t="str">
            <v>08_расш</v>
          </cell>
          <cell r="DM34" t="str">
            <v>Счет 08. Дополнительная расшифровка. Источники финансирования</v>
          </cell>
          <cell r="DN34" t="str">
            <v>Новик Екатерина Михайловна &lt;EMNovik@rosatom.ru&gt;  (499) 949-27-01</v>
          </cell>
        </row>
        <row r="35">
          <cell r="DL35" t="str">
            <v>08_НИОКР</v>
          </cell>
          <cell r="DM35" t="str">
            <v>Счет 08. НИОКР</v>
          </cell>
          <cell r="DN35" t="str">
            <v>Новик Екатерина Михайловна &lt;EMNovik@rosatom.ru&gt;  (499) 949-27-01</v>
          </cell>
        </row>
        <row r="36">
          <cell r="DL36" t="str">
            <v>09</v>
          </cell>
          <cell r="DM36" t="str">
            <v>Счет 09. Отложенные налоговые активы</v>
          </cell>
          <cell r="DN36" t="str">
            <v>Денисова Ольга Александровна  OAlDenisova@rosatom.ru  (499) 949-41-89</v>
          </cell>
        </row>
        <row r="37">
          <cell r="DL37">
            <v>10</v>
          </cell>
          <cell r="DM37" t="str">
            <v>Счет 10. Материалы. Сводная таблица</v>
          </cell>
          <cell r="DN37" t="str">
            <v>Малахай Виктория Николаевна  VNMalakhay@rosatom.ru  (499) 949-48-22</v>
          </cell>
        </row>
        <row r="38">
          <cell r="DL38" t="str">
            <v>10_расш</v>
          </cell>
          <cell r="DM38" t="str">
            <v xml:space="preserve">Счет 10. Материалы - Расшифровка остатков для целей раскрытия </v>
          </cell>
          <cell r="DN38" t="str">
            <v>Малахай Виктория Николаевна  VNMalakhay@rosatom.ru  (499) 949-48-22</v>
          </cell>
        </row>
        <row r="39">
          <cell r="DL39">
            <v>14</v>
          </cell>
          <cell r="DM39" t="str">
            <v>Счет 14. Резервы по ТМЦ</v>
          </cell>
          <cell r="DN39" t="str">
            <v>Малахай Виктория Николаевна  VNMalakhay@rosatom.ru  (499) 949-48-22</v>
          </cell>
        </row>
        <row r="40">
          <cell r="DL40">
            <v>15</v>
          </cell>
          <cell r="DM40" t="str">
            <v>Счет 15. Заготовление и приобретение материальных ценностей</v>
          </cell>
          <cell r="DN40" t="str">
            <v>Малахай Виктория Николаевна  VNMalakhay@rosatom.ru  (499) 949-48-22</v>
          </cell>
        </row>
        <row r="41">
          <cell r="DL41">
            <v>16</v>
          </cell>
          <cell r="DM41" t="str">
            <v>Счет 16. Отклонение в стоимости материальных ценностей</v>
          </cell>
          <cell r="DN41" t="str">
            <v>Малахай Виктория Николаевна  VNMalakhay@rosatom.ru  (499) 949-48-22</v>
          </cell>
        </row>
        <row r="42">
          <cell r="DL42">
            <v>19</v>
          </cell>
          <cell r="DM42" t="str">
            <v>Счет 19. НДС по приобретенным ценностям</v>
          </cell>
          <cell r="DN42" t="str">
            <v xml:space="preserve">Емельянова Наталия Валериевна  NVEmelyanova@rosatom.ru  (499) 949-47-82
Храмченко Светлана Игоревна  SIKhramchenko@rosatom.ru  (499) 949-41-93
</v>
          </cell>
        </row>
        <row r="43">
          <cell r="DL43" t="str">
            <v>Затраты_Вход_1</v>
          </cell>
          <cell r="DM43" t="str">
            <v>Затраты Вход 1. Операционные затраты за период</v>
          </cell>
          <cell r="DN43" t="str">
            <v>Андреев Сергей Евгеньевич  SeEAndreev@rosatom.ru  (499) 949-44-84</v>
          </cell>
        </row>
        <row r="44">
          <cell r="DL44" t="str">
            <v>Затраты_Вход_2</v>
          </cell>
          <cell r="DM44" t="str">
            <v xml:space="preserve">Затраты Вход 2. Операционные затраты за период. Расшифровка по источникам финансирования </v>
          </cell>
          <cell r="DN44" t="str">
            <v>Андреев Сергей Евгеньевич  SeEAndreev@rosatom.ru  (499) 949-44-84</v>
          </cell>
        </row>
        <row r="45">
          <cell r="DL45" t="str">
            <v>Затраты_Выход</v>
          </cell>
          <cell r="DM45" t="str">
            <v>Списание затрат периода на себестоимость готовой продукции, товаров, услуг, полуфабрикаты и непроизводственные счета</v>
          </cell>
          <cell r="DN45" t="str">
            <v>Андреев Сергей Евгеньевич  SeEAndreev@rosatom.ru  (499) 949-44-84</v>
          </cell>
        </row>
        <row r="46">
          <cell r="DL46">
            <v>21</v>
          </cell>
          <cell r="DM46" t="str">
            <v>Счет 21. Полуфабрикаты собственного производства</v>
          </cell>
          <cell r="DN46" t="str">
            <v>Малахай Виктория Николаевна  VNMalakhay@rosatom.ru  (499) 949-48-22</v>
          </cell>
        </row>
        <row r="47">
          <cell r="DL47">
            <v>40</v>
          </cell>
          <cell r="DM47" t="str">
            <v>Счет 40.  Выпуск продукции (работ, услуг)</v>
          </cell>
          <cell r="DN47" t="str">
            <v>Малахай Виктория Николаевна  VNMalakhay@rosatom.ru  (499) 949-48-22</v>
          </cell>
        </row>
        <row r="48">
          <cell r="DL48" t="str">
            <v>41_01</v>
          </cell>
          <cell r="DM48" t="str">
            <v>Счет 41.01. Товары для перепродажи на складе</v>
          </cell>
          <cell r="DN48" t="str">
            <v>Малахай Виктория Николаевна  VNMalakhay@rosatom.ru  (499) 949-48-22</v>
          </cell>
        </row>
        <row r="49">
          <cell r="DL49" t="str">
            <v>41_02</v>
          </cell>
          <cell r="DM49" t="str">
            <v>Счет 41.02. Товары для перепродажи в пути</v>
          </cell>
          <cell r="DN49" t="str">
            <v>Малахай Виктория Николаевна  VNMalakhay@rosatom.ru  (499) 949-48-22</v>
          </cell>
        </row>
        <row r="50">
          <cell r="DL50">
            <v>43</v>
          </cell>
          <cell r="DM50" t="str">
            <v>Счет 43. Готовая продукция</v>
          </cell>
          <cell r="DN50" t="str">
            <v>Малахай Виктория Николаевна  VNMalakhay@rosatom.ru  (499) 949-48-22</v>
          </cell>
        </row>
        <row r="51">
          <cell r="DL51">
            <v>45</v>
          </cell>
          <cell r="DM51" t="str">
            <v>Счет 45. Товары отгруженные</v>
          </cell>
          <cell r="DN51" t="str">
            <v>Малахай Виктория Николаевна  VNMalakhay@rosatom.ru  (499) 949-48-22</v>
          </cell>
        </row>
        <row r="52">
          <cell r="DL52" t="str">
            <v>НЗП_ГП</v>
          </cell>
          <cell r="DM52" t="str">
            <v>Сведения об остатках НЗП, ГП для реализации внутри Группы.</v>
          </cell>
          <cell r="DN52" t="str">
            <v>Малахай Виктория Николаевна  VNMalakhay@rosatom.ru  (499) 949-48-22</v>
          </cell>
        </row>
        <row r="53">
          <cell r="DL53" t="str">
            <v>Долгосроч_договоры</v>
          </cell>
          <cell r="DM53" t="str">
            <v>Долгосрочные договоры, не завершенные на отчетную дату</v>
          </cell>
          <cell r="DN53" t="str">
            <v xml:space="preserve">Емельянова Наталия Валериевна  NVEmelyanova@rosatom.ru  (499) 949-47-82
Гуров Александр Анатольевич AAGurov@rosatom.ru  (499) 949-41-27
</v>
          </cell>
        </row>
        <row r="54">
          <cell r="DL54">
            <v>46</v>
          </cell>
          <cell r="DM54" t="str">
            <v>Счет 46. Выполненные этапы по незавершенным работам</v>
          </cell>
          <cell r="DN54" t="str">
            <v>Емельянова Наталия Валериевна  NVEmelyanova@rosatom.ru  (499) 949-47-82</v>
          </cell>
        </row>
        <row r="55">
          <cell r="DL55" t="str">
            <v>Дл-ср_договор</v>
          </cell>
          <cell r="DM55" t="str">
            <v>Расшифровка незавершенного производства в отношении долгосрочных договоров.</v>
          </cell>
          <cell r="DN55" t="str">
            <v>Лист удалён</v>
          </cell>
        </row>
        <row r="56">
          <cell r="DL56" t="str">
            <v>Гарантии_2</v>
          </cell>
          <cell r="DM56" t="str">
            <v>Информация по договорам, содержащим гарантийные обязательства, и о выплаченных компенсациях, возвратах, ремонтах,  исправлениях бракованной продукции/работ за последние 3 года до отчетной даты</v>
          </cell>
          <cell r="DN56" t="str">
            <v>Гуров Александр Анатольевич AAGurov@rosatom.ru  (499) 949-41-27</v>
          </cell>
        </row>
        <row r="57">
          <cell r="DL57">
            <v>50</v>
          </cell>
          <cell r="DM57" t="str">
            <v>Счет 50. Касса</v>
          </cell>
          <cell r="DN57" t="str">
            <v>Кожевникова Светлана Игоревна  SIKozhevnikova@rosatom.ru  (499) 949-43-51</v>
          </cell>
        </row>
        <row r="58">
          <cell r="DL58">
            <v>51</v>
          </cell>
          <cell r="DM58" t="str">
            <v>Счет 51. Расчетные счета</v>
          </cell>
          <cell r="DN58" t="str">
            <v>Кожевникова Светлана Игоревна  SIKozhevnikova@rosatom.ru  (499) 949-43-51</v>
          </cell>
        </row>
        <row r="59">
          <cell r="DL59">
            <v>52</v>
          </cell>
          <cell r="DM59" t="str">
            <v>Счет 52. Валютные счета</v>
          </cell>
          <cell r="DN59" t="str">
            <v>Кожевникова Светлана Игоревна  SIKozhevnikova@rosatom.ru  (499) 949-43-51</v>
          </cell>
        </row>
        <row r="60">
          <cell r="DL60">
            <v>55</v>
          </cell>
          <cell r="DM60" t="str">
            <v>Счет 55. Специальные счета в банках</v>
          </cell>
          <cell r="DN60" t="str">
            <v>Кожевникова Светлана Игоревна  SIKozhevnikova@rosatom.ru  (499) 949-43-51</v>
          </cell>
        </row>
        <row r="61">
          <cell r="DL61">
            <v>57</v>
          </cell>
          <cell r="DM61" t="str">
            <v>Счет 57. Переводы в пути</v>
          </cell>
          <cell r="DN61" t="str">
            <v>Кожевникова Светлана Игоревна  SIKozhevnikova@rosatom.ru  (499) 949-43-51</v>
          </cell>
        </row>
        <row r="62">
          <cell r="DL62" t="str">
            <v>50_51_52_55_57_движ</v>
          </cell>
          <cell r="DM62" t="str">
            <v>Счет 50, 51, 52, 55, 57. Расшифровка движений</v>
          </cell>
          <cell r="DN62" t="str">
            <v>Кожевникова Светлана Игоревна  SIKozhevnikova@rosatom.ru  (499) 949-43-51</v>
          </cell>
        </row>
        <row r="63">
          <cell r="DL63" t="str">
            <v>Фин_договоры</v>
          </cell>
          <cell r="DM63" t="str">
            <v>Финансовые договоры</v>
          </cell>
          <cell r="DN63" t="str">
            <v>Бурцева Ольга Леонидовна  OlLBurtseva@rosatom.ru  (499) 949-20-37
Мишуров Александр Владимирович  AlVMishurov@rosatom.ru  (499) 949-46-63</v>
          </cell>
        </row>
        <row r="64">
          <cell r="DL64" t="str">
            <v>58_01_1</v>
          </cell>
          <cell r="DM64" t="str">
            <v>Счет 58.01.1. Краткосрочные кредиты и займы выданные</v>
          </cell>
          <cell r="DN64" t="str">
            <v>Бурцева Ольга Леонидовна  OlLBurtseva@rosatom.ru  (499) 949-20-37</v>
          </cell>
        </row>
        <row r="65">
          <cell r="DL65" t="str">
            <v>58_01_2</v>
          </cell>
          <cell r="DM65" t="str">
            <v>Счет 58.01.2. Долгосрочные кредиты и займы выданные</v>
          </cell>
          <cell r="DN65" t="str">
            <v>Бурцева Ольга Леонидовна  OlLBurtseva@rosatom.ru  (499) 949-20-37</v>
          </cell>
        </row>
        <row r="66">
          <cell r="DL66" t="str">
            <v>58_02</v>
          </cell>
          <cell r="DM66" t="str">
            <v>Счету 58.02. Долевые инструменты</v>
          </cell>
          <cell r="DN66" t="str">
            <v>Леванков Вячеслав Вячеславович  VVLevankov@rosatom.ru  (499) 949-25-45</v>
          </cell>
        </row>
        <row r="67">
          <cell r="DL67" t="str">
            <v>58_02_движ</v>
          </cell>
          <cell r="DM67" t="str">
            <v>Счет 58.02. Долевые инструменты. Движение</v>
          </cell>
          <cell r="DN67" t="str">
            <v>Леванков Вячеслав Вячеславович  VVLevankov@rosatom.ru  (499) 949-25-45</v>
          </cell>
        </row>
        <row r="68">
          <cell r="DL68" t="str">
            <v>58_03_1</v>
          </cell>
          <cell r="DM68" t="str">
            <v>Счет 58.03.1. Прочие краткосрочные финансовые вложения</v>
          </cell>
          <cell r="DN68" t="str">
            <v>Леванков Вячеслав Вячеславович  VVLevankov@rosatom.ru  (499) 949-25-45</v>
          </cell>
        </row>
        <row r="69">
          <cell r="DL69" t="str">
            <v>58_03_2</v>
          </cell>
          <cell r="DM69" t="str">
            <v>Счет 58.03.2. Прочие долгосрочные финансовые вложения</v>
          </cell>
          <cell r="DN69" t="str">
            <v>Леванков Вячеслав Вячеславович  VVLevankov@rosatom.ru  (499) 949-25-45</v>
          </cell>
        </row>
        <row r="70">
          <cell r="DL70" t="str">
            <v>58_04</v>
          </cell>
          <cell r="DM70" t="str">
            <v>Счет 58.04. Депозиты</v>
          </cell>
          <cell r="DN70" t="str">
            <v>Кожевникова Светлана Игоревна  SIKozhevnikova@rosatom.ru  (499) 949-43-51</v>
          </cell>
        </row>
        <row r="71">
          <cell r="DL71" t="str">
            <v>59_01</v>
          </cell>
          <cell r="DM71" t="str">
            <v>Счет 59.01. Резервы под обесценение займов выданных</v>
          </cell>
          <cell r="DN71" t="str">
            <v>Бурцева Ольга Леонидовна  OlLBurtseva@rosatom.ru  (499) 949-20-37</v>
          </cell>
        </row>
        <row r="72">
          <cell r="DL72" t="str">
            <v>59_02</v>
          </cell>
          <cell r="DM72" t="str">
            <v>Счет 59.02. Резервы под обесценение долевых инструментов</v>
          </cell>
          <cell r="DN72" t="str">
            <v>Леванков Вячеслав Вячеславович  VVLevankov@rosatom.ru  (499) 949-25-45</v>
          </cell>
        </row>
        <row r="73">
          <cell r="DL73" t="str">
            <v>59_03</v>
          </cell>
          <cell r="DM73" t="str">
            <v>Счет 59.03. Резервы под обесценение прочих финансовых вложений</v>
          </cell>
          <cell r="DN73" t="str">
            <v>Леванков Вячеслав Вячеславович  VVLevankov@rosatom.ru  (499) 949-25-45</v>
          </cell>
        </row>
        <row r="74">
          <cell r="DL74" t="str">
            <v>ДП_полученные</v>
          </cell>
          <cell r="DM74" t="str">
            <v>Договоры поручительства полученные</v>
          </cell>
          <cell r="DN74" t="str">
            <v>Смолев Алексей Сергеевич ASSmolev@rosatom.ru  (499) 949-46-63</v>
          </cell>
        </row>
        <row r="75">
          <cell r="DL75" t="str">
            <v>ДП_выданные</v>
          </cell>
          <cell r="DM75" t="str">
            <v>Договоры поручительства выданные</v>
          </cell>
          <cell r="DN75" t="str">
            <v>Смолев Алексей Сергеевич ASSmolev@rosatom.ru  (499) 949-46-63</v>
          </cell>
        </row>
        <row r="76">
          <cell r="DL76" t="str">
            <v>60_01</v>
          </cell>
          <cell r="DM76" t="str">
            <v>Счет 60.01. Кредиторская задолженность</v>
          </cell>
          <cell r="DN76" t="str">
            <v>Емельянова Наталия Валериевна  NVEmelyanova@rosatom.ru  (499) 949-47-82</v>
          </cell>
        </row>
        <row r="77">
          <cell r="DL77" t="str">
            <v>60_02</v>
          </cell>
          <cell r="DM77" t="str">
            <v>Счет 60.02. Авансы выданные</v>
          </cell>
          <cell r="DN77" t="str">
            <v>Емельянова Наталия Валериевна  NVEmelyanova@rosatom.ru  (499) 949-47-82</v>
          </cell>
        </row>
        <row r="78">
          <cell r="DL78" t="str">
            <v>62_01</v>
          </cell>
          <cell r="DM78" t="str">
            <v>Счет 62.01 Дебиторская задолженность</v>
          </cell>
          <cell r="DN78" t="str">
            <v>Емельянова Наталия Валериевна  NVEmelyanova@rosatom.ru  (499) 949-47-82</v>
          </cell>
        </row>
        <row r="79">
          <cell r="DL79" t="str">
            <v>62_02</v>
          </cell>
          <cell r="DM79" t="str">
            <v>Счет 62.02.1. Авансы полученные</v>
          </cell>
          <cell r="DN79" t="str">
            <v>Емельянова Наталия Валериевна  NVEmelyanova@rosatom.ru  (499) 949-47-82</v>
          </cell>
        </row>
        <row r="80">
          <cell r="DL80" t="str">
            <v>ОКХ</v>
          </cell>
          <cell r="DM80" t="str">
            <v>Обязательства капитального характера перед сторонними компаниями</v>
          </cell>
          <cell r="DN80" t="str">
            <v>Емельянова Наталия Валериевна  NVEmelyanova@rosatom.ru  (499) 949-47-82</v>
          </cell>
        </row>
        <row r="81">
          <cell r="DL81" t="str">
            <v>60,62,63,76_контр</v>
          </cell>
          <cell r="DM81" t="str">
            <v xml:space="preserve">Счет 60, 62, 63, 76. Расшифровка остатков задолженности по контрагентам и договорам. </v>
          </cell>
          <cell r="DN81" t="str">
            <v>Емельянова Наталия Валериевна  NVEmelyanova@rosatom.ru  (499) 949-47-82</v>
          </cell>
        </row>
        <row r="82">
          <cell r="DL82">
            <v>63</v>
          </cell>
          <cell r="DM82" t="str">
            <v>Счет 63. Резервы по сомнительной дебиторской задолженности</v>
          </cell>
          <cell r="DN82" t="str">
            <v>Емельянова Наталия Валериевна  NVEmelyanova@rosatom.ru  (499) 949-47-82</v>
          </cell>
        </row>
        <row r="83">
          <cell r="DL83">
            <v>66</v>
          </cell>
          <cell r="DM83" t="str">
            <v>Счет 66. Краткосрочные займы и кредиты полученные</v>
          </cell>
          <cell r="DN83" t="str">
            <v>Мишуров Александр Владимирович  AlVMishurov@rosatom.ru  (499) 949-46-63</v>
          </cell>
        </row>
        <row r="84">
          <cell r="DL84">
            <v>67</v>
          </cell>
          <cell r="DM84" t="str">
            <v>Счет 67. Долгосрочные займы и кредиты полученные</v>
          </cell>
          <cell r="DN84" t="str">
            <v>Мишуров Александр Владимирович  AlVMishurov@rosatom.ru  (499) 949-46-63</v>
          </cell>
        </row>
        <row r="85">
          <cell r="DL85">
            <v>68</v>
          </cell>
          <cell r="DM85" t="str">
            <v>Счет 68. Расчеты по налогам и сборам</v>
          </cell>
          <cell r="DN85" t="str">
            <v>Денисова Ольга Александровна  OAlDenisova@rosatom.ru  (499) 949-41-89</v>
          </cell>
        </row>
        <row r="86">
          <cell r="DL86" t="str">
            <v>68_расш</v>
          </cell>
          <cell r="DM86" t="str">
            <v>Счет 68. Расшифровка по бюджетам</v>
          </cell>
          <cell r="DN86" t="str">
            <v>Денисова Ольга Александровна  OAlDenisova@rosatom.ru  (499) 949-41-89</v>
          </cell>
        </row>
        <row r="87">
          <cell r="DL87" t="str">
            <v>Налог_на_прибыль</v>
          </cell>
          <cell r="DM87" t="str">
            <v>Налог на прибыль</v>
          </cell>
          <cell r="DN87" t="str">
            <v>Денисова Ольга Александровна  OAlDenisova@rosatom.ru  (499) 949-41-89</v>
          </cell>
        </row>
        <row r="88">
          <cell r="DL88" t="str">
            <v>Налог_пров</v>
          </cell>
          <cell r="DM88" t="str">
            <v>Информация о проверках налоговых органов</v>
          </cell>
          <cell r="DN88" t="str">
            <v>Денисова Ольга Александровна  OAlDenisova@rosatom.ru  (499) 949-41-89</v>
          </cell>
        </row>
        <row r="89">
          <cell r="DL89" t="str">
            <v>Налоговые_льготы_имущество</v>
          </cell>
          <cell r="DM89" t="str">
            <v>Остаточная стоимость ОС, ДВМЦ и льготы по налогу на имущество</v>
          </cell>
          <cell r="DN89" t="str">
            <v>Денисова Ольга Александровна  OAlDenisova@rosatom.ru  (499) 949-41-89</v>
          </cell>
        </row>
        <row r="90">
          <cell r="DL90" t="str">
            <v>Налоговые_льготы_прочие</v>
          </cell>
          <cell r="DM90" t="str">
            <v>Налоговые льготы (НДС, налог на прибыль, земельный налог)</v>
          </cell>
          <cell r="DN90" t="str">
            <v>Денисова Ольга Александровна  OAlDenisova@rosatom.ru  (499) 949-41-89</v>
          </cell>
        </row>
        <row r="91">
          <cell r="DL91">
            <v>69</v>
          </cell>
          <cell r="DM91" t="str">
            <v>Счет 69. Расчеты по социальному страхованию и обеспечению</v>
          </cell>
          <cell r="DN91" t="str">
            <v>Денисова Ольга Александровна  OAlDenisova@rosatom.ru  (499) 949-41-89</v>
          </cell>
        </row>
        <row r="92">
          <cell r="DL92">
            <v>73</v>
          </cell>
          <cell r="DM92" t="str">
            <v>Счет 73. Расчеты с персоналом по прочим операциям</v>
          </cell>
          <cell r="DN92" t="str">
            <v>Кожевникова Светлана Игоревна  SIKozhevnikova@rosatom.ru  (499) 949-43-51</v>
          </cell>
        </row>
        <row r="93">
          <cell r="DL93" t="str">
            <v>75_01</v>
          </cell>
          <cell r="DM93" t="str">
            <v>Счет 75.01. Расчеты с учредителями по взносам в УК</v>
          </cell>
          <cell r="DN93" t="str">
            <v>Кукоба Мария Викторовна  MVKukoba@rosatom.ru  (499) 949-26-20</v>
          </cell>
        </row>
        <row r="94">
          <cell r="DL94" t="str">
            <v>75_01_Неденеж</v>
          </cell>
          <cell r="DM94" t="str">
            <v>Счет 75.01. Неденежные взносы в УК в разрезе контрагентов</v>
          </cell>
          <cell r="DN94" t="str">
            <v>Кукоба Мария Викторовна  MVKukoba@rosatom.ru  (499) 949-26-20</v>
          </cell>
        </row>
        <row r="95">
          <cell r="DL95" t="str">
            <v>75_02</v>
          </cell>
          <cell r="DM95" t="str">
            <v>Счет 75.02. Расчеты с учредителями по выплате доходов</v>
          </cell>
          <cell r="DN95" t="str">
            <v>Кукоба Мария Викторовна  MVKukoba@rosatom.ru  (499) 949-26-20</v>
          </cell>
        </row>
        <row r="96">
          <cell r="DL96">
            <v>76</v>
          </cell>
          <cell r="DM96" t="str">
            <v>Счет 76. Расчеты с прочими дебиторами/кредиторами</v>
          </cell>
          <cell r="DN96" t="str">
            <v>Емельянова Наталия Валериевна  NVEmelyanova@rosatom.ru  (499) 949-47-82</v>
          </cell>
        </row>
        <row r="97">
          <cell r="DL97" t="str">
            <v>76_01_%</v>
          </cell>
          <cell r="DM97" t="str">
            <v>Счет 76.01. Проценты по финансовым вложениям к получению, которые ожидаются к погашению в течение 12 месяцев после отчетной даты. Расшифровочная таблица</v>
          </cell>
          <cell r="DN97" t="str">
            <v>Бурцева Ольга Леонидовна  OlLBurtseva@rosatom.ru  (499) 949-20-37</v>
          </cell>
        </row>
        <row r="98">
          <cell r="DL98">
            <v>77</v>
          </cell>
          <cell r="DM98" t="str">
            <v>Счет 77. Отложенные налоговые обязательства</v>
          </cell>
          <cell r="DN98" t="str">
            <v>Денисова Ольга Александровна  OAlDenisova@rosatom.ru  (499) 949-41-89</v>
          </cell>
        </row>
        <row r="99">
          <cell r="DL99">
            <v>78</v>
          </cell>
          <cell r="DM99" t="str">
            <v>Счет 78. Расчеты с участниками КГН</v>
          </cell>
          <cell r="DN99" t="str">
            <v>Денисова Ольга Александровна  OAlDenisova@rosatom.ru  (499) 949-41-89</v>
          </cell>
        </row>
        <row r="100">
          <cell r="DL100">
            <v>80</v>
          </cell>
          <cell r="DM100" t="str">
            <v>Счет 80. Уставный капитал</v>
          </cell>
          <cell r="DN100" t="str">
            <v>Кукоба Мария Викторовна  MVKukoba@rosatom.ru  (499) 949-26-20</v>
          </cell>
        </row>
        <row r="101">
          <cell r="DL101">
            <v>83</v>
          </cell>
          <cell r="DM101" t="str">
            <v>Счет 83. Добавочный капитал</v>
          </cell>
          <cell r="DN101" t="str">
            <v>Кукоба Мария Викторовна  MVKukoba@rosatom.ru  (499) 949-26-20</v>
          </cell>
        </row>
        <row r="102">
          <cell r="DL102" t="str">
            <v>83_расш</v>
          </cell>
          <cell r="DM102" t="str">
            <v>Расшифровка данных по дополнительной эмиссии по счету 83</v>
          </cell>
          <cell r="DN102" t="str">
            <v>Кукоба Мария Викторовна  MVKukoba@rosatom.ru  (499) 949-26-20</v>
          </cell>
        </row>
        <row r="103">
          <cell r="DL103">
            <v>84</v>
          </cell>
          <cell r="DM103" t="str">
            <v>Счет 84. Нераспределенная прибыль/непокрытый убыток</v>
          </cell>
          <cell r="DN103" t="str">
            <v>Храмченко Светлана Игоревна SIKhramchenko@rosatom.ru  (499) 949-4193</v>
          </cell>
        </row>
        <row r="104">
          <cell r="DL104" t="str">
            <v>84_расш</v>
          </cell>
          <cell r="DM104" t="str">
            <v>Счет 84. Дополнительная расшифровка</v>
          </cell>
          <cell r="DN104" t="str">
            <v>Храмченко Светлана Игоревна SIKhramchenko@rosatom.ru  (499) 949-4193</v>
          </cell>
        </row>
        <row r="105">
          <cell r="DL105">
            <v>86</v>
          </cell>
          <cell r="DM105" t="str">
            <v>Счет 86. Целевое финансирование</v>
          </cell>
          <cell r="DN105" t="str">
            <v>Леванков Вячеслав Вячеславович  VVLevankov@rosatom.ru  (499) 949-25-45</v>
          </cell>
        </row>
        <row r="106">
          <cell r="DL106">
            <v>90</v>
          </cell>
          <cell r="DM106" t="str">
            <v>Отчет о реализации по внешним контрагентам (90 счет)</v>
          </cell>
          <cell r="DN106" t="str">
            <v>Андреев Сергей Евгеньевич  SeEAndreev@rosatom.ru  (499) 949-44-84</v>
          </cell>
        </row>
        <row r="107">
          <cell r="DL107" t="str">
            <v>90_ОРВГ</v>
          </cell>
          <cell r="DM107" t="str">
            <v>Отчет о реализации внутри группы (90 счет)</v>
          </cell>
          <cell r="DN107" t="str">
            <v>Андреев Сергей Евгеньевич  SeEAndreev@rosatom.ru  (499) 949-44-84</v>
          </cell>
        </row>
        <row r="108">
          <cell r="DL108" t="str">
            <v>90_контр</v>
          </cell>
          <cell r="DM108" t="str">
            <v>Счет 90. Расшифровка реализации по внешним контрагентам.</v>
          </cell>
          <cell r="DN108" t="str">
            <v>Андреев Сергей Евгеньевич  SeEAndreev@rosatom.ru  (499) 949-44-84</v>
          </cell>
        </row>
        <row r="109">
          <cell r="DL109" t="str">
            <v>91_01</v>
          </cell>
          <cell r="DM109" t="str">
            <v>Счет 91.01. Прочие доходы</v>
          </cell>
          <cell r="DN109" t="str">
            <v>Храмченко Светлана Игоревна SIKhramchenko@rosatom.ru  (499) 949-4193</v>
          </cell>
        </row>
        <row r="110">
          <cell r="DL110" t="str">
            <v>91_01_ВГО</v>
          </cell>
          <cell r="DM110" t="str">
            <v>Внутригрупповые прочие доходы (счет 91.01)</v>
          </cell>
          <cell r="DN110" t="str">
            <v>Храмченко Светлана Игоревна SIKhramchenko@rosatom.ru  (499) 949-4193</v>
          </cell>
        </row>
        <row r="111">
          <cell r="DL111" t="str">
            <v>91_02</v>
          </cell>
          <cell r="DM111" t="str">
            <v>Счет 91.02. Прочие расходы</v>
          </cell>
          <cell r="DN111" t="str">
            <v>Храмченко Светлана Игоревна SIKhramchenko@rosatom.ru  (499) 949-4193</v>
          </cell>
        </row>
        <row r="112">
          <cell r="DL112" t="str">
            <v>91_02_ВГО</v>
          </cell>
          <cell r="DM112" t="str">
            <v>Внутригрупповые прочие расходы (счет 91.02)</v>
          </cell>
          <cell r="DN112" t="str">
            <v>Храмченко Светлана Игоревна SIKhramchenko@rosatom.ru  (499) 949-4193</v>
          </cell>
        </row>
        <row r="113">
          <cell r="DL113" t="str">
            <v>Прочие_расш</v>
          </cell>
          <cell r="DM113" t="str">
            <v>Расшифровка прочих расходов по видам затрат</v>
          </cell>
          <cell r="DN113" t="str">
            <v>Андреев Сергей Евгеньевич  SeEAndreev@rosatom.ru  (499) 949-44-84</v>
          </cell>
        </row>
        <row r="114">
          <cell r="DL114" t="str">
            <v>ОСС</v>
          </cell>
          <cell r="DM114" t="str">
            <v>Операции (обороты) со связанными сторонами - ассоциированные компании, предприятия под контролем государства.</v>
          </cell>
          <cell r="DN114" t="str">
            <v>Малахай Виктория Николаевна  VNMalakhay@rosatom.ru  (499) 949-48-22</v>
          </cell>
        </row>
        <row r="115">
          <cell r="DL115">
            <v>96</v>
          </cell>
          <cell r="DM115" t="str">
            <v>Счет 96. Резервы</v>
          </cell>
          <cell r="DN115" t="str">
            <v>Гуров Александр Анатольевич AAGurov@rosatom.ru  (499) 949-41-27</v>
          </cell>
        </row>
        <row r="116">
          <cell r="DL116" t="str">
            <v>96_движ</v>
          </cell>
          <cell r="DM116" t="str">
            <v xml:space="preserve">Счет 96. Использование резервов. </v>
          </cell>
          <cell r="DN116" t="str">
            <v>Гуров Александр Анатольевич AAGurov@rosatom.ru  (499) 949-41-27</v>
          </cell>
        </row>
        <row r="117">
          <cell r="DL117">
            <v>97</v>
          </cell>
          <cell r="DM117" t="str">
            <v xml:space="preserve">Счет 97.01. Расходы будущих периодов. </v>
          </cell>
          <cell r="DN117" t="str">
            <v>Новик Екатерина Михайловна &lt;EMNovik@rosatom.ru&gt;  (499) 949-27-01</v>
          </cell>
        </row>
        <row r="118">
          <cell r="DL118" t="str">
            <v>98_01</v>
          </cell>
          <cell r="DM118" t="str">
            <v>Счет 98.01. Целевое финансирование</v>
          </cell>
          <cell r="DN118" t="str">
            <v>Гуров Александр Анатольевич AAGurov@rosatom.ru  (499) 949-41-27</v>
          </cell>
        </row>
        <row r="119">
          <cell r="DL119" t="str">
            <v>98_02</v>
          </cell>
          <cell r="DM119" t="str">
            <v>Счет 98.02 Безвозмездные поступления</v>
          </cell>
          <cell r="DN119" t="str">
            <v>Гуров Александр Анатольевич AAGurov@rosatom.ru  (499) 949-41-27</v>
          </cell>
        </row>
        <row r="120">
          <cell r="DL120" t="str">
            <v>98_04</v>
          </cell>
          <cell r="DM120" t="str">
            <v>Счет 98.04 Прочие доходы, полученные в счет будущих периодов (реализация товаров, работ, услуг, дисконт по финансовым вложениям)</v>
          </cell>
          <cell r="DN120" t="str">
            <v>Гуров Александр Анатольевич AAGurov@rosatom.ru  (499) 949-41-27</v>
          </cell>
        </row>
        <row r="121">
          <cell r="DL121">
            <v>99</v>
          </cell>
          <cell r="DM121" t="str">
            <v>Счет 99. Прибыль и убытки</v>
          </cell>
          <cell r="DN121" t="str">
            <v>Храмченко Светлана Игоревна SIKhramchenko@rosatom.ru  (499) 949-4193</v>
          </cell>
        </row>
        <row r="122">
          <cell r="DL122" t="str">
            <v>Зарубежная_выручка</v>
          </cell>
          <cell r="DM122" t="str">
            <v>Расшифровка зарубежной выручки (за пределы РФ)</v>
          </cell>
          <cell r="DN122" t="str">
            <v>Терешин Артем Викторович 
AVTeryoshin@rosatom.ru (499) 949-46-16</v>
          </cell>
        </row>
        <row r="123">
          <cell r="DL123" t="str">
            <v>списки</v>
          </cell>
          <cell r="DN123" t="str">
            <v>Козлов Николай Викторович  NiVKozlov@rosatom.ru  (499) 949-47-02</v>
          </cell>
        </row>
        <row r="124">
          <cell r="DL124" t="str">
            <v>список связанных сторон</v>
          </cell>
          <cell r="DN124" t="str">
            <v>Малахай Виктория Николаевна  VNMalakhay@rosatom.ru  (499) 949-48-22</v>
          </cell>
        </row>
        <row r="125">
          <cell r="DL125" t="str">
            <v>01_Аренда</v>
          </cell>
          <cell r="DM125" t="str">
            <v>Счет 01. Аренда</v>
          </cell>
          <cell r="DN125" t="str">
            <v>Малахай Виктория Николаевна  VNMalakhay@rosatom.ru  (499) 949-48-22</v>
          </cell>
        </row>
        <row r="126">
          <cell r="DL126" t="str">
            <v>02_Аренда</v>
          </cell>
          <cell r="DM126" t="str">
            <v>Счет 02. Аренда</v>
          </cell>
          <cell r="DN126" t="str">
            <v>Малахай Виктория Николаевна  VNMalakhay@rosatom.ru  (499) 949-48-22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15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Relationship Id="rId6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4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9.bin"/><Relationship Id="rId4" Type="http://schemas.openxmlformats.org/officeDocument/2006/relationships/printerSettings" Target="../printerSettings/printerSettings4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54.bin"/><Relationship Id="rId7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5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6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69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4" Type="http://schemas.openxmlformats.org/officeDocument/2006/relationships/printerSettings" Target="../printerSettings/printerSettings70.bin"/><Relationship Id="rId9" Type="http://schemas.openxmlformats.org/officeDocument/2006/relationships/ctrlProp" Target="../ctrlProps/ctrlProp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75.bin"/><Relationship Id="rId7" Type="http://schemas.openxmlformats.org/officeDocument/2006/relationships/printerSettings" Target="../printerSettings/printerSettings79.bin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74.bin"/><Relationship Id="rId1" Type="http://schemas.openxmlformats.org/officeDocument/2006/relationships/printerSettings" Target="../printerSettings/printerSettings73.bin"/><Relationship Id="rId6" Type="http://schemas.openxmlformats.org/officeDocument/2006/relationships/printerSettings" Target="../printerSettings/printerSettings78.bin"/><Relationship Id="rId11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7.bin"/><Relationship Id="rId10" Type="http://schemas.openxmlformats.org/officeDocument/2006/relationships/drawing" Target="../drawings/drawing5.xml"/><Relationship Id="rId4" Type="http://schemas.openxmlformats.org/officeDocument/2006/relationships/printerSettings" Target="../printerSettings/printerSettings76.bin"/><Relationship Id="rId9" Type="http://schemas.openxmlformats.org/officeDocument/2006/relationships/printerSettings" Target="../printerSettings/printerSettings8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2.bin"/><Relationship Id="rId4" Type="http://schemas.openxmlformats.org/officeDocument/2006/relationships/ctrlProp" Target="../ctrlProps/ctrlProp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1.bin"/><Relationship Id="rId3" Type="http://schemas.openxmlformats.org/officeDocument/2006/relationships/printerSettings" Target="../printerSettings/printerSettings86.bin"/><Relationship Id="rId7" Type="http://schemas.openxmlformats.org/officeDocument/2006/relationships/printerSettings" Target="../printerSettings/printerSettings90.bin"/><Relationship Id="rId2" Type="http://schemas.openxmlformats.org/officeDocument/2006/relationships/printerSettings" Target="../printerSettings/printerSettings85.bin"/><Relationship Id="rId1" Type="http://schemas.openxmlformats.org/officeDocument/2006/relationships/printerSettings" Target="../printerSettings/printerSettings84.bin"/><Relationship Id="rId6" Type="http://schemas.openxmlformats.org/officeDocument/2006/relationships/printerSettings" Target="../printerSettings/printerSettings89.bin"/><Relationship Id="rId5" Type="http://schemas.openxmlformats.org/officeDocument/2006/relationships/printerSettings" Target="../printerSettings/printerSettings88.bin"/><Relationship Id="rId4" Type="http://schemas.openxmlformats.org/officeDocument/2006/relationships/printerSettings" Target="../printerSettings/printerSettings87.bin"/><Relationship Id="rId9" Type="http://schemas.openxmlformats.org/officeDocument/2006/relationships/printerSettings" Target="../printerSettings/printerSettings92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0.bin"/><Relationship Id="rId3" Type="http://schemas.openxmlformats.org/officeDocument/2006/relationships/printerSettings" Target="../printerSettings/printerSettings95.bin"/><Relationship Id="rId7" Type="http://schemas.openxmlformats.org/officeDocument/2006/relationships/printerSettings" Target="../printerSettings/printerSettings99.bin"/><Relationship Id="rId2" Type="http://schemas.openxmlformats.org/officeDocument/2006/relationships/printerSettings" Target="../printerSettings/printerSettings94.bin"/><Relationship Id="rId1" Type="http://schemas.openxmlformats.org/officeDocument/2006/relationships/printerSettings" Target="../printerSettings/printerSettings93.bin"/><Relationship Id="rId6" Type="http://schemas.openxmlformats.org/officeDocument/2006/relationships/printerSettings" Target="../printerSettings/printerSettings98.bin"/><Relationship Id="rId5" Type="http://schemas.openxmlformats.org/officeDocument/2006/relationships/printerSettings" Target="../printerSettings/printerSettings97.bin"/><Relationship Id="rId4" Type="http://schemas.openxmlformats.org/officeDocument/2006/relationships/printerSettings" Target="../printerSettings/printerSettings96.bin"/><Relationship Id="rId9" Type="http://schemas.openxmlformats.org/officeDocument/2006/relationships/printerSettings" Target="../printerSettings/printerSettings10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2.bin"/><Relationship Id="rId4" Type="http://schemas.openxmlformats.org/officeDocument/2006/relationships/ctrlProp" Target="../ctrlProps/ctrlProp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4.bin"/><Relationship Id="rId4" Type="http://schemas.openxmlformats.org/officeDocument/2006/relationships/ctrlProp" Target="../ctrlProps/ctrlProp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5.bin"/><Relationship Id="rId4" Type="http://schemas.openxmlformats.org/officeDocument/2006/relationships/ctrlProp" Target="../ctrlProps/ctrlProp1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8.bin"/><Relationship Id="rId7" Type="http://schemas.openxmlformats.org/officeDocument/2006/relationships/printerSettings" Target="../printerSettings/printerSettings112.bin"/><Relationship Id="rId2" Type="http://schemas.openxmlformats.org/officeDocument/2006/relationships/printerSettings" Target="../printerSettings/printerSettings107.bin"/><Relationship Id="rId1" Type="http://schemas.openxmlformats.org/officeDocument/2006/relationships/printerSettings" Target="../printerSettings/printerSettings106.bin"/><Relationship Id="rId6" Type="http://schemas.openxmlformats.org/officeDocument/2006/relationships/printerSettings" Target="../printerSettings/printerSettings111.bin"/><Relationship Id="rId5" Type="http://schemas.openxmlformats.org/officeDocument/2006/relationships/printerSettings" Target="../printerSettings/printerSettings110.bin"/><Relationship Id="rId4" Type="http://schemas.openxmlformats.org/officeDocument/2006/relationships/printerSettings" Target="../printerSettings/printerSettings109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3.bin"/><Relationship Id="rId4" Type="http://schemas.openxmlformats.org/officeDocument/2006/relationships/ctrlProp" Target="../ctrlProps/ctrlProp1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4.bin"/><Relationship Id="rId4" Type="http://schemas.openxmlformats.org/officeDocument/2006/relationships/ctrlProp" Target="../ctrlProps/ctrlProp1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5.bin"/><Relationship Id="rId4" Type="http://schemas.openxmlformats.org/officeDocument/2006/relationships/ctrlProp" Target="../ctrlProps/ctrlProp13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5.vml"/><Relationship Id="rId3" Type="http://schemas.openxmlformats.org/officeDocument/2006/relationships/printerSettings" Target="../printerSettings/printerSettings118.bin"/><Relationship Id="rId7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7.bin"/><Relationship Id="rId1" Type="http://schemas.openxmlformats.org/officeDocument/2006/relationships/printerSettings" Target="../printerSettings/printerSettings116.bin"/><Relationship Id="rId6" Type="http://schemas.openxmlformats.org/officeDocument/2006/relationships/printerSettings" Target="../printerSettings/printerSettings121.bin"/><Relationship Id="rId5" Type="http://schemas.openxmlformats.org/officeDocument/2006/relationships/printerSettings" Target="../printerSettings/printerSettings120.bin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119.bin"/><Relationship Id="rId9" Type="http://schemas.openxmlformats.org/officeDocument/2006/relationships/ctrlProp" Target="../ctrlProps/ctrlProp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2.bin"/><Relationship Id="rId4" Type="http://schemas.openxmlformats.org/officeDocument/2006/relationships/ctrlProp" Target="../ctrlProps/ctrlProp1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5.bin"/><Relationship Id="rId7" Type="http://schemas.openxmlformats.org/officeDocument/2006/relationships/printerSettings" Target="../printerSettings/printerSettings129.bin"/><Relationship Id="rId2" Type="http://schemas.openxmlformats.org/officeDocument/2006/relationships/printerSettings" Target="../printerSettings/printerSettings124.bin"/><Relationship Id="rId1" Type="http://schemas.openxmlformats.org/officeDocument/2006/relationships/printerSettings" Target="../printerSettings/printerSettings123.bin"/><Relationship Id="rId6" Type="http://schemas.openxmlformats.org/officeDocument/2006/relationships/printerSettings" Target="../printerSettings/printerSettings128.bin"/><Relationship Id="rId5" Type="http://schemas.openxmlformats.org/officeDocument/2006/relationships/printerSettings" Target="../printerSettings/printerSettings127.bin"/><Relationship Id="rId4" Type="http://schemas.openxmlformats.org/officeDocument/2006/relationships/printerSettings" Target="../printerSettings/printerSettings126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7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132.bin"/><Relationship Id="rId7" Type="http://schemas.openxmlformats.org/officeDocument/2006/relationships/printerSettings" Target="../printerSettings/printerSettings136.bin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131.bin"/><Relationship Id="rId1" Type="http://schemas.openxmlformats.org/officeDocument/2006/relationships/printerSettings" Target="../printerSettings/printerSettings130.bin"/><Relationship Id="rId6" Type="http://schemas.openxmlformats.org/officeDocument/2006/relationships/printerSettings" Target="../printerSettings/printerSettings135.bin"/><Relationship Id="rId11" Type="http://schemas.openxmlformats.org/officeDocument/2006/relationships/vmlDrawing" Target="../drawings/vmlDrawing17.vml"/><Relationship Id="rId5" Type="http://schemas.openxmlformats.org/officeDocument/2006/relationships/printerSettings" Target="../printerSettings/printerSettings134.bin"/><Relationship Id="rId10" Type="http://schemas.openxmlformats.org/officeDocument/2006/relationships/drawing" Target="../drawings/drawing15.xml"/><Relationship Id="rId4" Type="http://schemas.openxmlformats.org/officeDocument/2006/relationships/printerSettings" Target="../printerSettings/printerSettings133.bin"/><Relationship Id="rId9" Type="http://schemas.openxmlformats.org/officeDocument/2006/relationships/printerSettings" Target="../printerSettings/printerSettings138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6.bin"/><Relationship Id="rId3" Type="http://schemas.openxmlformats.org/officeDocument/2006/relationships/printerSettings" Target="../printerSettings/printerSettings141.bin"/><Relationship Id="rId7" Type="http://schemas.openxmlformats.org/officeDocument/2006/relationships/printerSettings" Target="../printerSettings/printerSettings145.bin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140.bin"/><Relationship Id="rId1" Type="http://schemas.openxmlformats.org/officeDocument/2006/relationships/printerSettings" Target="../printerSettings/printerSettings139.bin"/><Relationship Id="rId6" Type="http://schemas.openxmlformats.org/officeDocument/2006/relationships/printerSettings" Target="../printerSettings/printerSettings144.bin"/><Relationship Id="rId11" Type="http://schemas.openxmlformats.org/officeDocument/2006/relationships/vmlDrawing" Target="../drawings/vmlDrawing18.vml"/><Relationship Id="rId5" Type="http://schemas.openxmlformats.org/officeDocument/2006/relationships/printerSettings" Target="../printerSettings/printerSettings143.bin"/><Relationship Id="rId10" Type="http://schemas.openxmlformats.org/officeDocument/2006/relationships/drawing" Target="../drawings/drawing16.xml"/><Relationship Id="rId4" Type="http://schemas.openxmlformats.org/officeDocument/2006/relationships/printerSettings" Target="../printerSettings/printerSettings142.bin"/><Relationship Id="rId9" Type="http://schemas.openxmlformats.org/officeDocument/2006/relationships/printerSettings" Target="../printerSettings/printerSettings14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0.bin"/><Relationship Id="rId2" Type="http://schemas.openxmlformats.org/officeDocument/2006/relationships/printerSettings" Target="../printerSettings/printerSettings149.bin"/><Relationship Id="rId1" Type="http://schemas.openxmlformats.org/officeDocument/2006/relationships/printerSettings" Target="../printerSettings/printerSettings148.bin"/><Relationship Id="rId6" Type="http://schemas.openxmlformats.org/officeDocument/2006/relationships/printerSettings" Target="../printerSettings/printerSettings153.bin"/><Relationship Id="rId5" Type="http://schemas.openxmlformats.org/officeDocument/2006/relationships/printerSettings" Target="../printerSettings/printerSettings152.bin"/><Relationship Id="rId4" Type="http://schemas.openxmlformats.org/officeDocument/2006/relationships/printerSettings" Target="../printerSettings/printerSettings1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6.bin"/><Relationship Id="rId4" Type="http://schemas.openxmlformats.org/officeDocument/2006/relationships/ctrlProp" Target="../ctrlProps/ctrlProp19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4.bin"/><Relationship Id="rId3" Type="http://schemas.openxmlformats.org/officeDocument/2006/relationships/printerSettings" Target="../printerSettings/printerSettings159.bin"/><Relationship Id="rId7" Type="http://schemas.openxmlformats.org/officeDocument/2006/relationships/printerSettings" Target="../printerSettings/printerSettings163.bin"/><Relationship Id="rId2" Type="http://schemas.openxmlformats.org/officeDocument/2006/relationships/printerSettings" Target="../printerSettings/printerSettings158.bin"/><Relationship Id="rId1" Type="http://schemas.openxmlformats.org/officeDocument/2006/relationships/printerSettings" Target="../printerSettings/printerSettings157.bin"/><Relationship Id="rId6" Type="http://schemas.openxmlformats.org/officeDocument/2006/relationships/printerSettings" Target="../printerSettings/printerSettings162.bin"/><Relationship Id="rId11" Type="http://schemas.openxmlformats.org/officeDocument/2006/relationships/ctrlProp" Target="../ctrlProps/ctrlProp20.xml"/><Relationship Id="rId5" Type="http://schemas.openxmlformats.org/officeDocument/2006/relationships/printerSettings" Target="../printerSettings/printerSettings161.bin"/><Relationship Id="rId10" Type="http://schemas.openxmlformats.org/officeDocument/2006/relationships/vmlDrawing" Target="../drawings/vmlDrawing20.vml"/><Relationship Id="rId4" Type="http://schemas.openxmlformats.org/officeDocument/2006/relationships/printerSettings" Target="../printerSettings/printerSettings160.bin"/><Relationship Id="rId9" Type="http://schemas.openxmlformats.org/officeDocument/2006/relationships/drawing" Target="../drawings/drawing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1.vml"/><Relationship Id="rId3" Type="http://schemas.openxmlformats.org/officeDocument/2006/relationships/printerSettings" Target="../printerSettings/printerSettings167.bin"/><Relationship Id="rId7" Type="http://schemas.openxmlformats.org/officeDocument/2006/relationships/drawing" Target="../drawings/drawing19.xml"/><Relationship Id="rId2" Type="http://schemas.openxmlformats.org/officeDocument/2006/relationships/printerSettings" Target="../printerSettings/printerSettings166.bin"/><Relationship Id="rId1" Type="http://schemas.openxmlformats.org/officeDocument/2006/relationships/printerSettings" Target="../printerSettings/printerSettings165.bin"/><Relationship Id="rId6" Type="http://schemas.openxmlformats.org/officeDocument/2006/relationships/printerSettings" Target="../printerSettings/printerSettings170.bin"/><Relationship Id="rId5" Type="http://schemas.openxmlformats.org/officeDocument/2006/relationships/printerSettings" Target="../printerSettings/printerSettings169.bin"/><Relationship Id="rId4" Type="http://schemas.openxmlformats.org/officeDocument/2006/relationships/printerSettings" Target="../printerSettings/printerSettings168.bin"/><Relationship Id="rId9" Type="http://schemas.openxmlformats.org/officeDocument/2006/relationships/ctrlProp" Target="../ctrlProps/ctrlProp2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2.vml"/><Relationship Id="rId3" Type="http://schemas.openxmlformats.org/officeDocument/2006/relationships/printerSettings" Target="../printerSettings/printerSettings173.bin"/><Relationship Id="rId7" Type="http://schemas.openxmlformats.org/officeDocument/2006/relationships/drawing" Target="../drawings/drawing20.xml"/><Relationship Id="rId2" Type="http://schemas.openxmlformats.org/officeDocument/2006/relationships/printerSettings" Target="../printerSettings/printerSettings172.bin"/><Relationship Id="rId1" Type="http://schemas.openxmlformats.org/officeDocument/2006/relationships/printerSettings" Target="../printerSettings/printerSettings171.bin"/><Relationship Id="rId6" Type="http://schemas.openxmlformats.org/officeDocument/2006/relationships/printerSettings" Target="../printerSettings/printerSettings176.bin"/><Relationship Id="rId5" Type="http://schemas.openxmlformats.org/officeDocument/2006/relationships/printerSettings" Target="../printerSettings/printerSettings175.bin"/><Relationship Id="rId10" Type="http://schemas.openxmlformats.org/officeDocument/2006/relationships/ctrlProp" Target="../ctrlProps/ctrlProp23.xml"/><Relationship Id="rId4" Type="http://schemas.openxmlformats.org/officeDocument/2006/relationships/printerSettings" Target="../printerSettings/printerSettings174.bin"/><Relationship Id="rId9" Type="http://schemas.openxmlformats.org/officeDocument/2006/relationships/ctrlProp" Target="../ctrlProps/ctrlProp2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7.bin"/><Relationship Id="rId4" Type="http://schemas.openxmlformats.org/officeDocument/2006/relationships/ctrlProp" Target="../ctrlProps/ctrlProp2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0.bin"/><Relationship Id="rId2" Type="http://schemas.openxmlformats.org/officeDocument/2006/relationships/printerSettings" Target="../printerSettings/printerSettings179.bin"/><Relationship Id="rId1" Type="http://schemas.openxmlformats.org/officeDocument/2006/relationships/printerSettings" Target="../printerSettings/printerSettings178.bin"/><Relationship Id="rId6" Type="http://schemas.openxmlformats.org/officeDocument/2006/relationships/ctrlProp" Target="../ctrlProps/ctrlProp25.xml"/><Relationship Id="rId5" Type="http://schemas.openxmlformats.org/officeDocument/2006/relationships/vmlDrawing" Target="../drawings/vmlDrawing24.vml"/><Relationship Id="rId4" Type="http://schemas.openxmlformats.org/officeDocument/2006/relationships/drawing" Target="../drawings/drawing2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1.bin"/><Relationship Id="rId4" Type="http://schemas.openxmlformats.org/officeDocument/2006/relationships/ctrlProp" Target="../ctrlProps/ctrlProp2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2.bin"/><Relationship Id="rId4" Type="http://schemas.openxmlformats.org/officeDocument/2006/relationships/ctrlProp" Target="../ctrlProps/ctrlProp27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0.bin"/><Relationship Id="rId3" Type="http://schemas.openxmlformats.org/officeDocument/2006/relationships/printerSettings" Target="../printerSettings/printerSettings185.bin"/><Relationship Id="rId7" Type="http://schemas.openxmlformats.org/officeDocument/2006/relationships/printerSettings" Target="../printerSettings/printerSettings189.bin"/><Relationship Id="rId12" Type="http://schemas.openxmlformats.org/officeDocument/2006/relationships/ctrlProp" Target="../ctrlProps/ctrlProp28.xml"/><Relationship Id="rId2" Type="http://schemas.openxmlformats.org/officeDocument/2006/relationships/printerSettings" Target="../printerSettings/printerSettings184.bin"/><Relationship Id="rId1" Type="http://schemas.openxmlformats.org/officeDocument/2006/relationships/printerSettings" Target="../printerSettings/printerSettings183.bin"/><Relationship Id="rId6" Type="http://schemas.openxmlformats.org/officeDocument/2006/relationships/printerSettings" Target="../printerSettings/printerSettings188.bin"/><Relationship Id="rId11" Type="http://schemas.openxmlformats.org/officeDocument/2006/relationships/vmlDrawing" Target="../drawings/vmlDrawing27.vml"/><Relationship Id="rId5" Type="http://schemas.openxmlformats.org/officeDocument/2006/relationships/printerSettings" Target="../printerSettings/printerSettings187.bin"/><Relationship Id="rId10" Type="http://schemas.openxmlformats.org/officeDocument/2006/relationships/drawing" Target="../drawings/drawing25.xml"/><Relationship Id="rId4" Type="http://schemas.openxmlformats.org/officeDocument/2006/relationships/printerSettings" Target="../printerSettings/printerSettings186.bin"/><Relationship Id="rId9" Type="http://schemas.openxmlformats.org/officeDocument/2006/relationships/printerSettings" Target="../printerSettings/printerSettings19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2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0.bin"/><Relationship Id="rId3" Type="http://schemas.openxmlformats.org/officeDocument/2006/relationships/printerSettings" Target="../printerSettings/printerSettings195.bin"/><Relationship Id="rId7" Type="http://schemas.openxmlformats.org/officeDocument/2006/relationships/printerSettings" Target="../printerSettings/printerSettings199.bin"/><Relationship Id="rId12" Type="http://schemas.openxmlformats.org/officeDocument/2006/relationships/ctrlProp" Target="../ctrlProps/ctrlProp31.xml"/><Relationship Id="rId2" Type="http://schemas.openxmlformats.org/officeDocument/2006/relationships/printerSettings" Target="../printerSettings/printerSettings194.bin"/><Relationship Id="rId1" Type="http://schemas.openxmlformats.org/officeDocument/2006/relationships/printerSettings" Target="../printerSettings/printerSettings193.bin"/><Relationship Id="rId6" Type="http://schemas.openxmlformats.org/officeDocument/2006/relationships/printerSettings" Target="../printerSettings/printerSettings198.bin"/><Relationship Id="rId11" Type="http://schemas.openxmlformats.org/officeDocument/2006/relationships/vmlDrawing" Target="../drawings/vmlDrawing29.vml"/><Relationship Id="rId5" Type="http://schemas.openxmlformats.org/officeDocument/2006/relationships/printerSettings" Target="../printerSettings/printerSettings197.bin"/><Relationship Id="rId10" Type="http://schemas.openxmlformats.org/officeDocument/2006/relationships/drawing" Target="../drawings/drawing27.xml"/><Relationship Id="rId4" Type="http://schemas.openxmlformats.org/officeDocument/2006/relationships/printerSettings" Target="../printerSettings/printerSettings196.bin"/><Relationship Id="rId9" Type="http://schemas.openxmlformats.org/officeDocument/2006/relationships/printerSettings" Target="../printerSettings/printerSettings201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02.bin"/><Relationship Id="rId4" Type="http://schemas.openxmlformats.org/officeDocument/2006/relationships/ctrlProp" Target="../ctrlProps/ctrlProp3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03.bin"/><Relationship Id="rId4" Type="http://schemas.openxmlformats.org/officeDocument/2006/relationships/ctrlProp" Target="../ctrlProps/ctrlProp33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2.vml"/><Relationship Id="rId3" Type="http://schemas.openxmlformats.org/officeDocument/2006/relationships/printerSettings" Target="../printerSettings/printerSettings206.bin"/><Relationship Id="rId7" Type="http://schemas.openxmlformats.org/officeDocument/2006/relationships/drawing" Target="../drawings/drawing30.xml"/><Relationship Id="rId2" Type="http://schemas.openxmlformats.org/officeDocument/2006/relationships/printerSettings" Target="../printerSettings/printerSettings205.bin"/><Relationship Id="rId1" Type="http://schemas.openxmlformats.org/officeDocument/2006/relationships/printerSettings" Target="../printerSettings/printerSettings204.bin"/><Relationship Id="rId6" Type="http://schemas.openxmlformats.org/officeDocument/2006/relationships/printerSettings" Target="../printerSettings/printerSettings209.bin"/><Relationship Id="rId5" Type="http://schemas.openxmlformats.org/officeDocument/2006/relationships/printerSettings" Target="../printerSettings/printerSettings208.bin"/><Relationship Id="rId4" Type="http://schemas.openxmlformats.org/officeDocument/2006/relationships/printerSettings" Target="../printerSettings/printerSettings207.bin"/><Relationship Id="rId9" Type="http://schemas.openxmlformats.org/officeDocument/2006/relationships/ctrlProp" Target="../ctrlProps/ctrlProp34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7.bin"/><Relationship Id="rId3" Type="http://schemas.openxmlformats.org/officeDocument/2006/relationships/printerSettings" Target="../printerSettings/printerSettings212.bin"/><Relationship Id="rId7" Type="http://schemas.openxmlformats.org/officeDocument/2006/relationships/printerSettings" Target="../printerSettings/printerSettings216.bin"/><Relationship Id="rId2" Type="http://schemas.openxmlformats.org/officeDocument/2006/relationships/printerSettings" Target="../printerSettings/printerSettings211.bin"/><Relationship Id="rId1" Type="http://schemas.openxmlformats.org/officeDocument/2006/relationships/printerSettings" Target="../printerSettings/printerSettings210.bin"/><Relationship Id="rId6" Type="http://schemas.openxmlformats.org/officeDocument/2006/relationships/printerSettings" Target="../printerSettings/printerSettings215.bin"/><Relationship Id="rId11" Type="http://schemas.openxmlformats.org/officeDocument/2006/relationships/ctrlProp" Target="../ctrlProps/ctrlProp35.xml"/><Relationship Id="rId5" Type="http://schemas.openxmlformats.org/officeDocument/2006/relationships/printerSettings" Target="../printerSettings/printerSettings214.bin"/><Relationship Id="rId10" Type="http://schemas.openxmlformats.org/officeDocument/2006/relationships/vmlDrawing" Target="../drawings/vmlDrawing33.vml"/><Relationship Id="rId4" Type="http://schemas.openxmlformats.org/officeDocument/2006/relationships/printerSettings" Target="../printerSettings/printerSettings213.bin"/><Relationship Id="rId9" Type="http://schemas.openxmlformats.org/officeDocument/2006/relationships/drawing" Target="../drawings/drawing31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5.bin"/><Relationship Id="rId3" Type="http://schemas.openxmlformats.org/officeDocument/2006/relationships/printerSettings" Target="../printerSettings/printerSettings220.bin"/><Relationship Id="rId7" Type="http://schemas.openxmlformats.org/officeDocument/2006/relationships/printerSettings" Target="../printerSettings/printerSettings224.bin"/><Relationship Id="rId2" Type="http://schemas.openxmlformats.org/officeDocument/2006/relationships/printerSettings" Target="../printerSettings/printerSettings219.bin"/><Relationship Id="rId1" Type="http://schemas.openxmlformats.org/officeDocument/2006/relationships/printerSettings" Target="../printerSettings/printerSettings218.bin"/><Relationship Id="rId6" Type="http://schemas.openxmlformats.org/officeDocument/2006/relationships/printerSettings" Target="../printerSettings/printerSettings223.bin"/><Relationship Id="rId11" Type="http://schemas.openxmlformats.org/officeDocument/2006/relationships/ctrlProp" Target="../ctrlProps/ctrlProp36.xml"/><Relationship Id="rId5" Type="http://schemas.openxmlformats.org/officeDocument/2006/relationships/printerSettings" Target="../printerSettings/printerSettings222.bin"/><Relationship Id="rId10" Type="http://schemas.openxmlformats.org/officeDocument/2006/relationships/vmlDrawing" Target="../drawings/vmlDrawing34.vml"/><Relationship Id="rId4" Type="http://schemas.openxmlformats.org/officeDocument/2006/relationships/printerSettings" Target="../printerSettings/printerSettings221.bin"/><Relationship Id="rId9" Type="http://schemas.openxmlformats.org/officeDocument/2006/relationships/drawing" Target="../drawings/drawing32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5.vml"/><Relationship Id="rId3" Type="http://schemas.openxmlformats.org/officeDocument/2006/relationships/printerSettings" Target="../printerSettings/printerSettings228.bin"/><Relationship Id="rId7" Type="http://schemas.openxmlformats.org/officeDocument/2006/relationships/drawing" Target="../drawings/drawing33.xml"/><Relationship Id="rId2" Type="http://schemas.openxmlformats.org/officeDocument/2006/relationships/printerSettings" Target="../printerSettings/printerSettings227.bin"/><Relationship Id="rId1" Type="http://schemas.openxmlformats.org/officeDocument/2006/relationships/printerSettings" Target="../printerSettings/printerSettings226.bin"/><Relationship Id="rId6" Type="http://schemas.openxmlformats.org/officeDocument/2006/relationships/printerSettings" Target="../printerSettings/printerSettings231.bin"/><Relationship Id="rId5" Type="http://schemas.openxmlformats.org/officeDocument/2006/relationships/printerSettings" Target="../printerSettings/printerSettings230.bin"/><Relationship Id="rId4" Type="http://schemas.openxmlformats.org/officeDocument/2006/relationships/printerSettings" Target="../printerSettings/printerSettings229.bin"/><Relationship Id="rId9" Type="http://schemas.openxmlformats.org/officeDocument/2006/relationships/ctrlProp" Target="../ctrlProps/ctrlProp37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9.bin"/><Relationship Id="rId3" Type="http://schemas.openxmlformats.org/officeDocument/2006/relationships/printerSettings" Target="../printerSettings/printerSettings234.bin"/><Relationship Id="rId7" Type="http://schemas.openxmlformats.org/officeDocument/2006/relationships/printerSettings" Target="../printerSettings/printerSettings238.bin"/><Relationship Id="rId2" Type="http://schemas.openxmlformats.org/officeDocument/2006/relationships/printerSettings" Target="../printerSettings/printerSettings233.bin"/><Relationship Id="rId1" Type="http://schemas.openxmlformats.org/officeDocument/2006/relationships/printerSettings" Target="../printerSettings/printerSettings232.bin"/><Relationship Id="rId6" Type="http://schemas.openxmlformats.org/officeDocument/2006/relationships/printerSettings" Target="../printerSettings/printerSettings237.bin"/><Relationship Id="rId11" Type="http://schemas.openxmlformats.org/officeDocument/2006/relationships/ctrlProp" Target="../ctrlProps/ctrlProp38.xml"/><Relationship Id="rId5" Type="http://schemas.openxmlformats.org/officeDocument/2006/relationships/printerSettings" Target="../printerSettings/printerSettings236.bin"/><Relationship Id="rId10" Type="http://schemas.openxmlformats.org/officeDocument/2006/relationships/vmlDrawing" Target="../drawings/vmlDrawing36.vml"/><Relationship Id="rId4" Type="http://schemas.openxmlformats.org/officeDocument/2006/relationships/printerSettings" Target="../printerSettings/printerSettings235.bin"/><Relationship Id="rId9" Type="http://schemas.openxmlformats.org/officeDocument/2006/relationships/drawing" Target="../drawings/drawing34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7.bin"/><Relationship Id="rId3" Type="http://schemas.openxmlformats.org/officeDocument/2006/relationships/printerSettings" Target="../printerSettings/printerSettings242.bin"/><Relationship Id="rId7" Type="http://schemas.openxmlformats.org/officeDocument/2006/relationships/printerSettings" Target="../printerSettings/printerSettings246.bin"/><Relationship Id="rId2" Type="http://schemas.openxmlformats.org/officeDocument/2006/relationships/printerSettings" Target="../printerSettings/printerSettings241.bin"/><Relationship Id="rId1" Type="http://schemas.openxmlformats.org/officeDocument/2006/relationships/printerSettings" Target="../printerSettings/printerSettings240.bin"/><Relationship Id="rId6" Type="http://schemas.openxmlformats.org/officeDocument/2006/relationships/printerSettings" Target="../printerSettings/printerSettings245.bin"/><Relationship Id="rId11" Type="http://schemas.openxmlformats.org/officeDocument/2006/relationships/ctrlProp" Target="../ctrlProps/ctrlProp39.xml"/><Relationship Id="rId5" Type="http://schemas.openxmlformats.org/officeDocument/2006/relationships/printerSettings" Target="../printerSettings/printerSettings244.bin"/><Relationship Id="rId10" Type="http://schemas.openxmlformats.org/officeDocument/2006/relationships/vmlDrawing" Target="../drawings/vmlDrawing37.vml"/><Relationship Id="rId4" Type="http://schemas.openxmlformats.org/officeDocument/2006/relationships/printerSettings" Target="../printerSettings/printerSettings243.bin"/><Relationship Id="rId9" Type="http://schemas.openxmlformats.org/officeDocument/2006/relationships/drawing" Target="../drawings/drawing35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5.bin"/><Relationship Id="rId3" Type="http://schemas.openxmlformats.org/officeDocument/2006/relationships/printerSettings" Target="../printerSettings/printerSettings250.bin"/><Relationship Id="rId7" Type="http://schemas.openxmlformats.org/officeDocument/2006/relationships/printerSettings" Target="../printerSettings/printerSettings254.bin"/><Relationship Id="rId12" Type="http://schemas.openxmlformats.org/officeDocument/2006/relationships/ctrlProp" Target="../ctrlProps/ctrlProp41.xml"/><Relationship Id="rId2" Type="http://schemas.openxmlformats.org/officeDocument/2006/relationships/printerSettings" Target="../printerSettings/printerSettings249.bin"/><Relationship Id="rId1" Type="http://schemas.openxmlformats.org/officeDocument/2006/relationships/printerSettings" Target="../printerSettings/printerSettings248.bin"/><Relationship Id="rId6" Type="http://schemas.openxmlformats.org/officeDocument/2006/relationships/printerSettings" Target="../printerSettings/printerSettings253.bin"/><Relationship Id="rId11" Type="http://schemas.openxmlformats.org/officeDocument/2006/relationships/ctrlProp" Target="../ctrlProps/ctrlProp40.xml"/><Relationship Id="rId5" Type="http://schemas.openxmlformats.org/officeDocument/2006/relationships/printerSettings" Target="../printerSettings/printerSettings252.bin"/><Relationship Id="rId10" Type="http://schemas.openxmlformats.org/officeDocument/2006/relationships/vmlDrawing" Target="../drawings/vmlDrawing38.vml"/><Relationship Id="rId4" Type="http://schemas.openxmlformats.org/officeDocument/2006/relationships/printerSettings" Target="../printerSettings/printerSettings251.bin"/><Relationship Id="rId9" Type="http://schemas.openxmlformats.org/officeDocument/2006/relationships/drawing" Target="../drawings/drawing36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63.bin"/><Relationship Id="rId3" Type="http://schemas.openxmlformats.org/officeDocument/2006/relationships/printerSettings" Target="../printerSettings/printerSettings258.bin"/><Relationship Id="rId7" Type="http://schemas.openxmlformats.org/officeDocument/2006/relationships/printerSettings" Target="../printerSettings/printerSettings262.bin"/><Relationship Id="rId2" Type="http://schemas.openxmlformats.org/officeDocument/2006/relationships/printerSettings" Target="../printerSettings/printerSettings257.bin"/><Relationship Id="rId1" Type="http://schemas.openxmlformats.org/officeDocument/2006/relationships/printerSettings" Target="../printerSettings/printerSettings256.bin"/><Relationship Id="rId6" Type="http://schemas.openxmlformats.org/officeDocument/2006/relationships/printerSettings" Target="../printerSettings/printerSettings261.bin"/><Relationship Id="rId11" Type="http://schemas.openxmlformats.org/officeDocument/2006/relationships/ctrlProp" Target="../ctrlProps/ctrlProp42.xml"/><Relationship Id="rId5" Type="http://schemas.openxmlformats.org/officeDocument/2006/relationships/printerSettings" Target="../printerSettings/printerSettings260.bin"/><Relationship Id="rId10" Type="http://schemas.openxmlformats.org/officeDocument/2006/relationships/vmlDrawing" Target="../drawings/vmlDrawing39.vml"/><Relationship Id="rId4" Type="http://schemas.openxmlformats.org/officeDocument/2006/relationships/printerSettings" Target="../printerSettings/printerSettings259.bin"/><Relationship Id="rId9" Type="http://schemas.openxmlformats.org/officeDocument/2006/relationships/drawing" Target="../drawings/drawing3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0.vml"/><Relationship Id="rId3" Type="http://schemas.openxmlformats.org/officeDocument/2006/relationships/printerSettings" Target="../printerSettings/printerSettings266.bin"/><Relationship Id="rId7" Type="http://schemas.openxmlformats.org/officeDocument/2006/relationships/drawing" Target="../drawings/drawing38.xml"/><Relationship Id="rId2" Type="http://schemas.openxmlformats.org/officeDocument/2006/relationships/printerSettings" Target="../printerSettings/printerSettings265.bin"/><Relationship Id="rId1" Type="http://schemas.openxmlformats.org/officeDocument/2006/relationships/printerSettings" Target="../printerSettings/printerSettings264.bin"/><Relationship Id="rId6" Type="http://schemas.openxmlformats.org/officeDocument/2006/relationships/printerSettings" Target="../printerSettings/printerSettings269.bin"/><Relationship Id="rId5" Type="http://schemas.openxmlformats.org/officeDocument/2006/relationships/printerSettings" Target="../printerSettings/printerSettings268.bin"/><Relationship Id="rId4" Type="http://schemas.openxmlformats.org/officeDocument/2006/relationships/printerSettings" Target="../printerSettings/printerSettings267.bin"/><Relationship Id="rId9" Type="http://schemas.openxmlformats.org/officeDocument/2006/relationships/ctrlProp" Target="../ctrlProps/ctrlProp43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1.vml"/><Relationship Id="rId3" Type="http://schemas.openxmlformats.org/officeDocument/2006/relationships/printerSettings" Target="../printerSettings/printerSettings272.bin"/><Relationship Id="rId7" Type="http://schemas.openxmlformats.org/officeDocument/2006/relationships/drawing" Target="../drawings/drawing39.xml"/><Relationship Id="rId2" Type="http://schemas.openxmlformats.org/officeDocument/2006/relationships/printerSettings" Target="../printerSettings/printerSettings271.bin"/><Relationship Id="rId1" Type="http://schemas.openxmlformats.org/officeDocument/2006/relationships/printerSettings" Target="../printerSettings/printerSettings270.bin"/><Relationship Id="rId6" Type="http://schemas.openxmlformats.org/officeDocument/2006/relationships/printerSettings" Target="../printerSettings/printerSettings275.bin"/><Relationship Id="rId5" Type="http://schemas.openxmlformats.org/officeDocument/2006/relationships/printerSettings" Target="../printerSettings/printerSettings274.bin"/><Relationship Id="rId4" Type="http://schemas.openxmlformats.org/officeDocument/2006/relationships/printerSettings" Target="../printerSettings/printerSettings273.bin"/><Relationship Id="rId9" Type="http://schemas.openxmlformats.org/officeDocument/2006/relationships/ctrlProp" Target="../ctrlProps/ctrlProp44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76.bin"/><Relationship Id="rId4" Type="http://schemas.openxmlformats.org/officeDocument/2006/relationships/ctrlProp" Target="../ctrlProps/ctrlProp45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77.bin"/><Relationship Id="rId4" Type="http://schemas.openxmlformats.org/officeDocument/2006/relationships/ctrlProp" Target="../ctrlProps/ctrlProp46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78.bin"/><Relationship Id="rId4" Type="http://schemas.openxmlformats.org/officeDocument/2006/relationships/ctrlProp" Target="../ctrlProps/ctrlProp47.xml"/></Relationships>
</file>

<file path=xl/worksheets/_rels/sheet6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6.bin"/><Relationship Id="rId3" Type="http://schemas.openxmlformats.org/officeDocument/2006/relationships/printerSettings" Target="../printerSettings/printerSettings281.bin"/><Relationship Id="rId7" Type="http://schemas.openxmlformats.org/officeDocument/2006/relationships/printerSettings" Target="../printerSettings/printerSettings285.bin"/><Relationship Id="rId2" Type="http://schemas.openxmlformats.org/officeDocument/2006/relationships/printerSettings" Target="../printerSettings/printerSettings280.bin"/><Relationship Id="rId1" Type="http://schemas.openxmlformats.org/officeDocument/2006/relationships/printerSettings" Target="../printerSettings/printerSettings279.bin"/><Relationship Id="rId6" Type="http://schemas.openxmlformats.org/officeDocument/2006/relationships/printerSettings" Target="../printerSettings/printerSettings284.bin"/><Relationship Id="rId11" Type="http://schemas.openxmlformats.org/officeDocument/2006/relationships/ctrlProp" Target="../ctrlProps/ctrlProp48.xml"/><Relationship Id="rId5" Type="http://schemas.openxmlformats.org/officeDocument/2006/relationships/printerSettings" Target="../printerSettings/printerSettings283.bin"/><Relationship Id="rId10" Type="http://schemas.openxmlformats.org/officeDocument/2006/relationships/vmlDrawing" Target="../drawings/vmlDrawing45.vml"/><Relationship Id="rId4" Type="http://schemas.openxmlformats.org/officeDocument/2006/relationships/printerSettings" Target="../printerSettings/printerSettings282.bin"/><Relationship Id="rId9" Type="http://schemas.openxmlformats.org/officeDocument/2006/relationships/drawing" Target="../drawings/drawing43.xm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6.vml"/><Relationship Id="rId3" Type="http://schemas.openxmlformats.org/officeDocument/2006/relationships/printerSettings" Target="../printerSettings/printerSettings289.bin"/><Relationship Id="rId7" Type="http://schemas.openxmlformats.org/officeDocument/2006/relationships/drawing" Target="../drawings/drawing44.xml"/><Relationship Id="rId2" Type="http://schemas.openxmlformats.org/officeDocument/2006/relationships/printerSettings" Target="../printerSettings/printerSettings288.bin"/><Relationship Id="rId1" Type="http://schemas.openxmlformats.org/officeDocument/2006/relationships/printerSettings" Target="../printerSettings/printerSettings287.bin"/><Relationship Id="rId6" Type="http://schemas.openxmlformats.org/officeDocument/2006/relationships/printerSettings" Target="../printerSettings/printerSettings292.bin"/><Relationship Id="rId5" Type="http://schemas.openxmlformats.org/officeDocument/2006/relationships/printerSettings" Target="../printerSettings/printerSettings291.bin"/><Relationship Id="rId4" Type="http://schemas.openxmlformats.org/officeDocument/2006/relationships/printerSettings" Target="../printerSettings/printerSettings290.bin"/><Relationship Id="rId9" Type="http://schemas.openxmlformats.org/officeDocument/2006/relationships/ctrlProp" Target="../ctrlProps/ctrlProp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93.bin"/><Relationship Id="rId4" Type="http://schemas.openxmlformats.org/officeDocument/2006/relationships/ctrlProp" Target="../ctrlProps/ctrlProp50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294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7.xml"/><Relationship Id="rId3" Type="http://schemas.openxmlformats.org/officeDocument/2006/relationships/printerSettings" Target="../printerSettings/printerSettings297.bin"/><Relationship Id="rId7" Type="http://schemas.openxmlformats.org/officeDocument/2006/relationships/printerSettings" Target="../printerSettings/printerSettings301.bin"/><Relationship Id="rId2" Type="http://schemas.openxmlformats.org/officeDocument/2006/relationships/printerSettings" Target="../printerSettings/printerSettings296.bin"/><Relationship Id="rId1" Type="http://schemas.openxmlformats.org/officeDocument/2006/relationships/printerSettings" Target="../printerSettings/printerSettings295.bin"/><Relationship Id="rId6" Type="http://schemas.openxmlformats.org/officeDocument/2006/relationships/printerSettings" Target="../printerSettings/printerSettings300.bin"/><Relationship Id="rId11" Type="http://schemas.openxmlformats.org/officeDocument/2006/relationships/ctrlProp" Target="../ctrlProps/ctrlProp54.xml"/><Relationship Id="rId5" Type="http://schemas.openxmlformats.org/officeDocument/2006/relationships/printerSettings" Target="../printerSettings/printerSettings299.bin"/><Relationship Id="rId10" Type="http://schemas.openxmlformats.org/officeDocument/2006/relationships/ctrlProp" Target="../ctrlProps/ctrlProp53.xml"/><Relationship Id="rId4" Type="http://schemas.openxmlformats.org/officeDocument/2006/relationships/printerSettings" Target="../printerSettings/printerSettings298.bin"/><Relationship Id="rId9" Type="http://schemas.openxmlformats.org/officeDocument/2006/relationships/vmlDrawing" Target="../drawings/vmlDrawing49.v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02.bin"/><Relationship Id="rId4" Type="http://schemas.openxmlformats.org/officeDocument/2006/relationships/ctrlProp" Target="../ctrlProps/ctrlProp55.xm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0.bin"/><Relationship Id="rId3" Type="http://schemas.openxmlformats.org/officeDocument/2006/relationships/printerSettings" Target="../printerSettings/printerSettings305.bin"/><Relationship Id="rId7" Type="http://schemas.openxmlformats.org/officeDocument/2006/relationships/printerSettings" Target="../printerSettings/printerSettings309.bin"/><Relationship Id="rId2" Type="http://schemas.openxmlformats.org/officeDocument/2006/relationships/printerSettings" Target="../printerSettings/printerSettings304.bin"/><Relationship Id="rId1" Type="http://schemas.openxmlformats.org/officeDocument/2006/relationships/printerSettings" Target="../printerSettings/printerSettings303.bin"/><Relationship Id="rId6" Type="http://schemas.openxmlformats.org/officeDocument/2006/relationships/printerSettings" Target="../printerSettings/printerSettings308.bin"/><Relationship Id="rId11" Type="http://schemas.openxmlformats.org/officeDocument/2006/relationships/ctrlProp" Target="../ctrlProps/ctrlProp56.xml"/><Relationship Id="rId5" Type="http://schemas.openxmlformats.org/officeDocument/2006/relationships/printerSettings" Target="../printerSettings/printerSettings307.bin"/><Relationship Id="rId10" Type="http://schemas.openxmlformats.org/officeDocument/2006/relationships/vmlDrawing" Target="../drawings/vmlDrawing51.vml"/><Relationship Id="rId4" Type="http://schemas.openxmlformats.org/officeDocument/2006/relationships/printerSettings" Target="../printerSettings/printerSettings306.bin"/><Relationship Id="rId9" Type="http://schemas.openxmlformats.org/officeDocument/2006/relationships/drawing" Target="../drawings/drawing49.xml"/></Relationships>
</file>

<file path=xl/worksheets/_rels/sheet7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8.bin"/><Relationship Id="rId3" Type="http://schemas.openxmlformats.org/officeDocument/2006/relationships/printerSettings" Target="../printerSettings/printerSettings313.bin"/><Relationship Id="rId7" Type="http://schemas.openxmlformats.org/officeDocument/2006/relationships/printerSettings" Target="../printerSettings/printerSettings317.bin"/><Relationship Id="rId2" Type="http://schemas.openxmlformats.org/officeDocument/2006/relationships/printerSettings" Target="../printerSettings/printerSettings312.bin"/><Relationship Id="rId1" Type="http://schemas.openxmlformats.org/officeDocument/2006/relationships/printerSettings" Target="../printerSettings/printerSettings311.bin"/><Relationship Id="rId6" Type="http://schemas.openxmlformats.org/officeDocument/2006/relationships/printerSettings" Target="../printerSettings/printerSettings316.bin"/><Relationship Id="rId11" Type="http://schemas.openxmlformats.org/officeDocument/2006/relationships/ctrlProp" Target="../ctrlProps/ctrlProp57.xml"/><Relationship Id="rId5" Type="http://schemas.openxmlformats.org/officeDocument/2006/relationships/printerSettings" Target="../printerSettings/printerSettings315.bin"/><Relationship Id="rId10" Type="http://schemas.openxmlformats.org/officeDocument/2006/relationships/vmlDrawing" Target="../drawings/vmlDrawing52.vml"/><Relationship Id="rId4" Type="http://schemas.openxmlformats.org/officeDocument/2006/relationships/printerSettings" Target="../printerSettings/printerSettings314.bin"/><Relationship Id="rId9" Type="http://schemas.openxmlformats.org/officeDocument/2006/relationships/drawing" Target="../drawings/drawing50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319.bin"/><Relationship Id="rId4" Type="http://schemas.openxmlformats.org/officeDocument/2006/relationships/ctrlProp" Target="../ctrlProps/ctrlProp58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0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321.bin"/><Relationship Id="rId4" Type="http://schemas.openxmlformats.org/officeDocument/2006/relationships/ctrlProp" Target="../ctrlProps/ctrlProp59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2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323.bin"/><Relationship Id="rId4" Type="http://schemas.openxmlformats.org/officeDocument/2006/relationships/ctrlProp" Target="../ctrlProps/ctrlProp6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4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325.bin"/><Relationship Id="rId4" Type="http://schemas.openxmlformats.org/officeDocument/2006/relationships/ctrlProp" Target="../ctrlProps/ctrlProp6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8.bin"/><Relationship Id="rId7" Type="http://schemas.openxmlformats.org/officeDocument/2006/relationships/ctrlProp" Target="../ctrlProps/ctrlProp62.xml"/><Relationship Id="rId2" Type="http://schemas.openxmlformats.org/officeDocument/2006/relationships/printerSettings" Target="../printerSettings/printerSettings327.bin"/><Relationship Id="rId1" Type="http://schemas.openxmlformats.org/officeDocument/2006/relationships/printerSettings" Target="../printerSettings/printerSettings326.bin"/><Relationship Id="rId6" Type="http://schemas.openxmlformats.org/officeDocument/2006/relationships/vmlDrawing" Target="../drawings/vmlDrawing57.vml"/><Relationship Id="rId5" Type="http://schemas.openxmlformats.org/officeDocument/2006/relationships/drawing" Target="../drawings/drawing55.xml"/><Relationship Id="rId4" Type="http://schemas.openxmlformats.org/officeDocument/2006/relationships/printerSettings" Target="../printerSettings/printerSettings329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330.bin"/><Relationship Id="rId4" Type="http://schemas.openxmlformats.org/officeDocument/2006/relationships/ctrlProp" Target="../ctrlProps/ctrlProp6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331.bin"/><Relationship Id="rId4" Type="http://schemas.openxmlformats.org/officeDocument/2006/relationships/ctrlProp" Target="../ctrlProps/ctrlProp64.xml"/></Relationships>
</file>

<file path=xl/worksheets/_rels/sheet8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0.v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printerSettings" Target="../printerSettings/printerSettings334.bin"/><Relationship Id="rId21" Type="http://schemas.openxmlformats.org/officeDocument/2006/relationships/ctrlProp" Target="../ctrlProps/ctrlProp77.xml"/><Relationship Id="rId7" Type="http://schemas.openxmlformats.org/officeDocument/2006/relationships/drawing" Target="../drawings/drawing58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printerSettings" Target="../printerSettings/printerSettings333.bin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332.bin"/><Relationship Id="rId6" Type="http://schemas.openxmlformats.org/officeDocument/2006/relationships/printerSettings" Target="../printerSettings/printerSettings337.bin"/><Relationship Id="rId11" Type="http://schemas.openxmlformats.org/officeDocument/2006/relationships/ctrlProp" Target="../ctrlProps/ctrlProp67.xml"/><Relationship Id="rId5" Type="http://schemas.openxmlformats.org/officeDocument/2006/relationships/printerSettings" Target="../printerSettings/printerSettings336.bin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printerSettings" Target="../printerSettings/printerSettings335.bin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8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6.xml"/><Relationship Id="rId21" Type="http://schemas.openxmlformats.org/officeDocument/2006/relationships/ctrlProp" Target="../ctrlProps/ctrlProp90.xml"/><Relationship Id="rId42" Type="http://schemas.openxmlformats.org/officeDocument/2006/relationships/ctrlProp" Target="../ctrlProps/ctrlProp111.xml"/><Relationship Id="rId47" Type="http://schemas.openxmlformats.org/officeDocument/2006/relationships/ctrlProp" Target="../ctrlProps/ctrlProp116.xml"/><Relationship Id="rId63" Type="http://schemas.openxmlformats.org/officeDocument/2006/relationships/ctrlProp" Target="../ctrlProps/ctrlProp132.xml"/><Relationship Id="rId68" Type="http://schemas.openxmlformats.org/officeDocument/2006/relationships/ctrlProp" Target="../ctrlProps/ctrlProp137.xml"/><Relationship Id="rId84" Type="http://schemas.openxmlformats.org/officeDocument/2006/relationships/ctrlProp" Target="../ctrlProps/ctrlProp153.xml"/><Relationship Id="rId89" Type="http://schemas.openxmlformats.org/officeDocument/2006/relationships/ctrlProp" Target="../ctrlProps/ctrlProp158.xml"/><Relationship Id="rId112" Type="http://schemas.openxmlformats.org/officeDocument/2006/relationships/ctrlProp" Target="../ctrlProps/ctrlProp181.xml"/><Relationship Id="rId16" Type="http://schemas.openxmlformats.org/officeDocument/2006/relationships/ctrlProp" Target="../ctrlProps/ctrlProp85.xml"/><Relationship Id="rId107" Type="http://schemas.openxmlformats.org/officeDocument/2006/relationships/ctrlProp" Target="../ctrlProps/ctrlProp176.xml"/><Relationship Id="rId11" Type="http://schemas.openxmlformats.org/officeDocument/2006/relationships/ctrlProp" Target="../ctrlProps/ctrlProp80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3" Type="http://schemas.openxmlformats.org/officeDocument/2006/relationships/ctrlProp" Target="../ctrlProps/ctrlProp122.xml"/><Relationship Id="rId58" Type="http://schemas.openxmlformats.org/officeDocument/2006/relationships/ctrlProp" Target="../ctrlProps/ctrlProp127.xml"/><Relationship Id="rId74" Type="http://schemas.openxmlformats.org/officeDocument/2006/relationships/ctrlProp" Target="../ctrlProps/ctrlProp143.xml"/><Relationship Id="rId79" Type="http://schemas.openxmlformats.org/officeDocument/2006/relationships/ctrlProp" Target="../ctrlProps/ctrlProp148.xml"/><Relationship Id="rId102" Type="http://schemas.openxmlformats.org/officeDocument/2006/relationships/ctrlProp" Target="../ctrlProps/ctrlProp171.xml"/><Relationship Id="rId123" Type="http://schemas.openxmlformats.org/officeDocument/2006/relationships/ctrlProp" Target="../ctrlProps/ctrlProp192.xml"/><Relationship Id="rId128" Type="http://schemas.openxmlformats.org/officeDocument/2006/relationships/ctrlProp" Target="../ctrlProps/ctrlProp197.xml"/><Relationship Id="rId5" Type="http://schemas.openxmlformats.org/officeDocument/2006/relationships/printerSettings" Target="../printerSettings/printerSettings342.bin"/><Relationship Id="rId90" Type="http://schemas.openxmlformats.org/officeDocument/2006/relationships/ctrlProp" Target="../ctrlProps/ctrlProp159.xml"/><Relationship Id="rId95" Type="http://schemas.openxmlformats.org/officeDocument/2006/relationships/ctrlProp" Target="../ctrlProps/ctrlProp164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43" Type="http://schemas.openxmlformats.org/officeDocument/2006/relationships/ctrlProp" Target="../ctrlProps/ctrlProp112.xml"/><Relationship Id="rId48" Type="http://schemas.openxmlformats.org/officeDocument/2006/relationships/ctrlProp" Target="../ctrlProps/ctrlProp117.xml"/><Relationship Id="rId64" Type="http://schemas.openxmlformats.org/officeDocument/2006/relationships/ctrlProp" Target="../ctrlProps/ctrlProp133.xml"/><Relationship Id="rId69" Type="http://schemas.openxmlformats.org/officeDocument/2006/relationships/ctrlProp" Target="../ctrlProps/ctrlProp138.xml"/><Relationship Id="rId113" Type="http://schemas.openxmlformats.org/officeDocument/2006/relationships/ctrlProp" Target="../ctrlProps/ctrlProp182.xml"/><Relationship Id="rId118" Type="http://schemas.openxmlformats.org/officeDocument/2006/relationships/ctrlProp" Target="../ctrlProps/ctrlProp187.xml"/><Relationship Id="rId80" Type="http://schemas.openxmlformats.org/officeDocument/2006/relationships/ctrlProp" Target="../ctrlProps/ctrlProp149.xml"/><Relationship Id="rId85" Type="http://schemas.openxmlformats.org/officeDocument/2006/relationships/ctrlProp" Target="../ctrlProps/ctrlProp154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59" Type="http://schemas.openxmlformats.org/officeDocument/2006/relationships/ctrlProp" Target="../ctrlProps/ctrlProp128.xml"/><Relationship Id="rId103" Type="http://schemas.openxmlformats.org/officeDocument/2006/relationships/ctrlProp" Target="../ctrlProps/ctrlProp172.xml"/><Relationship Id="rId108" Type="http://schemas.openxmlformats.org/officeDocument/2006/relationships/ctrlProp" Target="../ctrlProps/ctrlProp177.xml"/><Relationship Id="rId124" Type="http://schemas.openxmlformats.org/officeDocument/2006/relationships/ctrlProp" Target="../ctrlProps/ctrlProp193.xml"/><Relationship Id="rId129" Type="http://schemas.openxmlformats.org/officeDocument/2006/relationships/ctrlProp" Target="../ctrlProps/ctrlProp198.xml"/><Relationship Id="rId54" Type="http://schemas.openxmlformats.org/officeDocument/2006/relationships/ctrlProp" Target="../ctrlProps/ctrlProp123.xml"/><Relationship Id="rId70" Type="http://schemas.openxmlformats.org/officeDocument/2006/relationships/ctrlProp" Target="../ctrlProps/ctrlProp139.xml"/><Relationship Id="rId75" Type="http://schemas.openxmlformats.org/officeDocument/2006/relationships/ctrlProp" Target="../ctrlProps/ctrlProp144.xml"/><Relationship Id="rId91" Type="http://schemas.openxmlformats.org/officeDocument/2006/relationships/ctrlProp" Target="../ctrlProps/ctrlProp160.xml"/><Relationship Id="rId96" Type="http://schemas.openxmlformats.org/officeDocument/2006/relationships/ctrlProp" Target="../ctrlProps/ctrlProp165.xml"/><Relationship Id="rId1" Type="http://schemas.openxmlformats.org/officeDocument/2006/relationships/printerSettings" Target="../printerSettings/printerSettings338.bin"/><Relationship Id="rId6" Type="http://schemas.openxmlformats.org/officeDocument/2006/relationships/printerSettings" Target="../printerSettings/printerSettings343.bin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49" Type="http://schemas.openxmlformats.org/officeDocument/2006/relationships/ctrlProp" Target="../ctrlProps/ctrlProp118.xml"/><Relationship Id="rId114" Type="http://schemas.openxmlformats.org/officeDocument/2006/relationships/ctrlProp" Target="../ctrlProps/ctrlProp183.xml"/><Relationship Id="rId119" Type="http://schemas.openxmlformats.org/officeDocument/2006/relationships/ctrlProp" Target="../ctrlProps/ctrlProp188.xml"/><Relationship Id="rId44" Type="http://schemas.openxmlformats.org/officeDocument/2006/relationships/ctrlProp" Target="../ctrlProps/ctrlProp113.xml"/><Relationship Id="rId60" Type="http://schemas.openxmlformats.org/officeDocument/2006/relationships/ctrlProp" Target="../ctrlProps/ctrlProp129.xml"/><Relationship Id="rId65" Type="http://schemas.openxmlformats.org/officeDocument/2006/relationships/ctrlProp" Target="../ctrlProps/ctrlProp134.xml"/><Relationship Id="rId81" Type="http://schemas.openxmlformats.org/officeDocument/2006/relationships/ctrlProp" Target="../ctrlProps/ctrlProp150.xml"/><Relationship Id="rId86" Type="http://schemas.openxmlformats.org/officeDocument/2006/relationships/ctrlProp" Target="../ctrlProps/ctrlProp155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39" Type="http://schemas.openxmlformats.org/officeDocument/2006/relationships/ctrlProp" Target="../ctrlProps/ctrlProp108.xml"/><Relationship Id="rId109" Type="http://schemas.openxmlformats.org/officeDocument/2006/relationships/ctrlProp" Target="../ctrlProps/ctrlProp178.xml"/><Relationship Id="rId34" Type="http://schemas.openxmlformats.org/officeDocument/2006/relationships/ctrlProp" Target="../ctrlProps/ctrlProp103.xml"/><Relationship Id="rId50" Type="http://schemas.openxmlformats.org/officeDocument/2006/relationships/ctrlProp" Target="../ctrlProps/ctrlProp119.xml"/><Relationship Id="rId55" Type="http://schemas.openxmlformats.org/officeDocument/2006/relationships/ctrlProp" Target="../ctrlProps/ctrlProp124.xml"/><Relationship Id="rId76" Type="http://schemas.openxmlformats.org/officeDocument/2006/relationships/ctrlProp" Target="../ctrlProps/ctrlProp145.xml"/><Relationship Id="rId97" Type="http://schemas.openxmlformats.org/officeDocument/2006/relationships/ctrlProp" Target="../ctrlProps/ctrlProp166.xml"/><Relationship Id="rId104" Type="http://schemas.openxmlformats.org/officeDocument/2006/relationships/ctrlProp" Target="../ctrlProps/ctrlProp173.xml"/><Relationship Id="rId120" Type="http://schemas.openxmlformats.org/officeDocument/2006/relationships/ctrlProp" Target="../ctrlProps/ctrlProp189.xml"/><Relationship Id="rId125" Type="http://schemas.openxmlformats.org/officeDocument/2006/relationships/ctrlProp" Target="../ctrlProps/ctrlProp194.xml"/><Relationship Id="rId7" Type="http://schemas.openxmlformats.org/officeDocument/2006/relationships/printerSettings" Target="../printerSettings/printerSettings344.bin"/><Relationship Id="rId71" Type="http://schemas.openxmlformats.org/officeDocument/2006/relationships/ctrlProp" Target="../ctrlProps/ctrlProp140.xml"/><Relationship Id="rId92" Type="http://schemas.openxmlformats.org/officeDocument/2006/relationships/ctrlProp" Target="../ctrlProps/ctrlProp161.xml"/><Relationship Id="rId2" Type="http://schemas.openxmlformats.org/officeDocument/2006/relationships/printerSettings" Target="../printerSettings/printerSettings339.bin"/><Relationship Id="rId29" Type="http://schemas.openxmlformats.org/officeDocument/2006/relationships/ctrlProp" Target="../ctrlProps/ctrlProp98.xml"/><Relationship Id="rId24" Type="http://schemas.openxmlformats.org/officeDocument/2006/relationships/ctrlProp" Target="../ctrlProps/ctrlProp93.xml"/><Relationship Id="rId40" Type="http://schemas.openxmlformats.org/officeDocument/2006/relationships/ctrlProp" Target="../ctrlProps/ctrlProp109.xml"/><Relationship Id="rId45" Type="http://schemas.openxmlformats.org/officeDocument/2006/relationships/ctrlProp" Target="../ctrlProps/ctrlProp114.xml"/><Relationship Id="rId66" Type="http://schemas.openxmlformats.org/officeDocument/2006/relationships/ctrlProp" Target="../ctrlProps/ctrlProp135.xml"/><Relationship Id="rId87" Type="http://schemas.openxmlformats.org/officeDocument/2006/relationships/ctrlProp" Target="../ctrlProps/ctrlProp156.xml"/><Relationship Id="rId110" Type="http://schemas.openxmlformats.org/officeDocument/2006/relationships/ctrlProp" Target="../ctrlProps/ctrlProp179.xml"/><Relationship Id="rId115" Type="http://schemas.openxmlformats.org/officeDocument/2006/relationships/ctrlProp" Target="../ctrlProps/ctrlProp184.xml"/><Relationship Id="rId61" Type="http://schemas.openxmlformats.org/officeDocument/2006/relationships/ctrlProp" Target="../ctrlProps/ctrlProp130.xml"/><Relationship Id="rId82" Type="http://schemas.openxmlformats.org/officeDocument/2006/relationships/ctrlProp" Target="../ctrlProps/ctrlProp151.xml"/><Relationship Id="rId19" Type="http://schemas.openxmlformats.org/officeDocument/2006/relationships/ctrlProp" Target="../ctrlProps/ctrlProp88.xml"/><Relationship Id="rId14" Type="http://schemas.openxmlformats.org/officeDocument/2006/relationships/ctrlProp" Target="../ctrlProps/ctrlProp83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56" Type="http://schemas.openxmlformats.org/officeDocument/2006/relationships/ctrlProp" Target="../ctrlProps/ctrlProp125.xml"/><Relationship Id="rId77" Type="http://schemas.openxmlformats.org/officeDocument/2006/relationships/ctrlProp" Target="../ctrlProps/ctrlProp146.xml"/><Relationship Id="rId100" Type="http://schemas.openxmlformats.org/officeDocument/2006/relationships/ctrlProp" Target="../ctrlProps/ctrlProp169.xml"/><Relationship Id="rId105" Type="http://schemas.openxmlformats.org/officeDocument/2006/relationships/ctrlProp" Target="../ctrlProps/ctrlProp174.xml"/><Relationship Id="rId126" Type="http://schemas.openxmlformats.org/officeDocument/2006/relationships/ctrlProp" Target="../ctrlProps/ctrlProp195.xml"/><Relationship Id="rId8" Type="http://schemas.openxmlformats.org/officeDocument/2006/relationships/printerSettings" Target="../printerSettings/printerSettings345.bin"/><Relationship Id="rId51" Type="http://schemas.openxmlformats.org/officeDocument/2006/relationships/ctrlProp" Target="../ctrlProps/ctrlProp120.xml"/><Relationship Id="rId72" Type="http://schemas.openxmlformats.org/officeDocument/2006/relationships/ctrlProp" Target="../ctrlProps/ctrlProp141.xml"/><Relationship Id="rId93" Type="http://schemas.openxmlformats.org/officeDocument/2006/relationships/ctrlProp" Target="../ctrlProps/ctrlProp162.xml"/><Relationship Id="rId98" Type="http://schemas.openxmlformats.org/officeDocument/2006/relationships/ctrlProp" Target="../ctrlProps/ctrlProp167.xml"/><Relationship Id="rId121" Type="http://schemas.openxmlformats.org/officeDocument/2006/relationships/ctrlProp" Target="../ctrlProps/ctrlProp190.xml"/><Relationship Id="rId3" Type="http://schemas.openxmlformats.org/officeDocument/2006/relationships/printerSettings" Target="../printerSettings/printerSettings340.bin"/><Relationship Id="rId25" Type="http://schemas.openxmlformats.org/officeDocument/2006/relationships/ctrlProp" Target="../ctrlProps/ctrlProp94.xml"/><Relationship Id="rId46" Type="http://schemas.openxmlformats.org/officeDocument/2006/relationships/ctrlProp" Target="../ctrlProps/ctrlProp115.xml"/><Relationship Id="rId67" Type="http://schemas.openxmlformats.org/officeDocument/2006/relationships/ctrlProp" Target="../ctrlProps/ctrlProp136.xml"/><Relationship Id="rId116" Type="http://schemas.openxmlformats.org/officeDocument/2006/relationships/ctrlProp" Target="../ctrlProps/ctrlProp185.xml"/><Relationship Id="rId20" Type="http://schemas.openxmlformats.org/officeDocument/2006/relationships/ctrlProp" Target="../ctrlProps/ctrlProp89.xml"/><Relationship Id="rId41" Type="http://schemas.openxmlformats.org/officeDocument/2006/relationships/ctrlProp" Target="../ctrlProps/ctrlProp110.xml"/><Relationship Id="rId62" Type="http://schemas.openxmlformats.org/officeDocument/2006/relationships/ctrlProp" Target="../ctrlProps/ctrlProp131.xml"/><Relationship Id="rId83" Type="http://schemas.openxmlformats.org/officeDocument/2006/relationships/ctrlProp" Target="../ctrlProps/ctrlProp152.xml"/><Relationship Id="rId88" Type="http://schemas.openxmlformats.org/officeDocument/2006/relationships/ctrlProp" Target="../ctrlProps/ctrlProp157.xml"/><Relationship Id="rId111" Type="http://schemas.openxmlformats.org/officeDocument/2006/relationships/ctrlProp" Target="../ctrlProps/ctrlProp180.xml"/><Relationship Id="rId15" Type="http://schemas.openxmlformats.org/officeDocument/2006/relationships/ctrlProp" Target="../ctrlProps/ctrlProp84.xml"/><Relationship Id="rId36" Type="http://schemas.openxmlformats.org/officeDocument/2006/relationships/ctrlProp" Target="../ctrlProps/ctrlProp105.xml"/><Relationship Id="rId57" Type="http://schemas.openxmlformats.org/officeDocument/2006/relationships/ctrlProp" Target="../ctrlProps/ctrlProp126.xml"/><Relationship Id="rId106" Type="http://schemas.openxmlformats.org/officeDocument/2006/relationships/ctrlProp" Target="../ctrlProps/ctrlProp175.xml"/><Relationship Id="rId127" Type="http://schemas.openxmlformats.org/officeDocument/2006/relationships/ctrlProp" Target="../ctrlProps/ctrlProp196.xml"/><Relationship Id="rId10" Type="http://schemas.openxmlformats.org/officeDocument/2006/relationships/vmlDrawing" Target="../drawings/vmlDrawing61.vml"/><Relationship Id="rId31" Type="http://schemas.openxmlformats.org/officeDocument/2006/relationships/ctrlProp" Target="../ctrlProps/ctrlProp100.xml"/><Relationship Id="rId52" Type="http://schemas.openxmlformats.org/officeDocument/2006/relationships/ctrlProp" Target="../ctrlProps/ctrlProp121.xml"/><Relationship Id="rId73" Type="http://schemas.openxmlformats.org/officeDocument/2006/relationships/ctrlProp" Target="../ctrlProps/ctrlProp142.xml"/><Relationship Id="rId78" Type="http://schemas.openxmlformats.org/officeDocument/2006/relationships/ctrlProp" Target="../ctrlProps/ctrlProp147.xml"/><Relationship Id="rId94" Type="http://schemas.openxmlformats.org/officeDocument/2006/relationships/ctrlProp" Target="../ctrlProps/ctrlProp163.xml"/><Relationship Id="rId99" Type="http://schemas.openxmlformats.org/officeDocument/2006/relationships/ctrlProp" Target="../ctrlProps/ctrlProp168.xml"/><Relationship Id="rId101" Type="http://schemas.openxmlformats.org/officeDocument/2006/relationships/ctrlProp" Target="../ctrlProps/ctrlProp170.xml"/><Relationship Id="rId122" Type="http://schemas.openxmlformats.org/officeDocument/2006/relationships/ctrlProp" Target="../ctrlProps/ctrlProp191.xml"/><Relationship Id="rId4" Type="http://schemas.openxmlformats.org/officeDocument/2006/relationships/printerSettings" Target="../printerSettings/printerSettings341.bin"/><Relationship Id="rId9" Type="http://schemas.openxmlformats.org/officeDocument/2006/relationships/drawing" Target="../drawings/drawing59.xml"/><Relationship Id="rId26" Type="http://schemas.openxmlformats.org/officeDocument/2006/relationships/ctrlProp" Target="../ctrlProps/ctrlProp95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6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7.bin"/></Relationships>
</file>

<file path=xl/worksheets/_rels/sheet9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5.bin"/><Relationship Id="rId3" Type="http://schemas.openxmlformats.org/officeDocument/2006/relationships/printerSettings" Target="../printerSettings/printerSettings350.bin"/><Relationship Id="rId7" Type="http://schemas.openxmlformats.org/officeDocument/2006/relationships/printerSettings" Target="../printerSettings/printerSettings354.bin"/><Relationship Id="rId2" Type="http://schemas.openxmlformats.org/officeDocument/2006/relationships/printerSettings" Target="../printerSettings/printerSettings349.bin"/><Relationship Id="rId1" Type="http://schemas.openxmlformats.org/officeDocument/2006/relationships/printerSettings" Target="../printerSettings/printerSettings348.bin"/><Relationship Id="rId6" Type="http://schemas.openxmlformats.org/officeDocument/2006/relationships/printerSettings" Target="../printerSettings/printerSettings353.bin"/><Relationship Id="rId5" Type="http://schemas.openxmlformats.org/officeDocument/2006/relationships/printerSettings" Target="../printerSettings/printerSettings352.bin"/><Relationship Id="rId4" Type="http://schemas.openxmlformats.org/officeDocument/2006/relationships/printerSettings" Target="../printerSettings/printerSettings35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6.bin"/></Relationships>
</file>

<file path=xl/worksheets/_rels/sheet9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4.bin"/><Relationship Id="rId3" Type="http://schemas.openxmlformats.org/officeDocument/2006/relationships/printerSettings" Target="../printerSettings/printerSettings359.bin"/><Relationship Id="rId7" Type="http://schemas.openxmlformats.org/officeDocument/2006/relationships/printerSettings" Target="../printerSettings/printerSettings363.bin"/><Relationship Id="rId2" Type="http://schemas.openxmlformats.org/officeDocument/2006/relationships/printerSettings" Target="../printerSettings/printerSettings358.bin"/><Relationship Id="rId1" Type="http://schemas.openxmlformats.org/officeDocument/2006/relationships/printerSettings" Target="../printerSettings/printerSettings357.bin"/><Relationship Id="rId6" Type="http://schemas.openxmlformats.org/officeDocument/2006/relationships/printerSettings" Target="../printerSettings/printerSettings362.bin"/><Relationship Id="rId11" Type="http://schemas.openxmlformats.org/officeDocument/2006/relationships/ctrlProp" Target="../ctrlProps/ctrlProp199.xml"/><Relationship Id="rId5" Type="http://schemas.openxmlformats.org/officeDocument/2006/relationships/printerSettings" Target="../printerSettings/printerSettings361.bin"/><Relationship Id="rId10" Type="http://schemas.openxmlformats.org/officeDocument/2006/relationships/vmlDrawing" Target="../drawings/vmlDrawing62.vml"/><Relationship Id="rId4" Type="http://schemas.openxmlformats.org/officeDocument/2006/relationships/printerSettings" Target="../printerSettings/printerSettings360.bin"/><Relationship Id="rId9" Type="http://schemas.openxmlformats.org/officeDocument/2006/relationships/drawing" Target="../drawings/drawing6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5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66.bin"/><Relationship Id="rId4" Type="http://schemas.openxmlformats.org/officeDocument/2006/relationships/ctrlProp" Target="../ctrlProps/ctrlProp20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367.bin"/><Relationship Id="rId4" Type="http://schemas.openxmlformats.org/officeDocument/2006/relationships/ctrlProp" Target="../ctrlProps/ctrlProp201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68.bin"/><Relationship Id="rId4" Type="http://schemas.openxmlformats.org/officeDocument/2006/relationships/ctrlProp" Target="../ctrlProps/ctrlProp202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369.bin"/><Relationship Id="rId4" Type="http://schemas.openxmlformats.org/officeDocument/2006/relationships/ctrlProp" Target="../ctrlProps/ctrlProp203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7.vml"/><Relationship Id="rId3" Type="http://schemas.openxmlformats.org/officeDocument/2006/relationships/printerSettings" Target="../printerSettings/printerSettings372.bin"/><Relationship Id="rId7" Type="http://schemas.openxmlformats.org/officeDocument/2006/relationships/drawing" Target="../drawings/drawing65.xml"/><Relationship Id="rId2" Type="http://schemas.openxmlformats.org/officeDocument/2006/relationships/printerSettings" Target="../printerSettings/printerSettings371.bin"/><Relationship Id="rId1" Type="http://schemas.openxmlformats.org/officeDocument/2006/relationships/printerSettings" Target="../printerSettings/printerSettings370.bin"/><Relationship Id="rId6" Type="http://schemas.openxmlformats.org/officeDocument/2006/relationships/printerSettings" Target="../printerSettings/printerSettings375.bin"/><Relationship Id="rId5" Type="http://schemas.openxmlformats.org/officeDocument/2006/relationships/printerSettings" Target="../printerSettings/printerSettings374.bin"/><Relationship Id="rId4" Type="http://schemas.openxmlformats.org/officeDocument/2006/relationships/printerSettings" Target="../printerSettings/printerSettings373.bin"/><Relationship Id="rId9" Type="http://schemas.openxmlformats.org/officeDocument/2006/relationships/ctrlProp" Target="../ctrlProps/ctrlProp204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376.bin"/><Relationship Id="rId4" Type="http://schemas.openxmlformats.org/officeDocument/2006/relationships/ctrlProp" Target="../ctrlProps/ctrlProp205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77.bin"/><Relationship Id="rId4" Type="http://schemas.openxmlformats.org/officeDocument/2006/relationships/ctrlProp" Target="../ctrlProps/ctrlProp206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378.bin"/><Relationship Id="rId4" Type="http://schemas.openxmlformats.org/officeDocument/2006/relationships/ctrlProp" Target="../ctrlProps/ctrlProp207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379.bin"/><Relationship Id="rId4" Type="http://schemas.openxmlformats.org/officeDocument/2006/relationships/ctrlProp" Target="../ctrlProps/ctrlProp208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380.bin"/><Relationship Id="rId4" Type="http://schemas.openxmlformats.org/officeDocument/2006/relationships/ctrlProp" Target="../ctrlProps/ctrlProp20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381.bin"/><Relationship Id="rId4" Type="http://schemas.openxmlformats.org/officeDocument/2006/relationships/ctrlProp" Target="../ctrlProps/ctrlProp21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2.bin"/></Relationships>
</file>

<file path=xl/worksheets/_rels/sheet10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printerSettings" Target="../printerSettings/printerSettings385.bin"/><Relationship Id="rId7" Type="http://schemas.openxmlformats.org/officeDocument/2006/relationships/ctrlProp" Target="../ctrlProps/ctrlProp211.xml"/><Relationship Id="rId2" Type="http://schemas.openxmlformats.org/officeDocument/2006/relationships/printerSettings" Target="../printerSettings/printerSettings384.bin"/><Relationship Id="rId1" Type="http://schemas.openxmlformats.org/officeDocument/2006/relationships/printerSettings" Target="../printerSettings/printerSettings383.bin"/><Relationship Id="rId6" Type="http://schemas.openxmlformats.org/officeDocument/2006/relationships/vmlDrawing" Target="../drawings/vmlDrawing74.vml"/><Relationship Id="rId5" Type="http://schemas.openxmlformats.org/officeDocument/2006/relationships/drawing" Target="../drawings/drawing72.xml"/><Relationship Id="rId4" Type="http://schemas.openxmlformats.org/officeDocument/2006/relationships/printerSettings" Target="../printerSettings/printerSettings386.bin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387.bin"/><Relationship Id="rId4" Type="http://schemas.openxmlformats.org/officeDocument/2006/relationships/ctrlProp" Target="../ctrlProps/ctrlProp21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388.bin"/><Relationship Id="rId4" Type="http://schemas.openxmlformats.org/officeDocument/2006/relationships/ctrlProp" Target="../ctrlProps/ctrlProp213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389.bin"/><Relationship Id="rId4" Type="http://schemas.openxmlformats.org/officeDocument/2006/relationships/ctrlProp" Target="../ctrlProps/ctrlProp214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390.bin"/><Relationship Id="rId4" Type="http://schemas.openxmlformats.org/officeDocument/2006/relationships/ctrlProp" Target="../ctrlProps/ctrlProp215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1.bin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392.bin"/><Relationship Id="rId4" Type="http://schemas.openxmlformats.org/officeDocument/2006/relationships/ctrlProp" Target="../ctrlProps/ctrlProp216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3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P99"/>
  <sheetViews>
    <sheetView workbookViewId="0"/>
  </sheetViews>
  <sheetFormatPr defaultRowHeight="14.5"/>
  <cols>
    <col min="1" max="1" width="40.453125" style="101" customWidth="1"/>
    <col min="2" max="3" width="21" style="101" customWidth="1"/>
    <col min="4" max="4" width="21" customWidth="1"/>
    <col min="5" max="8" width="21.453125" customWidth="1"/>
    <col min="9" max="9" width="14.453125" customWidth="1"/>
    <col min="10" max="10" width="19.54296875" customWidth="1"/>
    <col min="11" max="15" width="12.54296875" bestFit="1" customWidth="1"/>
  </cols>
  <sheetData>
    <row r="1" spans="1:3" ht="30.5" thickBot="1">
      <c r="A1" s="1520" t="s">
        <v>1710</v>
      </c>
      <c r="B1" s="1524" t="s">
        <v>1711</v>
      </c>
      <c r="C1" s="1524" t="s">
        <v>1712</v>
      </c>
    </row>
    <row r="2" spans="1:3" ht="15.5">
      <c r="A2" s="1521" t="s">
        <v>1713</v>
      </c>
      <c r="B2" s="1525" t="s">
        <v>1714</v>
      </c>
      <c r="C2" s="1525"/>
    </row>
    <row r="3" spans="1:3" ht="31.5" thickBot="1">
      <c r="A3" s="1522" t="s">
        <v>1713</v>
      </c>
      <c r="B3" s="1526" t="s">
        <v>1715</v>
      </c>
      <c r="C3" s="1526"/>
    </row>
    <row r="4" spans="1:3" ht="46.5">
      <c r="A4" s="1521" t="s">
        <v>1716</v>
      </c>
      <c r="B4" s="1525" t="s">
        <v>1717</v>
      </c>
      <c r="C4" s="1525" t="s">
        <v>4290</v>
      </c>
    </row>
    <row r="5" spans="1:3" ht="46.5">
      <c r="A5" s="1521" t="s">
        <v>1716</v>
      </c>
      <c r="B5" s="1525" t="s">
        <v>1718</v>
      </c>
      <c r="C5" s="1525" t="s">
        <v>4340</v>
      </c>
    </row>
    <row r="6" spans="1:3" ht="46.5">
      <c r="A6" s="1521" t="s">
        <v>1716</v>
      </c>
      <c r="B6" s="1525" t="s">
        <v>1719</v>
      </c>
      <c r="C6" s="1525" t="s">
        <v>4352</v>
      </c>
    </row>
    <row r="7" spans="1:3" ht="46.5">
      <c r="A7" s="1521" t="s">
        <v>1716</v>
      </c>
      <c r="B7" s="1525" t="s">
        <v>1720</v>
      </c>
      <c r="C7" s="1525" t="s">
        <v>1721</v>
      </c>
    </row>
    <row r="8" spans="1:3" ht="46.5">
      <c r="A8" s="1521" t="s">
        <v>1716</v>
      </c>
      <c r="B8" s="1525" t="s">
        <v>1722</v>
      </c>
      <c r="C8" s="1525" t="s">
        <v>4550</v>
      </c>
    </row>
    <row r="9" spans="1:3" ht="46.5">
      <c r="A9" s="1521" t="s">
        <v>1716</v>
      </c>
      <c r="B9" s="1525" t="s">
        <v>1723</v>
      </c>
      <c r="C9" s="1525" t="s">
        <v>4551</v>
      </c>
    </row>
    <row r="10" spans="1:3" ht="31">
      <c r="A10" s="1521" t="s">
        <v>1716</v>
      </c>
      <c r="B10" s="1525" t="s">
        <v>1724</v>
      </c>
      <c r="C10" s="1525" t="s">
        <v>4556</v>
      </c>
    </row>
    <row r="11" spans="1:3" ht="46.5">
      <c r="A11" s="1521" t="s">
        <v>1716</v>
      </c>
      <c r="B11" s="1525" t="s">
        <v>1725</v>
      </c>
      <c r="C11" s="1525" t="s">
        <v>1726</v>
      </c>
    </row>
    <row r="12" spans="1:3" ht="46.5">
      <c r="A12" s="1521" t="s">
        <v>1716</v>
      </c>
      <c r="B12" s="1525" t="s">
        <v>1727</v>
      </c>
      <c r="C12" s="1525" t="s">
        <v>4632</v>
      </c>
    </row>
    <row r="13" spans="1:3" ht="31.5" thickBot="1">
      <c r="A13" s="1522" t="s">
        <v>1716</v>
      </c>
      <c r="B13" s="1526" t="s">
        <v>1728</v>
      </c>
      <c r="C13" s="1526" t="s">
        <v>4643</v>
      </c>
    </row>
    <row r="14" spans="1:3" ht="46.5">
      <c r="A14" s="1521" t="s">
        <v>1729</v>
      </c>
      <c r="B14" s="1525" t="s">
        <v>1730</v>
      </c>
      <c r="C14" s="1525" t="s">
        <v>4549</v>
      </c>
    </row>
    <row r="15" spans="1:3" ht="47" thickBot="1">
      <c r="A15" s="1522" t="s">
        <v>1729</v>
      </c>
      <c r="B15" s="1526" t="s">
        <v>1731</v>
      </c>
      <c r="C15" s="1526" t="s">
        <v>4632</v>
      </c>
    </row>
    <row r="16" spans="1:3" ht="31">
      <c r="A16" s="1521" t="s">
        <v>1732</v>
      </c>
      <c r="B16" s="1525" t="s">
        <v>1733</v>
      </c>
      <c r="C16" s="1525" t="s">
        <v>4882</v>
      </c>
    </row>
    <row r="17" spans="1:3" ht="77.5">
      <c r="A17" s="1521" t="s">
        <v>1732</v>
      </c>
      <c r="B17" s="1525" t="s">
        <v>1734</v>
      </c>
      <c r="C17" s="1525" t="s">
        <v>4974</v>
      </c>
    </row>
    <row r="18" spans="1:3" ht="31">
      <c r="A18" s="1521" t="s">
        <v>1732</v>
      </c>
      <c r="B18" s="1525" t="s">
        <v>1735</v>
      </c>
      <c r="C18" s="1525" t="s">
        <v>4378</v>
      </c>
    </row>
    <row r="19" spans="1:3" ht="62">
      <c r="A19" s="1521" t="s">
        <v>1732</v>
      </c>
      <c r="B19" s="1525" t="s">
        <v>1736</v>
      </c>
      <c r="C19" s="1525" t="s">
        <v>4548</v>
      </c>
    </row>
    <row r="20" spans="1:3" ht="46.5">
      <c r="A20" s="1521" t="s">
        <v>1732</v>
      </c>
      <c r="B20" s="1525" t="s">
        <v>1737</v>
      </c>
      <c r="C20" s="1525" t="s">
        <v>3694</v>
      </c>
    </row>
    <row r="21" spans="1:3" ht="15.5">
      <c r="A21" s="1521" t="s">
        <v>1732</v>
      </c>
      <c r="B21" s="1525" t="s">
        <v>1738</v>
      </c>
      <c r="C21" s="1525" t="s">
        <v>1739</v>
      </c>
    </row>
    <row r="22" spans="1:3" ht="31.5" thickBot="1">
      <c r="A22" s="1522" t="s">
        <v>1732</v>
      </c>
      <c r="B22" s="1526" t="s">
        <v>1740</v>
      </c>
      <c r="C22" s="1526" t="s">
        <v>4646</v>
      </c>
    </row>
    <row r="23" spans="1:3" ht="31">
      <c r="A23" s="1521" t="s">
        <v>1741</v>
      </c>
      <c r="B23" s="1525" t="s">
        <v>1742</v>
      </c>
      <c r="C23" s="1525" t="s">
        <v>3406</v>
      </c>
    </row>
    <row r="24" spans="1:3" ht="31">
      <c r="A24" s="1521" t="s">
        <v>1741</v>
      </c>
      <c r="B24" s="1525" t="s">
        <v>1743</v>
      </c>
      <c r="C24" s="1525" t="s">
        <v>3710</v>
      </c>
    </row>
    <row r="25" spans="1:3" ht="62">
      <c r="A25" s="1521" t="s">
        <v>1741</v>
      </c>
      <c r="B25" s="1525" t="s">
        <v>1744</v>
      </c>
      <c r="C25" s="1525" t="s">
        <v>3414</v>
      </c>
    </row>
    <row r="26" spans="1:3" ht="31">
      <c r="A26" s="1521" t="s">
        <v>1741</v>
      </c>
      <c r="B26" s="1525" t="s">
        <v>1745</v>
      </c>
      <c r="C26" s="1525" t="s">
        <v>4860</v>
      </c>
    </row>
    <row r="27" spans="1:3" ht="46.5">
      <c r="A27" s="1521" t="s">
        <v>1741</v>
      </c>
      <c r="B27" s="1525" t="s">
        <v>1746</v>
      </c>
      <c r="C27" s="1525" t="s">
        <v>3711</v>
      </c>
    </row>
    <row r="28" spans="1:3" ht="31">
      <c r="A28" s="1521" t="s">
        <v>1741</v>
      </c>
      <c r="B28" s="1525" t="s">
        <v>1747</v>
      </c>
      <c r="C28" s="1525" t="s">
        <v>3429</v>
      </c>
    </row>
    <row r="29" spans="1:3" ht="46.5">
      <c r="A29" s="1521" t="s">
        <v>1741</v>
      </c>
      <c r="B29" s="1525" t="s">
        <v>1748</v>
      </c>
      <c r="C29" s="1525" t="s">
        <v>1726</v>
      </c>
    </row>
    <row r="30" spans="1:3" ht="31.5" thickBot="1">
      <c r="A30" s="1522" t="s">
        <v>1741</v>
      </c>
      <c r="B30" s="1526" t="s">
        <v>1749</v>
      </c>
      <c r="C30" s="1526" t="s">
        <v>4637</v>
      </c>
    </row>
    <row r="31" spans="1:3" ht="47" thickBot="1">
      <c r="A31" s="1522" t="s">
        <v>1750</v>
      </c>
      <c r="B31" s="1526" t="s">
        <v>1751</v>
      </c>
      <c r="C31" s="1526" t="s">
        <v>780</v>
      </c>
    </row>
    <row r="32" spans="1:3" ht="31">
      <c r="A32" s="1521" t="s">
        <v>781</v>
      </c>
      <c r="B32" s="1525" t="s">
        <v>782</v>
      </c>
      <c r="C32" s="1525" t="s">
        <v>4259</v>
      </c>
    </row>
    <row r="33" spans="1:3" ht="46.5">
      <c r="A33" s="1521" t="s">
        <v>781</v>
      </c>
      <c r="B33" s="1525" t="s">
        <v>783</v>
      </c>
      <c r="C33" s="1525" t="s">
        <v>4261</v>
      </c>
    </row>
    <row r="34" spans="1:3" ht="31">
      <c r="A34" s="1521" t="s">
        <v>781</v>
      </c>
      <c r="B34" s="1525" t="s">
        <v>784</v>
      </c>
      <c r="C34" s="1525" t="s">
        <v>785</v>
      </c>
    </row>
    <row r="35" spans="1:3" ht="31">
      <c r="A35" s="1521" t="s">
        <v>781</v>
      </c>
      <c r="B35" s="1525" t="s">
        <v>786</v>
      </c>
      <c r="C35" s="1525" t="s">
        <v>4265</v>
      </c>
    </row>
    <row r="36" spans="1:3" ht="46.5">
      <c r="A36" s="1521" t="s">
        <v>781</v>
      </c>
      <c r="B36" s="1525" t="s">
        <v>787</v>
      </c>
      <c r="C36" s="1525" t="s">
        <v>4270</v>
      </c>
    </row>
    <row r="37" spans="1:3" ht="31">
      <c r="A37" s="1521" t="s">
        <v>781</v>
      </c>
      <c r="B37" s="1525" t="s">
        <v>788</v>
      </c>
      <c r="C37" s="1525" t="s">
        <v>3392</v>
      </c>
    </row>
    <row r="38" spans="1:3" ht="15.5">
      <c r="A38" s="1521" t="s">
        <v>781</v>
      </c>
      <c r="B38" s="1525" t="s">
        <v>789</v>
      </c>
      <c r="C38" s="1525" t="s">
        <v>4268</v>
      </c>
    </row>
    <row r="39" spans="1:3" ht="62">
      <c r="A39" s="1521" t="s">
        <v>781</v>
      </c>
      <c r="B39" s="1525" t="s">
        <v>790</v>
      </c>
      <c r="C39" s="1525" t="s">
        <v>791</v>
      </c>
    </row>
    <row r="40" spans="1:3" ht="31">
      <c r="A40" s="1521" t="s">
        <v>781</v>
      </c>
      <c r="B40" s="1525" t="s">
        <v>792</v>
      </c>
      <c r="C40" s="1525" t="s">
        <v>793</v>
      </c>
    </row>
    <row r="41" spans="1:3" ht="31">
      <c r="A41" s="1521" t="s">
        <v>781</v>
      </c>
      <c r="B41" s="1525" t="s">
        <v>794</v>
      </c>
      <c r="C41" s="1525" t="s">
        <v>795</v>
      </c>
    </row>
    <row r="42" spans="1:3" ht="15.5">
      <c r="A42" s="1521" t="s">
        <v>781</v>
      </c>
      <c r="B42" s="1525" t="s">
        <v>796</v>
      </c>
      <c r="C42" s="1525" t="s">
        <v>3408</v>
      </c>
    </row>
    <row r="43" spans="1:3" ht="15.5">
      <c r="A43" s="1521" t="s">
        <v>781</v>
      </c>
      <c r="B43" s="1525" t="s">
        <v>797</v>
      </c>
      <c r="C43" s="1525" t="s">
        <v>4627</v>
      </c>
    </row>
    <row r="44" spans="1:3" ht="31">
      <c r="A44" s="1521" t="s">
        <v>781</v>
      </c>
      <c r="B44" s="1525" t="s">
        <v>798</v>
      </c>
      <c r="C44" s="1525" t="s">
        <v>3431</v>
      </c>
    </row>
    <row r="45" spans="1:3" ht="15.5">
      <c r="A45" s="1521" t="s">
        <v>781</v>
      </c>
      <c r="B45" s="1525" t="s">
        <v>799</v>
      </c>
      <c r="C45" s="1525" t="s">
        <v>3393</v>
      </c>
    </row>
    <row r="46" spans="1:3" ht="47" thickBot="1">
      <c r="A46" s="1522" t="s">
        <v>781</v>
      </c>
      <c r="B46" s="1526" t="s">
        <v>800</v>
      </c>
      <c r="C46" s="1526" t="s">
        <v>4632</v>
      </c>
    </row>
    <row r="47" spans="1:3" ht="31">
      <c r="A47" s="1521" t="s">
        <v>801</v>
      </c>
      <c r="B47" s="1525" t="s">
        <v>802</v>
      </c>
      <c r="C47" s="1525" t="s">
        <v>803</v>
      </c>
    </row>
    <row r="48" spans="1:3" ht="46.5">
      <c r="A48" s="1521" t="s">
        <v>801</v>
      </c>
      <c r="B48" s="1525" t="s">
        <v>804</v>
      </c>
      <c r="C48" s="1525" t="s">
        <v>805</v>
      </c>
    </row>
    <row r="49" spans="1:3" ht="46.5">
      <c r="A49" s="1521" t="s">
        <v>801</v>
      </c>
      <c r="B49" s="1525" t="s">
        <v>806</v>
      </c>
      <c r="C49" s="1525" t="s">
        <v>807</v>
      </c>
    </row>
    <row r="50" spans="1:3" ht="15.5">
      <c r="A50" s="1521" t="s">
        <v>801</v>
      </c>
      <c r="B50" s="1525" t="s">
        <v>808</v>
      </c>
      <c r="C50" s="1525" t="s">
        <v>4625</v>
      </c>
    </row>
    <row r="51" spans="1:3" ht="16" thickBot="1">
      <c r="A51" s="1522" t="s">
        <v>801</v>
      </c>
      <c r="B51" s="1526" t="s">
        <v>809</v>
      </c>
      <c r="C51" s="1526" t="s">
        <v>4627</v>
      </c>
    </row>
    <row r="52" spans="1:3" ht="31">
      <c r="A52" s="1521" t="s">
        <v>810</v>
      </c>
      <c r="B52" s="1525" t="s">
        <v>811</v>
      </c>
      <c r="C52" s="1525" t="s">
        <v>4304</v>
      </c>
    </row>
    <row r="53" spans="1:3" ht="62">
      <c r="A53" s="1521" t="s">
        <v>810</v>
      </c>
      <c r="B53" s="1525" t="s">
        <v>812</v>
      </c>
      <c r="C53" s="1525" t="s">
        <v>4325</v>
      </c>
    </row>
    <row r="54" spans="1:3" ht="46.5">
      <c r="A54" s="1521" t="s">
        <v>810</v>
      </c>
      <c r="B54" s="1525" t="s">
        <v>813</v>
      </c>
      <c r="C54" s="1525" t="s">
        <v>4364</v>
      </c>
    </row>
    <row r="55" spans="1:3" ht="46.5">
      <c r="A55" s="1521" t="s">
        <v>810</v>
      </c>
      <c r="B55" s="1525" t="s">
        <v>814</v>
      </c>
      <c r="C55" s="1525" t="s">
        <v>4371</v>
      </c>
    </row>
    <row r="56" spans="1:3" ht="46.5">
      <c r="A56" s="1521" t="s">
        <v>810</v>
      </c>
      <c r="B56" s="1525" t="s">
        <v>815</v>
      </c>
      <c r="C56" s="1525" t="s">
        <v>1726</v>
      </c>
    </row>
    <row r="57" spans="1:3" ht="31.5" thickBot="1">
      <c r="A57" s="1522" t="s">
        <v>810</v>
      </c>
      <c r="B57" s="1526" t="s">
        <v>816</v>
      </c>
      <c r="C57" s="1526" t="s">
        <v>4586</v>
      </c>
    </row>
    <row r="58" spans="1:3" ht="15.5">
      <c r="A58" s="1521" t="s">
        <v>817</v>
      </c>
      <c r="B58" s="1525" t="s">
        <v>818</v>
      </c>
      <c r="C58" s="1525" t="s">
        <v>4292</v>
      </c>
    </row>
    <row r="59" spans="1:3" ht="15.5">
      <c r="A59" s="1521" t="s">
        <v>817</v>
      </c>
      <c r="B59" s="1525" t="s">
        <v>819</v>
      </c>
      <c r="C59" s="1525" t="s">
        <v>4297</v>
      </c>
    </row>
    <row r="60" spans="1:3" ht="15.5">
      <c r="A60" s="1521" t="s">
        <v>817</v>
      </c>
      <c r="B60" s="1525" t="s">
        <v>820</v>
      </c>
      <c r="C60" s="1525" t="s">
        <v>4299</v>
      </c>
    </row>
    <row r="61" spans="1:3" ht="31">
      <c r="A61" s="1521" t="s">
        <v>817</v>
      </c>
      <c r="B61" s="1525" t="s">
        <v>821</v>
      </c>
      <c r="C61" s="1525" t="s">
        <v>4301</v>
      </c>
    </row>
    <row r="62" spans="1:3" ht="16" thickBot="1">
      <c r="A62" s="1522" t="s">
        <v>817</v>
      </c>
      <c r="B62" s="1526" t="s">
        <v>822</v>
      </c>
      <c r="C62" s="1526" t="s">
        <v>4303</v>
      </c>
    </row>
    <row r="63" spans="1:3" ht="15.5">
      <c r="A63" s="1521" t="s">
        <v>823</v>
      </c>
      <c r="B63" s="1525" t="s">
        <v>824</v>
      </c>
      <c r="C63" s="1525" t="s">
        <v>3434</v>
      </c>
    </row>
    <row r="64" spans="1:3" ht="46.5">
      <c r="A64" s="1521" t="s">
        <v>823</v>
      </c>
      <c r="B64" s="1525" t="s">
        <v>825</v>
      </c>
      <c r="C64" s="1525" t="s">
        <v>3436</v>
      </c>
    </row>
    <row r="65" spans="1:3" ht="77.5">
      <c r="A65" s="1521" t="s">
        <v>823</v>
      </c>
      <c r="B65" s="1525" t="s">
        <v>826</v>
      </c>
      <c r="C65" s="1525" t="s">
        <v>3438</v>
      </c>
    </row>
    <row r="66" spans="1:3" ht="62">
      <c r="A66" s="1521" t="s">
        <v>823</v>
      </c>
      <c r="B66" s="1525" t="s">
        <v>827</v>
      </c>
      <c r="C66" s="1525" t="s">
        <v>3452</v>
      </c>
    </row>
    <row r="67" spans="1:3" ht="62">
      <c r="A67" s="1521" t="s">
        <v>823</v>
      </c>
      <c r="B67" s="1525" t="s">
        <v>828</v>
      </c>
      <c r="C67" s="1525" t="s">
        <v>4247</v>
      </c>
    </row>
    <row r="68" spans="1:3" ht="31">
      <c r="A68" s="1521" t="s">
        <v>823</v>
      </c>
      <c r="B68" s="1525" t="s">
        <v>829</v>
      </c>
      <c r="C68" s="1525" t="s">
        <v>830</v>
      </c>
    </row>
    <row r="69" spans="1:3" ht="15.5">
      <c r="A69" s="1521" t="s">
        <v>823</v>
      </c>
      <c r="B69" s="1525" t="s">
        <v>831</v>
      </c>
      <c r="C69" s="1525" t="s">
        <v>4274</v>
      </c>
    </row>
    <row r="70" spans="1:3" ht="15.5">
      <c r="A70" s="1521" t="s">
        <v>823</v>
      </c>
      <c r="B70" s="1525" t="s">
        <v>832</v>
      </c>
      <c r="C70" s="1525" t="s">
        <v>4280</v>
      </c>
    </row>
    <row r="71" spans="1:3" ht="15.5">
      <c r="A71" s="1521" t="s">
        <v>823</v>
      </c>
      <c r="B71" s="1525" t="s">
        <v>833</v>
      </c>
      <c r="C71" s="1525" t="s">
        <v>4282</v>
      </c>
    </row>
    <row r="72" spans="1:3" ht="31">
      <c r="A72" s="1521" t="s">
        <v>823</v>
      </c>
      <c r="B72" s="1525" t="s">
        <v>834</v>
      </c>
      <c r="C72" s="1525" t="s">
        <v>4288</v>
      </c>
    </row>
    <row r="73" spans="1:3" ht="31.5" thickBot="1">
      <c r="A73" s="1522" t="s">
        <v>823</v>
      </c>
      <c r="B73" s="1526" t="s">
        <v>835</v>
      </c>
      <c r="C73" s="1526" t="s">
        <v>4631</v>
      </c>
    </row>
    <row r="74" spans="1:3" ht="15.5">
      <c r="A74" s="1521" t="s">
        <v>836</v>
      </c>
      <c r="B74" s="1525" t="s">
        <v>837</v>
      </c>
      <c r="C74" s="1525" t="s">
        <v>4567</v>
      </c>
    </row>
    <row r="75" spans="1:3" ht="31">
      <c r="A75" s="1521" t="s">
        <v>836</v>
      </c>
      <c r="B75" s="1525" t="s">
        <v>838</v>
      </c>
      <c r="C75" s="1525" t="s">
        <v>4568</v>
      </c>
    </row>
    <row r="76" spans="1:3" ht="15.5">
      <c r="A76" s="1521" t="s">
        <v>836</v>
      </c>
      <c r="B76" s="1525" t="s">
        <v>839</v>
      </c>
      <c r="C76" s="1525" t="s">
        <v>4569</v>
      </c>
    </row>
    <row r="77" spans="1:3" ht="31">
      <c r="A77" s="1521" t="s">
        <v>836</v>
      </c>
      <c r="B77" s="1525" t="s">
        <v>840</v>
      </c>
      <c r="C77" s="1525" t="s">
        <v>4574</v>
      </c>
    </row>
    <row r="78" spans="1:3" ht="62">
      <c r="A78" s="1521" t="s">
        <v>836</v>
      </c>
      <c r="B78" s="1525" t="s">
        <v>841</v>
      </c>
      <c r="C78" s="1525" t="s">
        <v>4992</v>
      </c>
    </row>
    <row r="79" spans="1:3" ht="16" thickBot="1">
      <c r="A79" s="1522" t="s">
        <v>836</v>
      </c>
      <c r="B79" s="1526" t="s">
        <v>842</v>
      </c>
      <c r="C79" s="1526" t="s">
        <v>4646</v>
      </c>
    </row>
    <row r="83" spans="1:16">
      <c r="A83" s="1523" t="s">
        <v>843</v>
      </c>
      <c r="B83" s="1527" t="s">
        <v>844</v>
      </c>
      <c r="C83" s="1527" t="s">
        <v>845</v>
      </c>
      <c r="D83" s="1519" t="s">
        <v>846</v>
      </c>
      <c r="E83" s="1519" t="s">
        <v>847</v>
      </c>
      <c r="F83" s="1519" t="s">
        <v>848</v>
      </c>
      <c r="G83" s="1519" t="s">
        <v>849</v>
      </c>
      <c r="H83" s="1519" t="s">
        <v>850</v>
      </c>
      <c r="I83" s="1519" t="s">
        <v>851</v>
      </c>
      <c r="J83" s="1519" t="s">
        <v>852</v>
      </c>
      <c r="K83" s="1519" t="s">
        <v>853</v>
      </c>
      <c r="L83" s="1519" t="s">
        <v>854</v>
      </c>
      <c r="M83" s="1519" t="s">
        <v>861</v>
      </c>
      <c r="N83" s="1519" t="s">
        <v>863</v>
      </c>
      <c r="O83" s="1519" t="s">
        <v>864</v>
      </c>
    </row>
    <row r="84" spans="1:16">
      <c r="A84" s="1528" t="str">
        <f>A23</f>
        <v>05 Поток - Основные средства и НМА и РБП</v>
      </c>
      <c r="B84" s="1530">
        <v>9015</v>
      </c>
      <c r="C84" s="1530">
        <v>5100</v>
      </c>
      <c r="D84" s="1530" t="s">
        <v>3397</v>
      </c>
      <c r="E84" s="1530" t="s">
        <v>2216</v>
      </c>
      <c r="F84" s="1530">
        <v>1010</v>
      </c>
      <c r="G84" s="1530"/>
      <c r="H84" s="1530"/>
      <c r="I84" s="1530"/>
      <c r="J84" s="1530"/>
      <c r="K84" s="1530"/>
      <c r="L84" s="1530"/>
      <c r="M84" s="1530"/>
    </row>
    <row r="85" spans="1:16">
      <c r="A85" s="1529" t="str">
        <f>A14</f>
        <v>03 Поток - Управление персоналом</v>
      </c>
      <c r="B85" s="1530">
        <v>5100</v>
      </c>
      <c r="C85" s="1530">
        <v>6003</v>
      </c>
      <c r="D85" s="1530">
        <v>2530</v>
      </c>
      <c r="E85" s="1530"/>
      <c r="F85" s="1530"/>
      <c r="G85" s="1530"/>
      <c r="H85" s="1530"/>
      <c r="I85" s="1530"/>
      <c r="J85" s="1530"/>
      <c r="K85" s="1530"/>
      <c r="L85" s="1530"/>
      <c r="M85" s="1530"/>
    </row>
    <row r="86" spans="1:16">
      <c r="A86" s="1529" t="str">
        <f>A58</f>
        <v>10 Поток - Денежные средства</v>
      </c>
      <c r="B86" s="1530">
        <v>2451</v>
      </c>
      <c r="C86" s="1530">
        <v>6003</v>
      </c>
      <c r="D86" s="1530">
        <v>5100</v>
      </c>
      <c r="E86" s="1530">
        <v>6004</v>
      </c>
      <c r="F86" s="1530">
        <v>9018</v>
      </c>
      <c r="G86" s="1530">
        <v>2450</v>
      </c>
      <c r="H86" s="1530" t="s">
        <v>4680</v>
      </c>
      <c r="I86" s="1530"/>
      <c r="J86" s="1530"/>
      <c r="K86" s="1530"/>
      <c r="L86" s="1530"/>
      <c r="M86" s="1530"/>
    </row>
    <row r="87" spans="1:16">
      <c r="A87" s="1529" t="str">
        <f>A74</f>
        <v>14 Поток - Капитал</v>
      </c>
      <c r="B87" s="1530">
        <v>2640</v>
      </c>
      <c r="C87" s="1530">
        <v>5100</v>
      </c>
      <c r="D87" s="1530">
        <v>2651</v>
      </c>
      <c r="E87" s="1530">
        <v>6004</v>
      </c>
      <c r="F87" s="1530">
        <v>2660</v>
      </c>
      <c r="G87" s="1530"/>
      <c r="H87" s="1530"/>
      <c r="I87" s="1530"/>
      <c r="J87" s="1530"/>
      <c r="K87" s="1530"/>
      <c r="L87" s="1530"/>
      <c r="M87" s="1530"/>
    </row>
    <row r="88" spans="1:16">
      <c r="A88" s="1529" t="str">
        <f>A73</f>
        <v>11 Поток - Учет материалов</v>
      </c>
      <c r="B88" s="1530" t="s">
        <v>2217</v>
      </c>
      <c r="C88" s="1530">
        <v>5100</v>
      </c>
      <c r="D88" s="1530" t="s">
        <v>4128</v>
      </c>
      <c r="E88" s="1530" t="s">
        <v>4127</v>
      </c>
      <c r="F88" s="1530">
        <v>2131</v>
      </c>
      <c r="G88" s="1530">
        <v>2120</v>
      </c>
      <c r="H88" s="1530">
        <v>2132</v>
      </c>
      <c r="I88" s="1530">
        <v>9017</v>
      </c>
      <c r="J88" s="1530">
        <v>9021</v>
      </c>
      <c r="K88" s="1530">
        <v>2142</v>
      </c>
      <c r="L88" s="1530"/>
      <c r="M88" s="1530"/>
    </row>
    <row r="89" spans="1:16">
      <c r="A89" s="1529" t="str">
        <f>A50</f>
        <v>08 Поток - Учет доходов_расходов</v>
      </c>
      <c r="B89" s="1530" t="s">
        <v>4523</v>
      </c>
      <c r="C89" s="1530" t="s">
        <v>1837</v>
      </c>
      <c r="D89" s="1530" t="s">
        <v>1838</v>
      </c>
      <c r="E89" s="1530" t="s">
        <v>1839</v>
      </c>
      <c r="F89" s="1530" t="s">
        <v>4097</v>
      </c>
      <c r="G89" s="1530" t="s">
        <v>5250</v>
      </c>
      <c r="H89" s="1530" t="s">
        <v>1842</v>
      </c>
      <c r="I89" s="1530">
        <v>9021</v>
      </c>
      <c r="J89" s="1530" t="s">
        <v>4120</v>
      </c>
      <c r="K89" s="1530" t="s">
        <v>1843</v>
      </c>
      <c r="L89" s="1530">
        <v>5100</v>
      </c>
      <c r="M89" s="1530">
        <v>6004</v>
      </c>
    </row>
    <row r="90" spans="1:16">
      <c r="A90" s="1529" t="str">
        <f>A46</f>
        <v>07 Поток - Затраты</v>
      </c>
      <c r="B90" s="1530">
        <v>9019</v>
      </c>
      <c r="C90" s="1530" t="s">
        <v>3397</v>
      </c>
      <c r="D90" s="1530" t="s">
        <v>4097</v>
      </c>
      <c r="E90" s="1530">
        <v>9021</v>
      </c>
      <c r="F90" s="1530">
        <v>5100</v>
      </c>
      <c r="G90" s="1530"/>
      <c r="H90" s="1530"/>
      <c r="I90" s="1530"/>
      <c r="J90" s="1530"/>
      <c r="K90" s="1530"/>
      <c r="L90" s="1530"/>
      <c r="M90" s="1530"/>
    </row>
    <row r="91" spans="1:16">
      <c r="A91" s="1529" t="str">
        <f>A31</f>
        <v>06 Поток - Кап вложения</v>
      </c>
      <c r="B91" s="1530" t="s">
        <v>4654</v>
      </c>
      <c r="C91" s="1530">
        <v>5100</v>
      </c>
      <c r="D91" s="1530">
        <v>9019</v>
      </c>
      <c r="E91" s="1530">
        <v>1010</v>
      </c>
      <c r="F91" s="1530" t="s">
        <v>3397</v>
      </c>
      <c r="G91" s="1530">
        <v>2080</v>
      </c>
      <c r="H91" s="1530">
        <v>2013</v>
      </c>
      <c r="I91" s="1530"/>
      <c r="J91" s="1530"/>
      <c r="K91" s="1530"/>
      <c r="L91" s="1530"/>
      <c r="M91" s="1530"/>
    </row>
    <row r="92" spans="1:16">
      <c r="A92" s="1529" t="str">
        <f>A16</f>
        <v>04 Поток - Расчеты по налогам и сборам</v>
      </c>
      <c r="B92" s="1530" t="s">
        <v>3993</v>
      </c>
      <c r="C92" s="1530" t="s">
        <v>1818</v>
      </c>
      <c r="D92" s="1530">
        <v>5100</v>
      </c>
      <c r="E92" s="1530">
        <v>2722</v>
      </c>
      <c r="F92" s="1530" t="s">
        <v>1830</v>
      </c>
      <c r="G92" s="1530"/>
      <c r="H92" s="1530"/>
      <c r="I92" s="1530"/>
      <c r="J92" s="1530"/>
      <c r="K92" s="1530"/>
      <c r="L92" s="1530"/>
      <c r="M92" s="1530"/>
    </row>
    <row r="93" spans="1:16">
      <c r="A93" s="1529" t="str">
        <f>A52</f>
        <v>09 Поток - Финансовые вложения</v>
      </c>
      <c r="B93" s="1530">
        <v>6004</v>
      </c>
      <c r="C93" s="1530">
        <v>6003</v>
      </c>
      <c r="D93" s="1530">
        <v>2420</v>
      </c>
      <c r="E93" s="1530">
        <v>5100</v>
      </c>
      <c r="F93" s="1530">
        <v>2454</v>
      </c>
      <c r="G93" s="1530" t="s">
        <v>2063</v>
      </c>
      <c r="H93" s="1530" t="s">
        <v>5248</v>
      </c>
      <c r="I93" s="1530" t="s">
        <v>5249</v>
      </c>
      <c r="J93" s="1530">
        <v>2423</v>
      </c>
      <c r="K93" s="1530" t="s">
        <v>5251</v>
      </c>
      <c r="L93" s="1530" t="s">
        <v>3014</v>
      </c>
      <c r="M93" s="1530">
        <v>1008</v>
      </c>
      <c r="N93" s="532">
        <v>1009</v>
      </c>
      <c r="O93" s="1530">
        <v>2610</v>
      </c>
      <c r="P93" s="1530"/>
    </row>
    <row r="94" spans="1:16">
      <c r="A94" s="1529" t="str">
        <f>A12</f>
        <v>02 Поток - Расчеты с кредиторами, дебиторами</v>
      </c>
      <c r="B94" s="1530" t="s">
        <v>3017</v>
      </c>
      <c r="C94" s="1530" t="s">
        <v>5250</v>
      </c>
      <c r="D94" s="1530">
        <v>5100</v>
      </c>
      <c r="E94" s="1530">
        <v>1008</v>
      </c>
      <c r="F94" s="1530">
        <v>9018</v>
      </c>
      <c r="G94" s="1530">
        <v>6004</v>
      </c>
      <c r="H94" s="1530" t="s">
        <v>3099</v>
      </c>
      <c r="I94" s="1530">
        <v>2540</v>
      </c>
      <c r="J94" s="1530">
        <v>2630</v>
      </c>
      <c r="K94" s="1530">
        <v>2640</v>
      </c>
      <c r="L94" s="1530"/>
      <c r="M94" s="1530"/>
    </row>
    <row r="95" spans="1:16">
      <c r="A95" s="1529" t="str">
        <f>A2</f>
        <v>01 Поток - Главная книга</v>
      </c>
      <c r="B95" s="1530" t="s">
        <v>862</v>
      </c>
      <c r="C95" s="1530">
        <v>5100</v>
      </c>
      <c r="D95" s="1530"/>
      <c r="E95" s="1530"/>
      <c r="F95" s="1530"/>
      <c r="G95" s="1530"/>
      <c r="H95" s="1530"/>
      <c r="I95" s="1530"/>
      <c r="J95" s="1530"/>
      <c r="K95" s="1530"/>
      <c r="L95" s="1530"/>
      <c r="M95" s="1530"/>
    </row>
    <row r="96" spans="1:16">
      <c r="B96" s="1531"/>
      <c r="C96" s="1531"/>
      <c r="D96" s="562"/>
      <c r="E96" s="562"/>
      <c r="F96" s="562"/>
      <c r="G96" s="562"/>
      <c r="H96" s="562"/>
      <c r="I96" s="562"/>
      <c r="J96" s="562"/>
      <c r="K96" s="562"/>
      <c r="L96" s="562"/>
      <c r="M96" s="562"/>
    </row>
    <row r="97" spans="2:13">
      <c r="B97" s="1531"/>
      <c r="C97" s="1531"/>
      <c r="D97" s="562"/>
      <c r="E97" s="562"/>
      <c r="F97" s="562"/>
      <c r="G97" s="562"/>
      <c r="H97" s="562"/>
      <c r="I97" s="562"/>
      <c r="J97" s="562"/>
      <c r="K97" s="562"/>
      <c r="L97" s="562"/>
      <c r="M97" s="562"/>
    </row>
    <row r="98" spans="2:13">
      <c r="B98" s="1531"/>
      <c r="C98" s="1531"/>
      <c r="D98" s="562"/>
      <c r="E98" s="562"/>
      <c r="F98" s="562"/>
      <c r="G98" s="562"/>
      <c r="H98" s="562"/>
      <c r="I98" s="562"/>
      <c r="J98" s="562"/>
      <c r="K98" s="562"/>
      <c r="L98" s="562"/>
      <c r="M98" s="562"/>
    </row>
    <row r="99" spans="2:13">
      <c r="B99" s="1531"/>
      <c r="C99" s="1531"/>
      <c r="D99" s="562"/>
      <c r="E99" s="562"/>
      <c r="F99" s="562"/>
      <c r="G99" s="562"/>
      <c r="H99" s="562"/>
      <c r="I99" s="562"/>
      <c r="J99" s="562"/>
      <c r="K99" s="562"/>
      <c r="L99" s="562"/>
      <c r="M99" s="562"/>
    </row>
  </sheetData>
  <sheetProtection algorithmName="SHA-512" hashValue="ws9KzUjFxM7UwpPccgz929gso5I7jt5TwAjdI+7YOG03ruINvJgSaLRXhSoXf624DvIFdliKJ03JZ6KvYfovjg==" saltValue="wr42MJ4S+F64CdRcjUjNww==" spinCount="100000" sheet="1" objects="1" scenarios="1" formatColumns="0" formatRows="0" autoFilter="0"/>
  <customSheetViews>
    <customSheetView guid="{3769259D-9653-4B34-A2F6-4FB6F9F4E533}" showGridLines="0" state="hidden">
      <selection sqref="A1:IV65536"/>
      <pageMargins left="0.7" right="0.7" top="0.75" bottom="0.75" header="0.3" footer="0.3"/>
      <pageSetup paperSize="9" orientation="portrait" horizontalDpi="300" verticalDpi="0" copies="0" r:id="rId1"/>
    </customSheetView>
    <customSheetView guid="{40D7A2BB-326C-4ED3-999C-17852F56D6F4}" showGridLines="0" state="hidden">
      <selection sqref="A1:IV65536"/>
      <pageMargins left="0.7" right="0.7" top="0.75" bottom="0.75" header="0.3" footer="0.3"/>
      <pageSetup paperSize="9" orientation="portrait" horizontalDpi="300" verticalDpi="0" copies="0" r:id="rId2"/>
    </customSheetView>
    <customSheetView guid="{5D121940-0CE8-4A0E-A493-67FAAA6E0FF8}" showGridLines="0" state="hidden">
      <selection sqref="A1:IV65536"/>
      <pageMargins left="0.7" right="0.7" top="0.75" bottom="0.75" header="0.3" footer="0.3"/>
      <pageSetup paperSize="9" orientation="portrait" horizontalDpi="300" verticalDpi="0" copies="0" r:id="rId3"/>
    </customSheetView>
    <customSheetView guid="{47AEACC4-6EA5-412C-AF39-A6C5357B313A}" showGridLines="0" state="hidden">
      <selection sqref="A1:IV65536"/>
      <pageMargins left="0.7" right="0.7" top="0.75" bottom="0.75" header="0.3" footer="0.3"/>
      <pageSetup paperSize="9" orientation="portrait" horizontalDpi="300" verticalDpi="0" copies="0" r:id="rId4"/>
    </customSheetView>
    <customSheetView guid="{C913A9E8-661B-40A4-A3C9-1BC5F2B2E9F0}" showGridLines="0" state="hidden">
      <selection sqref="A1:IV65536"/>
      <pageMargins left="0.7" right="0.7" top="0.75" bottom="0.75" header="0.3" footer="0.3"/>
      <pageSetup paperSize="9" orientation="portrait" horizontalDpi="300" verticalDpi="0" copies="0" r:id="rId5"/>
    </customSheetView>
  </customSheetViews>
  <phoneticPr fontId="0" type="noConversion"/>
  <conditionalFormatting sqref="B84:M84">
    <cfRule type="duplicateValues" dxfId="1464" priority="14" stopIfTrue="1"/>
  </conditionalFormatting>
  <conditionalFormatting sqref="B85:M85">
    <cfRule type="duplicateValues" dxfId="1463" priority="13" stopIfTrue="1"/>
  </conditionalFormatting>
  <conditionalFormatting sqref="B86:M86">
    <cfRule type="duplicateValues" dxfId="1462" priority="12" stopIfTrue="1"/>
  </conditionalFormatting>
  <conditionalFormatting sqref="B87:M87">
    <cfRule type="duplicateValues" dxfId="1461" priority="11" stopIfTrue="1"/>
  </conditionalFormatting>
  <conditionalFormatting sqref="B88:M88">
    <cfRule type="duplicateValues" dxfId="1460" priority="10" stopIfTrue="1"/>
  </conditionalFormatting>
  <conditionalFormatting sqref="B90:M90">
    <cfRule type="duplicateValues" dxfId="1459" priority="8" stopIfTrue="1"/>
  </conditionalFormatting>
  <conditionalFormatting sqref="B91:M91">
    <cfRule type="duplicateValues" dxfId="1458" priority="7" stopIfTrue="1"/>
  </conditionalFormatting>
  <conditionalFormatting sqref="B92:M92">
    <cfRule type="duplicateValues" dxfId="1457" priority="6" stopIfTrue="1"/>
  </conditionalFormatting>
  <conditionalFormatting sqref="B93:M93 O93:P93">
    <cfRule type="duplicateValues" dxfId="1456" priority="5" stopIfTrue="1"/>
  </conditionalFormatting>
  <conditionalFormatting sqref="B94:M94">
    <cfRule type="duplicateValues" dxfId="1455" priority="4" stopIfTrue="1"/>
  </conditionalFormatting>
  <conditionalFormatting sqref="B95:M95">
    <cfRule type="duplicateValues" dxfId="1454" priority="3" stopIfTrue="1"/>
  </conditionalFormatting>
  <conditionalFormatting sqref="J89:M89 B89:H89">
    <cfRule type="duplicateValues" dxfId="1453" priority="15" stopIfTrue="1"/>
  </conditionalFormatting>
  <conditionalFormatting sqref="I89">
    <cfRule type="duplicateValues" dxfId="1452" priority="2" stopIfTrue="1"/>
  </conditionalFormatting>
  <conditionalFormatting sqref="B93:P93">
    <cfRule type="duplicateValues" dxfId="1451" priority="1" stopIfTrue="1"/>
  </conditionalFormatting>
  <pageMargins left="0.7" right="0.7" top="0.75" bottom="0.75" header="0.3" footer="0.3"/>
  <pageSetup paperSize="9" orientation="portrait" horizontalDpi="30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49"/>
  <sheetViews>
    <sheetView topLeftCell="B10" workbookViewId="0">
      <selection activeCell="A17" sqref="A17:I17"/>
    </sheetView>
  </sheetViews>
  <sheetFormatPr defaultColWidth="9.453125" defaultRowHeight="14.5"/>
  <cols>
    <col min="1" max="1" width="0" style="32" hidden="1" customWidth="1"/>
    <col min="2" max="16384" width="9.453125" style="32"/>
  </cols>
  <sheetData>
    <row r="1" spans="1:9">
      <c r="A1" s="629" t="s">
        <v>2235</v>
      </c>
      <c r="B1" s="8"/>
      <c r="C1" s="8"/>
      <c r="D1" s="1202"/>
      <c r="E1" s="8"/>
      <c r="F1" s="32" t="s">
        <v>3295</v>
      </c>
      <c r="G1" s="8"/>
      <c r="H1" s="8"/>
      <c r="I1" s="8"/>
    </row>
    <row r="2" spans="1:9">
      <c r="A2" s="8"/>
      <c r="B2" s="8"/>
      <c r="C2" s="8"/>
      <c r="D2" s="8"/>
      <c r="E2" s="8"/>
      <c r="F2" s="32" t="s">
        <v>3296</v>
      </c>
      <c r="G2" s="8"/>
      <c r="H2" s="8"/>
      <c r="I2" s="8"/>
    </row>
    <row r="3" spans="1:9">
      <c r="A3" s="8"/>
      <c r="B3" s="8"/>
      <c r="C3" s="8"/>
      <c r="D3" s="8"/>
      <c r="E3" s="8"/>
      <c r="F3" s="32" t="s">
        <v>3297</v>
      </c>
      <c r="G3" s="8"/>
      <c r="H3" s="8"/>
      <c r="I3" s="8"/>
    </row>
    <row r="4" spans="1:9" ht="15.5">
      <c r="A4" s="8"/>
      <c r="B4" s="8"/>
      <c r="C4" s="8"/>
      <c r="D4" s="8"/>
      <c r="E4" s="8"/>
      <c r="F4" s="1163" t="s">
        <v>9868</v>
      </c>
      <c r="G4" s="8"/>
      <c r="H4" s="8"/>
      <c r="I4" s="8"/>
    </row>
    <row r="5" spans="1:9">
      <c r="A5" s="8"/>
      <c r="B5" s="8"/>
      <c r="C5" s="8"/>
      <c r="D5" s="8"/>
      <c r="E5" s="8"/>
      <c r="G5" s="8"/>
      <c r="H5" s="8"/>
      <c r="I5" s="8"/>
    </row>
    <row r="6" spans="1:9">
      <c r="A6" s="8"/>
      <c r="B6" s="8"/>
      <c r="C6" s="8"/>
      <c r="D6" s="8"/>
      <c r="E6" s="8"/>
      <c r="F6" s="8"/>
      <c r="G6" s="8"/>
      <c r="H6" s="8"/>
      <c r="I6" s="8"/>
    </row>
    <row r="7" spans="1:9">
      <c r="A7" s="8"/>
      <c r="B7" s="8"/>
      <c r="C7" s="8"/>
      <c r="D7" s="8"/>
      <c r="E7" s="8"/>
      <c r="F7" s="8"/>
      <c r="G7" s="8"/>
      <c r="H7" s="8"/>
      <c r="I7" s="8"/>
    </row>
    <row r="8" spans="1:9">
      <c r="A8" s="8"/>
      <c r="B8" s="8"/>
      <c r="C8" s="8"/>
      <c r="D8" s="8"/>
      <c r="E8" s="8"/>
      <c r="F8" s="8"/>
      <c r="G8" s="8"/>
      <c r="H8" s="8"/>
      <c r="I8" s="8"/>
    </row>
    <row r="9" spans="1:9">
      <c r="A9" s="8"/>
      <c r="B9" s="8"/>
      <c r="C9" s="8"/>
      <c r="D9" s="8"/>
      <c r="E9" s="8"/>
      <c r="F9" s="8"/>
      <c r="G9" s="8"/>
      <c r="H9" s="8"/>
      <c r="I9" s="8"/>
    </row>
    <row r="10" spans="1:9">
      <c r="A10" s="8"/>
      <c r="B10" s="8"/>
      <c r="C10" s="8"/>
      <c r="D10" s="8"/>
      <c r="E10" s="8"/>
      <c r="F10" s="8"/>
      <c r="G10" s="8"/>
      <c r="H10" s="8"/>
      <c r="I10" s="8"/>
    </row>
    <row r="11" spans="1:9">
      <c r="A11" s="8"/>
      <c r="B11" s="8"/>
      <c r="C11" s="8"/>
      <c r="D11" s="8"/>
      <c r="E11" s="8"/>
      <c r="F11" s="8"/>
      <c r="G11" s="8"/>
      <c r="H11" s="8"/>
      <c r="I11" s="8"/>
    </row>
    <row r="12" spans="1:9">
      <c r="A12" s="8"/>
      <c r="B12" s="8"/>
      <c r="C12" s="8"/>
      <c r="D12" s="8"/>
      <c r="E12" s="8"/>
      <c r="F12" s="8"/>
      <c r="G12" s="8"/>
      <c r="H12" s="8"/>
      <c r="I12" s="8"/>
    </row>
    <row r="13" spans="1:9">
      <c r="A13" s="8"/>
      <c r="B13" s="8"/>
      <c r="C13" s="8"/>
      <c r="D13" s="8"/>
      <c r="E13" s="8"/>
      <c r="F13" s="8"/>
      <c r="G13" s="8"/>
      <c r="H13" s="8"/>
      <c r="I13" s="8"/>
    </row>
    <row r="14" spans="1:9">
      <c r="A14" s="8"/>
      <c r="B14" s="8"/>
      <c r="C14" s="8"/>
      <c r="D14" s="8"/>
      <c r="E14" s="8"/>
      <c r="F14" s="8"/>
      <c r="G14" s="8"/>
      <c r="H14" s="8"/>
      <c r="I14" s="8"/>
    </row>
    <row r="15" spans="1:9">
      <c r="A15" s="3658" t="s">
        <v>3298</v>
      </c>
      <c r="B15" s="3658"/>
      <c r="C15" s="3658"/>
      <c r="D15" s="3658"/>
      <c r="E15" s="3658"/>
      <c r="F15" s="3658"/>
      <c r="G15" s="3658"/>
      <c r="H15" s="3658"/>
      <c r="I15" s="3658"/>
    </row>
    <row r="16" spans="1:9">
      <c r="A16" s="3659" t="s">
        <v>3299</v>
      </c>
      <c r="B16" s="3659"/>
      <c r="C16" s="3659"/>
      <c r="D16" s="3659"/>
      <c r="E16" s="3659"/>
      <c r="F16" s="3659"/>
      <c r="G16" s="3659"/>
      <c r="H16" s="3659"/>
      <c r="I16" s="3659"/>
    </row>
    <row r="17" spans="1:9">
      <c r="A17" s="3658" t="s">
        <v>3300</v>
      </c>
      <c r="B17" s="3658"/>
      <c r="C17" s="3658"/>
      <c r="D17" s="3658"/>
      <c r="E17" s="3658"/>
      <c r="F17" s="3658"/>
      <c r="G17" s="3658"/>
      <c r="H17" s="3658"/>
      <c r="I17" s="3658"/>
    </row>
    <row r="18" spans="1:9">
      <c r="A18" s="8"/>
      <c r="B18" s="8"/>
      <c r="C18" s="8"/>
      <c r="D18" s="8"/>
      <c r="E18" s="8"/>
      <c r="F18" s="8"/>
      <c r="G18" s="8"/>
      <c r="H18" s="8"/>
      <c r="I18" s="8"/>
    </row>
    <row r="19" spans="1:9">
      <c r="A19" s="8"/>
      <c r="B19" s="8"/>
      <c r="C19" s="8"/>
      <c r="D19" s="8"/>
      <c r="E19" s="8"/>
      <c r="F19" s="8"/>
      <c r="G19" s="630"/>
      <c r="H19" s="630"/>
      <c r="I19" s="8"/>
    </row>
    <row r="20" spans="1:9">
      <c r="A20" s="8"/>
      <c r="B20" s="8"/>
      <c r="C20" s="8"/>
      <c r="D20" s="8"/>
      <c r="E20" s="8"/>
      <c r="F20" s="8"/>
      <c r="G20" s="8"/>
      <c r="H20" s="8"/>
      <c r="I20" s="8"/>
    </row>
    <row r="21" spans="1:9">
      <c r="A21" s="8"/>
      <c r="B21" s="8"/>
      <c r="C21" s="8"/>
      <c r="D21" s="8"/>
      <c r="E21" s="8"/>
      <c r="F21" s="8"/>
      <c r="G21" s="8"/>
      <c r="H21" s="8"/>
      <c r="I21" s="8"/>
    </row>
    <row r="22" spans="1:9">
      <c r="A22" s="8"/>
      <c r="B22" s="8"/>
      <c r="C22" s="8"/>
      <c r="D22" s="8"/>
      <c r="E22" s="8"/>
      <c r="F22" s="8"/>
      <c r="G22" s="8"/>
      <c r="H22" s="8"/>
      <c r="I22" s="8"/>
    </row>
    <row r="23" spans="1:9">
      <c r="A23" s="8"/>
      <c r="B23" s="8"/>
      <c r="C23" s="8"/>
      <c r="D23" s="8"/>
      <c r="E23" s="8"/>
      <c r="F23" s="8"/>
      <c r="G23" s="8"/>
      <c r="H23" s="8"/>
      <c r="I23" s="8"/>
    </row>
    <row r="24" spans="1:9">
      <c r="A24" s="3658" t="s">
        <v>3301</v>
      </c>
      <c r="B24" s="3658"/>
      <c r="C24" s="3658"/>
      <c r="D24" s="3658"/>
      <c r="E24" s="3658"/>
      <c r="F24" s="3658"/>
      <c r="G24" s="3658"/>
      <c r="H24" s="3658"/>
      <c r="I24" s="3658"/>
    </row>
    <row r="25" spans="1:9">
      <c r="A25" s="8"/>
      <c r="B25" s="8"/>
      <c r="C25" s="8"/>
      <c r="D25" s="8"/>
      <c r="E25" s="8"/>
      <c r="F25" s="8"/>
      <c r="G25" s="8"/>
      <c r="H25" s="8"/>
      <c r="I25" s="8"/>
    </row>
    <row r="26" spans="1:9">
      <c r="A26" s="8"/>
      <c r="B26" s="8"/>
      <c r="C26" s="8"/>
      <c r="D26" s="8"/>
      <c r="E26" s="8"/>
      <c r="F26" s="8"/>
      <c r="G26" s="8"/>
      <c r="H26" s="8"/>
      <c r="I26" s="8"/>
    </row>
    <row r="27" spans="1:9">
      <c r="A27" s="8"/>
      <c r="B27" s="8"/>
      <c r="C27" s="8"/>
      <c r="D27" s="8"/>
      <c r="E27" s="8"/>
      <c r="F27" s="8"/>
      <c r="G27" s="8"/>
      <c r="H27" s="8"/>
      <c r="I27" s="8"/>
    </row>
    <row r="28" spans="1:9">
      <c r="A28" s="8"/>
      <c r="B28" s="8"/>
      <c r="C28" s="8"/>
      <c r="D28" s="8"/>
      <c r="E28" s="8"/>
      <c r="F28" s="8"/>
      <c r="G28" s="8"/>
      <c r="H28" s="8"/>
      <c r="I28" s="8"/>
    </row>
    <row r="29" spans="1:9">
      <c r="A29" s="8"/>
      <c r="B29" s="8"/>
      <c r="C29" s="8"/>
      <c r="D29" s="8"/>
      <c r="E29" s="8"/>
      <c r="F29" s="8"/>
      <c r="G29" s="8"/>
      <c r="H29" s="8"/>
      <c r="I29" s="8"/>
    </row>
    <row r="30" spans="1:9">
      <c r="A30" s="8"/>
      <c r="B30" s="8"/>
      <c r="C30" s="8"/>
      <c r="D30" s="8"/>
      <c r="E30" s="8"/>
      <c r="F30" s="8"/>
      <c r="G30" s="8"/>
      <c r="H30" s="8"/>
      <c r="I30" s="8"/>
    </row>
    <row r="31" spans="1:9">
      <c r="A31" s="8"/>
      <c r="B31" s="8"/>
      <c r="C31" s="8"/>
      <c r="D31" s="8"/>
      <c r="E31" s="8"/>
      <c r="F31" s="8"/>
      <c r="G31" s="8"/>
      <c r="H31" s="8"/>
      <c r="I31" s="8"/>
    </row>
    <row r="32" spans="1:9">
      <c r="A32" s="8"/>
      <c r="B32" s="8"/>
      <c r="C32" s="8"/>
      <c r="D32" s="8"/>
      <c r="E32" s="8"/>
      <c r="F32" s="8"/>
      <c r="G32" s="8"/>
      <c r="H32" s="8"/>
      <c r="I32" s="8"/>
    </row>
    <row r="33" spans="1:9">
      <c r="A33" s="8"/>
      <c r="B33" s="8"/>
      <c r="C33" s="8"/>
      <c r="D33" s="8"/>
      <c r="E33" s="8"/>
      <c r="F33" s="8"/>
      <c r="G33" s="8"/>
      <c r="H33" s="8"/>
      <c r="I33" s="8"/>
    </row>
    <row r="34" spans="1:9">
      <c r="A34" s="8"/>
      <c r="B34" s="8"/>
      <c r="C34" s="8"/>
      <c r="D34" s="8"/>
      <c r="E34" s="8"/>
      <c r="F34" s="8"/>
      <c r="G34" s="8"/>
      <c r="H34" s="8"/>
      <c r="I34" s="8"/>
    </row>
    <row r="35" spans="1:9">
      <c r="A35" s="8"/>
      <c r="B35" s="8"/>
      <c r="C35" s="8"/>
      <c r="D35" s="8"/>
      <c r="E35" s="8"/>
      <c r="F35" s="8"/>
      <c r="G35" s="8"/>
      <c r="H35" s="8"/>
      <c r="I35" s="8"/>
    </row>
    <row r="36" spans="1:9">
      <c r="A36" s="8"/>
      <c r="B36" s="8"/>
      <c r="C36" s="8"/>
      <c r="D36" s="8"/>
      <c r="E36" s="8"/>
      <c r="F36" s="8"/>
      <c r="G36" s="8"/>
      <c r="H36" s="8"/>
      <c r="I36" s="8"/>
    </row>
    <row r="37" spans="1:9">
      <c r="A37" s="8"/>
      <c r="B37" s="8"/>
      <c r="C37" s="8"/>
      <c r="D37" s="8"/>
      <c r="E37" s="8"/>
      <c r="F37" s="8"/>
      <c r="G37" s="8"/>
      <c r="H37" s="8"/>
      <c r="I37" s="8"/>
    </row>
    <row r="38" spans="1:9">
      <c r="A38" s="8"/>
      <c r="B38" s="8"/>
      <c r="C38" s="8"/>
      <c r="D38" s="8"/>
      <c r="E38" s="8"/>
      <c r="F38" s="8"/>
      <c r="G38" s="8"/>
      <c r="H38" s="8"/>
      <c r="I38" s="8"/>
    </row>
    <row r="39" spans="1:9">
      <c r="A39" s="8"/>
      <c r="B39" s="8"/>
      <c r="C39" s="8"/>
      <c r="D39" s="8"/>
      <c r="E39" s="8"/>
      <c r="F39" s="8"/>
      <c r="G39" s="8"/>
      <c r="H39" s="8"/>
      <c r="I39" s="8"/>
    </row>
    <row r="40" spans="1:9">
      <c r="A40" s="8"/>
      <c r="B40" s="8"/>
      <c r="C40" s="8"/>
      <c r="D40" s="8"/>
      <c r="E40" s="8"/>
      <c r="F40" s="8"/>
      <c r="G40" s="8"/>
      <c r="H40" s="8"/>
      <c r="I40" s="8"/>
    </row>
    <row r="41" spans="1:9">
      <c r="A41" s="8"/>
      <c r="B41" s="8"/>
      <c r="C41" s="8"/>
      <c r="D41" s="8"/>
      <c r="E41" s="8"/>
      <c r="F41" s="8"/>
      <c r="G41" s="8"/>
      <c r="H41" s="8"/>
      <c r="I41" s="8"/>
    </row>
    <row r="42" spans="1:9">
      <c r="A42" s="8"/>
      <c r="B42" s="8"/>
      <c r="C42" s="8"/>
      <c r="D42" s="8"/>
      <c r="E42" s="8"/>
      <c r="F42" s="8"/>
      <c r="G42" s="8"/>
      <c r="H42" s="8"/>
      <c r="I42" s="8"/>
    </row>
    <row r="43" spans="1:9">
      <c r="A43" s="8"/>
      <c r="B43" s="8"/>
      <c r="C43" s="8"/>
      <c r="D43" s="8"/>
      <c r="E43" s="8"/>
      <c r="F43" s="8"/>
      <c r="G43" s="8"/>
      <c r="H43" s="8"/>
      <c r="I43" s="8"/>
    </row>
    <row r="44" spans="1:9">
      <c r="A44" s="8"/>
      <c r="B44" s="8"/>
      <c r="C44" s="8"/>
      <c r="D44" s="8"/>
      <c r="E44" s="8"/>
      <c r="F44" s="8"/>
      <c r="G44" s="8"/>
      <c r="H44" s="8"/>
      <c r="I44" s="8"/>
    </row>
    <row r="45" spans="1:9">
      <c r="A45" s="8"/>
      <c r="B45" s="8"/>
      <c r="C45" s="8"/>
      <c r="D45" s="8"/>
      <c r="E45" s="8"/>
      <c r="F45" s="8"/>
      <c r="G45" s="8"/>
      <c r="H45" s="8"/>
      <c r="I45" s="8"/>
    </row>
    <row r="46" spans="1:9">
      <c r="A46" s="8"/>
      <c r="B46" s="8"/>
      <c r="C46" s="8"/>
      <c r="D46" s="8"/>
      <c r="E46" s="8"/>
      <c r="F46" s="8"/>
      <c r="G46" s="8"/>
      <c r="H46" s="8"/>
      <c r="I46" s="8"/>
    </row>
    <row r="47" spans="1:9">
      <c r="A47" s="8"/>
      <c r="B47" s="8"/>
      <c r="C47" s="8"/>
      <c r="D47" s="8"/>
      <c r="E47" s="631" t="s">
        <v>3302</v>
      </c>
      <c r="G47" s="631"/>
      <c r="H47" s="8"/>
      <c r="I47" s="8"/>
    </row>
    <row r="48" spans="1:9">
      <c r="A48" s="8"/>
      <c r="B48" s="8"/>
      <c r="C48" s="8"/>
      <c r="D48" s="8"/>
      <c r="E48" s="631" t="s">
        <v>9867</v>
      </c>
      <c r="G48" s="631"/>
      <c r="H48" s="8"/>
      <c r="I48" s="8"/>
    </row>
    <row r="49" spans="1:9">
      <c r="A49" s="8"/>
      <c r="B49" s="8"/>
      <c r="C49" s="8"/>
      <c r="D49" s="8"/>
      <c r="E49" s="8"/>
      <c r="F49" s="8"/>
      <c r="G49" s="8"/>
      <c r="H49" s="8"/>
      <c r="I49" s="8"/>
    </row>
  </sheetData>
  <sheetProtection algorithmName="SHA-512" hashValue="Pe1Xp+E1gDwcmkKuG6IccBYXH+Vx2Ejal+xla7u3p3Mr8GFRs8jl0+RpIja4L5+qHR02Mp0nWZl/eZM7+AWxYg==" saltValue="Nd1Oslne94eI3kttcspNFg==" spinCount="100000" sheet="1" objects="1" scenarios="1" formatColumns="0" formatRows="0" autoFilter="0"/>
  <customSheetViews>
    <customSheetView guid="{3769259D-9653-4B34-A2F6-4FB6F9F4E533}" scale="85" showGridLines="0" topLeftCell="A13">
      <pageMargins left="0.7" right="0.7" top="0.75" bottom="0.75" header="0.3" footer="0.3"/>
    </customSheetView>
    <customSheetView guid="{40D7A2BB-326C-4ED3-999C-17852F56D6F4}" scale="85" showGridLines="0">
      <selection activeCell="L18" sqref="L18"/>
      <pageMargins left="0.7" right="0.7" top="0.75" bottom="0.75" header="0.3" footer="0.3"/>
    </customSheetView>
    <customSheetView guid="{5D121940-0CE8-4A0E-A493-67FAAA6E0FF8}" scale="85" showGridLines="0" topLeftCell="A52">
      <selection activeCell="L18" sqref="L18"/>
      <pageMargins left="0.7" right="0.7" top="0.75" bottom="0.75" header="0.3" footer="0.3"/>
    </customSheetView>
    <customSheetView guid="{47AEACC4-6EA5-412C-AF39-A6C5357B313A}" scale="85" showGridLines="0" topLeftCell="A52">
      <selection activeCell="L18" sqref="L18"/>
      <pageMargins left="0.7" right="0.7" top="0.75" bottom="0.75" header="0.3" footer="0.3"/>
    </customSheetView>
    <customSheetView guid="{C913A9E8-661B-40A4-A3C9-1BC5F2B2E9F0}" scale="85" showGridLines="0" topLeftCell="A52">
      <selection activeCell="L18" sqref="L18"/>
      <pageMargins left="0.7" right="0.7" top="0.75" bottom="0.75" header="0.3" footer="0.3"/>
    </customSheetView>
  </customSheetViews>
  <mergeCells count="4">
    <mergeCell ref="A15:I15"/>
    <mergeCell ref="A16:I16"/>
    <mergeCell ref="A17:I17"/>
    <mergeCell ref="A24:I24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3"/>
  <sheetViews>
    <sheetView topLeftCell="B1" zoomScale="42" zoomScaleNormal="42" workbookViewId="0">
      <selection activeCell="F17" sqref="F17"/>
    </sheetView>
  </sheetViews>
  <sheetFormatPr defaultColWidth="9.453125" defaultRowHeight="13"/>
  <cols>
    <col min="1" max="1" width="17.54296875" style="328" hidden="1" customWidth="1"/>
    <col min="2" max="2" width="120.453125" style="328" customWidth="1"/>
    <col min="3" max="16384" width="9.453125" style="328"/>
  </cols>
  <sheetData>
    <row r="1" spans="1:2">
      <c r="A1" s="1815" t="s">
        <v>5377</v>
      </c>
      <c r="B1" s="1815" t="s">
        <v>5380</v>
      </c>
    </row>
    <row r="2" spans="1:2">
      <c r="A2" s="1815" t="s">
        <v>5438</v>
      </c>
      <c r="B2" s="1816" t="str">
        <f>CONCATENATE("1002", Содержание!D3)</f>
        <v>1002-</v>
      </c>
    </row>
    <row r="3" spans="1:2">
      <c r="A3" s="1815" t="s">
        <v>996</v>
      </c>
      <c r="B3" s="1817" t="str">
        <f>CONCATENATE(YEAR(Содержание!D14),".",IF(LEN(MONTH(Содержание!D14))=1,CONCATENATE("0",MONTH(Содержание!D14)),MONTH(Содержание!D14)))</f>
        <v>2022.12</v>
      </c>
    </row>
    <row r="4" spans="1:2" ht="193.5" customHeight="1">
      <c r="A4" s="1818" t="s">
        <v>997</v>
      </c>
      <c r="B4" s="1819" t="str">
        <f>Параметры_загрузки!C114</f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;99;ДДС;Зарубежная_выручка;90_контр</v>
      </c>
    </row>
    <row r="5" spans="1:2">
      <c r="A5" s="1856" t="s">
        <v>630</v>
      </c>
      <c r="B5" s="1947" t="s">
        <v>9994</v>
      </c>
    </row>
    <row r="6" spans="1:2">
      <c r="A6" s="328" t="s">
        <v>629</v>
      </c>
      <c r="B6" s="1947" t="s">
        <v>5421</v>
      </c>
    </row>
    <row r="7" spans="1:2">
      <c r="A7" s="328" t="s">
        <v>631</v>
      </c>
      <c r="B7" s="328" t="str">
        <f>MID($B$4,1,255)</f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</v>
      </c>
    </row>
    <row r="8" spans="1:2">
      <c r="A8" s="328" t="s">
        <v>632</v>
      </c>
      <c r="B8" s="328" t="str">
        <f>MID($B$4,256,255)</f>
        <v>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</v>
      </c>
    </row>
    <row r="9" spans="1:2">
      <c r="A9" s="328" t="s">
        <v>633</v>
      </c>
      <c r="B9" s="328" t="str">
        <f>MID($B$4,511,255)</f>
        <v>овые_льготы_прочие;69;70;71;73;75_01_Неденеж;75_01;75_02;76;76_01_%;77;78;80;83;83_расш;84;84_расш;86;90;90_ОРВГ;91_01;91_01_ВГО;91_02;91_02_ВГО;Прочие_расш;ОСС;96;96_движ;97;98_01;98_02;98_03;98_04;99;ДДС;Зарубежная_выручка;90_контр</v>
      </c>
    </row>
    <row r="10" spans="1:2">
      <c r="A10" s="328" t="s">
        <v>634</v>
      </c>
      <c r="B10" s="328" t="str">
        <f>MID($B$4,766,255)</f>
        <v/>
      </c>
    </row>
    <row r="11" spans="1:2">
      <c r="A11" s="328" t="s">
        <v>635</v>
      </c>
      <c r="B11" s="328" t="str">
        <f>MID($B$4,1021,255)</f>
        <v/>
      </c>
    </row>
    <row r="12" spans="1:2">
      <c r="A12" s="328" t="s">
        <v>636</v>
      </c>
      <c r="B12" s="328" t="str">
        <f>MID($B$4,1276,255)</f>
        <v/>
      </c>
    </row>
    <row r="13" spans="1:2">
      <c r="A13" s="328" t="s">
        <v>5104</v>
      </c>
      <c r="B13" s="328" t="str">
        <f>RIGHT(LEFT(Содержание!A1,(FIND("V",Содержание!A1)+2)),3)</f>
        <v>V14</v>
      </c>
    </row>
  </sheetData>
  <sheetProtection algorithmName="SHA-512" hashValue="AupbfF5F5MNTjJDZjRgsHr+CEon/6LlO2vowjDKIIx55mD/S00w6ENBDt82J7GINSe+NGIHa2bQ72ppZyMdEYw==" saltValue="rE0p2J8PfrPMHXoIzAhiVA==" spinCount="100000" sheet="1" objects="1" scenarios="1" formatColumns="0" formatRows="0" autoFilter="0"/>
  <customSheetViews>
    <customSheetView guid="{3769259D-9653-4B34-A2F6-4FB6F9F4E533}" showGridLines="0" state="hidden">
      <selection activeCell="B4" sqref="B4"/>
      <pageMargins left="0.7" right="0.7" top="0.75" bottom="0.75" header="0.3" footer="0.3"/>
    </customSheetView>
    <customSheetView guid="{40D7A2BB-326C-4ED3-999C-17852F56D6F4}" showGridLines="0">
      <selection activeCell="B13" sqref="B13"/>
      <pageMargins left="0.7" right="0.7" top="0.75" bottom="0.75" header="0.3" footer="0.3"/>
    </customSheetView>
    <customSheetView guid="{5D121940-0CE8-4A0E-A493-67FAAA6E0FF8}" showGridLines="0">
      <selection activeCell="B17" sqref="B17"/>
      <pageMargins left="0.7" right="0.7" top="0.75" bottom="0.75" header="0.3" footer="0.3"/>
    </customSheetView>
    <customSheetView guid="{47AEACC4-6EA5-412C-AF39-A6C5357B313A}" showGridLines="0">
      <selection activeCell="B13" sqref="B13"/>
      <pageMargins left="0.7" right="0.7" top="0.75" bottom="0.75" header="0.3" footer="0.3"/>
    </customSheetView>
    <customSheetView guid="{4D957B38-5430-481E-B791-E0A66F913B50}">
      <pageMargins left="0.7" right="0.7" top="0.75" bottom="0.75" header="0.3" footer="0.3"/>
    </customSheetView>
    <customSheetView guid="{1C36793E-2B7E-411E-AA99-985D5D59B75A}">
      <selection activeCell="B6" sqref="B6"/>
      <pageMargins left="0.7" right="0.7" top="0.75" bottom="0.75" header="0.3" footer="0.3"/>
    </customSheetView>
    <customSheetView guid="{C913A9E8-661B-40A4-A3C9-1BC5F2B2E9F0}" showGridLines="0">
      <selection activeCell="B17" sqref="B17"/>
      <pageMargins left="0.7" right="0.7" top="0.75" bottom="0.75" header="0.3" footer="0.3"/>
    </customSheetView>
  </customSheetView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130"/>
  <sheetViews>
    <sheetView zoomScale="59" zoomScaleNormal="59" workbookViewId="0">
      <selection activeCell="D2" sqref="D2:E2"/>
    </sheetView>
  </sheetViews>
  <sheetFormatPr defaultColWidth="9.453125" defaultRowHeight="14.5"/>
  <cols>
    <col min="1" max="1" width="9.453125" style="1569" customWidth="1"/>
    <col min="2" max="2" width="27.453125" style="1569" customWidth="1"/>
    <col min="3" max="3" width="104.453125" style="1569" customWidth="1"/>
    <col min="4" max="4" width="34.453125" style="1569" customWidth="1"/>
    <col min="5" max="5" width="32.54296875" style="1569" customWidth="1"/>
    <col min="6" max="6" width="11.453125" style="1569" customWidth="1"/>
    <col min="7" max="7" width="22.453125" style="1569" customWidth="1"/>
    <col min="8" max="8" width="25.453125" style="1569" customWidth="1"/>
    <col min="9" max="11" width="26.54296875" style="1569" customWidth="1"/>
    <col min="12" max="12" width="26.54296875" style="2175" hidden="1" customWidth="1"/>
    <col min="13" max="13" width="26.54296875" style="1569" hidden="1" customWidth="1"/>
    <col min="14" max="19" width="26.54296875" style="1569" customWidth="1"/>
    <col min="20" max="16384" width="9.453125" style="1569"/>
  </cols>
  <sheetData>
    <row r="1" spans="1:10" ht="15" thickBot="1">
      <c r="A1" s="1569" t="s">
        <v>15513</v>
      </c>
    </row>
    <row r="2" spans="1:10">
      <c r="B2" s="622"/>
      <c r="C2" s="623" t="s">
        <v>2067</v>
      </c>
      <c r="D2" s="3661"/>
      <c r="E2" s="3661"/>
    </row>
    <row r="3" spans="1:10">
      <c r="B3" s="624"/>
      <c r="C3" s="625" t="s">
        <v>2068</v>
      </c>
      <c r="D3" s="3662" t="str">
        <f>IF(ISNA(VLOOKUP($D$2,Список_компаний!$A$3:$E$299,4,0)),"-",VLOOKUP($D$2,Список_компаний!$A$3:$E$299,4,0))</f>
        <v>-</v>
      </c>
      <c r="E3" s="3662"/>
    </row>
    <row r="4" spans="1:10">
      <c r="B4" s="624"/>
      <c r="C4" s="625" t="s">
        <v>2069</v>
      </c>
      <c r="D4" s="3662" t="str">
        <f>IF(ISNA(VLOOKUP($D$2,Список_компаний!$A$3:$E$299,2,0)),"-",VLOOKUP($D$2,Список_компаний!$A$3:$E$299,2,0))</f>
        <v>-</v>
      </c>
      <c r="E4" s="3662"/>
    </row>
    <row r="5" spans="1:10">
      <c r="B5" s="624"/>
      <c r="C5" s="2931" t="s">
        <v>2070</v>
      </c>
      <c r="D5" s="3660"/>
      <c r="E5" s="3660"/>
    </row>
    <row r="6" spans="1:10">
      <c r="B6" s="624"/>
      <c r="C6" s="2931" t="s">
        <v>8549</v>
      </c>
      <c r="D6" s="3660"/>
      <c r="E6" s="3660"/>
    </row>
    <row r="7" spans="1:10">
      <c r="B7" s="624"/>
      <c r="C7" s="2931" t="s">
        <v>8550</v>
      </c>
      <c r="D7" s="3660"/>
      <c r="E7" s="3660"/>
    </row>
    <row r="8" spans="1:10">
      <c r="B8" s="624"/>
      <c r="C8" s="2931" t="s">
        <v>8551</v>
      </c>
      <c r="D8" s="3660"/>
      <c r="E8" s="3660"/>
    </row>
    <row r="9" spans="1:10">
      <c r="B9" s="624"/>
      <c r="C9" s="2931" t="s">
        <v>8618</v>
      </c>
      <c r="D9" s="3660"/>
      <c r="E9" s="3660"/>
    </row>
    <row r="10" spans="1:10">
      <c r="B10" s="624"/>
      <c r="C10" s="2931" t="s">
        <v>8617</v>
      </c>
      <c r="D10" s="3660"/>
      <c r="E10" s="3660"/>
    </row>
    <row r="11" spans="1:10">
      <c r="B11" s="624"/>
      <c r="C11" s="2931" t="s">
        <v>8619</v>
      </c>
      <c r="D11" s="3660"/>
      <c r="E11" s="3660"/>
    </row>
    <row r="12" spans="1:10">
      <c r="B12" s="624"/>
      <c r="C12" s="625" t="s">
        <v>2071</v>
      </c>
      <c r="D12" s="3669"/>
      <c r="E12" s="3669"/>
    </row>
    <row r="13" spans="1:10">
      <c r="B13" s="624"/>
      <c r="C13" s="625" t="s">
        <v>2073</v>
      </c>
      <c r="D13" s="3672">
        <f>IF(ISNA(VLOOKUP(D15,Справочник!$CE$4:$CG$65531,2,FALSE)),"-",VLOOKUP(D15,Справочник!$CE$4:$CG$65531,2,FALSE))</f>
        <v>44562</v>
      </c>
      <c r="E13" s="3672"/>
    </row>
    <row r="14" spans="1:10">
      <c r="B14" s="624"/>
      <c r="C14" s="625" t="s">
        <v>2074</v>
      </c>
      <c r="D14" s="3672">
        <f>IF(ISNA(VLOOKUP(D15,Справочник!$CE$4:$CG$65531,3,FALSE)),"-",VLOOKUP(D15,Справочник!$CE$4:$CG$65531,3,FALSE))</f>
        <v>44926</v>
      </c>
      <c r="E14" s="3672"/>
    </row>
    <row r="15" spans="1:10" ht="15" thickBot="1">
      <c r="B15" s="626"/>
      <c r="C15" s="627" t="s">
        <v>2075</v>
      </c>
      <c r="D15" s="3670" t="s">
        <v>14349</v>
      </c>
      <c r="E15" s="3671"/>
    </row>
    <row r="16" spans="1:10">
      <c r="H16" s="3034"/>
      <c r="I16" s="3034"/>
      <c r="J16" s="3034"/>
    </row>
    <row r="17" spans="1:13" ht="15" thickBot="1">
      <c r="B17" s="628" t="s">
        <v>2076</v>
      </c>
      <c r="E17" s="3025" t="b">
        <f>AND(E20:E123)</f>
        <v>1</v>
      </c>
      <c r="H17" s="2743"/>
      <c r="I17" s="2743"/>
      <c r="J17" s="2743"/>
    </row>
    <row r="18" spans="1:13" ht="24.75" customHeight="1">
      <c r="B18" s="3663" t="s">
        <v>2077</v>
      </c>
      <c r="C18" s="3665" t="s">
        <v>2078</v>
      </c>
      <c r="D18" s="3667" t="s">
        <v>2079</v>
      </c>
      <c r="E18" s="3667" t="s">
        <v>9624</v>
      </c>
      <c r="F18" s="2168"/>
      <c r="G18" s="2168"/>
      <c r="H18" s="3035" t="s">
        <v>2080</v>
      </c>
      <c r="I18" s="3035"/>
      <c r="J18" s="3035"/>
    </row>
    <row r="19" spans="1:13">
      <c r="B19" s="3664"/>
      <c r="C19" s="3666"/>
      <c r="D19" s="3668"/>
      <c r="E19" s="3668"/>
      <c r="F19" s="2168"/>
      <c r="G19" s="2168"/>
      <c r="H19" s="3035" t="s">
        <v>2081</v>
      </c>
      <c r="I19" s="3035" t="s">
        <v>2082</v>
      </c>
      <c r="J19" s="3035" t="s">
        <v>2083</v>
      </c>
      <c r="L19" s="2222" t="s">
        <v>5915</v>
      </c>
      <c r="M19" s="2168"/>
    </row>
    <row r="20" spans="1:13" s="1562" customFormat="1">
      <c r="B20" s="1" t="s">
        <v>2084</v>
      </c>
      <c r="C20" s="2176" t="s">
        <v>2084</v>
      </c>
      <c r="D20" s="2740" t="str">
        <f>IF(ISNA(VLOOKUP(B20,Параметры_загрузки!B:D,3,0)),"x",VLOOKUP(B20,Параметры_загрузки!B:D,3,0))</f>
        <v>x</v>
      </c>
      <c r="E20" s="3024"/>
      <c r="F20" s="3033"/>
      <c r="G20" s="3033"/>
      <c r="H20" s="2743"/>
      <c r="I20" s="2743"/>
      <c r="J20" s="2743"/>
      <c r="L20" s="2223">
        <v>0</v>
      </c>
      <c r="M20" s="2223"/>
    </row>
    <row r="21" spans="1:13" s="1562" customFormat="1">
      <c r="B21" s="2972" t="s">
        <v>2085</v>
      </c>
      <c r="C21" s="2178" t="s">
        <v>2086</v>
      </c>
      <c r="D21" s="2741" t="str">
        <f>IF(ISNA(VLOOKUP(B21,Параметры_загрузки!B:D,3,0)),"x",VLOOKUP(B21,Параметры_загрузки!B:D,3,0))</f>
        <v>x</v>
      </c>
      <c r="E21" s="3024"/>
      <c r="F21" s="2743"/>
      <c r="G21" s="2743"/>
      <c r="H21" s="2743"/>
      <c r="I21" s="2743"/>
      <c r="J21" s="2743"/>
      <c r="L21" s="2223">
        <v>0</v>
      </c>
      <c r="M21" s="2223"/>
    </row>
    <row r="22" spans="1:13" s="1562" customFormat="1">
      <c r="B22" s="2972" t="s">
        <v>742</v>
      </c>
      <c r="C22" s="2178" t="s">
        <v>2087</v>
      </c>
      <c r="D22" s="2741" t="str">
        <f>IF(ISNA(VLOOKUP(B22,Параметры_загрузки!B:D,3,0)),"x",VLOOKUP(B22,Параметры_загрузки!B:D,3,0))</f>
        <v>да</v>
      </c>
      <c r="E22" s="3024"/>
      <c r="F22" s="2743"/>
      <c r="G22" s="2743"/>
      <c r="H22" s="2743"/>
      <c r="I22" s="2743"/>
      <c r="J22" s="2743"/>
      <c r="L22" s="2223">
        <v>1</v>
      </c>
      <c r="M22" s="2223"/>
    </row>
    <row r="23" spans="1:13" s="1562" customFormat="1">
      <c r="B23" s="2972" t="s">
        <v>2088</v>
      </c>
      <c r="C23" s="2178" t="s">
        <v>3399</v>
      </c>
      <c r="D23" s="2741" t="str">
        <f>IF(ISNA(VLOOKUP(B23,Параметры_загрузки!B:D,3,0)),"x",VLOOKUP(B23,Параметры_загрузки!B:D,3,0))</f>
        <v>x</v>
      </c>
      <c r="E23" s="3024"/>
      <c r="F23" s="2743"/>
      <c r="G23" s="2743"/>
      <c r="H23" s="2743"/>
      <c r="I23" s="2743"/>
      <c r="J23" s="2743"/>
      <c r="L23" s="2223">
        <v>0</v>
      </c>
      <c r="M23" s="2223"/>
    </row>
    <row r="24" spans="1:13" s="1562" customFormat="1">
      <c r="B24" s="2972" t="s">
        <v>2089</v>
      </c>
      <c r="C24" s="2178" t="s">
        <v>4651</v>
      </c>
      <c r="D24" s="2741" t="str">
        <f>IF(ISNA(VLOOKUP(B24,Параметры_загрузки!B:D,3,0)),"x",VLOOKUP(B24,Параметры_загрузки!B:D,3,0))</f>
        <v>x</v>
      </c>
      <c r="E24" s="3024"/>
      <c r="F24" s="2743"/>
      <c r="G24" s="2743"/>
      <c r="H24" s="2743"/>
      <c r="I24" s="2743"/>
      <c r="J24" s="2743"/>
      <c r="L24" s="2223">
        <v>0</v>
      </c>
      <c r="M24" s="2223"/>
    </row>
    <row r="25" spans="1:13" s="1562" customFormat="1">
      <c r="B25" s="2972" t="s">
        <v>743</v>
      </c>
      <c r="C25" s="2178" t="s">
        <v>2090</v>
      </c>
      <c r="D25" s="2741" t="str">
        <f>IF(ISNA(VLOOKUP(B25,Параметры_загрузки!B:D,3,0)),"x",VLOOKUP(B25,Параметры_загрузки!B:D,3,0))</f>
        <v>да</v>
      </c>
      <c r="E25" s="3024"/>
      <c r="F25" s="2743"/>
      <c r="G25" s="2743"/>
      <c r="H25" s="2743"/>
      <c r="I25" s="2743"/>
      <c r="J25" s="2743"/>
      <c r="L25" s="2223">
        <v>1</v>
      </c>
      <c r="M25" s="2223"/>
    </row>
    <row r="26" spans="1:13" s="1562" customFormat="1">
      <c r="B26" s="2972" t="s">
        <v>2091</v>
      </c>
      <c r="C26" s="2178" t="s">
        <v>5009</v>
      </c>
      <c r="D26" s="2741" t="str">
        <f>IF(ISNA(VLOOKUP(B26,Параметры_загрузки!B:D,3,0)),"x",VLOOKUP(B26,Параметры_загрузки!B:D,3,0))</f>
        <v>да</v>
      </c>
      <c r="E26" s="3024"/>
      <c r="F26" s="2743"/>
      <c r="G26" s="2743"/>
      <c r="H26" s="2743"/>
      <c r="I26" s="2743"/>
      <c r="J26" s="2743"/>
      <c r="L26" s="2223">
        <v>1</v>
      </c>
      <c r="M26" s="2223"/>
    </row>
    <row r="27" spans="1:13" s="1562" customFormat="1">
      <c r="B27" s="2972" t="s">
        <v>905</v>
      </c>
      <c r="C27" s="2179" t="s">
        <v>904</v>
      </c>
      <c r="D27" s="2741" t="str">
        <f>IF(ISNA(VLOOKUP(B27,Параметры_загрузки!B:D,3,0)),"x",VLOOKUP(B27,Параметры_загрузки!B:D,3,0))</f>
        <v>да</v>
      </c>
      <c r="E27" s="3024"/>
      <c r="F27" s="2743"/>
      <c r="G27" s="2743"/>
      <c r="H27" s="2743"/>
      <c r="I27" s="2743"/>
      <c r="J27" s="2743"/>
      <c r="L27" s="2223">
        <v>1</v>
      </c>
      <c r="M27" s="2223"/>
    </row>
    <row r="28" spans="1:13" s="1562" customFormat="1">
      <c r="A28" s="2743"/>
      <c r="B28" s="2972" t="s">
        <v>2092</v>
      </c>
      <c r="C28" s="2179" t="s">
        <v>5302</v>
      </c>
      <c r="D28" s="2741" t="str">
        <f>IF(ISNA(VLOOKUP(B28,Параметры_загрузки!B:D,3,0)),"x",VLOOKUP(B28,Параметры_загрузки!B:D,3,0))</f>
        <v>да</v>
      </c>
      <c r="E28" s="3024"/>
      <c r="F28" s="2743"/>
      <c r="G28" s="2743"/>
      <c r="H28" s="2743"/>
      <c r="I28" s="2743"/>
      <c r="J28" s="2743"/>
      <c r="L28" s="2223">
        <v>1</v>
      </c>
      <c r="M28" s="2223"/>
    </row>
    <row r="29" spans="1:13" s="1562" customFormat="1">
      <c r="B29" s="2972" t="s">
        <v>2093</v>
      </c>
      <c r="C29" s="2178" t="s">
        <v>4683</v>
      </c>
      <c r="D29" s="2741" t="str">
        <f>IF(ISNA(VLOOKUP(B29,Параметры_загрузки!B:D,3,0)),"x",VLOOKUP(B29,Параметры_загрузки!B:D,3,0))</f>
        <v>x</v>
      </c>
      <c r="E29" s="3024"/>
      <c r="F29" s="2743"/>
      <c r="G29" s="2743"/>
      <c r="H29" s="2743"/>
      <c r="J29" s="2743"/>
      <c r="L29" s="2223">
        <v>0</v>
      </c>
      <c r="M29" s="2223"/>
    </row>
    <row r="30" spans="1:13">
      <c r="B30" s="2973" t="s">
        <v>3405</v>
      </c>
      <c r="C30" s="2178" t="s">
        <v>5224</v>
      </c>
      <c r="D30" s="2741" t="str">
        <f>IF(ISNA(VLOOKUP(B30,Параметры_загрузки!B:D,3,0)),"x",VLOOKUP(B30,Параметры_загрузки!B:D,3,0))</f>
        <v>да</v>
      </c>
      <c r="E30" s="3024"/>
      <c r="F30" s="2743"/>
      <c r="G30" s="2743"/>
      <c r="H30" s="2743"/>
      <c r="I30" s="2743"/>
      <c r="J30" s="2743"/>
      <c r="L30" s="2223">
        <v>3</v>
      </c>
      <c r="M30" s="2223">
        <v>9</v>
      </c>
    </row>
    <row r="31" spans="1:13">
      <c r="B31" s="3458" t="s">
        <v>3407</v>
      </c>
      <c r="C31" s="2178" t="s">
        <v>14575</v>
      </c>
      <c r="D31" s="2741" t="str">
        <f>IF(ISNA(VLOOKUP(B31,Параметры_загрузки!B:D,3,0)),"x",VLOOKUP(B31,Параметры_загрузки!B:D,3,0))</f>
        <v>да</v>
      </c>
      <c r="E31" s="3024"/>
      <c r="F31" s="2743"/>
      <c r="G31" s="2743"/>
      <c r="H31" s="2743"/>
      <c r="I31" s="2743"/>
      <c r="J31" s="2743"/>
      <c r="L31" s="2223">
        <v>3</v>
      </c>
      <c r="M31" s="2223">
        <v>9</v>
      </c>
    </row>
    <row r="32" spans="1:13">
      <c r="B32" s="2973" t="s">
        <v>3413</v>
      </c>
      <c r="C32" s="2178" t="s">
        <v>4180</v>
      </c>
      <c r="D32" s="2741" t="str">
        <f>IF(ISNA(VLOOKUP(B32,Параметры_загрузки!B:D,3,0)),"x",VLOOKUP(B32,Параметры_загрузки!B:D,3,0))</f>
        <v>да</v>
      </c>
      <c r="E32" s="3024"/>
      <c r="F32" s="2743"/>
      <c r="G32" s="2743"/>
      <c r="H32" s="2743"/>
      <c r="I32" s="2743"/>
      <c r="J32" s="2743"/>
      <c r="L32" s="2223">
        <v>3</v>
      </c>
      <c r="M32" s="2223">
        <v>10</v>
      </c>
    </row>
    <row r="33" spans="2:13">
      <c r="B33" s="2973" t="s">
        <v>3415</v>
      </c>
      <c r="C33" s="2178" t="s">
        <v>4182</v>
      </c>
      <c r="D33" s="2741" t="str">
        <f>IF(ISNA(VLOOKUP(B33,Параметры_загрузки!B:D,3,0)),"x",VLOOKUP(B33,Параметры_загрузки!B:D,3,0))</f>
        <v>да</v>
      </c>
      <c r="E33" s="3024"/>
      <c r="F33" s="2743"/>
      <c r="G33" s="2743"/>
      <c r="H33" s="2743"/>
      <c r="I33" s="2743"/>
      <c r="J33" s="2743"/>
      <c r="L33" s="2223">
        <v>1</v>
      </c>
      <c r="M33" s="2223"/>
    </row>
    <row r="34" spans="2:13">
      <c r="B34" s="2973" t="s">
        <v>3422</v>
      </c>
      <c r="C34" s="2178" t="s">
        <v>4187</v>
      </c>
      <c r="D34" s="2741" t="str">
        <f>IF(ISNA(VLOOKUP(B34,Параметры_загрузки!B:D,3,0)),"x",VLOOKUP(B34,Параметры_загрузки!B:D,3,0))</f>
        <v>да</v>
      </c>
      <c r="E34" s="3024"/>
      <c r="F34" s="2743"/>
      <c r="G34" s="2743"/>
      <c r="H34" s="2743"/>
      <c r="I34" s="2743"/>
      <c r="J34" s="2743"/>
      <c r="L34" s="2223">
        <v>1</v>
      </c>
      <c r="M34" s="2223"/>
    </row>
    <row r="35" spans="2:13">
      <c r="B35" s="2973" t="s">
        <v>3428</v>
      </c>
      <c r="C35" s="2178" t="s">
        <v>4188</v>
      </c>
      <c r="D35" s="2741" t="str">
        <f>IF(ISNA(VLOOKUP(B35,Параметры_загрузки!B:D,3,0)),"x",VLOOKUP(B35,Параметры_загрузки!B:D,3,0))</f>
        <v>да</v>
      </c>
      <c r="E35" s="3024"/>
      <c r="F35" s="2743"/>
      <c r="G35" s="2743"/>
      <c r="H35" s="2743"/>
      <c r="I35" s="2743"/>
      <c r="J35" s="2743"/>
      <c r="L35" s="2223">
        <v>1</v>
      </c>
      <c r="M35" s="2223"/>
    </row>
    <row r="36" spans="2:13">
      <c r="B36" s="2973" t="s">
        <v>2094</v>
      </c>
      <c r="C36" s="2178" t="s">
        <v>8552</v>
      </c>
      <c r="D36" s="2741" t="str">
        <f>IF(ISNA(VLOOKUP(B36,Параметры_загрузки!B:D,3,0)),"x",VLOOKUP(B36,Параметры_загрузки!B:D,3,0))</f>
        <v>да</v>
      </c>
      <c r="E36" s="3025" t="b">
        <f>'07_расш'!D3</f>
        <v>1</v>
      </c>
      <c r="F36" s="2743"/>
      <c r="G36" s="2743"/>
      <c r="H36" s="2743"/>
      <c r="I36" s="2743"/>
      <c r="J36" s="2743"/>
      <c r="L36" s="2223">
        <v>2</v>
      </c>
      <c r="M36" s="2223"/>
    </row>
    <row r="37" spans="2:13">
      <c r="B37" s="2973" t="s">
        <v>3430</v>
      </c>
      <c r="C37" s="2178" t="s">
        <v>4195</v>
      </c>
      <c r="D37" s="2741" t="str">
        <f>IF(ISNA(VLOOKUP(B37,Параметры_загрузки!B:D,3,0)),"x",VLOOKUP(B37,Параметры_загрузки!B:D,3,0))</f>
        <v>да</v>
      </c>
      <c r="E37" s="3024"/>
      <c r="F37" s="2743"/>
      <c r="G37" s="2743"/>
      <c r="H37" s="2743"/>
      <c r="I37" s="2743"/>
      <c r="J37" s="2743"/>
      <c r="L37" s="2223">
        <v>1</v>
      </c>
      <c r="M37" s="2223"/>
    </row>
    <row r="38" spans="2:13">
      <c r="B38" s="2973" t="s">
        <v>5884</v>
      </c>
      <c r="C38" s="2178" t="s">
        <v>2095</v>
      </c>
      <c r="D38" s="2741" t="str">
        <f>IF(ISNA(VLOOKUP(B38,Параметры_загрузки!B:D,3,0)),"x",VLOOKUP(B38,Параметры_загрузки!B:D,3,0))</f>
        <v>да</v>
      </c>
      <c r="E38" s="3025" t="b">
        <f>'08_расш'!D4</f>
        <v>1</v>
      </c>
      <c r="F38" s="2743"/>
      <c r="G38" s="2743"/>
      <c r="H38" s="2743"/>
      <c r="I38" s="2743"/>
      <c r="J38" s="2743"/>
      <c r="L38" s="2223">
        <v>2</v>
      </c>
      <c r="M38" s="2223"/>
    </row>
    <row r="39" spans="2:13">
      <c r="B39" s="3264" t="s">
        <v>10037</v>
      </c>
      <c r="C39" s="2178" t="s">
        <v>10041</v>
      </c>
      <c r="D39" s="2741" t="str">
        <f>IF(ISNA(VLOOKUP(B39,Параметры_загрузки!B:D,3,0)),"x",VLOOKUP(B39,Параметры_загрузки!B:D,3,0))</f>
        <v>да</v>
      </c>
      <c r="E39" s="3024"/>
      <c r="F39" s="2743"/>
      <c r="G39" s="2743"/>
      <c r="H39" s="2743"/>
      <c r="I39" s="2743"/>
      <c r="J39" s="2743"/>
      <c r="L39" s="2223">
        <v>2</v>
      </c>
      <c r="M39" s="2223"/>
    </row>
    <row r="40" spans="2:13">
      <c r="B40" s="2973" t="s">
        <v>3432</v>
      </c>
      <c r="C40" s="2178" t="s">
        <v>2096</v>
      </c>
      <c r="D40" s="2741" t="str">
        <f>IF(ISNA(VLOOKUP(B40,Параметры_загрузки!B:D,3,0)),"x",VLOOKUP(B40,Параметры_загрузки!B:D,3,0))</f>
        <v>да</v>
      </c>
      <c r="E40" s="3024"/>
      <c r="F40" s="2743"/>
      <c r="G40" s="2743"/>
      <c r="H40" s="2743"/>
      <c r="I40" s="2743"/>
      <c r="J40" s="2743"/>
      <c r="L40" s="2223">
        <v>1</v>
      </c>
      <c r="M40" s="2223"/>
    </row>
    <row r="41" spans="2:13">
      <c r="B41" s="2973">
        <v>10</v>
      </c>
      <c r="C41" s="2178" t="s">
        <v>2097</v>
      </c>
      <c r="D41" s="2741" t="str">
        <f>IF(ISNA(VLOOKUP(B41,Параметры_загрузки!B:D,3,0)),"x",VLOOKUP(B41,Параметры_загрузки!B:D,3,0))</f>
        <v>да</v>
      </c>
      <c r="E41" s="3025" t="b">
        <f>'10'!E3</f>
        <v>1</v>
      </c>
      <c r="F41" s="2743"/>
      <c r="G41" s="2743"/>
      <c r="H41" s="2743"/>
      <c r="I41" s="2743"/>
      <c r="J41" s="2743"/>
      <c r="L41" s="2223">
        <v>2</v>
      </c>
      <c r="M41" s="2223"/>
    </row>
    <row r="42" spans="2:13">
      <c r="B42" s="2973" t="s">
        <v>2822</v>
      </c>
      <c r="C42" s="2178" t="s">
        <v>2098</v>
      </c>
      <c r="D42" s="2741" t="str">
        <f>IF(ISNA(VLOOKUP(B42,Параметры_загрузки!B:D,3,0)),"x",VLOOKUP(B42,Параметры_загрузки!B:D,3,0))</f>
        <v>да</v>
      </c>
      <c r="E42" s="3024"/>
      <c r="F42" s="2743"/>
      <c r="G42" s="2743"/>
      <c r="H42" s="2743"/>
      <c r="I42" s="2743"/>
      <c r="J42" s="2743"/>
      <c r="L42" s="2223">
        <v>2</v>
      </c>
      <c r="M42" s="2223"/>
    </row>
    <row r="43" spans="2:13" ht="15.65" customHeight="1">
      <c r="B43" s="2973">
        <v>14</v>
      </c>
      <c r="C43" s="2178" t="s">
        <v>5583</v>
      </c>
      <c r="D43" s="2741" t="str">
        <f>IF(ISNA(VLOOKUP(B43,Параметры_загрузки!B:D,3,0)),"x",VLOOKUP(B43,Параметры_загрузки!B:D,3,0))</f>
        <v>да</v>
      </c>
      <c r="E43" s="3025" t="b">
        <f>'14'!D3</f>
        <v>1</v>
      </c>
      <c r="F43" s="2743"/>
      <c r="G43" s="2743"/>
      <c r="H43" s="2743"/>
      <c r="I43" s="2743"/>
      <c r="J43" s="2743"/>
      <c r="L43" s="2223">
        <v>3</v>
      </c>
      <c r="M43" s="2223">
        <v>73</v>
      </c>
    </row>
    <row r="44" spans="2:13">
      <c r="B44" s="2973">
        <v>15</v>
      </c>
      <c r="C44" s="2178" t="s">
        <v>2099</v>
      </c>
      <c r="D44" s="2741" t="str">
        <f>IF(ISNA(VLOOKUP(B44,Параметры_загрузки!B:D,3,0)),"x",VLOOKUP(B44,Параметры_загрузки!B:D,3,0))</f>
        <v>да</v>
      </c>
      <c r="E44" s="3025" t="b">
        <f>'15'!D3</f>
        <v>1</v>
      </c>
      <c r="F44" s="2743"/>
      <c r="G44" s="2743"/>
      <c r="H44" s="2743"/>
      <c r="I44" s="2743"/>
      <c r="J44" s="2743"/>
      <c r="L44" s="2223">
        <v>3</v>
      </c>
      <c r="M44" s="2223">
        <v>70</v>
      </c>
    </row>
    <row r="45" spans="2:13">
      <c r="B45" s="2973">
        <v>16</v>
      </c>
      <c r="C45" s="2178" t="s">
        <v>4046</v>
      </c>
      <c r="D45" s="2741" t="str">
        <f>IF(ISNA(VLOOKUP(B45,Параметры_загрузки!B:D,3,0)),"x",VLOOKUP(B45,Параметры_загрузки!B:D,3,0))</f>
        <v>да</v>
      </c>
      <c r="E45" s="3025" t="b">
        <f>'16'!D3</f>
        <v>1</v>
      </c>
      <c r="F45" s="2743"/>
      <c r="G45" s="2743"/>
      <c r="H45" s="2743"/>
      <c r="I45" s="2743"/>
      <c r="J45" s="2743"/>
      <c r="L45" s="2223">
        <v>3</v>
      </c>
      <c r="M45" s="2223">
        <v>70</v>
      </c>
    </row>
    <row r="46" spans="2:13">
      <c r="B46" s="2972">
        <v>19</v>
      </c>
      <c r="C46" s="2178" t="s">
        <v>4902</v>
      </c>
      <c r="D46" s="2741" t="str">
        <f>IF(ISNA(VLOOKUP(B46,Параметры_загрузки!B:D,3,0)),"x",VLOOKUP(B46,Параметры_загрузки!B:D,3,0))</f>
        <v>да</v>
      </c>
      <c r="E46" s="3024"/>
      <c r="F46" s="2743"/>
      <c r="G46" s="2743"/>
      <c r="H46" s="2743"/>
      <c r="I46" s="2743"/>
      <c r="J46" s="2743"/>
      <c r="L46" s="2223">
        <v>1</v>
      </c>
      <c r="M46" s="2223"/>
    </row>
    <row r="47" spans="2:13">
      <c r="B47" s="2972" t="s">
        <v>220</v>
      </c>
      <c r="C47" s="2178" t="s">
        <v>2100</v>
      </c>
      <c r="D47" s="2741" t="str">
        <f>IF(ISNA(VLOOKUP(B47,Параметры_загрузки!B:D,3,0)),"x",VLOOKUP(B47,Параметры_загрузки!B:D,3,0))</f>
        <v>да</v>
      </c>
      <c r="E47" s="3025" t="b">
        <f>Затраты_Вход_1!D5</f>
        <v>1</v>
      </c>
      <c r="F47" s="2743"/>
      <c r="G47" s="2743"/>
      <c r="H47" s="2743"/>
      <c r="I47" s="2743"/>
      <c r="J47" s="2743"/>
      <c r="L47" s="2223">
        <v>3</v>
      </c>
      <c r="M47" s="2223">
        <v>17</v>
      </c>
    </row>
    <row r="48" spans="2:13">
      <c r="B48" s="2972" t="s">
        <v>221</v>
      </c>
      <c r="C48" s="2178" t="s">
        <v>2101</v>
      </c>
      <c r="D48" s="2741" t="str">
        <f>IF(ISNA(VLOOKUP(B48,Параметры_загрузки!B:D,3,0)),"x",VLOOKUP(B48,Параметры_загрузки!B:D,3,0))</f>
        <v>да</v>
      </c>
      <c r="E48" s="3025" t="b">
        <f>Затраты_Вход_2!D5</f>
        <v>1</v>
      </c>
      <c r="F48" s="2743"/>
      <c r="G48" s="2743"/>
      <c r="H48" s="2743"/>
      <c r="I48" s="2743"/>
      <c r="J48" s="2743"/>
      <c r="L48" s="2223">
        <v>2</v>
      </c>
      <c r="M48" s="2223"/>
    </row>
    <row r="49" spans="2:13" ht="25">
      <c r="B49" s="2972" t="s">
        <v>919</v>
      </c>
      <c r="C49" s="2178" t="s">
        <v>3398</v>
      </c>
      <c r="D49" s="2741" t="str">
        <f>IF(ISNA(VLOOKUP(B49,Параметры_загрузки!B:D,3,0)),"x",VLOOKUP(B49,Параметры_загрузки!B:D,3,0))</f>
        <v>да</v>
      </c>
      <c r="E49" s="3024"/>
      <c r="F49" s="2743"/>
      <c r="G49" s="2743"/>
      <c r="H49" s="2743"/>
      <c r="I49" s="2743"/>
      <c r="J49" s="2743"/>
      <c r="L49" s="2223">
        <v>1</v>
      </c>
      <c r="M49" s="2223"/>
    </row>
    <row r="50" spans="2:13">
      <c r="B50" s="2972">
        <v>21</v>
      </c>
      <c r="C50" s="2178" t="s">
        <v>1789</v>
      </c>
      <c r="D50" s="2741" t="str">
        <f>IF(ISNA(VLOOKUP(B50,Параметры_загрузки!B:D,3,0)),"x",VLOOKUP(B50,Параметры_загрузки!B:D,3,0))</f>
        <v>да</v>
      </c>
      <c r="E50" s="3024"/>
      <c r="F50" s="2743"/>
      <c r="G50" s="2743"/>
      <c r="H50" s="2743"/>
      <c r="I50" s="2743"/>
      <c r="J50" s="2743"/>
      <c r="L50" s="2223">
        <v>1</v>
      </c>
      <c r="M50" s="2223"/>
    </row>
    <row r="51" spans="2:13">
      <c r="B51" s="2972">
        <v>40</v>
      </c>
      <c r="C51" s="2178" t="s">
        <v>8553</v>
      </c>
      <c r="D51" s="2741" t="str">
        <f>IF(ISNA(VLOOKUP(B51,Параметры_загрузки!B:D,3,0)),"x",VLOOKUP(B51,Параметры_загрузки!B:D,3,0))</f>
        <v>да</v>
      </c>
      <c r="E51" s="3024"/>
      <c r="F51" s="2743"/>
      <c r="G51" s="2743"/>
      <c r="H51" s="2743"/>
      <c r="I51" s="2743"/>
      <c r="J51" s="2743"/>
      <c r="L51" s="2223">
        <v>1</v>
      </c>
      <c r="M51" s="2223"/>
    </row>
    <row r="52" spans="2:13">
      <c r="B52" s="2972" t="s">
        <v>2817</v>
      </c>
      <c r="C52" s="2178" t="s">
        <v>4051</v>
      </c>
      <c r="D52" s="2741" t="str">
        <f>IF(ISNA(VLOOKUP(B52,Параметры_загрузки!B:D,3,0)),"x",VLOOKUP(B52,Параметры_загрузки!B:D,3,0))</f>
        <v>да</v>
      </c>
      <c r="E52" s="3025" t="b">
        <f>'41_01'!D4</f>
        <v>1</v>
      </c>
      <c r="F52" s="2743"/>
      <c r="G52" s="2743"/>
      <c r="H52" s="2743"/>
      <c r="I52" s="2743"/>
      <c r="J52" s="2743"/>
      <c r="L52" s="2223">
        <v>2</v>
      </c>
      <c r="M52" s="2223"/>
    </row>
    <row r="53" spans="2:13">
      <c r="B53" s="2972" t="s">
        <v>2824</v>
      </c>
      <c r="C53" s="2178" t="s">
        <v>4062</v>
      </c>
      <c r="D53" s="2741" t="str">
        <f>IF(ISNA(VLOOKUP(B53,Параметры_загрузки!B:D,3,0)),"x",VLOOKUP(B53,Параметры_загрузки!B:D,3,0))</f>
        <v>да</v>
      </c>
      <c r="E53" s="3025" t="b">
        <f>'41_02'!D8</f>
        <v>1</v>
      </c>
      <c r="F53" s="2743"/>
      <c r="G53" s="2743"/>
      <c r="H53" s="2743"/>
      <c r="I53" s="2743"/>
      <c r="J53" s="2743"/>
      <c r="L53" s="2223">
        <v>2</v>
      </c>
      <c r="M53" s="2223"/>
    </row>
    <row r="54" spans="2:13">
      <c r="B54" s="2972">
        <v>43</v>
      </c>
      <c r="C54" s="2178" t="s">
        <v>4063</v>
      </c>
      <c r="D54" s="2741" t="str">
        <f>IF(ISNA(VLOOKUP(B54,Параметры_загрузки!B:D,3,0)),"x",VLOOKUP(B54,Параметры_загрузки!B:D,3,0))</f>
        <v>да</v>
      </c>
      <c r="E54" s="3025" t="b">
        <f>'43'!D3</f>
        <v>1</v>
      </c>
      <c r="F54" s="2743"/>
      <c r="G54" s="2743"/>
      <c r="H54" s="2743"/>
      <c r="I54" s="2743"/>
      <c r="J54" s="2743"/>
      <c r="L54" s="2223">
        <v>2</v>
      </c>
      <c r="M54" s="2223"/>
    </row>
    <row r="55" spans="2:13">
      <c r="B55" s="2972">
        <v>45</v>
      </c>
      <c r="C55" s="2178" t="s">
        <v>4068</v>
      </c>
      <c r="D55" s="2741" t="str">
        <f>IF(ISNA(VLOOKUP(B55,Параметры_загрузки!B:D,3,0)),"x",VLOOKUP(B55,Параметры_загрузки!B:D,3,0))</f>
        <v>да</v>
      </c>
      <c r="E55" s="3025" t="b">
        <f>'45'!D3</f>
        <v>1</v>
      </c>
      <c r="F55" s="2743"/>
      <c r="G55" s="2743"/>
      <c r="H55" s="2743"/>
      <c r="I55" s="2743"/>
      <c r="J55" s="2743"/>
      <c r="L55" s="2223">
        <v>2</v>
      </c>
      <c r="M55" s="2223"/>
    </row>
    <row r="56" spans="2:13">
      <c r="B56" s="2972" t="s">
        <v>423</v>
      </c>
      <c r="C56" s="2178" t="s">
        <v>8560</v>
      </c>
      <c r="D56" s="2741" t="str">
        <f>IF(ISNA(VLOOKUP(B56,Параметры_загрузки!B:D,3,0)),"x",VLOOKUP(B56,Параметры_загрузки!B:D,3,0))</f>
        <v>да</v>
      </c>
      <c r="E56" s="3024"/>
      <c r="F56" s="2743"/>
      <c r="G56" s="2743"/>
      <c r="H56" s="2743"/>
      <c r="I56" s="2743"/>
      <c r="J56" s="2743"/>
      <c r="L56" s="2223">
        <v>3</v>
      </c>
      <c r="M56" s="2223">
        <v>10</v>
      </c>
    </row>
    <row r="57" spans="2:13">
      <c r="B57" s="2972" t="s">
        <v>424</v>
      </c>
      <c r="C57" s="2178" t="s">
        <v>6069</v>
      </c>
      <c r="D57" s="2741" t="str">
        <f>IF(ISNA(VLOOKUP(B57,Параметры_загрузки!B:D,3,0)),"x",VLOOKUP(B57,Параметры_загрузки!B:D,3,0))</f>
        <v>да</v>
      </c>
      <c r="E57" s="3025" t="b">
        <f>Долгосроч_договоры!E4</f>
        <v>1</v>
      </c>
      <c r="F57" s="2743"/>
      <c r="G57" s="2743"/>
      <c r="H57" s="2743"/>
      <c r="I57" s="2743"/>
      <c r="J57" s="2743"/>
      <c r="L57" s="2223">
        <v>3</v>
      </c>
      <c r="M57" s="2223">
        <v>10</v>
      </c>
    </row>
    <row r="58" spans="2:13">
      <c r="B58" s="2972">
        <v>46</v>
      </c>
      <c r="C58" s="2178" t="s">
        <v>4072</v>
      </c>
      <c r="D58" s="2741" t="str">
        <f>IF(ISNA(VLOOKUP(B58,Параметры_загрузки!B:D,3,0)),"x",VLOOKUP(B58,Параметры_загрузки!B:D,3,0))</f>
        <v>да</v>
      </c>
      <c r="E58" s="3025" t="b">
        <f>'46'!D5</f>
        <v>1</v>
      </c>
      <c r="F58" s="2743"/>
      <c r="G58" s="2743"/>
      <c r="H58" s="2743"/>
      <c r="I58" s="2743"/>
      <c r="J58" s="2743"/>
      <c r="L58" s="2223">
        <v>2</v>
      </c>
      <c r="M58" s="2223"/>
    </row>
    <row r="59" spans="2:13" ht="15" customHeight="1">
      <c r="B59" s="2972" t="s">
        <v>425</v>
      </c>
      <c r="C59" s="2178" t="s">
        <v>1435</v>
      </c>
      <c r="D59" s="2741" t="str">
        <f>IF(ISNA(VLOOKUP(B59,Параметры_загрузки!B:D,3,0)),"x",VLOOKUP(B59,Параметры_загрузки!B:D,3,0))</f>
        <v>да</v>
      </c>
      <c r="E59" s="3024"/>
      <c r="F59" s="2743"/>
      <c r="G59" s="2743"/>
      <c r="H59" s="2743"/>
      <c r="I59" s="2743"/>
      <c r="J59" s="2743"/>
      <c r="L59" s="2223">
        <v>2</v>
      </c>
      <c r="M59" s="2223"/>
    </row>
    <row r="60" spans="2:13" ht="42.75" hidden="1" customHeight="1">
      <c r="B60" s="2972" t="s">
        <v>5033</v>
      </c>
      <c r="C60" s="2178" t="s">
        <v>5032</v>
      </c>
      <c r="D60" s="2741" t="str">
        <f>IF(ISNA(VLOOKUP(B60,Параметры_загрузки!B:D,3,0)),"x",VLOOKUP(B60,Параметры_загрузки!B:D,3,0))</f>
        <v>да</v>
      </c>
      <c r="E60" s="3024"/>
      <c r="F60" s="2743"/>
      <c r="G60" s="2743"/>
      <c r="H60" s="2743"/>
      <c r="I60" s="2743"/>
      <c r="J60" s="2743"/>
      <c r="L60" s="2223">
        <v>2</v>
      </c>
      <c r="M60" s="2223"/>
    </row>
    <row r="61" spans="2:13">
      <c r="B61" s="2972">
        <v>50</v>
      </c>
      <c r="C61" s="2178" t="s">
        <v>4662</v>
      </c>
      <c r="D61" s="2741" t="str">
        <f>IF(ISNA(VLOOKUP(B61,Параметры_загрузки!B:D,3,0)),"x",VLOOKUP(B61,Параметры_загрузки!B:D,3,0))</f>
        <v>да</v>
      </c>
      <c r="E61" s="3024"/>
      <c r="F61" s="2743"/>
      <c r="G61" s="2743"/>
      <c r="H61" s="2743"/>
      <c r="I61" s="2743"/>
      <c r="J61" s="2743"/>
      <c r="L61" s="2223">
        <v>2</v>
      </c>
      <c r="M61" s="2223"/>
    </row>
    <row r="62" spans="2:13">
      <c r="B62" s="2972">
        <v>51</v>
      </c>
      <c r="C62" s="2178" t="s">
        <v>4667</v>
      </c>
      <c r="D62" s="2741" t="str">
        <f>IF(ISNA(VLOOKUP(B62,Параметры_загрузки!B:D,3,0)),"x",VLOOKUP(B62,Параметры_загрузки!B:D,3,0))</f>
        <v>да</v>
      </c>
      <c r="E62" s="3024"/>
      <c r="F62" s="2743"/>
      <c r="G62" s="2743"/>
      <c r="H62" s="2743"/>
      <c r="I62" s="2743"/>
      <c r="J62" s="2743"/>
      <c r="L62" s="2223">
        <v>2</v>
      </c>
      <c r="M62" s="2223"/>
    </row>
    <row r="63" spans="2:13">
      <c r="B63" s="2972">
        <v>52</v>
      </c>
      <c r="C63" s="2178" t="s">
        <v>4668</v>
      </c>
      <c r="D63" s="2741" t="str">
        <f>IF(ISNA(VLOOKUP(B63,Параметры_загрузки!B:D,3,0)),"x",VLOOKUP(B63,Параметры_загрузки!B:D,3,0))</f>
        <v>да</v>
      </c>
      <c r="E63" s="3024"/>
      <c r="F63" s="2743"/>
      <c r="G63" s="2743"/>
      <c r="H63" s="2743"/>
      <c r="I63" s="2743"/>
      <c r="J63" s="2743"/>
      <c r="L63" s="2223">
        <v>2</v>
      </c>
      <c r="M63" s="2223"/>
    </row>
    <row r="64" spans="2:13">
      <c r="B64" s="2972">
        <v>55</v>
      </c>
      <c r="C64" s="2178" t="s">
        <v>4671</v>
      </c>
      <c r="D64" s="2741" t="str">
        <f>IF(ISNA(VLOOKUP(B64,Параметры_загрузки!B:D,3,0)),"x",VLOOKUP(B64,Параметры_загрузки!B:D,3,0))</f>
        <v>да</v>
      </c>
      <c r="E64" s="3024"/>
      <c r="F64" s="2743"/>
      <c r="G64" s="2743"/>
      <c r="H64" s="2743"/>
      <c r="I64" s="2743"/>
      <c r="J64" s="2743"/>
      <c r="L64" s="2223">
        <v>2</v>
      </c>
      <c r="M64" s="2223"/>
    </row>
    <row r="65" spans="2:13">
      <c r="B65" s="2972">
        <v>57</v>
      </c>
      <c r="C65" s="2178" t="s">
        <v>4676</v>
      </c>
      <c r="D65" s="2741" t="str">
        <f>IF(ISNA(VLOOKUP(B65,Параметры_загрузки!B:D,3,0)),"x",VLOOKUP(B65,Параметры_загрузки!B:D,3,0))</f>
        <v>да</v>
      </c>
      <c r="E65" s="3024"/>
      <c r="F65" s="2743"/>
      <c r="G65" s="2743"/>
      <c r="H65" s="2743"/>
      <c r="I65" s="2743"/>
      <c r="J65" s="2743"/>
      <c r="L65" s="2223">
        <v>2</v>
      </c>
      <c r="M65" s="2223"/>
    </row>
    <row r="66" spans="2:13">
      <c r="B66" s="2972" t="s">
        <v>2825</v>
      </c>
      <c r="C66" s="2178" t="s">
        <v>1791</v>
      </c>
      <c r="D66" s="2741" t="str">
        <f>IF(ISNA(VLOOKUP(B66,Параметры_загрузки!B:D,3,0)),"x",VLOOKUP(B66,Параметры_загрузки!B:D,3,0))</f>
        <v>да</v>
      </c>
      <c r="E66" s="3024"/>
      <c r="F66" s="2743"/>
      <c r="G66" s="2743"/>
      <c r="H66" s="2743"/>
      <c r="I66" s="2743"/>
      <c r="J66" s="2743"/>
      <c r="L66" s="2223">
        <v>2</v>
      </c>
      <c r="M66" s="2223"/>
    </row>
    <row r="67" spans="2:13">
      <c r="B67" s="2972" t="s">
        <v>222</v>
      </c>
      <c r="C67" s="2178" t="s">
        <v>1792</v>
      </c>
      <c r="D67" s="2741" t="str">
        <f>IF(ISNA(VLOOKUP(B67,Параметры_загрузки!B:D,3,0)),"x",VLOOKUP(B67,Параметры_загрузки!B:D,3,0))</f>
        <v>да</v>
      </c>
      <c r="E67" s="3024"/>
      <c r="F67" s="2743"/>
      <c r="G67" s="2743"/>
      <c r="H67" s="2743"/>
      <c r="I67" s="2743"/>
      <c r="J67" s="2743"/>
      <c r="L67" s="2223">
        <v>2</v>
      </c>
      <c r="M67" s="2223"/>
    </row>
    <row r="68" spans="2:13">
      <c r="B68" s="2972" t="s">
        <v>2826</v>
      </c>
      <c r="C68" s="2178" t="s">
        <v>4406</v>
      </c>
      <c r="D68" s="2741" t="str">
        <f>IF(ISNA(VLOOKUP(B68,Параметры_загрузки!B:D,3,0)),"x",VLOOKUP(B68,Параметры_загрузки!B:D,3,0))</f>
        <v>да</v>
      </c>
      <c r="E68" s="3024"/>
      <c r="F68" s="2743"/>
      <c r="G68" s="2743"/>
      <c r="H68" s="2743"/>
      <c r="I68" s="2743"/>
      <c r="J68" s="2743"/>
      <c r="L68" s="2223">
        <v>3</v>
      </c>
      <c r="M68" s="2223">
        <v>12</v>
      </c>
    </row>
    <row r="69" spans="2:13">
      <c r="B69" s="2972" t="s">
        <v>2827</v>
      </c>
      <c r="C69" s="2178" t="s">
        <v>4407</v>
      </c>
      <c r="D69" s="2741" t="str">
        <f>IF(ISNA(VLOOKUP(B69,Параметры_загрузки!B:D,3,0)),"x",VLOOKUP(B69,Параметры_загрузки!B:D,3,0))</f>
        <v>да</v>
      </c>
      <c r="E69" s="3024"/>
      <c r="F69" s="2743"/>
      <c r="G69" s="2743"/>
      <c r="H69" s="2743"/>
      <c r="I69" s="2743"/>
      <c r="J69" s="2743"/>
      <c r="L69" s="2223">
        <v>3</v>
      </c>
      <c r="M69" s="2223">
        <v>12</v>
      </c>
    </row>
    <row r="70" spans="2:13">
      <c r="B70" s="2972" t="s">
        <v>2828</v>
      </c>
      <c r="C70" s="2178" t="s">
        <v>5410</v>
      </c>
      <c r="D70" s="2741" t="str">
        <f>IF(ISNA(VLOOKUP(B70,Параметры_загрузки!B:D,3,0)),"x",VLOOKUP(B70,Параметры_загрузки!B:D,3,0))</f>
        <v>да</v>
      </c>
      <c r="E70" s="3024"/>
      <c r="F70" s="2743"/>
      <c r="G70" s="2743"/>
      <c r="H70" s="2743"/>
      <c r="I70" s="2743"/>
      <c r="J70" s="2743"/>
      <c r="L70" s="2223">
        <v>2</v>
      </c>
      <c r="M70" s="2223"/>
    </row>
    <row r="71" spans="2:13">
      <c r="B71" s="2972" t="s">
        <v>2829</v>
      </c>
      <c r="C71" s="2178" t="s">
        <v>5257</v>
      </c>
      <c r="D71" s="2741" t="str">
        <f>IF(ISNA(VLOOKUP(B71,Параметры_загрузки!B:D,3,0)),"x",VLOOKUP(B71,Параметры_загрузки!B:D,3,0))</f>
        <v>да</v>
      </c>
      <c r="E71" s="3024"/>
      <c r="F71" s="2743"/>
      <c r="G71" s="2743"/>
      <c r="H71" s="2743"/>
      <c r="I71" s="2743"/>
      <c r="J71" s="2743"/>
      <c r="L71" s="2223">
        <v>2</v>
      </c>
      <c r="M71" s="2223"/>
    </row>
    <row r="72" spans="2:13">
      <c r="B72" s="2972" t="s">
        <v>2830</v>
      </c>
      <c r="C72" s="2178" t="s">
        <v>4409</v>
      </c>
      <c r="D72" s="2741" t="str">
        <f>IF(ISNA(VLOOKUP(B72,Параметры_загрузки!B:D,3,0)),"x",VLOOKUP(B72,Параметры_загрузки!B:D,3,0))</f>
        <v>да</v>
      </c>
      <c r="E72" s="3024"/>
      <c r="F72" s="2743"/>
      <c r="G72" s="2743"/>
      <c r="H72" s="2743"/>
      <c r="I72" s="2743"/>
      <c r="J72" s="2743"/>
      <c r="L72" s="2223">
        <v>3</v>
      </c>
      <c r="M72" s="2223">
        <v>12</v>
      </c>
    </row>
    <row r="73" spans="2:13">
      <c r="B73" s="2972" t="s">
        <v>2831</v>
      </c>
      <c r="C73" s="2178" t="s">
        <v>4410</v>
      </c>
      <c r="D73" s="2741" t="str">
        <f>IF(ISNA(VLOOKUP(B73,Параметры_загрузки!B:D,3,0)),"x",VLOOKUP(B73,Параметры_загрузки!B:D,3,0))</f>
        <v>да</v>
      </c>
      <c r="E73" s="3024"/>
      <c r="F73" s="2743"/>
      <c r="G73" s="2743"/>
      <c r="H73" s="2743"/>
      <c r="I73" s="2743"/>
      <c r="J73" s="2743"/>
      <c r="L73" s="2223">
        <v>3</v>
      </c>
      <c r="M73" s="2223">
        <v>12</v>
      </c>
    </row>
    <row r="74" spans="2:13">
      <c r="B74" s="2972" t="s">
        <v>2832</v>
      </c>
      <c r="C74" s="2178" t="s">
        <v>4225</v>
      </c>
      <c r="D74" s="2741" t="str">
        <f>IF(ISNA(VLOOKUP(B74,Параметры_загрузки!B:D,3,0)),"x",VLOOKUP(B74,Параметры_загрузки!B:D,3,0))</f>
        <v>да</v>
      </c>
      <c r="E74" s="3024"/>
      <c r="F74" s="2743"/>
      <c r="G74" s="2743"/>
      <c r="H74" s="2743"/>
      <c r="I74" s="2743"/>
      <c r="J74" s="2743"/>
      <c r="L74" s="2223">
        <v>2</v>
      </c>
      <c r="M74" s="2223"/>
    </row>
    <row r="75" spans="2:13">
      <c r="B75" s="2972" t="s">
        <v>2833</v>
      </c>
      <c r="C75" s="2178" t="s">
        <v>4236</v>
      </c>
      <c r="D75" s="2741" t="str">
        <f>IF(ISNA(VLOOKUP(B75,Параметры_загрузки!B:D,3,0)),"x",VLOOKUP(B75,Параметры_загрузки!B:D,3,0))</f>
        <v>да</v>
      </c>
      <c r="E75" s="3024"/>
      <c r="F75" s="2743"/>
      <c r="G75" s="2743"/>
      <c r="H75" s="2743"/>
      <c r="I75" s="2743"/>
      <c r="J75" s="2743"/>
      <c r="L75" s="2223">
        <v>2</v>
      </c>
      <c r="M75" s="2223"/>
    </row>
    <row r="76" spans="2:13">
      <c r="B76" s="2972" t="s">
        <v>2834</v>
      </c>
      <c r="C76" s="2178" t="s">
        <v>4241</v>
      </c>
      <c r="D76" s="2741" t="str">
        <f>IF(ISNA(VLOOKUP(B76,Параметры_загрузки!B:D,3,0)),"x",VLOOKUP(B76,Параметры_загрузки!B:D,3,0))</f>
        <v>да</v>
      </c>
      <c r="E76" s="3024"/>
      <c r="F76" s="2743"/>
      <c r="G76" s="2743"/>
      <c r="H76" s="2743"/>
      <c r="I76" s="2743"/>
      <c r="J76" s="2743"/>
      <c r="L76" s="2223">
        <v>2</v>
      </c>
      <c r="M76" s="2223"/>
    </row>
    <row r="77" spans="2:13">
      <c r="B77" s="2972" t="s">
        <v>2835</v>
      </c>
      <c r="C77" s="2178" t="s">
        <v>5494</v>
      </c>
      <c r="D77" s="2741" t="str">
        <f>IF(ISNA(VLOOKUP(B77,Параметры_загрузки!B:D,3,0)),"x",VLOOKUP(B77,Параметры_загрузки!B:D,3,0))</f>
        <v>да</v>
      </c>
      <c r="E77" s="3024"/>
      <c r="F77" s="2743"/>
      <c r="G77" s="2743"/>
      <c r="H77" s="2743"/>
      <c r="I77" s="2743"/>
      <c r="J77" s="2743"/>
      <c r="L77" s="2223">
        <v>2</v>
      </c>
      <c r="M77" s="2223"/>
    </row>
    <row r="78" spans="2:13">
      <c r="B78" s="2972" t="s">
        <v>5042</v>
      </c>
      <c r="C78" s="2178" t="s">
        <v>1793</v>
      </c>
      <c r="D78" s="2741" t="str">
        <f>IF(ISNA(VLOOKUP(B78,Параметры_загрузки!B:D,3,0)),"x",VLOOKUP(B78,Параметры_загрузки!B:D,3,0))</f>
        <v>да</v>
      </c>
      <c r="E78" s="3024"/>
      <c r="F78" s="2743"/>
      <c r="G78" s="2743"/>
      <c r="H78" s="2743"/>
      <c r="I78" s="2743"/>
      <c r="J78" s="2743"/>
      <c r="L78" s="2223">
        <v>2</v>
      </c>
      <c r="M78" s="2223"/>
    </row>
    <row r="79" spans="2:13">
      <c r="B79" s="2972" t="s">
        <v>5040</v>
      </c>
      <c r="C79" s="2178" t="s">
        <v>1794</v>
      </c>
      <c r="D79" s="2741" t="str">
        <f>IF(ISNA(VLOOKUP(B79,Параметры_загрузки!B:D,3,0)),"x",VLOOKUP(B79,Параметры_загрузки!B:D,3,0))</f>
        <v>да</v>
      </c>
      <c r="E79" s="3024"/>
      <c r="F79" s="2743"/>
      <c r="G79" s="2743"/>
      <c r="H79" s="2743"/>
      <c r="I79" s="2743"/>
      <c r="J79" s="2743"/>
      <c r="L79" s="2223">
        <v>2</v>
      </c>
      <c r="M79" s="2223"/>
    </row>
    <row r="80" spans="2:13">
      <c r="B80" s="2972" t="s">
        <v>2836</v>
      </c>
      <c r="C80" s="2178" t="s">
        <v>4075</v>
      </c>
      <c r="D80" s="2741" t="str">
        <f>IF(ISNA(VLOOKUP(B80,Параметры_загрузки!B:D,3,0)),"x",VLOOKUP(B80,Параметры_загрузки!B:D,3,0))</f>
        <v>да</v>
      </c>
      <c r="E80" s="3024"/>
      <c r="F80" s="2743"/>
      <c r="G80" s="2743"/>
      <c r="H80" s="2743"/>
      <c r="I80" s="2743"/>
      <c r="J80" s="2743"/>
      <c r="L80" s="2223">
        <v>3</v>
      </c>
      <c r="M80" s="2223">
        <v>11</v>
      </c>
    </row>
    <row r="81" spans="2:13">
      <c r="B81" s="2972" t="s">
        <v>2837</v>
      </c>
      <c r="C81" s="2178" t="s">
        <v>4089</v>
      </c>
      <c r="D81" s="2741" t="str">
        <f>IF(ISNA(VLOOKUP(B81,Параметры_загрузки!B:D,3,0)),"x",VLOOKUP(B81,Параметры_загрузки!B:D,3,0))</f>
        <v>да</v>
      </c>
      <c r="E81" s="3024"/>
      <c r="F81" s="2743"/>
      <c r="G81" s="2743"/>
      <c r="H81" s="2743"/>
      <c r="I81" s="2743"/>
      <c r="J81" s="2743"/>
      <c r="L81" s="2223">
        <v>3</v>
      </c>
      <c r="M81" s="2223">
        <v>15</v>
      </c>
    </row>
    <row r="82" spans="2:13">
      <c r="B82" s="2972" t="s">
        <v>2838</v>
      </c>
      <c r="C82" s="2178" t="s">
        <v>4096</v>
      </c>
      <c r="D82" s="2741" t="str">
        <f>IF(ISNA(VLOOKUP(B82,Параметры_загрузки!B:D,3,0)),"x",VLOOKUP(B82,Параметры_загрузки!B:D,3,0))</f>
        <v>да</v>
      </c>
      <c r="E82" s="3024"/>
      <c r="F82" s="2743"/>
      <c r="G82" s="2743"/>
      <c r="H82" s="2743"/>
      <c r="I82" s="2743"/>
      <c r="J82" s="2743"/>
      <c r="L82" s="2223">
        <v>3</v>
      </c>
      <c r="M82" s="2223">
        <v>11</v>
      </c>
    </row>
    <row r="83" spans="2:13">
      <c r="B83" s="2972" t="s">
        <v>2839</v>
      </c>
      <c r="C83" s="2178" t="s">
        <v>1796</v>
      </c>
      <c r="D83" s="2741" t="str">
        <f>IF(ISNA(VLOOKUP(B83,Параметры_загрузки!B:D,3,0)),"x",VLOOKUP(B83,Параметры_загрузки!B:D,3,0))</f>
        <v>да</v>
      </c>
      <c r="E83" s="3024"/>
      <c r="F83" s="2743"/>
      <c r="G83" s="2743"/>
      <c r="H83" s="2743"/>
      <c r="I83" s="2743"/>
      <c r="J83" s="2743"/>
      <c r="L83" s="2223">
        <v>3</v>
      </c>
      <c r="M83" s="2223">
        <v>11</v>
      </c>
    </row>
    <row r="84" spans="2:13">
      <c r="B84" s="2972" t="s">
        <v>5268</v>
      </c>
      <c r="C84" s="2178" t="s">
        <v>1797</v>
      </c>
      <c r="D84" s="2741" t="str">
        <f>IF(ISNA(VLOOKUP(B84,Параметры_загрузки!B:D,3,0)),"x",VLOOKUP(B84,Параметры_загрузки!B:D,3,0))</f>
        <v>да</v>
      </c>
      <c r="E84" s="3024"/>
      <c r="F84" s="2743"/>
      <c r="G84" s="2743"/>
      <c r="H84" s="2743"/>
      <c r="I84" s="2743"/>
      <c r="J84" s="2743"/>
      <c r="L84" s="2223">
        <v>2</v>
      </c>
      <c r="M84" s="2223"/>
    </row>
    <row r="85" spans="2:13">
      <c r="B85" s="2972" t="s">
        <v>8379</v>
      </c>
      <c r="C85" s="2178" t="s">
        <v>8554</v>
      </c>
      <c r="D85" s="2741" t="str">
        <f>IF(ISNA(VLOOKUP(B85,Параметры_загрузки!B:D,3,0)),"x",VLOOKUP(B85,Параметры_загрузки!B:D,3,0))</f>
        <v>да</v>
      </c>
      <c r="E85" s="3025" t="b">
        <f>'60,62,63,76_контр'!D4</f>
        <v>1</v>
      </c>
      <c r="F85" s="2743"/>
      <c r="G85" s="2743"/>
      <c r="H85" s="2743"/>
      <c r="I85" s="2743"/>
      <c r="J85" s="2743"/>
      <c r="L85" s="2223">
        <v>3</v>
      </c>
      <c r="M85" s="2223">
        <v>15</v>
      </c>
    </row>
    <row r="86" spans="2:13">
      <c r="B86" s="2972">
        <v>66</v>
      </c>
      <c r="C86" s="2178" t="s">
        <v>4411</v>
      </c>
      <c r="D86" s="2741" t="str">
        <f>IF(ISNA(VLOOKUP(B86,Параметры_загрузки!B:D,3,0)),"x",VLOOKUP(B86,Параметры_загрузки!B:D,3,0))</f>
        <v>да</v>
      </c>
      <c r="E86" s="3024"/>
      <c r="F86" s="2743"/>
      <c r="G86" s="2743"/>
      <c r="H86" s="2743"/>
      <c r="I86" s="2743"/>
      <c r="J86" s="2743"/>
      <c r="L86" s="2223">
        <v>3</v>
      </c>
      <c r="M86" s="2223">
        <v>13</v>
      </c>
    </row>
    <row r="87" spans="2:13">
      <c r="B87" s="2972">
        <v>67</v>
      </c>
      <c r="C87" s="2178" t="s">
        <v>4414</v>
      </c>
      <c r="D87" s="2741" t="str">
        <f>IF(ISNA(VLOOKUP(B87,Параметры_загрузки!B:D,3,0)),"x",VLOOKUP(B87,Параметры_загрузки!B:D,3,0))</f>
        <v>да</v>
      </c>
      <c r="E87" s="3024"/>
      <c r="F87" s="2743"/>
      <c r="G87" s="2743"/>
      <c r="H87" s="2743"/>
      <c r="I87" s="2743"/>
      <c r="J87" s="2743"/>
      <c r="L87" s="2223">
        <v>3</v>
      </c>
      <c r="M87" s="2223">
        <v>13</v>
      </c>
    </row>
    <row r="88" spans="2:13">
      <c r="B88" s="2972">
        <v>68</v>
      </c>
      <c r="C88" s="2178" t="s">
        <v>4930</v>
      </c>
      <c r="D88" s="2741" t="str">
        <f>IF(ISNA(VLOOKUP(B88,Параметры_загрузки!B:D,3,0)),"x",VLOOKUP(B88,Параметры_загрузки!B:D,3,0))</f>
        <v>да</v>
      </c>
      <c r="E88" s="3024"/>
      <c r="F88" s="2743"/>
      <c r="G88" s="2743"/>
      <c r="H88" s="2743"/>
      <c r="I88" s="2743"/>
      <c r="J88" s="2743"/>
      <c r="L88" s="2223">
        <v>3</v>
      </c>
      <c r="M88" s="2223">
        <v>10</v>
      </c>
    </row>
    <row r="89" spans="2:13">
      <c r="B89" s="2972" t="s">
        <v>223</v>
      </c>
      <c r="C89" s="2178" t="s">
        <v>4388</v>
      </c>
      <c r="D89" s="2741" t="str">
        <f>IF(ISNA(VLOOKUP(B89,Параметры_загрузки!B:D,3,0)),"x",VLOOKUP(B89,Параметры_загрузки!B:D,3,0))</f>
        <v>да</v>
      </c>
      <c r="E89" s="3024"/>
      <c r="F89" s="2743"/>
      <c r="G89" s="2743"/>
      <c r="H89" s="2743"/>
      <c r="I89" s="2743"/>
      <c r="J89" s="2743"/>
      <c r="L89" s="2223">
        <v>1</v>
      </c>
      <c r="M89" s="2223"/>
    </row>
    <row r="90" spans="2:13">
      <c r="B90" s="2972" t="s">
        <v>5038</v>
      </c>
      <c r="C90" s="2178" t="s">
        <v>5037</v>
      </c>
      <c r="D90" s="2741" t="str">
        <f>IF(ISNA(VLOOKUP(B90,Параметры_загрузки!B:D,3,0)),"x",VLOOKUP(B90,Параметры_загрузки!B:D,3,0))</f>
        <v>да</v>
      </c>
      <c r="E90" s="3024"/>
      <c r="F90" s="2743"/>
      <c r="G90" s="2743"/>
      <c r="H90" s="2743"/>
      <c r="I90" s="2743"/>
      <c r="J90" s="2743"/>
      <c r="L90" s="2223">
        <v>2</v>
      </c>
      <c r="M90" s="2223"/>
    </row>
    <row r="91" spans="2:13">
      <c r="B91" s="2972" t="s">
        <v>5036</v>
      </c>
      <c r="C91" s="2178" t="s">
        <v>5035</v>
      </c>
      <c r="D91" s="2741" t="str">
        <f>IF(ISNA(VLOOKUP(B91,Параметры_загрузки!B:D,3,0)),"x",VLOOKUP(B91,Параметры_загрузки!B:D,3,0))</f>
        <v>да</v>
      </c>
      <c r="E91" s="3024"/>
      <c r="F91" s="2743"/>
      <c r="G91" s="2743"/>
      <c r="H91" s="2743"/>
      <c r="I91" s="2743"/>
      <c r="J91" s="2743"/>
      <c r="L91" s="2223">
        <v>1</v>
      </c>
      <c r="M91" s="2223"/>
    </row>
    <row r="92" spans="2:13">
      <c r="B92" s="2972" t="s">
        <v>5034</v>
      </c>
      <c r="C92" s="2178" t="s">
        <v>263</v>
      </c>
      <c r="D92" s="2741" t="str">
        <f>IF(ISNA(VLOOKUP(B92,Параметры_загрузки!B:D,3,0)),"x",VLOOKUP(B92,Параметры_загрузки!B:D,3,0))</f>
        <v>да</v>
      </c>
      <c r="E92" s="3024"/>
      <c r="F92" s="2743"/>
      <c r="G92" s="2743"/>
      <c r="H92" s="2743"/>
      <c r="I92" s="2743"/>
      <c r="J92" s="2743"/>
      <c r="L92" s="2223">
        <v>2</v>
      </c>
      <c r="M92" s="2223"/>
    </row>
    <row r="93" spans="2:13">
      <c r="B93" s="2972">
        <v>69</v>
      </c>
      <c r="C93" s="2178" t="s">
        <v>3670</v>
      </c>
      <c r="D93" s="2741" t="str">
        <f>IF(ISNA(VLOOKUP(B93,Параметры_загрузки!B:D,3,0)),"x",VLOOKUP(B93,Параметры_загрузки!B:D,3,0))</f>
        <v>да</v>
      </c>
      <c r="E93" s="3024"/>
      <c r="F93" s="2743"/>
      <c r="G93" s="2743"/>
      <c r="H93" s="2743"/>
      <c r="I93" s="2743"/>
      <c r="J93" s="2743"/>
      <c r="L93" s="2223">
        <v>1</v>
      </c>
      <c r="M93" s="2223"/>
    </row>
    <row r="94" spans="2:13">
      <c r="B94" s="2972">
        <v>73</v>
      </c>
      <c r="C94" s="2178" t="s">
        <v>1798</v>
      </c>
      <c r="D94" s="2741" t="str">
        <f>IF(ISNA(VLOOKUP(B94,Параметры_загрузки!B:D,3,0)),"x",VLOOKUP(B94,Параметры_загрузки!B:D,3,0))</f>
        <v>да</v>
      </c>
      <c r="E94" s="3024"/>
      <c r="F94" s="2743"/>
      <c r="G94" s="2743"/>
      <c r="H94" s="2743"/>
      <c r="I94" s="2743"/>
      <c r="J94" s="2743"/>
      <c r="L94" s="2223">
        <v>2</v>
      </c>
      <c r="M94" s="2223"/>
    </row>
    <row r="95" spans="2:13">
      <c r="B95" s="2972" t="s">
        <v>224</v>
      </c>
      <c r="C95" s="2178" t="s">
        <v>5165</v>
      </c>
      <c r="D95" s="2741" t="str">
        <f>IF(ISNA(VLOOKUP(B95,Параметры_загрузки!B:D,3,0)),"x",VLOOKUP(B95,Параметры_загрузки!B:D,3,0))</f>
        <v>да</v>
      </c>
      <c r="E95" s="3024"/>
      <c r="F95" s="2743"/>
      <c r="G95" s="2743"/>
      <c r="H95" s="2743"/>
      <c r="I95" s="2743"/>
      <c r="J95" s="2743"/>
      <c r="L95" s="2223">
        <v>2</v>
      </c>
      <c r="M95" s="2223"/>
    </row>
    <row r="96" spans="2:13">
      <c r="B96" s="2972" t="s">
        <v>1799</v>
      </c>
      <c r="C96" s="2178" t="s">
        <v>5166</v>
      </c>
      <c r="D96" s="2741" t="str">
        <f>IF(ISNA(VLOOKUP(B96,Параметры_загрузки!B:D,3,0)),"x",VLOOKUP(B96,Параметры_загрузки!B:D,3,0))</f>
        <v>да</v>
      </c>
      <c r="E96" s="3024"/>
      <c r="F96" s="2743"/>
      <c r="G96" s="2743"/>
      <c r="H96" s="2743"/>
      <c r="I96" s="2743"/>
      <c r="J96" s="2743"/>
      <c r="L96" s="2223">
        <v>2</v>
      </c>
      <c r="M96" s="2223"/>
    </row>
    <row r="97" spans="2:13">
      <c r="B97" s="2972" t="s">
        <v>2840</v>
      </c>
      <c r="C97" s="2178" t="s">
        <v>5171</v>
      </c>
      <c r="D97" s="2741" t="str">
        <f>IF(ISNA(VLOOKUP(B97,Параметры_загрузки!B:D,3,0)),"x",VLOOKUP(B97,Параметры_загрузки!B:D,3,0))</f>
        <v>да</v>
      </c>
      <c r="E97" s="3024"/>
      <c r="F97" s="2743"/>
      <c r="G97" s="2743"/>
      <c r="H97" s="2743"/>
      <c r="I97" s="2743"/>
      <c r="J97" s="2743"/>
      <c r="L97" s="2223">
        <v>2</v>
      </c>
      <c r="M97" s="2223"/>
    </row>
    <row r="98" spans="2:13">
      <c r="B98" s="2972">
        <v>76</v>
      </c>
      <c r="C98" s="2178" t="s">
        <v>5181</v>
      </c>
      <c r="D98" s="2741" t="str">
        <f>IF(ISNA(VLOOKUP(B98,Параметры_загрузки!B:D,3,0)),"x",VLOOKUP(B98,Параметры_загрузки!B:D,3,0))</f>
        <v>да</v>
      </c>
      <c r="E98" s="3025" t="b">
        <f>'76'!D4</f>
        <v>1</v>
      </c>
      <c r="F98" s="2743"/>
      <c r="G98" s="2743"/>
      <c r="H98" s="2743"/>
      <c r="I98" s="2743"/>
      <c r="J98" s="2743"/>
      <c r="L98" s="2223">
        <v>3</v>
      </c>
      <c r="M98" s="2223">
        <v>45</v>
      </c>
    </row>
    <row r="99" spans="2:13">
      <c r="B99" s="2972" t="s">
        <v>2841</v>
      </c>
      <c r="C99" s="2178" t="s">
        <v>8555</v>
      </c>
      <c r="D99" s="2741" t="str">
        <f>IF(ISNA(VLOOKUP(B99,Параметры_загрузки!B:D,3,0)),"x",VLOOKUP(B99,Параметры_загрузки!B:D,3,0))</f>
        <v>да</v>
      </c>
      <c r="E99" s="3024"/>
      <c r="F99" s="2743"/>
      <c r="G99" s="2743"/>
      <c r="H99" s="2743"/>
      <c r="I99" s="2743"/>
      <c r="J99" s="2743"/>
      <c r="L99" s="2223">
        <v>3</v>
      </c>
      <c r="M99" s="2223">
        <v>12</v>
      </c>
    </row>
    <row r="100" spans="2:13">
      <c r="B100" s="2972">
        <v>77</v>
      </c>
      <c r="C100" s="2178" t="s">
        <v>3695</v>
      </c>
      <c r="D100" s="2741" t="str">
        <f>IF(ISNA(VLOOKUP(B100,Параметры_загрузки!B:D,3,0)),"x",VLOOKUP(B100,Параметры_загрузки!B:D,3,0))</f>
        <v>да</v>
      </c>
      <c r="E100" s="3024"/>
      <c r="F100" s="2743"/>
      <c r="G100" s="2743"/>
      <c r="H100" s="2743"/>
      <c r="I100" s="2743"/>
      <c r="J100" s="2743"/>
      <c r="L100" s="2223">
        <v>1</v>
      </c>
      <c r="M100" s="2223"/>
    </row>
    <row r="101" spans="2:13">
      <c r="B101" s="2972">
        <v>78</v>
      </c>
      <c r="C101" s="2178" t="s">
        <v>3679</v>
      </c>
      <c r="D101" s="2741" t="str">
        <f>IF(ISNA(VLOOKUP(B101,Параметры_загрузки!B:D,3,0)),"x",VLOOKUP(B101,Параметры_загрузки!B:D,3,0))</f>
        <v>да</v>
      </c>
      <c r="E101" s="3024"/>
      <c r="F101" s="2743"/>
      <c r="G101" s="2743"/>
      <c r="H101" s="2743"/>
      <c r="I101" s="2743"/>
      <c r="J101" s="2743"/>
      <c r="L101" s="2223">
        <v>1</v>
      </c>
      <c r="M101" s="2223"/>
    </row>
    <row r="102" spans="2:13">
      <c r="B102" s="2972">
        <v>80</v>
      </c>
      <c r="C102" s="2178" t="s">
        <v>3460</v>
      </c>
      <c r="D102" s="2741" t="str">
        <f>IF(ISNA(VLOOKUP(B102,Параметры_загрузки!B:D,3,0)),"x",VLOOKUP(B102,Параметры_загрузки!B:D,3,0))</f>
        <v>да</v>
      </c>
      <c r="E102" s="3024"/>
      <c r="F102" s="2743"/>
      <c r="G102" s="2743"/>
      <c r="H102" s="2743"/>
      <c r="I102" s="2743"/>
      <c r="J102" s="2743"/>
      <c r="L102" s="2223">
        <v>1</v>
      </c>
      <c r="M102" s="2223"/>
    </row>
    <row r="103" spans="2:13">
      <c r="B103" s="2972">
        <v>83</v>
      </c>
      <c r="C103" s="2178" t="s">
        <v>3475</v>
      </c>
      <c r="D103" s="2741" t="str">
        <f>IF(ISNA(VLOOKUP(B103,Параметры_загрузки!B:D,3,0)),"x",VLOOKUP(B103,Параметры_загрузки!B:D,3,0))</f>
        <v>да</v>
      </c>
      <c r="E103" s="3024"/>
      <c r="F103" s="2743"/>
      <c r="G103" s="2743"/>
      <c r="H103" s="2743"/>
      <c r="I103" s="2743"/>
      <c r="J103" s="2743"/>
      <c r="L103" s="2223">
        <v>1</v>
      </c>
      <c r="M103" s="2223"/>
    </row>
    <row r="104" spans="2:13">
      <c r="B104" s="2972" t="s">
        <v>2842</v>
      </c>
      <c r="C104" s="2178" t="s">
        <v>3511</v>
      </c>
      <c r="D104" s="2741" t="str">
        <f>IF(ISNA(VLOOKUP(B104,Параметры_загрузки!B:D,3,0)),"x",VLOOKUP(B104,Параметры_загрузки!B:D,3,0))</f>
        <v>да</v>
      </c>
      <c r="E104" s="3024"/>
      <c r="F104" s="2743"/>
      <c r="G104" s="2743"/>
      <c r="H104" s="2743"/>
      <c r="I104" s="2743"/>
      <c r="J104" s="2743"/>
      <c r="L104" s="2223">
        <v>3</v>
      </c>
      <c r="M104" s="2223">
        <v>10</v>
      </c>
    </row>
    <row r="105" spans="2:13">
      <c r="B105" s="2972">
        <v>84</v>
      </c>
      <c r="C105" s="2178" t="s">
        <v>3515</v>
      </c>
      <c r="D105" s="2741" t="str">
        <f>IF(ISNA(VLOOKUP(B105,Параметры_загрузки!B:D,3,0)),"x",VLOOKUP(B105,Параметры_загрузки!B:D,3,0))</f>
        <v>да</v>
      </c>
      <c r="E105" s="3024"/>
      <c r="F105" s="2743"/>
      <c r="G105" s="2743"/>
      <c r="H105" s="2743"/>
      <c r="I105" s="2743"/>
      <c r="J105" s="2743"/>
      <c r="L105" s="2223">
        <v>1</v>
      </c>
      <c r="M105" s="2223"/>
    </row>
    <row r="106" spans="2:13">
      <c r="B106" s="2972" t="s">
        <v>2843</v>
      </c>
      <c r="C106" s="2178" t="s">
        <v>1801</v>
      </c>
      <c r="D106" s="2741" t="str">
        <f>IF(ISNA(VLOOKUP(B106,Параметры_загрузки!B:D,3,0)),"x",VLOOKUP(B106,Параметры_загрузки!B:D,3,0))</f>
        <v>да</v>
      </c>
      <c r="E106" s="3024"/>
      <c r="F106" s="2743"/>
      <c r="G106" s="2743"/>
      <c r="H106" s="2743"/>
      <c r="I106" s="2743"/>
      <c r="J106" s="2743"/>
      <c r="L106" s="2223">
        <v>3</v>
      </c>
      <c r="M106" s="2223">
        <v>9</v>
      </c>
    </row>
    <row r="107" spans="2:13">
      <c r="B107" s="2972">
        <v>86</v>
      </c>
      <c r="C107" s="2178" t="s">
        <v>5538</v>
      </c>
      <c r="D107" s="2741" t="str">
        <f>IF(ISNA(VLOOKUP(B107,Параметры_загрузки!B:D,3,0)),"x",VLOOKUP(B107,Параметры_загрузки!B:D,3,0))</f>
        <v>да</v>
      </c>
      <c r="E107" s="3025" t="b">
        <f>'86'!D5</f>
        <v>1</v>
      </c>
      <c r="F107" s="2743"/>
      <c r="G107" s="2743"/>
      <c r="H107" s="2743"/>
      <c r="I107" s="2743"/>
      <c r="J107" s="2743"/>
      <c r="L107" s="2223">
        <v>3</v>
      </c>
      <c r="M107" s="2223">
        <v>15</v>
      </c>
    </row>
    <row r="108" spans="2:13">
      <c r="B108" s="2972">
        <v>90</v>
      </c>
      <c r="C108" s="2178" t="s">
        <v>6312</v>
      </c>
      <c r="D108" s="2741" t="str">
        <f>IF(ISNA(VLOOKUP(B108,Параметры_загрузки!B:D,3,0)),"x",VLOOKUP(B108,Параметры_загрузки!B:D,3,0))</f>
        <v>да</v>
      </c>
      <c r="E108" s="3025" t="b">
        <f>'90'!D5</f>
        <v>1</v>
      </c>
      <c r="F108" s="2743"/>
      <c r="G108" s="2743"/>
      <c r="H108" s="2743"/>
      <c r="I108" s="2743"/>
      <c r="J108" s="2743"/>
      <c r="L108" s="2223">
        <v>3</v>
      </c>
      <c r="M108" s="2223">
        <v>11</v>
      </c>
    </row>
    <row r="109" spans="2:13">
      <c r="B109" s="2972" t="s">
        <v>951</v>
      </c>
      <c r="C109" s="2178" t="s">
        <v>3197</v>
      </c>
      <c r="D109" s="2741" t="str">
        <f>IF(ISNA(VLOOKUP(B109,Параметры_загрузки!B:D,3,0)),"x",VLOOKUP(B109,Параметры_загрузки!B:D,3,0))</f>
        <v>да</v>
      </c>
      <c r="E109" s="3025" t="b">
        <f>'90_ОРВГ'!D5</f>
        <v>1</v>
      </c>
      <c r="F109" s="2743"/>
      <c r="G109" s="2743"/>
      <c r="H109" s="2743"/>
      <c r="I109" s="2743"/>
      <c r="J109" s="2743"/>
      <c r="L109" s="2223">
        <v>2</v>
      </c>
      <c r="M109" s="2223"/>
    </row>
    <row r="110" spans="2:13">
      <c r="B110" s="2972" t="s">
        <v>5266</v>
      </c>
      <c r="C110" s="2178" t="s">
        <v>8561</v>
      </c>
      <c r="D110" s="2741" t="str">
        <f>IF(ISNA(VLOOKUP(B110,Параметры_загрузки!B:D,3,0)),"x",VLOOKUP(B110,Параметры_загрузки!B:D,3,0))</f>
        <v>да</v>
      </c>
      <c r="E110" s="3025" t="b">
        <f>'90_контр'!F5</f>
        <v>1</v>
      </c>
      <c r="F110" s="2743"/>
      <c r="G110" s="2743"/>
      <c r="H110" s="2743"/>
      <c r="I110" s="2743"/>
      <c r="J110" s="2743"/>
      <c r="L110" s="2223">
        <v>3</v>
      </c>
      <c r="M110" s="2223">
        <v>12</v>
      </c>
    </row>
    <row r="111" spans="2:13">
      <c r="B111" s="2972" t="s">
        <v>3525</v>
      </c>
      <c r="C111" s="2178" t="s">
        <v>3202</v>
      </c>
      <c r="D111" s="2741" t="str">
        <f>IF(ISNA(VLOOKUP(B111,Параметры_загрузки!B:D,3,0)),"x",VLOOKUP(B111,Параметры_загрузки!B:D,3,0))</f>
        <v>да</v>
      </c>
      <c r="E111" s="3025" t="b">
        <f>'91_01'!D8</f>
        <v>1</v>
      </c>
      <c r="F111" s="2743"/>
      <c r="G111" s="2743"/>
      <c r="H111" s="2743"/>
      <c r="I111" s="2743"/>
      <c r="J111" s="2743"/>
      <c r="L111" s="2223">
        <v>3</v>
      </c>
      <c r="M111" s="3475">
        <v>36</v>
      </c>
    </row>
    <row r="112" spans="2:13">
      <c r="B112" s="2972" t="s">
        <v>5436</v>
      </c>
      <c r="C112" s="2178" t="s">
        <v>1366</v>
      </c>
      <c r="D112" s="2741" t="str">
        <f>IF(ISNA(VLOOKUP(B112,Параметры_загрузки!B:D,3,0)),"x",VLOOKUP(B112,Параметры_загрузки!B:D,3,0))</f>
        <v>да</v>
      </c>
      <c r="E112" s="3025" t="b">
        <f>'91_01_ВГО'!D5</f>
        <v>1</v>
      </c>
      <c r="F112" s="2743"/>
      <c r="G112" s="2743"/>
      <c r="H112" s="2743"/>
      <c r="I112" s="2743"/>
      <c r="J112" s="2743"/>
      <c r="L112" s="2223">
        <v>3</v>
      </c>
      <c r="M112" s="2223">
        <v>33</v>
      </c>
    </row>
    <row r="113" spans="2:13">
      <c r="B113" s="2972" t="s">
        <v>3526</v>
      </c>
      <c r="C113" s="2178" t="s">
        <v>3210</v>
      </c>
      <c r="D113" s="2741" t="str">
        <f>IF(ISNA(VLOOKUP(B113,Параметры_загрузки!B:D,3,0)),"x",VLOOKUP(B113,Параметры_загрузки!B:D,3,0))</f>
        <v>да</v>
      </c>
      <c r="E113" s="3025" t="b">
        <f>'91_02'!D5</f>
        <v>1</v>
      </c>
      <c r="F113" s="2743"/>
      <c r="G113" s="2743"/>
      <c r="H113" s="2743"/>
      <c r="I113" s="2743"/>
      <c r="J113" s="2743"/>
      <c r="L113" s="2223">
        <v>3</v>
      </c>
      <c r="M113" s="2223">
        <v>46</v>
      </c>
    </row>
    <row r="114" spans="2:13">
      <c r="B114" s="2972" t="s">
        <v>5437</v>
      </c>
      <c r="C114" s="2178" t="s">
        <v>1367</v>
      </c>
      <c r="D114" s="2741" t="str">
        <f>IF(ISNA(VLOOKUP(B114,Параметры_загрузки!B:D,3,0)),"x",VLOOKUP(B114,Параметры_загрузки!B:D,3,0))</f>
        <v>да</v>
      </c>
      <c r="E114" s="3025" t="b">
        <f>'91_02_ВГО'!D4</f>
        <v>1</v>
      </c>
      <c r="F114" s="2743"/>
      <c r="G114" s="2743"/>
      <c r="H114" s="2743"/>
      <c r="I114" s="2743"/>
      <c r="J114" s="2743"/>
      <c r="L114" s="2223">
        <v>3</v>
      </c>
      <c r="M114" s="2223">
        <v>43</v>
      </c>
    </row>
    <row r="115" spans="2:13">
      <c r="B115" s="2974" t="s">
        <v>5919</v>
      </c>
      <c r="C115" s="2178" t="s">
        <v>5910</v>
      </c>
      <c r="D115" s="2741" t="str">
        <f>IF(ISNA(VLOOKUP(B115,Параметры_загрузки!B:D,3,0)),"x",VLOOKUP(B115,Параметры_загрузки!B:D,3,0))</f>
        <v>да</v>
      </c>
      <c r="E115" s="3025" t="b">
        <f>Прочие_расш!D5</f>
        <v>1</v>
      </c>
      <c r="F115" s="2743"/>
      <c r="G115" s="2743"/>
      <c r="H115" s="2743"/>
      <c r="I115" s="2743"/>
      <c r="J115" s="2743"/>
      <c r="L115" s="2223">
        <v>3</v>
      </c>
      <c r="M115" s="2223">
        <v>34</v>
      </c>
    </row>
    <row r="116" spans="2:13">
      <c r="B116" s="2972" t="s">
        <v>5269</v>
      </c>
      <c r="C116" s="2178" t="s">
        <v>8556</v>
      </c>
      <c r="D116" s="2741" t="str">
        <f>IF(ISNA(VLOOKUP(B116,Параметры_загрузки!B:D,3,0)),"x",VLOOKUP(B116,Параметры_загрузки!B:D,3,0))</f>
        <v>да</v>
      </c>
      <c r="E116" s="3025" t="b">
        <f>ОСС!D4</f>
        <v>1</v>
      </c>
      <c r="F116" s="2743"/>
      <c r="G116" s="2743"/>
      <c r="H116" s="2743"/>
      <c r="I116" s="2743"/>
      <c r="J116" s="2743"/>
      <c r="L116" s="2223">
        <v>2</v>
      </c>
      <c r="M116" s="2223"/>
    </row>
    <row r="117" spans="2:13">
      <c r="B117" s="2972">
        <v>96</v>
      </c>
      <c r="C117" s="2178" t="s">
        <v>5185</v>
      </c>
      <c r="D117" s="2741" t="str">
        <f>IF(ISNA(VLOOKUP(B117,Параметры_загрузки!B:D,3,0)),"x",VLOOKUP(B117,Параметры_загрузки!B:D,3,0))</f>
        <v>да</v>
      </c>
      <c r="E117" s="3024"/>
      <c r="F117" s="2743"/>
      <c r="G117" s="2743"/>
      <c r="H117" s="2743"/>
      <c r="I117" s="2743"/>
      <c r="J117" s="2743"/>
      <c r="L117" s="2223">
        <v>1</v>
      </c>
      <c r="M117" s="2223"/>
    </row>
    <row r="118" spans="2:13">
      <c r="B118" s="2972" t="s">
        <v>5264</v>
      </c>
      <c r="C118" s="2178" t="s">
        <v>8557</v>
      </c>
      <c r="D118" s="2741" t="str">
        <f>IF(ISNA(VLOOKUP(B118,Параметры_загрузки!B:D,3,0)),"x",VLOOKUP(B118,Параметры_загрузки!B:D,3,0))</f>
        <v>да</v>
      </c>
      <c r="E118" s="3024"/>
      <c r="F118" s="2743"/>
      <c r="G118" s="2743"/>
      <c r="H118" s="2743"/>
      <c r="I118" s="2743"/>
      <c r="J118" s="2743"/>
      <c r="L118" s="2223">
        <v>2</v>
      </c>
      <c r="M118" s="2223"/>
    </row>
    <row r="119" spans="2:13">
      <c r="B119" s="2972">
        <v>97</v>
      </c>
      <c r="C119" s="2178" t="s">
        <v>8558</v>
      </c>
      <c r="D119" s="2741" t="str">
        <f>IF(ISNA(VLOOKUP(B119,Параметры_загрузки!B:D,3,0)),"x",VLOOKUP(B119,Параметры_загрузки!B:D,3,0))</f>
        <v>да</v>
      </c>
      <c r="E119" s="3024"/>
      <c r="F119" s="2743"/>
      <c r="G119" s="2743"/>
      <c r="H119" s="2743"/>
      <c r="I119" s="2743"/>
      <c r="J119" s="2743"/>
      <c r="L119" s="2223">
        <v>2</v>
      </c>
      <c r="M119" s="2223"/>
    </row>
    <row r="120" spans="2:13">
      <c r="B120" s="2972" t="s">
        <v>2845</v>
      </c>
      <c r="C120" s="2178" t="s">
        <v>5190</v>
      </c>
      <c r="D120" s="2741" t="str">
        <f>IF(ISNA(VLOOKUP(B120,Параметры_загрузки!B:D,3,0)),"x",VLOOKUP(B120,Параметры_загрузки!B:D,3,0))</f>
        <v>да</v>
      </c>
      <c r="E120" s="3024"/>
      <c r="F120" s="2743"/>
      <c r="G120" s="2743"/>
      <c r="H120" s="2743"/>
      <c r="I120" s="2743"/>
      <c r="J120" s="2743"/>
      <c r="L120" s="2223">
        <v>3</v>
      </c>
      <c r="M120" s="2223">
        <v>15</v>
      </c>
    </row>
    <row r="121" spans="2:13">
      <c r="B121" s="2972" t="s">
        <v>2846</v>
      </c>
      <c r="C121" s="2178" t="s">
        <v>8559</v>
      </c>
      <c r="D121" s="2741" t="str">
        <f>IF(ISNA(VLOOKUP(B121,Параметры_загрузки!B:D,3,0)),"x",VLOOKUP(B121,Параметры_загрузки!B:D,3,0))</f>
        <v>да</v>
      </c>
      <c r="E121" s="3024"/>
      <c r="F121" s="2743"/>
      <c r="G121" s="2743"/>
      <c r="H121" s="2743"/>
      <c r="I121" s="2743"/>
      <c r="J121" s="2743"/>
      <c r="L121" s="2223">
        <v>2</v>
      </c>
      <c r="M121" s="2223"/>
    </row>
    <row r="122" spans="2:13">
      <c r="B122" s="2972" t="s">
        <v>2848</v>
      </c>
      <c r="C122" s="2178" t="s">
        <v>9922</v>
      </c>
      <c r="D122" s="2741" t="str">
        <f>IF(ISNA(VLOOKUP(B122,Параметры_загрузки!B:D,3,0)),"x",VLOOKUP(B122,Параметры_загрузки!B:D,3,0))</f>
        <v>да</v>
      </c>
      <c r="E122" s="3024"/>
      <c r="F122" s="2743"/>
      <c r="G122" s="2743"/>
      <c r="H122" s="2743"/>
      <c r="I122" s="2743"/>
      <c r="J122" s="2743"/>
      <c r="L122" s="2223">
        <v>2</v>
      </c>
      <c r="M122" s="2223"/>
    </row>
    <row r="123" spans="2:13">
      <c r="B123" s="2881">
        <v>99</v>
      </c>
      <c r="C123" s="2180" t="s">
        <v>3522</v>
      </c>
      <c r="D123" s="2742" t="str">
        <f>IF(ISNA(VLOOKUP(B123,Параметры_загрузки!B:D,3,0)),"x",VLOOKUP(B123,Параметры_загрузки!B:D,3,0))</f>
        <v>да</v>
      </c>
      <c r="E123" s="3024"/>
      <c r="F123" s="2743"/>
      <c r="G123" s="2743"/>
      <c r="H123" s="2743"/>
      <c r="I123" s="2743"/>
      <c r="J123" s="2743"/>
      <c r="L123" s="2223">
        <v>1</v>
      </c>
      <c r="M123" s="2223"/>
    </row>
    <row r="124" spans="2:13">
      <c r="B124" s="3390" t="s">
        <v>10300</v>
      </c>
      <c r="C124" s="2180" t="s">
        <v>10294</v>
      </c>
      <c r="D124" s="2742" t="str">
        <f>IF(ISNA(VLOOKUP(B124,Параметры_загрузки!B:D,3,0)),"x",VLOOKUP(B124,Параметры_загрузки!B:D,3,0))</f>
        <v>да</v>
      </c>
      <c r="L124" s="2223">
        <v>3</v>
      </c>
      <c r="M124" s="2223">
        <v>12</v>
      </c>
    </row>
    <row r="125" spans="2:13">
      <c r="C125" s="2181"/>
      <c r="L125" s="2177"/>
    </row>
    <row r="126" spans="2:13">
      <c r="L126" s="2177"/>
    </row>
    <row r="130" spans="3:3">
      <c r="C130" s="2182"/>
    </row>
  </sheetData>
  <sheetProtection algorithmName="SHA-512" hashValue="FlZ/Sfoo6nJrT9HhfYvhsq68lv8XYvs7sa33b5sx7+f3+rrkoWFjLbgAy3pe2buxR14+ojMX0OctBQ1XEt8YVw==" saltValue="C1bNZnuGyJZcaclQP3z61w==" spinCount="100000" sheet="1" objects="1" scenarios="1" formatColumns="0" formatRows="0" autoFilter="0"/>
  <autoFilter ref="B18:E123"/>
  <customSheetViews>
    <customSheetView guid="{3769259D-9653-4B34-A2F6-4FB6F9F4E533}" scale="85" showGridLines="0" topLeftCell="A85">
      <selection activeCell="B86" sqref="B86"/>
      <pageMargins left="0.7" right="0.7" top="0.75" bottom="0.75" header="0.3" footer="0.3"/>
      <pageSetup paperSize="9" orientation="portrait" r:id="rId1"/>
    </customSheetView>
    <customSheetView guid="{40D7A2BB-326C-4ED3-999C-17852F56D6F4}" scale="85" showGridLines="0" topLeftCell="A115">
      <selection activeCell="D43" sqref="D43"/>
      <pageMargins left="0.7" right="0.7" top="0.75" bottom="0.75" header="0.3" footer="0.3"/>
    </customSheetView>
    <customSheetView guid="{5D121940-0CE8-4A0E-A493-67FAAA6E0FF8}" scale="85" showGridLines="0">
      <selection activeCell="D2" sqref="D2:E2"/>
      <pageMargins left="0.7" right="0.7" top="0.75" bottom="0.75" header="0.3" footer="0.3"/>
      <pageSetup paperSize="9" orientation="portrait" horizontalDpi="0" verticalDpi="0" r:id="rId2"/>
    </customSheetView>
    <customSheetView guid="{47AEACC4-6EA5-412C-AF39-A6C5357B313A}" scale="85" showGridLines="0" topLeftCell="A85">
      <selection activeCell="B104" sqref="B104"/>
      <pageMargins left="0.7" right="0.7" top="0.75" bottom="0.75" header="0.3" footer="0.3"/>
    </customSheetView>
    <customSheetView guid="{C913A9E8-661B-40A4-A3C9-1BC5F2B2E9F0}" scale="85" showGridLines="0" topLeftCell="A100">
      <selection activeCell="B115" sqref="B115"/>
      <pageMargins left="0.7" right="0.7" top="0.75" bottom="0.75" header="0.3" footer="0.3"/>
    </customSheetView>
  </customSheetViews>
  <mergeCells count="18">
    <mergeCell ref="B18:B19"/>
    <mergeCell ref="C18:C19"/>
    <mergeCell ref="D18:D19"/>
    <mergeCell ref="D12:E12"/>
    <mergeCell ref="E18:E19"/>
    <mergeCell ref="D15:E15"/>
    <mergeCell ref="D13:E13"/>
    <mergeCell ref="D14:E14"/>
    <mergeCell ref="D11:E11"/>
    <mergeCell ref="D2:E2"/>
    <mergeCell ref="D3:E3"/>
    <mergeCell ref="D4:E4"/>
    <mergeCell ref="D5:E5"/>
    <mergeCell ref="D6:E6"/>
    <mergeCell ref="D7:E7"/>
    <mergeCell ref="D8:E8"/>
    <mergeCell ref="D9:E9"/>
    <mergeCell ref="D10:E10"/>
  </mergeCells>
  <phoneticPr fontId="0" type="noConversion"/>
  <dataValidations count="3">
    <dataValidation type="list" operator="equal" allowBlank="1" showErrorMessage="1" errorTitle="Выбор элемента списка" error="Данного элемента нет в списке" sqref="D12:E12">
      <formula1>_6003_СОД_</formula1>
    </dataValidation>
    <dataValidation type="list" operator="equal" allowBlank="1" showErrorMessage="1" errorTitle="Выбор элемента списка" error="Данного элемента нет в списке" sqref="D2:E2">
      <formula1>_icomp</formula1>
    </dataValidation>
    <dataValidation type="list" operator="equal" allowBlank="1" showErrorMessage="1" errorTitle="Выбор элемента списка" error="Данного элемента нет в списке" sqref="D15:E15">
      <formula1>_период</formula1>
    </dataValidation>
  </dataValidations>
  <hyperlinks>
    <hyperlink ref="B30" location="'01'!A1" display="01"/>
    <hyperlink ref="B31" location="'02'!Заголовки_для_печати" display="02"/>
    <hyperlink ref="B32" location="'03'!A1" display="03"/>
    <hyperlink ref="B34" location="'05'!A1" display="05"/>
    <hyperlink ref="B35" location="'07'!A1" display="07"/>
    <hyperlink ref="B37" location="'08'!A1" display="08"/>
    <hyperlink ref="B36" location="'07_Расш'!A1" display="07_расш_2"/>
    <hyperlink ref="B38" location="'08_расш'!A1" display="08_расш"/>
    <hyperlink ref="B40" location="'09'!A1" display="09"/>
    <hyperlink ref="B41" location="'10'!A1" display="'10'!A1"/>
    <hyperlink ref="B42" location="'10_расш'!A1" display="10_расш"/>
    <hyperlink ref="B43" location="'14'!A1" display="'14'!A1"/>
    <hyperlink ref="B44" location="'15'!A1" display="'15'!A1"/>
    <hyperlink ref="B45" location="'16'!A1" display="'16'!A1"/>
    <hyperlink ref="B46" location="'19'!A1" display="'19'!A1"/>
    <hyperlink ref="B47" location="Затраты_Вход_1!A1" display="Затраты_Вход 1"/>
    <hyperlink ref="B48" location="Затраты_Вход_2!A1" display="Затраты_Вход 2"/>
    <hyperlink ref="B49" location="Затраты_Выход!A1" display="Затраты _Выход"/>
    <hyperlink ref="B50" location="'21'!A1" display="'21'!A1"/>
    <hyperlink ref="B51" location="'40'!A1" display="'40'!A1"/>
    <hyperlink ref="B52" location="'41_01'!A1" display="41_01"/>
    <hyperlink ref="B53" location="'41_02'!A1" display="41_02"/>
    <hyperlink ref="B54" location="'43'!A1" display="'43'!A1"/>
    <hyperlink ref="B55" location="'45'!A1" display="'45'!A1"/>
    <hyperlink ref="B56" location="НЗП_ГП!A1" display="НЗП"/>
    <hyperlink ref="B58" location="'46'!A1" display="'46'!A1"/>
    <hyperlink ref="B59" location="'Дл-ср_договор'!A1" display="Дл-ср_договоры"/>
    <hyperlink ref="B60" location="Гарантии_2!A1" display="Гарантии_2"/>
    <hyperlink ref="B61" location="'50'!A1" display="'50'!A1"/>
    <hyperlink ref="B62" location="'51'!A1" display="'51'!A1"/>
    <hyperlink ref="B63" location="'52'!A1" display="'52'!A1"/>
    <hyperlink ref="B64" location="'55'!A1" display="'55'!A1"/>
    <hyperlink ref="B65" location="'57'!A1" display="'57'!A1"/>
    <hyperlink ref="B66" location="'50_51_52_55_57_движ'!A1" display="50_51_52_55_57_движ"/>
    <hyperlink ref="B67" location="Фин_договоры!A1" display="Фин. Договоры"/>
    <hyperlink ref="B68" location="'58_01_1'!A1" display="58_01_1"/>
    <hyperlink ref="B69" location="'58_01_2'!A1" display="58_01_2"/>
    <hyperlink ref="B70" location="'58_02'!A1" display="58_02"/>
    <hyperlink ref="B71" location="'58_02_движ'!A1" display="58_02_движ"/>
    <hyperlink ref="B72" location="'58_03_1'!A1" display="58_03_1"/>
    <hyperlink ref="B73" location="'58_03_2'!A1" display="58_03_2"/>
    <hyperlink ref="B74" location="'58_04'!A1" display="58_04"/>
    <hyperlink ref="B75" location="'59_01'!A1" display="59_01"/>
    <hyperlink ref="B76" location="'59_02'!A1" display="59_02"/>
    <hyperlink ref="B77" location="'59_03'!A1" display="59_03"/>
    <hyperlink ref="B78" location="ДП_полученные!A1" display="ДП_полученные"/>
    <hyperlink ref="B79" location="ДП_выданные!A1" display="ДП_выданные"/>
    <hyperlink ref="B80" location="'60_01'!A1" display="60_01"/>
    <hyperlink ref="B81" location="'60_02'!A1" display="60_02"/>
    <hyperlink ref="B82" location="'62_01'!A1" display="62_01"/>
    <hyperlink ref="B83" location="'62_02'!A1" display="62_02"/>
    <hyperlink ref="B84" location="ОКХ!A1" display="ОКХ"/>
    <hyperlink ref="B85" location="'60,62,63,76_контр'!A1" display="60,62,63,76_контр"/>
    <hyperlink ref="B86" location="'66'!A1" display="'66'!A1"/>
    <hyperlink ref="B87" location="'67'!A1" display="'67'!A1"/>
    <hyperlink ref="B88" location="'68'!A1" display="'68'!A1"/>
    <hyperlink ref="B89" location="Налог_на_прибыль!A1" display="Налог на прибыль"/>
    <hyperlink ref="B90" location="Налог_пров!A1" display="Налог_пров"/>
    <hyperlink ref="B91" location="Налоговые_льготы_имущество!A1" display="Налоговые_льготы_имущество"/>
    <hyperlink ref="B92" location="Налоговые_льготы_прочие!A1" display="Налоговые_льготы_прочие"/>
    <hyperlink ref="B93" location="'69'!A1" display="'69'!A1"/>
    <hyperlink ref="B94" location="'73'!A1" display="'73'!A1"/>
    <hyperlink ref="B96" location="'75_01_Неденеж'!A1" display="75_01_Недвиж"/>
    <hyperlink ref="B97" location="'75_02'!A1" display="75_02"/>
    <hyperlink ref="B98" location="'76'!A1" display="'76'!A1"/>
    <hyperlink ref="B99" location="'76_01_%'!A1" display="76_01_%"/>
    <hyperlink ref="B100" location="'77'!A1" display="'77'!A1"/>
    <hyperlink ref="B101" location="'78'!A1" display="'78'!A1"/>
    <hyperlink ref="B102" location="'80'!A1" display="'80'!A1"/>
    <hyperlink ref="B103" location="'83'!A1" display="'83'!A1"/>
    <hyperlink ref="B104" location="'83_расш'!A1" display="83_расш"/>
    <hyperlink ref="B105" location="'84'!A1" display="'84'!A1"/>
    <hyperlink ref="B106" location="'84_расш'!A1" display="84_расш"/>
    <hyperlink ref="B107" location="'86'!A1" display="'86'!A1"/>
    <hyperlink ref="B108" location="'90'!A1" display="'90'!A1"/>
    <hyperlink ref="B109" location="'90_ОРВГ'!A1" display="90_ОРГВ"/>
    <hyperlink ref="B110" location="'90_контр'!A1" display="90_контр"/>
    <hyperlink ref="B111" location="'91_01'!A1" display="91_01"/>
    <hyperlink ref="B112" location="'91_01_ВГО'!A1" display="91_01_ВГО"/>
    <hyperlink ref="B113" location="'91_02'!A1" display="91_02"/>
    <hyperlink ref="B114" location="'91_02_ВГО'!A1" display="91_02_ВГО"/>
    <hyperlink ref="B116" location="ОСС!A1" display="ОСС"/>
    <hyperlink ref="B117" location="'96'!A1" display="'96'!A1"/>
    <hyperlink ref="B118" location="'96_движ'!A1" display="96_движ"/>
    <hyperlink ref="B119" location="'97'!A1" display="'97'!A1"/>
    <hyperlink ref="B120" location="'98_01'!A1" display="98_01"/>
    <hyperlink ref="B121" location="'98_02'!A1" display="98_02"/>
    <hyperlink ref="B122" location="'98_04'!A1" display="98_04"/>
    <hyperlink ref="B123" location="'99'!A1" display="'99'!A1"/>
    <hyperlink ref="B57" location="Долгосроч_договоры!A1" display="Строит_договоры"/>
    <hyperlink ref="B21" location="Список_компаний!A1" display="Список компаний"/>
    <hyperlink ref="B22" location="ОСВ_система!A1" display="ОСВ система"/>
    <hyperlink ref="B23" location="ОСВ_авт!A1" display="ОСВ авт"/>
    <hyperlink ref="B24" location="ОСВ_сверка!A1" display="ОСВ сверка"/>
    <hyperlink ref="B25" location="Свод_по_счетам!A1" display="Свод по счетам"/>
    <hyperlink ref="B26" location="Баланс!A1" display="Баланс"/>
    <hyperlink ref="B27" location="ОФР!A1" display="ОФР"/>
    <hyperlink ref="B28" location="ДДС!A1" display="ДДС"/>
    <hyperlink ref="B29" location="ДДС_приложение!A1" display="ДДС_приложение"/>
    <hyperlink ref="B95" location="'75_01'!A1" display="75_01_Неденеж"/>
    <hyperlink ref="B115" location="прочие_расш!A1" display="91_02_ВГО"/>
    <hyperlink ref="B20" location="Титул!A1" display="Титул"/>
    <hyperlink ref="B39" location="'08_НИОКР'!Заголовки_для_печати" display="08_НИОКР"/>
    <hyperlink ref="B124" location="Зарубежная_выручка!A1" display="Зарубежная_выручка"/>
  </hyperlinks>
  <pageMargins left="0.70866141732283472" right="0.70866141732283472" top="0.74803149606299213" bottom="0.74803149606299213" header="0.31496062992125984" footer="0.31496062992125984"/>
  <pageSetup paperSize="9" scale="28" orientation="portrait" r:id="rId3"/>
  <ignoredErrors>
    <ignoredError sqref="E40:E116 E36:E38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0591" r:id="rId6" name="Button 15">
              <controlPr defaultSize="0" print="0" autoFill="0" autoPict="0" macro="[0]!MergeFiles">
                <anchor moveWithCells="1" sizeWithCells="1">
                  <from>
                    <xdr:col>6</xdr:col>
                    <xdr:colOff>31750</xdr:colOff>
                    <xdr:row>3</xdr:row>
                    <xdr:rowOff>69850</xdr:rowOff>
                  </from>
                  <to>
                    <xdr:col>7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92" r:id="rId7" name="Button 16">
              <controlPr defaultSize="0" print="0" autoFill="0" autoPict="0" macro="[0]!LoadBO">
                <anchor moveWithCells="1" sizeWithCells="1">
                  <from>
                    <xdr:col>5</xdr:col>
                    <xdr:colOff>755650</xdr:colOff>
                    <xdr:row>6</xdr:row>
                    <xdr:rowOff>31750</xdr:rowOff>
                  </from>
                  <to>
                    <xdr:col>7</xdr:col>
                    <xdr:colOff>1517650</xdr:colOff>
                    <xdr:row>13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E114"/>
  <sheetViews>
    <sheetView topLeftCell="B5" workbookViewId="0">
      <selection activeCell="F17" sqref="F17"/>
    </sheetView>
  </sheetViews>
  <sheetFormatPr defaultColWidth="0" defaultRowHeight="12.5"/>
  <cols>
    <col min="1" max="1" width="12.54296875" style="94" hidden="1" customWidth="1"/>
    <col min="2" max="2" width="29" style="1804" customWidth="1"/>
    <col min="3" max="3" width="76.81640625" style="1804" customWidth="1"/>
    <col min="4" max="4" width="35.54296875" style="1804" customWidth="1"/>
    <col min="5" max="5" width="9.453125" style="94" customWidth="1"/>
    <col min="6" max="16384" width="9.453125" style="94" hidden="1"/>
  </cols>
  <sheetData>
    <row r="1" spans="1:4" ht="13" hidden="1" thickBot="1">
      <c r="A1" s="1804"/>
      <c r="D1" s="1804" t="s">
        <v>5419</v>
      </c>
    </row>
    <row r="2" spans="1:4" ht="13">
      <c r="A2" s="1804"/>
      <c r="B2" s="1805" t="s">
        <v>5377</v>
      </c>
      <c r="C2" s="1806" t="s">
        <v>5380</v>
      </c>
      <c r="D2" s="1807" t="s">
        <v>5378</v>
      </c>
    </row>
    <row r="3" spans="1:4" ht="13" thickBot="1">
      <c r="A3" s="1804"/>
      <c r="B3" s="1808" t="s">
        <v>3520</v>
      </c>
      <c r="C3" s="1809" t="str">
        <f>IF(ISNA(VLOOKUP($D$3,Список_компаний!$A$3:$E$36,2,0)),"-",VLOOKUP($D$3,Список_компаний!$A$3:$E$36,2,0))</f>
        <v>-</v>
      </c>
      <c r="D3" s="1810">
        <f>Содержание!D2</f>
        <v>0</v>
      </c>
    </row>
    <row r="4" spans="1:4">
      <c r="A4" s="1804"/>
    </row>
    <row r="5" spans="1:4" ht="13" thickBot="1">
      <c r="A5" s="1804"/>
    </row>
    <row r="6" spans="1:4" ht="26">
      <c r="A6" s="1804"/>
      <c r="B6" s="1805" t="s">
        <v>5434</v>
      </c>
      <c r="C6" s="1811"/>
      <c r="D6" s="1807" t="s">
        <v>5439</v>
      </c>
    </row>
    <row r="7" spans="1:4">
      <c r="A7" s="9" t="str">
        <f>"R1="&amp;B7</f>
        <v>R1=ОСВ_система</v>
      </c>
      <c r="B7" s="1812" t="s">
        <v>742</v>
      </c>
      <c r="C7" s="1813" t="str">
        <f>IF(D7="да",B7,"")</f>
        <v>ОСВ_система</v>
      </c>
      <c r="D7" s="1998" t="s">
        <v>5435</v>
      </c>
    </row>
    <row r="8" spans="1:4">
      <c r="A8" s="9" t="str">
        <f t="shared" ref="A8:A57" si="0">"R1="&amp;B8</f>
        <v>R1=ОСВ_авт</v>
      </c>
      <c r="B8" s="1812" t="s">
        <v>1223</v>
      </c>
      <c r="C8" s="1813" t="str">
        <f>IF(D8="да",C7&amp;";"&amp;B8,C7)</f>
        <v>ОСВ_система;ОСВ_авт</v>
      </c>
      <c r="D8" s="1999" t="s">
        <v>5435</v>
      </c>
    </row>
    <row r="9" spans="1:4">
      <c r="A9" s="9" t="str">
        <f t="shared" si="0"/>
        <v>R1=Свод_по_счетам</v>
      </c>
      <c r="B9" s="1814" t="s">
        <v>743</v>
      </c>
      <c r="C9" s="1813" t="str">
        <f>IF(D9="да",C8&amp;";"&amp;B9,C8)</f>
        <v>ОСВ_система;ОСВ_авт;Свод_по_счетам</v>
      </c>
      <c r="D9" s="2000" t="s">
        <v>5435</v>
      </c>
    </row>
    <row r="10" spans="1:4">
      <c r="A10" s="9" t="str">
        <f t="shared" si="0"/>
        <v>R1=Баланс</v>
      </c>
      <c r="B10" s="1814" t="s">
        <v>2091</v>
      </c>
      <c r="C10" s="1813" t="str">
        <f t="shared" ref="C10:C73" si="1">IF(D10="да",C9&amp;";"&amp;B10,C9)</f>
        <v>ОСВ_система;ОСВ_авт;Свод_по_счетам;Баланс</v>
      </c>
      <c r="D10" s="2000" t="s">
        <v>5435</v>
      </c>
    </row>
    <row r="11" spans="1:4">
      <c r="A11" s="9" t="str">
        <f t="shared" si="0"/>
        <v>R1=ОФР</v>
      </c>
      <c r="B11" s="1814" t="s">
        <v>905</v>
      </c>
      <c r="C11" s="1813" t="str">
        <f t="shared" si="1"/>
        <v>ОСВ_система;ОСВ_авт;Свод_по_счетам;Баланс;ОФР</v>
      </c>
      <c r="D11" s="2000" t="s">
        <v>5435</v>
      </c>
    </row>
    <row r="12" spans="1:4">
      <c r="A12" s="9" t="str">
        <f t="shared" si="0"/>
        <v>R1=01</v>
      </c>
      <c r="B12" s="1814" t="s">
        <v>3405</v>
      </c>
      <c r="C12" s="1813" t="str">
        <f t="shared" si="1"/>
        <v>ОСВ_система;ОСВ_авт;Свод_по_счетам;Баланс;ОФР;01</v>
      </c>
      <c r="D12" s="2000" t="s">
        <v>5435</v>
      </c>
    </row>
    <row r="13" spans="1:4">
      <c r="A13" s="9" t="str">
        <f t="shared" si="0"/>
        <v>R1=02</v>
      </c>
      <c r="B13" s="3482" t="s">
        <v>3407</v>
      </c>
      <c r="C13" s="1813" t="str">
        <f t="shared" si="1"/>
        <v>ОСВ_система;ОСВ_авт;Свод_по_счетам;Баланс;ОФР;01;02</v>
      </c>
      <c r="D13" s="2000" t="s">
        <v>5435</v>
      </c>
    </row>
    <row r="14" spans="1:4">
      <c r="A14" s="9" t="str">
        <f t="shared" si="0"/>
        <v>R1=03</v>
      </c>
      <c r="B14" s="1814" t="s">
        <v>3413</v>
      </c>
      <c r="C14" s="1813" t="str">
        <f t="shared" si="1"/>
        <v>ОСВ_система;ОСВ_авт;Свод_по_счетам;Баланс;ОФР;01;02;03</v>
      </c>
      <c r="D14" s="2000" t="s">
        <v>5435</v>
      </c>
    </row>
    <row r="15" spans="1:4">
      <c r="A15" s="9" t="str">
        <f t="shared" si="0"/>
        <v>R1=04</v>
      </c>
      <c r="B15" s="1814" t="s">
        <v>3415</v>
      </c>
      <c r="C15" s="1813" t="str">
        <f t="shared" si="1"/>
        <v>ОСВ_система;ОСВ_авт;Свод_по_счетам;Баланс;ОФР;01;02;03;04</v>
      </c>
      <c r="D15" s="2000" t="s">
        <v>5435</v>
      </c>
    </row>
    <row r="16" spans="1:4">
      <c r="A16" s="9" t="str">
        <f t="shared" si="0"/>
        <v>R1=05</v>
      </c>
      <c r="B16" s="1814" t="s">
        <v>3422</v>
      </c>
      <c r="C16" s="1813" t="str">
        <f t="shared" si="1"/>
        <v>ОСВ_система;ОСВ_авт;Свод_по_счетам;Баланс;ОФР;01;02;03;04;05</v>
      </c>
      <c r="D16" s="2000" t="s">
        <v>5435</v>
      </c>
    </row>
    <row r="17" spans="1:4">
      <c r="A17" s="9" t="str">
        <f t="shared" si="0"/>
        <v>R1=07</v>
      </c>
      <c r="B17" s="1814" t="s">
        <v>3428</v>
      </c>
      <c r="C17" s="1813" t="str">
        <f t="shared" si="1"/>
        <v>ОСВ_система;ОСВ_авт;Свод_по_счетам;Баланс;ОФР;01;02;03;04;05;07</v>
      </c>
      <c r="D17" s="2000" t="s">
        <v>5435</v>
      </c>
    </row>
    <row r="18" spans="1:4">
      <c r="A18" s="9" t="str">
        <f t="shared" si="0"/>
        <v>R1=07_расш</v>
      </c>
      <c r="B18" s="1814" t="s">
        <v>2094</v>
      </c>
      <c r="C18" s="1813" t="str">
        <f t="shared" si="1"/>
        <v>ОСВ_система;ОСВ_авт;Свод_по_счетам;Баланс;ОФР;01;02;03;04;05;07;07_расш</v>
      </c>
      <c r="D18" s="2000" t="s">
        <v>5435</v>
      </c>
    </row>
    <row r="19" spans="1:4">
      <c r="A19" s="9" t="str">
        <f t="shared" si="0"/>
        <v>R1=08</v>
      </c>
      <c r="B19" s="1814" t="s">
        <v>3430</v>
      </c>
      <c r="C19" s="1813" t="str">
        <f t="shared" si="1"/>
        <v>ОСВ_система;ОСВ_авт;Свод_по_счетам;Баланс;ОФР;01;02;03;04;05;07;07_расш;08</v>
      </c>
      <c r="D19" s="2000" t="s">
        <v>5435</v>
      </c>
    </row>
    <row r="20" spans="1:4">
      <c r="A20" s="9" t="str">
        <f t="shared" si="0"/>
        <v>R1=08_расш</v>
      </c>
      <c r="B20" s="1814" t="s">
        <v>5884</v>
      </c>
      <c r="C20" s="1813" t="str">
        <f t="shared" si="1"/>
        <v>ОСВ_система;ОСВ_авт;Свод_по_счетам;Баланс;ОФР;01;02;03;04;05;07;07_расш;08;08_расш</v>
      </c>
      <c r="D20" s="2000" t="s">
        <v>5435</v>
      </c>
    </row>
    <row r="21" spans="1:4">
      <c r="A21" s="2804"/>
      <c r="B21" s="1814" t="s">
        <v>10037</v>
      </c>
      <c r="C21" s="1813" t="str">
        <f t="shared" ref="C21" si="2">IF(D21="да",C20&amp;";"&amp;B21,C20)</f>
        <v>ОСВ_система;ОСВ_авт;Свод_по_счетам;Баланс;ОФР;01;02;03;04;05;07;07_расш;08;08_расш;08_НИОКР</v>
      </c>
      <c r="D21" s="2000" t="s">
        <v>5435</v>
      </c>
    </row>
    <row r="22" spans="1:4">
      <c r="A22" s="9" t="str">
        <f t="shared" si="0"/>
        <v>R1=09</v>
      </c>
      <c r="B22" s="1814" t="s">
        <v>3432</v>
      </c>
      <c r="C22" s="1813" t="str">
        <f>IF(D22="да",C21&amp;";"&amp;B22,C20)</f>
        <v>ОСВ_система;ОСВ_авт;Свод_по_счетам;Баланс;ОФР;01;02;03;04;05;07;07_расш;08;08_расш;08_НИОКР;09</v>
      </c>
      <c r="D22" s="2000" t="s">
        <v>5435</v>
      </c>
    </row>
    <row r="23" spans="1:4">
      <c r="A23" s="9" t="str">
        <f t="shared" si="0"/>
        <v>R1=10</v>
      </c>
      <c r="B23" s="2707">
        <v>10</v>
      </c>
      <c r="C23" s="1813" t="str">
        <f t="shared" si="1"/>
        <v>ОСВ_система;ОСВ_авт;Свод_по_счетам;Баланс;ОФР;01;02;03;04;05;07;07_расш;08;08_расш;08_НИОКР;09;10</v>
      </c>
      <c r="D23" s="2000" t="s">
        <v>5435</v>
      </c>
    </row>
    <row r="24" spans="1:4">
      <c r="A24" s="9" t="str">
        <f t="shared" si="0"/>
        <v>R1=10_расш</v>
      </c>
      <c r="B24" s="1814" t="s">
        <v>2822</v>
      </c>
      <c r="C24" s="1813" t="str">
        <f t="shared" si="1"/>
        <v>ОСВ_система;ОСВ_авт;Свод_по_счетам;Баланс;ОФР;01;02;03;04;05;07;07_расш;08;08_расш;08_НИОКР;09;10;10_расш</v>
      </c>
      <c r="D24" s="2000" t="s">
        <v>5435</v>
      </c>
    </row>
    <row r="25" spans="1:4">
      <c r="A25" s="9" t="str">
        <f t="shared" si="0"/>
        <v>R1=14</v>
      </c>
      <c r="B25" s="1814">
        <v>14</v>
      </c>
      <c r="C25" s="1813" t="str">
        <f t="shared" si="1"/>
        <v>ОСВ_система;ОСВ_авт;Свод_по_счетам;Баланс;ОФР;01;02;03;04;05;07;07_расш;08;08_расш;08_НИОКР;09;10;10_расш;14</v>
      </c>
      <c r="D25" s="2000" t="s">
        <v>5435</v>
      </c>
    </row>
    <row r="26" spans="1:4">
      <c r="A26" s="9" t="str">
        <f t="shared" si="0"/>
        <v>R1=15</v>
      </c>
      <c r="B26" s="1814">
        <v>15</v>
      </c>
      <c r="C26" s="1813" t="str">
        <f t="shared" si="1"/>
        <v>ОСВ_система;ОСВ_авт;Свод_по_счетам;Баланс;ОФР;01;02;03;04;05;07;07_расш;08;08_расш;08_НИОКР;09;10;10_расш;14;15</v>
      </c>
      <c r="D26" s="2000" t="s">
        <v>5435</v>
      </c>
    </row>
    <row r="27" spans="1:4">
      <c r="A27" s="9" t="str">
        <f t="shared" si="0"/>
        <v>R1=16</v>
      </c>
      <c r="B27" s="1814">
        <v>16</v>
      </c>
      <c r="C27" s="1813" t="str">
        <f t="shared" si="1"/>
        <v>ОСВ_система;ОСВ_авт;Свод_по_счетам;Баланс;ОФР;01;02;03;04;05;07;07_расш;08;08_расш;08_НИОКР;09;10;10_расш;14;15;16</v>
      </c>
      <c r="D27" s="2000" t="s">
        <v>5435</v>
      </c>
    </row>
    <row r="28" spans="1:4">
      <c r="A28" s="9" t="str">
        <f t="shared" si="0"/>
        <v>R1=19</v>
      </c>
      <c r="B28" s="1814">
        <v>19</v>
      </c>
      <c r="C28" s="1813" t="str">
        <f t="shared" si="1"/>
        <v>ОСВ_система;ОСВ_авт;Свод_по_счетам;Баланс;ОФР;01;02;03;04;05;07;07_расш;08;08_расш;08_НИОКР;09;10;10_расш;14;15;16;19</v>
      </c>
      <c r="D28" s="2000" t="s">
        <v>5435</v>
      </c>
    </row>
    <row r="29" spans="1:4">
      <c r="A29" s="9" t="str">
        <f t="shared" si="0"/>
        <v>R1=19_расш</v>
      </c>
      <c r="B29" s="1814" t="s">
        <v>2823</v>
      </c>
      <c r="C29" s="1813" t="str">
        <f t="shared" si="1"/>
        <v>ОСВ_система;ОСВ_авт;Свод_по_счетам;Баланс;ОФР;01;02;03;04;05;07;07_расш;08;08_расш;08_НИОКР;09;10;10_расш;14;15;16;19;19_расш</v>
      </c>
      <c r="D29" s="2000" t="s">
        <v>5435</v>
      </c>
    </row>
    <row r="30" spans="1:4">
      <c r="A30" s="9" t="str">
        <f t="shared" si="0"/>
        <v>R1=Затраты_Вход_1</v>
      </c>
      <c r="B30" s="1814" t="s">
        <v>220</v>
      </c>
      <c r="C30" s="1813" t="str">
        <f t="shared" si="1"/>
        <v>ОСВ_система;ОСВ_авт;Свод_по_счетам;Баланс;ОФР;01;02;03;04;05;07;07_расш;08;08_расш;08_НИОКР;09;10;10_расш;14;15;16;19;19_расш;Затраты_Вход_1</v>
      </c>
      <c r="D30" s="2000" t="s">
        <v>5435</v>
      </c>
    </row>
    <row r="31" spans="1:4">
      <c r="A31" s="9" t="str">
        <f t="shared" si="0"/>
        <v>R1=Затраты_Вход_2</v>
      </c>
      <c r="B31" s="1814" t="s">
        <v>221</v>
      </c>
      <c r="C31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</v>
      </c>
      <c r="D31" s="2000" t="s">
        <v>5435</v>
      </c>
    </row>
    <row r="32" spans="1:4">
      <c r="A32" s="9" t="str">
        <f t="shared" si="0"/>
        <v>R1=Затраты_Выход</v>
      </c>
      <c r="B32" s="1814" t="s">
        <v>919</v>
      </c>
      <c r="C32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</v>
      </c>
      <c r="D32" s="2000" t="s">
        <v>5435</v>
      </c>
    </row>
    <row r="33" spans="1:4">
      <c r="A33" s="9" t="str">
        <f t="shared" si="0"/>
        <v>R1=Признак_вкл_в_себестоимость</v>
      </c>
      <c r="B33" s="1814" t="s">
        <v>628</v>
      </c>
      <c r="C33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</v>
      </c>
      <c r="D33" s="2030" t="s">
        <v>1149</v>
      </c>
    </row>
    <row r="34" spans="1:4">
      <c r="A34" s="9" t="str">
        <f t="shared" si="0"/>
        <v>R1=21</v>
      </c>
      <c r="B34" s="1814">
        <v>21</v>
      </c>
      <c r="C34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</v>
      </c>
      <c r="D34" s="2000" t="s">
        <v>5435</v>
      </c>
    </row>
    <row r="35" spans="1:4">
      <c r="A35" s="9" t="str">
        <f t="shared" si="0"/>
        <v>R1=40</v>
      </c>
      <c r="B35" s="1814">
        <v>40</v>
      </c>
      <c r="C35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</v>
      </c>
      <c r="D35" s="2000" t="s">
        <v>5435</v>
      </c>
    </row>
    <row r="36" spans="1:4">
      <c r="A36" s="9" t="str">
        <f t="shared" si="0"/>
        <v>R1=41_01</v>
      </c>
      <c r="B36" s="1814" t="s">
        <v>2817</v>
      </c>
      <c r="C36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</v>
      </c>
      <c r="D36" s="2000" t="s">
        <v>5435</v>
      </c>
    </row>
    <row r="37" spans="1:4">
      <c r="A37" s="9" t="str">
        <f t="shared" si="0"/>
        <v>R1=41_02</v>
      </c>
      <c r="B37" s="1814" t="s">
        <v>2824</v>
      </c>
      <c r="C37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</v>
      </c>
      <c r="D37" s="2000" t="s">
        <v>5435</v>
      </c>
    </row>
    <row r="38" spans="1:4">
      <c r="A38" s="9" t="str">
        <f t="shared" si="0"/>
        <v>R1=43</v>
      </c>
      <c r="B38" s="1814">
        <v>43</v>
      </c>
      <c r="C38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</v>
      </c>
      <c r="D38" s="2000" t="s">
        <v>5435</v>
      </c>
    </row>
    <row r="39" spans="1:4">
      <c r="A39" s="9" t="str">
        <f t="shared" si="0"/>
        <v>R1=45</v>
      </c>
      <c r="B39" s="1814">
        <v>45</v>
      </c>
      <c r="C39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</v>
      </c>
      <c r="D39" s="2000" t="s">
        <v>5435</v>
      </c>
    </row>
    <row r="40" spans="1:4">
      <c r="A40" s="9" t="str">
        <f t="shared" si="0"/>
        <v>R1=НЗП_ГП</v>
      </c>
      <c r="B40" s="1814" t="s">
        <v>423</v>
      </c>
      <c r="C40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</v>
      </c>
      <c r="D40" s="2000" t="s">
        <v>5435</v>
      </c>
    </row>
    <row r="41" spans="1:4">
      <c r="A41" s="9" t="str">
        <f t="shared" si="0"/>
        <v>R1=Долгосроч_договоры</v>
      </c>
      <c r="B41" s="1814" t="s">
        <v>424</v>
      </c>
      <c r="C41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</v>
      </c>
      <c r="D41" s="2000" t="s">
        <v>5435</v>
      </c>
    </row>
    <row r="42" spans="1:4">
      <c r="A42" s="9" t="str">
        <f t="shared" si="0"/>
        <v>R1=46</v>
      </c>
      <c r="B42" s="1814">
        <v>46</v>
      </c>
      <c r="C42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</v>
      </c>
      <c r="D42" s="2000" t="s">
        <v>5435</v>
      </c>
    </row>
    <row r="43" spans="1:4">
      <c r="A43" s="9" t="str">
        <f t="shared" si="0"/>
        <v>R1=Дл-ср_договор</v>
      </c>
      <c r="B43" s="1814" t="s">
        <v>425</v>
      </c>
      <c r="C43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</v>
      </c>
      <c r="D43" s="2000" t="s">
        <v>5435</v>
      </c>
    </row>
    <row r="44" spans="1:4">
      <c r="A44" s="9" t="str">
        <f t="shared" si="0"/>
        <v>R1=Гарантии_2</v>
      </c>
      <c r="B44" s="1814" t="s">
        <v>5033</v>
      </c>
      <c r="C44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</v>
      </c>
      <c r="D44" s="2000" t="s">
        <v>5435</v>
      </c>
    </row>
    <row r="45" spans="1:4">
      <c r="A45" s="9" t="str">
        <f t="shared" si="0"/>
        <v>R1=50</v>
      </c>
      <c r="B45" s="1814">
        <v>50</v>
      </c>
      <c r="C45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</v>
      </c>
      <c r="D45" s="2000" t="s">
        <v>5435</v>
      </c>
    </row>
    <row r="46" spans="1:4">
      <c r="A46" s="9" t="str">
        <f t="shared" si="0"/>
        <v>R1=51</v>
      </c>
      <c r="B46" s="1814">
        <v>51</v>
      </c>
      <c r="C46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</v>
      </c>
      <c r="D46" s="2000" t="s">
        <v>5435</v>
      </c>
    </row>
    <row r="47" spans="1:4">
      <c r="A47" s="9" t="str">
        <f t="shared" si="0"/>
        <v>R1=52</v>
      </c>
      <c r="B47" s="1814">
        <v>52</v>
      </c>
      <c r="C47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</v>
      </c>
      <c r="D47" s="2000" t="s">
        <v>5435</v>
      </c>
    </row>
    <row r="48" spans="1:4">
      <c r="A48" s="9" t="str">
        <f t="shared" si="0"/>
        <v>R1=55</v>
      </c>
      <c r="B48" s="1814">
        <v>55</v>
      </c>
      <c r="C48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</v>
      </c>
      <c r="D48" s="2000" t="s">
        <v>5435</v>
      </c>
    </row>
    <row r="49" spans="1:4">
      <c r="A49" s="9" t="str">
        <f t="shared" si="0"/>
        <v>R1=57</v>
      </c>
      <c r="B49" s="1814">
        <v>57</v>
      </c>
      <c r="C49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</v>
      </c>
      <c r="D49" s="2000" t="s">
        <v>5435</v>
      </c>
    </row>
    <row r="50" spans="1:4">
      <c r="A50" s="9" t="str">
        <f t="shared" si="0"/>
        <v>R1=50_51_52_55_57_движ</v>
      </c>
      <c r="B50" s="1814" t="s">
        <v>2825</v>
      </c>
      <c r="C50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</v>
      </c>
      <c r="D50" s="2000" t="s">
        <v>5435</v>
      </c>
    </row>
    <row r="51" spans="1:4">
      <c r="A51" s="9" t="str">
        <f t="shared" si="0"/>
        <v>R1=Фин_договоры</v>
      </c>
      <c r="B51" s="1814" t="s">
        <v>222</v>
      </c>
      <c r="C51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</v>
      </c>
      <c r="D51" s="2000" t="s">
        <v>5435</v>
      </c>
    </row>
    <row r="52" spans="1:4">
      <c r="A52" s="9" t="str">
        <f t="shared" si="0"/>
        <v>R1=58_01_1</v>
      </c>
      <c r="B52" s="1814" t="s">
        <v>2826</v>
      </c>
      <c r="C52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</v>
      </c>
      <c r="D52" s="2000" t="s">
        <v>5435</v>
      </c>
    </row>
    <row r="53" spans="1:4">
      <c r="A53" s="9" t="str">
        <f t="shared" si="0"/>
        <v>R1=58_01_2</v>
      </c>
      <c r="B53" s="1814" t="s">
        <v>2827</v>
      </c>
      <c r="C53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</v>
      </c>
      <c r="D53" s="2000" t="s">
        <v>5435</v>
      </c>
    </row>
    <row r="54" spans="1:4">
      <c r="A54" s="9" t="str">
        <f t="shared" si="0"/>
        <v>R1=58_02</v>
      </c>
      <c r="B54" s="1814" t="s">
        <v>2828</v>
      </c>
      <c r="C54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</v>
      </c>
      <c r="D54" s="2000" t="s">
        <v>5435</v>
      </c>
    </row>
    <row r="55" spans="1:4">
      <c r="A55" s="9" t="str">
        <f t="shared" si="0"/>
        <v>R1=58_02_движ</v>
      </c>
      <c r="B55" s="1814" t="s">
        <v>2829</v>
      </c>
      <c r="C55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</v>
      </c>
      <c r="D55" s="2000" t="s">
        <v>5435</v>
      </c>
    </row>
    <row r="56" spans="1:4">
      <c r="A56" s="9" t="str">
        <f t="shared" si="0"/>
        <v>R1=58_03_1</v>
      </c>
      <c r="B56" s="1814" t="s">
        <v>2830</v>
      </c>
      <c r="C56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</v>
      </c>
      <c r="D56" s="2000" t="s">
        <v>5435</v>
      </c>
    </row>
    <row r="57" spans="1:4">
      <c r="A57" s="9" t="str">
        <f t="shared" si="0"/>
        <v>R1=58_03_2</v>
      </c>
      <c r="B57" s="1814" t="s">
        <v>2831</v>
      </c>
      <c r="C57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</v>
      </c>
      <c r="D57" s="2000" t="s">
        <v>5435</v>
      </c>
    </row>
    <row r="58" spans="1:4">
      <c r="A58" s="9" t="str">
        <f t="shared" ref="A58:A106" si="3">"R1="&amp;B58</f>
        <v>R1=58_04</v>
      </c>
      <c r="B58" s="1814" t="s">
        <v>2832</v>
      </c>
      <c r="C58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</v>
      </c>
      <c r="D58" s="2000" t="s">
        <v>5435</v>
      </c>
    </row>
    <row r="59" spans="1:4">
      <c r="A59" s="9" t="str">
        <f t="shared" si="3"/>
        <v>R1=59_01</v>
      </c>
      <c r="B59" s="1814" t="s">
        <v>2833</v>
      </c>
      <c r="C59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</v>
      </c>
      <c r="D59" s="2000" t="s">
        <v>5435</v>
      </c>
    </row>
    <row r="60" spans="1:4">
      <c r="A60" s="9" t="str">
        <f t="shared" si="3"/>
        <v>R1=59_02</v>
      </c>
      <c r="B60" s="1814" t="s">
        <v>2834</v>
      </c>
      <c r="C60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</v>
      </c>
      <c r="D60" s="2000" t="s">
        <v>5435</v>
      </c>
    </row>
    <row r="61" spans="1:4">
      <c r="A61" s="9" t="str">
        <f t="shared" si="3"/>
        <v>R1=59_03</v>
      </c>
      <c r="B61" s="1814" t="s">
        <v>2835</v>
      </c>
      <c r="C61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</v>
      </c>
      <c r="D61" s="2000" t="s">
        <v>5435</v>
      </c>
    </row>
    <row r="62" spans="1:4">
      <c r="A62" s="9" t="str">
        <f t="shared" si="3"/>
        <v>R1=ДП_полученные</v>
      </c>
      <c r="B62" s="1814" t="s">
        <v>5042</v>
      </c>
      <c r="C62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</v>
      </c>
      <c r="D62" s="2000" t="s">
        <v>5435</v>
      </c>
    </row>
    <row r="63" spans="1:4">
      <c r="A63" s="9" t="str">
        <f t="shared" si="3"/>
        <v>R1=ДП_выданные</v>
      </c>
      <c r="B63" s="1814" t="s">
        <v>5040</v>
      </c>
      <c r="C63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</v>
      </c>
      <c r="D63" s="2000" t="s">
        <v>5435</v>
      </c>
    </row>
    <row r="64" spans="1:4">
      <c r="A64" s="9" t="str">
        <f t="shared" si="3"/>
        <v>R1=60_01</v>
      </c>
      <c r="B64" s="1814" t="s">
        <v>2836</v>
      </c>
      <c r="C64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</v>
      </c>
      <c r="D64" s="2000" t="s">
        <v>5435</v>
      </c>
    </row>
    <row r="65" spans="1:4" ht="15" customHeight="1">
      <c r="A65" s="9" t="str">
        <f t="shared" si="3"/>
        <v>R1=60_02</v>
      </c>
      <c r="B65" s="1814" t="s">
        <v>2837</v>
      </c>
      <c r="C65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</v>
      </c>
      <c r="D65" s="2000" t="s">
        <v>5435</v>
      </c>
    </row>
    <row r="66" spans="1:4" ht="15" customHeight="1">
      <c r="A66" s="9" t="str">
        <f t="shared" si="3"/>
        <v>R1=62_01</v>
      </c>
      <c r="B66" s="1814" t="s">
        <v>2838</v>
      </c>
      <c r="C66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</v>
      </c>
      <c r="D66" s="2000" t="s">
        <v>5435</v>
      </c>
    </row>
    <row r="67" spans="1:4">
      <c r="A67" s="9" t="str">
        <f t="shared" si="3"/>
        <v>R1=62_02</v>
      </c>
      <c r="B67" s="1814" t="s">
        <v>2839</v>
      </c>
      <c r="C67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</v>
      </c>
      <c r="D67" s="2000" t="s">
        <v>5435</v>
      </c>
    </row>
    <row r="68" spans="1:4">
      <c r="A68" s="9" t="str">
        <f t="shared" si="3"/>
        <v>R1=ОКХ</v>
      </c>
      <c r="B68" s="1814" t="s">
        <v>5268</v>
      </c>
      <c r="C68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</v>
      </c>
      <c r="D68" s="2000" t="s">
        <v>5435</v>
      </c>
    </row>
    <row r="69" spans="1:4">
      <c r="A69" s="9" t="str">
        <f t="shared" si="3"/>
        <v>R1=60,62,63,76_контр</v>
      </c>
      <c r="B69" s="1814" t="s">
        <v>8379</v>
      </c>
      <c r="C69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</v>
      </c>
      <c r="D69" s="2000" t="s">
        <v>5435</v>
      </c>
    </row>
    <row r="70" spans="1:4">
      <c r="A70" s="9" t="str">
        <f t="shared" si="3"/>
        <v>R1=66</v>
      </c>
      <c r="B70" s="1814">
        <v>66</v>
      </c>
      <c r="C70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</v>
      </c>
      <c r="D70" s="2000" t="s">
        <v>5435</v>
      </c>
    </row>
    <row r="71" spans="1:4">
      <c r="A71" s="9" t="str">
        <f t="shared" si="3"/>
        <v>R1=67</v>
      </c>
      <c r="B71" s="1814">
        <v>67</v>
      </c>
      <c r="C71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</v>
      </c>
      <c r="D71" s="2000" t="s">
        <v>5435</v>
      </c>
    </row>
    <row r="72" spans="1:4">
      <c r="A72" s="9" t="str">
        <f t="shared" si="3"/>
        <v>R1=68</v>
      </c>
      <c r="B72" s="1814">
        <v>68</v>
      </c>
      <c r="C72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</v>
      </c>
      <c r="D72" s="2000" t="s">
        <v>5435</v>
      </c>
    </row>
    <row r="73" spans="1:4">
      <c r="A73" s="9" t="str">
        <f t="shared" si="3"/>
        <v>R1=68_расш</v>
      </c>
      <c r="B73" s="1814" t="s">
        <v>420</v>
      </c>
      <c r="C73" s="1813" t="str">
        <f t="shared" si="1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</v>
      </c>
      <c r="D73" s="2030" t="s">
        <v>1149</v>
      </c>
    </row>
    <row r="74" spans="1:4">
      <c r="A74" s="9" t="str">
        <f t="shared" si="3"/>
        <v>R1=КГН</v>
      </c>
      <c r="B74" s="1814" t="s">
        <v>413</v>
      </c>
      <c r="C74" s="1813" t="str">
        <f t="shared" ref="C74:C113" si="4">IF(D74="да",C73&amp;";"&amp;B74,C73)</f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</v>
      </c>
      <c r="D74" s="2030" t="s">
        <v>1149</v>
      </c>
    </row>
    <row r="75" spans="1:4">
      <c r="A75" s="9" t="str">
        <f t="shared" si="3"/>
        <v>R1=Налог_на_прибыль</v>
      </c>
      <c r="B75" s="1814" t="s">
        <v>223</v>
      </c>
      <c r="C75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</v>
      </c>
      <c r="D75" s="2000" t="s">
        <v>5435</v>
      </c>
    </row>
    <row r="76" spans="1:4">
      <c r="A76" s="9" t="str">
        <f t="shared" si="3"/>
        <v>R1=Налог_пров</v>
      </c>
      <c r="B76" s="1814" t="s">
        <v>5038</v>
      </c>
      <c r="C76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</v>
      </c>
      <c r="D76" s="2000" t="s">
        <v>5435</v>
      </c>
    </row>
    <row r="77" spans="1:4">
      <c r="A77" s="9" t="str">
        <f t="shared" si="3"/>
        <v>R1=Налоговые_льготы_имущество</v>
      </c>
      <c r="B77" s="1814" t="s">
        <v>5036</v>
      </c>
      <c r="C77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</v>
      </c>
      <c r="D77" s="2000" t="s">
        <v>5435</v>
      </c>
    </row>
    <row r="78" spans="1:4">
      <c r="A78" s="9" t="str">
        <f t="shared" si="3"/>
        <v>R1=Налоговые_льготы_прочие</v>
      </c>
      <c r="B78" s="1814" t="s">
        <v>5034</v>
      </c>
      <c r="C78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</v>
      </c>
      <c r="D78" s="2000" t="s">
        <v>5435</v>
      </c>
    </row>
    <row r="79" spans="1:4">
      <c r="A79" s="9" t="str">
        <f t="shared" si="3"/>
        <v>R1=69</v>
      </c>
      <c r="B79" s="1814">
        <v>69</v>
      </c>
      <c r="C79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</v>
      </c>
      <c r="D79" s="2000" t="s">
        <v>5435</v>
      </c>
    </row>
    <row r="80" spans="1:4">
      <c r="A80" s="9" t="str">
        <f t="shared" si="3"/>
        <v>R1=70</v>
      </c>
      <c r="B80" s="1814">
        <v>70</v>
      </c>
      <c r="C80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</v>
      </c>
      <c r="D80" s="2000" t="s">
        <v>5435</v>
      </c>
    </row>
    <row r="81" spans="1:4">
      <c r="A81" s="9" t="str">
        <f t="shared" si="3"/>
        <v>R1=71</v>
      </c>
      <c r="B81" s="1814">
        <v>71</v>
      </c>
      <c r="C81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</v>
      </c>
      <c r="D81" s="2000" t="s">
        <v>5435</v>
      </c>
    </row>
    <row r="82" spans="1:4">
      <c r="A82" s="9" t="str">
        <f t="shared" si="3"/>
        <v>R1=73</v>
      </c>
      <c r="B82" s="1814">
        <v>73</v>
      </c>
      <c r="C82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</v>
      </c>
      <c r="D82" s="2000" t="s">
        <v>5435</v>
      </c>
    </row>
    <row r="83" spans="1:4">
      <c r="A83" s="9" t="str">
        <f t="shared" si="3"/>
        <v>R1=75_01_Неденеж</v>
      </c>
      <c r="B83" s="1814" t="s">
        <v>1799</v>
      </c>
      <c r="C83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</v>
      </c>
      <c r="D83" s="2000" t="s">
        <v>5435</v>
      </c>
    </row>
    <row r="84" spans="1:4">
      <c r="A84" s="9" t="str">
        <f t="shared" si="3"/>
        <v>R1=75_01</v>
      </c>
      <c r="B84" s="1814" t="s">
        <v>224</v>
      </c>
      <c r="C84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</v>
      </c>
      <c r="D84" s="2000" t="s">
        <v>5435</v>
      </c>
    </row>
    <row r="85" spans="1:4">
      <c r="A85" s="9" t="str">
        <f t="shared" si="3"/>
        <v>R1=75_02</v>
      </c>
      <c r="B85" s="1814" t="s">
        <v>2840</v>
      </c>
      <c r="C85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</v>
      </c>
      <c r="D85" s="2000" t="s">
        <v>5435</v>
      </c>
    </row>
    <row r="86" spans="1:4">
      <c r="A86" s="9" t="str">
        <f t="shared" si="3"/>
        <v>R1=76</v>
      </c>
      <c r="B86" s="1814">
        <v>76</v>
      </c>
      <c r="C86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</v>
      </c>
      <c r="D86" s="2000" t="s">
        <v>5435</v>
      </c>
    </row>
    <row r="87" spans="1:4">
      <c r="A87" s="9" t="str">
        <f t="shared" si="3"/>
        <v>R1=76_01_%</v>
      </c>
      <c r="B87" s="1814" t="s">
        <v>2841</v>
      </c>
      <c r="C87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</v>
      </c>
      <c r="D87" s="2000" t="s">
        <v>5435</v>
      </c>
    </row>
    <row r="88" spans="1:4">
      <c r="A88" s="9" t="str">
        <f t="shared" si="3"/>
        <v>R1=77</v>
      </c>
      <c r="B88" s="1814">
        <v>77</v>
      </c>
      <c r="C88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</v>
      </c>
      <c r="D88" s="2000" t="s">
        <v>5435</v>
      </c>
    </row>
    <row r="89" spans="1:4">
      <c r="A89" s="9" t="str">
        <f t="shared" si="3"/>
        <v>R1=78</v>
      </c>
      <c r="B89" s="1814">
        <v>78</v>
      </c>
      <c r="C89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</v>
      </c>
      <c r="D89" s="2000" t="s">
        <v>5435</v>
      </c>
    </row>
    <row r="90" spans="1:4">
      <c r="A90" s="9" t="str">
        <f t="shared" si="3"/>
        <v>R1=80</v>
      </c>
      <c r="B90" s="1814">
        <v>80</v>
      </c>
      <c r="C90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</v>
      </c>
      <c r="D90" s="2000" t="s">
        <v>5435</v>
      </c>
    </row>
    <row r="91" spans="1:4">
      <c r="A91" s="9" t="str">
        <f t="shared" si="3"/>
        <v>R1=83</v>
      </c>
      <c r="B91" s="1814">
        <v>83</v>
      </c>
      <c r="C91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</v>
      </c>
      <c r="D91" s="2000" t="s">
        <v>5435</v>
      </c>
    </row>
    <row r="92" spans="1:4">
      <c r="A92" s="9" t="str">
        <f t="shared" si="3"/>
        <v>R1=83_расш</v>
      </c>
      <c r="B92" s="1814" t="s">
        <v>2842</v>
      </c>
      <c r="C92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</v>
      </c>
      <c r="D92" s="2000" t="s">
        <v>5435</v>
      </c>
    </row>
    <row r="93" spans="1:4">
      <c r="A93" s="9" t="str">
        <f t="shared" si="3"/>
        <v>R1=84</v>
      </c>
      <c r="B93" s="1814">
        <v>84</v>
      </c>
      <c r="C93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</v>
      </c>
      <c r="D93" s="2000" t="s">
        <v>5435</v>
      </c>
    </row>
    <row r="94" spans="1:4">
      <c r="A94" s="9" t="str">
        <f t="shared" si="3"/>
        <v>R1=84_расш</v>
      </c>
      <c r="B94" s="1814" t="s">
        <v>2843</v>
      </c>
      <c r="C94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</v>
      </c>
      <c r="D94" s="2000" t="s">
        <v>5435</v>
      </c>
    </row>
    <row r="95" spans="1:4">
      <c r="A95" s="9" t="str">
        <f t="shared" si="3"/>
        <v>R1=86</v>
      </c>
      <c r="B95" s="1814">
        <v>86</v>
      </c>
      <c r="C95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</v>
      </c>
      <c r="D95" s="2000" t="s">
        <v>5435</v>
      </c>
    </row>
    <row r="96" spans="1:4">
      <c r="A96" s="9" t="str">
        <f t="shared" si="3"/>
        <v>R1=90</v>
      </c>
      <c r="B96" s="1814">
        <v>90</v>
      </c>
      <c r="C96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</v>
      </c>
      <c r="D96" s="2000" t="s">
        <v>5435</v>
      </c>
    </row>
    <row r="97" spans="1:4">
      <c r="A97" s="9" t="str">
        <f t="shared" si="3"/>
        <v>R1=90_ОРВГ</v>
      </c>
      <c r="B97" s="1814" t="s">
        <v>951</v>
      </c>
      <c r="C97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</v>
      </c>
      <c r="D97" s="2000" t="s">
        <v>5435</v>
      </c>
    </row>
    <row r="98" spans="1:4">
      <c r="A98" s="9" t="str">
        <f t="shared" si="3"/>
        <v>R1=91_01</v>
      </c>
      <c r="B98" s="1814" t="s">
        <v>3525</v>
      </c>
      <c r="C98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</v>
      </c>
      <c r="D98" s="2000" t="s">
        <v>5435</v>
      </c>
    </row>
    <row r="99" spans="1:4">
      <c r="A99" s="9" t="str">
        <f t="shared" si="3"/>
        <v>R1=91_01_ВГО</v>
      </c>
      <c r="B99" s="1814" t="s">
        <v>5436</v>
      </c>
      <c r="C99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</v>
      </c>
      <c r="D99" s="2000" t="s">
        <v>5435</v>
      </c>
    </row>
    <row r="100" spans="1:4">
      <c r="A100" s="9" t="str">
        <f t="shared" si="3"/>
        <v>R1=91_02</v>
      </c>
      <c r="B100" s="1814" t="s">
        <v>3526</v>
      </c>
      <c r="C100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</v>
      </c>
      <c r="D100" s="2000" t="s">
        <v>5435</v>
      </c>
    </row>
    <row r="101" spans="1:4">
      <c r="A101" s="9" t="str">
        <f t="shared" si="3"/>
        <v>R1=91_02_ВГО</v>
      </c>
      <c r="B101" s="1814" t="s">
        <v>5437</v>
      </c>
      <c r="C101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</v>
      </c>
      <c r="D101" s="2000" t="s">
        <v>5435</v>
      </c>
    </row>
    <row r="102" spans="1:4">
      <c r="A102" s="9" t="str">
        <f>"R1="&amp;B102</f>
        <v>R1=Прочие_расш</v>
      </c>
      <c r="B102" s="1814" t="s">
        <v>5919</v>
      </c>
      <c r="C102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</v>
      </c>
      <c r="D102" s="2000" t="s">
        <v>5435</v>
      </c>
    </row>
    <row r="103" spans="1:4">
      <c r="A103" s="9" t="str">
        <f t="shared" si="3"/>
        <v>R1=ОСС</v>
      </c>
      <c r="B103" s="1814" t="s">
        <v>5269</v>
      </c>
      <c r="C103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</v>
      </c>
      <c r="D103" s="2000" t="s">
        <v>5435</v>
      </c>
    </row>
    <row r="104" spans="1:4">
      <c r="A104" s="9" t="str">
        <f t="shared" si="3"/>
        <v>R1=96</v>
      </c>
      <c r="B104" s="1814">
        <v>96</v>
      </c>
      <c r="C104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</v>
      </c>
      <c r="D104" s="2000" t="s">
        <v>5435</v>
      </c>
    </row>
    <row r="105" spans="1:4">
      <c r="A105" s="9" t="str">
        <f t="shared" si="3"/>
        <v>R1=96_движ</v>
      </c>
      <c r="B105" s="1814" t="s">
        <v>5264</v>
      </c>
      <c r="C105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</v>
      </c>
      <c r="D105" s="2000" t="s">
        <v>5435</v>
      </c>
    </row>
    <row r="106" spans="1:4">
      <c r="A106" s="9" t="str">
        <f t="shared" si="3"/>
        <v>R1=97</v>
      </c>
      <c r="B106" s="1814">
        <v>97</v>
      </c>
      <c r="C106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</v>
      </c>
      <c r="D106" s="2000" t="s">
        <v>5435</v>
      </c>
    </row>
    <row r="107" spans="1:4">
      <c r="A107" s="9" t="str">
        <f t="shared" ref="A107:A112" si="5">"R1="&amp;B107</f>
        <v>R1=98_01</v>
      </c>
      <c r="B107" s="1814" t="s">
        <v>2845</v>
      </c>
      <c r="C107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</v>
      </c>
      <c r="D107" s="2000" t="s">
        <v>5435</v>
      </c>
    </row>
    <row r="108" spans="1:4">
      <c r="A108" s="9" t="str">
        <f t="shared" si="5"/>
        <v>R1=98_02</v>
      </c>
      <c r="B108" s="1814" t="s">
        <v>2846</v>
      </c>
      <c r="C108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</v>
      </c>
      <c r="D108" s="2000" t="s">
        <v>5435</v>
      </c>
    </row>
    <row r="109" spans="1:4">
      <c r="A109" s="9" t="str">
        <f t="shared" si="5"/>
        <v>R1=98_03</v>
      </c>
      <c r="B109" s="1814" t="s">
        <v>2847</v>
      </c>
      <c r="C109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</v>
      </c>
      <c r="D109" s="2000" t="s">
        <v>5435</v>
      </c>
    </row>
    <row r="110" spans="1:4">
      <c r="A110" s="9" t="str">
        <f t="shared" si="5"/>
        <v>R1=98_04</v>
      </c>
      <c r="B110" s="1814" t="s">
        <v>2848</v>
      </c>
      <c r="C110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</v>
      </c>
      <c r="D110" s="2000" t="s">
        <v>5435</v>
      </c>
    </row>
    <row r="111" spans="1:4">
      <c r="A111" s="9" t="str">
        <f t="shared" si="5"/>
        <v>R1=99</v>
      </c>
      <c r="B111" s="1814">
        <v>99</v>
      </c>
      <c r="C111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;99</v>
      </c>
      <c r="D111" s="2000" t="s">
        <v>5435</v>
      </c>
    </row>
    <row r="112" spans="1:4">
      <c r="A112" s="9" t="str">
        <f t="shared" si="5"/>
        <v>R1=ДДС</v>
      </c>
      <c r="B112" s="1814" t="s">
        <v>2092</v>
      </c>
      <c r="C112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;99;ДДС</v>
      </c>
      <c r="D112" s="2000" t="s">
        <v>5435</v>
      </c>
    </row>
    <row r="113" spans="1:4">
      <c r="A113" s="9" t="str">
        <f>"R1="&amp;B114</f>
        <v>R1=90_контр</v>
      </c>
      <c r="B113" s="3382" t="s">
        <v>10300</v>
      </c>
      <c r="C113" s="1813" t="str">
        <f t="shared" si="4"/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;99;ДДС;Зарубежная_выручка</v>
      </c>
      <c r="D113" s="2000" t="s">
        <v>5435</v>
      </c>
    </row>
    <row r="114" spans="1:4" ht="13" thickBot="1">
      <c r="B114" s="1808" t="s">
        <v>5266</v>
      </c>
      <c r="C114" s="1813" t="str">
        <f>IF(D114="да",C113&amp;";"&amp;B114,C113)</f>
        <v>ОСВ_система;ОСВ_авт;Свод_по_счетам;Баланс;ОФР;01;02;03;04;05;07;07_расш;08;08_расш;08_НИОКР;09;10;10_расш;14;15;16;19;19_расш;Затраты_Вход_1;Затраты_Вход_2;Затраты_Выход;21;40;41_01;41_02;43;45;НЗП_ГП;Долгосроч_договоры;46;Дл-ср_договор;Гарантии_2;50;51;52;55;57;50_51_52_55_57_движ;Фин_договоры;58_01_1;58_01_2;58_02;58_02_движ;58_03_1;58_03_2;58_04;59_01;59_02;59_03;ДП_полученные;ДП_выданные;60_01;60_02;62_01;62_02;ОКХ;60,62,63,76_контр;66;67;68;Налог_на_прибыль;Налог_пров;Налоговые_льготы_имущество;Налоговые_льготы_прочие;69;70;71;73;75_01_Неденеж;75_01;75_02;76;76_01_%;77;78;80;83;83_расш;84;84_расш;86;90;90_ОРВГ;91_01;91_01_ВГО;91_02;91_02_ВГО;Прочие_расш;ОСС;96;96_движ;97;98_01;98_02;98_03;98_04;99;ДДС;Зарубежная_выручка;90_контр</v>
      </c>
      <c r="D114" s="2000" t="s">
        <v>5435</v>
      </c>
    </row>
  </sheetData>
  <sheetProtection algorithmName="SHA-512" hashValue="RsFc4oQHhfPAeqb/GjBCJb8iWkNYq/NAGO2ypAFzwB3oWmwXHBRb3UvWatlGDAaaxqyIIC6eAQQrpGzeeApL8w==" saltValue="NKXu4kZVJp4F1RDXzPth6Q==" spinCount="100000" sheet="1" objects="1" scenarios="1" formatColumns="0" formatRows="0" autoFilter="0"/>
  <autoFilter ref="A6:E6"/>
  <customSheetViews>
    <customSheetView guid="{3769259D-9653-4B34-A2F6-4FB6F9F4E533}" showGridLines="0" hiddenColumns="1" state="hidden">
      <selection activeCell="C3" sqref="C3"/>
      <pageMargins left="0.7" right="0.7" top="0.75" bottom="0.75" header="0.3" footer="0.3"/>
      <pageSetup paperSize="9" orientation="portrait" r:id="rId1"/>
    </customSheetView>
    <customSheetView guid="{40D7A2BB-326C-4ED3-999C-17852F56D6F4}" showGridLines="0" hiddenColumns="1">
      <selection activeCell="B43" sqref="B43"/>
      <pageMargins left="0.7" right="0.7" top="0.75" bottom="0.75" header="0.3" footer="0.3"/>
      <pageSetup paperSize="9" orientation="portrait" r:id="rId2"/>
    </customSheetView>
    <customSheetView guid="{5D121940-0CE8-4A0E-A493-67FAAA6E0FF8}" showGridLines="0" hiddenColumns="1" topLeftCell="A88">
      <selection activeCell="E11" sqref="E11"/>
      <pageMargins left="0.7" right="0.7" top="0.75" bottom="0.75" header="0.3" footer="0.3"/>
      <pageSetup paperSize="9" orientation="portrait" r:id="rId3"/>
    </customSheetView>
    <customSheetView guid="{47AEACC4-6EA5-412C-AF39-A6C5357B313A}" showGridLines="0" hiddenColumns="1" topLeftCell="A103">
      <selection activeCell="B17" sqref="B17"/>
      <pageMargins left="0.7" right="0.7" top="0.75" bottom="0.75" header="0.3" footer="0.3"/>
      <pageSetup paperSize="9" orientation="portrait" r:id="rId4"/>
    </customSheetView>
    <customSheetView guid="{4D957B38-5430-481E-B791-E0A66F913B50}" scale="85" hiddenColumns="1" topLeftCell="A121">
      <selection activeCell="D165" sqref="D165"/>
      <pageMargins left="0.7" right="0.7" top="0.75" bottom="0.75" header="0.3" footer="0.3"/>
      <pageSetup paperSize="9" orientation="portrait" r:id="rId5"/>
    </customSheetView>
    <customSheetView guid="{D03DFE91-19D2-43BA-897C-B86D033537EB}" scale="85">
      <selection activeCell="E16" sqref="E16"/>
      <pageMargins left="0.7" right="0.7" top="0.75" bottom="0.75" header="0.3" footer="0.3"/>
      <pageSetup paperSize="9" orientation="portrait" r:id="rId6"/>
    </customSheetView>
    <customSheetView guid="{1C36793E-2B7E-411E-AA99-985D5D59B75A}" scale="85" hiddenColumns="1">
      <selection activeCell="B23" sqref="B23"/>
      <pageMargins left="0.7" right="0.7" top="0.75" bottom="0.75" header="0.3" footer="0.3"/>
      <pageSetup paperSize="9" orientation="portrait" r:id="rId7"/>
    </customSheetView>
    <customSheetView guid="{C913A9E8-661B-40A4-A3C9-1BC5F2B2E9F0}" showGridLines="0" hiddenColumns="1" topLeftCell="A115">
      <selection activeCell="E11" sqref="E11"/>
      <pageMargins left="0.7" right="0.7" top="0.75" bottom="0.75" header="0.3" footer="0.3"/>
      <pageSetup paperSize="9" orientation="portrait" r:id="rId8"/>
    </customSheetView>
  </customSheetViews>
  <phoneticPr fontId="0" type="noConversion"/>
  <dataValidations count="2">
    <dataValidation type="list" allowBlank="1" showInputMessage="1" showErrorMessage="1" sqref="D3">
      <formula1>_Company</formula1>
    </dataValidation>
    <dataValidation type="list" allowBlank="1" showInputMessage="1" showErrorMessage="1" sqref="D34:D72 D75:D116 D7:D32">
      <formula1>"да,нет"</formula1>
    </dataValidation>
  </dataValidations>
  <pageMargins left="0.70866141732283472" right="0.70866141732283472" top="0.74803149606299213" bottom="0.74803149606299213" header="0.31496062992125984" footer="0.31496062992125984"/>
  <pageSetup paperSize="9" scale="51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2:Y525"/>
  <sheetViews>
    <sheetView tabSelected="1" zoomScale="45" zoomScaleNormal="45" workbookViewId="0">
      <pane xSplit="3" ySplit="3" topLeftCell="P4" activePane="bottomRight" state="frozen"/>
      <selection activeCell="F17" sqref="F17"/>
      <selection pane="topRight" activeCell="F17" sqref="F17"/>
      <selection pane="bottomLeft" activeCell="F17" sqref="F17"/>
      <selection pane="bottomRight" activeCell="R13" sqref="R13"/>
    </sheetView>
  </sheetViews>
  <sheetFormatPr defaultColWidth="11.54296875" defaultRowHeight="14.5" outlineLevelCol="1"/>
  <cols>
    <col min="1" max="1" width="38.54296875" style="3145" customWidth="1"/>
    <col min="2" max="2" width="33.453125" style="3145" customWidth="1"/>
    <col min="3" max="3" width="21.453125" style="3145" customWidth="1"/>
    <col min="4" max="4" width="21.54296875" style="3145" customWidth="1"/>
    <col min="5" max="5" width="39" style="3145" customWidth="1"/>
    <col min="6" max="6" width="29.453125" style="3145" customWidth="1" outlineLevel="1"/>
    <col min="7" max="7" width="26.81640625" style="3145" customWidth="1" outlineLevel="1"/>
    <col min="8" max="8" width="15.54296875" style="3145" customWidth="1" outlineLevel="1"/>
    <col min="9" max="9" width="19" style="3145" customWidth="1" outlineLevel="1"/>
    <col min="10" max="10" width="16.54296875" style="3145" customWidth="1" outlineLevel="1"/>
    <col min="11" max="11" width="33.54296875" style="2447" customWidth="1" outlineLevel="1"/>
    <col min="12" max="12" width="36.453125" style="395" customWidth="1" outlineLevel="1"/>
    <col min="13" max="13" width="25.1796875" style="395" customWidth="1"/>
    <col min="14" max="15" width="26.81640625" style="395" customWidth="1"/>
    <col min="16" max="16" width="28.1796875" style="395" customWidth="1"/>
    <col min="17" max="17" width="43.54296875" style="395" bestFit="1" customWidth="1"/>
    <col min="18" max="18" width="85.453125" style="395" customWidth="1"/>
    <col min="19" max="19" width="21.81640625" style="395" bestFit="1" customWidth="1"/>
    <col min="20" max="20" width="11.54296875" style="395"/>
    <col min="21" max="21" width="24" style="395" bestFit="1" customWidth="1"/>
    <col min="22" max="16384" width="11.54296875" style="395"/>
  </cols>
  <sheetData>
    <row r="2" spans="1:19" s="527" customFormat="1" ht="116">
      <c r="A2" s="2077" t="s">
        <v>4760</v>
      </c>
      <c r="B2" s="2077" t="s">
        <v>5531</v>
      </c>
      <c r="C2" s="2077" t="s">
        <v>6314</v>
      </c>
      <c r="D2" s="2077" t="s">
        <v>4761</v>
      </c>
      <c r="E2" s="2077" t="s">
        <v>4762</v>
      </c>
      <c r="F2" s="2077" t="s">
        <v>14293</v>
      </c>
      <c r="G2" s="2077" t="s">
        <v>5820</v>
      </c>
      <c r="H2" s="2077" t="s">
        <v>4763</v>
      </c>
      <c r="I2" s="2077" t="s">
        <v>4764</v>
      </c>
      <c r="J2" s="2077" t="s">
        <v>411</v>
      </c>
      <c r="K2" s="2077" t="s">
        <v>6760</v>
      </c>
      <c r="L2" s="2077" t="s">
        <v>9962</v>
      </c>
      <c r="M2" s="2077" t="s">
        <v>10239</v>
      </c>
      <c r="N2" s="2077" t="s">
        <v>10240</v>
      </c>
      <c r="O2" s="2077" t="s">
        <v>14347</v>
      </c>
      <c r="P2" s="2077" t="s">
        <v>14346</v>
      </c>
      <c r="Q2" s="2077" t="s">
        <v>14294</v>
      </c>
      <c r="R2" s="527" t="s">
        <v>10295</v>
      </c>
    </row>
    <row r="3" spans="1:19">
      <c r="A3" s="2842" t="s">
        <v>289</v>
      </c>
      <c r="B3" s="2843" t="s">
        <v>289</v>
      </c>
      <c r="C3" s="2843">
        <v>10011</v>
      </c>
      <c r="D3" s="2844"/>
      <c r="E3" s="2842"/>
      <c r="F3" s="2347"/>
      <c r="G3" s="2347"/>
      <c r="H3" s="2347"/>
      <c r="I3" s="2347"/>
      <c r="J3" s="2475"/>
      <c r="K3" s="3212"/>
      <c r="L3" s="3212"/>
      <c r="M3" s="3212"/>
      <c r="N3" s="3212"/>
      <c r="O3" s="2347"/>
      <c r="P3" s="2347"/>
      <c r="Q3" s="2347"/>
    </row>
    <row r="4" spans="1:19">
      <c r="A4" s="2842" t="s">
        <v>6867</v>
      </c>
      <c r="B4" s="2843" t="s">
        <v>6867</v>
      </c>
      <c r="C4" s="2843">
        <v>10000</v>
      </c>
      <c r="D4" s="2844"/>
      <c r="E4" s="2842"/>
      <c r="F4" s="2347" t="s">
        <v>5408</v>
      </c>
      <c r="G4" s="2347"/>
      <c r="H4" s="2347" t="s">
        <v>5408</v>
      </c>
      <c r="I4" s="2347" t="s">
        <v>5408</v>
      </c>
      <c r="J4" s="2475"/>
      <c r="K4" s="3212"/>
      <c r="L4" s="3212"/>
      <c r="M4" s="3212"/>
      <c r="N4" s="3212"/>
      <c r="O4" s="2347"/>
      <c r="P4" s="2347"/>
      <c r="Q4" s="2347"/>
      <c r="S4" s="3657"/>
    </row>
    <row r="5" spans="1:19">
      <c r="A5" s="2842" t="s">
        <v>6905</v>
      </c>
      <c r="B5" s="2843" t="s">
        <v>6905</v>
      </c>
      <c r="C5" s="2843">
        <v>10018</v>
      </c>
      <c r="D5" s="2844"/>
      <c r="E5" s="2842"/>
      <c r="F5" s="2347" t="s">
        <v>5408</v>
      </c>
      <c r="G5" s="2347"/>
      <c r="H5" s="2347" t="s">
        <v>5408</v>
      </c>
      <c r="I5" s="2347" t="s">
        <v>5408</v>
      </c>
      <c r="J5" s="2475"/>
      <c r="K5" s="3212"/>
      <c r="L5" s="3212"/>
      <c r="M5" s="3212"/>
      <c r="N5" s="3212"/>
      <c r="O5" s="2347"/>
      <c r="P5" s="2347"/>
      <c r="Q5" s="2347"/>
      <c r="S5" s="3657"/>
    </row>
    <row r="6" spans="1:19">
      <c r="A6" s="2842" t="s">
        <v>9887</v>
      </c>
      <c r="B6" s="2843" t="s">
        <v>9888</v>
      </c>
      <c r="C6" s="2843">
        <v>10016</v>
      </c>
      <c r="D6" s="2844"/>
      <c r="E6" s="2842"/>
      <c r="F6" s="2347" t="s">
        <v>5408</v>
      </c>
      <c r="G6" s="2347"/>
      <c r="H6" s="2347" t="s">
        <v>5408</v>
      </c>
      <c r="I6" s="2347" t="s">
        <v>5408</v>
      </c>
      <c r="J6" s="2475"/>
      <c r="K6" s="3212"/>
      <c r="L6" s="3212"/>
      <c r="M6" s="3212"/>
      <c r="N6" s="3212"/>
      <c r="O6" s="2347"/>
      <c r="P6" s="2347"/>
      <c r="Q6" s="2347"/>
      <c r="S6" s="3657"/>
    </row>
    <row r="7" spans="1:19">
      <c r="A7" s="2842" t="s">
        <v>4765</v>
      </c>
      <c r="B7" s="2843" t="s">
        <v>4765</v>
      </c>
      <c r="C7" s="2843">
        <v>10015</v>
      </c>
      <c r="D7" s="2844"/>
      <c r="E7" s="2842"/>
      <c r="F7" s="2347" t="s">
        <v>5408</v>
      </c>
      <c r="G7" s="2347"/>
      <c r="H7" s="2347" t="s">
        <v>5408</v>
      </c>
      <c r="I7" s="2347" t="s">
        <v>5408</v>
      </c>
      <c r="J7" s="2475"/>
      <c r="K7" s="3212"/>
      <c r="L7" s="3212"/>
      <c r="M7" s="3212"/>
      <c r="N7" s="3212"/>
      <c r="O7" s="2347"/>
      <c r="P7" s="2347"/>
      <c r="Q7" s="2347"/>
      <c r="S7" s="3657"/>
    </row>
    <row r="8" spans="1:19" ht="16.5" customHeight="1">
      <c r="A8" s="2842" t="s">
        <v>4759</v>
      </c>
      <c r="B8" s="2843" t="s">
        <v>4766</v>
      </c>
      <c r="C8" s="2843">
        <v>104</v>
      </c>
      <c r="D8" s="2844">
        <v>2010230922</v>
      </c>
      <c r="E8" s="2842" t="s">
        <v>5363</v>
      </c>
      <c r="F8" s="2347" t="s">
        <v>5409</v>
      </c>
      <c r="G8" s="2347" t="s">
        <v>5409</v>
      </c>
      <c r="H8" s="2347" t="s">
        <v>5409</v>
      </c>
      <c r="I8" s="2347" t="s">
        <v>5409</v>
      </c>
      <c r="J8" s="2347"/>
      <c r="K8" s="3212"/>
      <c r="L8" s="3212"/>
      <c r="M8" s="3212" t="s">
        <v>1149</v>
      </c>
      <c r="N8" s="3212"/>
      <c r="O8" s="2347" t="s">
        <v>14291</v>
      </c>
      <c r="P8" s="2347" t="s">
        <v>14291</v>
      </c>
      <c r="Q8" s="2347" t="s">
        <v>15467</v>
      </c>
      <c r="R8" s="395" t="s">
        <v>6930</v>
      </c>
      <c r="S8" s="3657"/>
    </row>
    <row r="9" spans="1:19" ht="16.5" customHeight="1">
      <c r="A9" s="2842" t="s">
        <v>15138</v>
      </c>
      <c r="B9" s="2843" t="s">
        <v>15137</v>
      </c>
      <c r="C9" s="2843"/>
      <c r="D9" s="2844">
        <v>2011311000</v>
      </c>
      <c r="E9" s="2842" t="s">
        <v>15136</v>
      </c>
      <c r="F9" s="2405" t="s">
        <v>5409</v>
      </c>
      <c r="G9" s="2405" t="s">
        <v>5409</v>
      </c>
      <c r="H9" s="2405" t="s">
        <v>5409</v>
      </c>
      <c r="I9" s="2405" t="s">
        <v>5409</v>
      </c>
      <c r="J9" s="2347"/>
      <c r="K9" s="2638"/>
      <c r="L9" s="3212"/>
      <c r="M9" s="2347" t="s">
        <v>1149</v>
      </c>
      <c r="N9" s="3212"/>
      <c r="O9" s="3602" t="s">
        <v>14291</v>
      </c>
      <c r="P9" s="2347" t="s">
        <v>14292</v>
      </c>
      <c r="Q9" s="2347" t="s">
        <v>15468</v>
      </c>
      <c r="R9" s="395" t="s">
        <v>14831</v>
      </c>
      <c r="S9" s="3657"/>
    </row>
    <row r="10" spans="1:19">
      <c r="A10" s="3316" t="s">
        <v>15236</v>
      </c>
      <c r="B10" s="3504" t="s">
        <v>15237</v>
      </c>
      <c r="C10" s="3504">
        <v>582995</v>
      </c>
      <c r="D10" s="3505">
        <v>2010230213</v>
      </c>
      <c r="E10" s="3506" t="s">
        <v>15238</v>
      </c>
      <c r="F10" s="2405" t="s">
        <v>5409</v>
      </c>
      <c r="G10" s="2405"/>
      <c r="H10" s="2405" t="s">
        <v>5409</v>
      </c>
      <c r="I10" s="2405" t="s">
        <v>5409</v>
      </c>
      <c r="J10" s="2347"/>
      <c r="K10" s="3212"/>
      <c r="L10" s="2347"/>
      <c r="M10" s="2347"/>
      <c r="N10" s="2347"/>
      <c r="O10" s="2347" t="s">
        <v>14291</v>
      </c>
      <c r="P10" s="2347" t="s">
        <v>14292</v>
      </c>
      <c r="Q10" s="2347" t="s">
        <v>15239</v>
      </c>
      <c r="R10" s="395" t="s">
        <v>6967</v>
      </c>
      <c r="S10" s="3657"/>
    </row>
    <row r="11" spans="1:19" ht="29">
      <c r="A11" s="3641" t="s">
        <v>15493</v>
      </c>
      <c r="B11" s="3504" t="s">
        <v>15494</v>
      </c>
      <c r="C11" s="3504">
        <v>219340</v>
      </c>
      <c r="D11" s="3505">
        <v>2010230948</v>
      </c>
      <c r="E11" s="3506" t="s">
        <v>15495</v>
      </c>
      <c r="F11" s="2405"/>
      <c r="G11" s="2405"/>
      <c r="H11" s="2405"/>
      <c r="I11" s="2405"/>
      <c r="J11" s="2347"/>
      <c r="K11" s="3212"/>
      <c r="L11" s="2405" t="s">
        <v>5409</v>
      </c>
      <c r="M11" s="2347"/>
      <c r="N11" s="2347"/>
      <c r="O11" s="2347"/>
      <c r="P11" s="2347"/>
      <c r="Q11" s="2347" t="s">
        <v>15467</v>
      </c>
      <c r="R11" s="395" t="s">
        <v>6929</v>
      </c>
      <c r="S11" s="3657"/>
    </row>
    <row r="12" spans="1:19" ht="43.5">
      <c r="A12" s="2842" t="s">
        <v>5825</v>
      </c>
      <c r="B12" s="2843" t="s">
        <v>6192</v>
      </c>
      <c r="C12" s="2843">
        <v>141186</v>
      </c>
      <c r="D12" s="2844">
        <v>2010820100</v>
      </c>
      <c r="E12" s="2842" t="s">
        <v>5826</v>
      </c>
      <c r="F12" s="2347" t="s">
        <v>5409</v>
      </c>
      <c r="G12" s="2405" t="s">
        <v>5409</v>
      </c>
      <c r="H12" s="2405" t="s">
        <v>5409</v>
      </c>
      <c r="I12" s="2405" t="s">
        <v>5409</v>
      </c>
      <c r="J12" s="2347"/>
      <c r="K12" s="3212"/>
      <c r="L12" s="3212"/>
      <c r="M12" s="3212" t="s">
        <v>1149</v>
      </c>
      <c r="N12" s="3212"/>
      <c r="O12" s="2347" t="s">
        <v>14291</v>
      </c>
      <c r="P12" s="2347" t="s">
        <v>14291</v>
      </c>
      <c r="Q12" s="2347" t="s">
        <v>15467</v>
      </c>
      <c r="R12" s="395" t="s">
        <v>6928</v>
      </c>
      <c r="S12" s="3657"/>
    </row>
    <row r="13" spans="1:19" ht="29">
      <c r="A13" s="2842" t="s">
        <v>1171</v>
      </c>
      <c r="B13" s="2843" t="s">
        <v>6057</v>
      </c>
      <c r="C13" s="2843">
        <v>230025</v>
      </c>
      <c r="D13" s="2844">
        <v>2010021310</v>
      </c>
      <c r="E13" s="2842" t="s">
        <v>1172</v>
      </c>
      <c r="F13" s="2347" t="s">
        <v>5409</v>
      </c>
      <c r="G13" s="2405" t="s">
        <v>5409</v>
      </c>
      <c r="H13" s="2405" t="s">
        <v>5409</v>
      </c>
      <c r="I13" s="2405" t="s">
        <v>5409</v>
      </c>
      <c r="J13" s="2347"/>
      <c r="K13" s="3212"/>
      <c r="L13" s="3212"/>
      <c r="M13" s="2347" t="s">
        <v>1149</v>
      </c>
      <c r="N13" s="3212"/>
      <c r="O13" s="2347" t="s">
        <v>14291</v>
      </c>
      <c r="P13" s="2347" t="s">
        <v>14292</v>
      </c>
      <c r="Q13" s="2347" t="s">
        <v>15469</v>
      </c>
      <c r="R13" s="395" t="s">
        <v>8518</v>
      </c>
      <c r="S13" s="3657"/>
    </row>
    <row r="14" spans="1:19">
      <c r="A14" s="2842" t="s">
        <v>6064</v>
      </c>
      <c r="B14" s="2843" t="s">
        <v>6065</v>
      </c>
      <c r="C14" s="2843">
        <v>407428</v>
      </c>
      <c r="D14" s="2844">
        <v>2010241000</v>
      </c>
      <c r="E14" s="2842" t="s">
        <v>6064</v>
      </c>
      <c r="F14" s="2347" t="s">
        <v>5409</v>
      </c>
      <c r="G14" s="2347" t="s">
        <v>5409</v>
      </c>
      <c r="H14" s="2347" t="s">
        <v>5409</v>
      </c>
      <c r="I14" s="2347" t="s">
        <v>5409</v>
      </c>
      <c r="J14" s="2347"/>
      <c r="K14" s="3212"/>
      <c r="L14" s="3212"/>
      <c r="M14" s="3212" t="s">
        <v>1149</v>
      </c>
      <c r="N14" s="3212"/>
      <c r="O14" s="2347" t="s">
        <v>14291</v>
      </c>
      <c r="P14" s="2347" t="s">
        <v>14292</v>
      </c>
      <c r="Q14" s="2347" t="s">
        <v>15469</v>
      </c>
      <c r="R14" s="395" t="s">
        <v>8518</v>
      </c>
      <c r="S14" s="3657"/>
    </row>
    <row r="15" spans="1:19">
      <c r="A15" s="2842" t="s">
        <v>5374</v>
      </c>
      <c r="B15" s="2843">
        <v>9909448220</v>
      </c>
      <c r="C15" s="2843">
        <v>219342</v>
      </c>
      <c r="D15" s="2844">
        <v>2010240310</v>
      </c>
      <c r="E15" s="2842" t="s">
        <v>5374</v>
      </c>
      <c r="F15" s="2347" t="s">
        <v>5409</v>
      </c>
      <c r="G15" s="2347" t="s">
        <v>5409</v>
      </c>
      <c r="H15" s="2464" t="s">
        <v>5409</v>
      </c>
      <c r="I15" s="2464" t="s">
        <v>5409</v>
      </c>
      <c r="J15" s="2347"/>
      <c r="K15" s="3212"/>
      <c r="L15" s="3212"/>
      <c r="M15" s="3212" t="s">
        <v>1149</v>
      </c>
      <c r="N15" s="3212"/>
      <c r="O15" s="2347" t="s">
        <v>14291</v>
      </c>
      <c r="P15" s="2347" t="s">
        <v>14291</v>
      </c>
      <c r="Q15" s="2347" t="s">
        <v>15470</v>
      </c>
      <c r="R15" s="395" t="s">
        <v>6929</v>
      </c>
      <c r="S15" s="3657"/>
    </row>
    <row r="16" spans="1:19">
      <c r="A16" s="2842" t="s">
        <v>4767</v>
      </c>
      <c r="B16" s="2843">
        <v>833296300</v>
      </c>
      <c r="C16" s="2843">
        <v>193128</v>
      </c>
      <c r="D16" s="2844">
        <v>2010021600</v>
      </c>
      <c r="E16" s="2842" t="s">
        <v>6268</v>
      </c>
      <c r="F16" s="2347" t="s">
        <v>5409</v>
      </c>
      <c r="G16" s="2405" t="s">
        <v>5409</v>
      </c>
      <c r="H16" s="2405" t="s">
        <v>5409</v>
      </c>
      <c r="I16" s="2405" t="s">
        <v>5409</v>
      </c>
      <c r="J16" s="2347"/>
      <c r="K16" s="3212"/>
      <c r="L16" s="3212"/>
      <c r="M16" s="3212" t="s">
        <v>1149</v>
      </c>
      <c r="N16" s="3212"/>
      <c r="O16" s="2347" t="s">
        <v>14291</v>
      </c>
      <c r="P16" s="2347" t="s">
        <v>14292</v>
      </c>
      <c r="Q16" s="2347" t="s">
        <v>15469</v>
      </c>
      <c r="R16" s="395" t="s">
        <v>8518</v>
      </c>
      <c r="S16" s="3657"/>
    </row>
    <row r="17" spans="1:19">
      <c r="A17" s="2842" t="s">
        <v>4768</v>
      </c>
      <c r="B17" s="2843" t="s">
        <v>4769</v>
      </c>
      <c r="C17" s="2843">
        <v>276</v>
      </c>
      <c r="D17" s="2844">
        <v>2010450107</v>
      </c>
      <c r="E17" s="2842" t="s">
        <v>6269</v>
      </c>
      <c r="F17" s="2347" t="s">
        <v>5409</v>
      </c>
      <c r="G17" s="3146" t="s">
        <v>5409</v>
      </c>
      <c r="H17" s="3146" t="s">
        <v>5409</v>
      </c>
      <c r="I17" s="3146" t="s">
        <v>5409</v>
      </c>
      <c r="J17" s="2347"/>
      <c r="K17" s="3212"/>
      <c r="L17" s="3212"/>
      <c r="M17" s="3212" t="s">
        <v>1149</v>
      </c>
      <c r="N17" s="3212"/>
      <c r="O17" s="2347" t="s">
        <v>14291</v>
      </c>
      <c r="P17" s="2347" t="s">
        <v>14291</v>
      </c>
      <c r="Q17" s="2347" t="s">
        <v>15239</v>
      </c>
      <c r="R17" s="395" t="s">
        <v>6929</v>
      </c>
      <c r="S17" s="3657"/>
    </row>
    <row r="18" spans="1:19" ht="29">
      <c r="A18" s="2842" t="s">
        <v>269</v>
      </c>
      <c r="B18" s="2843" t="s">
        <v>6301</v>
      </c>
      <c r="C18" s="2843">
        <v>360342</v>
      </c>
      <c r="D18" s="2844">
        <v>2010450112</v>
      </c>
      <c r="E18" s="2842" t="s">
        <v>270</v>
      </c>
      <c r="F18" s="2347" t="s">
        <v>5409</v>
      </c>
      <c r="G18" s="3146" t="s">
        <v>5409</v>
      </c>
      <c r="H18" s="3146" t="s">
        <v>5409</v>
      </c>
      <c r="I18" s="3146" t="s">
        <v>5409</v>
      </c>
      <c r="J18" s="2347"/>
      <c r="K18" s="3212"/>
      <c r="L18" s="3212"/>
      <c r="M18" s="3212" t="s">
        <v>1149</v>
      </c>
      <c r="N18" s="3212"/>
      <c r="O18" s="2347" t="s">
        <v>14291</v>
      </c>
      <c r="P18" s="2347" t="s">
        <v>14291</v>
      </c>
      <c r="Q18" s="2347" t="s">
        <v>15239</v>
      </c>
      <c r="R18" s="395" t="s">
        <v>6929</v>
      </c>
      <c r="S18" s="3657"/>
    </row>
    <row r="19" spans="1:19">
      <c r="A19" s="2842" t="s">
        <v>1178</v>
      </c>
      <c r="B19" s="2843">
        <v>7247740</v>
      </c>
      <c r="C19" s="2843">
        <v>205526</v>
      </c>
      <c r="D19" s="2844">
        <v>2010380200</v>
      </c>
      <c r="E19" s="2842" t="s">
        <v>1179</v>
      </c>
      <c r="F19" s="2347" t="s">
        <v>5409</v>
      </c>
      <c r="G19" s="2464" t="s">
        <v>5409</v>
      </c>
      <c r="H19" s="2464" t="s">
        <v>5409</v>
      </c>
      <c r="I19" s="2464" t="s">
        <v>5409</v>
      </c>
      <c r="J19" s="2347"/>
      <c r="K19" s="3212"/>
      <c r="L19" s="3212"/>
      <c r="M19" s="3212" t="s">
        <v>1149</v>
      </c>
      <c r="N19" s="3212"/>
      <c r="O19" s="2347" t="s">
        <v>14291</v>
      </c>
      <c r="P19" s="2347" t="s">
        <v>14292</v>
      </c>
      <c r="Q19" s="2347" t="s">
        <v>15471</v>
      </c>
      <c r="R19" s="395" t="s">
        <v>6942</v>
      </c>
      <c r="S19" s="3657"/>
    </row>
    <row r="20" spans="1:19">
      <c r="A20" s="2842" t="s">
        <v>6022</v>
      </c>
      <c r="B20" s="2843">
        <v>386588</v>
      </c>
      <c r="C20" s="2843">
        <v>386588</v>
      </c>
      <c r="D20" s="2844">
        <v>2010932000</v>
      </c>
      <c r="E20" s="2842" t="s">
        <v>6021</v>
      </c>
      <c r="F20" s="2347" t="s">
        <v>5409</v>
      </c>
      <c r="G20" s="2464" t="s">
        <v>5409</v>
      </c>
      <c r="H20" s="2464" t="s">
        <v>5409</v>
      </c>
      <c r="I20" s="2464" t="s">
        <v>5409</v>
      </c>
      <c r="J20" s="2347"/>
      <c r="K20" s="3212"/>
      <c r="L20" s="3212"/>
      <c r="M20" s="3212" t="s">
        <v>1149</v>
      </c>
      <c r="N20" s="3212"/>
      <c r="O20" s="2347" t="s">
        <v>14291</v>
      </c>
      <c r="P20" s="2347" t="s">
        <v>14291</v>
      </c>
      <c r="Q20" s="2347" t="s">
        <v>6086</v>
      </c>
      <c r="R20" s="395" t="s">
        <v>6929</v>
      </c>
      <c r="S20" s="3657"/>
    </row>
    <row r="21" spans="1:19">
      <c r="A21" s="2842" t="s">
        <v>5952</v>
      </c>
      <c r="B21" s="2843" t="s">
        <v>6056</v>
      </c>
      <c r="C21" s="2843">
        <v>340080</v>
      </c>
      <c r="D21" s="2844">
        <v>2010931000</v>
      </c>
      <c r="E21" s="2842" t="s">
        <v>5951</v>
      </c>
      <c r="F21" s="2347" t="s">
        <v>5409</v>
      </c>
      <c r="G21" s="2347" t="s">
        <v>5409</v>
      </c>
      <c r="H21" s="2638" t="s">
        <v>5409</v>
      </c>
      <c r="I21" s="2638" t="s">
        <v>5409</v>
      </c>
      <c r="J21" s="2347"/>
      <c r="K21" s="3212"/>
      <c r="L21" s="3212"/>
      <c r="M21" s="3212" t="s">
        <v>1149</v>
      </c>
      <c r="N21" s="3212"/>
      <c r="O21" s="2347" t="s">
        <v>14291</v>
      </c>
      <c r="P21" s="2347" t="s">
        <v>14292</v>
      </c>
      <c r="Q21" s="2347" t="s">
        <v>6086</v>
      </c>
      <c r="R21" s="395" t="s">
        <v>6929</v>
      </c>
    </row>
    <row r="22" spans="1:19">
      <c r="A22" s="2842" t="s">
        <v>6086</v>
      </c>
      <c r="B22" s="2843">
        <v>7706759586</v>
      </c>
      <c r="C22" s="2843">
        <v>215514</v>
      </c>
      <c r="D22" s="2844">
        <v>2010930000</v>
      </c>
      <c r="E22" s="2842" t="s">
        <v>6085</v>
      </c>
      <c r="F22" s="2347" t="s">
        <v>5409</v>
      </c>
      <c r="G22" s="2347" t="s">
        <v>5409</v>
      </c>
      <c r="H22" s="2347" t="s">
        <v>5409</v>
      </c>
      <c r="I22" s="2347" t="s">
        <v>5409</v>
      </c>
      <c r="J22" s="2347"/>
      <c r="K22" s="3212"/>
      <c r="L22" s="3212"/>
      <c r="M22" s="3212" t="s">
        <v>10241</v>
      </c>
      <c r="N22" s="3212" t="s">
        <v>10242</v>
      </c>
      <c r="O22" s="2347" t="s">
        <v>14291</v>
      </c>
      <c r="P22" s="2347" t="s">
        <v>14291</v>
      </c>
      <c r="Q22" s="2347" t="s">
        <v>6086</v>
      </c>
      <c r="R22" s="395" t="s">
        <v>14831</v>
      </c>
    </row>
    <row r="23" spans="1:19" ht="29">
      <c r="A23" s="2842" t="s">
        <v>4771</v>
      </c>
      <c r="B23" s="2843">
        <v>9909431723</v>
      </c>
      <c r="C23" s="2843">
        <v>206017</v>
      </c>
      <c r="D23" s="2844">
        <v>2010940000</v>
      </c>
      <c r="E23" s="2842" t="s">
        <v>5954</v>
      </c>
      <c r="F23" s="2347" t="s">
        <v>5409</v>
      </c>
      <c r="G23" s="2347" t="s">
        <v>5409</v>
      </c>
      <c r="H23" s="2347" t="s">
        <v>5409</v>
      </c>
      <c r="I23" s="2347" t="s">
        <v>5409</v>
      </c>
      <c r="J23" s="2347"/>
      <c r="K23" s="3212"/>
      <c r="L23" s="3212"/>
      <c r="M23" s="3212" t="s">
        <v>1149</v>
      </c>
      <c r="N23" s="3212"/>
      <c r="O23" s="2347" t="s">
        <v>14291</v>
      </c>
      <c r="P23" s="2347" t="s">
        <v>14292</v>
      </c>
      <c r="Q23" s="2347" t="s">
        <v>15470</v>
      </c>
      <c r="R23" s="395" t="s">
        <v>14831</v>
      </c>
    </row>
    <row r="24" spans="1:19">
      <c r="A24" s="2842" t="s">
        <v>14317</v>
      </c>
      <c r="B24" s="2843">
        <v>1008400022</v>
      </c>
      <c r="C24" s="2843">
        <v>686951</v>
      </c>
      <c r="D24" s="2844">
        <v>2010592204</v>
      </c>
      <c r="E24" s="2842" t="s">
        <v>14318</v>
      </c>
      <c r="F24" s="2347" t="s">
        <v>5409</v>
      </c>
      <c r="G24" s="2464" t="s">
        <v>5409</v>
      </c>
      <c r="H24" s="2464" t="s">
        <v>5409</v>
      </c>
      <c r="I24" s="2464" t="s">
        <v>5409</v>
      </c>
      <c r="J24" s="2347"/>
      <c r="K24" s="3212"/>
      <c r="L24" s="3212"/>
      <c r="M24" s="3212" t="s">
        <v>1149</v>
      </c>
      <c r="N24" s="3212"/>
      <c r="O24" s="2347" t="s">
        <v>14291</v>
      </c>
      <c r="P24" s="2347" t="s">
        <v>14292</v>
      </c>
      <c r="Q24" s="2347" t="s">
        <v>15472</v>
      </c>
      <c r="R24" s="395" t="s">
        <v>14832</v>
      </c>
    </row>
    <row r="25" spans="1:19">
      <c r="A25" s="2842" t="s">
        <v>2910</v>
      </c>
      <c r="B25" s="2843">
        <v>379387</v>
      </c>
      <c r="C25" s="2843">
        <v>126</v>
      </c>
      <c r="D25" s="2844">
        <v>2010241400</v>
      </c>
      <c r="E25" s="2842" t="s">
        <v>8052</v>
      </c>
      <c r="F25" s="2347" t="s">
        <v>5409</v>
      </c>
      <c r="G25" s="2405" t="s">
        <v>5409</v>
      </c>
      <c r="H25" s="2405" t="s">
        <v>5409</v>
      </c>
      <c r="I25" s="2405" t="s">
        <v>5409</v>
      </c>
      <c r="J25" s="2347"/>
      <c r="K25" s="3212"/>
      <c r="L25" s="3212"/>
      <c r="M25" s="3212" t="s">
        <v>1149</v>
      </c>
      <c r="N25" s="3212"/>
      <c r="O25" s="2347" t="s">
        <v>14291</v>
      </c>
      <c r="P25" s="2347" t="s">
        <v>14292</v>
      </c>
      <c r="Q25" s="2347" t="s">
        <v>15469</v>
      </c>
      <c r="R25" s="395" t="s">
        <v>14833</v>
      </c>
    </row>
    <row r="26" spans="1:19">
      <c r="A26" s="2842" t="s">
        <v>2911</v>
      </c>
      <c r="B26" s="2843" t="s">
        <v>6058</v>
      </c>
      <c r="C26" s="2843">
        <v>125</v>
      </c>
      <c r="D26" s="2844">
        <v>2010241300</v>
      </c>
      <c r="E26" s="2842" t="s">
        <v>5366</v>
      </c>
      <c r="F26" s="2347" t="s">
        <v>5409</v>
      </c>
      <c r="G26" s="2405" t="s">
        <v>5409</v>
      </c>
      <c r="H26" s="2405" t="s">
        <v>5409</v>
      </c>
      <c r="I26" s="2405" t="s">
        <v>5409</v>
      </c>
      <c r="J26" s="2347"/>
      <c r="K26" s="3212"/>
      <c r="L26" s="3212"/>
      <c r="M26" s="3212" t="s">
        <v>1149</v>
      </c>
      <c r="N26" s="3212"/>
      <c r="O26" s="2347" t="s">
        <v>14291</v>
      </c>
      <c r="P26" s="2347" t="s">
        <v>14292</v>
      </c>
      <c r="Q26" s="2347" t="s">
        <v>15469</v>
      </c>
      <c r="R26" s="395" t="s">
        <v>6967</v>
      </c>
    </row>
    <row r="27" spans="1:19">
      <c r="A27" s="2842" t="s">
        <v>8870</v>
      </c>
      <c r="B27" s="2843" t="s">
        <v>6282</v>
      </c>
      <c r="C27" s="2843">
        <v>185864</v>
      </c>
      <c r="D27" s="2844">
        <v>2010242500</v>
      </c>
      <c r="E27" s="2842" t="s">
        <v>8869</v>
      </c>
      <c r="F27" s="2347" t="s">
        <v>5409</v>
      </c>
      <c r="G27" s="2405" t="s">
        <v>5409</v>
      </c>
      <c r="H27" s="2464" t="s">
        <v>5409</v>
      </c>
      <c r="I27" s="2464" t="s">
        <v>5409</v>
      </c>
      <c r="J27" s="2347"/>
      <c r="K27" s="3212"/>
      <c r="L27" s="3212"/>
      <c r="M27" s="3212" t="s">
        <v>1149</v>
      </c>
      <c r="N27" s="3212"/>
      <c r="O27" s="2347" t="s">
        <v>14291</v>
      </c>
      <c r="P27" s="2347" t="s">
        <v>14292</v>
      </c>
      <c r="Q27" s="2347" t="s">
        <v>15469</v>
      </c>
      <c r="R27" s="395" t="s">
        <v>8518</v>
      </c>
    </row>
    <row r="28" spans="1:19">
      <c r="A28" s="2842" t="s">
        <v>8865</v>
      </c>
      <c r="B28" s="2843">
        <v>821101</v>
      </c>
      <c r="C28" s="2843">
        <v>579950</v>
      </c>
      <c r="D28" s="2844">
        <v>2010592510</v>
      </c>
      <c r="E28" s="2842" t="s">
        <v>8866</v>
      </c>
      <c r="F28" s="2347" t="s">
        <v>5409</v>
      </c>
      <c r="G28" s="2405" t="s">
        <v>5409</v>
      </c>
      <c r="H28" s="2405" t="s">
        <v>5409</v>
      </c>
      <c r="I28" s="2405" t="s">
        <v>5409</v>
      </c>
      <c r="J28" s="2347"/>
      <c r="K28" s="3212"/>
      <c r="L28" s="3212"/>
      <c r="M28" s="3212" t="s">
        <v>1149</v>
      </c>
      <c r="N28" s="3212"/>
      <c r="O28" s="2347" t="s">
        <v>14291</v>
      </c>
      <c r="P28" s="2347" t="s">
        <v>14291</v>
      </c>
      <c r="Q28" s="2347" t="s">
        <v>15472</v>
      </c>
      <c r="R28" s="395" t="s">
        <v>8518</v>
      </c>
    </row>
    <row r="29" spans="1:19">
      <c r="A29" s="2842" t="s">
        <v>5367</v>
      </c>
      <c r="B29" s="2843" t="s">
        <v>6059</v>
      </c>
      <c r="C29" s="2843">
        <v>268</v>
      </c>
      <c r="D29" s="2844">
        <v>2010242400</v>
      </c>
      <c r="E29" s="2842" t="s">
        <v>5367</v>
      </c>
      <c r="F29" s="2347" t="s">
        <v>5409</v>
      </c>
      <c r="G29" s="2405" t="s">
        <v>5409</v>
      </c>
      <c r="H29" s="2464" t="s">
        <v>5409</v>
      </c>
      <c r="I29" s="2464" t="s">
        <v>5409</v>
      </c>
      <c r="J29" s="2347"/>
      <c r="K29" s="3212"/>
      <c r="L29" s="3212"/>
      <c r="M29" s="3212" t="s">
        <v>1149</v>
      </c>
      <c r="N29" s="3212"/>
      <c r="O29" s="2347" t="s">
        <v>14291</v>
      </c>
      <c r="P29" s="2347" t="s">
        <v>14292</v>
      </c>
      <c r="Q29" s="2347" t="s">
        <v>15469</v>
      </c>
      <c r="R29" s="395" t="s">
        <v>8518</v>
      </c>
    </row>
    <row r="30" spans="1:19" ht="29">
      <c r="A30" s="2842" t="s">
        <v>7660</v>
      </c>
      <c r="B30" s="2843" t="s">
        <v>7871</v>
      </c>
      <c r="C30" s="2843">
        <v>513685</v>
      </c>
      <c r="D30" s="2844">
        <v>2010244200</v>
      </c>
      <c r="E30" s="2842" t="s">
        <v>7661</v>
      </c>
      <c r="F30" s="2347" t="s">
        <v>5409</v>
      </c>
      <c r="G30" s="2347" t="s">
        <v>5409</v>
      </c>
      <c r="H30" s="2347" t="s">
        <v>5409</v>
      </c>
      <c r="I30" s="2347" t="s">
        <v>5409</v>
      </c>
      <c r="J30" s="2347"/>
      <c r="K30" s="3212"/>
      <c r="L30" s="3212"/>
      <c r="M30" s="3212" t="s">
        <v>1149</v>
      </c>
      <c r="N30" s="3212"/>
      <c r="O30" s="2347" t="s">
        <v>14291</v>
      </c>
      <c r="P30" s="2347" t="s">
        <v>14291</v>
      </c>
      <c r="Q30" s="2347" t="s">
        <v>15473</v>
      </c>
      <c r="R30" s="395" t="s">
        <v>6937</v>
      </c>
    </row>
    <row r="31" spans="1:19" ht="29">
      <c r="A31" s="2842" t="s">
        <v>7658</v>
      </c>
      <c r="B31" s="2843" t="s">
        <v>7870</v>
      </c>
      <c r="C31" s="2843">
        <v>513680</v>
      </c>
      <c r="D31" s="2844">
        <v>2010243200</v>
      </c>
      <c r="E31" s="2842" t="s">
        <v>7659</v>
      </c>
      <c r="F31" s="2347" t="s">
        <v>5409</v>
      </c>
      <c r="G31" s="2347" t="s">
        <v>5409</v>
      </c>
      <c r="H31" s="2347" t="s">
        <v>5409</v>
      </c>
      <c r="I31" s="2347" t="s">
        <v>5409</v>
      </c>
      <c r="J31" s="2347"/>
      <c r="K31" s="3212"/>
      <c r="L31" s="3212"/>
      <c r="M31" s="3212" t="s">
        <v>1149</v>
      </c>
      <c r="N31" s="3212"/>
      <c r="O31" s="2347" t="s">
        <v>14291</v>
      </c>
      <c r="P31" s="2347" t="s">
        <v>14291</v>
      </c>
      <c r="Q31" s="2347" t="s">
        <v>15473</v>
      </c>
      <c r="R31" s="395" t="s">
        <v>6930</v>
      </c>
    </row>
    <row r="32" spans="1:19">
      <c r="A32" s="3640" t="s">
        <v>15490</v>
      </c>
      <c r="B32" s="2843" t="s">
        <v>15491</v>
      </c>
      <c r="C32" s="2843">
        <v>389124</v>
      </c>
      <c r="D32" s="2844">
        <v>2010230952</v>
      </c>
      <c r="E32" s="2842" t="s">
        <v>15492</v>
      </c>
      <c r="F32" s="2347"/>
      <c r="G32" s="2347"/>
      <c r="H32" s="2347"/>
      <c r="I32" s="2347"/>
      <c r="J32" s="2347"/>
      <c r="K32" s="3212"/>
      <c r="L32" s="2347" t="s">
        <v>5409</v>
      </c>
      <c r="M32" s="3212"/>
      <c r="N32" s="3212"/>
      <c r="O32" s="2347"/>
      <c r="P32" s="2347"/>
      <c r="Q32" s="2347" t="s">
        <v>15467</v>
      </c>
      <c r="R32" s="395" t="s">
        <v>6929</v>
      </c>
    </row>
    <row r="33" spans="1:18">
      <c r="A33" s="2842" t="s">
        <v>4770</v>
      </c>
      <c r="B33" s="2843" t="s">
        <v>6060</v>
      </c>
      <c r="C33" s="2843">
        <v>154744</v>
      </c>
      <c r="D33" s="2844">
        <v>2010021500</v>
      </c>
      <c r="E33" s="2842" t="s">
        <v>5362</v>
      </c>
      <c r="F33" s="2347" t="s">
        <v>5409</v>
      </c>
      <c r="G33" s="2347" t="s">
        <v>5409</v>
      </c>
      <c r="H33" s="2079" t="s">
        <v>5409</v>
      </c>
      <c r="I33" s="2079" t="s">
        <v>5409</v>
      </c>
      <c r="J33" s="2347"/>
      <c r="K33" s="3212"/>
      <c r="L33" s="3212"/>
      <c r="M33" s="3212" t="s">
        <v>1149</v>
      </c>
      <c r="N33" s="3212"/>
      <c r="O33" s="2347" t="s">
        <v>14291</v>
      </c>
      <c r="P33" s="2347" t="s">
        <v>14292</v>
      </c>
      <c r="Q33" s="2347" t="s">
        <v>15469</v>
      </c>
      <c r="R33" s="395" t="s">
        <v>8518</v>
      </c>
    </row>
    <row r="34" spans="1:18">
      <c r="A34" s="2842" t="s">
        <v>14513</v>
      </c>
      <c r="B34" s="2843">
        <v>817104549</v>
      </c>
      <c r="C34" s="2843">
        <v>254</v>
      </c>
      <c r="D34" s="2844">
        <v>2010021200</v>
      </c>
      <c r="E34" s="2842" t="s">
        <v>14513</v>
      </c>
      <c r="F34" s="2347" t="s">
        <v>5409</v>
      </c>
      <c r="G34" s="2347" t="s">
        <v>5409</v>
      </c>
      <c r="H34" s="2079" t="s">
        <v>5409</v>
      </c>
      <c r="I34" s="2079" t="s">
        <v>5409</v>
      </c>
      <c r="J34" s="2347"/>
      <c r="K34" s="3212"/>
      <c r="L34" s="3212"/>
      <c r="M34" s="3212" t="s">
        <v>1149</v>
      </c>
      <c r="N34" s="3212"/>
      <c r="O34" s="2347" t="s">
        <v>14291</v>
      </c>
      <c r="P34" s="2347" t="s">
        <v>14291</v>
      </c>
      <c r="Q34" s="2347" t="s">
        <v>15469</v>
      </c>
      <c r="R34" s="395" t="s">
        <v>8518</v>
      </c>
    </row>
    <row r="35" spans="1:18">
      <c r="A35" s="2842" t="s">
        <v>1184</v>
      </c>
      <c r="B35" s="2843" t="s">
        <v>1185</v>
      </c>
      <c r="C35" s="2843">
        <v>154774</v>
      </c>
      <c r="D35" s="2844">
        <v>2010021300</v>
      </c>
      <c r="E35" s="2842" t="s">
        <v>1186</v>
      </c>
      <c r="F35" s="2347" t="s">
        <v>5409</v>
      </c>
      <c r="G35" s="2405" t="s">
        <v>5409</v>
      </c>
      <c r="H35" s="2405" t="s">
        <v>5409</v>
      </c>
      <c r="I35" s="2405" t="s">
        <v>5409</v>
      </c>
      <c r="J35" s="2347"/>
      <c r="K35" s="3212"/>
      <c r="L35" s="3212"/>
      <c r="M35" s="2347" t="s">
        <v>1149</v>
      </c>
      <c r="N35" s="3212"/>
      <c r="O35" s="2347" t="s">
        <v>14291</v>
      </c>
      <c r="P35" s="2347" t="s">
        <v>14292</v>
      </c>
      <c r="Q35" s="2347" t="s">
        <v>15469</v>
      </c>
      <c r="R35" s="395" t="s">
        <v>8518</v>
      </c>
    </row>
    <row r="36" spans="1:18">
      <c r="A36" s="2842" t="s">
        <v>6</v>
      </c>
      <c r="B36" s="2843">
        <v>9909341290</v>
      </c>
      <c r="C36" s="2843">
        <v>261459</v>
      </c>
      <c r="D36" s="2844">
        <v>2010450108</v>
      </c>
      <c r="E36" s="2842" t="s">
        <v>8053</v>
      </c>
      <c r="F36" s="2347" t="s">
        <v>5409</v>
      </c>
      <c r="G36" s="2405" t="s">
        <v>5409</v>
      </c>
      <c r="H36" s="2405" t="s">
        <v>5409</v>
      </c>
      <c r="I36" s="2405" t="s">
        <v>5409</v>
      </c>
      <c r="J36" s="2347"/>
      <c r="K36" s="3212"/>
      <c r="L36" s="3212"/>
      <c r="M36" s="3212" t="s">
        <v>1149</v>
      </c>
      <c r="N36" s="3212"/>
      <c r="O36" s="2347" t="s">
        <v>14291</v>
      </c>
      <c r="P36" s="2347" t="s">
        <v>14291</v>
      </c>
      <c r="Q36" s="2347" t="s">
        <v>6086</v>
      </c>
      <c r="R36" s="395" t="s">
        <v>8518</v>
      </c>
    </row>
    <row r="37" spans="1:18">
      <c r="A37" s="2842" t="s">
        <v>4772</v>
      </c>
      <c r="B37" s="2843">
        <v>7706729140</v>
      </c>
      <c r="C37" s="2843">
        <v>337</v>
      </c>
      <c r="D37" s="2844">
        <v>4160000000</v>
      </c>
      <c r="E37" s="2842" t="s">
        <v>7666</v>
      </c>
      <c r="F37" s="2347" t="s">
        <v>5409</v>
      </c>
      <c r="G37" s="2405" t="s">
        <v>5409</v>
      </c>
      <c r="H37" s="2465" t="s">
        <v>6173</v>
      </c>
      <c r="I37" s="2465" t="s">
        <v>6173</v>
      </c>
      <c r="J37" s="2347"/>
      <c r="K37" s="3212"/>
      <c r="L37" s="3212"/>
      <c r="M37" s="3212" t="s">
        <v>1149</v>
      </c>
      <c r="N37" s="3212"/>
      <c r="O37" s="2347" t="s">
        <v>14291</v>
      </c>
      <c r="P37" s="2347" t="s">
        <v>14291</v>
      </c>
      <c r="Q37" s="2347" t="s">
        <v>15470</v>
      </c>
      <c r="R37" s="395" t="s">
        <v>14831</v>
      </c>
    </row>
    <row r="38" spans="1:18" ht="29">
      <c r="A38" s="2842" t="s">
        <v>4773</v>
      </c>
      <c r="B38" s="2843">
        <v>1646031132</v>
      </c>
      <c r="C38" s="2843">
        <v>228298</v>
      </c>
      <c r="D38" s="2844">
        <v>2010242201</v>
      </c>
      <c r="E38" s="2842" t="s">
        <v>5955</v>
      </c>
      <c r="F38" s="2347" t="s">
        <v>5409</v>
      </c>
      <c r="G38" s="2405" t="s">
        <v>5409</v>
      </c>
      <c r="H38" s="2405" t="s">
        <v>5409</v>
      </c>
      <c r="I38" s="2405" t="s">
        <v>5409</v>
      </c>
      <c r="J38" s="2347"/>
      <c r="K38" s="3212"/>
      <c r="L38" s="3212"/>
      <c r="M38" s="3212" t="s">
        <v>1149</v>
      </c>
      <c r="N38" s="3212"/>
      <c r="O38" s="2347" t="s">
        <v>14291</v>
      </c>
      <c r="P38" s="2347" t="s">
        <v>14291</v>
      </c>
      <c r="Q38" s="2347" t="s">
        <v>15473</v>
      </c>
      <c r="R38" s="395" t="s">
        <v>14831</v>
      </c>
    </row>
    <row r="39" spans="1:18">
      <c r="A39" s="2842" t="s">
        <v>15114</v>
      </c>
      <c r="B39" s="2843">
        <v>7743530434</v>
      </c>
      <c r="C39" s="2843">
        <v>352129</v>
      </c>
      <c r="D39" s="2844">
        <v>1050400000</v>
      </c>
      <c r="E39" s="2842" t="s">
        <v>15113</v>
      </c>
      <c r="F39" s="2347" t="s">
        <v>5409</v>
      </c>
      <c r="G39" s="2405" t="s">
        <v>5409</v>
      </c>
      <c r="H39" s="2405" t="s">
        <v>5409</v>
      </c>
      <c r="I39" s="2405" t="s">
        <v>5409</v>
      </c>
      <c r="J39" s="2347"/>
      <c r="K39" s="3212"/>
      <c r="L39" s="3212"/>
      <c r="M39" s="3212"/>
      <c r="N39" s="3212"/>
      <c r="O39" s="3601" t="s">
        <v>14291</v>
      </c>
      <c r="P39" s="3601" t="s">
        <v>14291</v>
      </c>
      <c r="Q39" s="2347" t="s">
        <v>15468</v>
      </c>
      <c r="R39" s="395" t="s">
        <v>14831</v>
      </c>
    </row>
    <row r="40" spans="1:18" ht="29">
      <c r="A40" s="2842" t="s">
        <v>4774</v>
      </c>
      <c r="B40" s="2843">
        <v>6454074501</v>
      </c>
      <c r="C40" s="2843">
        <v>121</v>
      </c>
      <c r="D40" s="2844">
        <v>2010240800</v>
      </c>
      <c r="E40" s="2842" t="s">
        <v>5364</v>
      </c>
      <c r="F40" s="2347" t="s">
        <v>5409</v>
      </c>
      <c r="G40" s="2405" t="s">
        <v>5409</v>
      </c>
      <c r="H40" s="2405" t="s">
        <v>5409</v>
      </c>
      <c r="I40" s="2405" t="s">
        <v>5409</v>
      </c>
      <c r="J40" s="2347"/>
      <c r="K40" s="3212"/>
      <c r="L40" s="3212"/>
      <c r="M40" s="3212" t="s">
        <v>1149</v>
      </c>
      <c r="N40" s="3212"/>
      <c r="O40" s="2347" t="s">
        <v>14291</v>
      </c>
      <c r="P40" s="2347" t="s">
        <v>14291</v>
      </c>
      <c r="Q40" s="2347" t="s">
        <v>15473</v>
      </c>
      <c r="R40" s="395" t="s">
        <v>14831</v>
      </c>
    </row>
    <row r="41" spans="1:18">
      <c r="A41" s="2842" t="s">
        <v>4775</v>
      </c>
      <c r="B41" s="2843">
        <v>7706016076</v>
      </c>
      <c r="C41" s="2843">
        <v>17</v>
      </c>
      <c r="D41" s="2844">
        <v>2010020000</v>
      </c>
      <c r="E41" s="2842" t="s">
        <v>7103</v>
      </c>
      <c r="F41" s="2347" t="s">
        <v>5409</v>
      </c>
      <c r="G41" s="2405" t="s">
        <v>5409</v>
      </c>
      <c r="H41" s="2405" t="s">
        <v>5409</v>
      </c>
      <c r="I41" s="2405" t="s">
        <v>5409</v>
      </c>
      <c r="J41" s="2347" t="s">
        <v>5409</v>
      </c>
      <c r="K41" s="3212"/>
      <c r="L41" s="3212"/>
      <c r="M41" s="3212" t="s">
        <v>10241</v>
      </c>
      <c r="N41" s="3212" t="s">
        <v>10242</v>
      </c>
      <c r="O41" s="2347" t="s">
        <v>14291</v>
      </c>
      <c r="P41" s="2347" t="s">
        <v>14291</v>
      </c>
      <c r="Q41" s="2347" t="s">
        <v>15474</v>
      </c>
      <c r="R41" s="395" t="s">
        <v>14831</v>
      </c>
    </row>
    <row r="42" spans="1:18">
      <c r="A42" s="2842" t="s">
        <v>421</v>
      </c>
      <c r="B42" s="2843">
        <v>7708671295</v>
      </c>
      <c r="C42" s="2843">
        <v>24</v>
      </c>
      <c r="D42" s="2844">
        <v>2010020602</v>
      </c>
      <c r="E42" s="2842" t="s">
        <v>8054</v>
      </c>
      <c r="F42" s="2347" t="s">
        <v>5409</v>
      </c>
      <c r="G42" s="2347" t="s">
        <v>5409</v>
      </c>
      <c r="H42" s="2347" t="s">
        <v>5409</v>
      </c>
      <c r="I42" s="2347" t="s">
        <v>5409</v>
      </c>
      <c r="J42" s="2347" t="s">
        <v>5409</v>
      </c>
      <c r="K42" s="3212"/>
      <c r="L42" s="3212"/>
      <c r="M42" s="3212" t="s">
        <v>10241</v>
      </c>
      <c r="N42" s="3212" t="s">
        <v>10242</v>
      </c>
      <c r="O42" s="2347" t="s">
        <v>14291</v>
      </c>
      <c r="P42" s="2347" t="s">
        <v>14291</v>
      </c>
      <c r="Q42" s="2347" t="s">
        <v>15474</v>
      </c>
      <c r="R42" s="395" t="s">
        <v>14831</v>
      </c>
    </row>
    <row r="43" spans="1:18">
      <c r="A43" s="2842" t="s">
        <v>4776</v>
      </c>
      <c r="B43" s="2843">
        <v>7701186067</v>
      </c>
      <c r="C43" s="2843">
        <v>153</v>
      </c>
      <c r="D43" s="2844">
        <v>2010450100</v>
      </c>
      <c r="E43" s="2842" t="s">
        <v>5956</v>
      </c>
      <c r="F43" s="2347" t="s">
        <v>5409</v>
      </c>
      <c r="G43" s="2405" t="s">
        <v>5409</v>
      </c>
      <c r="H43" s="2405"/>
      <c r="I43" s="2405" t="s">
        <v>5409</v>
      </c>
      <c r="J43" s="2347" t="s">
        <v>5409</v>
      </c>
      <c r="K43" s="3212"/>
      <c r="L43" s="3212"/>
      <c r="M43" s="3212" t="s">
        <v>10241</v>
      </c>
      <c r="N43" s="3212" t="s">
        <v>10243</v>
      </c>
      <c r="O43" s="2347" t="s">
        <v>14291</v>
      </c>
      <c r="P43" s="2347" t="s">
        <v>14291</v>
      </c>
      <c r="Q43" s="2347" t="s">
        <v>15475</v>
      </c>
      <c r="R43" s="395" t="s">
        <v>14831</v>
      </c>
    </row>
    <row r="44" spans="1:18">
      <c r="A44" s="2842" t="s">
        <v>4712</v>
      </c>
      <c r="B44" s="2843">
        <v>7724560930</v>
      </c>
      <c r="C44" s="2843">
        <v>251</v>
      </c>
      <c r="D44" s="2844">
        <v>2010010000</v>
      </c>
      <c r="E44" s="2842" t="s">
        <v>5830</v>
      </c>
      <c r="F44" s="2347" t="s">
        <v>5409</v>
      </c>
      <c r="G44" s="2405" t="s">
        <v>5409</v>
      </c>
      <c r="H44" s="2347" t="s">
        <v>5409</v>
      </c>
      <c r="I44" s="2405" t="s">
        <v>5409</v>
      </c>
      <c r="J44" s="2347"/>
      <c r="K44" s="3212"/>
      <c r="L44" s="3212"/>
      <c r="M44" s="3212" t="s">
        <v>10241</v>
      </c>
      <c r="N44" s="3212" t="s">
        <v>10242</v>
      </c>
      <c r="O44" s="2347" t="s">
        <v>14291</v>
      </c>
      <c r="P44" s="2347" t="s">
        <v>14291</v>
      </c>
      <c r="Q44" s="2347" t="s">
        <v>15470</v>
      </c>
      <c r="R44" s="395" t="s">
        <v>14831</v>
      </c>
    </row>
    <row r="45" spans="1:18">
      <c r="A45" s="2842" t="s">
        <v>4777</v>
      </c>
      <c r="B45" s="2843">
        <v>7734242302</v>
      </c>
      <c r="C45" s="2843">
        <v>97</v>
      </c>
      <c r="D45" s="2844">
        <v>2010230915</v>
      </c>
      <c r="E45" s="2842" t="s">
        <v>7665</v>
      </c>
      <c r="F45" s="2347" t="s">
        <v>5409</v>
      </c>
      <c r="G45" s="2405" t="s">
        <v>5409</v>
      </c>
      <c r="H45" s="2405" t="s">
        <v>5409</v>
      </c>
      <c r="I45" s="2405" t="s">
        <v>5409</v>
      </c>
      <c r="J45" s="2347"/>
      <c r="K45" s="3212"/>
      <c r="L45" s="3212"/>
      <c r="M45" s="3212" t="s">
        <v>1149</v>
      </c>
      <c r="N45" s="3212"/>
      <c r="O45" s="2347" t="s">
        <v>14291</v>
      </c>
      <c r="P45" s="2347" t="s">
        <v>14291</v>
      </c>
      <c r="Q45" s="2347" t="s">
        <v>15467</v>
      </c>
      <c r="R45" s="395" t="s">
        <v>14831</v>
      </c>
    </row>
    <row r="46" spans="1:18" ht="58">
      <c r="A46" s="2842" t="s">
        <v>4778</v>
      </c>
      <c r="B46" s="2843">
        <v>7726447835</v>
      </c>
      <c r="C46" s="2843">
        <v>587324</v>
      </c>
      <c r="D46" s="2844">
        <v>3040000000</v>
      </c>
      <c r="E46" s="2842" t="s">
        <v>8727</v>
      </c>
      <c r="F46" s="2347" t="s">
        <v>5409</v>
      </c>
      <c r="G46" s="2405" t="s">
        <v>5409</v>
      </c>
      <c r="H46" s="2405"/>
      <c r="I46" s="2405" t="s">
        <v>5409</v>
      </c>
      <c r="J46" s="2347"/>
      <c r="K46" s="3212"/>
      <c r="L46" s="3212"/>
      <c r="M46" s="3212" t="s">
        <v>1149</v>
      </c>
      <c r="N46" s="3212"/>
      <c r="O46" s="2347" t="s">
        <v>14291</v>
      </c>
      <c r="P46" s="2347" t="s">
        <v>14291</v>
      </c>
      <c r="Q46" s="2347" t="s">
        <v>15476</v>
      </c>
      <c r="R46" s="395" t="s">
        <v>14831</v>
      </c>
    </row>
    <row r="47" spans="1:18">
      <c r="A47" s="2842" t="s">
        <v>8543</v>
      </c>
      <c r="B47" s="2843">
        <v>9709035592</v>
      </c>
      <c r="C47" s="2843">
        <v>565061</v>
      </c>
      <c r="D47" s="2844">
        <v>2010592600</v>
      </c>
      <c r="E47" s="2842" t="s">
        <v>8544</v>
      </c>
      <c r="F47" s="2347" t="s">
        <v>5409</v>
      </c>
      <c r="G47" s="2347" t="s">
        <v>5409</v>
      </c>
      <c r="H47" s="2347" t="s">
        <v>5409</v>
      </c>
      <c r="I47" s="2347" t="s">
        <v>5409</v>
      </c>
      <c r="J47" s="2347"/>
      <c r="K47" s="3212"/>
      <c r="L47" s="3212"/>
      <c r="M47" s="3212" t="s">
        <v>1149</v>
      </c>
      <c r="N47" s="3212"/>
      <c r="O47" s="2347" t="s">
        <v>14291</v>
      </c>
      <c r="P47" s="2347" t="s">
        <v>14292</v>
      </c>
      <c r="Q47" s="2347" t="s">
        <v>15470</v>
      </c>
      <c r="R47" s="395" t="s">
        <v>14831</v>
      </c>
    </row>
    <row r="48" spans="1:18">
      <c r="A48" s="2842" t="s">
        <v>10196</v>
      </c>
      <c r="B48" s="2843">
        <v>9725031147</v>
      </c>
      <c r="C48" s="2843">
        <v>644577</v>
      </c>
      <c r="D48" s="2844">
        <v>2010591317</v>
      </c>
      <c r="E48" s="2842" t="s">
        <v>10197</v>
      </c>
      <c r="F48" s="2347" t="s">
        <v>5409</v>
      </c>
      <c r="G48" s="2347" t="s">
        <v>5409</v>
      </c>
      <c r="H48" s="2347" t="s">
        <v>5409</v>
      </c>
      <c r="I48" s="2347" t="s">
        <v>5409</v>
      </c>
      <c r="J48" s="2347"/>
      <c r="K48" s="3212"/>
      <c r="L48" s="3212"/>
      <c r="M48" s="3212" t="s">
        <v>1149</v>
      </c>
      <c r="N48" s="3212"/>
      <c r="O48" s="2347" t="s">
        <v>14291</v>
      </c>
      <c r="P48" s="2347" t="s">
        <v>14291</v>
      </c>
      <c r="Q48" s="2347" t="s">
        <v>15472</v>
      </c>
      <c r="R48" s="395" t="s">
        <v>14831</v>
      </c>
    </row>
    <row r="49" spans="1:18">
      <c r="A49" s="3116" t="s">
        <v>14924</v>
      </c>
      <c r="B49" s="3504">
        <v>9721167066</v>
      </c>
      <c r="C49" s="3504">
        <v>726905</v>
      </c>
      <c r="D49" s="3505">
        <v>2010596000</v>
      </c>
      <c r="E49" s="3506" t="s">
        <v>14925</v>
      </c>
      <c r="F49" s="2405" t="s">
        <v>5409</v>
      </c>
      <c r="G49" s="2405" t="s">
        <v>5409</v>
      </c>
      <c r="H49" s="2405" t="s">
        <v>5409</v>
      </c>
      <c r="I49" s="2405" t="s">
        <v>5409</v>
      </c>
      <c r="J49" s="2347"/>
      <c r="K49" s="3212"/>
      <c r="L49" s="3212"/>
      <c r="M49" s="2347" t="s">
        <v>1149</v>
      </c>
      <c r="N49" s="3212"/>
      <c r="O49" s="3602" t="s">
        <v>14291</v>
      </c>
      <c r="P49" s="2347" t="s">
        <v>14291</v>
      </c>
      <c r="Q49" s="2347" t="s">
        <v>15472</v>
      </c>
      <c r="R49" s="395" t="s">
        <v>14831</v>
      </c>
    </row>
    <row r="50" spans="1:18">
      <c r="A50" s="2842" t="s">
        <v>10014</v>
      </c>
      <c r="B50" s="2843">
        <v>9721108695</v>
      </c>
      <c r="C50" s="2843">
        <v>664011</v>
      </c>
      <c r="D50" s="2844">
        <v>2010597000</v>
      </c>
      <c r="E50" s="2842" t="s">
        <v>10015</v>
      </c>
      <c r="F50" s="2347" t="s">
        <v>5409</v>
      </c>
      <c r="G50" s="2347" t="s">
        <v>5409</v>
      </c>
      <c r="H50" s="2347" t="s">
        <v>5409</v>
      </c>
      <c r="I50" s="2347" t="s">
        <v>5409</v>
      </c>
      <c r="J50" s="2347"/>
      <c r="K50" s="3212"/>
      <c r="L50" s="3212"/>
      <c r="M50" s="3212" t="s">
        <v>1149</v>
      </c>
      <c r="N50" s="3212"/>
      <c r="O50" s="2347" t="s">
        <v>14291</v>
      </c>
      <c r="P50" s="2347" t="s">
        <v>14291</v>
      </c>
      <c r="Q50" s="2347" t="s">
        <v>15472</v>
      </c>
      <c r="R50" s="395" t="s">
        <v>14831</v>
      </c>
    </row>
    <row r="51" spans="1:18" ht="43.5">
      <c r="A51" s="2842" t="s">
        <v>4779</v>
      </c>
      <c r="B51" s="2843">
        <v>7706469319</v>
      </c>
      <c r="C51" s="2843">
        <v>593077</v>
      </c>
      <c r="D51" s="2844">
        <v>3070000000</v>
      </c>
      <c r="E51" s="2842" t="s">
        <v>8729</v>
      </c>
      <c r="F51" s="2347" t="s">
        <v>5409</v>
      </c>
      <c r="G51" s="2405" t="s">
        <v>5409</v>
      </c>
      <c r="H51" s="2405"/>
      <c r="I51" s="2405" t="s">
        <v>5409</v>
      </c>
      <c r="J51" s="2347"/>
      <c r="K51" s="3212"/>
      <c r="L51" s="3212"/>
      <c r="M51" s="3212" t="s">
        <v>10241</v>
      </c>
      <c r="N51" s="3212" t="s">
        <v>10242</v>
      </c>
      <c r="O51" s="2347" t="s">
        <v>14291</v>
      </c>
      <c r="P51" s="2347" t="s">
        <v>14291</v>
      </c>
      <c r="Q51" s="2347" t="s">
        <v>15476</v>
      </c>
      <c r="R51" s="395" t="s">
        <v>14831</v>
      </c>
    </row>
    <row r="52" spans="1:18">
      <c r="A52" s="2842" t="s">
        <v>4788</v>
      </c>
      <c r="B52" s="2843">
        <v>7706792008</v>
      </c>
      <c r="C52" s="2843">
        <v>308377</v>
      </c>
      <c r="D52" s="2844">
        <v>2010110000</v>
      </c>
      <c r="E52" s="2842" t="s">
        <v>5959</v>
      </c>
      <c r="F52" s="2347" t="s">
        <v>5409</v>
      </c>
      <c r="G52" s="2347" t="s">
        <v>5409</v>
      </c>
      <c r="H52" s="2405" t="s">
        <v>5536</v>
      </c>
      <c r="I52" s="2405" t="s">
        <v>5409</v>
      </c>
      <c r="J52" s="2347"/>
      <c r="K52" s="3212"/>
      <c r="L52" s="3212"/>
      <c r="M52" s="3212" t="s">
        <v>10241</v>
      </c>
      <c r="N52" s="3212" t="s">
        <v>10244</v>
      </c>
      <c r="O52" s="2347" t="s">
        <v>14291</v>
      </c>
      <c r="P52" s="2347" t="s">
        <v>14291</v>
      </c>
      <c r="Q52" s="2347" t="s">
        <v>15470</v>
      </c>
      <c r="R52" s="395" t="s">
        <v>14831</v>
      </c>
    </row>
    <row r="53" spans="1:18">
      <c r="A53" s="2842" t="s">
        <v>4780</v>
      </c>
      <c r="B53" s="2843">
        <v>7706738770</v>
      </c>
      <c r="C53" s="2843">
        <v>336</v>
      </c>
      <c r="D53" s="2844">
        <v>6090000000</v>
      </c>
      <c r="E53" s="2842" t="s">
        <v>5957</v>
      </c>
      <c r="F53" s="2347" t="s">
        <v>5409</v>
      </c>
      <c r="G53" s="2405" t="s">
        <v>5409</v>
      </c>
      <c r="H53" s="2405"/>
      <c r="I53" s="2405" t="s">
        <v>5409</v>
      </c>
      <c r="J53" s="2347"/>
      <c r="K53" s="3212"/>
      <c r="L53" s="3212"/>
      <c r="M53" s="3212" t="s">
        <v>10241</v>
      </c>
      <c r="N53" s="3212" t="s">
        <v>10242</v>
      </c>
      <c r="O53" s="2347" t="s">
        <v>14291</v>
      </c>
      <c r="P53" s="2347" t="s">
        <v>14291</v>
      </c>
      <c r="Q53" s="2347" t="s">
        <v>15470</v>
      </c>
      <c r="R53" s="395" t="s">
        <v>14831</v>
      </c>
    </row>
    <row r="54" spans="1:18" ht="43.5">
      <c r="A54" s="3643" t="s">
        <v>15502</v>
      </c>
      <c r="B54" s="3644">
        <v>2536279414</v>
      </c>
      <c r="C54" s="3644">
        <v>385789</v>
      </c>
      <c r="D54" s="3645">
        <v>2010933000</v>
      </c>
      <c r="E54" s="3644" t="s">
        <v>15503</v>
      </c>
      <c r="F54" s="3642" t="s">
        <v>5409</v>
      </c>
      <c r="G54" s="2405" t="s">
        <v>5409</v>
      </c>
      <c r="H54" s="2405" t="s">
        <v>5409</v>
      </c>
      <c r="I54" s="2405" t="s">
        <v>5409</v>
      </c>
      <c r="J54" s="2347"/>
      <c r="K54" s="3212"/>
      <c r="L54" s="3212"/>
      <c r="M54" s="3212" t="s">
        <v>1149</v>
      </c>
      <c r="N54" s="3212"/>
      <c r="O54" s="2347" t="s">
        <v>14291</v>
      </c>
      <c r="P54" s="2347" t="s">
        <v>14291</v>
      </c>
      <c r="Q54" s="2347" t="s">
        <v>15471</v>
      </c>
      <c r="R54" s="395" t="s">
        <v>14831</v>
      </c>
    </row>
    <row r="55" spans="1:18" ht="29">
      <c r="A55" s="2633" t="s">
        <v>5457</v>
      </c>
      <c r="B55" s="2634">
        <v>7734423210</v>
      </c>
      <c r="C55" s="2634">
        <v>592830</v>
      </c>
      <c r="D55" s="2635">
        <v>6020000000</v>
      </c>
      <c r="E55" s="2633" t="s">
        <v>8728</v>
      </c>
      <c r="F55" s="2347" t="s">
        <v>5409</v>
      </c>
      <c r="G55" s="2405" t="s">
        <v>5409</v>
      </c>
      <c r="H55" s="2405"/>
      <c r="I55" s="2405" t="s">
        <v>5409</v>
      </c>
      <c r="J55" s="2347"/>
      <c r="K55" s="3212"/>
      <c r="L55" s="3212"/>
      <c r="M55" s="3212" t="s">
        <v>1149</v>
      </c>
      <c r="N55" s="3212"/>
      <c r="O55" s="2347" t="s">
        <v>14291</v>
      </c>
      <c r="P55" s="2347" t="s">
        <v>14291</v>
      </c>
      <c r="Q55" s="2347" t="s">
        <v>15476</v>
      </c>
      <c r="R55" s="395" t="s">
        <v>14831</v>
      </c>
    </row>
    <row r="56" spans="1:18" ht="29">
      <c r="A56" s="2842" t="s">
        <v>4781</v>
      </c>
      <c r="B56" s="2843">
        <v>7717609102</v>
      </c>
      <c r="C56" s="2843">
        <v>140</v>
      </c>
      <c r="D56" s="2844">
        <v>2010340000</v>
      </c>
      <c r="E56" s="2842" t="s">
        <v>6270</v>
      </c>
      <c r="F56" s="2347" t="s">
        <v>5409</v>
      </c>
      <c r="G56" s="2405" t="s">
        <v>5409</v>
      </c>
      <c r="H56" s="2405" t="s">
        <v>5409</v>
      </c>
      <c r="I56" s="2405" t="s">
        <v>5409</v>
      </c>
      <c r="J56" s="2347"/>
      <c r="K56" s="3212"/>
      <c r="L56" s="3212"/>
      <c r="M56" s="3212" t="s">
        <v>1149</v>
      </c>
      <c r="N56" s="3212"/>
      <c r="O56" s="2347" t="s">
        <v>14291</v>
      </c>
      <c r="P56" s="2347" t="s">
        <v>14291</v>
      </c>
      <c r="Q56" s="2347" t="s">
        <v>15477</v>
      </c>
      <c r="R56" s="395" t="s">
        <v>14831</v>
      </c>
    </row>
    <row r="57" spans="1:18">
      <c r="A57" s="2842" t="s">
        <v>2913</v>
      </c>
      <c r="B57" s="2843">
        <v>7705408850</v>
      </c>
      <c r="C57" s="2843">
        <v>343</v>
      </c>
      <c r="D57" s="2844">
        <v>2010591900</v>
      </c>
      <c r="E57" s="2842" t="s">
        <v>6272</v>
      </c>
      <c r="F57" s="2347" t="s">
        <v>5409</v>
      </c>
      <c r="G57" s="2347" t="s">
        <v>5409</v>
      </c>
      <c r="H57" s="2405" t="s">
        <v>5409</v>
      </c>
      <c r="I57" s="2405" t="s">
        <v>5409</v>
      </c>
      <c r="J57" s="2347"/>
      <c r="K57" s="3212"/>
      <c r="L57" s="3212"/>
      <c r="M57" s="3212" t="s">
        <v>10241</v>
      </c>
      <c r="N57" s="3212" t="s">
        <v>10242</v>
      </c>
      <c r="O57" s="2347" t="s">
        <v>14291</v>
      </c>
      <c r="P57" s="2347" t="s">
        <v>14291</v>
      </c>
      <c r="Q57" s="2347" t="s">
        <v>15472</v>
      </c>
      <c r="R57" s="395" t="s">
        <v>14831</v>
      </c>
    </row>
    <row r="58" spans="1:18" ht="43.5">
      <c r="A58" s="2842" t="s">
        <v>4782</v>
      </c>
      <c r="B58" s="2843">
        <v>5029106714</v>
      </c>
      <c r="C58" s="2843">
        <v>141</v>
      </c>
      <c r="D58" s="2844">
        <v>2010350000</v>
      </c>
      <c r="E58" s="2842" t="s">
        <v>6271</v>
      </c>
      <c r="F58" s="2347" t="s">
        <v>5409</v>
      </c>
      <c r="G58" s="2405" t="s">
        <v>5409</v>
      </c>
      <c r="H58" s="2405" t="s">
        <v>5409</v>
      </c>
      <c r="I58" s="2405" t="s">
        <v>5409</v>
      </c>
      <c r="J58" s="2347" t="s">
        <v>5409</v>
      </c>
      <c r="K58" s="3212"/>
      <c r="L58" s="3212"/>
      <c r="M58" s="3212" t="s">
        <v>10241</v>
      </c>
      <c r="N58" s="3212" t="s">
        <v>10242</v>
      </c>
      <c r="O58" s="2347" t="s">
        <v>14291</v>
      </c>
      <c r="P58" s="2347" t="s">
        <v>14291</v>
      </c>
      <c r="Q58" s="2347" t="s">
        <v>15472</v>
      </c>
      <c r="R58" s="395" t="s">
        <v>14831</v>
      </c>
    </row>
    <row r="59" spans="1:18">
      <c r="A59" s="2842" t="s">
        <v>4783</v>
      </c>
      <c r="B59" s="2843">
        <v>5192110268</v>
      </c>
      <c r="C59" s="2843">
        <v>230</v>
      </c>
      <c r="D59" s="2844">
        <v>3100000000</v>
      </c>
      <c r="E59" s="2842" t="s">
        <v>4784</v>
      </c>
      <c r="F59" s="2347" t="s">
        <v>5409</v>
      </c>
      <c r="G59" s="2347" t="s">
        <v>5409</v>
      </c>
      <c r="H59" s="2347"/>
      <c r="I59" s="2347" t="s">
        <v>5409</v>
      </c>
      <c r="J59" s="2347"/>
      <c r="K59" s="3212"/>
      <c r="L59" s="3212"/>
      <c r="M59" s="3212" t="s">
        <v>10241</v>
      </c>
      <c r="N59" s="3212" t="s">
        <v>10242</v>
      </c>
      <c r="O59" s="2347" t="s">
        <v>14291</v>
      </c>
      <c r="P59" s="2347" t="s">
        <v>14291</v>
      </c>
      <c r="Q59" s="2347" t="s">
        <v>15478</v>
      </c>
      <c r="R59" s="395" t="s">
        <v>14831</v>
      </c>
    </row>
    <row r="60" spans="1:18">
      <c r="A60" s="2842" t="s">
        <v>8635</v>
      </c>
      <c r="B60" s="2843">
        <v>9705044518</v>
      </c>
      <c r="C60" s="2843">
        <v>434693</v>
      </c>
      <c r="D60" s="2844">
        <v>2010592700</v>
      </c>
      <c r="E60" s="2842" t="s">
        <v>8636</v>
      </c>
      <c r="F60" s="2347" t="s">
        <v>5409</v>
      </c>
      <c r="G60" s="2347" t="s">
        <v>5409</v>
      </c>
      <c r="H60" s="2347" t="s">
        <v>5409</v>
      </c>
      <c r="I60" s="2347" t="s">
        <v>5409</v>
      </c>
      <c r="J60" s="2347"/>
      <c r="K60" s="3212"/>
      <c r="L60" s="3212"/>
      <c r="M60" s="3212" t="s">
        <v>1149</v>
      </c>
      <c r="N60" s="3212"/>
      <c r="O60" s="2347" t="s">
        <v>14291</v>
      </c>
      <c r="P60" s="2347" t="s">
        <v>14292</v>
      </c>
      <c r="Q60" s="2347" t="s">
        <v>15470</v>
      </c>
      <c r="R60" s="395" t="s">
        <v>14831</v>
      </c>
    </row>
    <row r="61" spans="1:18" ht="29">
      <c r="A61" s="2842" t="s">
        <v>4785</v>
      </c>
      <c r="B61" s="2843">
        <v>7706614573</v>
      </c>
      <c r="C61" s="2843">
        <v>88</v>
      </c>
      <c r="D61" s="2844">
        <v>2010230900</v>
      </c>
      <c r="E61" s="2842" t="s">
        <v>9</v>
      </c>
      <c r="F61" s="2347" t="s">
        <v>5409</v>
      </c>
      <c r="G61" s="2347" t="s">
        <v>5409</v>
      </c>
      <c r="H61" s="2347" t="s">
        <v>5409</v>
      </c>
      <c r="I61" s="2347" t="s">
        <v>5409</v>
      </c>
      <c r="J61" s="2347" t="s">
        <v>5409</v>
      </c>
      <c r="K61" s="3212"/>
      <c r="L61" s="3212"/>
      <c r="M61" s="3212" t="s">
        <v>10241</v>
      </c>
      <c r="N61" s="3212" t="s">
        <v>10242</v>
      </c>
      <c r="O61" s="2347" t="s">
        <v>14291</v>
      </c>
      <c r="P61" s="2347" t="s">
        <v>14291</v>
      </c>
      <c r="Q61" s="2347" t="s">
        <v>15467</v>
      </c>
      <c r="R61" s="395" t="s">
        <v>14831</v>
      </c>
    </row>
    <row r="62" spans="1:18">
      <c r="A62" s="2842" t="s">
        <v>5821</v>
      </c>
      <c r="B62" s="2843">
        <v>7725828549</v>
      </c>
      <c r="C62" s="2843">
        <v>365478</v>
      </c>
      <c r="D62" s="2844">
        <v>2010591320</v>
      </c>
      <c r="E62" s="2842" t="s">
        <v>5953</v>
      </c>
      <c r="F62" s="2347" t="s">
        <v>5409</v>
      </c>
      <c r="G62" s="2347" t="s">
        <v>5409</v>
      </c>
      <c r="H62" s="2347" t="s">
        <v>5409</v>
      </c>
      <c r="I62" s="2347" t="s">
        <v>5409</v>
      </c>
      <c r="J62" s="2347"/>
      <c r="K62" s="3212"/>
      <c r="L62" s="3212"/>
      <c r="M62" s="3212" t="s">
        <v>10241</v>
      </c>
      <c r="N62" s="3212" t="s">
        <v>10242</v>
      </c>
      <c r="O62" s="2347" t="s">
        <v>14291</v>
      </c>
      <c r="P62" s="2347" t="s">
        <v>14291</v>
      </c>
      <c r="Q62" s="2347" t="s">
        <v>15479</v>
      </c>
      <c r="R62" s="395" t="s">
        <v>14831</v>
      </c>
    </row>
    <row r="63" spans="1:18">
      <c r="A63" s="2842" t="s">
        <v>4787</v>
      </c>
      <c r="B63" s="2843">
        <v>5029112443</v>
      </c>
      <c r="C63" s="2843">
        <v>296</v>
      </c>
      <c r="D63" s="2844">
        <v>2010590700</v>
      </c>
      <c r="E63" s="2842" t="s">
        <v>5831</v>
      </c>
      <c r="F63" s="2347" t="s">
        <v>5409</v>
      </c>
      <c r="G63" s="2347" t="s">
        <v>5409</v>
      </c>
      <c r="H63" s="2347" t="s">
        <v>5409</v>
      </c>
      <c r="I63" s="2347" t="s">
        <v>5409</v>
      </c>
      <c r="J63" s="2347" t="s">
        <v>5409</v>
      </c>
      <c r="K63" s="3212"/>
      <c r="L63" s="3212"/>
      <c r="M63" s="3212" t="s">
        <v>10241</v>
      </c>
      <c r="N63" s="3212" t="s">
        <v>10242</v>
      </c>
      <c r="O63" s="2347" t="s">
        <v>14291</v>
      </c>
      <c r="P63" s="2347" t="s">
        <v>14291</v>
      </c>
      <c r="Q63" s="2347" t="s">
        <v>15472</v>
      </c>
      <c r="R63" s="395" t="s">
        <v>14831</v>
      </c>
    </row>
    <row r="64" spans="1:18">
      <c r="A64" s="2842" t="s">
        <v>4786</v>
      </c>
      <c r="B64" s="2843">
        <v>7704228075</v>
      </c>
      <c r="C64" s="2843">
        <v>172</v>
      </c>
      <c r="D64" s="2844">
        <v>2010591300</v>
      </c>
      <c r="E64" s="2842" t="s">
        <v>5958</v>
      </c>
      <c r="F64" s="2347" t="s">
        <v>5409</v>
      </c>
      <c r="G64" s="3607" t="s">
        <v>5409</v>
      </c>
      <c r="H64" s="2347" t="s">
        <v>5409</v>
      </c>
      <c r="I64" s="2347" t="s">
        <v>5409</v>
      </c>
      <c r="J64" s="2347"/>
      <c r="K64" s="3212"/>
      <c r="L64" s="3212"/>
      <c r="M64" s="3212" t="s">
        <v>1149</v>
      </c>
      <c r="N64" s="3212"/>
      <c r="O64" s="2347" t="s">
        <v>14291</v>
      </c>
      <c r="P64" s="2347" t="s">
        <v>14291</v>
      </c>
      <c r="Q64" s="2347" t="s">
        <v>15472</v>
      </c>
      <c r="R64" s="395" t="s">
        <v>14831</v>
      </c>
    </row>
    <row r="65" spans="1:18" ht="29">
      <c r="A65" s="2842" t="s">
        <v>4789</v>
      </c>
      <c r="B65" s="2843">
        <v>7802687430</v>
      </c>
      <c r="C65" s="2843">
        <v>592431</v>
      </c>
      <c r="D65" s="2844">
        <v>3010000000</v>
      </c>
      <c r="E65" s="2842" t="s">
        <v>8730</v>
      </c>
      <c r="F65" s="2347" t="s">
        <v>5409</v>
      </c>
      <c r="G65" s="2347" t="s">
        <v>5409</v>
      </c>
      <c r="H65" s="2347"/>
      <c r="I65" s="2347" t="s">
        <v>5409</v>
      </c>
      <c r="J65" s="2347"/>
      <c r="K65" s="3212"/>
      <c r="L65" s="3212"/>
      <c r="M65" s="3212" t="s">
        <v>1149</v>
      </c>
      <c r="N65" s="3212"/>
      <c r="O65" s="2347" t="s">
        <v>14291</v>
      </c>
      <c r="P65" s="2347" t="s">
        <v>14291</v>
      </c>
      <c r="Q65" s="2347" t="s">
        <v>15477</v>
      </c>
      <c r="R65" s="395" t="s">
        <v>14831</v>
      </c>
    </row>
    <row r="66" spans="1:18" ht="29">
      <c r="A66" s="2842" t="s">
        <v>4790</v>
      </c>
      <c r="B66" s="2843">
        <v>7817311895</v>
      </c>
      <c r="C66" s="2843">
        <v>353</v>
      </c>
      <c r="D66" s="2844">
        <v>2010230904</v>
      </c>
      <c r="E66" s="2842" t="s">
        <v>5960</v>
      </c>
      <c r="F66" s="2347" t="s">
        <v>5409</v>
      </c>
      <c r="G66" s="2347" t="s">
        <v>5409</v>
      </c>
      <c r="H66" s="2347" t="s">
        <v>5409</v>
      </c>
      <c r="I66" s="2347" t="s">
        <v>5409</v>
      </c>
      <c r="J66" s="2347" t="s">
        <v>5409</v>
      </c>
      <c r="K66" s="3212"/>
      <c r="L66" s="3212"/>
      <c r="M66" s="3212" t="s">
        <v>1149</v>
      </c>
      <c r="N66" s="3212"/>
      <c r="O66" s="2347" t="s">
        <v>14291</v>
      </c>
      <c r="P66" s="2347" t="s">
        <v>14291</v>
      </c>
      <c r="Q66" s="2347" t="s">
        <v>15467</v>
      </c>
      <c r="R66" s="395" t="s">
        <v>14831</v>
      </c>
    </row>
    <row r="67" spans="1:18">
      <c r="A67" s="2842" t="s">
        <v>4791</v>
      </c>
      <c r="B67" s="2843">
        <v>7701796320</v>
      </c>
      <c r="C67" s="2843">
        <v>143</v>
      </c>
      <c r="D67" s="2844">
        <v>2010360000</v>
      </c>
      <c r="E67" s="2842" t="s">
        <v>7</v>
      </c>
      <c r="F67" s="2347" t="s">
        <v>5409</v>
      </c>
      <c r="G67" s="2347" t="s">
        <v>5409</v>
      </c>
      <c r="H67" s="2405"/>
      <c r="I67" s="2405" t="s">
        <v>5409</v>
      </c>
      <c r="J67" s="2347" t="s">
        <v>5409</v>
      </c>
      <c r="K67" s="3212"/>
      <c r="L67" s="3212"/>
      <c r="M67" s="3212" t="s">
        <v>10241</v>
      </c>
      <c r="N67" s="3212" t="s">
        <v>10243</v>
      </c>
      <c r="O67" s="2347" t="s">
        <v>14291</v>
      </c>
      <c r="P67" s="2347" t="s">
        <v>14291</v>
      </c>
      <c r="Q67" s="2347" t="s">
        <v>15475</v>
      </c>
      <c r="R67" s="395" t="s">
        <v>14831</v>
      </c>
    </row>
    <row r="68" spans="1:18" ht="29">
      <c r="A68" s="2842" t="s">
        <v>4713</v>
      </c>
      <c r="B68" s="2843">
        <v>7706664260</v>
      </c>
      <c r="C68" s="2843">
        <v>16</v>
      </c>
      <c r="D68" s="2844">
        <v>2010000000</v>
      </c>
      <c r="E68" s="2842" t="s">
        <v>5832</v>
      </c>
      <c r="F68" s="2347" t="s">
        <v>5409</v>
      </c>
      <c r="G68" s="2347" t="s">
        <v>5409</v>
      </c>
      <c r="H68" s="2347" t="s">
        <v>5409</v>
      </c>
      <c r="I68" s="2347" t="s">
        <v>5409</v>
      </c>
      <c r="J68" s="2347" t="s">
        <v>5409</v>
      </c>
      <c r="K68" s="3212"/>
      <c r="L68" s="3212"/>
      <c r="M68" s="3212" t="s">
        <v>10241</v>
      </c>
      <c r="N68" s="3212" t="s">
        <v>10244</v>
      </c>
      <c r="O68" s="2347" t="s">
        <v>14291</v>
      </c>
      <c r="P68" s="2347" t="s">
        <v>14291</v>
      </c>
      <c r="Q68" s="2347" t="s">
        <v>15470</v>
      </c>
      <c r="R68" s="395" t="s">
        <v>14831</v>
      </c>
    </row>
    <row r="69" spans="1:18" ht="29">
      <c r="A69" s="2842" t="s">
        <v>4792</v>
      </c>
      <c r="B69" s="2843">
        <v>3801098402</v>
      </c>
      <c r="C69" s="2843">
        <v>144</v>
      </c>
      <c r="D69" s="2844">
        <v>2010370000</v>
      </c>
      <c r="E69" s="2842" t="s">
        <v>5961</v>
      </c>
      <c r="F69" s="2347" t="s">
        <v>5409</v>
      </c>
      <c r="G69" s="2347" t="s">
        <v>5409</v>
      </c>
      <c r="H69" s="2347" t="s">
        <v>5409</v>
      </c>
      <c r="I69" s="2347" t="s">
        <v>5409</v>
      </c>
      <c r="J69" s="2347" t="s">
        <v>5409</v>
      </c>
      <c r="K69" s="3212"/>
      <c r="L69" s="3212"/>
      <c r="M69" s="3212" t="s">
        <v>10241</v>
      </c>
      <c r="N69" s="3212" t="s">
        <v>10244</v>
      </c>
      <c r="O69" s="2347" t="s">
        <v>14291</v>
      </c>
      <c r="P69" s="2347" t="s">
        <v>14291</v>
      </c>
      <c r="Q69" s="2347" t="s">
        <v>15239</v>
      </c>
      <c r="R69" s="395" t="s">
        <v>14831</v>
      </c>
    </row>
    <row r="70" spans="1:18">
      <c r="A70" s="2842" t="s">
        <v>4793</v>
      </c>
      <c r="B70" s="2843">
        <v>3904612644</v>
      </c>
      <c r="C70" s="2843">
        <v>360</v>
      </c>
      <c r="D70" s="2844">
        <v>2010592100</v>
      </c>
      <c r="E70" s="2842" t="s">
        <v>5833</v>
      </c>
      <c r="F70" s="2347" t="s">
        <v>5409</v>
      </c>
      <c r="G70" s="2865"/>
      <c r="H70" s="2347" t="s">
        <v>5409</v>
      </c>
      <c r="I70" s="2347" t="s">
        <v>5409</v>
      </c>
      <c r="J70" s="2347"/>
      <c r="K70" s="3212"/>
      <c r="L70" s="3212"/>
      <c r="M70" s="3212" t="s">
        <v>1149</v>
      </c>
      <c r="N70" s="3212"/>
      <c r="O70" s="2347" t="s">
        <v>14291</v>
      </c>
      <c r="P70" s="2347" t="s">
        <v>14292</v>
      </c>
      <c r="Q70" s="2347" t="s">
        <v>15472</v>
      </c>
      <c r="R70" s="395" t="s">
        <v>14831</v>
      </c>
    </row>
    <row r="71" spans="1:18">
      <c r="A71" s="3116" t="s">
        <v>14716</v>
      </c>
      <c r="B71" s="3504">
        <v>3123169468</v>
      </c>
      <c r="C71" s="3504">
        <v>711324</v>
      </c>
      <c r="D71" s="3505">
        <v>2021000710</v>
      </c>
      <c r="E71" s="3506" t="s">
        <v>14717</v>
      </c>
      <c r="F71" s="2347" t="s">
        <v>5409</v>
      </c>
      <c r="G71" s="2347" t="s">
        <v>5409</v>
      </c>
      <c r="H71" s="2347" t="s">
        <v>5409</v>
      </c>
      <c r="I71" s="2347" t="s">
        <v>5409</v>
      </c>
      <c r="J71" s="2347"/>
      <c r="K71" s="3212"/>
      <c r="L71" s="3212"/>
      <c r="M71" s="3212" t="s">
        <v>1149</v>
      </c>
      <c r="N71" s="3212"/>
      <c r="O71" s="2347" t="s">
        <v>14291</v>
      </c>
      <c r="P71" s="2347" t="s">
        <v>14291</v>
      </c>
      <c r="Q71" s="2347" t="s">
        <v>9936</v>
      </c>
      <c r="R71" s="395" t="s">
        <v>14831</v>
      </c>
    </row>
    <row r="72" spans="1:18" ht="29">
      <c r="A72" s="2842" t="s">
        <v>2919</v>
      </c>
      <c r="B72" s="2843">
        <v>6143066681</v>
      </c>
      <c r="C72" s="2843">
        <v>303</v>
      </c>
      <c r="D72" s="2844">
        <v>2010620300</v>
      </c>
      <c r="E72" s="2842" t="s">
        <v>5372</v>
      </c>
      <c r="F72" s="2347" t="s">
        <v>5409</v>
      </c>
      <c r="G72" s="2347" t="s">
        <v>5409</v>
      </c>
      <c r="H72" s="2638"/>
      <c r="I72" s="2347" t="s">
        <v>5409</v>
      </c>
      <c r="J72" s="2347"/>
      <c r="K72" s="3212"/>
      <c r="L72" s="3212"/>
      <c r="M72" s="3212" t="s">
        <v>10241</v>
      </c>
      <c r="N72" s="3212" t="s">
        <v>10243</v>
      </c>
      <c r="O72" s="2347" t="s">
        <v>14291</v>
      </c>
      <c r="P72" s="2347" t="s">
        <v>14291</v>
      </c>
      <c r="Q72" s="2347" t="s">
        <v>15475</v>
      </c>
      <c r="R72" s="395" t="s">
        <v>14831</v>
      </c>
    </row>
    <row r="73" spans="1:18" ht="29">
      <c r="A73" s="2842" t="s">
        <v>1606</v>
      </c>
      <c r="B73" s="2843">
        <v>5036118291</v>
      </c>
      <c r="C73" s="2843">
        <v>261160</v>
      </c>
      <c r="D73" s="2844">
        <v>2010230956</v>
      </c>
      <c r="E73" s="2842" t="s">
        <v>6007</v>
      </c>
      <c r="F73" s="2347" t="s">
        <v>5409</v>
      </c>
      <c r="G73" s="2405" t="s">
        <v>5409</v>
      </c>
      <c r="H73" s="2405"/>
      <c r="I73" s="2405" t="s">
        <v>5409</v>
      </c>
      <c r="J73" s="2347"/>
      <c r="K73" s="3212"/>
      <c r="L73" s="3212"/>
      <c r="M73" s="3212" t="s">
        <v>10241</v>
      </c>
      <c r="N73" s="3212" t="s">
        <v>10242</v>
      </c>
      <c r="O73" s="2347" t="s">
        <v>14291</v>
      </c>
      <c r="P73" s="2347" t="s">
        <v>14291</v>
      </c>
      <c r="Q73" s="2347" t="s">
        <v>15479</v>
      </c>
      <c r="R73" s="395" t="s">
        <v>14831</v>
      </c>
    </row>
    <row r="74" spans="1:18" ht="29">
      <c r="A74" s="2842" t="s">
        <v>8162</v>
      </c>
      <c r="B74" s="2843">
        <v>9701098248</v>
      </c>
      <c r="C74" s="2843">
        <v>535643</v>
      </c>
      <c r="D74" s="2844">
        <v>2010230957</v>
      </c>
      <c r="E74" s="2842" t="s">
        <v>8163</v>
      </c>
      <c r="F74" s="2347" t="s">
        <v>5409</v>
      </c>
      <c r="G74" s="2405" t="s">
        <v>5409</v>
      </c>
      <c r="H74" s="2405"/>
      <c r="I74" s="2405" t="s">
        <v>5409</v>
      </c>
      <c r="J74" s="2347"/>
      <c r="K74" s="3212"/>
      <c r="L74" s="3212"/>
      <c r="M74" s="3212" t="s">
        <v>10241</v>
      </c>
      <c r="N74" s="3212" t="s">
        <v>10242</v>
      </c>
      <c r="O74" s="2347" t="s">
        <v>14291</v>
      </c>
      <c r="P74" s="2347" t="s">
        <v>14291</v>
      </c>
      <c r="Q74" s="2347" t="s">
        <v>15479</v>
      </c>
      <c r="R74" s="395" t="s">
        <v>14831</v>
      </c>
    </row>
    <row r="75" spans="1:18" ht="29">
      <c r="A75" s="3116" t="s">
        <v>14695</v>
      </c>
      <c r="B75" s="3504">
        <v>9705164149</v>
      </c>
      <c r="C75" s="3504">
        <v>704106</v>
      </c>
      <c r="D75" s="3505">
        <v>2010230961</v>
      </c>
      <c r="E75" s="3506" t="s">
        <v>14696</v>
      </c>
      <c r="F75" s="2347" t="s">
        <v>5409</v>
      </c>
      <c r="G75" s="2347" t="s">
        <v>5409</v>
      </c>
      <c r="H75" s="2347" t="s">
        <v>5409</v>
      </c>
      <c r="I75" s="2347" t="s">
        <v>5409</v>
      </c>
      <c r="J75" s="2347"/>
      <c r="K75" s="3212"/>
      <c r="L75" s="3212"/>
      <c r="M75" s="3212" t="s">
        <v>10241</v>
      </c>
      <c r="N75" s="3212" t="s">
        <v>10242</v>
      </c>
      <c r="O75" s="2347" t="s">
        <v>14291</v>
      </c>
      <c r="P75" s="2347" t="s">
        <v>14291</v>
      </c>
      <c r="Q75" s="2347" t="s">
        <v>15479</v>
      </c>
      <c r="R75" s="395" t="s">
        <v>14831</v>
      </c>
    </row>
    <row r="76" spans="1:18" ht="43.5">
      <c r="A76" s="2842" t="s">
        <v>4795</v>
      </c>
      <c r="B76" s="2843">
        <v>7707074137</v>
      </c>
      <c r="C76" s="2843">
        <v>2</v>
      </c>
      <c r="D76" s="2844">
        <v>1020000000</v>
      </c>
      <c r="E76" s="2842" t="s">
        <v>5962</v>
      </c>
      <c r="F76" s="2347" t="s">
        <v>5409</v>
      </c>
      <c r="G76" s="2347" t="s">
        <v>5409</v>
      </c>
      <c r="H76" s="2347"/>
      <c r="I76" s="2347" t="s">
        <v>5409</v>
      </c>
      <c r="J76" s="2347"/>
      <c r="K76" s="3212"/>
      <c r="L76" s="3212"/>
      <c r="M76" s="3212" t="s">
        <v>1149</v>
      </c>
      <c r="N76" s="3212"/>
      <c r="O76" s="2347" t="s">
        <v>14291</v>
      </c>
      <c r="P76" s="2347" t="s">
        <v>14291</v>
      </c>
      <c r="Q76" s="2347" t="s">
        <v>15480</v>
      </c>
      <c r="R76" s="395" t="s">
        <v>14831</v>
      </c>
    </row>
    <row r="77" spans="1:18" ht="43.5">
      <c r="A77" s="2842" t="s">
        <v>4796</v>
      </c>
      <c r="B77" s="2843">
        <v>7721247141</v>
      </c>
      <c r="C77" s="2843">
        <v>348</v>
      </c>
      <c r="D77" s="2844">
        <v>2010591800</v>
      </c>
      <c r="E77" s="2842" t="s">
        <v>5834</v>
      </c>
      <c r="F77" s="2347" t="s">
        <v>5409</v>
      </c>
      <c r="G77" s="2347" t="s">
        <v>5409</v>
      </c>
      <c r="H77" s="2347" t="s">
        <v>5409</v>
      </c>
      <c r="I77" s="2347" t="s">
        <v>5409</v>
      </c>
      <c r="J77" s="2347" t="s">
        <v>5409</v>
      </c>
      <c r="K77" s="3212"/>
      <c r="L77" s="3212"/>
      <c r="M77" s="3212" t="s">
        <v>10241</v>
      </c>
      <c r="N77" s="3212" t="s">
        <v>10242</v>
      </c>
      <c r="O77" s="2347" t="s">
        <v>14291</v>
      </c>
      <c r="P77" s="2347" t="s">
        <v>14291</v>
      </c>
      <c r="Q77" s="2347" t="s">
        <v>15472</v>
      </c>
      <c r="R77" s="395" t="s">
        <v>14831</v>
      </c>
    </row>
    <row r="78" spans="1:18" ht="72.5">
      <c r="A78" s="2842" t="s">
        <v>5450</v>
      </c>
      <c r="B78" s="2843">
        <v>7734598490</v>
      </c>
      <c r="C78" s="2843">
        <v>148</v>
      </c>
      <c r="D78" s="2844">
        <v>2010400000</v>
      </c>
      <c r="E78" s="2842" t="s">
        <v>8743</v>
      </c>
      <c r="F78" s="2347" t="s">
        <v>5409</v>
      </c>
      <c r="G78" s="2347" t="s">
        <v>5409</v>
      </c>
      <c r="H78" s="2347" t="s">
        <v>5409</v>
      </c>
      <c r="I78" s="2347" t="s">
        <v>5409</v>
      </c>
      <c r="J78" s="2347" t="s">
        <v>5409</v>
      </c>
      <c r="K78" s="3212"/>
      <c r="L78" s="3212"/>
      <c r="M78" s="3212" t="s">
        <v>10241</v>
      </c>
      <c r="N78" s="3212" t="s">
        <v>10244</v>
      </c>
      <c r="O78" s="2347" t="s">
        <v>14291</v>
      </c>
      <c r="P78" s="2347" t="s">
        <v>14291</v>
      </c>
      <c r="Q78" s="2347" t="s">
        <v>15239</v>
      </c>
      <c r="R78" s="395" t="s">
        <v>14831</v>
      </c>
    </row>
    <row r="79" spans="1:18" ht="58">
      <c r="A79" s="2842" t="s">
        <v>4797</v>
      </c>
      <c r="B79" s="2843">
        <v>7423000572</v>
      </c>
      <c r="C79" s="2843">
        <v>10</v>
      </c>
      <c r="D79" s="2844">
        <v>1110000000</v>
      </c>
      <c r="E79" s="2842" t="s">
        <v>4798</v>
      </c>
      <c r="F79" s="2347" t="s">
        <v>5409</v>
      </c>
      <c r="G79" s="2347" t="s">
        <v>5409</v>
      </c>
      <c r="H79" s="2347"/>
      <c r="I79" s="2347" t="s">
        <v>5409</v>
      </c>
      <c r="J79" s="2347"/>
      <c r="K79" s="3212"/>
      <c r="L79" s="3212"/>
      <c r="M79" s="3212" t="s">
        <v>1149</v>
      </c>
      <c r="N79" s="3212"/>
      <c r="O79" s="2347" t="s">
        <v>14291</v>
      </c>
      <c r="P79" s="2347" t="s">
        <v>14291</v>
      </c>
      <c r="Q79" s="2347" t="s">
        <v>15480</v>
      </c>
      <c r="R79" s="395" t="s">
        <v>14831</v>
      </c>
    </row>
    <row r="80" spans="1:18" ht="43.5">
      <c r="A80" s="2842" t="s">
        <v>4799</v>
      </c>
      <c r="B80" s="2843">
        <v>7724675770</v>
      </c>
      <c r="C80" s="2843">
        <v>272</v>
      </c>
      <c r="D80" s="2844">
        <v>2010420000</v>
      </c>
      <c r="E80" s="2842" t="s">
        <v>5963</v>
      </c>
      <c r="F80" s="2347" t="s">
        <v>5409</v>
      </c>
      <c r="G80" s="2347" t="s">
        <v>5409</v>
      </c>
      <c r="H80" s="2347" t="s">
        <v>5409</v>
      </c>
      <c r="I80" s="2347" t="s">
        <v>5409</v>
      </c>
      <c r="J80" s="2347"/>
      <c r="K80" s="3212"/>
      <c r="L80" s="3212"/>
      <c r="M80" s="3212" t="s">
        <v>10241</v>
      </c>
      <c r="N80" s="3212" t="s">
        <v>10242</v>
      </c>
      <c r="O80" s="2347" t="s">
        <v>14291</v>
      </c>
      <c r="P80" s="2347" t="s">
        <v>14291</v>
      </c>
      <c r="Q80" s="2347" t="s">
        <v>2547</v>
      </c>
      <c r="R80" s="395" t="s">
        <v>14831</v>
      </c>
    </row>
    <row r="81" spans="1:18" ht="72.5">
      <c r="A81" s="2842" t="s">
        <v>5446</v>
      </c>
      <c r="B81" s="2843">
        <v>5254001230</v>
      </c>
      <c r="C81" s="2843">
        <v>14</v>
      </c>
      <c r="D81" s="2844">
        <v>1150000000</v>
      </c>
      <c r="E81" s="2842" t="s">
        <v>4800</v>
      </c>
      <c r="F81" s="2347" t="s">
        <v>5409</v>
      </c>
      <c r="G81" s="2347" t="s">
        <v>5409</v>
      </c>
      <c r="H81" s="2347"/>
      <c r="I81" s="2347" t="s">
        <v>5409</v>
      </c>
      <c r="J81" s="2347"/>
      <c r="K81" s="3212"/>
      <c r="L81" s="3212"/>
      <c r="M81" s="3212" t="s">
        <v>1149</v>
      </c>
      <c r="N81" s="3212"/>
      <c r="O81" s="2347" t="s">
        <v>14291</v>
      </c>
      <c r="P81" s="2347" t="s">
        <v>14291</v>
      </c>
      <c r="Q81" s="2347" t="s">
        <v>15480</v>
      </c>
      <c r="R81" s="395" t="s">
        <v>14831</v>
      </c>
    </row>
    <row r="82" spans="1:18" ht="43.5">
      <c r="A82" s="2842" t="s">
        <v>4801</v>
      </c>
      <c r="B82" s="2843">
        <v>7724683379</v>
      </c>
      <c r="C82" s="2843">
        <v>150</v>
      </c>
      <c r="D82" s="2844">
        <v>2010430000</v>
      </c>
      <c r="E82" s="2842" t="s">
        <v>5964</v>
      </c>
      <c r="F82" s="2347" t="s">
        <v>5409</v>
      </c>
      <c r="G82" s="2347" t="s">
        <v>5409</v>
      </c>
      <c r="H82" s="2347" t="s">
        <v>5409</v>
      </c>
      <c r="I82" s="2347" t="s">
        <v>5409</v>
      </c>
      <c r="J82" s="2347" t="s">
        <v>5409</v>
      </c>
      <c r="K82" s="3212"/>
      <c r="L82" s="3212"/>
      <c r="M82" s="3212" t="s">
        <v>10241</v>
      </c>
      <c r="N82" s="3212" t="s">
        <v>10242</v>
      </c>
      <c r="O82" s="2347" t="s">
        <v>14291</v>
      </c>
      <c r="P82" s="2347" t="s">
        <v>14291</v>
      </c>
      <c r="Q82" s="2347" t="s">
        <v>15474</v>
      </c>
      <c r="R82" s="395" t="s">
        <v>14831</v>
      </c>
    </row>
    <row r="83" spans="1:18" ht="29">
      <c r="A83" s="2842" t="s">
        <v>4794</v>
      </c>
      <c r="B83" s="2843">
        <v>7704674312</v>
      </c>
      <c r="C83" s="2843">
        <v>145</v>
      </c>
      <c r="D83" s="2844">
        <v>2010380000</v>
      </c>
      <c r="E83" s="2842" t="s">
        <v>7664</v>
      </c>
      <c r="F83" s="2347" t="s">
        <v>5409</v>
      </c>
      <c r="G83" s="2347" t="s">
        <v>5409</v>
      </c>
      <c r="H83" s="2347" t="s">
        <v>5409</v>
      </c>
      <c r="I83" s="2347" t="s">
        <v>5409</v>
      </c>
      <c r="J83" s="2347"/>
      <c r="K83" s="3212"/>
      <c r="L83" s="3212"/>
      <c r="M83" s="3212" t="s">
        <v>10241</v>
      </c>
      <c r="N83" s="3212" t="s">
        <v>10242</v>
      </c>
      <c r="O83" s="2347" t="s">
        <v>14291</v>
      </c>
      <c r="P83" s="2347" t="s">
        <v>14291</v>
      </c>
      <c r="Q83" s="2347" t="s">
        <v>15471</v>
      </c>
      <c r="R83" s="395" t="s">
        <v>14831</v>
      </c>
    </row>
    <row r="84" spans="1:18">
      <c r="A84" s="3116" t="s">
        <v>15160</v>
      </c>
      <c r="B84" s="3504">
        <v>2508064833</v>
      </c>
      <c r="C84" s="3504">
        <v>284971</v>
      </c>
      <c r="D84" s="3505">
        <v>2011304000</v>
      </c>
      <c r="E84" s="3506" t="s">
        <v>15161</v>
      </c>
      <c r="F84" s="2405" t="s">
        <v>5409</v>
      </c>
      <c r="G84" s="2405"/>
      <c r="H84" s="2405" t="s">
        <v>5409</v>
      </c>
      <c r="I84" s="2405" t="s">
        <v>5409</v>
      </c>
      <c r="J84" s="2347"/>
      <c r="K84" s="3212"/>
      <c r="L84" s="2347"/>
      <c r="M84" s="2347" t="s">
        <v>1149</v>
      </c>
      <c r="N84" s="2347"/>
      <c r="O84" s="2347" t="s">
        <v>14291</v>
      </c>
      <c r="P84" s="2347" t="s">
        <v>14291</v>
      </c>
      <c r="Q84" s="2347" t="s">
        <v>15468</v>
      </c>
      <c r="R84" s="395" t="s">
        <v>14831</v>
      </c>
    </row>
    <row r="85" spans="1:18">
      <c r="A85" s="2842" t="s">
        <v>8867</v>
      </c>
      <c r="B85" s="2843">
        <v>7812022096</v>
      </c>
      <c r="C85" s="2843">
        <v>192162</v>
      </c>
      <c r="D85" s="2844">
        <v>4190000000</v>
      </c>
      <c r="E85" s="2842" t="s">
        <v>8868</v>
      </c>
      <c r="F85" s="2347" t="s">
        <v>5409</v>
      </c>
      <c r="G85" s="2347" t="s">
        <v>5409</v>
      </c>
      <c r="H85" s="2347"/>
      <c r="I85" s="2347" t="s">
        <v>5409</v>
      </c>
      <c r="J85" s="2347"/>
      <c r="K85" s="3212"/>
      <c r="L85" s="3212"/>
      <c r="M85" s="3212" t="s">
        <v>10241</v>
      </c>
      <c r="N85" s="3212" t="s">
        <v>10242</v>
      </c>
      <c r="O85" s="2347" t="s">
        <v>14291</v>
      </c>
      <c r="P85" s="2347" t="s">
        <v>14291</v>
      </c>
      <c r="Q85" s="2347" t="s">
        <v>15478</v>
      </c>
      <c r="R85" s="395" t="s">
        <v>14831</v>
      </c>
    </row>
    <row r="86" spans="1:18" ht="43.5">
      <c r="A86" s="2842" t="s">
        <v>4802</v>
      </c>
      <c r="B86" s="2843">
        <v>5036092340</v>
      </c>
      <c r="C86" s="2843">
        <v>184</v>
      </c>
      <c r="D86" s="2844">
        <v>2010710000</v>
      </c>
      <c r="E86" s="2842" t="s">
        <v>9870</v>
      </c>
      <c r="F86" s="2347" t="s">
        <v>5409</v>
      </c>
      <c r="G86" s="2347" t="s">
        <v>5409</v>
      </c>
      <c r="H86" s="2347" t="s">
        <v>5409</v>
      </c>
      <c r="I86" s="2347" t="s">
        <v>5409</v>
      </c>
      <c r="J86" s="2347" t="s">
        <v>5409</v>
      </c>
      <c r="K86" s="3212"/>
      <c r="L86" s="3212"/>
      <c r="M86" s="3212" t="s">
        <v>10241</v>
      </c>
      <c r="N86" s="3212" t="s">
        <v>10242</v>
      </c>
      <c r="O86" s="2347" t="s">
        <v>14291</v>
      </c>
      <c r="P86" s="2347" t="s">
        <v>14291</v>
      </c>
      <c r="Q86" s="2347" t="s">
        <v>15467</v>
      </c>
      <c r="R86" s="395" t="s">
        <v>14831</v>
      </c>
    </row>
    <row r="87" spans="1:18" ht="58">
      <c r="A87" s="2842" t="s">
        <v>4803</v>
      </c>
      <c r="B87" s="2843">
        <v>7706699062</v>
      </c>
      <c r="C87" s="2843">
        <v>279</v>
      </c>
      <c r="D87" s="2844">
        <v>2010470000</v>
      </c>
      <c r="E87" s="2842" t="s">
        <v>10137</v>
      </c>
      <c r="F87" s="2347" t="s">
        <v>5409</v>
      </c>
      <c r="G87" s="2347" t="s">
        <v>5409</v>
      </c>
      <c r="H87" s="2347" t="s">
        <v>5409</v>
      </c>
      <c r="I87" s="2347" t="s">
        <v>5409</v>
      </c>
      <c r="J87" s="2347"/>
      <c r="K87" s="3212"/>
      <c r="L87" s="3212"/>
      <c r="M87" s="3212" t="s">
        <v>10241</v>
      </c>
      <c r="N87" s="3212" t="s">
        <v>10242</v>
      </c>
      <c r="O87" s="2347" t="s">
        <v>14291</v>
      </c>
      <c r="P87" s="2347" t="s">
        <v>14291</v>
      </c>
      <c r="Q87" s="2347" t="s">
        <v>2547</v>
      </c>
      <c r="R87" s="395" t="s">
        <v>14831</v>
      </c>
    </row>
    <row r="88" spans="1:18">
      <c r="A88" s="2842" t="s">
        <v>15129</v>
      </c>
      <c r="B88" s="2843">
        <v>2315123296</v>
      </c>
      <c r="C88" s="2843">
        <v>246792</v>
      </c>
      <c r="D88" s="2844">
        <v>2011322000</v>
      </c>
      <c r="E88" s="2842" t="s">
        <v>15128</v>
      </c>
      <c r="F88" s="2405" t="s">
        <v>5409</v>
      </c>
      <c r="G88" s="2405" t="s">
        <v>5409</v>
      </c>
      <c r="H88" s="2405" t="s">
        <v>5409</v>
      </c>
      <c r="I88" s="2405" t="s">
        <v>5409</v>
      </c>
      <c r="J88" s="2347"/>
      <c r="K88" s="3212"/>
      <c r="L88" s="3212"/>
      <c r="M88" s="2347"/>
      <c r="N88" s="3212"/>
      <c r="O88" s="3602" t="s">
        <v>14291</v>
      </c>
      <c r="P88" s="2347" t="s">
        <v>14291</v>
      </c>
      <c r="Q88" s="2347" t="s">
        <v>15468</v>
      </c>
      <c r="R88" s="395" t="s">
        <v>14831</v>
      </c>
    </row>
    <row r="89" spans="1:18">
      <c r="A89" s="3116" t="s">
        <v>15426</v>
      </c>
      <c r="B89" s="3504">
        <v>3123326294</v>
      </c>
      <c r="C89" s="3504">
        <v>680042</v>
      </c>
      <c r="D89" s="3505">
        <v>2011355470</v>
      </c>
      <c r="E89" s="3506" t="s">
        <v>15427</v>
      </c>
      <c r="F89" s="2405" t="s">
        <v>5409</v>
      </c>
      <c r="G89" s="2405" t="s">
        <v>5409</v>
      </c>
      <c r="H89" s="2405" t="s">
        <v>5409</v>
      </c>
      <c r="I89" s="2405" t="s">
        <v>5409</v>
      </c>
      <c r="J89" s="2347"/>
      <c r="K89" s="3212"/>
      <c r="L89" s="2347"/>
      <c r="M89" s="2347"/>
      <c r="N89" s="2347"/>
      <c r="O89" s="2347" t="s">
        <v>14291</v>
      </c>
      <c r="P89" s="2347" t="s">
        <v>14291</v>
      </c>
      <c r="Q89" s="2347" t="s">
        <v>9936</v>
      </c>
      <c r="R89" s="395" t="s">
        <v>14831</v>
      </c>
    </row>
    <row r="90" spans="1:18">
      <c r="A90" s="3116" t="s">
        <v>15428</v>
      </c>
      <c r="B90" s="3504">
        <v>3123411084</v>
      </c>
      <c r="C90" s="3504">
        <v>680043</v>
      </c>
      <c r="D90" s="3505">
        <v>2011355400</v>
      </c>
      <c r="E90" s="3506" t="s">
        <v>15429</v>
      </c>
      <c r="F90" s="2405" t="s">
        <v>5409</v>
      </c>
      <c r="G90" s="2405" t="s">
        <v>5409</v>
      </c>
      <c r="H90" s="2405" t="s">
        <v>5409</v>
      </c>
      <c r="I90" s="2405" t="s">
        <v>5409</v>
      </c>
      <c r="J90" s="2347"/>
      <c r="K90" s="3212"/>
      <c r="L90" s="2347"/>
      <c r="M90" s="2347"/>
      <c r="N90" s="2347"/>
      <c r="O90" s="2347" t="s">
        <v>14291</v>
      </c>
      <c r="P90" s="2347" t="s">
        <v>14291</v>
      </c>
      <c r="Q90" s="2347" t="s">
        <v>9936</v>
      </c>
      <c r="R90" s="395" t="s">
        <v>14831</v>
      </c>
    </row>
    <row r="91" spans="1:18" ht="29">
      <c r="A91" s="2842" t="s">
        <v>7640</v>
      </c>
      <c r="B91" s="2843">
        <v>7706413348</v>
      </c>
      <c r="C91" s="2843">
        <v>250</v>
      </c>
      <c r="D91" s="2844" t="s">
        <v>5375</v>
      </c>
      <c r="E91" s="2842" t="s">
        <v>5553</v>
      </c>
      <c r="F91" s="2347" t="s">
        <v>5409</v>
      </c>
      <c r="G91" s="2347" t="s">
        <v>5409</v>
      </c>
      <c r="H91" s="2347"/>
      <c r="I91" s="2347" t="s">
        <v>5409</v>
      </c>
      <c r="J91" s="2347" t="s">
        <v>5409</v>
      </c>
      <c r="K91" s="3212"/>
      <c r="L91" s="3212"/>
      <c r="M91" s="3212" t="s">
        <v>10241</v>
      </c>
      <c r="N91" s="3212" t="s">
        <v>10244</v>
      </c>
      <c r="O91" s="2347" t="s">
        <v>14291</v>
      </c>
      <c r="P91" s="2347" t="s">
        <v>14291</v>
      </c>
      <c r="Q91" s="2347" t="s">
        <v>15470</v>
      </c>
      <c r="R91" s="395" t="s">
        <v>14831</v>
      </c>
    </row>
    <row r="92" spans="1:18">
      <c r="A92" s="3116" t="s">
        <v>15165</v>
      </c>
      <c r="B92" s="3504" t="s">
        <v>15166</v>
      </c>
      <c r="C92" s="3504">
        <v>639732</v>
      </c>
      <c r="D92" s="3505">
        <v>2011306000</v>
      </c>
      <c r="E92" s="3506" t="s">
        <v>15167</v>
      </c>
      <c r="F92" s="2405" t="s">
        <v>5409</v>
      </c>
      <c r="G92" s="2405"/>
      <c r="H92" s="2405" t="s">
        <v>5409</v>
      </c>
      <c r="I92" s="2405" t="s">
        <v>5409</v>
      </c>
      <c r="J92" s="2347"/>
      <c r="K92" s="3212"/>
      <c r="L92" s="2347"/>
      <c r="M92" s="2347" t="s">
        <v>1149</v>
      </c>
      <c r="N92" s="2347"/>
      <c r="O92" s="2347" t="s">
        <v>14291</v>
      </c>
      <c r="P92" s="2347" t="s">
        <v>14291</v>
      </c>
      <c r="Q92" s="2347" t="s">
        <v>15468</v>
      </c>
      <c r="R92" s="395" t="s">
        <v>8518</v>
      </c>
    </row>
    <row r="93" spans="1:18">
      <c r="A93" s="3116" t="s">
        <v>15162</v>
      </c>
      <c r="B93" s="3504" t="s">
        <v>15163</v>
      </c>
      <c r="C93" s="3504">
        <v>675109</v>
      </c>
      <c r="D93" s="3505">
        <v>2011305000</v>
      </c>
      <c r="E93" s="3506" t="s">
        <v>15164</v>
      </c>
      <c r="F93" s="2405" t="s">
        <v>5409</v>
      </c>
      <c r="G93" s="2405"/>
      <c r="H93" s="2405" t="s">
        <v>5409</v>
      </c>
      <c r="I93" s="2405" t="s">
        <v>5409</v>
      </c>
      <c r="J93" s="2347"/>
      <c r="K93" s="3212"/>
      <c r="L93" s="2347"/>
      <c r="M93" s="2347" t="s">
        <v>1149</v>
      </c>
      <c r="N93" s="2347"/>
      <c r="O93" s="2347" t="s">
        <v>14291</v>
      </c>
      <c r="P93" s="2347" t="s">
        <v>14291</v>
      </c>
      <c r="Q93" s="2347" t="s">
        <v>15468</v>
      </c>
      <c r="R93" s="395" t="s">
        <v>8518</v>
      </c>
    </row>
    <row r="94" spans="1:18">
      <c r="A94" s="2842" t="s">
        <v>4711</v>
      </c>
      <c r="B94" s="2843">
        <v>7706729736</v>
      </c>
      <c r="C94" s="2843">
        <v>246</v>
      </c>
      <c r="D94" s="2844">
        <v>2010900000</v>
      </c>
      <c r="E94" s="2842" t="s">
        <v>6273</v>
      </c>
      <c r="F94" s="2347" t="s">
        <v>5409</v>
      </c>
      <c r="G94" s="2347" t="s">
        <v>5409</v>
      </c>
      <c r="H94" s="2347" t="s">
        <v>5409</v>
      </c>
      <c r="I94" s="2347" t="s">
        <v>5409</v>
      </c>
      <c r="J94" s="2347"/>
      <c r="K94" s="3212"/>
      <c r="L94" s="3212"/>
      <c r="M94" s="3212" t="s">
        <v>10241</v>
      </c>
      <c r="N94" s="3212" t="s">
        <v>10242</v>
      </c>
      <c r="O94" s="2347" t="s">
        <v>14291</v>
      </c>
      <c r="P94" s="2347" t="s">
        <v>14291</v>
      </c>
      <c r="Q94" s="2347" t="s">
        <v>15470</v>
      </c>
      <c r="R94" s="395" t="s">
        <v>14831</v>
      </c>
    </row>
    <row r="95" spans="1:18" ht="43.5">
      <c r="A95" s="2842" t="s">
        <v>4804</v>
      </c>
      <c r="B95" s="2843">
        <v>7708697977</v>
      </c>
      <c r="C95" s="2843">
        <v>162</v>
      </c>
      <c r="D95" s="2844">
        <v>2010500000</v>
      </c>
      <c r="E95" s="2842" t="s">
        <v>5965</v>
      </c>
      <c r="F95" s="2347" t="s">
        <v>5409</v>
      </c>
      <c r="G95" s="2347" t="s">
        <v>5409</v>
      </c>
      <c r="H95" s="2347" t="s">
        <v>5409</v>
      </c>
      <c r="I95" s="2347" t="s">
        <v>5409</v>
      </c>
      <c r="J95" s="2347"/>
      <c r="K95" s="3212"/>
      <c r="L95" s="3212"/>
      <c r="M95" s="3212" t="s">
        <v>10241</v>
      </c>
      <c r="N95" s="3212" t="s">
        <v>10242</v>
      </c>
      <c r="O95" s="2347" t="s">
        <v>14291</v>
      </c>
      <c r="P95" s="2347" t="s">
        <v>14291</v>
      </c>
      <c r="Q95" s="2347" t="s">
        <v>15481</v>
      </c>
      <c r="R95" s="395" t="s">
        <v>14831</v>
      </c>
    </row>
    <row r="96" spans="1:18">
      <c r="A96" s="2842" t="s">
        <v>4805</v>
      </c>
      <c r="B96" s="2843">
        <v>2452000401</v>
      </c>
      <c r="C96" s="2843">
        <v>222</v>
      </c>
      <c r="D96" s="2844">
        <v>3020000000</v>
      </c>
      <c r="E96" s="2842" t="s">
        <v>4806</v>
      </c>
      <c r="F96" s="2347" t="s">
        <v>5409</v>
      </c>
      <c r="G96" s="3607" t="s">
        <v>5409</v>
      </c>
      <c r="H96" s="2347"/>
      <c r="I96" s="2347" t="s">
        <v>5409</v>
      </c>
      <c r="J96" s="2347"/>
      <c r="K96" s="3212"/>
      <c r="L96" s="3212"/>
      <c r="M96" s="3212" t="s">
        <v>1149</v>
      </c>
      <c r="N96" s="3212"/>
      <c r="O96" s="2347" t="s">
        <v>14291</v>
      </c>
      <c r="P96" s="2347" t="s">
        <v>14291</v>
      </c>
      <c r="Q96" s="2347" t="s">
        <v>15482</v>
      </c>
      <c r="R96" s="395" t="s">
        <v>14831</v>
      </c>
    </row>
    <row r="97" spans="1:18">
      <c r="A97" s="2842" t="s">
        <v>4807</v>
      </c>
      <c r="B97" s="2843">
        <v>4506004751</v>
      </c>
      <c r="C97" s="2843">
        <v>87</v>
      </c>
      <c r="D97" s="2844">
        <v>2010230800</v>
      </c>
      <c r="E97" s="2842" t="s">
        <v>5966</v>
      </c>
      <c r="F97" s="2347" t="s">
        <v>5409</v>
      </c>
      <c r="G97" s="2347" t="s">
        <v>5409</v>
      </c>
      <c r="H97" s="2347" t="s">
        <v>5409</v>
      </c>
      <c r="I97" s="2347" t="s">
        <v>5409</v>
      </c>
      <c r="J97" s="2347" t="s">
        <v>5409</v>
      </c>
      <c r="K97" s="3212"/>
      <c r="L97" s="3212"/>
      <c r="M97" s="3212" t="s">
        <v>10241</v>
      </c>
      <c r="N97" s="3212" t="s">
        <v>10242</v>
      </c>
      <c r="O97" s="2347" t="s">
        <v>14291</v>
      </c>
      <c r="P97" s="2347" t="s">
        <v>14291</v>
      </c>
      <c r="Q97" s="2347" t="s">
        <v>15474</v>
      </c>
      <c r="R97" s="395" t="s">
        <v>14831</v>
      </c>
    </row>
    <row r="98" spans="1:18" ht="29">
      <c r="A98" s="3316" t="s">
        <v>15221</v>
      </c>
      <c r="B98" s="3504">
        <v>9715403526</v>
      </c>
      <c r="C98" s="3504">
        <v>718404</v>
      </c>
      <c r="D98" s="3505">
        <v>2011000027</v>
      </c>
      <c r="E98" s="3316" t="s">
        <v>15222</v>
      </c>
      <c r="F98" s="2347" t="s">
        <v>5409</v>
      </c>
      <c r="G98" s="2347" t="s">
        <v>5409</v>
      </c>
      <c r="H98" s="2347" t="s">
        <v>5409</v>
      </c>
      <c r="I98" s="2347" t="s">
        <v>5409</v>
      </c>
      <c r="J98" s="2347"/>
      <c r="K98" s="3212"/>
      <c r="L98" s="3212"/>
      <c r="M98" s="3212"/>
      <c r="N98" s="3212"/>
      <c r="O98" s="3601" t="s">
        <v>14291</v>
      </c>
      <c r="P98" s="3601" t="s">
        <v>14291</v>
      </c>
      <c r="Q98" s="2347" t="s">
        <v>15483</v>
      </c>
      <c r="R98" s="395" t="s">
        <v>14831</v>
      </c>
    </row>
    <row r="99" spans="1:18" ht="29">
      <c r="A99" s="2842" t="s">
        <v>4808</v>
      </c>
      <c r="B99" s="2843">
        <v>5010036460</v>
      </c>
      <c r="C99" s="2843">
        <v>281</v>
      </c>
      <c r="D99" s="2844">
        <v>2010510000</v>
      </c>
      <c r="E99" s="2842" t="s">
        <v>6274</v>
      </c>
      <c r="F99" s="2347" t="s">
        <v>5409</v>
      </c>
      <c r="G99" s="2347" t="s">
        <v>5409</v>
      </c>
      <c r="H99" s="2347" t="s">
        <v>5409</v>
      </c>
      <c r="I99" s="2347" t="s">
        <v>5409</v>
      </c>
      <c r="J99" s="2347"/>
      <c r="K99" s="3212"/>
      <c r="L99" s="3212"/>
      <c r="M99" s="3212" t="s">
        <v>1149</v>
      </c>
      <c r="N99" s="3212"/>
      <c r="O99" s="2347" t="s">
        <v>14291</v>
      </c>
      <c r="P99" s="2347" t="s">
        <v>14291</v>
      </c>
      <c r="Q99" s="2347" t="s">
        <v>15476</v>
      </c>
      <c r="R99" s="395" t="s">
        <v>14831</v>
      </c>
    </row>
    <row r="100" spans="1:18" ht="29">
      <c r="A100" s="2842" t="s">
        <v>4809</v>
      </c>
      <c r="B100" s="2843">
        <v>7706730001</v>
      </c>
      <c r="C100" s="2843">
        <v>347</v>
      </c>
      <c r="D100" s="2844">
        <v>2010890000</v>
      </c>
      <c r="E100" s="2842" t="s">
        <v>5967</v>
      </c>
      <c r="F100" s="2347" t="s">
        <v>5409</v>
      </c>
      <c r="G100" s="2347" t="s">
        <v>5409</v>
      </c>
      <c r="H100" s="2347" t="s">
        <v>5409</v>
      </c>
      <c r="I100" s="2347" t="s">
        <v>5409</v>
      </c>
      <c r="J100" s="2347" t="s">
        <v>5409</v>
      </c>
      <c r="K100" s="3212"/>
      <c r="L100" s="3212"/>
      <c r="M100" s="3212" t="s">
        <v>10241</v>
      </c>
      <c r="N100" s="3212" t="s">
        <v>10242</v>
      </c>
      <c r="O100" s="2347" t="s">
        <v>14291</v>
      </c>
      <c r="P100" s="2347" t="s">
        <v>14291</v>
      </c>
      <c r="Q100" s="2347" t="s">
        <v>15470</v>
      </c>
      <c r="R100" s="395" t="s">
        <v>14831</v>
      </c>
    </row>
    <row r="101" spans="1:18">
      <c r="A101" s="2842" t="s">
        <v>15125</v>
      </c>
      <c r="B101" s="2843">
        <v>7706420120</v>
      </c>
      <c r="C101" s="2843">
        <v>639677</v>
      </c>
      <c r="D101" s="2844">
        <v>2011310000</v>
      </c>
      <c r="E101" s="2842" t="s">
        <v>15124</v>
      </c>
      <c r="F101" s="2405" t="s">
        <v>5409</v>
      </c>
      <c r="G101" s="2405" t="s">
        <v>5409</v>
      </c>
      <c r="H101" s="2405" t="s">
        <v>5409</v>
      </c>
      <c r="I101" s="2405" t="s">
        <v>5409</v>
      </c>
      <c r="J101" s="2347"/>
      <c r="K101" s="3212"/>
      <c r="L101" s="3212"/>
      <c r="M101" s="2347" t="s">
        <v>1149</v>
      </c>
      <c r="N101" s="3212"/>
      <c r="O101" s="3602" t="s">
        <v>14291</v>
      </c>
      <c r="P101" s="2347" t="s">
        <v>14291</v>
      </c>
      <c r="Q101" s="2347" t="s">
        <v>15468</v>
      </c>
      <c r="R101" s="395" t="s">
        <v>14831</v>
      </c>
    </row>
    <row r="102" spans="1:18">
      <c r="A102" s="2842" t="s">
        <v>15127</v>
      </c>
      <c r="B102" s="2843">
        <v>7710279110</v>
      </c>
      <c r="C102" s="2843">
        <v>639683</v>
      </c>
      <c r="D102" s="2844">
        <v>2011320000</v>
      </c>
      <c r="E102" s="2842" t="s">
        <v>15126</v>
      </c>
      <c r="F102" s="2405" t="s">
        <v>5409</v>
      </c>
      <c r="G102" s="2405" t="s">
        <v>5409</v>
      </c>
      <c r="H102" s="2405" t="s">
        <v>5409</v>
      </c>
      <c r="I102" s="2405" t="s">
        <v>5409</v>
      </c>
      <c r="J102" s="2347"/>
      <c r="K102" s="3212"/>
      <c r="L102" s="3212"/>
      <c r="M102" s="2347" t="s">
        <v>1149</v>
      </c>
      <c r="N102" s="3212"/>
      <c r="O102" s="3602" t="s">
        <v>14291</v>
      </c>
      <c r="P102" s="2347" t="s">
        <v>14291</v>
      </c>
      <c r="Q102" s="2347" t="s">
        <v>15468</v>
      </c>
      <c r="R102" s="395" t="s">
        <v>14831</v>
      </c>
    </row>
    <row r="103" spans="1:18">
      <c r="A103" s="2842" t="s">
        <v>15118</v>
      </c>
      <c r="B103" s="2843">
        <v>7729530150</v>
      </c>
      <c r="C103" s="2843">
        <v>510665</v>
      </c>
      <c r="D103" s="2844">
        <v>1050410000</v>
      </c>
      <c r="E103" s="2842" t="s">
        <v>15117</v>
      </c>
      <c r="F103" s="2347" t="s">
        <v>5409</v>
      </c>
      <c r="G103" s="2347" t="s">
        <v>5409</v>
      </c>
      <c r="H103" s="2347" t="s">
        <v>5409</v>
      </c>
      <c r="I103" s="2347" t="s">
        <v>5409</v>
      </c>
      <c r="J103" s="2347"/>
      <c r="K103" s="3212"/>
      <c r="L103" s="3212"/>
      <c r="M103" s="3212"/>
      <c r="N103" s="3212"/>
      <c r="O103" s="3601" t="s">
        <v>14291</v>
      </c>
      <c r="P103" s="3601" t="s">
        <v>14291</v>
      </c>
      <c r="Q103" s="2347" t="s">
        <v>15468</v>
      </c>
      <c r="R103" s="395" t="s">
        <v>14831</v>
      </c>
    </row>
    <row r="104" spans="1:18" ht="29">
      <c r="A104" s="2842" t="s">
        <v>14301</v>
      </c>
      <c r="B104" s="2843">
        <v>1646040440</v>
      </c>
      <c r="C104" s="2843">
        <v>522404</v>
      </c>
      <c r="D104" s="2844">
        <v>2010252300</v>
      </c>
      <c r="E104" s="2842" t="s">
        <v>14302</v>
      </c>
      <c r="F104" s="2347" t="s">
        <v>5409</v>
      </c>
      <c r="G104" s="2347" t="s">
        <v>5409</v>
      </c>
      <c r="H104" s="2347" t="s">
        <v>5409</v>
      </c>
      <c r="I104" s="2347" t="s">
        <v>5409</v>
      </c>
      <c r="J104" s="2347"/>
      <c r="K104" s="3212"/>
      <c r="L104" s="3212"/>
      <c r="M104" s="2347" t="s">
        <v>1149</v>
      </c>
      <c r="N104" s="3212"/>
      <c r="O104" s="2347" t="s">
        <v>14291</v>
      </c>
      <c r="P104" s="2347" t="s">
        <v>14291</v>
      </c>
      <c r="Q104" s="2347" t="s">
        <v>15473</v>
      </c>
      <c r="R104" s="395" t="s">
        <v>14831</v>
      </c>
    </row>
    <row r="105" spans="1:18" ht="43.5">
      <c r="A105" s="2842" t="s">
        <v>4810</v>
      </c>
      <c r="B105" s="2843">
        <v>7701763846</v>
      </c>
      <c r="C105" s="2843">
        <v>152</v>
      </c>
      <c r="D105" s="2844">
        <v>2010450000</v>
      </c>
      <c r="E105" s="2842" t="s">
        <v>5835</v>
      </c>
      <c r="F105" s="2347" t="s">
        <v>5409</v>
      </c>
      <c r="G105" s="2347" t="s">
        <v>5409</v>
      </c>
      <c r="H105" s="2347" t="s">
        <v>5409</v>
      </c>
      <c r="I105" s="2347" t="s">
        <v>5409</v>
      </c>
      <c r="J105" s="2347"/>
      <c r="K105" s="3212"/>
      <c r="L105" s="3212"/>
      <c r="M105" s="3212" t="s">
        <v>1149</v>
      </c>
      <c r="N105" s="3212"/>
      <c r="O105" s="2347" t="s">
        <v>14291</v>
      </c>
      <c r="P105" s="2347" t="s">
        <v>14291</v>
      </c>
      <c r="Q105" s="2347" t="s">
        <v>15472</v>
      </c>
      <c r="R105" s="395" t="s">
        <v>14831</v>
      </c>
    </row>
    <row r="106" spans="1:18" ht="43.5">
      <c r="A106" s="2842" t="s">
        <v>4811</v>
      </c>
      <c r="B106" s="2843">
        <v>5036040729</v>
      </c>
      <c r="C106" s="2843">
        <v>100</v>
      </c>
      <c r="D106" s="2844">
        <v>2010230918</v>
      </c>
      <c r="E106" s="2842" t="s">
        <v>10013</v>
      </c>
      <c r="F106" s="2347" t="s">
        <v>5409</v>
      </c>
      <c r="G106" s="2347" t="s">
        <v>5409</v>
      </c>
      <c r="H106" s="2347" t="s">
        <v>5409</v>
      </c>
      <c r="I106" s="2347" t="s">
        <v>5409</v>
      </c>
      <c r="J106" s="2347" t="s">
        <v>5409</v>
      </c>
      <c r="K106" s="3212"/>
      <c r="L106" s="3212"/>
      <c r="M106" s="3212" t="s">
        <v>10241</v>
      </c>
      <c r="N106" s="3212" t="s">
        <v>10242</v>
      </c>
      <c r="O106" s="2347" t="s">
        <v>14291</v>
      </c>
      <c r="P106" s="2347" t="s">
        <v>14291</v>
      </c>
      <c r="Q106" s="2347" t="s">
        <v>15467</v>
      </c>
      <c r="R106" s="395" t="s">
        <v>14831</v>
      </c>
    </row>
    <row r="107" spans="1:18" ht="29">
      <c r="A107" s="2842" t="s">
        <v>4812</v>
      </c>
      <c r="B107" s="2843">
        <v>7450045935</v>
      </c>
      <c r="C107" s="2843">
        <v>127</v>
      </c>
      <c r="D107" s="2844">
        <v>2010241600</v>
      </c>
      <c r="E107" s="2842" t="s">
        <v>3723</v>
      </c>
      <c r="F107" s="2347" t="s">
        <v>5409</v>
      </c>
      <c r="G107" s="2347" t="s">
        <v>5409</v>
      </c>
      <c r="H107" s="2347" t="s">
        <v>5409</v>
      </c>
      <c r="I107" s="2347" t="s">
        <v>5409</v>
      </c>
      <c r="J107" s="2347"/>
      <c r="K107" s="3212"/>
      <c r="L107" s="3212"/>
      <c r="M107" s="3212" t="s">
        <v>1149</v>
      </c>
      <c r="N107" s="3212"/>
      <c r="O107" s="2347" t="s">
        <v>14291</v>
      </c>
      <c r="P107" s="2347" t="s">
        <v>14291</v>
      </c>
      <c r="Q107" s="2347" t="s">
        <v>15473</v>
      </c>
      <c r="R107" s="395" t="s">
        <v>14831</v>
      </c>
    </row>
    <row r="108" spans="1:18" ht="29">
      <c r="A108" s="2842" t="s">
        <v>8036</v>
      </c>
      <c r="B108" s="2843">
        <v>5254491506</v>
      </c>
      <c r="C108" s="2843">
        <v>481838</v>
      </c>
      <c r="D108" s="2844">
        <v>1150000006</v>
      </c>
      <c r="E108" s="2842" t="s">
        <v>6821</v>
      </c>
      <c r="F108" s="2347" t="s">
        <v>5409</v>
      </c>
      <c r="G108" s="2347" t="s">
        <v>5409</v>
      </c>
      <c r="H108" s="2347"/>
      <c r="I108" s="2347" t="s">
        <v>5409</v>
      </c>
      <c r="J108" s="2347"/>
      <c r="K108" s="3212"/>
      <c r="L108" s="3212"/>
      <c r="M108" s="3212" t="s">
        <v>1149</v>
      </c>
      <c r="N108" s="3212"/>
      <c r="O108" s="2347" t="s">
        <v>14291</v>
      </c>
      <c r="P108" s="2347" t="s">
        <v>14291</v>
      </c>
      <c r="Q108" s="2347" t="s">
        <v>15480</v>
      </c>
      <c r="R108" s="395" t="s">
        <v>14831</v>
      </c>
    </row>
    <row r="109" spans="1:18" ht="29">
      <c r="A109" s="2842" t="s">
        <v>5824</v>
      </c>
      <c r="B109" s="2843">
        <v>6453142068</v>
      </c>
      <c r="C109" s="2843">
        <v>431594</v>
      </c>
      <c r="D109" s="2844">
        <v>2010601001</v>
      </c>
      <c r="E109" s="2842" t="s">
        <v>8062</v>
      </c>
      <c r="F109" s="2347" t="s">
        <v>9871</v>
      </c>
      <c r="G109" s="3146" t="s">
        <v>9871</v>
      </c>
      <c r="H109" s="3146"/>
      <c r="I109" s="3146" t="s">
        <v>9871</v>
      </c>
      <c r="J109" s="2347"/>
      <c r="K109" s="3212"/>
      <c r="L109" s="3212"/>
      <c r="M109" s="3212" t="s">
        <v>1149</v>
      </c>
      <c r="N109" s="3212"/>
      <c r="O109" s="2347" t="s">
        <v>14291</v>
      </c>
      <c r="P109" s="2347" t="s">
        <v>14291</v>
      </c>
      <c r="Q109" s="2347" t="s">
        <v>15480</v>
      </c>
      <c r="R109" s="395" t="s">
        <v>14831</v>
      </c>
    </row>
    <row r="110" spans="1:18">
      <c r="A110" s="3316" t="s">
        <v>14836</v>
      </c>
      <c r="B110" s="3504">
        <v>9729023309</v>
      </c>
      <c r="C110" s="3504">
        <v>637794</v>
      </c>
      <c r="D110" s="3505">
        <v>2011000021</v>
      </c>
      <c r="E110" s="3506" t="s">
        <v>14837</v>
      </c>
      <c r="F110" s="2347" t="s">
        <v>5409</v>
      </c>
      <c r="G110" s="2347" t="s">
        <v>5409</v>
      </c>
      <c r="H110" s="2347" t="s">
        <v>5409</v>
      </c>
      <c r="I110" s="2347" t="s">
        <v>5409</v>
      </c>
      <c r="J110" s="2347"/>
      <c r="K110" s="3212"/>
      <c r="L110" s="3212"/>
      <c r="M110" s="3212"/>
      <c r="N110" s="3212"/>
      <c r="O110" s="3601" t="s">
        <v>14291</v>
      </c>
      <c r="P110" s="3601" t="s">
        <v>14291</v>
      </c>
      <c r="Q110" s="2347" t="s">
        <v>15483</v>
      </c>
      <c r="R110" s="395" t="s">
        <v>14831</v>
      </c>
    </row>
    <row r="111" spans="1:18">
      <c r="A111" s="3116" t="s">
        <v>15430</v>
      </c>
      <c r="B111" s="3504">
        <v>9731056855</v>
      </c>
      <c r="C111" s="3504">
        <v>680063</v>
      </c>
      <c r="D111" s="3505">
        <v>2011355430</v>
      </c>
      <c r="E111" s="3506" t="s">
        <v>15431</v>
      </c>
      <c r="F111" s="2405" t="s">
        <v>5409</v>
      </c>
      <c r="G111" s="2405" t="s">
        <v>5409</v>
      </c>
      <c r="H111" s="2405" t="s">
        <v>5409</v>
      </c>
      <c r="I111" s="2405" t="s">
        <v>5409</v>
      </c>
      <c r="J111" s="2347"/>
      <c r="K111" s="3212"/>
      <c r="L111" s="2347"/>
      <c r="M111" s="2347"/>
      <c r="N111" s="2347"/>
      <c r="O111" s="2347" t="s">
        <v>14291</v>
      </c>
      <c r="P111" s="2347" t="s">
        <v>14291</v>
      </c>
      <c r="Q111" s="2347" t="s">
        <v>9936</v>
      </c>
      <c r="R111" s="395" t="s">
        <v>14831</v>
      </c>
    </row>
    <row r="112" spans="1:18">
      <c r="A112" s="2842" t="s">
        <v>3724</v>
      </c>
      <c r="B112" s="2843">
        <v>6639019655</v>
      </c>
      <c r="C112" s="2843">
        <v>163</v>
      </c>
      <c r="D112" s="2844">
        <v>2010540000</v>
      </c>
      <c r="E112" s="2842" t="s">
        <v>5836</v>
      </c>
      <c r="F112" s="2347" t="s">
        <v>5409</v>
      </c>
      <c r="G112" s="2347" t="s">
        <v>5409</v>
      </c>
      <c r="H112" s="2347" t="s">
        <v>5409</v>
      </c>
      <c r="I112" s="2347" t="s">
        <v>5409</v>
      </c>
      <c r="J112" s="2347"/>
      <c r="K112" s="3212"/>
      <c r="L112" s="3212"/>
      <c r="M112" s="3212" t="s">
        <v>10241</v>
      </c>
      <c r="N112" s="3212" t="s">
        <v>10242</v>
      </c>
      <c r="O112" s="2347" t="s">
        <v>14291</v>
      </c>
      <c r="P112" s="2347" t="s">
        <v>14291</v>
      </c>
      <c r="Q112" s="2347" t="s">
        <v>2547</v>
      </c>
      <c r="R112" s="395" t="s">
        <v>14831</v>
      </c>
    </row>
    <row r="113" spans="1:18" ht="43.5">
      <c r="A113" s="2842" t="s">
        <v>14297</v>
      </c>
      <c r="B113" s="2843"/>
      <c r="C113" s="2843">
        <v>10025</v>
      </c>
      <c r="D113" s="2844">
        <v>2010440001</v>
      </c>
      <c r="E113" s="2842" t="s">
        <v>14319</v>
      </c>
      <c r="F113" s="2347" t="s">
        <v>5435</v>
      </c>
      <c r="G113" s="2865"/>
      <c r="H113" s="3146" t="s">
        <v>5409</v>
      </c>
      <c r="I113" s="2347" t="s">
        <v>5409</v>
      </c>
      <c r="J113" s="2347"/>
      <c r="K113" s="3212"/>
      <c r="L113" s="3212"/>
      <c r="M113" s="3212" t="s">
        <v>1149</v>
      </c>
      <c r="N113" s="3212"/>
      <c r="O113" s="2347" t="s">
        <v>14291</v>
      </c>
      <c r="P113" s="2347" t="s">
        <v>14292</v>
      </c>
      <c r="Q113" s="2347">
        <v>0</v>
      </c>
      <c r="R113" s="395" t="s">
        <v>14831</v>
      </c>
    </row>
    <row r="114" spans="1:18">
      <c r="A114" s="2842" t="s">
        <v>9923</v>
      </c>
      <c r="B114" s="2843">
        <v>7721502761</v>
      </c>
      <c r="C114" s="2843">
        <v>227268</v>
      </c>
      <c r="D114" s="2844">
        <v>2010592202</v>
      </c>
      <c r="E114" s="2842" t="s">
        <v>9924</v>
      </c>
      <c r="F114" s="2347" t="s">
        <v>5409</v>
      </c>
      <c r="G114" s="2347" t="s">
        <v>5409</v>
      </c>
      <c r="H114" s="2347" t="s">
        <v>5409</v>
      </c>
      <c r="I114" s="2347" t="s">
        <v>5409</v>
      </c>
      <c r="J114" s="2347"/>
      <c r="K114" s="3212"/>
      <c r="L114" s="3212"/>
      <c r="M114" s="3212" t="s">
        <v>10241</v>
      </c>
      <c r="N114" s="3212" t="s">
        <v>10242</v>
      </c>
      <c r="O114" s="2347" t="s">
        <v>14291</v>
      </c>
      <c r="P114" s="2347" t="s">
        <v>14291</v>
      </c>
      <c r="Q114" s="2347" t="s">
        <v>15472</v>
      </c>
      <c r="R114" s="395" t="s">
        <v>14831</v>
      </c>
    </row>
    <row r="115" spans="1:18" ht="29">
      <c r="A115" s="2842" t="s">
        <v>2924</v>
      </c>
      <c r="B115" s="2843">
        <v>5010036527</v>
      </c>
      <c r="C115" s="2843">
        <v>284</v>
      </c>
      <c r="D115" s="2844">
        <v>2010560000</v>
      </c>
      <c r="E115" s="2842" t="s">
        <v>6009</v>
      </c>
      <c r="F115" s="2347" t="s">
        <v>5409</v>
      </c>
      <c r="G115" s="3635" t="s">
        <v>9871</v>
      </c>
      <c r="H115" s="3146" t="s">
        <v>5409</v>
      </c>
      <c r="I115" s="3146" t="s">
        <v>5409</v>
      </c>
      <c r="J115" s="2347"/>
      <c r="K115" s="3212"/>
      <c r="L115" s="3212"/>
      <c r="M115" s="3212" t="s">
        <v>10241</v>
      </c>
      <c r="N115" s="3212" t="s">
        <v>10242</v>
      </c>
      <c r="O115" s="2347" t="s">
        <v>14291</v>
      </c>
      <c r="P115" s="2347" t="s">
        <v>14291</v>
      </c>
      <c r="Q115" s="2347" t="s">
        <v>15484</v>
      </c>
      <c r="R115" s="395" t="s">
        <v>14831</v>
      </c>
    </row>
    <row r="116" spans="1:18" ht="29">
      <c r="A116" s="2842" t="s">
        <v>2540</v>
      </c>
      <c r="B116" s="2843">
        <v>7706689000</v>
      </c>
      <c r="C116" s="2843">
        <v>134</v>
      </c>
      <c r="D116" s="2844">
        <v>2010242300</v>
      </c>
      <c r="E116" s="2842" t="s">
        <v>5968</v>
      </c>
      <c r="F116" s="2347" t="s">
        <v>5409</v>
      </c>
      <c r="G116" s="2347" t="s">
        <v>5409</v>
      </c>
      <c r="H116" s="2347" t="s">
        <v>5409</v>
      </c>
      <c r="I116" s="2347" t="s">
        <v>5409</v>
      </c>
      <c r="J116" s="2347"/>
      <c r="K116" s="3212"/>
      <c r="L116" s="3212"/>
      <c r="M116" s="3212" t="s">
        <v>10241</v>
      </c>
      <c r="N116" s="3212" t="s">
        <v>10242</v>
      </c>
      <c r="O116" s="2347" t="s">
        <v>14291</v>
      </c>
      <c r="P116" s="2347" t="s">
        <v>14291</v>
      </c>
      <c r="Q116" s="2347" t="s">
        <v>15239</v>
      </c>
      <c r="R116" s="395" t="s">
        <v>14831</v>
      </c>
    </row>
    <row r="117" spans="1:18">
      <c r="A117" s="3316" t="s">
        <v>14838</v>
      </c>
      <c r="B117" s="3504">
        <v>9731072737</v>
      </c>
      <c r="C117" s="3504">
        <v>706267</v>
      </c>
      <c r="D117" s="3505">
        <v>2011000018</v>
      </c>
      <c r="E117" s="3506" t="s">
        <v>14839</v>
      </c>
      <c r="F117" s="2347" t="s">
        <v>5409</v>
      </c>
      <c r="G117" s="2347" t="s">
        <v>5409</v>
      </c>
      <c r="H117" s="2347" t="s">
        <v>5409</v>
      </c>
      <c r="I117" s="2347" t="s">
        <v>5409</v>
      </c>
      <c r="J117" s="2347"/>
      <c r="K117" s="3212"/>
      <c r="L117" s="3212"/>
      <c r="M117" s="3212"/>
      <c r="N117" s="3212"/>
      <c r="O117" s="3601" t="s">
        <v>14291</v>
      </c>
      <c r="P117" s="3601" t="s">
        <v>14291</v>
      </c>
      <c r="Q117" s="2347" t="s">
        <v>15483</v>
      </c>
      <c r="R117" s="395" t="s">
        <v>14831</v>
      </c>
    </row>
    <row r="118" spans="1:18">
      <c r="A118" s="3316" t="s">
        <v>14687</v>
      </c>
      <c r="B118" s="3504">
        <v>6829012680</v>
      </c>
      <c r="C118" s="3504">
        <v>131975</v>
      </c>
      <c r="D118" s="3505">
        <v>2021000700</v>
      </c>
      <c r="E118" s="3506" t="s">
        <v>14688</v>
      </c>
      <c r="F118" s="2347" t="s">
        <v>5409</v>
      </c>
      <c r="G118" s="3146" t="s">
        <v>9871</v>
      </c>
      <c r="H118" s="3146" t="s">
        <v>5409</v>
      </c>
      <c r="I118" s="3146" t="s">
        <v>5409</v>
      </c>
      <c r="J118" s="2347"/>
      <c r="K118" s="3212"/>
      <c r="L118" s="3212"/>
      <c r="M118" s="3212" t="s">
        <v>1149</v>
      </c>
      <c r="N118" s="3212"/>
      <c r="O118" s="2347" t="s">
        <v>14291</v>
      </c>
      <c r="P118" s="2347" t="s">
        <v>14291</v>
      </c>
      <c r="Q118" s="2347" t="s">
        <v>9936</v>
      </c>
      <c r="R118" s="395" t="s">
        <v>14831</v>
      </c>
    </row>
    <row r="119" spans="1:18">
      <c r="A119" s="3116" t="s">
        <v>14718</v>
      </c>
      <c r="B119" s="3504">
        <v>7107536816</v>
      </c>
      <c r="C119" s="3504">
        <v>385935</v>
      </c>
      <c r="D119" s="3505">
        <v>2021000720</v>
      </c>
      <c r="E119" s="3506" t="s">
        <v>14719</v>
      </c>
      <c r="F119" s="2347" t="s">
        <v>5409</v>
      </c>
      <c r="G119" s="3146" t="s">
        <v>9871</v>
      </c>
      <c r="H119" s="3146" t="s">
        <v>5409</v>
      </c>
      <c r="I119" s="3146" t="s">
        <v>5409</v>
      </c>
      <c r="J119" s="2347"/>
      <c r="K119" s="3212"/>
      <c r="L119" s="3212"/>
      <c r="M119" s="3212" t="s">
        <v>1149</v>
      </c>
      <c r="N119" s="3212"/>
      <c r="O119" s="2347" t="s">
        <v>14291</v>
      </c>
      <c r="P119" s="2347" t="s">
        <v>14291</v>
      </c>
      <c r="Q119" s="2347" t="s">
        <v>9936</v>
      </c>
      <c r="R119" s="395" t="s">
        <v>14831</v>
      </c>
    </row>
    <row r="120" spans="1:18">
      <c r="A120" s="2842" t="s">
        <v>4710</v>
      </c>
      <c r="B120" s="2843">
        <v>3305004397</v>
      </c>
      <c r="C120" s="2843">
        <v>119</v>
      </c>
      <c r="D120" s="2844">
        <v>2010240600</v>
      </c>
      <c r="E120" s="2842" t="s">
        <v>5969</v>
      </c>
      <c r="F120" s="2347" t="s">
        <v>5409</v>
      </c>
      <c r="G120" s="3607" t="s">
        <v>5409</v>
      </c>
      <c r="H120" s="2347" t="s">
        <v>5409</v>
      </c>
      <c r="I120" s="2347" t="s">
        <v>5409</v>
      </c>
      <c r="J120" s="2347" t="s">
        <v>5409</v>
      </c>
      <c r="K120" s="3212"/>
      <c r="L120" s="3212"/>
      <c r="M120" s="3212" t="s">
        <v>10241</v>
      </c>
      <c r="N120" s="3212" t="s">
        <v>10244</v>
      </c>
      <c r="O120" s="2347" t="s">
        <v>14291</v>
      </c>
      <c r="P120" s="2347" t="s">
        <v>14291</v>
      </c>
      <c r="Q120" s="2347" t="s">
        <v>15239</v>
      </c>
      <c r="R120" s="395" t="s">
        <v>14831</v>
      </c>
    </row>
    <row r="121" spans="1:18">
      <c r="A121" s="2842" t="s">
        <v>1620</v>
      </c>
      <c r="B121" s="2843">
        <v>7711077412</v>
      </c>
      <c r="C121" s="2843">
        <v>285</v>
      </c>
      <c r="D121" s="2844">
        <v>2010590317</v>
      </c>
      <c r="E121" s="2842" t="s">
        <v>6010</v>
      </c>
      <c r="F121" s="2347" t="s">
        <v>5409</v>
      </c>
      <c r="G121" s="3608" t="s">
        <v>5409</v>
      </c>
      <c r="H121" s="2405" t="s">
        <v>5409</v>
      </c>
      <c r="I121" s="2405" t="s">
        <v>5409</v>
      </c>
      <c r="J121" s="2347"/>
      <c r="K121" s="3212"/>
      <c r="L121" s="3212"/>
      <c r="M121" s="3212" t="s">
        <v>1149</v>
      </c>
      <c r="N121" s="3212"/>
      <c r="O121" s="2347" t="s">
        <v>14291</v>
      </c>
      <c r="P121" s="2347" t="s">
        <v>14291</v>
      </c>
      <c r="Q121" s="2347" t="s">
        <v>15472</v>
      </c>
      <c r="R121" s="395" t="s">
        <v>14831</v>
      </c>
    </row>
    <row r="122" spans="1:18">
      <c r="A122" s="2842" t="s">
        <v>8490</v>
      </c>
      <c r="B122" s="2843">
        <v>7827004484</v>
      </c>
      <c r="C122" s="2843">
        <v>116493</v>
      </c>
      <c r="D122" s="2844">
        <v>2010592500</v>
      </c>
      <c r="E122" s="2842" t="s">
        <v>8491</v>
      </c>
      <c r="F122" s="2347" t="s">
        <v>5409</v>
      </c>
      <c r="G122" s="2405" t="s">
        <v>5409</v>
      </c>
      <c r="H122" s="2405" t="s">
        <v>5409</v>
      </c>
      <c r="I122" s="2405" t="s">
        <v>5409</v>
      </c>
      <c r="J122" s="2347"/>
      <c r="K122" s="3212"/>
      <c r="L122" s="3212"/>
      <c r="M122" s="3212" t="s">
        <v>1149</v>
      </c>
      <c r="N122" s="3212"/>
      <c r="O122" s="2347" t="s">
        <v>14291</v>
      </c>
      <c r="P122" s="2347" t="s">
        <v>14291</v>
      </c>
      <c r="Q122" s="2347" t="s">
        <v>15472</v>
      </c>
      <c r="R122" s="395" t="s">
        <v>14831</v>
      </c>
    </row>
    <row r="123" spans="1:18" ht="29">
      <c r="A123" s="2842" t="s">
        <v>15499</v>
      </c>
      <c r="B123" s="2843">
        <v>7715719244</v>
      </c>
      <c r="C123" s="2843">
        <v>97114</v>
      </c>
      <c r="D123" s="2844">
        <v>2011000013</v>
      </c>
      <c r="E123" s="2842" t="s">
        <v>15500</v>
      </c>
      <c r="F123" s="2347" t="s">
        <v>5409</v>
      </c>
      <c r="G123" s="2405" t="s">
        <v>5409</v>
      </c>
      <c r="H123" s="2405" t="s">
        <v>5409</v>
      </c>
      <c r="I123" s="2405" t="s">
        <v>5409</v>
      </c>
      <c r="J123" s="2347"/>
      <c r="K123" s="3212"/>
      <c r="L123" s="3212"/>
      <c r="M123" s="3212"/>
      <c r="N123" s="3212"/>
      <c r="O123" s="2347" t="s">
        <v>14291</v>
      </c>
      <c r="P123" s="2347" t="s">
        <v>14291</v>
      </c>
      <c r="Q123" s="2347" t="s">
        <v>15483</v>
      </c>
      <c r="R123" s="395" t="s">
        <v>14831</v>
      </c>
    </row>
    <row r="124" spans="1:18">
      <c r="A124" s="2842" t="s">
        <v>2541</v>
      </c>
      <c r="B124" s="2843">
        <v>7726682003</v>
      </c>
      <c r="C124" s="2843">
        <v>217178</v>
      </c>
      <c r="D124" s="2844">
        <v>2010600000</v>
      </c>
      <c r="E124" s="2842" t="s">
        <v>6084</v>
      </c>
      <c r="F124" s="2347" t="s">
        <v>5409</v>
      </c>
      <c r="G124" s="2347" t="s">
        <v>5409</v>
      </c>
      <c r="H124" s="2347" t="s">
        <v>5409</v>
      </c>
      <c r="I124" s="2347" t="s">
        <v>5409</v>
      </c>
      <c r="J124" s="2347"/>
      <c r="K124" s="3212"/>
      <c r="L124" s="3212"/>
      <c r="M124" s="3212" t="s">
        <v>1149</v>
      </c>
      <c r="N124" s="3212"/>
      <c r="O124" s="2347" t="s">
        <v>14291</v>
      </c>
      <c r="P124" s="2347" t="s">
        <v>14291</v>
      </c>
      <c r="Q124" s="2347" t="s">
        <v>15480</v>
      </c>
      <c r="R124" s="395" t="s">
        <v>14831</v>
      </c>
    </row>
    <row r="125" spans="1:18">
      <c r="A125" s="2842" t="s">
        <v>2542</v>
      </c>
      <c r="B125" s="2843">
        <v>7705833438</v>
      </c>
      <c r="C125" s="2843">
        <v>123</v>
      </c>
      <c r="D125" s="2844">
        <v>2010241100</v>
      </c>
      <c r="E125" s="2842" t="s">
        <v>5365</v>
      </c>
      <c r="F125" s="2347" t="s">
        <v>5409</v>
      </c>
      <c r="G125" s="2347" t="s">
        <v>5409</v>
      </c>
      <c r="H125" s="2347" t="s">
        <v>5409</v>
      </c>
      <c r="I125" s="2347" t="s">
        <v>5409</v>
      </c>
      <c r="J125" s="2347"/>
      <c r="K125" s="3212"/>
      <c r="L125" s="3212"/>
      <c r="M125" s="3212" t="s">
        <v>10241</v>
      </c>
      <c r="N125" s="3212" t="s">
        <v>10242</v>
      </c>
      <c r="O125" s="2347" t="s">
        <v>14291</v>
      </c>
      <c r="P125" s="2347" t="s">
        <v>14291</v>
      </c>
      <c r="Q125" s="2347" t="s">
        <v>15469</v>
      </c>
      <c r="R125" s="395" t="s">
        <v>14831</v>
      </c>
    </row>
    <row r="126" spans="1:18">
      <c r="A126" s="2842" t="s">
        <v>15131</v>
      </c>
      <c r="B126" s="2843">
        <v>2315006923</v>
      </c>
      <c r="C126" s="2843">
        <v>639685</v>
      </c>
      <c r="D126" s="2844">
        <v>2011311100</v>
      </c>
      <c r="E126" s="2842" t="s">
        <v>15130</v>
      </c>
      <c r="F126" s="2405" t="s">
        <v>5409</v>
      </c>
      <c r="G126" s="2405" t="s">
        <v>5409</v>
      </c>
      <c r="H126" s="2405" t="s">
        <v>5409</v>
      </c>
      <c r="I126" s="2405" t="s">
        <v>5409</v>
      </c>
      <c r="J126" s="2347"/>
      <c r="K126" s="3212"/>
      <c r="L126" s="3212"/>
      <c r="M126" s="2347" t="s">
        <v>1149</v>
      </c>
      <c r="N126" s="3212"/>
      <c r="O126" s="3602" t="s">
        <v>14291</v>
      </c>
      <c r="P126" s="2347" t="s">
        <v>14291</v>
      </c>
      <c r="Q126" s="2347" t="s">
        <v>15468</v>
      </c>
      <c r="R126" s="395" t="s">
        <v>14831</v>
      </c>
    </row>
    <row r="127" spans="1:18" ht="29">
      <c r="A127" s="2842" t="s">
        <v>8883</v>
      </c>
      <c r="B127" s="2843">
        <v>7706801975</v>
      </c>
      <c r="C127" s="2843">
        <v>329348</v>
      </c>
      <c r="D127" s="2844">
        <v>3090000000</v>
      </c>
      <c r="E127" s="2842" t="s">
        <v>8884</v>
      </c>
      <c r="F127" s="2347" t="s">
        <v>5409</v>
      </c>
      <c r="G127" s="2347" t="s">
        <v>5409</v>
      </c>
      <c r="H127" s="2347" t="s">
        <v>5409</v>
      </c>
      <c r="I127" s="2347" t="s">
        <v>5409</v>
      </c>
      <c r="J127" s="2347"/>
      <c r="K127" s="3212"/>
      <c r="L127" s="3212"/>
      <c r="M127" s="3212" t="s">
        <v>10241</v>
      </c>
      <c r="N127" s="3212" t="s">
        <v>10242</v>
      </c>
      <c r="O127" s="2347" t="s">
        <v>14291</v>
      </c>
      <c r="P127" s="2347" t="s">
        <v>14291</v>
      </c>
      <c r="Q127" s="2347" t="s">
        <v>15469</v>
      </c>
      <c r="R127" s="395" t="s">
        <v>14831</v>
      </c>
    </row>
    <row r="128" spans="1:18" ht="29">
      <c r="A128" s="2842" t="s">
        <v>2543</v>
      </c>
      <c r="B128" s="2843">
        <v>7422000795</v>
      </c>
      <c r="C128" s="2843">
        <v>6</v>
      </c>
      <c r="D128" s="2844">
        <v>1070000000</v>
      </c>
      <c r="E128" s="2842" t="s">
        <v>2544</v>
      </c>
      <c r="F128" s="2347" t="s">
        <v>5409</v>
      </c>
      <c r="G128" s="2347" t="s">
        <v>5409</v>
      </c>
      <c r="H128" s="2347"/>
      <c r="I128" s="2347" t="s">
        <v>5409</v>
      </c>
      <c r="J128" s="2347"/>
      <c r="K128" s="3212"/>
      <c r="L128" s="3212"/>
      <c r="M128" s="3212" t="s">
        <v>1149</v>
      </c>
      <c r="N128" s="3212"/>
      <c r="O128" s="2347" t="s">
        <v>14291</v>
      </c>
      <c r="P128" s="2347" t="s">
        <v>14291</v>
      </c>
      <c r="Q128" s="2347" t="s">
        <v>15480</v>
      </c>
      <c r="R128" s="395" t="s">
        <v>14831</v>
      </c>
    </row>
    <row r="129" spans="1:18">
      <c r="A129" s="2842" t="s">
        <v>4708</v>
      </c>
      <c r="B129" s="2843">
        <v>7724558466</v>
      </c>
      <c r="C129" s="2843">
        <v>30</v>
      </c>
      <c r="D129" s="2844">
        <v>2010100000</v>
      </c>
      <c r="E129" s="2842" t="s">
        <v>5816</v>
      </c>
      <c r="F129" s="2347" t="s">
        <v>5409</v>
      </c>
      <c r="G129" s="2347" t="s">
        <v>5409</v>
      </c>
      <c r="H129" s="2347" t="s">
        <v>5409</v>
      </c>
      <c r="I129" s="2347" t="s">
        <v>5409</v>
      </c>
      <c r="J129" s="2347" t="s">
        <v>5409</v>
      </c>
      <c r="K129" s="3212"/>
      <c r="L129" s="3212"/>
      <c r="M129" s="3212" t="s">
        <v>10241</v>
      </c>
      <c r="N129" s="3212" t="s">
        <v>10244</v>
      </c>
      <c r="O129" s="2347" t="s">
        <v>14291</v>
      </c>
      <c r="P129" s="2347" t="s">
        <v>14291</v>
      </c>
      <c r="Q129" s="2347" t="s">
        <v>15239</v>
      </c>
      <c r="R129" s="395" t="s">
        <v>14831</v>
      </c>
    </row>
    <row r="130" spans="1:18">
      <c r="A130" s="3316" t="s">
        <v>14928</v>
      </c>
      <c r="B130" s="3504">
        <v>9715299723</v>
      </c>
      <c r="C130" s="3504">
        <v>718406</v>
      </c>
      <c r="D130" s="3505">
        <v>2011000028</v>
      </c>
      <c r="E130" s="3506" t="s">
        <v>14929</v>
      </c>
      <c r="F130" s="2347" t="s">
        <v>5409</v>
      </c>
      <c r="G130" s="2347" t="s">
        <v>5409</v>
      </c>
      <c r="H130" s="2347" t="s">
        <v>5409</v>
      </c>
      <c r="I130" s="2347" t="s">
        <v>5409</v>
      </c>
      <c r="J130" s="2347"/>
      <c r="K130" s="3212"/>
      <c r="L130" s="3212"/>
      <c r="M130" s="3212"/>
      <c r="N130" s="3212"/>
      <c r="O130" s="3601" t="s">
        <v>14291</v>
      </c>
      <c r="P130" s="3601" t="s">
        <v>14291</v>
      </c>
      <c r="Q130" s="2347" t="s">
        <v>15483</v>
      </c>
      <c r="R130" s="395" t="s">
        <v>14831</v>
      </c>
    </row>
    <row r="131" spans="1:18" ht="29">
      <c r="A131" s="2842" t="s">
        <v>2545</v>
      </c>
      <c r="B131" s="2843">
        <v>7721730486</v>
      </c>
      <c r="C131" s="2843">
        <v>214196</v>
      </c>
      <c r="D131" s="2844">
        <v>2010740000</v>
      </c>
      <c r="E131" s="2842" t="s">
        <v>5970</v>
      </c>
      <c r="F131" s="2347" t="s">
        <v>5409</v>
      </c>
      <c r="G131" s="2347" t="s">
        <v>5409</v>
      </c>
      <c r="H131" s="2347" t="s">
        <v>5409</v>
      </c>
      <c r="I131" s="2347" t="s">
        <v>5409</v>
      </c>
      <c r="J131" s="2347"/>
      <c r="K131" s="3212"/>
      <c r="L131" s="3212"/>
      <c r="M131" s="3212" t="s">
        <v>10241</v>
      </c>
      <c r="N131" s="3212" t="s">
        <v>10245</v>
      </c>
      <c r="O131" s="2347" t="s">
        <v>14291</v>
      </c>
      <c r="P131" s="2347" t="s">
        <v>14291</v>
      </c>
      <c r="Q131" s="2347" t="s">
        <v>15485</v>
      </c>
      <c r="R131" s="395" t="s">
        <v>14831</v>
      </c>
    </row>
    <row r="132" spans="1:18" ht="29">
      <c r="A132" s="2842" t="s">
        <v>2546</v>
      </c>
      <c r="B132" s="2843">
        <v>5053005918</v>
      </c>
      <c r="C132" s="2843">
        <v>46</v>
      </c>
      <c r="D132" s="2844">
        <v>2010230100</v>
      </c>
      <c r="E132" s="2842" t="s">
        <v>10221</v>
      </c>
      <c r="F132" s="2347" t="s">
        <v>5409</v>
      </c>
      <c r="G132" s="3607" t="s">
        <v>5409</v>
      </c>
      <c r="H132" s="2347" t="s">
        <v>5409</v>
      </c>
      <c r="I132" s="2347" t="s">
        <v>5409</v>
      </c>
      <c r="J132" s="2347"/>
      <c r="K132" s="3212"/>
      <c r="L132" s="3212"/>
      <c r="M132" s="3212" t="s">
        <v>10241</v>
      </c>
      <c r="N132" s="3212" t="s">
        <v>10244</v>
      </c>
      <c r="O132" s="2347" t="s">
        <v>14291</v>
      </c>
      <c r="P132" s="2347" t="s">
        <v>14291</v>
      </c>
      <c r="Q132" s="2347" t="s">
        <v>15239</v>
      </c>
      <c r="R132" s="395" t="s">
        <v>14831</v>
      </c>
    </row>
    <row r="133" spans="1:18">
      <c r="A133" s="2842" t="s">
        <v>5448</v>
      </c>
      <c r="B133" s="2843">
        <v>5053066861</v>
      </c>
      <c r="C133" s="2843">
        <v>59</v>
      </c>
      <c r="D133" s="2844">
        <v>2010230115</v>
      </c>
      <c r="E133" s="2842" t="s">
        <v>5971</v>
      </c>
      <c r="F133" s="2347" t="s">
        <v>5409</v>
      </c>
      <c r="G133" s="2865"/>
      <c r="H133" s="2347" t="s">
        <v>5409</v>
      </c>
      <c r="I133" s="2347" t="s">
        <v>5409</v>
      </c>
      <c r="J133" s="2347"/>
      <c r="K133" s="3212"/>
      <c r="L133" s="3212"/>
      <c r="M133" s="3212" t="s">
        <v>10241</v>
      </c>
      <c r="N133" s="3212" t="s">
        <v>10242</v>
      </c>
      <c r="O133" s="2347" t="s">
        <v>14291</v>
      </c>
      <c r="P133" s="2347" t="s">
        <v>14292</v>
      </c>
      <c r="Q133" s="2347" t="s">
        <v>15239</v>
      </c>
      <c r="R133" s="395" t="s">
        <v>14831</v>
      </c>
    </row>
    <row r="134" spans="1:18">
      <c r="A134" s="2842" t="s">
        <v>2547</v>
      </c>
      <c r="B134" s="2843">
        <v>7706760091</v>
      </c>
      <c r="C134" s="2843">
        <v>215181</v>
      </c>
      <c r="D134" s="2844">
        <v>4010000100</v>
      </c>
      <c r="E134" s="2842" t="s">
        <v>5972</v>
      </c>
      <c r="F134" s="2347" t="s">
        <v>5409</v>
      </c>
      <c r="G134" s="2347" t="s">
        <v>5409</v>
      </c>
      <c r="H134" s="2347" t="s">
        <v>5409</v>
      </c>
      <c r="I134" s="2347" t="s">
        <v>5409</v>
      </c>
      <c r="J134" s="2347"/>
      <c r="K134" s="3212"/>
      <c r="L134" s="3212"/>
      <c r="M134" s="3212" t="s">
        <v>10241</v>
      </c>
      <c r="N134" s="3212" t="s">
        <v>10242</v>
      </c>
      <c r="O134" s="2347" t="s">
        <v>14291</v>
      </c>
      <c r="P134" s="2347" t="s">
        <v>14291</v>
      </c>
      <c r="Q134" s="2347" t="s">
        <v>2547</v>
      </c>
      <c r="R134" s="395" t="s">
        <v>14831</v>
      </c>
    </row>
    <row r="135" spans="1:18" ht="29">
      <c r="A135" s="2842" t="s">
        <v>5458</v>
      </c>
      <c r="B135" s="2843">
        <v>5410114184</v>
      </c>
      <c r="C135" s="2843">
        <v>61</v>
      </c>
      <c r="D135" s="2844">
        <v>2010230200</v>
      </c>
      <c r="E135" s="2842" t="s">
        <v>5976</v>
      </c>
      <c r="F135" s="2347" t="s">
        <v>5409</v>
      </c>
      <c r="G135" s="2347" t="s">
        <v>5409</v>
      </c>
      <c r="H135" s="2347" t="s">
        <v>5409</v>
      </c>
      <c r="I135" s="2347" t="s">
        <v>5409</v>
      </c>
      <c r="J135" s="2347"/>
      <c r="K135" s="3212"/>
      <c r="L135" s="3212"/>
      <c r="M135" s="3212" t="s">
        <v>10241</v>
      </c>
      <c r="N135" s="3212" t="s">
        <v>10244</v>
      </c>
      <c r="O135" s="2347" t="s">
        <v>14291</v>
      </c>
      <c r="P135" s="2347" t="s">
        <v>14291</v>
      </c>
      <c r="Q135" s="2347" t="s">
        <v>15239</v>
      </c>
      <c r="R135" s="395" t="s">
        <v>14831</v>
      </c>
    </row>
    <row r="136" spans="1:18">
      <c r="A136" s="2842" t="s">
        <v>2549</v>
      </c>
      <c r="B136" s="2843">
        <v>5410021660</v>
      </c>
      <c r="C136" s="2843">
        <v>67</v>
      </c>
      <c r="D136" s="2844">
        <v>2010230207</v>
      </c>
      <c r="E136" s="2842" t="s">
        <v>5974</v>
      </c>
      <c r="F136" s="2347" t="s">
        <v>5409</v>
      </c>
      <c r="G136" s="2865"/>
      <c r="H136" s="2347" t="s">
        <v>5409</v>
      </c>
      <c r="I136" s="2347" t="s">
        <v>5409</v>
      </c>
      <c r="J136" s="2347"/>
      <c r="K136" s="3212"/>
      <c r="L136" s="3212"/>
      <c r="M136" s="3212" t="s">
        <v>1149</v>
      </c>
      <c r="N136" s="3212"/>
      <c r="O136" s="2347" t="s">
        <v>14291</v>
      </c>
      <c r="P136" s="2347" t="s">
        <v>14292</v>
      </c>
      <c r="Q136" s="2347" t="s">
        <v>15239</v>
      </c>
      <c r="R136" s="395" t="s">
        <v>14831</v>
      </c>
    </row>
    <row r="137" spans="1:18">
      <c r="A137" s="2842" t="s">
        <v>2550</v>
      </c>
      <c r="B137" s="2843">
        <v>5410028351</v>
      </c>
      <c r="C137" s="2843">
        <v>70</v>
      </c>
      <c r="D137" s="2844">
        <v>2010230210</v>
      </c>
      <c r="E137" s="2842" t="s">
        <v>5975</v>
      </c>
      <c r="F137" s="2347" t="s">
        <v>5409</v>
      </c>
      <c r="G137" s="2865"/>
      <c r="H137" s="2347" t="s">
        <v>5409</v>
      </c>
      <c r="I137" s="2347" t="s">
        <v>5409</v>
      </c>
      <c r="J137" s="2347"/>
      <c r="K137" s="3212"/>
      <c r="L137" s="3212"/>
      <c r="M137" s="3212" t="s">
        <v>1149</v>
      </c>
      <c r="N137" s="3212"/>
      <c r="O137" s="2347" t="s">
        <v>14291</v>
      </c>
      <c r="P137" s="2347" t="s">
        <v>14292</v>
      </c>
      <c r="Q137" s="2347" t="s">
        <v>15239</v>
      </c>
      <c r="R137" s="395" t="s">
        <v>14831</v>
      </c>
    </row>
    <row r="138" spans="1:18" ht="43.5">
      <c r="A138" s="3116" t="s">
        <v>7155</v>
      </c>
      <c r="B138" s="3504"/>
      <c r="C138" s="3504">
        <v>10020</v>
      </c>
      <c r="D138" s="3505">
        <v>2010411100</v>
      </c>
      <c r="E138" s="3506" t="s">
        <v>15466</v>
      </c>
      <c r="F138" s="2347" t="s">
        <v>5435</v>
      </c>
      <c r="G138" s="2865"/>
      <c r="H138" s="3146" t="s">
        <v>5409</v>
      </c>
      <c r="I138" s="2347" t="s">
        <v>5409</v>
      </c>
      <c r="J138" s="2347"/>
      <c r="K138" s="3212"/>
      <c r="L138" s="3212"/>
      <c r="M138" s="3212" t="s">
        <v>10241</v>
      </c>
      <c r="N138" s="3212" t="s">
        <v>10242</v>
      </c>
      <c r="O138" s="2347" t="s">
        <v>14291</v>
      </c>
      <c r="P138" s="2347" t="s">
        <v>14292</v>
      </c>
      <c r="Q138" s="2347">
        <v>0</v>
      </c>
      <c r="R138" s="395" t="s">
        <v>14831</v>
      </c>
    </row>
    <row r="139" spans="1:18" ht="43.5">
      <c r="A139" s="2842" t="s">
        <v>5449</v>
      </c>
      <c r="B139" s="2843">
        <v>7302040242</v>
      </c>
      <c r="C139" s="2843">
        <v>159</v>
      </c>
      <c r="D139" s="2844">
        <v>2010480000</v>
      </c>
      <c r="E139" s="2842" t="s">
        <v>5977</v>
      </c>
      <c r="F139" s="2347" t="s">
        <v>5409</v>
      </c>
      <c r="G139" s="3607" t="s">
        <v>5409</v>
      </c>
      <c r="H139" s="2347"/>
      <c r="I139" s="2347" t="s">
        <v>5409</v>
      </c>
      <c r="J139" s="2347"/>
      <c r="K139" s="3212"/>
      <c r="L139" s="3212"/>
      <c r="M139" s="3212" t="s">
        <v>10241</v>
      </c>
      <c r="N139" s="3212" t="s">
        <v>10242</v>
      </c>
      <c r="O139" s="2347" t="s">
        <v>14291</v>
      </c>
      <c r="P139" s="2347" t="s">
        <v>14291</v>
      </c>
      <c r="Q139" s="2347" t="s">
        <v>2547</v>
      </c>
      <c r="R139" s="395" t="s">
        <v>14831</v>
      </c>
    </row>
    <row r="140" spans="1:18">
      <c r="A140" s="2842" t="s">
        <v>1629</v>
      </c>
      <c r="B140" s="2843">
        <v>7329008990</v>
      </c>
      <c r="C140" s="2843">
        <v>304288</v>
      </c>
      <c r="D140" s="2844">
        <v>2010970000</v>
      </c>
      <c r="E140" s="2842" t="s">
        <v>1630</v>
      </c>
      <c r="F140" s="2347" t="s">
        <v>5409</v>
      </c>
      <c r="G140" s="2347" t="s">
        <v>5409</v>
      </c>
      <c r="H140" s="2347"/>
      <c r="I140" s="2347" t="s">
        <v>5409</v>
      </c>
      <c r="J140" s="2347"/>
      <c r="K140" s="3212"/>
      <c r="L140" s="3212"/>
      <c r="M140" s="3212" t="s">
        <v>10241</v>
      </c>
      <c r="N140" s="3212" t="s">
        <v>10242</v>
      </c>
      <c r="O140" s="2347" t="s">
        <v>14291</v>
      </c>
      <c r="P140" s="2347" t="s">
        <v>14291</v>
      </c>
      <c r="Q140" s="2347" t="s">
        <v>9936</v>
      </c>
      <c r="R140" s="395" t="s">
        <v>14831</v>
      </c>
    </row>
    <row r="141" spans="1:18" ht="58">
      <c r="A141" s="2842" t="s">
        <v>2548</v>
      </c>
      <c r="B141" s="2843">
        <v>7720723422</v>
      </c>
      <c r="C141" s="2843">
        <v>219385</v>
      </c>
      <c r="D141" s="2844">
        <v>2010630000</v>
      </c>
      <c r="E141" s="2842" t="s">
        <v>5973</v>
      </c>
      <c r="F141" s="2347" t="s">
        <v>5409</v>
      </c>
      <c r="G141" s="2347" t="s">
        <v>5409</v>
      </c>
      <c r="H141" s="2347" t="s">
        <v>5409</v>
      </c>
      <c r="I141" s="2347" t="s">
        <v>5409</v>
      </c>
      <c r="J141" s="2347"/>
      <c r="K141" s="3212"/>
      <c r="L141" s="3212"/>
      <c r="M141" s="3212" t="s">
        <v>10241</v>
      </c>
      <c r="N141" s="3212" t="s">
        <v>10242</v>
      </c>
      <c r="O141" s="2347" t="s">
        <v>14291</v>
      </c>
      <c r="P141" s="2347" t="s">
        <v>14291</v>
      </c>
      <c r="Q141" s="2347" t="s">
        <v>2547</v>
      </c>
      <c r="R141" s="395" t="s">
        <v>14831</v>
      </c>
    </row>
    <row r="142" spans="1:18" ht="29">
      <c r="A142" s="2842" t="s">
        <v>2551</v>
      </c>
      <c r="B142" s="2843">
        <v>5027241394</v>
      </c>
      <c r="C142" s="2843">
        <v>449522</v>
      </c>
      <c r="D142" s="2844">
        <v>4070000000</v>
      </c>
      <c r="E142" s="2842" t="s">
        <v>6208</v>
      </c>
      <c r="F142" s="2347" t="s">
        <v>5409</v>
      </c>
      <c r="G142" s="2347" t="s">
        <v>5409</v>
      </c>
      <c r="H142" s="2347"/>
      <c r="I142" s="2347" t="s">
        <v>5409</v>
      </c>
      <c r="J142" s="2347"/>
      <c r="K142" s="3212"/>
      <c r="L142" s="3212"/>
      <c r="M142" s="3212" t="s">
        <v>10241</v>
      </c>
      <c r="N142" s="3212" t="s">
        <v>10242</v>
      </c>
      <c r="O142" s="2347" t="s">
        <v>14291</v>
      </c>
      <c r="P142" s="2347" t="s">
        <v>14291</v>
      </c>
      <c r="Q142" s="2347" t="s">
        <v>2547</v>
      </c>
      <c r="R142" s="395" t="s">
        <v>14831</v>
      </c>
    </row>
    <row r="143" spans="1:18" ht="43.5">
      <c r="A143" s="2842" t="s">
        <v>5451</v>
      </c>
      <c r="B143" s="2843">
        <v>7726606316</v>
      </c>
      <c r="C143" s="2843">
        <v>149</v>
      </c>
      <c r="D143" s="2844">
        <v>2010410000</v>
      </c>
      <c r="E143" s="2842" t="s">
        <v>5978</v>
      </c>
      <c r="F143" s="2347" t="s">
        <v>5409</v>
      </c>
      <c r="G143" s="2347" t="s">
        <v>5409</v>
      </c>
      <c r="H143" s="2347" t="s">
        <v>5409</v>
      </c>
      <c r="I143" s="2347" t="s">
        <v>5409</v>
      </c>
      <c r="J143" s="2347" t="s">
        <v>5409</v>
      </c>
      <c r="K143" s="3212"/>
      <c r="L143" s="3212"/>
      <c r="M143" s="3212" t="s">
        <v>10241</v>
      </c>
      <c r="N143" s="3212" t="s">
        <v>10242</v>
      </c>
      <c r="O143" s="2347" t="s">
        <v>14291</v>
      </c>
      <c r="P143" s="2347" t="s">
        <v>14291</v>
      </c>
      <c r="Q143" s="2347" t="s">
        <v>15471</v>
      </c>
      <c r="R143" s="395" t="s">
        <v>14831</v>
      </c>
    </row>
    <row r="144" spans="1:18">
      <c r="A144" s="2842" t="s">
        <v>2552</v>
      </c>
      <c r="B144" s="2843">
        <v>7817331468</v>
      </c>
      <c r="C144" s="2843">
        <v>340028</v>
      </c>
      <c r="D144" s="2844">
        <v>4080000000</v>
      </c>
      <c r="E144" s="2842" t="s">
        <v>8075</v>
      </c>
      <c r="F144" s="2347" t="s">
        <v>5409</v>
      </c>
      <c r="G144" s="2347" t="s">
        <v>5409</v>
      </c>
      <c r="H144" s="2347"/>
      <c r="I144" s="2347" t="s">
        <v>5409</v>
      </c>
      <c r="J144" s="2347"/>
      <c r="K144" s="3212"/>
      <c r="L144" s="3212"/>
      <c r="M144" s="3212" t="s">
        <v>10241</v>
      </c>
      <c r="N144" s="3212" t="s">
        <v>10242</v>
      </c>
      <c r="O144" s="2347" t="s">
        <v>14291</v>
      </c>
      <c r="P144" s="2347" t="s">
        <v>14291</v>
      </c>
      <c r="Q144" s="2347" t="s">
        <v>15480</v>
      </c>
      <c r="R144" s="395" t="s">
        <v>14831</v>
      </c>
    </row>
    <row r="145" spans="1:18">
      <c r="A145" s="2842" t="s">
        <v>2553</v>
      </c>
      <c r="B145" s="2843">
        <v>7715719854</v>
      </c>
      <c r="C145" s="2843">
        <v>164</v>
      </c>
      <c r="D145" s="2844">
        <v>2010550000</v>
      </c>
      <c r="E145" s="2842" t="s">
        <v>5837</v>
      </c>
      <c r="F145" s="2347" t="s">
        <v>5409</v>
      </c>
      <c r="G145" s="3607" t="s">
        <v>5409</v>
      </c>
      <c r="H145" s="2347"/>
      <c r="I145" s="2347" t="s">
        <v>5409</v>
      </c>
      <c r="J145" s="2347"/>
      <c r="K145" s="3212"/>
      <c r="L145" s="3212"/>
      <c r="M145" s="3212" t="s">
        <v>10241</v>
      </c>
      <c r="N145" s="3212" t="s">
        <v>10243</v>
      </c>
      <c r="O145" s="2347" t="s">
        <v>14291</v>
      </c>
      <c r="P145" s="2347" t="s">
        <v>14291</v>
      </c>
      <c r="Q145" s="2347" t="s">
        <v>15475</v>
      </c>
      <c r="R145" s="395" t="s">
        <v>14831</v>
      </c>
    </row>
    <row r="146" spans="1:18" ht="58">
      <c r="A146" s="2842" t="s">
        <v>4714</v>
      </c>
      <c r="B146" s="2843">
        <v>7708698473</v>
      </c>
      <c r="C146" s="2843">
        <v>304</v>
      </c>
      <c r="D146" s="2844">
        <v>2010650000</v>
      </c>
      <c r="E146" s="2842" t="s">
        <v>8161</v>
      </c>
      <c r="F146" s="2347" t="s">
        <v>5409</v>
      </c>
      <c r="G146" s="2347" t="s">
        <v>5409</v>
      </c>
      <c r="H146" s="2347" t="s">
        <v>5409</v>
      </c>
      <c r="I146" s="2347" t="s">
        <v>5409</v>
      </c>
      <c r="J146" s="2347"/>
      <c r="K146" s="3212"/>
      <c r="L146" s="3212"/>
      <c r="M146" s="3212" t="s">
        <v>1149</v>
      </c>
      <c r="N146" s="3212"/>
      <c r="O146" s="2347" t="s">
        <v>14291</v>
      </c>
      <c r="P146" s="2347" t="s">
        <v>14291</v>
      </c>
      <c r="Q146" s="2347" t="s">
        <v>15480</v>
      </c>
      <c r="R146" s="395" t="s">
        <v>14831</v>
      </c>
    </row>
    <row r="147" spans="1:18" ht="43.5">
      <c r="A147" s="2842" t="s">
        <v>2554</v>
      </c>
      <c r="B147" s="2843">
        <v>4714000067</v>
      </c>
      <c r="C147" s="2843">
        <v>240</v>
      </c>
      <c r="D147" s="2844">
        <v>4090000000</v>
      </c>
      <c r="E147" s="2842" t="s">
        <v>5979</v>
      </c>
      <c r="F147" s="2347" t="s">
        <v>5409</v>
      </c>
      <c r="G147" s="2347" t="s">
        <v>5409</v>
      </c>
      <c r="H147" s="2347"/>
      <c r="I147" s="2347" t="s">
        <v>5409</v>
      </c>
      <c r="J147" s="2347"/>
      <c r="K147" s="3212"/>
      <c r="L147" s="3212"/>
      <c r="M147" s="3212" t="s">
        <v>1149</v>
      </c>
      <c r="N147" s="3212"/>
      <c r="O147" s="2347" t="s">
        <v>14291</v>
      </c>
      <c r="P147" s="2347" t="s">
        <v>14291</v>
      </c>
      <c r="Q147" s="2347" t="s">
        <v>15480</v>
      </c>
      <c r="R147" s="395" t="s">
        <v>14831</v>
      </c>
    </row>
    <row r="148" spans="1:18" ht="58">
      <c r="A148" s="2842" t="s">
        <v>2555</v>
      </c>
      <c r="B148" s="2843">
        <v>7709944065</v>
      </c>
      <c r="C148" s="2843">
        <v>340270</v>
      </c>
      <c r="D148" s="2844">
        <v>4140000000</v>
      </c>
      <c r="E148" s="2842" t="s">
        <v>8055</v>
      </c>
      <c r="F148" s="2347" t="s">
        <v>5409</v>
      </c>
      <c r="G148" s="2347" t="s">
        <v>5409</v>
      </c>
      <c r="H148" s="2347"/>
      <c r="I148" s="2347" t="s">
        <v>5409</v>
      </c>
      <c r="J148" s="2347"/>
      <c r="K148" s="3212"/>
      <c r="L148" s="3212"/>
      <c r="M148" s="3212" t="s">
        <v>10241</v>
      </c>
      <c r="N148" s="3212" t="s">
        <v>10242</v>
      </c>
      <c r="O148" s="2347" t="s">
        <v>14291</v>
      </c>
      <c r="P148" s="2347" t="s">
        <v>14291</v>
      </c>
      <c r="Q148" s="2347" t="s">
        <v>15471</v>
      </c>
      <c r="R148" s="395" t="s">
        <v>14831</v>
      </c>
    </row>
    <row r="149" spans="1:18" ht="29">
      <c r="A149" s="2842" t="s">
        <v>2558</v>
      </c>
      <c r="B149" s="2843">
        <v>5838009089</v>
      </c>
      <c r="C149" s="2843">
        <v>242</v>
      </c>
      <c r="D149" s="2844">
        <v>4110000000</v>
      </c>
      <c r="E149" s="2842" t="s">
        <v>2559</v>
      </c>
      <c r="F149" s="2347" t="s">
        <v>5409</v>
      </c>
      <c r="G149" s="2347" t="s">
        <v>5409</v>
      </c>
      <c r="H149" s="2347"/>
      <c r="I149" s="2347" t="s">
        <v>5409</v>
      </c>
      <c r="J149" s="2347"/>
      <c r="K149" s="3212"/>
      <c r="L149" s="3212"/>
      <c r="M149" s="3212" t="s">
        <v>10241</v>
      </c>
      <c r="N149" s="3212" t="s">
        <v>10242</v>
      </c>
      <c r="O149" s="2347" t="s">
        <v>14291</v>
      </c>
      <c r="P149" s="2347" t="s">
        <v>14291</v>
      </c>
      <c r="Q149" s="2347" t="s">
        <v>15482</v>
      </c>
      <c r="R149" s="395" t="s">
        <v>14831</v>
      </c>
    </row>
    <row r="150" spans="1:18">
      <c r="A150" s="2842" t="s">
        <v>7675</v>
      </c>
      <c r="B150" s="2843">
        <v>9701087623</v>
      </c>
      <c r="C150" s="2843">
        <v>517363</v>
      </c>
      <c r="D150" s="2844">
        <v>2019000000</v>
      </c>
      <c r="E150" s="2842" t="s">
        <v>7676</v>
      </c>
      <c r="F150" s="2347" t="s">
        <v>5409</v>
      </c>
      <c r="G150" s="2347" t="s">
        <v>5409</v>
      </c>
      <c r="H150" s="2347" t="s">
        <v>5409</v>
      </c>
      <c r="I150" s="2347" t="s">
        <v>5409</v>
      </c>
      <c r="J150" s="2347"/>
      <c r="K150" s="3212"/>
      <c r="L150" s="3212"/>
      <c r="M150" s="3212" t="s">
        <v>10241</v>
      </c>
      <c r="N150" s="3212" t="s">
        <v>10242</v>
      </c>
      <c r="O150" s="2347" t="s">
        <v>14291</v>
      </c>
      <c r="P150" s="2347" t="s">
        <v>14291</v>
      </c>
      <c r="Q150" s="2347" t="s">
        <v>15479</v>
      </c>
      <c r="R150" s="395" t="s">
        <v>14831</v>
      </c>
    </row>
    <row r="151" spans="1:18" ht="43.5">
      <c r="A151" s="2842" t="s">
        <v>2556</v>
      </c>
      <c r="B151" s="2843">
        <v>5074070474</v>
      </c>
      <c r="C151" s="2843">
        <v>687703</v>
      </c>
      <c r="D151" s="2844">
        <v>4060000000</v>
      </c>
      <c r="E151" s="2842" t="s">
        <v>10246</v>
      </c>
      <c r="F151" s="2347" t="s">
        <v>5409</v>
      </c>
      <c r="G151" s="2347" t="s">
        <v>5409</v>
      </c>
      <c r="H151" s="2347"/>
      <c r="I151" s="2347" t="s">
        <v>5409</v>
      </c>
      <c r="J151" s="2347"/>
      <c r="K151" s="3212"/>
      <c r="L151" s="3212"/>
      <c r="M151" s="3212" t="s">
        <v>10241</v>
      </c>
      <c r="N151" s="3212" t="s">
        <v>10242</v>
      </c>
      <c r="O151" s="2347" t="s">
        <v>14291</v>
      </c>
      <c r="P151" s="2347" t="s">
        <v>14291</v>
      </c>
      <c r="Q151" s="2347" t="s">
        <v>2547</v>
      </c>
      <c r="R151" s="395" t="s">
        <v>14831</v>
      </c>
    </row>
    <row r="152" spans="1:18">
      <c r="A152" s="2842" t="s">
        <v>2557</v>
      </c>
      <c r="B152" s="2843">
        <v>7802846922</v>
      </c>
      <c r="C152" s="2843">
        <v>338909</v>
      </c>
      <c r="D152" s="2844">
        <v>4010000000</v>
      </c>
      <c r="E152" s="2842" t="s">
        <v>5980</v>
      </c>
      <c r="F152" s="2347" t="s">
        <v>5409</v>
      </c>
      <c r="G152" s="2347" t="s">
        <v>5409</v>
      </c>
      <c r="H152" s="2347"/>
      <c r="I152" s="2347" t="s">
        <v>5409</v>
      </c>
      <c r="J152" s="2347"/>
      <c r="K152" s="3212"/>
      <c r="L152" s="3212"/>
      <c r="M152" s="3212" t="s">
        <v>10241</v>
      </c>
      <c r="N152" s="3212" t="s">
        <v>10242</v>
      </c>
      <c r="O152" s="2347" t="s">
        <v>14291</v>
      </c>
      <c r="P152" s="2347" t="s">
        <v>14291</v>
      </c>
      <c r="Q152" s="2347" t="s">
        <v>2547</v>
      </c>
      <c r="R152" s="395" t="s">
        <v>14831</v>
      </c>
    </row>
    <row r="153" spans="1:18" ht="29">
      <c r="A153" s="2842" t="s">
        <v>6818</v>
      </c>
      <c r="B153" s="2843">
        <v>6629020796</v>
      </c>
      <c r="C153" s="2843">
        <v>129</v>
      </c>
      <c r="D153" s="2844">
        <v>2010241800</v>
      </c>
      <c r="E153" s="2842" t="s">
        <v>10261</v>
      </c>
      <c r="F153" s="2347" t="s">
        <v>5409</v>
      </c>
      <c r="G153" s="2405" t="s">
        <v>5409</v>
      </c>
      <c r="H153" s="2405" t="s">
        <v>5409</v>
      </c>
      <c r="I153" s="2405" t="s">
        <v>5409</v>
      </c>
      <c r="J153" s="2347" t="s">
        <v>5409</v>
      </c>
      <c r="K153" s="3212"/>
      <c r="L153" s="3212"/>
      <c r="M153" s="3212" t="s">
        <v>10241</v>
      </c>
      <c r="N153" s="3212" t="s">
        <v>10244</v>
      </c>
      <c r="O153" s="2347" t="s">
        <v>14291</v>
      </c>
      <c r="P153" s="2347" t="s">
        <v>14291</v>
      </c>
      <c r="Q153" s="2347" t="s">
        <v>15239</v>
      </c>
      <c r="R153" s="395" t="s">
        <v>14831</v>
      </c>
    </row>
    <row r="154" spans="1:18" ht="29">
      <c r="A154" s="2842" t="s">
        <v>15305</v>
      </c>
      <c r="B154" s="2843">
        <v>7731395205</v>
      </c>
      <c r="C154" s="2843">
        <v>739572</v>
      </c>
      <c r="D154" s="2844">
        <v>2010244400</v>
      </c>
      <c r="E154" s="2842" t="s">
        <v>15306</v>
      </c>
      <c r="F154" s="2347" t="s">
        <v>5409</v>
      </c>
      <c r="G154" s="2405" t="s">
        <v>5409</v>
      </c>
      <c r="H154" s="2405" t="s">
        <v>5409</v>
      </c>
      <c r="I154" s="2405" t="s">
        <v>5409</v>
      </c>
      <c r="J154" s="2347"/>
      <c r="K154" s="2638"/>
      <c r="L154" s="3212"/>
      <c r="M154" s="2347"/>
      <c r="N154" s="3212"/>
      <c r="O154" s="3212" t="s">
        <v>14291</v>
      </c>
      <c r="P154" s="2347" t="s">
        <v>14291</v>
      </c>
      <c r="Q154" s="2347" t="s">
        <v>15473</v>
      </c>
      <c r="R154" s="395" t="s">
        <v>14831</v>
      </c>
    </row>
    <row r="155" spans="1:18" ht="29">
      <c r="A155" s="2842" t="s">
        <v>2560</v>
      </c>
      <c r="B155" s="2843">
        <v>7802441926</v>
      </c>
      <c r="C155" s="2843">
        <v>182</v>
      </c>
      <c r="D155" s="2844">
        <v>2010690000</v>
      </c>
      <c r="E155" s="2842" t="s">
        <v>5981</v>
      </c>
      <c r="F155" s="2347" t="s">
        <v>5409</v>
      </c>
      <c r="G155" s="2347" t="s">
        <v>5409</v>
      </c>
      <c r="H155" s="2347" t="s">
        <v>5409</v>
      </c>
      <c r="I155" s="2347" t="s">
        <v>5409</v>
      </c>
      <c r="J155" s="2347"/>
      <c r="K155" s="3212"/>
      <c r="L155" s="3212"/>
      <c r="M155" s="3212" t="s">
        <v>10241</v>
      </c>
      <c r="N155" s="3212" t="s">
        <v>10242</v>
      </c>
      <c r="O155" s="2347" t="s">
        <v>14291</v>
      </c>
      <c r="P155" s="2347" t="s">
        <v>14291</v>
      </c>
      <c r="Q155" s="2347" t="s">
        <v>15476</v>
      </c>
      <c r="R155" s="395" t="s">
        <v>14831</v>
      </c>
    </row>
    <row r="156" spans="1:18">
      <c r="A156" s="2842" t="s">
        <v>15135</v>
      </c>
      <c r="B156" s="2843">
        <v>2315024369</v>
      </c>
      <c r="C156" s="2843">
        <v>639682</v>
      </c>
      <c r="D156" s="2844">
        <v>2011312100</v>
      </c>
      <c r="E156" s="2842" t="s">
        <v>15134</v>
      </c>
      <c r="F156" s="2405" t="s">
        <v>5409</v>
      </c>
      <c r="G156" s="2405" t="s">
        <v>5409</v>
      </c>
      <c r="H156" s="2405" t="s">
        <v>5409</v>
      </c>
      <c r="I156" s="2405" t="s">
        <v>5409</v>
      </c>
      <c r="J156" s="2347"/>
      <c r="K156" s="3212"/>
      <c r="L156" s="3212"/>
      <c r="M156" s="2347" t="s">
        <v>1149</v>
      </c>
      <c r="N156" s="3212"/>
      <c r="O156" s="3602" t="s">
        <v>14291</v>
      </c>
      <c r="P156" s="2347" t="s">
        <v>14291</v>
      </c>
      <c r="Q156" s="2347" t="s">
        <v>15468</v>
      </c>
      <c r="R156" s="395" t="s">
        <v>14831</v>
      </c>
    </row>
    <row r="157" spans="1:18">
      <c r="A157" s="2842" t="s">
        <v>2561</v>
      </c>
      <c r="B157" s="2843">
        <v>5254081010</v>
      </c>
      <c r="C157" s="2843">
        <v>32</v>
      </c>
      <c r="D157" s="2844">
        <v>2010150000</v>
      </c>
      <c r="E157" s="2842" t="s">
        <v>5822</v>
      </c>
      <c r="F157" s="2347" t="s">
        <v>5409</v>
      </c>
      <c r="G157" s="2347" t="s">
        <v>5409</v>
      </c>
      <c r="H157" s="2347" t="s">
        <v>5409</v>
      </c>
      <c r="I157" s="2347" t="s">
        <v>5409</v>
      </c>
      <c r="J157" s="2347"/>
      <c r="K157" s="3212"/>
      <c r="L157" s="3212"/>
      <c r="M157" s="3212" t="s">
        <v>1149</v>
      </c>
      <c r="N157" s="3212"/>
      <c r="O157" s="2347" t="s">
        <v>14291</v>
      </c>
      <c r="P157" s="2347" t="s">
        <v>14291</v>
      </c>
      <c r="Q157" s="2347" t="s">
        <v>15480</v>
      </c>
      <c r="R157" s="395" t="s">
        <v>14831</v>
      </c>
    </row>
    <row r="158" spans="1:18" ht="43.5">
      <c r="A158" s="2842" t="s">
        <v>1634</v>
      </c>
      <c r="B158" s="2843">
        <v>7024033350</v>
      </c>
      <c r="C158" s="2843">
        <v>177333</v>
      </c>
      <c r="D158" s="2844">
        <v>2010780500</v>
      </c>
      <c r="E158" s="2842" t="s">
        <v>5815</v>
      </c>
      <c r="F158" s="2347" t="s">
        <v>5409</v>
      </c>
      <c r="G158" s="2347" t="s">
        <v>5409</v>
      </c>
      <c r="H158" s="2405" t="s">
        <v>5409</v>
      </c>
      <c r="I158" s="2405" t="s">
        <v>5409</v>
      </c>
      <c r="J158" s="2347"/>
      <c r="K158" s="3212"/>
      <c r="L158" s="3212"/>
      <c r="M158" s="3212" t="s">
        <v>10241</v>
      </c>
      <c r="N158" s="3212" t="s">
        <v>10242</v>
      </c>
      <c r="O158" s="2347" t="s">
        <v>14291</v>
      </c>
      <c r="P158" s="2347" t="s">
        <v>14291</v>
      </c>
      <c r="Q158" s="2347" t="s">
        <v>15482</v>
      </c>
      <c r="R158" s="395" t="s">
        <v>14831</v>
      </c>
    </row>
    <row r="159" spans="1:18" ht="29">
      <c r="A159" s="2842" t="s">
        <v>2562</v>
      </c>
      <c r="B159" s="2843">
        <v>7706751361</v>
      </c>
      <c r="C159" s="2843">
        <v>367</v>
      </c>
      <c r="D159" s="2844">
        <v>2010910000</v>
      </c>
      <c r="E159" s="2842" t="s">
        <v>5373</v>
      </c>
      <c r="F159" s="2347" t="s">
        <v>5409</v>
      </c>
      <c r="G159" s="2347" t="s">
        <v>5409</v>
      </c>
      <c r="H159" s="2347" t="s">
        <v>5409</v>
      </c>
      <c r="I159" s="2347" t="s">
        <v>5409</v>
      </c>
      <c r="J159" s="2347"/>
      <c r="K159" s="3212"/>
      <c r="L159" s="3212"/>
      <c r="M159" s="3212" t="s">
        <v>10241</v>
      </c>
      <c r="N159" s="3212" t="s">
        <v>10242</v>
      </c>
      <c r="O159" s="2347" t="s">
        <v>14291</v>
      </c>
      <c r="P159" s="2347" t="s">
        <v>14291</v>
      </c>
      <c r="Q159" s="2347" t="s">
        <v>15239</v>
      </c>
      <c r="R159" s="395" t="s">
        <v>14831</v>
      </c>
    </row>
    <row r="160" spans="1:18" ht="29">
      <c r="A160" s="2842" t="s">
        <v>2563</v>
      </c>
      <c r="B160" s="2843">
        <v>7706704146</v>
      </c>
      <c r="C160" s="2843">
        <v>204</v>
      </c>
      <c r="D160" s="2844">
        <v>2010860000</v>
      </c>
      <c r="E160" s="2842" t="s">
        <v>5838</v>
      </c>
      <c r="F160" s="2347" t="s">
        <v>5409</v>
      </c>
      <c r="G160" s="2347" t="s">
        <v>5409</v>
      </c>
      <c r="H160" s="2347" t="s">
        <v>5409</v>
      </c>
      <c r="I160" s="2347" t="s">
        <v>5409</v>
      </c>
      <c r="J160" s="2347"/>
      <c r="K160" s="3212"/>
      <c r="L160" s="3212"/>
      <c r="M160" s="3212" t="s">
        <v>10241</v>
      </c>
      <c r="N160" s="3212" t="s">
        <v>10242</v>
      </c>
      <c r="O160" s="2347" t="s">
        <v>14291</v>
      </c>
      <c r="P160" s="2347" t="s">
        <v>14291</v>
      </c>
      <c r="Q160" s="2347" t="s">
        <v>15239</v>
      </c>
      <c r="R160" s="395" t="s">
        <v>14831</v>
      </c>
    </row>
    <row r="161" spans="1:25" ht="43.5">
      <c r="A161" s="2842" t="s">
        <v>5453</v>
      </c>
      <c r="B161" s="2843">
        <v>5259077666</v>
      </c>
      <c r="C161" s="2843">
        <v>185</v>
      </c>
      <c r="D161" s="2844">
        <v>2010720000</v>
      </c>
      <c r="E161" s="2842" t="s">
        <v>5814</v>
      </c>
      <c r="F161" s="2347" t="s">
        <v>5409</v>
      </c>
      <c r="G161" s="2347" t="s">
        <v>5409</v>
      </c>
      <c r="H161" s="2347" t="s">
        <v>5409</v>
      </c>
      <c r="I161" s="2347" t="s">
        <v>5409</v>
      </c>
      <c r="J161" s="2347" t="s">
        <v>5409</v>
      </c>
      <c r="K161" s="3212"/>
      <c r="L161" s="3212"/>
      <c r="M161" s="3212" t="s">
        <v>10241</v>
      </c>
      <c r="N161" s="3212" t="s">
        <v>10242</v>
      </c>
      <c r="O161" s="2347" t="s">
        <v>14291</v>
      </c>
      <c r="P161" s="2347" t="s">
        <v>14291</v>
      </c>
      <c r="Q161" s="2347" t="s">
        <v>15467</v>
      </c>
      <c r="R161" s="395" t="s">
        <v>14831</v>
      </c>
    </row>
    <row r="162" spans="1:25">
      <c r="A162" s="3316" t="s">
        <v>14844</v>
      </c>
      <c r="B162" s="3504">
        <v>9715312477</v>
      </c>
      <c r="C162" s="3504">
        <v>711467</v>
      </c>
      <c r="D162" s="3505">
        <v>2011000022</v>
      </c>
      <c r="E162" s="3506" t="s">
        <v>14845</v>
      </c>
      <c r="F162" s="2347" t="s">
        <v>5409</v>
      </c>
      <c r="G162" s="2347" t="s">
        <v>5409</v>
      </c>
      <c r="H162" s="2405" t="s">
        <v>5409</v>
      </c>
      <c r="I162" s="2405" t="s">
        <v>5409</v>
      </c>
      <c r="J162" s="2347"/>
      <c r="K162" s="3212"/>
      <c r="L162" s="3212"/>
      <c r="M162" s="3212"/>
      <c r="N162" s="3212"/>
      <c r="O162" s="3601" t="s">
        <v>14291</v>
      </c>
      <c r="P162" s="3601" t="s">
        <v>14291</v>
      </c>
      <c r="Q162" s="2347" t="s">
        <v>15483</v>
      </c>
      <c r="R162" s="395" t="s">
        <v>14831</v>
      </c>
    </row>
    <row r="163" spans="1:25" ht="29">
      <c r="A163" s="2842" t="s">
        <v>15543</v>
      </c>
      <c r="B163" s="3504">
        <v>6949013886</v>
      </c>
      <c r="C163" s="3504">
        <v>519247</v>
      </c>
      <c r="D163" s="3505">
        <v>2010244600</v>
      </c>
      <c r="E163" s="3316" t="s">
        <v>15525</v>
      </c>
      <c r="F163" s="2405" t="s">
        <v>5409</v>
      </c>
      <c r="G163" s="2405" t="s">
        <v>5409</v>
      </c>
      <c r="H163" s="2405" t="s">
        <v>5409</v>
      </c>
      <c r="I163" s="2405" t="s">
        <v>5409</v>
      </c>
      <c r="J163" s="2347"/>
      <c r="K163" s="3212"/>
      <c r="L163" s="2347"/>
      <c r="M163" s="2347"/>
      <c r="N163" s="2347"/>
      <c r="O163" s="2347" t="s">
        <v>14291</v>
      </c>
      <c r="P163" s="2347" t="s">
        <v>14291</v>
      </c>
      <c r="Q163" s="2347" t="s">
        <v>15473</v>
      </c>
      <c r="R163" s="395" t="s">
        <v>14831</v>
      </c>
    </row>
    <row r="164" spans="1:25">
      <c r="A164" s="2842" t="s">
        <v>1167</v>
      </c>
      <c r="B164" s="2843">
        <v>7703197508</v>
      </c>
      <c r="C164" s="2843">
        <v>298588</v>
      </c>
      <c r="D164" s="2844">
        <v>2010021800</v>
      </c>
      <c r="E164" s="2842" t="s">
        <v>6275</v>
      </c>
      <c r="F164" s="2347" t="s">
        <v>5409</v>
      </c>
      <c r="G164" s="2865"/>
      <c r="H164" s="2405" t="s">
        <v>5409</v>
      </c>
      <c r="I164" s="2405" t="s">
        <v>5409</v>
      </c>
      <c r="J164" s="2347"/>
      <c r="K164" s="3212"/>
      <c r="L164" s="3212"/>
      <c r="M164" s="3212" t="s">
        <v>1149</v>
      </c>
      <c r="N164" s="3212"/>
      <c r="O164" s="2347" t="s">
        <v>14291</v>
      </c>
      <c r="P164" s="2347" t="s">
        <v>14292</v>
      </c>
      <c r="Q164" s="2347" t="s">
        <v>15474</v>
      </c>
      <c r="R164" s="395" t="s">
        <v>14831</v>
      </c>
    </row>
    <row r="165" spans="1:25">
      <c r="A165" s="3116" t="s">
        <v>15156</v>
      </c>
      <c r="B165" s="3504">
        <v>7805113497</v>
      </c>
      <c r="C165" s="3504">
        <v>295024</v>
      </c>
      <c r="D165" s="3505">
        <v>2011302000</v>
      </c>
      <c r="E165" s="3506" t="s">
        <v>15157</v>
      </c>
      <c r="F165" s="2405" t="s">
        <v>5409</v>
      </c>
      <c r="G165" s="2405"/>
      <c r="H165" s="2405" t="s">
        <v>5409</v>
      </c>
      <c r="I165" s="2405" t="s">
        <v>5409</v>
      </c>
      <c r="J165" s="2347"/>
      <c r="K165" s="3212"/>
      <c r="L165" s="2347"/>
      <c r="M165" s="2347" t="s">
        <v>1149</v>
      </c>
      <c r="N165" s="2347"/>
      <c r="O165" s="2347" t="s">
        <v>14291</v>
      </c>
      <c r="P165" s="2347" t="s">
        <v>14291</v>
      </c>
      <c r="Q165" s="2347" t="s">
        <v>15468</v>
      </c>
      <c r="R165" s="395" t="s">
        <v>14831</v>
      </c>
    </row>
    <row r="166" spans="1:25">
      <c r="A166" s="3116" t="s">
        <v>15158</v>
      </c>
      <c r="B166" s="3504">
        <v>7805014746</v>
      </c>
      <c r="C166" s="3504">
        <v>620762</v>
      </c>
      <c r="D166" s="3505">
        <v>2011303000</v>
      </c>
      <c r="E166" s="3506" t="s">
        <v>15159</v>
      </c>
      <c r="F166" s="2405" t="s">
        <v>5409</v>
      </c>
      <c r="G166" s="2405"/>
      <c r="H166" s="2405" t="s">
        <v>5409</v>
      </c>
      <c r="I166" s="2405" t="s">
        <v>5409</v>
      </c>
      <c r="J166" s="2347"/>
      <c r="K166" s="3212"/>
      <c r="L166" s="2347"/>
      <c r="M166" s="2347" t="s">
        <v>1149</v>
      </c>
      <c r="N166" s="2347"/>
      <c r="O166" s="2347" t="s">
        <v>14291</v>
      </c>
      <c r="P166" s="2347" t="s">
        <v>14291</v>
      </c>
      <c r="Q166" s="2347" t="s">
        <v>15468</v>
      </c>
      <c r="R166" s="395" t="s">
        <v>14831</v>
      </c>
    </row>
    <row r="167" spans="1:25" ht="29">
      <c r="A167" s="2842" t="s">
        <v>2564</v>
      </c>
      <c r="B167" s="2843">
        <v>5410079229</v>
      </c>
      <c r="C167" s="2843">
        <v>592356</v>
      </c>
      <c r="D167" s="2844">
        <v>1080000000</v>
      </c>
      <c r="E167" s="2842" t="s">
        <v>8725</v>
      </c>
      <c r="F167" s="2347" t="s">
        <v>5409</v>
      </c>
      <c r="G167" s="2347" t="s">
        <v>5409</v>
      </c>
      <c r="H167" s="2347"/>
      <c r="I167" s="2347" t="s">
        <v>5409</v>
      </c>
      <c r="J167" s="2347"/>
      <c r="K167" s="3212"/>
      <c r="L167" s="3212"/>
      <c r="M167" s="3212" t="s">
        <v>1149</v>
      </c>
      <c r="N167" s="3212"/>
      <c r="O167" s="2347" t="s">
        <v>14291</v>
      </c>
      <c r="P167" s="2347" t="s">
        <v>14291</v>
      </c>
      <c r="Q167" s="2347" t="s">
        <v>15480</v>
      </c>
      <c r="R167" s="395" t="s">
        <v>14831</v>
      </c>
    </row>
    <row r="168" spans="1:25" ht="29">
      <c r="A168" s="2842" t="s">
        <v>2565</v>
      </c>
      <c r="B168" s="2843">
        <v>7530000048</v>
      </c>
      <c r="C168" s="2843">
        <v>84</v>
      </c>
      <c r="D168" s="2844">
        <v>2010230400</v>
      </c>
      <c r="E168" s="2842" t="s">
        <v>5982</v>
      </c>
      <c r="F168" s="2347" t="s">
        <v>5409</v>
      </c>
      <c r="G168" s="2347" t="s">
        <v>5409</v>
      </c>
      <c r="H168" s="2347" t="s">
        <v>5409</v>
      </c>
      <c r="I168" s="2347" t="s">
        <v>5409</v>
      </c>
      <c r="J168" s="2347" t="s">
        <v>5409</v>
      </c>
      <c r="K168" s="3212"/>
      <c r="L168" s="3212"/>
      <c r="M168" s="3212" t="s">
        <v>1149</v>
      </c>
      <c r="N168" s="3212"/>
      <c r="O168" s="2347" t="s">
        <v>14291</v>
      </c>
      <c r="P168" s="2347" t="s">
        <v>14291</v>
      </c>
      <c r="Q168" s="2347" t="s">
        <v>15474</v>
      </c>
      <c r="R168" s="395" t="s">
        <v>14831</v>
      </c>
    </row>
    <row r="169" spans="1:25" ht="29">
      <c r="A169" s="2842" t="s">
        <v>8486</v>
      </c>
      <c r="B169" s="2843">
        <v>5010043203</v>
      </c>
      <c r="C169" s="2843">
        <v>319635</v>
      </c>
      <c r="D169" s="2844">
        <v>2010253100</v>
      </c>
      <c r="E169" s="2842" t="s">
        <v>8487</v>
      </c>
      <c r="F169" s="2347" t="s">
        <v>5409</v>
      </c>
      <c r="G169" s="2347" t="s">
        <v>5409</v>
      </c>
      <c r="H169" s="2347" t="s">
        <v>5409</v>
      </c>
      <c r="I169" s="2347" t="s">
        <v>5409</v>
      </c>
      <c r="J169" s="2347"/>
      <c r="K169" s="3212"/>
      <c r="L169" s="3212"/>
      <c r="M169" s="3212" t="s">
        <v>1149</v>
      </c>
      <c r="N169" s="3212"/>
      <c r="O169" s="2347" t="s">
        <v>14291</v>
      </c>
      <c r="P169" s="2347" t="s">
        <v>14291</v>
      </c>
      <c r="Q169" s="2347" t="s">
        <v>15473</v>
      </c>
      <c r="R169" s="395" t="s">
        <v>14831</v>
      </c>
    </row>
    <row r="170" spans="1:25" ht="29">
      <c r="A170" s="2842" t="s">
        <v>8484</v>
      </c>
      <c r="B170" s="2843">
        <v>7729632610</v>
      </c>
      <c r="C170" s="2843">
        <v>223386</v>
      </c>
      <c r="D170" s="2844">
        <v>2010252100</v>
      </c>
      <c r="E170" s="2842" t="s">
        <v>8485</v>
      </c>
      <c r="F170" s="2347" t="s">
        <v>5409</v>
      </c>
      <c r="G170" s="2347" t="s">
        <v>5409</v>
      </c>
      <c r="H170" s="2347" t="s">
        <v>5409</v>
      </c>
      <c r="I170" s="2347" t="s">
        <v>5409</v>
      </c>
      <c r="J170" s="2347"/>
      <c r="K170" s="3212"/>
      <c r="L170" s="3212"/>
      <c r="M170" s="3212" t="s">
        <v>1149</v>
      </c>
      <c r="N170" s="3212"/>
      <c r="O170" s="2347" t="s">
        <v>14291</v>
      </c>
      <c r="P170" s="2347" t="s">
        <v>14291</v>
      </c>
      <c r="Q170" s="2347" t="s">
        <v>15473</v>
      </c>
      <c r="R170" s="395" t="s">
        <v>14831</v>
      </c>
    </row>
    <row r="171" spans="1:25" s="3408" customFormat="1">
      <c r="A171" s="2842" t="s">
        <v>3937</v>
      </c>
      <c r="B171" s="2843">
        <v>7725524660</v>
      </c>
      <c r="C171" s="2843">
        <v>112</v>
      </c>
      <c r="D171" s="2844">
        <v>2010231200</v>
      </c>
      <c r="E171" s="2842" t="s">
        <v>5984</v>
      </c>
      <c r="F171" s="2347" t="s">
        <v>5409</v>
      </c>
      <c r="G171" s="2347" t="s">
        <v>5409</v>
      </c>
      <c r="H171" s="2347" t="s">
        <v>5409</v>
      </c>
      <c r="I171" s="2347" t="s">
        <v>5409</v>
      </c>
      <c r="J171" s="2347"/>
      <c r="K171" s="3212"/>
      <c r="L171" s="3212"/>
      <c r="M171" s="3212" t="s">
        <v>10241</v>
      </c>
      <c r="N171" s="3212" t="s">
        <v>10244</v>
      </c>
      <c r="O171" s="2347" t="s">
        <v>14291</v>
      </c>
      <c r="P171" s="2347" t="s">
        <v>14291</v>
      </c>
      <c r="Q171" s="2347" t="s">
        <v>15239</v>
      </c>
      <c r="R171" s="395" t="s">
        <v>14831</v>
      </c>
      <c r="S171" s="395"/>
      <c r="T171" s="395"/>
      <c r="U171" s="395"/>
      <c r="V171" s="395"/>
      <c r="W171" s="395"/>
      <c r="X171" s="395"/>
      <c r="Y171" s="395"/>
    </row>
    <row r="172" spans="1:25">
      <c r="A172" s="2842" t="s">
        <v>8464</v>
      </c>
      <c r="B172" s="2843">
        <v>7708332920</v>
      </c>
      <c r="C172" s="2843">
        <v>555845</v>
      </c>
      <c r="D172" s="2844">
        <v>2010880000</v>
      </c>
      <c r="E172" s="2842" t="s">
        <v>8465</v>
      </c>
      <c r="F172" s="2347" t="s">
        <v>5409</v>
      </c>
      <c r="G172" s="2347" t="s">
        <v>5409</v>
      </c>
      <c r="H172" s="2347" t="s">
        <v>5409</v>
      </c>
      <c r="I172" s="2347" t="s">
        <v>5409</v>
      </c>
      <c r="J172" s="2347"/>
      <c r="K172" s="3212"/>
      <c r="L172" s="3212"/>
      <c r="M172" s="3212" t="s">
        <v>10241</v>
      </c>
      <c r="N172" s="3212" t="s">
        <v>10242</v>
      </c>
      <c r="O172" s="2347" t="s">
        <v>14291</v>
      </c>
      <c r="P172" s="2347" t="s">
        <v>14291</v>
      </c>
      <c r="Q172" s="2347" t="s">
        <v>15470</v>
      </c>
      <c r="R172" s="395" t="s">
        <v>14831</v>
      </c>
    </row>
    <row r="173" spans="1:25" ht="29">
      <c r="A173" s="2842" t="s">
        <v>2566</v>
      </c>
      <c r="B173" s="2843">
        <v>7405000428</v>
      </c>
      <c r="C173" s="2843">
        <v>9</v>
      </c>
      <c r="D173" s="2844">
        <v>1100000000</v>
      </c>
      <c r="E173" s="2842" t="s">
        <v>10250</v>
      </c>
      <c r="F173" s="2347" t="s">
        <v>5409</v>
      </c>
      <c r="G173" s="2347" t="s">
        <v>5409</v>
      </c>
      <c r="H173" s="2347"/>
      <c r="I173" s="2347" t="s">
        <v>5409</v>
      </c>
      <c r="J173" s="2347"/>
      <c r="K173" s="3212"/>
      <c r="L173" s="3212"/>
      <c r="M173" s="3212" t="s">
        <v>1149</v>
      </c>
      <c r="N173" s="3212"/>
      <c r="O173" s="2347" t="s">
        <v>14291</v>
      </c>
      <c r="P173" s="2347" t="s">
        <v>14291</v>
      </c>
      <c r="Q173" s="2347" t="s">
        <v>15480</v>
      </c>
      <c r="R173" s="395" t="s">
        <v>14831</v>
      </c>
    </row>
    <row r="174" spans="1:25">
      <c r="A174" s="2842" t="s">
        <v>2567</v>
      </c>
      <c r="B174" s="2843">
        <v>7721699740</v>
      </c>
      <c r="C174" s="2843">
        <v>368</v>
      </c>
      <c r="D174" s="2844">
        <v>2010592000</v>
      </c>
      <c r="E174" s="2842" t="s">
        <v>5983</v>
      </c>
      <c r="F174" s="2347" t="s">
        <v>5409</v>
      </c>
      <c r="G174" s="2347" t="s">
        <v>5409</v>
      </c>
      <c r="H174" s="2347" t="s">
        <v>5409</v>
      </c>
      <c r="I174" s="2347" t="s">
        <v>5409</v>
      </c>
      <c r="J174" s="2347"/>
      <c r="K174" s="3212"/>
      <c r="L174" s="3212"/>
      <c r="M174" s="3212" t="s">
        <v>10241</v>
      </c>
      <c r="N174" s="3212" t="s">
        <v>10242</v>
      </c>
      <c r="O174" s="2347" t="s">
        <v>14291</v>
      </c>
      <c r="P174" s="2347" t="s">
        <v>14291</v>
      </c>
      <c r="Q174" s="2347" t="s">
        <v>15470</v>
      </c>
      <c r="R174" s="395" t="s">
        <v>14831</v>
      </c>
    </row>
    <row r="175" spans="1:25">
      <c r="A175" s="3316" t="s">
        <v>14846</v>
      </c>
      <c r="B175" s="3504">
        <v>7713424703</v>
      </c>
      <c r="C175" s="3504">
        <v>509726</v>
      </c>
      <c r="D175" s="3505">
        <v>2011000019</v>
      </c>
      <c r="E175" s="3506" t="s">
        <v>14847</v>
      </c>
      <c r="F175" s="2347" t="s">
        <v>5409</v>
      </c>
      <c r="G175" s="2347" t="s">
        <v>5409</v>
      </c>
      <c r="H175" s="2347" t="s">
        <v>5409</v>
      </c>
      <c r="I175" s="2347" t="s">
        <v>5409</v>
      </c>
      <c r="J175" s="2347"/>
      <c r="K175" s="3212"/>
      <c r="L175" s="3212"/>
      <c r="M175" s="3212"/>
      <c r="N175" s="3212"/>
      <c r="O175" s="3601" t="s">
        <v>14291</v>
      </c>
      <c r="P175" s="3601" t="s">
        <v>14291</v>
      </c>
      <c r="Q175" s="2347" t="s">
        <v>15483</v>
      </c>
      <c r="R175" s="395" t="s">
        <v>14831</v>
      </c>
    </row>
    <row r="176" spans="1:25">
      <c r="A176" s="2842" t="s">
        <v>1168</v>
      </c>
      <c r="B176" s="2843">
        <v>7704009700</v>
      </c>
      <c r="C176" s="2843">
        <v>133437</v>
      </c>
      <c r="D176" s="2844">
        <v>3110000000</v>
      </c>
      <c r="E176" s="2842" t="s">
        <v>6276</v>
      </c>
      <c r="F176" s="2347" t="s">
        <v>5409</v>
      </c>
      <c r="G176" s="2347" t="s">
        <v>5409</v>
      </c>
      <c r="H176" s="2347"/>
      <c r="I176" s="2347" t="s">
        <v>5409</v>
      </c>
      <c r="J176" s="2347"/>
      <c r="K176" s="3212"/>
      <c r="L176" s="3212"/>
      <c r="M176" s="3212" t="s">
        <v>10241</v>
      </c>
      <c r="N176" s="3212" t="s">
        <v>10242</v>
      </c>
      <c r="O176" s="2347" t="s">
        <v>14291</v>
      </c>
      <c r="P176" s="2347" t="s">
        <v>14291</v>
      </c>
      <c r="Q176" s="2347" t="s">
        <v>15482</v>
      </c>
      <c r="R176" s="395" t="s">
        <v>14831</v>
      </c>
    </row>
    <row r="177" spans="1:25">
      <c r="A177" s="2842" t="s">
        <v>6235</v>
      </c>
      <c r="B177" s="2843">
        <v>7725413350</v>
      </c>
      <c r="C177" s="2843">
        <v>532934</v>
      </c>
      <c r="D177" s="2844">
        <v>2010230912</v>
      </c>
      <c r="E177" s="2842" t="s">
        <v>8072</v>
      </c>
      <c r="F177" s="2347" t="s">
        <v>5409</v>
      </c>
      <c r="G177" s="2347" t="s">
        <v>5409</v>
      </c>
      <c r="H177" s="2347" t="s">
        <v>5409</v>
      </c>
      <c r="I177" s="2347" t="s">
        <v>5409</v>
      </c>
      <c r="J177" s="2347" t="s">
        <v>5409</v>
      </c>
      <c r="K177" s="3212"/>
      <c r="L177" s="3212"/>
      <c r="M177" s="3212" t="s">
        <v>10241</v>
      </c>
      <c r="N177" s="3212" t="s">
        <v>10242</v>
      </c>
      <c r="O177" s="2347" t="s">
        <v>14291</v>
      </c>
      <c r="P177" s="2347" t="s">
        <v>14291</v>
      </c>
      <c r="Q177" s="2347" t="s">
        <v>15481</v>
      </c>
      <c r="R177" s="395" t="s">
        <v>14831</v>
      </c>
    </row>
    <row r="178" spans="1:25" ht="29">
      <c r="A178" s="2842" t="s">
        <v>6071</v>
      </c>
      <c r="B178" s="2843">
        <v>7734358970</v>
      </c>
      <c r="C178" s="2843">
        <v>417501</v>
      </c>
      <c r="D178" s="2844">
        <v>2010990000</v>
      </c>
      <c r="E178" s="2842" t="s">
        <v>8056</v>
      </c>
      <c r="F178" s="2347" t="s">
        <v>5409</v>
      </c>
      <c r="G178" s="2347" t="s">
        <v>5409</v>
      </c>
      <c r="H178" s="2347" t="s">
        <v>5409</v>
      </c>
      <c r="I178" s="2347" t="s">
        <v>5409</v>
      </c>
      <c r="J178" s="2347"/>
      <c r="K178" s="3212"/>
      <c r="L178" s="3212"/>
      <c r="M178" s="3212" t="s">
        <v>10241</v>
      </c>
      <c r="N178" s="3212" t="s">
        <v>10242</v>
      </c>
      <c r="O178" s="2347" t="s">
        <v>14291</v>
      </c>
      <c r="P178" s="2347" t="s">
        <v>14291</v>
      </c>
      <c r="Q178" s="2347" t="s">
        <v>15484</v>
      </c>
      <c r="R178" s="395" t="s">
        <v>14831</v>
      </c>
    </row>
    <row r="179" spans="1:25">
      <c r="A179" s="2842" t="s">
        <v>2568</v>
      </c>
      <c r="B179" s="2843">
        <v>7713190205</v>
      </c>
      <c r="C179" s="2843">
        <v>23</v>
      </c>
      <c r="D179" s="2844">
        <v>2010020600</v>
      </c>
      <c r="E179" s="2842" t="s">
        <v>5839</v>
      </c>
      <c r="F179" s="2347" t="s">
        <v>5409</v>
      </c>
      <c r="G179" s="2347" t="s">
        <v>5409</v>
      </c>
      <c r="H179" s="2347" t="s">
        <v>5409</v>
      </c>
      <c r="I179" s="2347" t="s">
        <v>5409</v>
      </c>
      <c r="J179" s="2347" t="s">
        <v>5409</v>
      </c>
      <c r="K179" s="3212"/>
      <c r="L179" s="3212"/>
      <c r="M179" s="3212" t="s">
        <v>10241</v>
      </c>
      <c r="N179" s="3212" t="s">
        <v>10242</v>
      </c>
      <c r="O179" s="2347" t="s">
        <v>14291</v>
      </c>
      <c r="P179" s="2347" t="s">
        <v>14291</v>
      </c>
      <c r="Q179" s="2347" t="s">
        <v>15474</v>
      </c>
      <c r="R179" s="395" t="s">
        <v>14831</v>
      </c>
    </row>
    <row r="180" spans="1:25" ht="29">
      <c r="A180" s="2842" t="s">
        <v>14315</v>
      </c>
      <c r="B180" s="2843">
        <v>9724039168</v>
      </c>
      <c r="C180" s="2843">
        <v>673649</v>
      </c>
      <c r="D180" s="2844">
        <v>2010232210</v>
      </c>
      <c r="E180" s="2842" t="s">
        <v>10173</v>
      </c>
      <c r="F180" s="2347" t="s">
        <v>5409</v>
      </c>
      <c r="G180" s="2347" t="s">
        <v>5409</v>
      </c>
      <c r="H180" s="2347" t="s">
        <v>5409</v>
      </c>
      <c r="I180" s="2347" t="s">
        <v>5409</v>
      </c>
      <c r="J180" s="2347"/>
      <c r="K180" s="2638"/>
      <c r="L180" s="3212"/>
      <c r="M180" s="3212" t="s">
        <v>10241</v>
      </c>
      <c r="N180" s="3212" t="s">
        <v>10242</v>
      </c>
      <c r="O180" s="2347" t="s">
        <v>14291</v>
      </c>
      <c r="P180" s="2347" t="s">
        <v>14291</v>
      </c>
      <c r="Q180" s="2347" t="s">
        <v>15239</v>
      </c>
      <c r="R180" s="395" t="s">
        <v>14831</v>
      </c>
    </row>
    <row r="181" spans="1:25" ht="34.4" customHeight="1">
      <c r="A181" s="2842" t="s">
        <v>15309</v>
      </c>
      <c r="B181" s="2843">
        <v>1840001474</v>
      </c>
      <c r="C181" s="2843">
        <v>664263</v>
      </c>
      <c r="D181" s="2844">
        <v>2010244000</v>
      </c>
      <c r="E181" s="2842" t="s">
        <v>15310</v>
      </c>
      <c r="F181" s="2347" t="s">
        <v>5409</v>
      </c>
      <c r="G181" s="2347" t="s">
        <v>5409</v>
      </c>
      <c r="H181" s="2347" t="s">
        <v>5409</v>
      </c>
      <c r="I181" s="2347" t="s">
        <v>5409</v>
      </c>
      <c r="J181" s="2347"/>
      <c r="K181" s="2638"/>
      <c r="L181" s="3212"/>
      <c r="M181" s="2347"/>
      <c r="N181" s="3212"/>
      <c r="O181" s="3212" t="s">
        <v>14291</v>
      </c>
      <c r="P181" s="2347" t="s">
        <v>14291</v>
      </c>
      <c r="Q181" s="2347" t="s">
        <v>15473</v>
      </c>
      <c r="R181" s="395" t="s">
        <v>14831</v>
      </c>
    </row>
    <row r="182" spans="1:25" ht="29">
      <c r="A182" s="2842" t="s">
        <v>9936</v>
      </c>
      <c r="B182" s="2843">
        <v>7706757331</v>
      </c>
      <c r="C182" s="2843">
        <v>208117</v>
      </c>
      <c r="D182" s="2844">
        <v>2010920000</v>
      </c>
      <c r="E182" s="2842" t="s">
        <v>9937</v>
      </c>
      <c r="F182" s="2347" t="s">
        <v>5409</v>
      </c>
      <c r="G182" s="2347" t="s">
        <v>5409</v>
      </c>
      <c r="H182" s="2347" t="s">
        <v>5409</v>
      </c>
      <c r="I182" s="2347" t="s">
        <v>5409</v>
      </c>
      <c r="J182" s="2347"/>
      <c r="K182" s="3212"/>
      <c r="L182" s="3212"/>
      <c r="M182" s="3212" t="s">
        <v>10241</v>
      </c>
      <c r="N182" s="3212" t="s">
        <v>10242</v>
      </c>
      <c r="O182" s="2347" t="s">
        <v>14291</v>
      </c>
      <c r="P182" s="2347" t="s">
        <v>14291</v>
      </c>
      <c r="Q182" s="2347" t="s">
        <v>9936</v>
      </c>
      <c r="R182" s="395" t="s">
        <v>14831</v>
      </c>
      <c r="S182" s="3408"/>
      <c r="T182" s="3408"/>
      <c r="U182" s="3408"/>
      <c r="V182" s="3408"/>
      <c r="W182" s="3408"/>
    </row>
    <row r="183" spans="1:25" ht="43.5">
      <c r="A183" s="2842" t="s">
        <v>8639</v>
      </c>
      <c r="B183" s="2843">
        <v>6681010060</v>
      </c>
      <c r="C183" s="2843">
        <v>567019</v>
      </c>
      <c r="D183" s="2844">
        <v>2021000100</v>
      </c>
      <c r="E183" s="2842" t="s">
        <v>15220</v>
      </c>
      <c r="F183" s="2347" t="s">
        <v>5409</v>
      </c>
      <c r="G183" s="2347" t="s">
        <v>5409</v>
      </c>
      <c r="H183" s="2347"/>
      <c r="I183" s="2347" t="s">
        <v>5409</v>
      </c>
      <c r="J183" s="2347"/>
      <c r="K183" s="3212"/>
      <c r="L183" s="3212"/>
      <c r="M183" s="3212" t="s">
        <v>10241</v>
      </c>
      <c r="N183" s="3212" t="s">
        <v>10242</v>
      </c>
      <c r="O183" s="2347" t="s">
        <v>14291</v>
      </c>
      <c r="P183" s="2347" t="s">
        <v>14291</v>
      </c>
      <c r="Q183" s="2347" t="s">
        <v>9936</v>
      </c>
      <c r="R183" s="395" t="s">
        <v>14831</v>
      </c>
      <c r="X183" s="3408"/>
      <c r="Y183" s="3408"/>
    </row>
    <row r="184" spans="1:25" ht="43.5">
      <c r="A184" s="2842" t="s">
        <v>9968</v>
      </c>
      <c r="B184" s="2843">
        <v>4726004059</v>
      </c>
      <c r="C184" s="2843">
        <v>589783</v>
      </c>
      <c r="D184" s="2844">
        <v>2021000300</v>
      </c>
      <c r="E184" s="2842" t="s">
        <v>9967</v>
      </c>
      <c r="F184" s="2347" t="s">
        <v>5409</v>
      </c>
      <c r="G184" s="2347" t="s">
        <v>5409</v>
      </c>
      <c r="H184" s="2347" t="s">
        <v>5409</v>
      </c>
      <c r="I184" s="2347" t="s">
        <v>5409</v>
      </c>
      <c r="J184" s="2347"/>
      <c r="K184" s="3212"/>
      <c r="L184" s="3212"/>
      <c r="M184" s="3212" t="s">
        <v>10241</v>
      </c>
      <c r="N184" s="3212" t="s">
        <v>10242</v>
      </c>
      <c r="O184" s="2347" t="s">
        <v>14291</v>
      </c>
      <c r="P184" s="2347" t="s">
        <v>14291</v>
      </c>
      <c r="Q184" s="2347" t="s">
        <v>9936</v>
      </c>
      <c r="R184" s="395" t="s">
        <v>14831</v>
      </c>
    </row>
    <row r="185" spans="1:25" ht="43.5">
      <c r="A185" s="2842" t="s">
        <v>5452</v>
      </c>
      <c r="B185" s="2843">
        <v>7721632827</v>
      </c>
      <c r="C185" s="2843">
        <v>166</v>
      </c>
      <c r="D185" s="2844">
        <v>2010590000</v>
      </c>
      <c r="E185" s="2842" t="s">
        <v>6200</v>
      </c>
      <c r="F185" s="2347" t="s">
        <v>5409</v>
      </c>
      <c r="G185" s="2347" t="s">
        <v>5409</v>
      </c>
      <c r="H185" s="2347" t="s">
        <v>5409</v>
      </c>
      <c r="I185" s="2347" t="s">
        <v>5409</v>
      </c>
      <c r="J185" s="2347" t="s">
        <v>5409</v>
      </c>
      <c r="K185" s="3212"/>
      <c r="L185" s="3212"/>
      <c r="M185" s="3212" t="s">
        <v>10241</v>
      </c>
      <c r="N185" s="3212" t="s">
        <v>10243</v>
      </c>
      <c r="O185" s="2347" t="s">
        <v>14291</v>
      </c>
      <c r="P185" s="2347" t="s">
        <v>14291</v>
      </c>
      <c r="Q185" s="2347" t="s">
        <v>15472</v>
      </c>
      <c r="R185" s="395" t="s">
        <v>14831</v>
      </c>
    </row>
    <row r="186" spans="1:25">
      <c r="A186" s="2842" t="s">
        <v>2570</v>
      </c>
      <c r="B186" s="2843">
        <v>7726667090</v>
      </c>
      <c r="C186" s="2843">
        <v>198346</v>
      </c>
      <c r="D186" s="2844">
        <v>4180000000</v>
      </c>
      <c r="E186" s="2842" t="s">
        <v>5985</v>
      </c>
      <c r="F186" s="2347" t="s">
        <v>5409</v>
      </c>
      <c r="G186" s="2347" t="s">
        <v>5409</v>
      </c>
      <c r="H186" s="2347"/>
      <c r="I186" s="2347" t="s">
        <v>5409</v>
      </c>
      <c r="J186" s="2347"/>
      <c r="K186" s="3212"/>
      <c r="L186" s="3212"/>
      <c r="M186" s="3212" t="s">
        <v>10241</v>
      </c>
      <c r="N186" s="3212" t="s">
        <v>10242</v>
      </c>
      <c r="O186" s="2347" t="s">
        <v>14291</v>
      </c>
      <c r="P186" s="2347" t="s">
        <v>14291</v>
      </c>
      <c r="Q186" s="2347" t="s">
        <v>2547</v>
      </c>
      <c r="R186" s="395" t="s">
        <v>14831</v>
      </c>
    </row>
    <row r="187" spans="1:25">
      <c r="A187" s="2842" t="s">
        <v>14316</v>
      </c>
      <c r="B187" s="2843">
        <v>7724424381</v>
      </c>
      <c r="C187" s="2843">
        <v>527183</v>
      </c>
      <c r="D187" s="2844">
        <v>2010262000</v>
      </c>
      <c r="E187" s="2842" t="s">
        <v>8071</v>
      </c>
      <c r="F187" s="2347" t="s">
        <v>5409</v>
      </c>
      <c r="G187" s="3146" t="s">
        <v>9871</v>
      </c>
      <c r="H187" s="3146" t="s">
        <v>5409</v>
      </c>
      <c r="I187" s="3146" t="s">
        <v>5409</v>
      </c>
      <c r="J187" s="2347"/>
      <c r="K187" s="3212"/>
      <c r="L187" s="3212"/>
      <c r="M187" s="3212" t="s">
        <v>10241</v>
      </c>
      <c r="N187" s="3212" t="s">
        <v>10242</v>
      </c>
      <c r="O187" s="2347" t="s">
        <v>14291</v>
      </c>
      <c r="P187" s="2347" t="s">
        <v>14291</v>
      </c>
      <c r="Q187" s="2347" t="s">
        <v>15239</v>
      </c>
      <c r="R187" s="395" t="s">
        <v>14831</v>
      </c>
    </row>
    <row r="188" spans="1:25">
      <c r="A188" s="2842" t="s">
        <v>8779</v>
      </c>
      <c r="B188" s="2843"/>
      <c r="C188" s="2843">
        <v>595632</v>
      </c>
      <c r="D188" s="2844">
        <v>2021000400</v>
      </c>
      <c r="E188" s="2842" t="s">
        <v>8778</v>
      </c>
      <c r="F188" s="2347" t="s">
        <v>5409</v>
      </c>
      <c r="G188" s="2347" t="s">
        <v>5409</v>
      </c>
      <c r="H188" s="2347" t="s">
        <v>5409</v>
      </c>
      <c r="I188" s="2347" t="s">
        <v>5409</v>
      </c>
      <c r="J188" s="2347"/>
      <c r="K188" s="3212"/>
      <c r="L188" s="3212"/>
      <c r="M188" s="3212" t="s">
        <v>1149</v>
      </c>
      <c r="N188" s="3212"/>
      <c r="O188" s="2347" t="s">
        <v>14291</v>
      </c>
      <c r="P188" s="2347" t="s">
        <v>14292</v>
      </c>
      <c r="Q188" s="2347" t="s">
        <v>9936</v>
      </c>
      <c r="R188" s="395" t="s">
        <v>14832</v>
      </c>
    </row>
    <row r="189" spans="1:25">
      <c r="A189" s="2842" t="s">
        <v>8431</v>
      </c>
      <c r="B189" s="2843">
        <v>9706006265</v>
      </c>
      <c r="C189" s="2843">
        <v>650467</v>
      </c>
      <c r="D189" s="2844">
        <v>2011900000</v>
      </c>
      <c r="E189" s="2842" t="s">
        <v>9935</v>
      </c>
      <c r="F189" s="2347" t="s">
        <v>5409</v>
      </c>
      <c r="G189" s="2347" t="s">
        <v>5409</v>
      </c>
      <c r="H189" s="2347" t="s">
        <v>5409</v>
      </c>
      <c r="I189" s="2347" t="s">
        <v>5409</v>
      </c>
      <c r="J189" s="2347"/>
      <c r="K189" s="3212"/>
      <c r="L189" s="3212"/>
      <c r="M189" s="3212" t="s">
        <v>10241</v>
      </c>
      <c r="N189" s="3212" t="s">
        <v>10242</v>
      </c>
      <c r="O189" s="2347" t="s">
        <v>14291</v>
      </c>
      <c r="P189" s="2347" t="s">
        <v>14291</v>
      </c>
      <c r="Q189" s="2347" t="s">
        <v>15468</v>
      </c>
      <c r="R189" s="395" t="s">
        <v>14831</v>
      </c>
    </row>
    <row r="190" spans="1:25">
      <c r="A190" s="2842" t="s">
        <v>9622</v>
      </c>
      <c r="B190" s="2843">
        <v>9706000986</v>
      </c>
      <c r="C190" s="2843">
        <v>603433</v>
      </c>
      <c r="D190" s="2844">
        <v>2011000005</v>
      </c>
      <c r="E190" s="2842" t="s">
        <v>9623</v>
      </c>
      <c r="F190" s="2347" t="s">
        <v>5409</v>
      </c>
      <c r="G190" s="3146" t="s">
        <v>9871</v>
      </c>
      <c r="H190" s="3146" t="s">
        <v>5409</v>
      </c>
      <c r="I190" s="3146" t="s">
        <v>5409</v>
      </c>
      <c r="J190" s="2347"/>
      <c r="K190" s="3212"/>
      <c r="L190" s="3212"/>
      <c r="M190" s="3212" t="s">
        <v>10241</v>
      </c>
      <c r="N190" s="3212" t="s">
        <v>10242</v>
      </c>
      <c r="O190" s="2347" t="s">
        <v>14291</v>
      </c>
      <c r="P190" s="2347" t="s">
        <v>14291</v>
      </c>
      <c r="Q190" s="2347" t="s">
        <v>15468</v>
      </c>
      <c r="R190" s="395" t="s">
        <v>14831</v>
      </c>
    </row>
    <row r="191" spans="1:25" ht="43.5">
      <c r="A191" s="2842" t="s">
        <v>14327</v>
      </c>
      <c r="B191" s="2843">
        <v>7734653790</v>
      </c>
      <c r="C191" s="2843">
        <v>204504</v>
      </c>
      <c r="D191" s="2844">
        <v>2010402000</v>
      </c>
      <c r="E191" s="2842" t="s">
        <v>14217</v>
      </c>
      <c r="F191" s="2405" t="s">
        <v>5409</v>
      </c>
      <c r="G191" s="2405" t="s">
        <v>5409</v>
      </c>
      <c r="H191" s="2405" t="s">
        <v>5409</v>
      </c>
      <c r="I191" s="2405" t="s">
        <v>5409</v>
      </c>
      <c r="J191" s="2347"/>
      <c r="K191" s="3212"/>
      <c r="L191" s="3212"/>
      <c r="M191" s="3212" t="s">
        <v>10241</v>
      </c>
      <c r="N191" s="3212" t="s">
        <v>10242</v>
      </c>
      <c r="O191" s="3602" t="s">
        <v>14291</v>
      </c>
      <c r="P191" s="2347" t="s">
        <v>14291</v>
      </c>
      <c r="Q191" s="2347" t="s">
        <v>15239</v>
      </c>
      <c r="R191" s="395" t="s">
        <v>14831</v>
      </c>
    </row>
    <row r="192" spans="1:25" ht="29">
      <c r="A192" s="2842" t="s">
        <v>14311</v>
      </c>
      <c r="B192" s="2843">
        <v>5254495613</v>
      </c>
      <c r="C192" s="2843">
        <v>696319</v>
      </c>
      <c r="D192" s="2844">
        <v>2010243000</v>
      </c>
      <c r="E192" s="2842" t="s">
        <v>14312</v>
      </c>
      <c r="F192" s="2405" t="s">
        <v>5409</v>
      </c>
      <c r="G192" s="2405" t="s">
        <v>5409</v>
      </c>
      <c r="H192" s="2405" t="s">
        <v>5409</v>
      </c>
      <c r="I192" s="2405" t="s">
        <v>5409</v>
      </c>
      <c r="J192" s="2347"/>
      <c r="K192" s="3212"/>
      <c r="L192" s="3212"/>
      <c r="M192" s="2347" t="s">
        <v>1149</v>
      </c>
      <c r="N192" s="3212"/>
      <c r="O192" s="3602" t="s">
        <v>14291</v>
      </c>
      <c r="P192" s="2347" t="s">
        <v>14291</v>
      </c>
      <c r="Q192" s="2347" t="s">
        <v>15473</v>
      </c>
      <c r="R192" s="395" t="s">
        <v>14831</v>
      </c>
    </row>
    <row r="193" spans="1:18">
      <c r="A193" s="2842" t="s">
        <v>2569</v>
      </c>
      <c r="B193" s="2843">
        <v>7705966318</v>
      </c>
      <c r="C193" s="2843">
        <v>224845</v>
      </c>
      <c r="D193" s="2844">
        <v>2010592200</v>
      </c>
      <c r="E193" s="2842" t="s">
        <v>6018</v>
      </c>
      <c r="F193" s="2347" t="s">
        <v>5409</v>
      </c>
      <c r="G193" s="2347" t="s">
        <v>5409</v>
      </c>
      <c r="H193" s="2347" t="s">
        <v>5409</v>
      </c>
      <c r="I193" s="2347" t="s">
        <v>5409</v>
      </c>
      <c r="J193" s="2347"/>
      <c r="K193" s="3212"/>
      <c r="L193" s="3212"/>
      <c r="M193" s="3212" t="s">
        <v>10241</v>
      </c>
      <c r="N193" s="3212" t="s">
        <v>10242</v>
      </c>
      <c r="O193" s="2347" t="s">
        <v>14291</v>
      </c>
      <c r="P193" s="2347" t="s">
        <v>14291</v>
      </c>
      <c r="Q193" s="2347" t="s">
        <v>15468</v>
      </c>
      <c r="R193" s="395" t="s">
        <v>14831</v>
      </c>
    </row>
    <row r="194" spans="1:18">
      <c r="A194" s="2842" t="s">
        <v>8710</v>
      </c>
      <c r="B194" s="2843">
        <v>7724462362</v>
      </c>
      <c r="C194" s="2843">
        <v>582407</v>
      </c>
      <c r="D194" s="2844">
        <v>2010232200</v>
      </c>
      <c r="E194" s="2842" t="s">
        <v>8711</v>
      </c>
      <c r="F194" s="2347" t="s">
        <v>5409</v>
      </c>
      <c r="G194" s="3146"/>
      <c r="H194" s="3146" t="s">
        <v>5409</v>
      </c>
      <c r="I194" s="3146" t="s">
        <v>5409</v>
      </c>
      <c r="J194" s="2405"/>
      <c r="K194" s="3407"/>
      <c r="L194" s="3407"/>
      <c r="M194" s="3407" t="s">
        <v>10241</v>
      </c>
      <c r="N194" s="3407" t="s">
        <v>10242</v>
      </c>
      <c r="O194" s="2347" t="s">
        <v>14291</v>
      </c>
      <c r="P194" s="2347" t="s">
        <v>14291</v>
      </c>
      <c r="Q194" s="2347" t="s">
        <v>15239</v>
      </c>
      <c r="R194" s="395" t="s">
        <v>14831</v>
      </c>
    </row>
    <row r="195" spans="1:18">
      <c r="A195" s="2842" t="s">
        <v>15133</v>
      </c>
      <c r="B195" s="2843">
        <v>2315094729</v>
      </c>
      <c r="C195" s="2843">
        <v>567307</v>
      </c>
      <c r="D195" s="2844">
        <v>2011322100</v>
      </c>
      <c r="E195" s="2842" t="s">
        <v>15132</v>
      </c>
      <c r="F195" s="2405" t="s">
        <v>5409</v>
      </c>
      <c r="G195" s="2405" t="s">
        <v>5409</v>
      </c>
      <c r="H195" s="2405" t="s">
        <v>5409</v>
      </c>
      <c r="I195" s="2405" t="s">
        <v>5409</v>
      </c>
      <c r="J195" s="2347"/>
      <c r="K195" s="3212"/>
      <c r="L195" s="3212"/>
      <c r="M195" s="2347" t="s">
        <v>1149</v>
      </c>
      <c r="N195" s="3212"/>
      <c r="O195" s="3602" t="s">
        <v>14291</v>
      </c>
      <c r="P195" s="2347" t="s">
        <v>14291</v>
      </c>
      <c r="Q195" s="2347" t="s">
        <v>15468</v>
      </c>
      <c r="R195" s="395" t="s">
        <v>14831</v>
      </c>
    </row>
    <row r="196" spans="1:18" s="3651" customFormat="1">
      <c r="A196" s="3652" t="s">
        <v>6193</v>
      </c>
      <c r="B196" s="3647">
        <v>7726367354</v>
      </c>
      <c r="C196" s="3647">
        <v>430687</v>
      </c>
      <c r="D196" s="3648">
        <v>2010991000</v>
      </c>
      <c r="E196" s="3646" t="s">
        <v>6287</v>
      </c>
      <c r="F196" s="3649"/>
      <c r="G196" s="2866"/>
      <c r="H196" s="2866"/>
      <c r="I196" s="2866"/>
      <c r="J196" s="3649"/>
      <c r="K196" s="3650"/>
      <c r="L196" s="2347" t="s">
        <v>5409</v>
      </c>
      <c r="M196" s="3650" t="s">
        <v>10241</v>
      </c>
      <c r="N196" s="3650" t="s">
        <v>10242</v>
      </c>
      <c r="O196" s="3649" t="s">
        <v>14291</v>
      </c>
      <c r="P196" s="3649" t="s">
        <v>14291</v>
      </c>
      <c r="Q196" s="3649" t="s">
        <v>15471</v>
      </c>
      <c r="R196" s="3651" t="s">
        <v>14831</v>
      </c>
    </row>
    <row r="197" spans="1:18">
      <c r="A197" s="2842" t="s">
        <v>6816</v>
      </c>
      <c r="B197" s="2843">
        <v>7726396281</v>
      </c>
      <c r="C197" s="2843">
        <v>486175</v>
      </c>
      <c r="D197" s="2844">
        <v>2011000000</v>
      </c>
      <c r="E197" s="2842" t="s">
        <v>6817</v>
      </c>
      <c r="F197" s="2347" t="s">
        <v>5409</v>
      </c>
      <c r="G197" s="2347" t="s">
        <v>5409</v>
      </c>
      <c r="H197" s="2347" t="s">
        <v>5409</v>
      </c>
      <c r="I197" s="2347" t="s">
        <v>5409</v>
      </c>
      <c r="J197" s="2347"/>
      <c r="K197" s="3212"/>
      <c r="L197" s="3212"/>
      <c r="M197" s="3212" t="s">
        <v>10241</v>
      </c>
      <c r="N197" s="3212" t="s">
        <v>10242</v>
      </c>
      <c r="O197" s="2347" t="s">
        <v>14291</v>
      </c>
      <c r="P197" s="2347" t="s">
        <v>14291</v>
      </c>
      <c r="Q197" s="2347" t="s">
        <v>15471</v>
      </c>
      <c r="R197" s="395" t="s">
        <v>14831</v>
      </c>
    </row>
    <row r="198" spans="1:18" ht="29">
      <c r="A198" s="2842" t="s">
        <v>9872</v>
      </c>
      <c r="B198" s="2843">
        <v>7017465328</v>
      </c>
      <c r="C198" s="2843">
        <v>624150</v>
      </c>
      <c r="D198" s="2844">
        <v>2021000500</v>
      </c>
      <c r="E198" s="2842" t="s">
        <v>9679</v>
      </c>
      <c r="F198" s="2347" t="s">
        <v>5409</v>
      </c>
      <c r="G198" s="3146" t="s">
        <v>9871</v>
      </c>
      <c r="H198" s="3146" t="s">
        <v>5409</v>
      </c>
      <c r="I198" s="3146" t="s">
        <v>5409</v>
      </c>
      <c r="J198" s="2347"/>
      <c r="K198" s="3212"/>
      <c r="L198" s="3212"/>
      <c r="M198" s="3212" t="s">
        <v>1149</v>
      </c>
      <c r="N198" s="3212"/>
      <c r="O198" s="2347" t="s">
        <v>14291</v>
      </c>
      <c r="P198" s="2347" t="s">
        <v>14291</v>
      </c>
      <c r="Q198" s="2347" t="s">
        <v>9936</v>
      </c>
      <c r="R198" s="395" t="s">
        <v>14831</v>
      </c>
    </row>
    <row r="199" spans="1:18">
      <c r="A199" s="2842" t="s">
        <v>8781</v>
      </c>
      <c r="B199" s="2843">
        <v>7726447225</v>
      </c>
      <c r="C199" s="2843">
        <v>586362</v>
      </c>
      <c r="D199" s="2844">
        <v>2011000003</v>
      </c>
      <c r="E199" s="2842" t="s">
        <v>8780</v>
      </c>
      <c r="F199" s="2347" t="s">
        <v>5409</v>
      </c>
      <c r="G199" s="3146" t="s">
        <v>9871</v>
      </c>
      <c r="H199" s="3146" t="s">
        <v>5409</v>
      </c>
      <c r="I199" s="3146" t="s">
        <v>5409</v>
      </c>
      <c r="J199" s="2347"/>
      <c r="K199" s="3212"/>
      <c r="L199" s="3212"/>
      <c r="M199" s="3212" t="s">
        <v>10241</v>
      </c>
      <c r="N199" s="3212" t="s">
        <v>10242</v>
      </c>
      <c r="O199" s="2347" t="s">
        <v>14291</v>
      </c>
      <c r="P199" s="2347" t="s">
        <v>14291</v>
      </c>
      <c r="Q199" s="2347" t="s">
        <v>15483</v>
      </c>
      <c r="R199" s="395" t="s">
        <v>14831</v>
      </c>
    </row>
    <row r="200" spans="1:18" ht="29">
      <c r="A200" s="2842" t="s">
        <v>10204</v>
      </c>
      <c r="B200" s="2843">
        <v>4633017746</v>
      </c>
      <c r="C200" s="2843">
        <v>124475</v>
      </c>
      <c r="D200" s="2844">
        <v>2010591330</v>
      </c>
      <c r="E200" s="2842" t="s">
        <v>10205</v>
      </c>
      <c r="F200" s="2347" t="s">
        <v>5409</v>
      </c>
      <c r="G200" s="2347" t="s">
        <v>5409</v>
      </c>
      <c r="H200" s="2347" t="s">
        <v>5409</v>
      </c>
      <c r="I200" s="2347" t="s">
        <v>5409</v>
      </c>
      <c r="J200" s="2347"/>
      <c r="K200" s="3212"/>
      <c r="L200" s="3212"/>
      <c r="M200" s="3212" t="s">
        <v>1149</v>
      </c>
      <c r="N200" s="3212"/>
      <c r="O200" s="2347" t="s">
        <v>14291</v>
      </c>
      <c r="P200" s="2347" t="s">
        <v>14291</v>
      </c>
      <c r="Q200" s="2347" t="s">
        <v>15472</v>
      </c>
      <c r="R200" s="395" t="s">
        <v>14831</v>
      </c>
    </row>
    <row r="201" spans="1:18" ht="29">
      <c r="A201" s="2842" t="s">
        <v>2571</v>
      </c>
      <c r="B201" s="2843">
        <v>5036076690</v>
      </c>
      <c r="C201" s="2843">
        <v>95</v>
      </c>
      <c r="D201" s="2844">
        <v>2010230911</v>
      </c>
      <c r="E201" s="2842" t="s">
        <v>5986</v>
      </c>
      <c r="F201" s="2347" t="s">
        <v>5409</v>
      </c>
      <c r="G201" s="2347" t="s">
        <v>5409</v>
      </c>
      <c r="H201" s="2347" t="s">
        <v>5409</v>
      </c>
      <c r="I201" s="2347" t="s">
        <v>5409</v>
      </c>
      <c r="J201" s="2347"/>
      <c r="K201" s="3212"/>
      <c r="L201" s="3212"/>
      <c r="M201" s="3212" t="s">
        <v>10241</v>
      </c>
      <c r="N201" s="3212" t="s">
        <v>10242</v>
      </c>
      <c r="O201" s="2347" t="s">
        <v>14291</v>
      </c>
      <c r="P201" s="2347" t="s">
        <v>14291</v>
      </c>
      <c r="Q201" s="2347" t="s">
        <v>15467</v>
      </c>
      <c r="R201" s="395" t="s">
        <v>14831</v>
      </c>
    </row>
    <row r="202" spans="1:18" ht="29">
      <c r="A202" s="2842" t="s">
        <v>9990</v>
      </c>
      <c r="B202" s="2843">
        <v>5410043399</v>
      </c>
      <c r="C202" s="2843">
        <v>222683</v>
      </c>
      <c r="D202" s="2844">
        <v>2010230212</v>
      </c>
      <c r="E202" s="2842" t="s">
        <v>9989</v>
      </c>
      <c r="F202" s="2347" t="s">
        <v>5409</v>
      </c>
      <c r="G202" s="2347" t="s">
        <v>5409</v>
      </c>
      <c r="H202" s="2347" t="s">
        <v>5409</v>
      </c>
      <c r="I202" s="2347" t="s">
        <v>5409</v>
      </c>
      <c r="J202" s="2347"/>
      <c r="K202" s="3212"/>
      <c r="L202" s="3212"/>
      <c r="M202" s="3212" t="s">
        <v>10241</v>
      </c>
      <c r="N202" s="3212" t="s">
        <v>10242</v>
      </c>
      <c r="O202" s="2347" t="s">
        <v>14291</v>
      </c>
      <c r="P202" s="2347" t="s">
        <v>14291</v>
      </c>
      <c r="Q202" s="2347" t="s">
        <v>15239</v>
      </c>
      <c r="R202" s="395" t="s">
        <v>14831</v>
      </c>
    </row>
    <row r="203" spans="1:18">
      <c r="A203" s="3116" t="s">
        <v>14689</v>
      </c>
      <c r="B203" s="3504">
        <v>9705165390</v>
      </c>
      <c r="C203" s="3504">
        <v>706515</v>
      </c>
      <c r="D203" s="3505">
        <v>2011700000</v>
      </c>
      <c r="E203" s="3506" t="s">
        <v>14690</v>
      </c>
      <c r="F203" s="2347" t="s">
        <v>5409</v>
      </c>
      <c r="G203" s="2347" t="s">
        <v>5409</v>
      </c>
      <c r="H203" s="2347" t="s">
        <v>5409</v>
      </c>
      <c r="I203" s="2347" t="s">
        <v>5409</v>
      </c>
      <c r="J203" s="2347"/>
      <c r="K203" s="3212"/>
      <c r="L203" s="3212"/>
      <c r="M203" s="3212" t="s">
        <v>10241</v>
      </c>
      <c r="N203" s="3212" t="s">
        <v>10242</v>
      </c>
      <c r="O203" s="2347" t="s">
        <v>14291</v>
      </c>
      <c r="P203" s="2347" t="s">
        <v>14291</v>
      </c>
      <c r="Q203" s="2347" t="s">
        <v>15486</v>
      </c>
      <c r="R203" s="395" t="s">
        <v>14831</v>
      </c>
    </row>
    <row r="204" spans="1:18" ht="34.4" customHeight="1">
      <c r="A204" s="3656" t="s">
        <v>15234</v>
      </c>
      <c r="B204" s="3504">
        <v>7802931751</v>
      </c>
      <c r="C204" s="3504">
        <v>745788</v>
      </c>
      <c r="D204" s="3505">
        <v>2010939000</v>
      </c>
      <c r="E204" s="3506" t="s">
        <v>15235</v>
      </c>
      <c r="F204" s="2347" t="s">
        <v>5409</v>
      </c>
      <c r="G204" s="2347" t="s">
        <v>5409</v>
      </c>
      <c r="H204" s="2347" t="s">
        <v>5409</v>
      </c>
      <c r="I204" s="2347" t="s">
        <v>5409</v>
      </c>
      <c r="J204" s="2347"/>
      <c r="K204" s="3212"/>
      <c r="L204" s="3212"/>
      <c r="M204" s="2347"/>
      <c r="N204" s="3212"/>
      <c r="O204" s="2347" t="s">
        <v>14291</v>
      </c>
      <c r="P204" s="2347" t="s">
        <v>14291</v>
      </c>
      <c r="Q204" s="2347" t="s">
        <v>6086</v>
      </c>
      <c r="R204" s="395" t="s">
        <v>14831</v>
      </c>
    </row>
    <row r="205" spans="1:18" ht="29">
      <c r="A205" s="2842" t="s">
        <v>2572</v>
      </c>
      <c r="B205" s="2843">
        <v>9909449262</v>
      </c>
      <c r="C205" s="2843">
        <v>98</v>
      </c>
      <c r="D205" s="2844">
        <v>2010230916</v>
      </c>
      <c r="E205" s="2842" t="s">
        <v>2573</v>
      </c>
      <c r="F205" s="2347" t="s">
        <v>5409</v>
      </c>
      <c r="G205" s="3607" t="s">
        <v>5409</v>
      </c>
      <c r="H205" s="2347" t="s">
        <v>5409</v>
      </c>
      <c r="I205" s="2347" t="s">
        <v>5409</v>
      </c>
      <c r="J205" s="2347"/>
      <c r="K205" s="3212"/>
      <c r="L205" s="3212"/>
      <c r="M205" s="3212" t="s">
        <v>10241</v>
      </c>
      <c r="N205" s="3212" t="s">
        <v>10242</v>
      </c>
      <c r="O205" s="2347" t="s">
        <v>14291</v>
      </c>
      <c r="P205" s="2347" t="s">
        <v>14291</v>
      </c>
      <c r="Q205" s="2347" t="s">
        <v>15467</v>
      </c>
      <c r="R205" s="395" t="s">
        <v>14831</v>
      </c>
    </row>
    <row r="206" spans="1:18">
      <c r="A206" s="3116" t="s">
        <v>15173</v>
      </c>
      <c r="B206" s="3504">
        <v>6509000854</v>
      </c>
      <c r="C206" s="3504">
        <v>377275</v>
      </c>
      <c r="D206" s="3505">
        <v>2011301000</v>
      </c>
      <c r="E206" s="3506" t="s">
        <v>15155</v>
      </c>
      <c r="F206" s="2405" t="s">
        <v>5409</v>
      </c>
      <c r="G206" s="2405"/>
      <c r="H206" s="2405" t="s">
        <v>5409</v>
      </c>
      <c r="I206" s="2405" t="s">
        <v>5409</v>
      </c>
      <c r="J206" s="2347"/>
      <c r="K206" s="3212"/>
      <c r="L206" s="2347"/>
      <c r="M206" s="2347" t="s">
        <v>1149</v>
      </c>
      <c r="N206" s="2347"/>
      <c r="O206" s="2347" t="s">
        <v>14291</v>
      </c>
      <c r="P206" s="2347" t="s">
        <v>14291</v>
      </c>
      <c r="Q206" s="2347" t="s">
        <v>15468</v>
      </c>
      <c r="R206" s="395" t="s">
        <v>14831</v>
      </c>
    </row>
    <row r="207" spans="1:18" ht="43.5">
      <c r="A207" s="2842" t="s">
        <v>2574</v>
      </c>
      <c r="B207" s="2843">
        <v>6664003909</v>
      </c>
      <c r="C207" s="2843">
        <v>41</v>
      </c>
      <c r="D207" s="2844">
        <v>2010200000</v>
      </c>
      <c r="E207" s="2842" t="s">
        <v>6051</v>
      </c>
      <c r="F207" s="2347" t="s">
        <v>5409</v>
      </c>
      <c r="G207" s="3607" t="s">
        <v>5409</v>
      </c>
      <c r="H207" s="2347" t="s">
        <v>5409</v>
      </c>
      <c r="I207" s="2347" t="s">
        <v>5409</v>
      </c>
      <c r="J207" s="2347"/>
      <c r="K207" s="3212"/>
      <c r="L207" s="3212"/>
      <c r="M207" s="3212" t="s">
        <v>10241</v>
      </c>
      <c r="N207" s="3212" t="s">
        <v>10242</v>
      </c>
      <c r="O207" s="2347" t="s">
        <v>14291</v>
      </c>
      <c r="P207" s="2347" t="s">
        <v>14291</v>
      </c>
      <c r="Q207" s="2347" t="s">
        <v>15467</v>
      </c>
      <c r="R207" s="395" t="s">
        <v>14831</v>
      </c>
    </row>
    <row r="208" spans="1:18">
      <c r="A208" s="2842" t="s">
        <v>2575</v>
      </c>
      <c r="B208" s="2843">
        <v>5254082550</v>
      </c>
      <c r="C208" s="2843">
        <v>35</v>
      </c>
      <c r="D208" s="2844">
        <v>2010150300</v>
      </c>
      <c r="E208" s="2842" t="s">
        <v>5987</v>
      </c>
      <c r="F208" s="2347" t="s">
        <v>5409</v>
      </c>
      <c r="G208" s="2347" t="s">
        <v>5409</v>
      </c>
      <c r="H208" s="2347" t="s">
        <v>5409</v>
      </c>
      <c r="I208" s="2347" t="s">
        <v>5409</v>
      </c>
      <c r="J208" s="2347"/>
      <c r="K208" s="3212"/>
      <c r="L208" s="3212"/>
      <c r="M208" s="3212" t="s">
        <v>1149</v>
      </c>
      <c r="N208" s="3212"/>
      <c r="O208" s="2347" t="s">
        <v>14291</v>
      </c>
      <c r="P208" s="2347" t="s">
        <v>14291</v>
      </c>
      <c r="Q208" s="2347" t="s">
        <v>15480</v>
      </c>
      <c r="R208" s="395" t="s">
        <v>14831</v>
      </c>
    </row>
    <row r="209" spans="1:18">
      <c r="A209" s="2842" t="s">
        <v>8633</v>
      </c>
      <c r="B209" s="2843">
        <v>6916000521</v>
      </c>
      <c r="C209" s="2843">
        <v>132117</v>
      </c>
      <c r="D209" s="2844">
        <v>2010450114</v>
      </c>
      <c r="E209" s="2842" t="s">
        <v>8634</v>
      </c>
      <c r="F209" s="2347" t="s">
        <v>5409</v>
      </c>
      <c r="G209" s="2347" t="s">
        <v>5409</v>
      </c>
      <c r="H209" s="2347"/>
      <c r="I209" s="2347" t="s">
        <v>5409</v>
      </c>
      <c r="J209" s="2347"/>
      <c r="K209" s="3212"/>
      <c r="L209" s="3212"/>
      <c r="M209" s="3212" t="s">
        <v>10241</v>
      </c>
      <c r="N209" s="3212" t="s">
        <v>10243</v>
      </c>
      <c r="O209" s="2347" t="s">
        <v>14291</v>
      </c>
      <c r="P209" s="2347" t="s">
        <v>14291</v>
      </c>
      <c r="Q209" s="2347" t="s">
        <v>15475</v>
      </c>
      <c r="R209" s="395" t="s">
        <v>14831</v>
      </c>
    </row>
    <row r="210" spans="1:18">
      <c r="A210" s="3316" t="s">
        <v>15147</v>
      </c>
      <c r="B210" s="3504">
        <v>9718060034</v>
      </c>
      <c r="C210" s="3504">
        <v>718408</v>
      </c>
      <c r="D210" s="3505">
        <v>2011000031</v>
      </c>
      <c r="E210" s="3506" t="s">
        <v>14934</v>
      </c>
      <c r="F210" s="2347" t="s">
        <v>5435</v>
      </c>
      <c r="G210" s="2347" t="s">
        <v>5409</v>
      </c>
      <c r="H210" s="2347" t="s">
        <v>5409</v>
      </c>
      <c r="I210" s="2347" t="s">
        <v>5409</v>
      </c>
      <c r="J210" s="2347"/>
      <c r="K210" s="3212"/>
      <c r="L210" s="3212"/>
      <c r="M210" s="3212"/>
      <c r="N210" s="3212"/>
      <c r="O210" s="3601" t="s">
        <v>14291</v>
      </c>
      <c r="P210" s="3601" t="s">
        <v>14291</v>
      </c>
      <c r="Q210" s="2347" t="s">
        <v>15483</v>
      </c>
      <c r="R210" s="395" t="s">
        <v>14831</v>
      </c>
    </row>
    <row r="211" spans="1:18">
      <c r="A211" s="3116" t="s">
        <v>15432</v>
      </c>
      <c r="B211" s="3504">
        <v>9731001895</v>
      </c>
      <c r="C211" s="3504">
        <v>680059</v>
      </c>
      <c r="D211" s="3505">
        <v>2011355450</v>
      </c>
      <c r="E211" s="3506" t="s">
        <v>15433</v>
      </c>
      <c r="F211" s="2405" t="s">
        <v>5409</v>
      </c>
      <c r="G211" s="2405" t="s">
        <v>5409</v>
      </c>
      <c r="H211" s="2405" t="s">
        <v>5409</v>
      </c>
      <c r="I211" s="2405" t="s">
        <v>5409</v>
      </c>
      <c r="J211" s="2347"/>
      <c r="K211" s="3212"/>
      <c r="L211" s="2347"/>
      <c r="M211" s="2347"/>
      <c r="N211" s="2347"/>
      <c r="O211" s="2347" t="s">
        <v>14291</v>
      </c>
      <c r="P211" s="2347" t="s">
        <v>14291</v>
      </c>
      <c r="Q211" s="2347" t="s">
        <v>9936</v>
      </c>
      <c r="R211" s="395" t="s">
        <v>14831</v>
      </c>
    </row>
    <row r="212" spans="1:18">
      <c r="A212" s="3116" t="s">
        <v>15434</v>
      </c>
      <c r="B212" s="3504">
        <v>3123416607</v>
      </c>
      <c r="C212" s="3504">
        <v>680065</v>
      </c>
      <c r="D212" s="3505">
        <v>2011355460</v>
      </c>
      <c r="E212" s="3506" t="s">
        <v>15435</v>
      </c>
      <c r="F212" s="2405" t="s">
        <v>5409</v>
      </c>
      <c r="G212" s="2405" t="s">
        <v>5409</v>
      </c>
      <c r="H212" s="2405" t="s">
        <v>5409</v>
      </c>
      <c r="I212" s="2405" t="s">
        <v>5409</v>
      </c>
      <c r="J212" s="2347"/>
      <c r="K212" s="3212"/>
      <c r="L212" s="2347"/>
      <c r="M212" s="2347"/>
      <c r="N212" s="2347"/>
      <c r="O212" s="2347" t="s">
        <v>14291</v>
      </c>
      <c r="P212" s="2347" t="s">
        <v>14291</v>
      </c>
      <c r="Q212" s="2347" t="s">
        <v>9936</v>
      </c>
      <c r="R212" s="395" t="s">
        <v>14831</v>
      </c>
    </row>
    <row r="213" spans="1:18">
      <c r="A213" s="2842" t="s">
        <v>6288</v>
      </c>
      <c r="B213" s="2843">
        <v>7706433961</v>
      </c>
      <c r="C213" s="2843">
        <v>431962</v>
      </c>
      <c r="D213" s="2844">
        <v>2010992000</v>
      </c>
      <c r="E213" s="2842" t="s">
        <v>8057</v>
      </c>
      <c r="F213" s="2347" t="s">
        <v>5409</v>
      </c>
      <c r="G213" s="2405" t="s">
        <v>5409</v>
      </c>
      <c r="H213" s="2405" t="s">
        <v>5409</v>
      </c>
      <c r="I213" s="2405" t="s">
        <v>5409</v>
      </c>
      <c r="J213" s="2347"/>
      <c r="K213" s="3212"/>
      <c r="L213" s="3212"/>
      <c r="M213" s="3212" t="s">
        <v>10241</v>
      </c>
      <c r="N213" s="3212" t="s">
        <v>10242</v>
      </c>
      <c r="O213" s="2347" t="s">
        <v>14291</v>
      </c>
      <c r="P213" s="2347" t="s">
        <v>14291</v>
      </c>
      <c r="Q213" s="2347" t="s">
        <v>15476</v>
      </c>
      <c r="R213" s="395" t="s">
        <v>14831</v>
      </c>
    </row>
    <row r="214" spans="1:18" ht="29">
      <c r="A214" s="2842" t="s">
        <v>42</v>
      </c>
      <c r="B214" s="2843">
        <v>5260234539</v>
      </c>
      <c r="C214" s="2843">
        <v>301</v>
      </c>
      <c r="D214" s="2844">
        <v>2010620100</v>
      </c>
      <c r="E214" s="2842" t="s">
        <v>3932</v>
      </c>
      <c r="F214" s="2347" t="s">
        <v>5409</v>
      </c>
      <c r="G214" s="2347" t="s">
        <v>5409</v>
      </c>
      <c r="H214" s="2638"/>
      <c r="I214" s="2405" t="s">
        <v>5409</v>
      </c>
      <c r="J214" s="2347" t="s">
        <v>5435</v>
      </c>
      <c r="K214" s="3212"/>
      <c r="L214" s="3212"/>
      <c r="M214" s="3212" t="s">
        <v>10241</v>
      </c>
      <c r="N214" s="3212" t="s">
        <v>10243</v>
      </c>
      <c r="O214" s="2347" t="s">
        <v>14291</v>
      </c>
      <c r="P214" s="2347" t="s">
        <v>14291</v>
      </c>
      <c r="Q214" s="2347" t="s">
        <v>15475</v>
      </c>
      <c r="R214" s="395" t="s">
        <v>14831</v>
      </c>
    </row>
    <row r="215" spans="1:18">
      <c r="A215" s="2842" t="s">
        <v>8535</v>
      </c>
      <c r="B215" s="2843">
        <v>5256065824</v>
      </c>
      <c r="C215" s="2843">
        <v>203</v>
      </c>
      <c r="D215" s="2844">
        <v>2010840400</v>
      </c>
      <c r="E215" s="2842" t="s">
        <v>8536</v>
      </c>
      <c r="F215" s="2347"/>
      <c r="G215" s="2865"/>
      <c r="H215" s="2347"/>
      <c r="I215" s="2347"/>
      <c r="J215" s="2347"/>
      <c r="K215" s="3212"/>
      <c r="L215" s="3212"/>
      <c r="M215" s="3212" t="s">
        <v>10241</v>
      </c>
      <c r="N215" s="3212" t="s">
        <v>10242</v>
      </c>
      <c r="O215" s="2347" t="s">
        <v>14291</v>
      </c>
      <c r="P215" s="2347"/>
      <c r="Q215" s="2347" t="s">
        <v>15239</v>
      </c>
      <c r="R215" s="395" t="s">
        <v>14831</v>
      </c>
    </row>
    <row r="216" spans="1:18" ht="43.5">
      <c r="A216" s="2842" t="s">
        <v>2576</v>
      </c>
      <c r="B216" s="2843">
        <v>7734592593</v>
      </c>
      <c r="C216" s="2843">
        <v>179</v>
      </c>
      <c r="D216" s="2844">
        <v>2010660000</v>
      </c>
      <c r="E216" s="2842" t="s">
        <v>5988</v>
      </c>
      <c r="F216" s="2347" t="s">
        <v>5409</v>
      </c>
      <c r="G216" s="2347" t="s">
        <v>5409</v>
      </c>
      <c r="H216" s="2347" t="s">
        <v>5409</v>
      </c>
      <c r="I216" s="2347" t="s">
        <v>5409</v>
      </c>
      <c r="J216" s="2347"/>
      <c r="K216" s="3212"/>
      <c r="L216" s="3212"/>
      <c r="M216" s="3212" t="s">
        <v>10241</v>
      </c>
      <c r="N216" s="3212" t="s">
        <v>10242</v>
      </c>
      <c r="O216" s="2347" t="s">
        <v>14291</v>
      </c>
      <c r="P216" s="2347" t="s">
        <v>14291</v>
      </c>
      <c r="Q216" s="2347" t="s">
        <v>15484</v>
      </c>
      <c r="R216" s="395" t="s">
        <v>14831</v>
      </c>
    </row>
    <row r="217" spans="1:18">
      <c r="A217" s="2842" t="s">
        <v>14320</v>
      </c>
      <c r="B217" s="2843" t="s">
        <v>14321</v>
      </c>
      <c r="C217" s="2843">
        <v>154789</v>
      </c>
      <c r="D217" s="2844">
        <v>2010024000</v>
      </c>
      <c r="E217" s="2842" t="s">
        <v>14322</v>
      </c>
      <c r="F217" s="2347" t="s">
        <v>5409</v>
      </c>
      <c r="G217" s="2347" t="s">
        <v>5409</v>
      </c>
      <c r="H217" s="2347" t="s">
        <v>5409</v>
      </c>
      <c r="I217" s="2347" t="s">
        <v>5409</v>
      </c>
      <c r="J217" s="2347"/>
      <c r="K217" s="2638"/>
      <c r="L217" s="3212"/>
      <c r="M217" s="2347" t="s">
        <v>1149</v>
      </c>
      <c r="N217" s="3212"/>
      <c r="O217" s="2347" t="s">
        <v>14291</v>
      </c>
      <c r="P217" s="2347" t="s">
        <v>14292</v>
      </c>
      <c r="Q217" s="2347" t="s">
        <v>15469</v>
      </c>
      <c r="R217" s="395" t="s">
        <v>14832</v>
      </c>
    </row>
    <row r="218" spans="1:18" ht="34.4" customHeight="1">
      <c r="A218" s="2842" t="s">
        <v>14290</v>
      </c>
      <c r="B218" s="2843">
        <v>7726464220</v>
      </c>
      <c r="C218" s="2843">
        <v>644853</v>
      </c>
      <c r="D218" s="2844">
        <v>2011200000</v>
      </c>
      <c r="E218" s="2842" t="s">
        <v>14683</v>
      </c>
      <c r="F218" s="2347" t="s">
        <v>5435</v>
      </c>
      <c r="G218" s="2347" t="s">
        <v>5409</v>
      </c>
      <c r="H218" s="2347" t="s">
        <v>5409</v>
      </c>
      <c r="I218" s="2347" t="s">
        <v>5409</v>
      </c>
      <c r="J218" s="2347"/>
      <c r="K218" s="3212"/>
      <c r="L218" s="3212"/>
      <c r="M218" s="3212" t="s">
        <v>10241</v>
      </c>
      <c r="N218" s="3212" t="s">
        <v>10242</v>
      </c>
      <c r="O218" s="2347" t="s">
        <v>14291</v>
      </c>
      <c r="P218" s="2347" t="s">
        <v>14291</v>
      </c>
      <c r="Q218" s="2347" t="s">
        <v>15483</v>
      </c>
      <c r="R218" s="395" t="s">
        <v>14831</v>
      </c>
    </row>
    <row r="219" spans="1:18">
      <c r="A219" s="2842" t="s">
        <v>2881</v>
      </c>
      <c r="B219" s="2843">
        <v>7840393624</v>
      </c>
      <c r="C219" s="2843">
        <v>189</v>
      </c>
      <c r="D219" s="2844">
        <v>2010750000</v>
      </c>
      <c r="E219" s="2842" t="s">
        <v>5840</v>
      </c>
      <c r="F219" s="2347" t="s">
        <v>5409</v>
      </c>
      <c r="G219" s="2347" t="s">
        <v>5409</v>
      </c>
      <c r="H219" s="2347" t="s">
        <v>5409</v>
      </c>
      <c r="I219" s="2347" t="s">
        <v>5409</v>
      </c>
      <c r="J219" s="2347"/>
      <c r="K219" s="3212"/>
      <c r="L219" s="3212"/>
      <c r="M219" s="3212" t="s">
        <v>10241</v>
      </c>
      <c r="N219" s="3212" t="s">
        <v>10242</v>
      </c>
      <c r="O219" s="2347" t="s">
        <v>14291</v>
      </c>
      <c r="P219" s="2347" t="s">
        <v>14291</v>
      </c>
      <c r="Q219" s="2347" t="s">
        <v>15469</v>
      </c>
      <c r="R219" s="395" t="s">
        <v>14831</v>
      </c>
    </row>
    <row r="220" spans="1:18">
      <c r="A220" s="2842" t="s">
        <v>14313</v>
      </c>
      <c r="B220" s="2843">
        <v>9705162705</v>
      </c>
      <c r="C220" s="2843">
        <v>700013</v>
      </c>
      <c r="D220" s="2844">
        <v>2010760209</v>
      </c>
      <c r="E220" s="2842" t="s">
        <v>14314</v>
      </c>
      <c r="F220" s="2347" t="s">
        <v>5409</v>
      </c>
      <c r="G220" s="2347" t="s">
        <v>5409</v>
      </c>
      <c r="H220" s="2347" t="s">
        <v>5409</v>
      </c>
      <c r="I220" s="2347" t="s">
        <v>5409</v>
      </c>
      <c r="J220" s="2347"/>
      <c r="K220" s="2638"/>
      <c r="L220" s="3212"/>
      <c r="M220" s="2347" t="s">
        <v>10241</v>
      </c>
      <c r="N220" s="3212" t="s">
        <v>10242</v>
      </c>
      <c r="O220" s="2347" t="s">
        <v>14291</v>
      </c>
      <c r="P220" s="2347" t="s">
        <v>14291</v>
      </c>
      <c r="Q220" s="2347" t="s">
        <v>15467</v>
      </c>
      <c r="R220" s="395" t="s">
        <v>14831</v>
      </c>
    </row>
    <row r="221" spans="1:18" ht="29">
      <c r="A221" s="2842" t="s">
        <v>6289</v>
      </c>
      <c r="B221" s="2843">
        <v>7720325407</v>
      </c>
      <c r="C221" s="2843">
        <v>428981</v>
      </c>
      <c r="D221" s="2844">
        <v>2010630100</v>
      </c>
      <c r="E221" s="2842" t="s">
        <v>6290</v>
      </c>
      <c r="F221" s="2347" t="s">
        <v>5409</v>
      </c>
      <c r="G221" s="2405" t="s">
        <v>5409</v>
      </c>
      <c r="H221" s="2347" t="s">
        <v>5409</v>
      </c>
      <c r="I221" s="2405" t="s">
        <v>5409</v>
      </c>
      <c r="J221" s="2347"/>
      <c r="K221" s="3212"/>
      <c r="L221" s="3212"/>
      <c r="M221" s="3212" t="s">
        <v>10241</v>
      </c>
      <c r="N221" s="3212" t="s">
        <v>10242</v>
      </c>
      <c r="O221" s="2347" t="s">
        <v>14291</v>
      </c>
      <c r="P221" s="2347" t="s">
        <v>14291</v>
      </c>
      <c r="Q221" s="2347" t="s">
        <v>15472</v>
      </c>
      <c r="R221" s="395" t="s">
        <v>14831</v>
      </c>
    </row>
    <row r="222" spans="1:18" ht="29">
      <c r="A222" s="2842" t="s">
        <v>8645</v>
      </c>
      <c r="B222" s="2843">
        <v>7457008611</v>
      </c>
      <c r="C222" s="2843">
        <v>534388</v>
      </c>
      <c r="D222" s="2844">
        <v>1112000000</v>
      </c>
      <c r="E222" s="2842" t="s">
        <v>9873</v>
      </c>
      <c r="F222" s="2347" t="s">
        <v>5409</v>
      </c>
      <c r="G222" s="2347" t="s">
        <v>5409</v>
      </c>
      <c r="H222" s="2347"/>
      <c r="I222" s="2347" t="s">
        <v>5409</v>
      </c>
      <c r="J222" s="2347"/>
      <c r="K222" s="3212"/>
      <c r="L222" s="3212"/>
      <c r="M222" s="3212" t="s">
        <v>10241</v>
      </c>
      <c r="N222" s="3212" t="s">
        <v>10242</v>
      </c>
      <c r="O222" s="2347" t="s">
        <v>14291</v>
      </c>
      <c r="P222" s="2347" t="s">
        <v>14291</v>
      </c>
      <c r="Q222" s="2347" t="s">
        <v>15480</v>
      </c>
      <c r="R222" s="395" t="s">
        <v>14831</v>
      </c>
    </row>
    <row r="223" spans="1:18" ht="58">
      <c r="A223" s="2842" t="s">
        <v>2883</v>
      </c>
      <c r="B223" s="2843">
        <v>5838013374</v>
      </c>
      <c r="C223" s="2843">
        <v>540737</v>
      </c>
      <c r="D223" s="2844">
        <v>1090000000</v>
      </c>
      <c r="E223" s="2842" t="s">
        <v>8073</v>
      </c>
      <c r="F223" s="2347" t="s">
        <v>5409</v>
      </c>
      <c r="G223" s="2347" t="s">
        <v>5409</v>
      </c>
      <c r="H223" s="2347"/>
      <c r="I223" s="2347" t="s">
        <v>5409</v>
      </c>
      <c r="J223" s="2347"/>
      <c r="K223" s="3212"/>
      <c r="L223" s="3212"/>
      <c r="M223" s="3212" t="s">
        <v>1149</v>
      </c>
      <c r="N223" s="3212"/>
      <c r="O223" s="2347" t="s">
        <v>14291</v>
      </c>
      <c r="P223" s="2347" t="s">
        <v>14291</v>
      </c>
      <c r="Q223" s="2347" t="s">
        <v>15480</v>
      </c>
      <c r="R223" s="395" t="s">
        <v>14831</v>
      </c>
    </row>
    <row r="224" spans="1:18" ht="29">
      <c r="A224" s="2842" t="s">
        <v>15529</v>
      </c>
      <c r="B224" s="2843">
        <v>3304001361</v>
      </c>
      <c r="C224" s="2843">
        <v>212023</v>
      </c>
      <c r="D224" s="2844">
        <v>2010244700</v>
      </c>
      <c r="E224" s="2842" t="s">
        <v>15504</v>
      </c>
      <c r="F224" s="2405" t="s">
        <v>5409</v>
      </c>
      <c r="G224" s="2405" t="s">
        <v>5409</v>
      </c>
      <c r="H224" s="2405" t="s">
        <v>5409</v>
      </c>
      <c r="I224" s="2405" t="s">
        <v>5409</v>
      </c>
      <c r="J224" s="2347"/>
      <c r="K224" s="3212"/>
      <c r="L224" s="2347"/>
      <c r="M224" s="2347"/>
      <c r="N224" s="2347"/>
      <c r="O224" s="2347" t="s">
        <v>14291</v>
      </c>
      <c r="P224" s="2347" t="s">
        <v>14291</v>
      </c>
      <c r="Q224" s="2347" t="s">
        <v>15473</v>
      </c>
      <c r="R224" s="395" t="s">
        <v>14831</v>
      </c>
    </row>
    <row r="225" spans="1:18">
      <c r="A225" s="2842" t="s">
        <v>2882</v>
      </c>
      <c r="B225" s="2843">
        <v>5254082630</v>
      </c>
      <c r="C225" s="2843">
        <v>34</v>
      </c>
      <c r="D225" s="2844">
        <v>2010150200</v>
      </c>
      <c r="E225" s="2842" t="s">
        <v>5989</v>
      </c>
      <c r="F225" s="2347" t="s">
        <v>5409</v>
      </c>
      <c r="G225" s="2347" t="s">
        <v>5409</v>
      </c>
      <c r="H225" s="2347" t="s">
        <v>5409</v>
      </c>
      <c r="I225" s="2347" t="s">
        <v>5409</v>
      </c>
      <c r="J225" s="2347"/>
      <c r="K225" s="3212"/>
      <c r="L225" s="3212"/>
      <c r="M225" s="3212" t="s">
        <v>1149</v>
      </c>
      <c r="N225" s="3212"/>
      <c r="O225" s="2347" t="s">
        <v>14291</v>
      </c>
      <c r="P225" s="2347" t="s">
        <v>14291</v>
      </c>
      <c r="Q225" s="2347" t="s">
        <v>15480</v>
      </c>
      <c r="R225" s="395" t="s">
        <v>14831</v>
      </c>
    </row>
    <row r="226" spans="1:18">
      <c r="A226" s="2842" t="s">
        <v>2884</v>
      </c>
      <c r="B226" s="2843">
        <v>7024029499</v>
      </c>
      <c r="C226" s="2843">
        <v>192</v>
      </c>
      <c r="D226" s="2844">
        <v>2010780000</v>
      </c>
      <c r="E226" s="2842" t="s">
        <v>5823</v>
      </c>
      <c r="F226" s="2347" t="s">
        <v>5409</v>
      </c>
      <c r="G226" s="2347" t="s">
        <v>5409</v>
      </c>
      <c r="H226" s="2347" t="s">
        <v>5409</v>
      </c>
      <c r="I226" s="2347" t="s">
        <v>5409</v>
      </c>
      <c r="J226" s="2347" t="s">
        <v>5409</v>
      </c>
      <c r="K226" s="3212"/>
      <c r="L226" s="3212"/>
      <c r="M226" s="3212" t="s">
        <v>10241</v>
      </c>
      <c r="N226" s="3212" t="s">
        <v>10244</v>
      </c>
      <c r="O226" s="2347" t="s">
        <v>14291</v>
      </c>
      <c r="P226" s="2347" t="s">
        <v>14291</v>
      </c>
      <c r="Q226" s="2347" t="s">
        <v>15239</v>
      </c>
      <c r="R226" s="395" t="s">
        <v>14831</v>
      </c>
    </row>
    <row r="227" spans="1:18">
      <c r="A227" s="2842" t="s">
        <v>3936</v>
      </c>
      <c r="B227" s="2843">
        <v>5254082581</v>
      </c>
      <c r="C227" s="2843">
        <v>33</v>
      </c>
      <c r="D227" s="2844">
        <v>2010150100</v>
      </c>
      <c r="E227" s="2842" t="s">
        <v>6016</v>
      </c>
      <c r="F227" s="2347" t="s">
        <v>5409</v>
      </c>
      <c r="G227" s="2347" t="s">
        <v>5409</v>
      </c>
      <c r="H227" s="2347"/>
      <c r="I227" s="2347" t="s">
        <v>5409</v>
      </c>
      <c r="J227" s="2347"/>
      <c r="K227" s="3212"/>
      <c r="L227" s="3212"/>
      <c r="M227" s="3212" t="s">
        <v>1149</v>
      </c>
      <c r="N227" s="3212"/>
      <c r="O227" s="2347" t="s">
        <v>14291</v>
      </c>
      <c r="P227" s="2347" t="s">
        <v>14291</v>
      </c>
      <c r="Q227" s="2347" t="s">
        <v>15480</v>
      </c>
      <c r="R227" s="395" t="s">
        <v>14831</v>
      </c>
    </row>
    <row r="228" spans="1:18">
      <c r="A228" s="2842" t="s">
        <v>5447</v>
      </c>
      <c r="B228" s="2843">
        <v>7706123550</v>
      </c>
      <c r="C228" s="2843">
        <v>45</v>
      </c>
      <c r="D228" s="2844">
        <v>2010230000</v>
      </c>
      <c r="E228" s="2842" t="s">
        <v>5992</v>
      </c>
      <c r="F228" s="2347" t="s">
        <v>5409</v>
      </c>
      <c r="G228" s="2347" t="s">
        <v>5409</v>
      </c>
      <c r="H228" s="2347" t="s">
        <v>5409</v>
      </c>
      <c r="I228" s="2347" t="s">
        <v>5409</v>
      </c>
      <c r="J228" s="2347" t="s">
        <v>5409</v>
      </c>
      <c r="K228" s="3212"/>
      <c r="L228" s="3212"/>
      <c r="M228" s="3212" t="s">
        <v>10241</v>
      </c>
      <c r="N228" s="3212" t="s">
        <v>10244</v>
      </c>
      <c r="O228" s="2347" t="s">
        <v>14291</v>
      </c>
      <c r="P228" s="2347" t="s">
        <v>14291</v>
      </c>
      <c r="Q228" s="2347" t="s">
        <v>15239</v>
      </c>
      <c r="R228" s="395" t="s">
        <v>14831</v>
      </c>
    </row>
    <row r="229" spans="1:18">
      <c r="A229" s="2842" t="s">
        <v>4717</v>
      </c>
      <c r="B229" s="2843">
        <v>7726523814</v>
      </c>
      <c r="C229" s="2843">
        <v>111</v>
      </c>
      <c r="D229" s="2844">
        <v>2010231100</v>
      </c>
      <c r="E229" s="2842" t="s">
        <v>10260</v>
      </c>
      <c r="F229" s="2347" t="s">
        <v>5409</v>
      </c>
      <c r="G229" s="2865"/>
      <c r="H229" s="2347" t="s">
        <v>5409</v>
      </c>
      <c r="I229" s="2347" t="s">
        <v>5409</v>
      </c>
      <c r="J229" s="2347"/>
      <c r="K229" s="3212"/>
      <c r="L229" s="3212"/>
      <c r="M229" s="3212" t="s">
        <v>1149</v>
      </c>
      <c r="N229" s="3212"/>
      <c r="O229" s="2347" t="s">
        <v>14291</v>
      </c>
      <c r="P229" s="2347" t="s">
        <v>14292</v>
      </c>
      <c r="Q229" s="2347" t="s">
        <v>15239</v>
      </c>
      <c r="R229" s="395" t="s">
        <v>14831</v>
      </c>
    </row>
    <row r="230" spans="1:18">
      <c r="A230" s="3316" t="s">
        <v>14848</v>
      </c>
      <c r="B230" s="3504">
        <v>7719420712</v>
      </c>
      <c r="C230" s="3504">
        <v>607616</v>
      </c>
      <c r="D230" s="3505">
        <v>2011000020</v>
      </c>
      <c r="E230" s="3506" t="s">
        <v>14849</v>
      </c>
      <c r="F230" s="2347" t="s">
        <v>5409</v>
      </c>
      <c r="G230" s="2347" t="s">
        <v>5409</v>
      </c>
      <c r="H230" s="2347" t="s">
        <v>5409</v>
      </c>
      <c r="I230" s="2347" t="s">
        <v>5409</v>
      </c>
      <c r="J230" s="2347"/>
      <c r="K230" s="3212"/>
      <c r="L230" s="3212"/>
      <c r="M230" s="3212"/>
      <c r="N230" s="3212"/>
      <c r="O230" s="3601" t="s">
        <v>14291</v>
      </c>
      <c r="P230" s="3601" t="s">
        <v>14291</v>
      </c>
      <c r="Q230" s="2347" t="s">
        <v>15483</v>
      </c>
      <c r="R230" s="395" t="s">
        <v>14831</v>
      </c>
    </row>
    <row r="231" spans="1:18">
      <c r="A231" s="2842" t="s">
        <v>15116</v>
      </c>
      <c r="B231" s="2843">
        <v>7743929194</v>
      </c>
      <c r="C231" s="2843">
        <v>729967</v>
      </c>
      <c r="D231" s="2844">
        <v>1050300000</v>
      </c>
      <c r="E231" s="2842" t="s">
        <v>15115</v>
      </c>
      <c r="F231" s="2347" t="s">
        <v>5409</v>
      </c>
      <c r="G231" s="2347" t="s">
        <v>5409</v>
      </c>
      <c r="H231" s="2347" t="s">
        <v>5409</v>
      </c>
      <c r="I231" s="2347" t="s">
        <v>5409</v>
      </c>
      <c r="J231" s="2347"/>
      <c r="K231" s="3212"/>
      <c r="L231" s="3212"/>
      <c r="M231" s="3212"/>
      <c r="N231" s="3212"/>
      <c r="O231" s="3601" t="s">
        <v>14291</v>
      </c>
      <c r="P231" s="3601" t="s">
        <v>14291</v>
      </c>
      <c r="Q231" s="2347" t="s">
        <v>15468</v>
      </c>
      <c r="R231" s="395" t="s">
        <v>14831</v>
      </c>
    </row>
    <row r="232" spans="1:18">
      <c r="A232" s="2842" t="s">
        <v>2887</v>
      </c>
      <c r="B232" s="2843">
        <v>7706604582</v>
      </c>
      <c r="C232" s="2843">
        <v>267</v>
      </c>
      <c r="D232" s="2844">
        <v>2010240100</v>
      </c>
      <c r="E232" s="2842" t="s">
        <v>5841</v>
      </c>
      <c r="F232" s="2347" t="s">
        <v>5409</v>
      </c>
      <c r="G232" s="2347" t="s">
        <v>5409</v>
      </c>
      <c r="H232" s="2347" t="s">
        <v>5409</v>
      </c>
      <c r="I232" s="2347" t="s">
        <v>5409</v>
      </c>
      <c r="J232" s="2347" t="s">
        <v>5409</v>
      </c>
      <c r="K232" s="3212"/>
      <c r="L232" s="3212"/>
      <c r="M232" s="3212" t="s">
        <v>10241</v>
      </c>
      <c r="N232" s="3212" t="s">
        <v>10242</v>
      </c>
      <c r="O232" s="2347" t="s">
        <v>14291</v>
      </c>
      <c r="P232" s="2347" t="s">
        <v>14291</v>
      </c>
      <c r="Q232" s="2347" t="s">
        <v>15470</v>
      </c>
      <c r="R232" s="395" t="s">
        <v>14831</v>
      </c>
    </row>
    <row r="233" spans="1:18">
      <c r="A233" s="2842" t="s">
        <v>2885</v>
      </c>
      <c r="B233" s="2843">
        <v>1837004370</v>
      </c>
      <c r="C233" s="2843">
        <v>77</v>
      </c>
      <c r="D233" s="2844">
        <v>2010230306</v>
      </c>
      <c r="E233" s="2842" t="s">
        <v>5990</v>
      </c>
      <c r="F233" s="2347" t="s">
        <v>5409</v>
      </c>
      <c r="G233" s="2347" t="s">
        <v>5409</v>
      </c>
      <c r="H233" s="2347" t="s">
        <v>5409</v>
      </c>
      <c r="I233" s="2347" t="s">
        <v>5409</v>
      </c>
      <c r="J233" s="2347"/>
      <c r="K233" s="3212"/>
      <c r="L233" s="3212"/>
      <c r="M233" s="3212" t="s">
        <v>10241</v>
      </c>
      <c r="N233" s="3212" t="s">
        <v>10242</v>
      </c>
      <c r="O233" s="2347" t="s">
        <v>14291</v>
      </c>
      <c r="P233" s="2347" t="s">
        <v>14291</v>
      </c>
      <c r="Q233" s="2347" t="s">
        <v>9936</v>
      </c>
      <c r="R233" s="395" t="s">
        <v>14831</v>
      </c>
    </row>
    <row r="234" spans="1:18">
      <c r="A234" s="3316" t="s">
        <v>14935</v>
      </c>
      <c r="B234" s="3504">
        <v>6672258403</v>
      </c>
      <c r="C234" s="3504">
        <v>654524</v>
      </c>
      <c r="D234" s="3505">
        <v>2011000024</v>
      </c>
      <c r="E234" s="3506" t="s">
        <v>14936</v>
      </c>
      <c r="F234" s="2347" t="s">
        <v>5409</v>
      </c>
      <c r="G234" s="2347" t="s">
        <v>5409</v>
      </c>
      <c r="H234" s="2347" t="s">
        <v>5409</v>
      </c>
      <c r="I234" s="2347" t="s">
        <v>5409</v>
      </c>
      <c r="J234" s="2347"/>
      <c r="K234" s="3212"/>
      <c r="L234" s="3212"/>
      <c r="M234" s="3212"/>
      <c r="N234" s="3212"/>
      <c r="O234" s="3601" t="s">
        <v>14291</v>
      </c>
      <c r="P234" s="3601" t="s">
        <v>14291</v>
      </c>
      <c r="Q234" s="2347" t="s">
        <v>15483</v>
      </c>
      <c r="R234" s="395" t="s">
        <v>14831</v>
      </c>
    </row>
    <row r="235" spans="1:18">
      <c r="A235" s="2842" t="s">
        <v>2888</v>
      </c>
      <c r="B235" s="2843">
        <v>5216017711</v>
      </c>
      <c r="C235" s="2843">
        <v>331</v>
      </c>
      <c r="D235" s="2844">
        <v>4150000000</v>
      </c>
      <c r="E235" s="2842" t="s">
        <v>5842</v>
      </c>
      <c r="F235" s="2347" t="s">
        <v>5409</v>
      </c>
      <c r="G235" s="2347" t="s">
        <v>5409</v>
      </c>
      <c r="H235" s="2347"/>
      <c r="I235" s="2347" t="s">
        <v>5409</v>
      </c>
      <c r="J235" s="2347"/>
      <c r="K235" s="3212"/>
      <c r="L235" s="3212"/>
      <c r="M235" s="3212" t="s">
        <v>1149</v>
      </c>
      <c r="N235" s="3212"/>
      <c r="O235" s="2347" t="s">
        <v>14291</v>
      </c>
      <c r="P235" s="2347" t="s">
        <v>14291</v>
      </c>
      <c r="Q235" s="2347" t="s">
        <v>15480</v>
      </c>
      <c r="R235" s="395" t="s">
        <v>14831</v>
      </c>
    </row>
    <row r="236" spans="1:18">
      <c r="A236" s="2842" t="s">
        <v>2889</v>
      </c>
      <c r="B236" s="2843">
        <v>7706039242</v>
      </c>
      <c r="C236" s="2843">
        <v>114</v>
      </c>
      <c r="D236" s="2844">
        <v>2010240000</v>
      </c>
      <c r="E236" s="2842" t="s">
        <v>5843</v>
      </c>
      <c r="F236" s="2347" t="s">
        <v>5409</v>
      </c>
      <c r="G236" s="2347" t="s">
        <v>5409</v>
      </c>
      <c r="H236" s="2347" t="s">
        <v>5409</v>
      </c>
      <c r="I236" s="2347" t="s">
        <v>5409</v>
      </c>
      <c r="J236" s="2347" t="s">
        <v>5409</v>
      </c>
      <c r="K236" s="3212"/>
      <c r="L236" s="3212"/>
      <c r="M236" s="3212" t="s">
        <v>10241</v>
      </c>
      <c r="N236" s="3212" t="s">
        <v>10244</v>
      </c>
      <c r="O236" s="2347" t="s">
        <v>14291</v>
      </c>
      <c r="P236" s="2347" t="s">
        <v>14291</v>
      </c>
      <c r="Q236" s="2347" t="s">
        <v>15469</v>
      </c>
      <c r="R236" s="395" t="s">
        <v>14831</v>
      </c>
    </row>
    <row r="237" spans="1:18" ht="29.5" thickBot="1">
      <c r="A237" s="2842" t="s">
        <v>6070</v>
      </c>
      <c r="B237" s="2843">
        <v>3329051460</v>
      </c>
      <c r="C237" s="2843">
        <v>151</v>
      </c>
      <c r="D237" s="2844">
        <v>2010440000</v>
      </c>
      <c r="E237" s="2842" t="s">
        <v>5993</v>
      </c>
      <c r="F237" s="2347" t="s">
        <v>5409</v>
      </c>
      <c r="G237" s="2347" t="s">
        <v>5409</v>
      </c>
      <c r="H237" s="2347" t="s">
        <v>5409</v>
      </c>
      <c r="I237" s="2347" t="s">
        <v>5409</v>
      </c>
      <c r="J237" s="2347"/>
      <c r="K237" s="3212"/>
      <c r="L237" s="3212"/>
      <c r="M237" s="3212" t="s">
        <v>10241</v>
      </c>
      <c r="N237" s="3609" t="s">
        <v>10244</v>
      </c>
      <c r="O237" s="2347" t="s">
        <v>14291</v>
      </c>
      <c r="P237" s="2347" t="s">
        <v>14291</v>
      </c>
      <c r="Q237" s="2347" t="s">
        <v>15239</v>
      </c>
      <c r="R237" s="395" t="s">
        <v>14831</v>
      </c>
    </row>
    <row r="238" spans="1:18">
      <c r="A238" s="2842" t="s">
        <v>2886</v>
      </c>
      <c r="B238" s="2843">
        <v>3329064483</v>
      </c>
      <c r="C238" s="2843">
        <v>201363</v>
      </c>
      <c r="D238" s="2844">
        <v>2010440300</v>
      </c>
      <c r="E238" s="2842" t="s">
        <v>5991</v>
      </c>
      <c r="F238" s="2347" t="s">
        <v>5409</v>
      </c>
      <c r="G238" s="2865"/>
      <c r="H238" s="2347" t="s">
        <v>5409</v>
      </c>
      <c r="I238" s="2347" t="s">
        <v>5409</v>
      </c>
      <c r="J238" s="2347"/>
      <c r="K238" s="3212"/>
      <c r="L238" s="3212"/>
      <c r="M238" s="3212" t="s">
        <v>1149</v>
      </c>
      <c r="N238" s="3212"/>
      <c r="O238" s="2347" t="s">
        <v>14291</v>
      </c>
      <c r="P238" s="2347" t="s">
        <v>14292</v>
      </c>
      <c r="Q238" s="2347" t="s">
        <v>15239</v>
      </c>
      <c r="R238" s="395" t="s">
        <v>14831</v>
      </c>
    </row>
    <row r="239" spans="1:18">
      <c r="A239" s="2842" t="s">
        <v>15121</v>
      </c>
      <c r="B239" s="2843">
        <v>7708591995</v>
      </c>
      <c r="C239" s="2843">
        <v>134881</v>
      </c>
      <c r="D239" s="2844">
        <v>2011321000</v>
      </c>
      <c r="E239" s="2842" t="s">
        <v>14775</v>
      </c>
      <c r="F239" s="2405" t="s">
        <v>5409</v>
      </c>
      <c r="G239" s="2405" t="s">
        <v>5409</v>
      </c>
      <c r="H239" s="2405" t="s">
        <v>5409</v>
      </c>
      <c r="I239" s="2405" t="s">
        <v>5409</v>
      </c>
      <c r="J239" s="2347"/>
      <c r="K239" s="3212"/>
      <c r="L239" s="3212"/>
      <c r="M239" s="2347" t="s">
        <v>1149</v>
      </c>
      <c r="N239" s="3212"/>
      <c r="O239" s="3602" t="s">
        <v>14291</v>
      </c>
      <c r="P239" s="2347" t="s">
        <v>14291</v>
      </c>
      <c r="Q239" s="2347" t="s">
        <v>15468</v>
      </c>
      <c r="R239" s="395" t="s">
        <v>14831</v>
      </c>
    </row>
    <row r="240" spans="1:18">
      <c r="A240" s="2842" t="s">
        <v>15123</v>
      </c>
      <c r="B240" s="2843">
        <v>7706438737</v>
      </c>
      <c r="C240" s="2843">
        <v>639681</v>
      </c>
      <c r="D240" s="2844">
        <v>2011312000</v>
      </c>
      <c r="E240" s="2842" t="s">
        <v>15122</v>
      </c>
      <c r="F240" s="2405" t="s">
        <v>5409</v>
      </c>
      <c r="G240" s="2405" t="s">
        <v>5409</v>
      </c>
      <c r="H240" s="2405" t="s">
        <v>5409</v>
      </c>
      <c r="I240" s="2405" t="s">
        <v>5409</v>
      </c>
      <c r="J240" s="2347"/>
      <c r="K240" s="3212"/>
      <c r="L240" s="3212"/>
      <c r="M240" s="2347" t="s">
        <v>1149</v>
      </c>
      <c r="N240" s="3212"/>
      <c r="O240" s="3602" t="s">
        <v>14291</v>
      </c>
      <c r="P240" s="2347" t="s">
        <v>14291</v>
      </c>
      <c r="Q240" s="2347" t="s">
        <v>15468</v>
      </c>
      <c r="R240" s="395" t="s">
        <v>14831</v>
      </c>
    </row>
    <row r="241" spans="1:18">
      <c r="A241" s="2842" t="s">
        <v>5285</v>
      </c>
      <c r="B241" s="2843">
        <v>6916013425</v>
      </c>
      <c r="C241" s="2843">
        <v>132192</v>
      </c>
      <c r="D241" s="2844">
        <v>2010620400</v>
      </c>
      <c r="E241" s="2842" t="s">
        <v>5284</v>
      </c>
      <c r="F241" s="2347" t="s">
        <v>5409</v>
      </c>
      <c r="G241" s="2347" t="s">
        <v>5409</v>
      </c>
      <c r="H241" s="2405"/>
      <c r="I241" s="2405" t="s">
        <v>5409</v>
      </c>
      <c r="J241" s="2347" t="s">
        <v>5409</v>
      </c>
      <c r="K241" s="3212"/>
      <c r="L241" s="3212"/>
      <c r="M241" s="3212" t="s">
        <v>10241</v>
      </c>
      <c r="N241" s="3212" t="s">
        <v>10243</v>
      </c>
      <c r="O241" s="2347" t="s">
        <v>14291</v>
      </c>
      <c r="P241" s="2347" t="s">
        <v>14291</v>
      </c>
      <c r="Q241" s="2347" t="s">
        <v>15475</v>
      </c>
      <c r="R241" s="395" t="s">
        <v>14831</v>
      </c>
    </row>
    <row r="242" spans="1:18" ht="29">
      <c r="A242" s="2842" t="s">
        <v>15497</v>
      </c>
      <c r="B242" s="2843">
        <v>7702668850</v>
      </c>
      <c r="C242" s="2843"/>
      <c r="D242" s="2844">
        <v>2011000033</v>
      </c>
      <c r="E242" s="2842" t="s">
        <v>15498</v>
      </c>
      <c r="F242" s="2347" t="s">
        <v>5409</v>
      </c>
      <c r="G242" s="2405" t="s">
        <v>5409</v>
      </c>
      <c r="H242" s="2405" t="s">
        <v>5409</v>
      </c>
      <c r="I242" s="2405" t="s">
        <v>5409</v>
      </c>
      <c r="J242" s="2347"/>
      <c r="K242" s="3212"/>
      <c r="L242" s="3212"/>
      <c r="M242" s="3212"/>
      <c r="N242" s="3212"/>
      <c r="O242" s="2347" t="s">
        <v>14291</v>
      </c>
      <c r="P242" s="2347" t="s">
        <v>14291</v>
      </c>
      <c r="Q242" s="2347" t="s">
        <v>15483</v>
      </c>
      <c r="R242" s="395" t="s">
        <v>14831</v>
      </c>
    </row>
    <row r="243" spans="1:18" ht="58.5" thickBot="1">
      <c r="A243" s="2842" t="s">
        <v>2890</v>
      </c>
      <c r="B243" s="2843">
        <v>7751002460</v>
      </c>
      <c r="C243" s="2843">
        <v>391705</v>
      </c>
      <c r="D243" s="2844">
        <v>4030000000</v>
      </c>
      <c r="E243" s="2842" t="s">
        <v>5912</v>
      </c>
      <c r="F243" s="2347" t="s">
        <v>5409</v>
      </c>
      <c r="G243" s="2347" t="s">
        <v>5409</v>
      </c>
      <c r="H243" s="2347"/>
      <c r="I243" s="2347" t="s">
        <v>5409</v>
      </c>
      <c r="J243" s="2347"/>
      <c r="K243" s="3212"/>
      <c r="L243" s="3212"/>
      <c r="M243" s="3212" t="s">
        <v>10241</v>
      </c>
      <c r="N243" s="3609" t="s">
        <v>10242</v>
      </c>
      <c r="O243" s="2347" t="s">
        <v>14291</v>
      </c>
      <c r="P243" s="2347" t="s">
        <v>14291</v>
      </c>
      <c r="Q243" s="2347" t="s">
        <v>2547</v>
      </c>
      <c r="R243" s="395" t="s">
        <v>14831</v>
      </c>
    </row>
    <row r="244" spans="1:18" ht="29">
      <c r="A244" s="2842" t="s">
        <v>2891</v>
      </c>
      <c r="B244" s="2843">
        <v>7706609414</v>
      </c>
      <c r="C244" s="2843">
        <v>115</v>
      </c>
      <c r="D244" s="2844">
        <v>2010240200</v>
      </c>
      <c r="E244" s="2842" t="s">
        <v>2892</v>
      </c>
      <c r="F244" s="2347" t="s">
        <v>5409</v>
      </c>
      <c r="G244" s="2347" t="s">
        <v>5409</v>
      </c>
      <c r="H244" s="2347" t="s">
        <v>5409</v>
      </c>
      <c r="I244" s="2347" t="s">
        <v>5409</v>
      </c>
      <c r="J244" s="2347"/>
      <c r="K244" s="3212"/>
      <c r="L244" s="3212"/>
      <c r="M244" s="3212" t="s">
        <v>1149</v>
      </c>
      <c r="N244" s="3212"/>
      <c r="O244" s="2347" t="s">
        <v>14291</v>
      </c>
      <c r="P244" s="2347" t="s">
        <v>14291</v>
      </c>
      <c r="Q244" s="2347" t="s">
        <v>15473</v>
      </c>
      <c r="R244" s="395" t="s">
        <v>14831</v>
      </c>
    </row>
    <row r="245" spans="1:18">
      <c r="A245" s="2842" t="s">
        <v>9981</v>
      </c>
      <c r="B245" s="2843">
        <v>7024045772</v>
      </c>
      <c r="C245" s="2843">
        <v>657416</v>
      </c>
      <c r="D245" s="2844">
        <v>2021000600</v>
      </c>
      <c r="E245" s="2842" t="s">
        <v>9982</v>
      </c>
      <c r="F245" s="2347" t="s">
        <v>5409</v>
      </c>
      <c r="G245" s="2347" t="s">
        <v>5409</v>
      </c>
      <c r="H245" s="2347" t="s">
        <v>5409</v>
      </c>
      <c r="I245" s="2347" t="s">
        <v>5409</v>
      </c>
      <c r="J245" s="2347"/>
      <c r="K245" s="3212"/>
      <c r="L245" s="3212"/>
      <c r="M245" s="3212" t="s">
        <v>10241</v>
      </c>
      <c r="N245" s="3212" t="s">
        <v>10242</v>
      </c>
      <c r="O245" s="2347" t="s">
        <v>14291</v>
      </c>
      <c r="P245" s="2347" t="s">
        <v>14291</v>
      </c>
      <c r="Q245" s="2347" t="s">
        <v>9936</v>
      </c>
      <c r="R245" s="395" t="s">
        <v>14831</v>
      </c>
    </row>
    <row r="246" spans="1:18" ht="34.4" customHeight="1">
      <c r="A246" s="2842" t="s">
        <v>2893</v>
      </c>
      <c r="B246" s="2843">
        <v>7706804447</v>
      </c>
      <c r="C246" s="2843">
        <v>339228</v>
      </c>
      <c r="D246" s="2844">
        <v>6010000000</v>
      </c>
      <c r="E246" s="2842" t="s">
        <v>6277</v>
      </c>
      <c r="F246" s="2347" t="s">
        <v>5409</v>
      </c>
      <c r="G246" s="2347" t="s">
        <v>5409</v>
      </c>
      <c r="H246" s="2347" t="s">
        <v>5409</v>
      </c>
      <c r="I246" s="2347" t="s">
        <v>5409</v>
      </c>
      <c r="J246" s="2347"/>
      <c r="K246" s="3212"/>
      <c r="L246" s="3212"/>
      <c r="M246" s="3212" t="s">
        <v>10241</v>
      </c>
      <c r="N246" s="3212" t="s">
        <v>10242</v>
      </c>
      <c r="O246" s="2347" t="s">
        <v>14291</v>
      </c>
      <c r="P246" s="2347" t="s">
        <v>14291</v>
      </c>
      <c r="Q246" s="2347" t="s">
        <v>15470</v>
      </c>
      <c r="R246" s="395" t="s">
        <v>14831</v>
      </c>
    </row>
    <row r="247" spans="1:18">
      <c r="A247" s="2842" t="s">
        <v>15120</v>
      </c>
      <c r="B247" s="2843">
        <v>7706434676</v>
      </c>
      <c r="C247" s="2843">
        <v>630718</v>
      </c>
      <c r="D247" s="2844">
        <v>2011300000</v>
      </c>
      <c r="E247" s="2842" t="s">
        <v>15119</v>
      </c>
      <c r="F247" s="2405" t="s">
        <v>5409</v>
      </c>
      <c r="G247" s="2405" t="s">
        <v>5409</v>
      </c>
      <c r="H247" s="2405" t="s">
        <v>5409</v>
      </c>
      <c r="I247" s="2405" t="s">
        <v>5409</v>
      </c>
      <c r="J247" s="2347"/>
      <c r="K247" s="3212"/>
      <c r="L247" s="3212"/>
      <c r="M247" s="2347" t="s">
        <v>1149</v>
      </c>
      <c r="N247" s="3212"/>
      <c r="O247" s="3602" t="s">
        <v>14291</v>
      </c>
      <c r="P247" s="2347" t="s">
        <v>14291</v>
      </c>
      <c r="Q247" s="2347" t="s">
        <v>15468</v>
      </c>
      <c r="R247" s="395" t="s">
        <v>14831</v>
      </c>
    </row>
    <row r="248" spans="1:18" ht="29">
      <c r="A248" s="2842" t="s">
        <v>6822</v>
      </c>
      <c r="B248" s="2843">
        <v>7726390113</v>
      </c>
      <c r="C248" s="2843">
        <v>470332</v>
      </c>
      <c r="D248" s="2844">
        <v>2010411000</v>
      </c>
      <c r="E248" s="2842" t="s">
        <v>8058</v>
      </c>
      <c r="F248" s="2347" t="s">
        <v>5409</v>
      </c>
      <c r="G248" s="2347" t="s">
        <v>5409</v>
      </c>
      <c r="H248" s="2347" t="s">
        <v>5409</v>
      </c>
      <c r="I248" s="2347" t="s">
        <v>5409</v>
      </c>
      <c r="J248" s="2347"/>
      <c r="K248" s="3212"/>
      <c r="L248" s="3212"/>
      <c r="M248" s="3212" t="s">
        <v>10241</v>
      </c>
      <c r="N248" s="3212" t="s">
        <v>10242</v>
      </c>
      <c r="O248" s="2347" t="s">
        <v>14291</v>
      </c>
      <c r="P248" s="2347" t="s">
        <v>14291</v>
      </c>
      <c r="Q248" s="2347" t="s">
        <v>15471</v>
      </c>
      <c r="R248" s="395" t="s">
        <v>14831</v>
      </c>
    </row>
    <row r="249" spans="1:18" ht="29">
      <c r="A249" s="3116" t="s">
        <v>15168</v>
      </c>
      <c r="B249" s="3504">
        <v>4707013562</v>
      </c>
      <c r="C249" s="3504">
        <v>302952</v>
      </c>
      <c r="D249" s="3505">
        <v>2011307000</v>
      </c>
      <c r="E249" s="3506" t="s">
        <v>15169</v>
      </c>
      <c r="F249" s="2405" t="s">
        <v>5409</v>
      </c>
      <c r="G249" s="2405"/>
      <c r="H249" s="2405" t="s">
        <v>5409</v>
      </c>
      <c r="I249" s="2405" t="s">
        <v>5409</v>
      </c>
      <c r="J249" s="2347"/>
      <c r="K249" s="3212"/>
      <c r="L249" s="2347"/>
      <c r="M249" s="2347" t="s">
        <v>1149</v>
      </c>
      <c r="N249" s="2347"/>
      <c r="O249" s="2347" t="s">
        <v>14291</v>
      </c>
      <c r="P249" s="2347" t="s">
        <v>14291</v>
      </c>
      <c r="Q249" s="2347" t="s">
        <v>15468</v>
      </c>
      <c r="R249" s="395" t="s">
        <v>14831</v>
      </c>
    </row>
    <row r="250" spans="1:18">
      <c r="A250" s="2842" t="s">
        <v>5901</v>
      </c>
      <c r="B250" s="2843">
        <v>7706641432</v>
      </c>
      <c r="C250" s="2843">
        <v>18</v>
      </c>
      <c r="D250" s="2844">
        <v>2010020100</v>
      </c>
      <c r="E250" s="2842" t="s">
        <v>5994</v>
      </c>
      <c r="F250" s="2347" t="s">
        <v>5409</v>
      </c>
      <c r="G250" s="2347" t="s">
        <v>5409</v>
      </c>
      <c r="H250" s="2347" t="s">
        <v>5409</v>
      </c>
      <c r="I250" s="2347" t="s">
        <v>5409</v>
      </c>
      <c r="J250" s="2347"/>
      <c r="K250" s="3212"/>
      <c r="L250" s="3212"/>
      <c r="M250" s="3212" t="s">
        <v>10241</v>
      </c>
      <c r="N250" s="3212" t="s">
        <v>10242</v>
      </c>
      <c r="O250" s="2347" t="s">
        <v>14291</v>
      </c>
      <c r="P250" s="2347" t="s">
        <v>14291</v>
      </c>
      <c r="Q250" s="2347" t="s">
        <v>15469</v>
      </c>
      <c r="R250" s="395" t="s">
        <v>14831</v>
      </c>
    </row>
    <row r="251" spans="1:18" ht="29">
      <c r="A251" s="2842" t="s">
        <v>2894</v>
      </c>
      <c r="B251" s="2843">
        <v>6670480610</v>
      </c>
      <c r="C251" s="2843">
        <v>592328</v>
      </c>
      <c r="D251" s="2844">
        <v>1120000000</v>
      </c>
      <c r="E251" s="2842" t="s">
        <v>8726</v>
      </c>
      <c r="F251" s="2347" t="s">
        <v>5409</v>
      </c>
      <c r="G251" s="2347" t="s">
        <v>5409</v>
      </c>
      <c r="H251" s="2347"/>
      <c r="I251" s="2347" t="s">
        <v>5409</v>
      </c>
      <c r="J251" s="2347"/>
      <c r="K251" s="3212"/>
      <c r="L251" s="3212"/>
      <c r="M251" s="3212" t="s">
        <v>1149</v>
      </c>
      <c r="N251" s="3212"/>
      <c r="O251" s="2347" t="s">
        <v>14291</v>
      </c>
      <c r="P251" s="2347" t="s">
        <v>14291</v>
      </c>
      <c r="Q251" s="2347" t="s">
        <v>15480</v>
      </c>
      <c r="R251" s="395" t="s">
        <v>14831</v>
      </c>
    </row>
    <row r="252" spans="1:18" ht="29">
      <c r="A252" s="2842" t="s">
        <v>2895</v>
      </c>
      <c r="B252" s="2843">
        <v>6629022962</v>
      </c>
      <c r="C252" s="2843">
        <v>196</v>
      </c>
      <c r="D252" s="2844">
        <v>2010800000</v>
      </c>
      <c r="E252" s="2842" t="s">
        <v>5995</v>
      </c>
      <c r="F252" s="2347" t="s">
        <v>5409</v>
      </c>
      <c r="G252" s="3607" t="s">
        <v>5409</v>
      </c>
      <c r="H252" s="2347" t="s">
        <v>5409</v>
      </c>
      <c r="I252" s="2347" t="s">
        <v>5409</v>
      </c>
      <c r="J252" s="2347"/>
      <c r="K252" s="3212"/>
      <c r="L252" s="3212"/>
      <c r="M252" s="3212" t="s">
        <v>10241</v>
      </c>
      <c r="N252" s="3212" t="s">
        <v>10244</v>
      </c>
      <c r="O252" s="2347" t="s">
        <v>14291</v>
      </c>
      <c r="P252" s="2347" t="s">
        <v>14291</v>
      </c>
      <c r="Q252" s="2347" t="s">
        <v>15239</v>
      </c>
      <c r="R252" s="395" t="s">
        <v>14831</v>
      </c>
    </row>
    <row r="253" spans="1:18">
      <c r="A253" s="3116" t="s">
        <v>14720</v>
      </c>
      <c r="B253" s="3504">
        <v>7713728490</v>
      </c>
      <c r="C253" s="3504">
        <v>458951</v>
      </c>
      <c r="D253" s="3505">
        <v>2011000016</v>
      </c>
      <c r="E253" s="3506" t="s">
        <v>14721</v>
      </c>
      <c r="F253" s="2347" t="s">
        <v>5409</v>
      </c>
      <c r="G253" s="2348" t="s">
        <v>5409</v>
      </c>
      <c r="H253" s="2348" t="s">
        <v>5409</v>
      </c>
      <c r="I253" s="2348" t="s">
        <v>5409</v>
      </c>
      <c r="J253" s="2347"/>
      <c r="K253" s="3212"/>
      <c r="L253" s="3212"/>
      <c r="M253" s="3212" t="s">
        <v>1149</v>
      </c>
      <c r="N253" s="3212"/>
      <c r="O253" s="2347" t="s">
        <v>14291</v>
      </c>
      <c r="P253" s="2347" t="s">
        <v>14291</v>
      </c>
      <c r="Q253" s="2347" t="s">
        <v>15483</v>
      </c>
      <c r="R253" s="395" t="s">
        <v>14831</v>
      </c>
    </row>
    <row r="254" spans="1:18" ht="58">
      <c r="A254" s="2842" t="s">
        <v>5456</v>
      </c>
      <c r="B254" s="2843">
        <v>4025442583</v>
      </c>
      <c r="C254" s="2843">
        <v>390564</v>
      </c>
      <c r="D254" s="2844">
        <v>4040000000</v>
      </c>
      <c r="E254" s="2842" t="s">
        <v>5996</v>
      </c>
      <c r="F254" s="2347" t="s">
        <v>5409</v>
      </c>
      <c r="G254" s="2347" t="s">
        <v>5409</v>
      </c>
      <c r="H254" s="2347"/>
      <c r="I254" s="2347" t="s">
        <v>5409</v>
      </c>
      <c r="J254" s="2347"/>
      <c r="K254" s="3212"/>
      <c r="L254" s="3212"/>
      <c r="M254" s="3212" t="s">
        <v>10241</v>
      </c>
      <c r="N254" s="3212" t="s">
        <v>10242</v>
      </c>
      <c r="O254" s="2347" t="s">
        <v>14291</v>
      </c>
      <c r="P254" s="2347" t="s">
        <v>14291</v>
      </c>
      <c r="Q254" s="2347" t="s">
        <v>2547</v>
      </c>
      <c r="R254" s="395" t="s">
        <v>14831</v>
      </c>
    </row>
    <row r="255" spans="1:18" ht="29">
      <c r="A255" s="2842" t="s">
        <v>9881</v>
      </c>
      <c r="B255" s="2843">
        <v>4714004270</v>
      </c>
      <c r="C255" s="2843">
        <v>231</v>
      </c>
      <c r="D255" s="2844">
        <v>3260000000</v>
      </c>
      <c r="E255" s="2842" t="s">
        <v>9880</v>
      </c>
      <c r="F255" s="2347" t="s">
        <v>5409</v>
      </c>
      <c r="G255" s="2348" t="s">
        <v>5409</v>
      </c>
      <c r="H255" s="2348"/>
      <c r="I255" s="2348" t="s">
        <v>5409</v>
      </c>
      <c r="J255" s="2347"/>
      <c r="K255" s="3212"/>
      <c r="L255" s="3212"/>
      <c r="M255" s="3212" t="s">
        <v>10241</v>
      </c>
      <c r="N255" s="3212" t="s">
        <v>10242</v>
      </c>
      <c r="O255" s="2347" t="s">
        <v>14291</v>
      </c>
      <c r="P255" s="2347" t="s">
        <v>14291</v>
      </c>
      <c r="Q255" s="2347" t="s">
        <v>15482</v>
      </c>
      <c r="R255" s="395" t="s">
        <v>14831</v>
      </c>
    </row>
    <row r="256" spans="1:18">
      <c r="A256" s="2842" t="s">
        <v>2896</v>
      </c>
      <c r="B256" s="2843" t="s">
        <v>8171</v>
      </c>
      <c r="C256" s="2843">
        <v>86</v>
      </c>
      <c r="D256" s="2844">
        <v>2010230700</v>
      </c>
      <c r="E256" s="2842" t="s">
        <v>5997</v>
      </c>
      <c r="F256" s="2347" t="s">
        <v>5409</v>
      </c>
      <c r="G256" s="2348" t="s">
        <v>5409</v>
      </c>
      <c r="H256" s="2348" t="s">
        <v>5409</v>
      </c>
      <c r="I256" s="2348" t="s">
        <v>5409</v>
      </c>
      <c r="J256" s="2347" t="s">
        <v>5409</v>
      </c>
      <c r="K256" s="3212"/>
      <c r="L256" s="3212"/>
      <c r="M256" s="3212" t="s">
        <v>10241</v>
      </c>
      <c r="N256" s="3212" t="s">
        <v>10242</v>
      </c>
      <c r="O256" s="2347" t="s">
        <v>14291</v>
      </c>
      <c r="P256" s="2347" t="s">
        <v>14291</v>
      </c>
      <c r="Q256" s="2347" t="s">
        <v>15474</v>
      </c>
      <c r="R256" s="395" t="s">
        <v>14831</v>
      </c>
    </row>
    <row r="257" spans="1:18">
      <c r="A257" s="2842" t="s">
        <v>9944</v>
      </c>
      <c r="B257" s="2843">
        <v>9705144030</v>
      </c>
      <c r="C257" s="2843">
        <v>648784</v>
      </c>
      <c r="D257" s="2844">
        <v>2011400000</v>
      </c>
      <c r="E257" s="2842" t="s">
        <v>9945</v>
      </c>
      <c r="F257" s="2347" t="s">
        <v>5409</v>
      </c>
      <c r="G257" s="2347" t="s">
        <v>5409</v>
      </c>
      <c r="H257" s="2347" t="s">
        <v>5435</v>
      </c>
      <c r="I257" s="2347" t="s">
        <v>5435</v>
      </c>
      <c r="J257" s="2347"/>
      <c r="K257" s="3212"/>
      <c r="L257" s="3212"/>
      <c r="M257" s="3212" t="s">
        <v>10241</v>
      </c>
      <c r="N257" s="3212" t="s">
        <v>10242</v>
      </c>
      <c r="O257" s="2347" t="s">
        <v>14291</v>
      </c>
      <c r="P257" s="2347" t="s">
        <v>14291</v>
      </c>
      <c r="Q257" s="2347" t="s">
        <v>15467</v>
      </c>
      <c r="R257" s="395" t="s">
        <v>14831</v>
      </c>
    </row>
    <row r="258" spans="1:18" ht="29">
      <c r="A258" s="2842" t="s">
        <v>5827</v>
      </c>
      <c r="B258" s="2843">
        <v>7726750415</v>
      </c>
      <c r="C258" s="2843">
        <v>366881</v>
      </c>
      <c r="D258" s="2844">
        <v>2010911000</v>
      </c>
      <c r="E258" s="2842" t="s">
        <v>5828</v>
      </c>
      <c r="F258" s="2347" t="s">
        <v>5409</v>
      </c>
      <c r="G258" s="2347" t="s">
        <v>5409</v>
      </c>
      <c r="H258" s="2347" t="s">
        <v>5409</v>
      </c>
      <c r="I258" s="2347" t="s">
        <v>5409</v>
      </c>
      <c r="J258" s="2347"/>
      <c r="K258" s="3212"/>
      <c r="L258" s="3212"/>
      <c r="M258" s="3212" t="s">
        <v>10241</v>
      </c>
      <c r="N258" s="3212" t="s">
        <v>10242</v>
      </c>
      <c r="O258" s="2347" t="s">
        <v>14291</v>
      </c>
      <c r="P258" s="2347" t="s">
        <v>14291</v>
      </c>
      <c r="Q258" s="2347" t="s">
        <v>15471</v>
      </c>
      <c r="R258" s="395" t="s">
        <v>14831</v>
      </c>
    </row>
    <row r="259" spans="1:18" ht="29">
      <c r="A259" s="2842" t="s">
        <v>2898</v>
      </c>
      <c r="B259" s="2843">
        <v>7706723156</v>
      </c>
      <c r="C259" s="2843">
        <v>329</v>
      </c>
      <c r="D259" s="2844">
        <v>2010870000</v>
      </c>
      <c r="E259" s="2842" t="s">
        <v>5998</v>
      </c>
      <c r="F259" s="2347" t="s">
        <v>5409</v>
      </c>
      <c r="G259" s="2347" t="s">
        <v>5409</v>
      </c>
      <c r="H259" s="2347" t="s">
        <v>5409</v>
      </c>
      <c r="I259" s="2347" t="s">
        <v>5409</v>
      </c>
      <c r="J259" s="2347"/>
      <c r="K259" s="3212"/>
      <c r="L259" s="3212"/>
      <c r="M259" s="3212" t="s">
        <v>10241</v>
      </c>
      <c r="N259" s="3212" t="s">
        <v>10242</v>
      </c>
      <c r="O259" s="2347" t="s">
        <v>14291</v>
      </c>
      <c r="P259" s="2347" t="s">
        <v>14291</v>
      </c>
      <c r="Q259" s="2347" t="s">
        <v>15485</v>
      </c>
      <c r="R259" s="395" t="s">
        <v>14831</v>
      </c>
    </row>
    <row r="260" spans="1:18">
      <c r="A260" s="2842" t="s">
        <v>9927</v>
      </c>
      <c r="B260" s="2843">
        <v>6682016932</v>
      </c>
      <c r="C260" s="2843">
        <v>643066</v>
      </c>
      <c r="D260" s="2844">
        <v>2010241803</v>
      </c>
      <c r="E260" s="2842" t="s">
        <v>9928</v>
      </c>
      <c r="F260" s="2347" t="s">
        <v>5409</v>
      </c>
      <c r="G260" s="3146" t="s">
        <v>9871</v>
      </c>
      <c r="H260" s="3146" t="s">
        <v>5409</v>
      </c>
      <c r="I260" s="3146" t="s">
        <v>5409</v>
      </c>
      <c r="J260" s="2347"/>
      <c r="K260" s="3212"/>
      <c r="L260" s="3212"/>
      <c r="M260" s="3212" t="s">
        <v>10241</v>
      </c>
      <c r="N260" s="3610" t="s">
        <v>10243</v>
      </c>
      <c r="O260" s="2347" t="s">
        <v>14291</v>
      </c>
      <c r="P260" s="2347" t="s">
        <v>14291</v>
      </c>
      <c r="Q260" s="2347" t="s">
        <v>15239</v>
      </c>
      <c r="R260" s="395" t="s">
        <v>14831</v>
      </c>
    </row>
    <row r="261" spans="1:18">
      <c r="A261" s="3316" t="s">
        <v>14937</v>
      </c>
      <c r="B261" s="3504">
        <v>9715294394</v>
      </c>
      <c r="C261" s="3504">
        <v>710515</v>
      </c>
      <c r="D261" s="3505">
        <v>2011000029</v>
      </c>
      <c r="E261" s="3506" t="s">
        <v>14938</v>
      </c>
      <c r="F261" s="2347" t="s">
        <v>5409</v>
      </c>
      <c r="G261" s="2347" t="s">
        <v>5409</v>
      </c>
      <c r="H261" s="2347" t="s">
        <v>5409</v>
      </c>
      <c r="I261" s="2347" t="s">
        <v>5409</v>
      </c>
      <c r="J261" s="2347"/>
      <c r="K261" s="3212"/>
      <c r="L261" s="3212"/>
      <c r="M261" s="3212"/>
      <c r="N261" s="3212"/>
      <c r="O261" s="3601" t="s">
        <v>14291</v>
      </c>
      <c r="P261" s="3601" t="s">
        <v>14291</v>
      </c>
      <c r="Q261" s="2347" t="s">
        <v>15483</v>
      </c>
      <c r="R261" s="395" t="s">
        <v>14831</v>
      </c>
    </row>
    <row r="262" spans="1:18">
      <c r="A262" s="3316" t="s">
        <v>14850</v>
      </c>
      <c r="B262" s="3504">
        <v>193515725</v>
      </c>
      <c r="C262" s="3504">
        <v>717393</v>
      </c>
      <c r="D262" s="3505">
        <v>2011000026</v>
      </c>
      <c r="E262" s="3506" t="s">
        <v>14851</v>
      </c>
      <c r="F262" s="2347" t="s">
        <v>5409</v>
      </c>
      <c r="G262" s="2347" t="s">
        <v>5409</v>
      </c>
      <c r="H262" s="2347" t="s">
        <v>5409</v>
      </c>
      <c r="I262" s="2347" t="s">
        <v>5409</v>
      </c>
      <c r="J262" s="2347"/>
      <c r="K262" s="3212"/>
      <c r="L262" s="3212"/>
      <c r="M262" s="3212"/>
      <c r="N262" s="3212"/>
      <c r="O262" s="2347" t="s">
        <v>14291</v>
      </c>
      <c r="P262" s="2347" t="s">
        <v>14291</v>
      </c>
      <c r="Q262" s="2347" t="s">
        <v>15483</v>
      </c>
      <c r="R262" s="395" t="s">
        <v>6932</v>
      </c>
    </row>
    <row r="263" spans="1:18" ht="29">
      <c r="A263" s="2842" t="s">
        <v>5454</v>
      </c>
      <c r="B263" s="2843">
        <v>7806394392</v>
      </c>
      <c r="C263" s="2843">
        <v>197</v>
      </c>
      <c r="D263" s="2844">
        <v>2010820000</v>
      </c>
      <c r="E263" s="2842" t="s">
        <v>5999</v>
      </c>
      <c r="F263" s="2347" t="s">
        <v>5409</v>
      </c>
      <c r="G263" s="2347" t="s">
        <v>5409</v>
      </c>
      <c r="H263" s="2347" t="s">
        <v>5409</v>
      </c>
      <c r="I263" s="2347" t="s">
        <v>5409</v>
      </c>
      <c r="J263" s="2347" t="s">
        <v>5409</v>
      </c>
      <c r="K263" s="3212"/>
      <c r="L263" s="3212"/>
      <c r="M263" s="3212" t="s">
        <v>10241</v>
      </c>
      <c r="N263" s="3212" t="s">
        <v>10242</v>
      </c>
      <c r="O263" s="2347" t="s">
        <v>14291</v>
      </c>
      <c r="P263" s="2347" t="s">
        <v>14291</v>
      </c>
      <c r="Q263" s="2347" t="s">
        <v>15467</v>
      </c>
      <c r="R263" s="395" t="s">
        <v>14831</v>
      </c>
    </row>
    <row r="264" spans="1:18" ht="58">
      <c r="A264" s="2842" t="s">
        <v>2899</v>
      </c>
      <c r="B264" s="2843">
        <v>7723564851</v>
      </c>
      <c r="C264" s="2843">
        <v>31</v>
      </c>
      <c r="D264" s="2844">
        <v>2010140000</v>
      </c>
      <c r="E264" s="2842" t="s">
        <v>6000</v>
      </c>
      <c r="F264" s="2347" t="s">
        <v>5409</v>
      </c>
      <c r="G264" s="2347" t="s">
        <v>5409</v>
      </c>
      <c r="H264" s="2347" t="s">
        <v>5409</v>
      </c>
      <c r="I264" s="2347" t="s">
        <v>5409</v>
      </c>
      <c r="J264" s="2347" t="s">
        <v>5409</v>
      </c>
      <c r="K264" s="3212"/>
      <c r="L264" s="3212"/>
      <c r="M264" s="3212" t="s">
        <v>10241</v>
      </c>
      <c r="N264" s="3212" t="s">
        <v>10242</v>
      </c>
      <c r="O264" s="2347" t="s">
        <v>14291</v>
      </c>
      <c r="P264" s="2347" t="s">
        <v>14291</v>
      </c>
      <c r="Q264" s="2347" t="s">
        <v>15467</v>
      </c>
      <c r="R264" s="395" t="s">
        <v>14831</v>
      </c>
    </row>
    <row r="265" spans="1:18">
      <c r="A265" s="2842" t="s">
        <v>3945</v>
      </c>
      <c r="B265" s="2843">
        <v>3801085668</v>
      </c>
      <c r="C265" s="2843">
        <v>122</v>
      </c>
      <c r="D265" s="2844">
        <v>2010240900</v>
      </c>
      <c r="E265" s="2842" t="s">
        <v>6278</v>
      </c>
      <c r="F265" s="2347" t="s">
        <v>5409</v>
      </c>
      <c r="G265" s="3146" t="s">
        <v>9871</v>
      </c>
      <c r="H265" s="3146" t="s">
        <v>5409</v>
      </c>
      <c r="I265" s="3146" t="s">
        <v>5409</v>
      </c>
      <c r="J265" s="2347"/>
      <c r="K265" s="3212"/>
      <c r="L265" s="3212"/>
      <c r="M265" s="3212" t="s">
        <v>1149</v>
      </c>
      <c r="N265" s="3212"/>
      <c r="O265" s="2347" t="s">
        <v>14291</v>
      </c>
      <c r="P265" s="2347" t="s">
        <v>14291</v>
      </c>
      <c r="Q265" s="2347" t="s">
        <v>15239</v>
      </c>
      <c r="R265" s="395" t="s">
        <v>14831</v>
      </c>
    </row>
    <row r="266" spans="1:18" ht="43.5">
      <c r="A266" s="2842" t="s">
        <v>9917</v>
      </c>
      <c r="B266" s="2843">
        <v>9706002422</v>
      </c>
      <c r="C266" s="2843">
        <v>616475</v>
      </c>
      <c r="D266" s="2844">
        <v>2021000000</v>
      </c>
      <c r="E266" s="2842" t="s">
        <v>9918</v>
      </c>
      <c r="F266" s="2347" t="s">
        <v>5409</v>
      </c>
      <c r="G266" s="2347" t="s">
        <v>5409</v>
      </c>
      <c r="H266" s="2347" t="s">
        <v>5409</v>
      </c>
      <c r="I266" s="2347" t="s">
        <v>5409</v>
      </c>
      <c r="J266" s="2347"/>
      <c r="K266" s="3212"/>
      <c r="L266" s="3212"/>
      <c r="M266" s="3212" t="s">
        <v>10241</v>
      </c>
      <c r="N266" s="3212" t="s">
        <v>10242</v>
      </c>
      <c r="O266" s="2347" t="s">
        <v>14291</v>
      </c>
      <c r="P266" s="2347" t="s">
        <v>14291</v>
      </c>
      <c r="Q266" s="2347" t="s">
        <v>9936</v>
      </c>
      <c r="R266" s="395" t="s">
        <v>14831</v>
      </c>
    </row>
    <row r="267" spans="1:18" ht="29">
      <c r="A267" s="2842" t="s">
        <v>51</v>
      </c>
      <c r="B267" s="2843">
        <v>7724779465</v>
      </c>
      <c r="C267" s="2843">
        <v>203706</v>
      </c>
      <c r="D267" s="2844">
        <v>2010231400</v>
      </c>
      <c r="E267" s="2842" t="s">
        <v>6017</v>
      </c>
      <c r="F267" s="2347" t="s">
        <v>5409</v>
      </c>
      <c r="G267" s="2347" t="s">
        <v>5409</v>
      </c>
      <c r="H267" s="2347" t="s">
        <v>5409</v>
      </c>
      <c r="I267" s="2347" t="s">
        <v>5409</v>
      </c>
      <c r="J267" s="2347"/>
      <c r="K267" s="3212"/>
      <c r="L267" s="3212"/>
      <c r="M267" s="3212" t="s">
        <v>10241</v>
      </c>
      <c r="N267" s="3212" t="s">
        <v>10242</v>
      </c>
      <c r="O267" s="2347" t="s">
        <v>14291</v>
      </c>
      <c r="P267" s="2347" t="s">
        <v>14291</v>
      </c>
      <c r="Q267" s="2347" t="s">
        <v>15239</v>
      </c>
      <c r="R267" s="395" t="s">
        <v>14831</v>
      </c>
    </row>
    <row r="268" spans="1:18" ht="34.4" customHeight="1">
      <c r="A268" s="2842" t="s">
        <v>4709</v>
      </c>
      <c r="B268" s="2843">
        <v>1829008035</v>
      </c>
      <c r="C268" s="2843">
        <v>71</v>
      </c>
      <c r="D268" s="2844">
        <v>2010230300</v>
      </c>
      <c r="E268" s="2842" t="s">
        <v>8</v>
      </c>
      <c r="F268" s="2347" t="s">
        <v>5409</v>
      </c>
      <c r="G268" s="2347" t="s">
        <v>5409</v>
      </c>
      <c r="H268" s="2347" t="s">
        <v>5409</v>
      </c>
      <c r="I268" s="2347" t="s">
        <v>5409</v>
      </c>
      <c r="J268" s="2347" t="s">
        <v>5409</v>
      </c>
      <c r="K268" s="3212"/>
      <c r="L268" s="3212"/>
      <c r="M268" s="3212" t="s">
        <v>10241</v>
      </c>
      <c r="N268" s="3212" t="s">
        <v>10244</v>
      </c>
      <c r="O268" s="2347" t="s">
        <v>14291</v>
      </c>
      <c r="P268" s="2347" t="s">
        <v>14291</v>
      </c>
      <c r="Q268" s="2347" t="s">
        <v>15239</v>
      </c>
      <c r="R268" s="395" t="s">
        <v>14831</v>
      </c>
    </row>
    <row r="269" spans="1:18" ht="43.5">
      <c r="A269" s="2842" t="s">
        <v>9620</v>
      </c>
      <c r="B269" s="2843">
        <v>9706001411</v>
      </c>
      <c r="C269" s="2843">
        <v>609862</v>
      </c>
      <c r="D269" s="2844">
        <v>4010000200</v>
      </c>
      <c r="E269" s="2842" t="s">
        <v>9621</v>
      </c>
      <c r="F269" s="2347" t="s">
        <v>5409</v>
      </c>
      <c r="G269" s="3146" t="s">
        <v>9871</v>
      </c>
      <c r="H269" s="3146" t="s">
        <v>5409</v>
      </c>
      <c r="I269" s="3146" t="s">
        <v>5409</v>
      </c>
      <c r="J269" s="2347"/>
      <c r="K269" s="2638"/>
      <c r="L269" s="3212"/>
      <c r="M269" s="3212" t="s">
        <v>10241</v>
      </c>
      <c r="N269" s="3212" t="s">
        <v>10242</v>
      </c>
      <c r="O269" s="2347" t="s">
        <v>14291</v>
      </c>
      <c r="P269" s="2347" t="s">
        <v>14291</v>
      </c>
      <c r="Q269" s="2347" t="s">
        <v>2547</v>
      </c>
      <c r="R269" s="395" t="s">
        <v>14831</v>
      </c>
    </row>
    <row r="270" spans="1:18" ht="29">
      <c r="A270" s="2842" t="s">
        <v>7601</v>
      </c>
      <c r="B270" s="2843">
        <v>7734269417</v>
      </c>
      <c r="C270" s="2843">
        <v>204687</v>
      </c>
      <c r="D270" s="2844">
        <v>5160000000</v>
      </c>
      <c r="E270" s="2842" t="s">
        <v>8655</v>
      </c>
      <c r="F270" s="2347" t="s">
        <v>5409</v>
      </c>
      <c r="G270" s="2347" t="s">
        <v>5409</v>
      </c>
      <c r="H270" s="2638"/>
      <c r="I270" s="2638" t="s">
        <v>5435</v>
      </c>
      <c r="J270" s="2347"/>
      <c r="K270" s="2347"/>
      <c r="L270" s="3212"/>
      <c r="M270" s="3212" t="s">
        <v>1149</v>
      </c>
      <c r="N270" s="3212"/>
      <c r="O270" s="2347" t="s">
        <v>14291</v>
      </c>
      <c r="P270" s="2347" t="s">
        <v>14291</v>
      </c>
      <c r="Q270" s="2347" t="s">
        <v>2547</v>
      </c>
      <c r="R270" s="395" t="s">
        <v>14831</v>
      </c>
    </row>
    <row r="271" spans="1:18">
      <c r="A271" s="2842" t="s">
        <v>14323</v>
      </c>
      <c r="B271" s="2843">
        <v>8706007041</v>
      </c>
      <c r="C271" s="2843">
        <v>701354</v>
      </c>
      <c r="D271" s="2844">
        <v>1300000000</v>
      </c>
      <c r="E271" s="2842" t="s">
        <v>14324</v>
      </c>
      <c r="F271" s="2347" t="s">
        <v>5409</v>
      </c>
      <c r="G271" s="3146" t="s">
        <v>9871</v>
      </c>
      <c r="H271" s="3146"/>
      <c r="I271" s="3146" t="s">
        <v>5409</v>
      </c>
      <c r="J271" s="2347"/>
      <c r="K271" s="2638"/>
      <c r="L271" s="3212"/>
      <c r="M271" s="3212" t="s">
        <v>10241</v>
      </c>
      <c r="N271" s="3212" t="s">
        <v>10242</v>
      </c>
      <c r="O271" s="2347" t="s">
        <v>14291</v>
      </c>
      <c r="P271" s="2347" t="s">
        <v>14291</v>
      </c>
      <c r="Q271" s="2347" t="s">
        <v>15478</v>
      </c>
      <c r="R271" s="395" t="s">
        <v>14831</v>
      </c>
    </row>
    <row r="272" spans="1:18" ht="29">
      <c r="A272" s="2842" t="s">
        <v>2901</v>
      </c>
      <c r="B272" s="2843">
        <v>1402047530</v>
      </c>
      <c r="C272" s="2843">
        <v>21</v>
      </c>
      <c r="D272" s="2844">
        <v>2010020400</v>
      </c>
      <c r="E272" s="2842" t="s">
        <v>6002</v>
      </c>
      <c r="F272" s="2347" t="s">
        <v>5409</v>
      </c>
      <c r="G272" s="2347" t="s">
        <v>5409</v>
      </c>
      <c r="H272" s="2347" t="s">
        <v>5409</v>
      </c>
      <c r="I272" s="2347" t="s">
        <v>5409</v>
      </c>
      <c r="J272" s="2347"/>
      <c r="K272" s="3212"/>
      <c r="L272" s="3212"/>
      <c r="M272" s="3212" t="s">
        <v>1149</v>
      </c>
      <c r="N272" s="3212"/>
      <c r="O272" s="2347" t="s">
        <v>14291</v>
      </c>
      <c r="P272" s="2347" t="s">
        <v>14291</v>
      </c>
      <c r="Q272" s="2347" t="s">
        <v>15474</v>
      </c>
      <c r="R272" s="395" t="s">
        <v>14831</v>
      </c>
    </row>
    <row r="273" spans="1:18">
      <c r="A273" s="2842" t="s">
        <v>2902</v>
      </c>
      <c r="B273" s="2843">
        <v>1402048660</v>
      </c>
      <c r="C273" s="2843">
        <v>330</v>
      </c>
      <c r="D273" s="2844">
        <v>2060000000</v>
      </c>
      <c r="E273" s="2842" t="s">
        <v>6003</v>
      </c>
      <c r="F273" s="2347" t="s">
        <v>5409</v>
      </c>
      <c r="G273" s="2347" t="s">
        <v>5409</v>
      </c>
      <c r="H273" s="2347" t="s">
        <v>2903</v>
      </c>
      <c r="I273" s="2347"/>
      <c r="J273" s="2347"/>
      <c r="K273" s="3212"/>
      <c r="L273" s="3212"/>
      <c r="M273" s="3212" t="s">
        <v>1149</v>
      </c>
      <c r="N273" s="3212"/>
      <c r="O273" s="2347" t="s">
        <v>14291</v>
      </c>
      <c r="P273" s="2347" t="s">
        <v>14291</v>
      </c>
      <c r="Q273" s="2347" t="s">
        <v>15474</v>
      </c>
      <c r="R273" s="395" t="s">
        <v>14831</v>
      </c>
    </row>
    <row r="274" spans="1:18">
      <c r="A274" s="3116" t="s">
        <v>14691</v>
      </c>
      <c r="B274" s="3504">
        <v>7715834960</v>
      </c>
      <c r="C274" s="3504">
        <v>373995</v>
      </c>
      <c r="D274" s="3505">
        <v>2011000015</v>
      </c>
      <c r="E274" s="3506" t="s">
        <v>14692</v>
      </c>
      <c r="F274" s="2347" t="s">
        <v>5409</v>
      </c>
      <c r="G274" s="2347" t="s">
        <v>5409</v>
      </c>
      <c r="H274" s="2347" t="s">
        <v>5409</v>
      </c>
      <c r="I274" s="2347" t="s">
        <v>5409</v>
      </c>
      <c r="J274" s="2347"/>
      <c r="K274" s="3212"/>
      <c r="L274" s="3212"/>
      <c r="M274" s="3212" t="s">
        <v>1149</v>
      </c>
      <c r="N274" s="3212"/>
      <c r="O274" s="2347" t="s">
        <v>14291</v>
      </c>
      <c r="P274" s="2347" t="s">
        <v>14291</v>
      </c>
      <c r="Q274" s="2347" t="s">
        <v>15483</v>
      </c>
      <c r="R274" s="395" t="s">
        <v>14831</v>
      </c>
    </row>
    <row r="275" spans="1:18" ht="29">
      <c r="A275" s="3316" t="s">
        <v>14722</v>
      </c>
      <c r="B275" s="3504">
        <v>7715744096</v>
      </c>
      <c r="C275" s="3504">
        <v>368889</v>
      </c>
      <c r="D275" s="3505">
        <v>2011000017</v>
      </c>
      <c r="E275" s="3506" t="s">
        <v>14723</v>
      </c>
      <c r="F275" s="2347" t="s">
        <v>5409</v>
      </c>
      <c r="G275" s="2347" t="s">
        <v>5409</v>
      </c>
      <c r="H275" s="2347" t="s">
        <v>5409</v>
      </c>
      <c r="I275" s="2347" t="s">
        <v>5409</v>
      </c>
      <c r="J275" s="2347"/>
      <c r="K275" s="3212"/>
      <c r="L275" s="3212"/>
      <c r="M275" s="3212" t="s">
        <v>1149</v>
      </c>
      <c r="N275" s="3212"/>
      <c r="O275" s="2347" t="s">
        <v>14291</v>
      </c>
      <c r="P275" s="2347" t="s">
        <v>14291</v>
      </c>
      <c r="Q275" s="2347" t="s">
        <v>15483</v>
      </c>
      <c r="R275" s="395" t="s">
        <v>14831</v>
      </c>
    </row>
    <row r="276" spans="1:18">
      <c r="A276" s="3316" t="s">
        <v>14852</v>
      </c>
      <c r="B276" s="3504">
        <v>50740006974</v>
      </c>
      <c r="C276" s="3504">
        <v>717401</v>
      </c>
      <c r="D276" s="3505">
        <v>2011000023</v>
      </c>
      <c r="E276" s="3506" t="s">
        <v>14853</v>
      </c>
      <c r="F276" s="2347" t="s">
        <v>5409</v>
      </c>
      <c r="G276" s="2347" t="s">
        <v>5409</v>
      </c>
      <c r="H276" s="2638" t="s">
        <v>5435</v>
      </c>
      <c r="I276" s="2638" t="s">
        <v>5435</v>
      </c>
      <c r="J276" s="2347"/>
      <c r="K276" s="3212"/>
      <c r="L276" s="3212"/>
      <c r="M276" s="3212"/>
      <c r="N276" s="3212"/>
      <c r="O276" s="2347" t="s">
        <v>14291</v>
      </c>
      <c r="P276" s="2347" t="s">
        <v>14291</v>
      </c>
      <c r="Q276" s="2347" t="s">
        <v>15483</v>
      </c>
      <c r="R276" s="395" t="s">
        <v>14832</v>
      </c>
    </row>
    <row r="277" spans="1:18">
      <c r="A277" s="2842" t="s">
        <v>2900</v>
      </c>
      <c r="B277" s="2843">
        <v>6629026420</v>
      </c>
      <c r="C277" s="2843">
        <v>190116</v>
      </c>
      <c r="D277" s="2844">
        <v>2010800800</v>
      </c>
      <c r="E277" s="2842" t="s">
        <v>6001</v>
      </c>
      <c r="F277" s="2347" t="s">
        <v>5409</v>
      </c>
      <c r="G277" s="2347" t="s">
        <v>5409</v>
      </c>
      <c r="H277" s="2347" t="s">
        <v>5409</v>
      </c>
      <c r="I277" s="2347" t="s">
        <v>5409</v>
      </c>
      <c r="J277" s="2347"/>
      <c r="K277" s="3212"/>
      <c r="L277" s="3212"/>
      <c r="M277" s="3212" t="s">
        <v>10241</v>
      </c>
      <c r="N277" s="3610" t="s">
        <v>10243</v>
      </c>
      <c r="O277" s="2347" t="s">
        <v>14291</v>
      </c>
      <c r="P277" s="2347" t="s">
        <v>14291</v>
      </c>
      <c r="Q277" s="2347" t="s">
        <v>15239</v>
      </c>
      <c r="R277" s="395" t="s">
        <v>14831</v>
      </c>
    </row>
    <row r="278" spans="1:18">
      <c r="A278" s="2842" t="s">
        <v>2904</v>
      </c>
      <c r="B278" s="2843">
        <v>2901255495</v>
      </c>
      <c r="C278" s="2843">
        <v>390341</v>
      </c>
      <c r="D278" s="2844">
        <v>1140000000</v>
      </c>
      <c r="E278" s="2842" t="s">
        <v>5861</v>
      </c>
      <c r="F278" s="2347" t="s">
        <v>5409</v>
      </c>
      <c r="G278" s="2347" t="s">
        <v>5409</v>
      </c>
      <c r="H278" s="2347"/>
      <c r="I278" s="2347" t="s">
        <v>5409</v>
      </c>
      <c r="J278" s="2347"/>
      <c r="K278" s="3212"/>
      <c r="L278" s="3212"/>
      <c r="M278" s="3212" t="s">
        <v>1149</v>
      </c>
      <c r="N278" s="3212"/>
      <c r="O278" s="2347" t="s">
        <v>14291</v>
      </c>
      <c r="P278" s="2347" t="s">
        <v>14291</v>
      </c>
      <c r="Q278" s="2347" t="s">
        <v>15480</v>
      </c>
      <c r="R278" s="395" t="s">
        <v>14831</v>
      </c>
    </row>
    <row r="279" spans="1:18">
      <c r="A279" s="2842" t="s">
        <v>3948</v>
      </c>
      <c r="B279" s="2843">
        <v>5053054810</v>
      </c>
      <c r="C279" s="2843">
        <v>53</v>
      </c>
      <c r="D279" s="2844">
        <v>2010230109</v>
      </c>
      <c r="E279" s="2842" t="s">
        <v>4946</v>
      </c>
      <c r="F279" s="2347" t="s">
        <v>5409</v>
      </c>
      <c r="G279" s="2347" t="s">
        <v>5409</v>
      </c>
      <c r="H279" s="2638" t="s">
        <v>5435</v>
      </c>
      <c r="I279" s="2638" t="s">
        <v>5435</v>
      </c>
      <c r="J279" s="2347"/>
      <c r="K279" s="2638"/>
      <c r="L279" s="3212"/>
      <c r="M279" s="3212" t="s">
        <v>10241</v>
      </c>
      <c r="N279" s="3212" t="s">
        <v>10242</v>
      </c>
      <c r="O279" s="2347" t="s">
        <v>14291</v>
      </c>
      <c r="P279" s="2347" t="s">
        <v>14291</v>
      </c>
      <c r="Q279" s="2347" t="s">
        <v>15239</v>
      </c>
      <c r="R279" s="395" t="s">
        <v>14831</v>
      </c>
    </row>
    <row r="280" spans="1:18" ht="29">
      <c r="A280" s="2842" t="s">
        <v>2905</v>
      </c>
      <c r="B280" s="2843">
        <v>7724313681</v>
      </c>
      <c r="C280" s="2843">
        <v>396021</v>
      </c>
      <c r="D280" s="2844">
        <v>4100000000</v>
      </c>
      <c r="E280" s="2842" t="s">
        <v>5933</v>
      </c>
      <c r="F280" s="2347" t="s">
        <v>5409</v>
      </c>
      <c r="G280" s="2347" t="s">
        <v>5409</v>
      </c>
      <c r="H280" s="2347" t="s">
        <v>5409</v>
      </c>
      <c r="I280" s="2347" t="s">
        <v>5409</v>
      </c>
      <c r="J280" s="2347"/>
      <c r="K280" s="3212"/>
      <c r="L280" s="3212"/>
      <c r="M280" s="3212" t="s">
        <v>1149</v>
      </c>
      <c r="N280" s="3212"/>
      <c r="O280" s="2347" t="s">
        <v>14291</v>
      </c>
      <c r="P280" s="2347" t="s">
        <v>14291</v>
      </c>
      <c r="Q280" s="2347" t="s">
        <v>15480</v>
      </c>
      <c r="R280" s="395" t="s">
        <v>14831</v>
      </c>
    </row>
    <row r="281" spans="1:18">
      <c r="A281" s="2842" t="s">
        <v>15112</v>
      </c>
      <c r="B281" s="2843">
        <v>9725091234</v>
      </c>
      <c r="C281" s="2843">
        <v>735668</v>
      </c>
      <c r="D281" s="2844">
        <v>2010230970</v>
      </c>
      <c r="E281" s="2842" t="s">
        <v>15111</v>
      </c>
      <c r="F281" s="2405" t="s">
        <v>5409</v>
      </c>
      <c r="G281" s="2405" t="s">
        <v>5409</v>
      </c>
      <c r="H281" s="2405" t="s">
        <v>5409</v>
      </c>
      <c r="I281" s="2405" t="s">
        <v>5409</v>
      </c>
      <c r="J281" s="2842"/>
      <c r="K281" s="2638"/>
      <c r="L281" s="3212"/>
      <c r="M281" s="2347" t="s">
        <v>1149</v>
      </c>
      <c r="N281" s="3212"/>
      <c r="O281" s="3602" t="s">
        <v>14291</v>
      </c>
      <c r="P281" s="2347" t="s">
        <v>14291</v>
      </c>
      <c r="Q281" s="2347" t="s">
        <v>15481</v>
      </c>
      <c r="R281" s="395" t="s">
        <v>14831</v>
      </c>
    </row>
    <row r="282" spans="1:18">
      <c r="A282" s="3640" t="s">
        <v>15488</v>
      </c>
      <c r="B282" s="2843">
        <v>2106005156</v>
      </c>
      <c r="C282" s="2843">
        <v>361</v>
      </c>
      <c r="D282" s="2844">
        <v>2010230943</v>
      </c>
      <c r="E282" s="2842" t="s">
        <v>15489</v>
      </c>
      <c r="F282" s="2405"/>
      <c r="G282" s="2405"/>
      <c r="H282" s="2405"/>
      <c r="I282" s="2405"/>
      <c r="J282" s="2842"/>
      <c r="K282" s="2638"/>
      <c r="L282" s="3212" t="s">
        <v>5409</v>
      </c>
      <c r="M282" s="2347"/>
      <c r="N282" s="3212"/>
      <c r="O282" s="3602"/>
      <c r="P282" s="2347"/>
      <c r="Q282" s="2347" t="s">
        <v>15467</v>
      </c>
      <c r="R282" s="395" t="s">
        <v>6941</v>
      </c>
    </row>
    <row r="283" spans="1:18">
      <c r="A283" s="2842" t="s">
        <v>2906</v>
      </c>
      <c r="B283" s="2843">
        <v>7718083574</v>
      </c>
      <c r="C283" s="2843">
        <v>136</v>
      </c>
      <c r="D283" s="2844">
        <v>2010270000</v>
      </c>
      <c r="E283" s="2842" t="s">
        <v>10099</v>
      </c>
      <c r="F283" s="2347" t="s">
        <v>5409</v>
      </c>
      <c r="G283" s="2347" t="s">
        <v>5409</v>
      </c>
      <c r="H283" s="2347"/>
      <c r="I283" s="2347" t="s">
        <v>5409</v>
      </c>
      <c r="J283" s="2347"/>
      <c r="K283" s="3212"/>
      <c r="L283" s="3212"/>
      <c r="M283" s="3212" t="s">
        <v>10241</v>
      </c>
      <c r="N283" s="3212" t="s">
        <v>10243</v>
      </c>
      <c r="O283" s="2347" t="s">
        <v>14291</v>
      </c>
      <c r="P283" s="2347" t="s">
        <v>14291</v>
      </c>
      <c r="Q283" s="2347" t="s">
        <v>15475</v>
      </c>
      <c r="R283" s="395" t="s">
        <v>14831</v>
      </c>
    </row>
    <row r="284" spans="1:18" ht="43.5">
      <c r="A284" s="2842" t="s">
        <v>5455</v>
      </c>
      <c r="B284" s="2843">
        <v>5035037441</v>
      </c>
      <c r="C284" s="2843">
        <v>198</v>
      </c>
      <c r="D284" s="2844">
        <v>2010830000</v>
      </c>
      <c r="E284" s="2842" t="s">
        <v>5844</v>
      </c>
      <c r="F284" s="2347" t="s">
        <v>5409</v>
      </c>
      <c r="G284" s="2865"/>
      <c r="H284" s="2347" t="s">
        <v>5409</v>
      </c>
      <c r="I284" s="2347" t="s">
        <v>5409</v>
      </c>
      <c r="J284" s="2347"/>
      <c r="K284" s="3212"/>
      <c r="L284" s="3212"/>
      <c r="M284" s="3212" t="s">
        <v>1149</v>
      </c>
      <c r="N284" s="3212"/>
      <c r="O284" s="2347" t="s">
        <v>14291</v>
      </c>
      <c r="P284" s="2347" t="s">
        <v>14292</v>
      </c>
      <c r="Q284" s="2347" t="s">
        <v>15472</v>
      </c>
      <c r="R284" s="395" t="s">
        <v>14831</v>
      </c>
    </row>
    <row r="285" spans="1:18" ht="29">
      <c r="A285" s="2842" t="s">
        <v>15496</v>
      </c>
      <c r="B285" s="2843">
        <v>5254493302</v>
      </c>
      <c r="C285" s="2843">
        <v>576325</v>
      </c>
      <c r="D285" s="2844">
        <v>2021000200</v>
      </c>
      <c r="E285" s="3506" t="s">
        <v>15358</v>
      </c>
      <c r="F285" s="2347" t="s">
        <v>5409</v>
      </c>
      <c r="G285" s="2347" t="s">
        <v>5409</v>
      </c>
      <c r="H285" s="2347" t="s">
        <v>5409</v>
      </c>
      <c r="I285" s="2347" t="s">
        <v>5409</v>
      </c>
      <c r="J285" s="2347"/>
      <c r="K285" s="3212"/>
      <c r="L285" s="3212"/>
      <c r="M285" s="3212" t="s">
        <v>10241</v>
      </c>
      <c r="N285" s="3212" t="s">
        <v>10242</v>
      </c>
      <c r="O285" s="2347" t="s">
        <v>14291</v>
      </c>
      <c r="P285" s="2347" t="s">
        <v>14292</v>
      </c>
      <c r="Q285" s="2347" t="s">
        <v>9936</v>
      </c>
      <c r="R285" s="395" t="s">
        <v>14831</v>
      </c>
    </row>
    <row r="286" spans="1:18" ht="29">
      <c r="A286" s="2842" t="s">
        <v>2907</v>
      </c>
      <c r="B286" s="2843">
        <v>2453013555</v>
      </c>
      <c r="C286" s="2843">
        <v>200</v>
      </c>
      <c r="D286" s="2844">
        <v>2010840000</v>
      </c>
      <c r="E286" s="2842" t="s">
        <v>6004</v>
      </c>
      <c r="F286" s="2347" t="s">
        <v>5409</v>
      </c>
      <c r="G286" s="2347" t="s">
        <v>5409</v>
      </c>
      <c r="H286" s="2347" t="s">
        <v>5409</v>
      </c>
      <c r="I286" s="2347" t="s">
        <v>5409</v>
      </c>
      <c r="J286" s="2347" t="s">
        <v>5409</v>
      </c>
      <c r="K286" s="3212"/>
      <c r="L286" s="3212"/>
      <c r="M286" s="3212" t="s">
        <v>10241</v>
      </c>
      <c r="N286" s="3212" t="s">
        <v>10244</v>
      </c>
      <c r="O286" s="2347" t="s">
        <v>14291</v>
      </c>
      <c r="P286" s="2347" t="s">
        <v>14291</v>
      </c>
      <c r="Q286" s="2347" t="s">
        <v>15239</v>
      </c>
      <c r="R286" s="395" t="s">
        <v>14831</v>
      </c>
    </row>
    <row r="287" spans="1:18">
      <c r="A287" s="2842" t="s">
        <v>2908</v>
      </c>
      <c r="B287" s="2843">
        <v>6630002336</v>
      </c>
      <c r="C287" s="2843">
        <v>5</v>
      </c>
      <c r="D287" s="2844">
        <v>1050000000</v>
      </c>
      <c r="E287" s="2842" t="s">
        <v>2909</v>
      </c>
      <c r="F287" s="2347" t="s">
        <v>5409</v>
      </c>
      <c r="G287" s="2347" t="s">
        <v>5409</v>
      </c>
      <c r="H287" s="2347"/>
      <c r="I287" s="2347" t="s">
        <v>5409</v>
      </c>
      <c r="J287" s="2347"/>
      <c r="K287" s="3212"/>
      <c r="L287" s="3212"/>
      <c r="M287" s="3212" t="s">
        <v>1149</v>
      </c>
      <c r="N287" s="3212"/>
      <c r="O287" s="2347" t="s">
        <v>14291</v>
      </c>
      <c r="P287" s="2347" t="s">
        <v>14291</v>
      </c>
      <c r="Q287" s="2347" t="s">
        <v>15480</v>
      </c>
      <c r="R287" s="395" t="s">
        <v>14831</v>
      </c>
    </row>
    <row r="288" spans="1:18" ht="29">
      <c r="A288" s="2842" t="s">
        <v>10252</v>
      </c>
      <c r="B288" s="2843">
        <v>7706688991</v>
      </c>
      <c r="C288" s="2843">
        <v>133</v>
      </c>
      <c r="D288" s="2844">
        <v>2010242200</v>
      </c>
      <c r="E288" s="2842" t="s">
        <v>10253</v>
      </c>
      <c r="F288" s="2347" t="s">
        <v>5409</v>
      </c>
      <c r="G288" s="2347" t="s">
        <v>5409</v>
      </c>
      <c r="H288" s="2347" t="s">
        <v>5409</v>
      </c>
      <c r="I288" s="2347" t="s">
        <v>5409</v>
      </c>
      <c r="J288" s="2347"/>
      <c r="K288" s="3212"/>
      <c r="L288" s="2347"/>
      <c r="M288" s="2347" t="s">
        <v>1149</v>
      </c>
      <c r="N288" s="2347"/>
      <c r="O288" s="2347" t="s">
        <v>14291</v>
      </c>
      <c r="P288" s="2347" t="s">
        <v>14291</v>
      </c>
      <c r="Q288" s="2347" t="s">
        <v>15473</v>
      </c>
      <c r="R288" s="395" t="s">
        <v>14831</v>
      </c>
    </row>
    <row r="289" spans="1:25" ht="29">
      <c r="A289" s="2842" t="s">
        <v>6108</v>
      </c>
      <c r="B289" s="2843">
        <v>7459003496</v>
      </c>
      <c r="C289" s="2843">
        <v>387083</v>
      </c>
      <c r="D289" s="2844">
        <v>2010912000</v>
      </c>
      <c r="E289" s="2842" t="s">
        <v>6109</v>
      </c>
      <c r="F289" s="2347" t="s">
        <v>5409</v>
      </c>
      <c r="G289" s="2347" t="s">
        <v>5409</v>
      </c>
      <c r="H289" s="2347" t="s">
        <v>5409</v>
      </c>
      <c r="I289" s="2347" t="s">
        <v>5409</v>
      </c>
      <c r="J289" s="2347"/>
      <c r="K289" s="3212"/>
      <c r="L289" s="3212"/>
      <c r="M289" s="3212" t="s">
        <v>10241</v>
      </c>
      <c r="N289" s="3212" t="s">
        <v>10242</v>
      </c>
      <c r="O289" s="2347" t="s">
        <v>14291</v>
      </c>
      <c r="P289" s="2347" t="s">
        <v>14291</v>
      </c>
      <c r="Q289" s="2347" t="s">
        <v>15471</v>
      </c>
      <c r="R289" s="395" t="s">
        <v>14831</v>
      </c>
    </row>
    <row r="290" spans="1:25">
      <c r="A290" s="2842" t="s">
        <v>1169</v>
      </c>
      <c r="B290" s="2843">
        <v>20092434304</v>
      </c>
      <c r="C290" s="2843">
        <v>257652</v>
      </c>
      <c r="D290" s="2844">
        <v>2010021501</v>
      </c>
      <c r="E290" s="2842" t="s">
        <v>1169</v>
      </c>
      <c r="F290" s="2864"/>
      <c r="G290" s="2637"/>
      <c r="H290" s="2638"/>
      <c r="I290" s="2638"/>
      <c r="J290" s="2347"/>
      <c r="K290" s="3212"/>
      <c r="L290" s="3212"/>
      <c r="M290" s="2347" t="s">
        <v>1149</v>
      </c>
      <c r="N290" s="3212"/>
      <c r="O290" s="3212"/>
      <c r="P290" s="2347"/>
      <c r="Q290" s="2347" t="s">
        <v>15469</v>
      </c>
    </row>
    <row r="291" spans="1:25">
      <c r="A291" s="3636" t="s">
        <v>15436</v>
      </c>
      <c r="B291" s="2843"/>
      <c r="C291" s="2843" t="s">
        <v>15437</v>
      </c>
      <c r="D291" s="2844">
        <v>2010020172</v>
      </c>
      <c r="E291" s="2842" t="s">
        <v>15438</v>
      </c>
      <c r="F291" s="2630"/>
      <c r="G291" s="2637"/>
      <c r="H291" s="2638"/>
      <c r="I291" s="2638"/>
      <c r="J291" s="2347"/>
      <c r="K291" s="2638"/>
      <c r="L291" s="3212"/>
      <c r="M291" s="2347"/>
      <c r="N291" s="3212"/>
      <c r="O291" s="3212"/>
      <c r="P291" s="2347"/>
      <c r="Q291" s="2347">
        <v>0</v>
      </c>
      <c r="R291" s="3634"/>
      <c r="S291" s="3634"/>
      <c r="T291" s="3634"/>
      <c r="U291" s="3634"/>
      <c r="V291" s="3634"/>
      <c r="W291" s="3634"/>
      <c r="X291" s="3634"/>
      <c r="Y291" s="3634"/>
    </row>
    <row r="292" spans="1:25">
      <c r="A292" s="2842" t="s">
        <v>14331</v>
      </c>
      <c r="B292" s="2843">
        <v>820223463</v>
      </c>
      <c r="C292" s="2843">
        <v>505027</v>
      </c>
      <c r="D292" s="2844">
        <v>2011221660</v>
      </c>
      <c r="E292" s="2842" t="s">
        <v>14332</v>
      </c>
      <c r="F292" s="2864"/>
      <c r="G292" s="2637"/>
      <c r="H292" s="2638"/>
      <c r="I292" s="2638"/>
      <c r="J292" s="2347"/>
      <c r="K292" s="3212"/>
      <c r="L292" s="3212"/>
      <c r="M292" s="2347" t="s">
        <v>1149</v>
      </c>
      <c r="N292" s="3212"/>
      <c r="O292" s="3212"/>
      <c r="P292" s="2347"/>
      <c r="Q292" s="2347" t="s">
        <v>15469</v>
      </c>
    </row>
    <row r="293" spans="1:25">
      <c r="A293" s="2842" t="s">
        <v>14303</v>
      </c>
      <c r="B293" s="3654" t="s">
        <v>15505</v>
      </c>
      <c r="C293" s="2843"/>
      <c r="D293" s="2844">
        <v>2010130000</v>
      </c>
      <c r="E293" s="2842" t="s">
        <v>14304</v>
      </c>
      <c r="F293" s="2864"/>
      <c r="G293" s="2637"/>
      <c r="H293" s="2638"/>
      <c r="I293" s="2638"/>
      <c r="J293" s="2347"/>
      <c r="K293" s="3212"/>
      <c r="L293" s="3212"/>
      <c r="M293" s="2347" t="s">
        <v>1149</v>
      </c>
      <c r="N293" s="3212"/>
      <c r="O293" s="3212"/>
      <c r="P293" s="2347"/>
      <c r="Q293" s="2347" t="s">
        <v>15471</v>
      </c>
    </row>
    <row r="294" spans="1:25">
      <c r="A294" s="2842" t="s">
        <v>15530</v>
      </c>
      <c r="B294" s="2843" t="s">
        <v>15244</v>
      </c>
      <c r="C294" s="2843">
        <v>262246</v>
      </c>
      <c r="D294" s="2844">
        <v>2010022200</v>
      </c>
      <c r="E294" s="2842" t="s">
        <v>15243</v>
      </c>
      <c r="F294" s="2630"/>
      <c r="G294" s="2637"/>
      <c r="H294" s="2638"/>
      <c r="I294" s="2638"/>
      <c r="J294" s="2347"/>
      <c r="K294" s="2638"/>
      <c r="L294" s="3212"/>
      <c r="M294" s="2347"/>
      <c r="N294" s="3212"/>
      <c r="O294" s="3212"/>
      <c r="P294" s="2347"/>
      <c r="Q294" s="2347" t="s">
        <v>15469</v>
      </c>
    </row>
    <row r="295" spans="1:25" ht="29">
      <c r="A295" s="2842" t="s">
        <v>15245</v>
      </c>
      <c r="B295" s="2843" t="s">
        <v>15246</v>
      </c>
      <c r="C295" s="2843">
        <v>735807</v>
      </c>
      <c r="D295" s="2844">
        <v>2011306100</v>
      </c>
      <c r="E295" s="2842" t="s">
        <v>15247</v>
      </c>
      <c r="F295" s="2630"/>
      <c r="G295" s="2637"/>
      <c r="H295" s="2638"/>
      <c r="I295" s="2638"/>
      <c r="J295" s="2347"/>
      <c r="K295" s="2638"/>
      <c r="L295" s="3212"/>
      <c r="M295" s="2347"/>
      <c r="N295" s="3212"/>
      <c r="O295" s="3212"/>
      <c r="P295" s="2347"/>
      <c r="Q295" s="2347" t="s">
        <v>15468</v>
      </c>
    </row>
    <row r="296" spans="1:25" ht="29">
      <c r="A296" s="2842" t="s">
        <v>15248</v>
      </c>
      <c r="B296" s="2843">
        <v>27607542</v>
      </c>
      <c r="C296" s="2843">
        <v>491701</v>
      </c>
      <c r="D296" s="2844">
        <v>2010231914</v>
      </c>
      <c r="E296" s="2842" t="s">
        <v>15249</v>
      </c>
      <c r="F296" s="2630"/>
      <c r="G296" s="2637"/>
      <c r="H296" s="2638"/>
      <c r="I296" s="2638"/>
      <c r="J296" s="2347"/>
      <c r="K296" s="2638"/>
      <c r="L296" s="3212"/>
      <c r="M296" s="2347"/>
      <c r="N296" s="3212"/>
      <c r="O296" s="3212"/>
      <c r="P296" s="2347"/>
      <c r="Q296" s="2347" t="s">
        <v>15467</v>
      </c>
    </row>
    <row r="297" spans="1:25">
      <c r="A297" s="2842" t="s">
        <v>15531</v>
      </c>
      <c r="B297" s="2843">
        <v>152053</v>
      </c>
      <c r="C297" s="2843">
        <v>219339</v>
      </c>
      <c r="D297" s="2844">
        <v>2010230145</v>
      </c>
      <c r="E297" s="2842" t="s">
        <v>15250</v>
      </c>
      <c r="F297" s="2630"/>
      <c r="G297" s="2637"/>
      <c r="H297" s="2638"/>
      <c r="I297" s="2638"/>
      <c r="J297" s="2347"/>
      <c r="K297" s="2638"/>
      <c r="L297" s="3212"/>
      <c r="M297" s="2347"/>
      <c r="N297" s="3212"/>
      <c r="O297" s="3212"/>
      <c r="P297" s="2347"/>
      <c r="Q297" s="2347" t="s">
        <v>15467</v>
      </c>
    </row>
    <row r="298" spans="1:25">
      <c r="A298" s="2842" t="s">
        <v>194</v>
      </c>
      <c r="B298" s="2843" t="s">
        <v>6281</v>
      </c>
      <c r="C298" s="2843">
        <v>264</v>
      </c>
      <c r="D298" s="2844">
        <v>2010230913</v>
      </c>
      <c r="E298" s="2842" t="s">
        <v>6107</v>
      </c>
      <c r="F298" s="2864"/>
      <c r="G298" s="2637"/>
      <c r="H298" s="2638"/>
      <c r="I298" s="2638"/>
      <c r="J298" s="2347"/>
      <c r="K298" s="3212"/>
      <c r="L298" s="3212"/>
      <c r="M298" s="2347" t="s">
        <v>1149</v>
      </c>
      <c r="N298" s="3212"/>
      <c r="O298" s="3212"/>
      <c r="P298" s="2347"/>
      <c r="Q298" s="2347" t="s">
        <v>15467</v>
      </c>
    </row>
    <row r="299" spans="1:25">
      <c r="A299" s="2842" t="s">
        <v>1173</v>
      </c>
      <c r="B299" s="2843">
        <v>124215706</v>
      </c>
      <c r="C299" s="2843">
        <v>481212</v>
      </c>
      <c r="D299" s="2844">
        <v>2010021702</v>
      </c>
      <c r="E299" s="2842" t="s">
        <v>1173</v>
      </c>
      <c r="F299" s="2864"/>
      <c r="G299" s="2637"/>
      <c r="H299" s="2638"/>
      <c r="I299" s="2638"/>
      <c r="J299" s="2347"/>
      <c r="K299" s="3212"/>
      <c r="L299" s="3212"/>
      <c r="M299" s="2347" t="s">
        <v>1149</v>
      </c>
      <c r="N299" s="3212"/>
      <c r="O299" s="3212"/>
      <c r="P299" s="2347"/>
      <c r="Q299" s="2347" t="s">
        <v>15469</v>
      </c>
    </row>
    <row r="300" spans="1:25">
      <c r="A300" s="2842" t="s">
        <v>15108</v>
      </c>
      <c r="B300" s="2843">
        <v>457349024</v>
      </c>
      <c r="C300" s="2843"/>
      <c r="D300" s="2844">
        <v>2010020103</v>
      </c>
      <c r="E300" s="2842" t="s">
        <v>15107</v>
      </c>
      <c r="F300" s="2864"/>
      <c r="G300" s="2637"/>
      <c r="H300" s="2638"/>
      <c r="I300" s="2638"/>
      <c r="J300" s="2347"/>
      <c r="K300" s="3212"/>
      <c r="L300" s="3212"/>
      <c r="M300" s="2347"/>
      <c r="N300" s="3212"/>
      <c r="O300" s="3212"/>
      <c r="P300" s="2347"/>
      <c r="Q300" s="2347" t="s">
        <v>15469</v>
      </c>
    </row>
    <row r="301" spans="1:25">
      <c r="A301" s="2842" t="s">
        <v>1174</v>
      </c>
      <c r="B301" s="2843" t="s">
        <v>6053</v>
      </c>
      <c r="C301" s="2843">
        <v>210119</v>
      </c>
      <c r="D301" s="2844">
        <v>2010021630</v>
      </c>
      <c r="E301" s="2842" t="s">
        <v>1174</v>
      </c>
      <c r="F301" s="2864"/>
      <c r="G301" s="2637"/>
      <c r="H301" s="2638"/>
      <c r="I301" s="2638"/>
      <c r="J301" s="2347"/>
      <c r="K301" s="3212"/>
      <c r="L301" s="3212"/>
      <c r="M301" s="2347" t="s">
        <v>1149</v>
      </c>
      <c r="N301" s="3212"/>
      <c r="O301" s="3212"/>
      <c r="P301" s="2347"/>
      <c r="Q301" s="2347" t="s">
        <v>15469</v>
      </c>
    </row>
    <row r="302" spans="1:25">
      <c r="A302" s="2842" t="s">
        <v>1177</v>
      </c>
      <c r="B302" s="2843" t="s">
        <v>6054</v>
      </c>
      <c r="C302" s="2843">
        <v>296836</v>
      </c>
      <c r="D302" s="2844">
        <v>2010021640</v>
      </c>
      <c r="E302" s="2842" t="s">
        <v>1177</v>
      </c>
      <c r="F302" s="2864"/>
      <c r="G302" s="2637"/>
      <c r="H302" s="2638"/>
      <c r="I302" s="2638"/>
      <c r="J302" s="2347"/>
      <c r="K302" s="3212"/>
      <c r="L302" s="3212"/>
      <c r="M302" s="2347" t="s">
        <v>1149</v>
      </c>
      <c r="N302" s="3212"/>
      <c r="O302" s="3212"/>
      <c r="P302" s="2347"/>
      <c r="Q302" s="2347" t="s">
        <v>15469</v>
      </c>
    </row>
    <row r="303" spans="1:25" ht="29">
      <c r="A303" s="2842" t="s">
        <v>7662</v>
      </c>
      <c r="B303" s="2843"/>
      <c r="C303" s="2843">
        <v>488812</v>
      </c>
      <c r="D303" s="2844">
        <v>2010935000</v>
      </c>
      <c r="E303" s="2842" t="s">
        <v>7663</v>
      </c>
      <c r="F303" s="2864"/>
      <c r="G303" s="2637"/>
      <c r="H303" s="2638"/>
      <c r="I303" s="2638"/>
      <c r="J303" s="2842"/>
      <c r="K303" s="3212"/>
      <c r="L303" s="3212"/>
      <c r="M303" s="2347" t="s">
        <v>1149</v>
      </c>
      <c r="N303" s="3212"/>
      <c r="O303" s="3212"/>
      <c r="P303" s="2347"/>
      <c r="Q303" s="2347" t="s">
        <v>6086</v>
      </c>
    </row>
    <row r="304" spans="1:25">
      <c r="A304" s="3116" t="s">
        <v>15465</v>
      </c>
      <c r="B304" s="3504">
        <v>858167360</v>
      </c>
      <c r="C304" s="3504">
        <v>530988</v>
      </c>
      <c r="D304" s="3505">
        <v>2010230958</v>
      </c>
      <c r="E304" s="3506" t="s">
        <v>15465</v>
      </c>
      <c r="F304" s="2864"/>
      <c r="G304" s="2637"/>
      <c r="H304" s="2638"/>
      <c r="I304" s="2638"/>
      <c r="J304" s="2347"/>
      <c r="K304" s="3212"/>
      <c r="L304" s="3212"/>
      <c r="M304" s="2347" t="s">
        <v>1149</v>
      </c>
      <c r="N304" s="3212"/>
      <c r="O304" s="3212"/>
      <c r="P304" s="2347"/>
      <c r="Q304" s="2347" t="s">
        <v>15479</v>
      </c>
    </row>
    <row r="305" spans="1:25">
      <c r="A305" s="2842" t="s">
        <v>15532</v>
      </c>
      <c r="B305" s="2843" t="s">
        <v>15251</v>
      </c>
      <c r="C305" s="2843">
        <v>374593</v>
      </c>
      <c r="D305" s="2844">
        <v>2010021810</v>
      </c>
      <c r="E305" s="2842" t="s">
        <v>15252</v>
      </c>
      <c r="F305" s="2630"/>
      <c r="G305" s="2637"/>
      <c r="H305" s="2638"/>
      <c r="I305" s="2638"/>
      <c r="J305" s="2347"/>
      <c r="K305" s="2638"/>
      <c r="L305" s="3212"/>
      <c r="M305" s="2347"/>
      <c r="N305" s="3212"/>
      <c r="O305" s="3212"/>
      <c r="P305" s="2347"/>
      <c r="Q305" s="2347" t="s">
        <v>15468</v>
      </c>
    </row>
    <row r="306" spans="1:25">
      <c r="A306" s="2842" t="s">
        <v>15533</v>
      </c>
      <c r="B306" s="2843" t="s">
        <v>15254</v>
      </c>
      <c r="C306" s="2843">
        <v>374580</v>
      </c>
      <c r="D306" s="2844">
        <v>2010021910</v>
      </c>
      <c r="E306" s="2842" t="s">
        <v>15253</v>
      </c>
      <c r="F306" s="2630"/>
      <c r="G306" s="2637"/>
      <c r="H306" s="2638"/>
      <c r="I306" s="2638"/>
      <c r="J306" s="2347"/>
      <c r="K306" s="2638"/>
      <c r="L306" s="3212"/>
      <c r="M306" s="2347"/>
      <c r="N306" s="3212"/>
      <c r="O306" s="3212"/>
      <c r="P306" s="2347"/>
      <c r="Q306" s="2347" t="s">
        <v>15468</v>
      </c>
    </row>
    <row r="307" spans="1:25">
      <c r="A307" s="2842" t="s">
        <v>15534</v>
      </c>
      <c r="B307" s="2843"/>
      <c r="C307" s="2843">
        <v>670937</v>
      </c>
      <c r="D307" s="2844">
        <v>2010980111</v>
      </c>
      <c r="E307" s="2842" t="s">
        <v>15255</v>
      </c>
      <c r="F307" s="2630"/>
      <c r="G307" s="2637"/>
      <c r="H307" s="2638"/>
      <c r="I307" s="2638"/>
      <c r="J307" s="2347"/>
      <c r="K307" s="2638"/>
      <c r="L307" s="3212"/>
      <c r="M307" s="2347"/>
      <c r="N307" s="3212"/>
      <c r="O307" s="3212"/>
      <c r="P307" s="2347"/>
      <c r="Q307" s="2347" t="s">
        <v>15468</v>
      </c>
    </row>
    <row r="308" spans="1:25" ht="29">
      <c r="A308" s="2842" t="s">
        <v>15535</v>
      </c>
      <c r="B308" s="2843">
        <v>1300003333</v>
      </c>
      <c r="C308" s="2843">
        <v>420843</v>
      </c>
      <c r="D308" s="2844">
        <v>2010021210</v>
      </c>
      <c r="E308" s="2842" t="s">
        <v>15256</v>
      </c>
      <c r="F308" s="2630"/>
      <c r="G308" s="2637"/>
      <c r="H308" s="2638"/>
      <c r="I308" s="2638"/>
      <c r="J308" s="2347"/>
      <c r="K308" s="2638"/>
      <c r="L308" s="3212"/>
      <c r="M308" s="2347"/>
      <c r="N308" s="3212"/>
      <c r="O308" s="3212"/>
      <c r="P308" s="2347"/>
      <c r="Q308" s="2347" t="s">
        <v>15468</v>
      </c>
    </row>
    <row r="309" spans="1:25">
      <c r="A309" s="3653" t="s">
        <v>15506</v>
      </c>
      <c r="B309" s="2843">
        <v>804720555</v>
      </c>
      <c r="C309" s="2843">
        <v>374631</v>
      </c>
      <c r="D309" s="2844">
        <v>2010022110</v>
      </c>
      <c r="E309" s="2842" t="s">
        <v>15507</v>
      </c>
      <c r="F309" s="2630"/>
      <c r="G309" s="2637"/>
      <c r="H309" s="2638"/>
      <c r="I309" s="2638"/>
      <c r="J309" s="2347"/>
      <c r="K309" s="2638"/>
      <c r="L309" s="3212"/>
      <c r="M309" s="2347"/>
      <c r="N309" s="3212"/>
      <c r="O309" s="3212"/>
      <c r="P309" s="2347"/>
      <c r="Q309" s="2347" t="s">
        <v>15468</v>
      </c>
    </row>
    <row r="310" spans="1:25">
      <c r="A310" s="2842" t="s">
        <v>15536</v>
      </c>
      <c r="B310" s="2843">
        <v>93390</v>
      </c>
      <c r="C310" s="2843">
        <v>427773</v>
      </c>
      <c r="D310" s="2844">
        <v>2010980011</v>
      </c>
      <c r="E310" s="2842" t="s">
        <v>15257</v>
      </c>
      <c r="F310" s="2630"/>
      <c r="G310" s="2637"/>
      <c r="H310" s="2638"/>
      <c r="I310" s="2638"/>
      <c r="J310" s="2347"/>
      <c r="K310" s="2638"/>
      <c r="L310" s="3212"/>
      <c r="M310" s="2347"/>
      <c r="N310" s="3212"/>
      <c r="O310" s="3212"/>
      <c r="P310" s="2347"/>
      <c r="Q310" s="2347" t="s">
        <v>15468</v>
      </c>
    </row>
    <row r="311" spans="1:25" ht="29">
      <c r="A311" s="2842" t="s">
        <v>15537</v>
      </c>
      <c r="B311" s="2843" t="s">
        <v>15259</v>
      </c>
      <c r="C311" s="2843">
        <v>425448</v>
      </c>
      <c r="D311" s="2844">
        <v>2010021710</v>
      </c>
      <c r="E311" s="2842" t="s">
        <v>15258</v>
      </c>
      <c r="F311" s="2630"/>
      <c r="G311" s="2637"/>
      <c r="H311" s="2638"/>
      <c r="I311" s="2638"/>
      <c r="J311" s="2347"/>
      <c r="K311" s="2638"/>
      <c r="L311" s="3212"/>
      <c r="M311" s="2347"/>
      <c r="N311" s="3212"/>
      <c r="O311" s="3212"/>
      <c r="P311" s="2347"/>
      <c r="Q311" s="2347" t="s">
        <v>15468</v>
      </c>
    </row>
    <row r="312" spans="1:25">
      <c r="A312" s="2842" t="s">
        <v>15260</v>
      </c>
      <c r="B312" s="2843" t="s">
        <v>15261</v>
      </c>
      <c r="C312" s="2843">
        <v>639742</v>
      </c>
      <c r="D312" s="2844">
        <v>2011322110</v>
      </c>
      <c r="E312" s="2842" t="s">
        <v>15262</v>
      </c>
      <c r="F312" s="2630"/>
      <c r="G312" s="2637"/>
      <c r="H312" s="2638"/>
      <c r="I312" s="2638"/>
      <c r="J312" s="2347"/>
      <c r="K312" s="2638"/>
      <c r="L312" s="3212"/>
      <c r="M312" s="2347"/>
      <c r="N312" s="3212"/>
      <c r="O312" s="3212"/>
      <c r="P312" s="2347"/>
      <c r="Q312" s="2347" t="s">
        <v>15468</v>
      </c>
    </row>
    <row r="313" spans="1:25">
      <c r="A313" s="2842" t="s">
        <v>1181</v>
      </c>
      <c r="B313" s="2843" t="s">
        <v>6055</v>
      </c>
      <c r="C313" s="2843">
        <v>296838</v>
      </c>
      <c r="D313" s="2844">
        <v>2010021650</v>
      </c>
      <c r="E313" s="2842" t="s">
        <v>1181</v>
      </c>
      <c r="F313" s="2864"/>
      <c r="G313" s="2637"/>
      <c r="H313" s="2638"/>
      <c r="I313" s="2638"/>
      <c r="J313" s="2347"/>
      <c r="K313" s="3212"/>
      <c r="L313" s="3212"/>
      <c r="M313" s="2347" t="s">
        <v>1149</v>
      </c>
      <c r="N313" s="3212"/>
      <c r="O313" s="3212"/>
      <c r="P313" s="2347"/>
      <c r="Q313" s="2347" t="s">
        <v>15469</v>
      </c>
    </row>
    <row r="314" spans="1:25">
      <c r="A314" s="2842" t="s">
        <v>15263</v>
      </c>
      <c r="B314" s="2843">
        <v>861806529</v>
      </c>
      <c r="C314" s="2843">
        <v>674539</v>
      </c>
      <c r="D314" s="2844">
        <v>2011322810</v>
      </c>
      <c r="E314" s="2842" t="s">
        <v>15264</v>
      </c>
      <c r="F314" s="2630"/>
      <c r="G314" s="2637"/>
      <c r="H314" s="2638"/>
      <c r="I314" s="2638"/>
      <c r="J314" s="2347"/>
      <c r="K314" s="2638"/>
      <c r="L314" s="3212"/>
      <c r="M314" s="2347"/>
      <c r="N314" s="3212"/>
      <c r="O314" s="3212"/>
      <c r="P314" s="2347"/>
      <c r="Q314" s="2347" t="s">
        <v>15468</v>
      </c>
    </row>
    <row r="315" spans="1:25">
      <c r="A315" s="3636" t="s">
        <v>15439</v>
      </c>
      <c r="B315" s="2843" t="s">
        <v>15440</v>
      </c>
      <c r="C315" s="2843"/>
      <c r="D315" s="2844">
        <v>2011322901</v>
      </c>
      <c r="E315" s="2842" t="s">
        <v>15441</v>
      </c>
      <c r="F315" s="2630"/>
      <c r="G315" s="2637"/>
      <c r="H315" s="2638"/>
      <c r="I315" s="2638"/>
      <c r="J315" s="2347"/>
      <c r="K315" s="2638"/>
      <c r="L315" s="3212"/>
      <c r="M315" s="2347"/>
      <c r="N315" s="3212"/>
      <c r="O315" s="3212"/>
      <c r="P315" s="2347"/>
      <c r="Q315" s="2347" t="s">
        <v>15468</v>
      </c>
      <c r="R315" s="3634"/>
      <c r="S315" s="3634"/>
      <c r="T315" s="3634"/>
      <c r="U315" s="3634"/>
      <c r="V315" s="3634"/>
      <c r="W315" s="3634"/>
      <c r="X315" s="3634"/>
      <c r="Y315" s="3634"/>
    </row>
    <row r="316" spans="1:25">
      <c r="A316" s="2842" t="s">
        <v>8646</v>
      </c>
      <c r="B316" s="2843" t="s">
        <v>8647</v>
      </c>
      <c r="C316" s="2843">
        <v>551141</v>
      </c>
      <c r="D316" s="2844">
        <v>2010592520</v>
      </c>
      <c r="E316" s="2842" t="s">
        <v>8648</v>
      </c>
      <c r="F316" s="2631"/>
      <c r="G316" s="2637"/>
      <c r="H316" s="2638"/>
      <c r="I316" s="2638"/>
      <c r="J316" s="2347"/>
      <c r="K316" s="2638"/>
      <c r="L316" s="3212"/>
      <c r="M316" s="2347" t="s">
        <v>1149</v>
      </c>
      <c r="N316" s="3212"/>
      <c r="O316" s="3212"/>
      <c r="P316" s="2347"/>
      <c r="Q316" s="2347" t="s">
        <v>15472</v>
      </c>
    </row>
    <row r="317" spans="1:25">
      <c r="A317" s="3656" t="s">
        <v>15527</v>
      </c>
      <c r="B317" s="3504">
        <v>8591107612</v>
      </c>
      <c r="C317" s="3504">
        <v>623617</v>
      </c>
      <c r="D317" s="3505">
        <v>2010592501</v>
      </c>
      <c r="E317" s="3506" t="s">
        <v>15528</v>
      </c>
      <c r="F317" s="2631"/>
      <c r="G317" s="2637"/>
      <c r="H317" s="2638"/>
      <c r="I317" s="2638"/>
      <c r="J317" s="2347"/>
      <c r="K317" s="2638"/>
      <c r="L317" s="3212"/>
      <c r="M317" s="2347"/>
      <c r="N317" s="3212"/>
      <c r="O317" s="3212"/>
      <c r="P317" s="2347"/>
      <c r="Q317" s="2347" t="s">
        <v>15472</v>
      </c>
    </row>
    <row r="318" spans="1:25">
      <c r="A318" s="2842" t="s">
        <v>15265</v>
      </c>
      <c r="B318" s="2843" t="s">
        <v>15266</v>
      </c>
      <c r="C318" s="2843">
        <v>639743</v>
      </c>
      <c r="D318" s="2844">
        <v>2011322600</v>
      </c>
      <c r="E318" s="2842" t="s">
        <v>15267</v>
      </c>
      <c r="F318" s="2630"/>
      <c r="G318" s="2637"/>
      <c r="H318" s="2638"/>
      <c r="I318" s="2638"/>
      <c r="J318" s="2347"/>
      <c r="K318" s="2638"/>
      <c r="L318" s="3212"/>
      <c r="M318" s="2347"/>
      <c r="N318" s="3212"/>
      <c r="O318" s="3212"/>
      <c r="P318" s="2347"/>
      <c r="Q318" s="2347" t="s">
        <v>15468</v>
      </c>
    </row>
    <row r="319" spans="1:25">
      <c r="A319" s="2842" t="s">
        <v>15268</v>
      </c>
      <c r="B319" s="2843" t="s">
        <v>15269</v>
      </c>
      <c r="C319" s="2843">
        <v>639739</v>
      </c>
      <c r="D319" s="2844">
        <v>2011322700</v>
      </c>
      <c r="E319" s="2842" t="s">
        <v>15270</v>
      </c>
      <c r="F319" s="2630"/>
      <c r="G319" s="2637"/>
      <c r="H319" s="2638"/>
      <c r="I319" s="2638"/>
      <c r="J319" s="2347"/>
      <c r="K319" s="2638"/>
      <c r="L319" s="3212"/>
      <c r="M319" s="2347"/>
      <c r="N319" s="3212"/>
      <c r="O319" s="3212"/>
      <c r="P319" s="2347"/>
      <c r="Q319" s="2347" t="s">
        <v>15468</v>
      </c>
    </row>
    <row r="320" spans="1:25" ht="29">
      <c r="A320" s="2842" t="s">
        <v>15271</v>
      </c>
      <c r="B320" s="2843" t="s">
        <v>15272</v>
      </c>
      <c r="C320" s="2843">
        <v>639741</v>
      </c>
      <c r="D320" s="2844">
        <v>2011322800</v>
      </c>
      <c r="E320" s="2842" t="s">
        <v>15273</v>
      </c>
      <c r="F320" s="2630"/>
      <c r="G320" s="2637"/>
      <c r="H320" s="2638"/>
      <c r="I320" s="2638"/>
      <c r="J320" s="2347"/>
      <c r="K320" s="2638"/>
      <c r="L320" s="3212"/>
      <c r="M320" s="2347"/>
      <c r="N320" s="3212"/>
      <c r="O320" s="3212"/>
      <c r="P320" s="2347"/>
      <c r="Q320" s="2347" t="s">
        <v>15468</v>
      </c>
    </row>
    <row r="321" spans="1:17">
      <c r="A321" s="2842" t="s">
        <v>1182</v>
      </c>
      <c r="B321" s="2843">
        <v>859064780</v>
      </c>
      <c r="C321" s="2843">
        <v>481214</v>
      </c>
      <c r="D321" s="2844">
        <v>2010021701</v>
      </c>
      <c r="E321" s="2842" t="s">
        <v>1182</v>
      </c>
      <c r="F321" s="2864"/>
      <c r="G321" s="2637"/>
      <c r="H321" s="2638"/>
      <c r="I321" s="2638"/>
      <c r="J321" s="2347"/>
      <c r="K321" s="3212"/>
      <c r="L321" s="3212"/>
      <c r="M321" s="2347" t="s">
        <v>1149</v>
      </c>
      <c r="N321" s="3212"/>
      <c r="O321" s="3212"/>
      <c r="P321" s="2347"/>
      <c r="Q321" s="2347" t="s">
        <v>15469</v>
      </c>
    </row>
    <row r="322" spans="1:17">
      <c r="A322" s="2842" t="s">
        <v>6283</v>
      </c>
      <c r="B322" s="2843">
        <v>854088325</v>
      </c>
      <c r="C322" s="2843">
        <v>474468</v>
      </c>
      <c r="D322" s="2844">
        <v>2010021510</v>
      </c>
      <c r="E322" s="2842" t="s">
        <v>6088</v>
      </c>
      <c r="F322" s="2864"/>
      <c r="G322" s="2637"/>
      <c r="H322" s="2638"/>
      <c r="I322" s="2638"/>
      <c r="J322" s="2347"/>
      <c r="K322" s="3212"/>
      <c r="L322" s="3212"/>
      <c r="M322" s="2347" t="s">
        <v>1149</v>
      </c>
      <c r="N322" s="3212"/>
      <c r="O322" s="3212"/>
      <c r="P322" s="2347"/>
      <c r="Q322" s="2347" t="s">
        <v>15469</v>
      </c>
    </row>
    <row r="323" spans="1:17" ht="27.65" customHeight="1">
      <c r="A323" s="2842" t="s">
        <v>14335</v>
      </c>
      <c r="B323" s="2843">
        <v>820882343</v>
      </c>
      <c r="C323" s="2843">
        <v>529491</v>
      </c>
      <c r="D323" s="2844">
        <v>2010980021</v>
      </c>
      <c r="E323" s="2842" t="s">
        <v>14336</v>
      </c>
      <c r="F323" s="2864"/>
      <c r="G323" s="2637"/>
      <c r="H323" s="2638"/>
      <c r="I323" s="2638"/>
      <c r="J323" s="2347"/>
      <c r="K323" s="3212"/>
      <c r="L323" s="3212"/>
      <c r="M323" s="2347" t="s">
        <v>1149</v>
      </c>
      <c r="N323" s="3212"/>
      <c r="O323" s="3212"/>
      <c r="P323" s="2347"/>
      <c r="Q323" s="2347" t="s">
        <v>15469</v>
      </c>
    </row>
    <row r="324" spans="1:17">
      <c r="A324" s="2842" t="s">
        <v>14338</v>
      </c>
      <c r="B324" s="2843">
        <v>854092158</v>
      </c>
      <c r="C324" s="2843">
        <v>529520</v>
      </c>
      <c r="D324" s="2844">
        <v>2010021610</v>
      </c>
      <c r="E324" s="2842" t="s">
        <v>14339</v>
      </c>
      <c r="F324" s="2864"/>
      <c r="G324" s="2637"/>
      <c r="H324" s="2638"/>
      <c r="I324" s="2638"/>
      <c r="J324" s="2347"/>
      <c r="K324" s="3212"/>
      <c r="L324" s="3212"/>
      <c r="M324" s="2347" t="s">
        <v>1149</v>
      </c>
      <c r="N324" s="3212"/>
      <c r="O324" s="3212"/>
      <c r="P324" s="2347"/>
      <c r="Q324" s="2347" t="s">
        <v>15469</v>
      </c>
    </row>
    <row r="325" spans="1:17">
      <c r="A325" s="2842" t="s">
        <v>14342</v>
      </c>
      <c r="B325" s="2843">
        <v>854092419</v>
      </c>
      <c r="C325" s="2843">
        <v>529522</v>
      </c>
      <c r="D325" s="2844">
        <v>2010321660</v>
      </c>
      <c r="E325" s="2842" t="s">
        <v>14343</v>
      </c>
      <c r="F325" s="2864"/>
      <c r="G325" s="2637"/>
      <c r="H325" s="2638"/>
      <c r="I325" s="2638"/>
      <c r="J325" s="2347"/>
      <c r="K325" s="3212"/>
      <c r="L325" s="3212"/>
      <c r="M325" s="2347" t="s">
        <v>1149</v>
      </c>
      <c r="N325" s="3212"/>
      <c r="O325" s="3212"/>
      <c r="P325" s="2347"/>
      <c r="Q325" s="2347" t="s">
        <v>15469</v>
      </c>
    </row>
    <row r="326" spans="1:17">
      <c r="A326" s="2842" t="s">
        <v>14328</v>
      </c>
      <c r="B326" s="2843">
        <v>20092431534</v>
      </c>
      <c r="C326" s="2843">
        <v>529486</v>
      </c>
      <c r="D326" s="2844">
        <v>2010521660</v>
      </c>
      <c r="E326" s="2842" t="s">
        <v>14329</v>
      </c>
      <c r="F326" s="2864"/>
      <c r="G326" s="2637"/>
      <c r="H326" s="2638"/>
      <c r="I326" s="2638"/>
      <c r="J326" s="2347"/>
      <c r="K326" s="3212"/>
      <c r="L326" s="3212"/>
      <c r="M326" s="2347" t="s">
        <v>1149</v>
      </c>
      <c r="N326" s="3212"/>
      <c r="O326" s="3212"/>
      <c r="P326" s="2347"/>
      <c r="Q326" s="2347" t="s">
        <v>15469</v>
      </c>
    </row>
    <row r="327" spans="1:17">
      <c r="A327" s="2842" t="s">
        <v>14330</v>
      </c>
      <c r="B327" s="2843">
        <v>820215260</v>
      </c>
      <c r="C327" s="2843">
        <v>532576</v>
      </c>
      <c r="D327" s="2844">
        <v>2010921660</v>
      </c>
      <c r="E327" s="2842" t="s">
        <v>14330</v>
      </c>
      <c r="F327" s="2864"/>
      <c r="G327" s="2637"/>
      <c r="H327" s="2638"/>
      <c r="I327" s="2638"/>
      <c r="J327" s="2347"/>
      <c r="K327" s="3212"/>
      <c r="L327" s="3212"/>
      <c r="M327" s="2347" t="s">
        <v>1149</v>
      </c>
      <c r="N327" s="3212"/>
      <c r="O327" s="3212"/>
      <c r="P327" s="2347"/>
      <c r="Q327" s="2347" t="s">
        <v>15469</v>
      </c>
    </row>
    <row r="328" spans="1:17" ht="13.5" customHeight="1">
      <c r="A328" s="2842" t="s">
        <v>6284</v>
      </c>
      <c r="B328" s="2843">
        <v>5036083578</v>
      </c>
      <c r="C328" s="2843">
        <v>258</v>
      </c>
      <c r="D328" s="2844">
        <v>2010230928</v>
      </c>
      <c r="E328" s="2842" t="s">
        <v>8059</v>
      </c>
      <c r="F328" s="2864"/>
      <c r="G328" s="2637"/>
      <c r="H328" s="2638"/>
      <c r="I328" s="2638"/>
      <c r="J328" s="2347"/>
      <c r="K328" s="3212"/>
      <c r="L328" s="3212"/>
      <c r="M328" s="2347" t="s">
        <v>1149</v>
      </c>
      <c r="N328" s="3212"/>
      <c r="O328" s="3212"/>
      <c r="P328" s="2347"/>
      <c r="Q328" s="2347" t="s">
        <v>15467</v>
      </c>
    </row>
    <row r="329" spans="1:17" ht="13.5" customHeight="1">
      <c r="A329" s="2842" t="s">
        <v>15274</v>
      </c>
      <c r="B329" s="2843">
        <v>2315223156</v>
      </c>
      <c r="C329" s="2843">
        <v>713251</v>
      </c>
      <c r="D329" s="2844">
        <v>2011320010</v>
      </c>
      <c r="E329" s="2842" t="s">
        <v>15275</v>
      </c>
      <c r="F329" s="2630"/>
      <c r="G329" s="2637"/>
      <c r="H329" s="2638"/>
      <c r="I329" s="2638"/>
      <c r="J329" s="2347"/>
      <c r="K329" s="2638"/>
      <c r="L329" s="3212"/>
      <c r="M329" s="2347"/>
      <c r="N329" s="3212"/>
      <c r="O329" s="3212"/>
      <c r="P329" s="2347"/>
      <c r="Q329" s="2347" t="s">
        <v>15468</v>
      </c>
    </row>
    <row r="330" spans="1:17" ht="13.5" customHeight="1">
      <c r="A330" s="2842" t="s">
        <v>1187</v>
      </c>
      <c r="B330" s="2843">
        <v>7530012621</v>
      </c>
      <c r="C330" s="2843">
        <v>162559</v>
      </c>
      <c r="D330" s="2844">
        <v>2010230405</v>
      </c>
      <c r="E330" s="2842" t="s">
        <v>1188</v>
      </c>
      <c r="F330" s="2864"/>
      <c r="G330" s="2637"/>
      <c r="H330" s="2638"/>
      <c r="I330" s="2638"/>
      <c r="J330" s="2347"/>
      <c r="K330" s="3212"/>
      <c r="L330" s="3212"/>
      <c r="M330" s="2347" t="s">
        <v>1149</v>
      </c>
      <c r="N330" s="3212"/>
      <c r="O330" s="3212"/>
      <c r="P330" s="2347"/>
      <c r="Q330" s="2347" t="s">
        <v>15474</v>
      </c>
    </row>
    <row r="331" spans="1:17" ht="13.5" customHeight="1">
      <c r="A331" s="2842" t="s">
        <v>8652</v>
      </c>
      <c r="B331" s="2843" t="s">
        <v>8653</v>
      </c>
      <c r="C331" s="2843">
        <v>530262</v>
      </c>
      <c r="D331" s="2844">
        <v>2010592540</v>
      </c>
      <c r="E331" s="2842" t="s">
        <v>8654</v>
      </c>
      <c r="F331" s="2864"/>
      <c r="G331" s="2637"/>
      <c r="H331" s="2638"/>
      <c r="I331" s="2638"/>
      <c r="J331" s="2347"/>
      <c r="K331" s="3212"/>
      <c r="L331" s="3212"/>
      <c r="M331" s="2347" t="s">
        <v>1149</v>
      </c>
      <c r="N331" s="3212"/>
      <c r="O331" s="3212"/>
      <c r="P331" s="2347"/>
      <c r="Q331" s="2347" t="s">
        <v>15472</v>
      </c>
    </row>
    <row r="332" spans="1:17" ht="58">
      <c r="A332" s="2842" t="s">
        <v>15276</v>
      </c>
      <c r="B332" s="2843">
        <v>3703048393</v>
      </c>
      <c r="C332" s="2843">
        <v>672795</v>
      </c>
      <c r="D332" s="2844">
        <v>2011141000</v>
      </c>
      <c r="E332" s="2842" t="s">
        <v>15277</v>
      </c>
      <c r="F332" s="2630"/>
      <c r="G332" s="2637"/>
      <c r="H332" s="2638"/>
      <c r="I332" s="2638"/>
      <c r="J332" s="2347"/>
      <c r="K332" s="2638"/>
      <c r="L332" s="3212"/>
      <c r="M332" s="2347"/>
      <c r="N332" s="3212"/>
      <c r="O332" s="3212"/>
      <c r="P332" s="2347"/>
      <c r="Q332" s="2347" t="s">
        <v>15471</v>
      </c>
    </row>
    <row r="333" spans="1:17" ht="29">
      <c r="A333" s="2842" t="s">
        <v>15278</v>
      </c>
      <c r="B333" s="2843">
        <v>7817085357</v>
      </c>
      <c r="C333" s="2843">
        <v>697264</v>
      </c>
      <c r="D333" s="2844">
        <v>2011143000</v>
      </c>
      <c r="E333" s="2842" t="s">
        <v>15279</v>
      </c>
      <c r="F333" s="2630"/>
      <c r="G333" s="2637"/>
      <c r="H333" s="2638"/>
      <c r="I333" s="2638"/>
      <c r="J333" s="2347"/>
      <c r="K333" s="2638"/>
      <c r="L333" s="3212"/>
      <c r="M333" s="2347"/>
      <c r="N333" s="3212"/>
      <c r="O333" s="3212"/>
      <c r="P333" s="2347"/>
      <c r="Q333" s="2347" t="s">
        <v>15471</v>
      </c>
    </row>
    <row r="334" spans="1:17" ht="43.5">
      <c r="A334" s="2842" t="s">
        <v>15538</v>
      </c>
      <c r="B334" s="2843">
        <v>7707370545</v>
      </c>
      <c r="C334" s="2843">
        <v>672811</v>
      </c>
      <c r="D334" s="2844">
        <v>2011142000</v>
      </c>
      <c r="E334" s="2842" t="s">
        <v>15280</v>
      </c>
      <c r="F334" s="2630"/>
      <c r="G334" s="2637"/>
      <c r="H334" s="2638"/>
      <c r="I334" s="2638"/>
      <c r="J334" s="2347"/>
      <c r="K334" s="2638"/>
      <c r="L334" s="3212"/>
      <c r="M334" s="2347"/>
      <c r="N334" s="3212"/>
      <c r="O334" s="3212"/>
      <c r="P334" s="2347"/>
      <c r="Q334" s="2347" t="s">
        <v>15471</v>
      </c>
    </row>
    <row r="335" spans="1:17">
      <c r="A335" s="2842" t="s">
        <v>15281</v>
      </c>
      <c r="B335" s="2843">
        <v>2311214577</v>
      </c>
      <c r="C335" s="2843">
        <v>678998</v>
      </c>
      <c r="D335" s="2844">
        <v>2011322270</v>
      </c>
      <c r="E335" s="2842" t="s">
        <v>14768</v>
      </c>
      <c r="F335" s="2630"/>
      <c r="G335" s="2637"/>
      <c r="H335" s="2638"/>
      <c r="I335" s="2638"/>
      <c r="J335" s="2347"/>
      <c r="K335" s="2638"/>
      <c r="L335" s="3212"/>
      <c r="M335" s="2347"/>
      <c r="N335" s="3212"/>
      <c r="O335" s="3212"/>
      <c r="P335" s="2347"/>
      <c r="Q335" s="2347" t="s">
        <v>15468</v>
      </c>
    </row>
    <row r="336" spans="1:17" ht="29">
      <c r="A336" s="2842" t="s">
        <v>1189</v>
      </c>
      <c r="B336" s="2843">
        <v>11003493</v>
      </c>
      <c r="C336" s="2843">
        <v>219343</v>
      </c>
      <c r="D336" s="2844">
        <v>2010590318</v>
      </c>
      <c r="E336" s="2842" t="s">
        <v>1190</v>
      </c>
      <c r="F336" s="2864"/>
      <c r="G336" s="2637"/>
      <c r="H336" s="2638"/>
      <c r="I336" s="2638"/>
      <c r="J336" s="2347"/>
      <c r="K336" s="3212"/>
      <c r="L336" s="3212"/>
      <c r="M336" s="2347" t="s">
        <v>1149</v>
      </c>
      <c r="N336" s="3212"/>
      <c r="O336" s="3212"/>
      <c r="P336" s="2347"/>
      <c r="Q336" s="2347" t="s">
        <v>15472</v>
      </c>
    </row>
    <row r="337" spans="1:17">
      <c r="A337" s="2842" t="s">
        <v>14345</v>
      </c>
      <c r="B337" s="2843">
        <v>7817323763</v>
      </c>
      <c r="C337" s="2843">
        <v>222715</v>
      </c>
      <c r="D337" s="2844">
        <v>2010231022</v>
      </c>
      <c r="E337" s="2842" t="s">
        <v>6826</v>
      </c>
      <c r="F337" s="2864"/>
      <c r="G337" s="2637"/>
      <c r="H337" s="2638"/>
      <c r="I337" s="2638"/>
      <c r="J337" s="2347"/>
      <c r="K337" s="3212"/>
      <c r="L337" s="3212"/>
      <c r="M337" s="2347" t="s">
        <v>1149</v>
      </c>
      <c r="N337" s="3212"/>
      <c r="O337" s="3212"/>
      <c r="P337" s="2347"/>
      <c r="Q337" s="2347" t="s">
        <v>15467</v>
      </c>
    </row>
    <row r="338" spans="1:17">
      <c r="A338" s="3116" t="s">
        <v>14834</v>
      </c>
      <c r="B338" s="3504">
        <v>8706007098</v>
      </c>
      <c r="C338" s="3504">
        <v>711364</v>
      </c>
      <c r="D338" s="3505">
        <v>2010590410</v>
      </c>
      <c r="E338" s="3506" t="s">
        <v>14835</v>
      </c>
      <c r="F338" s="2864"/>
      <c r="G338" s="2637"/>
      <c r="H338" s="2638"/>
      <c r="I338" s="2638"/>
      <c r="J338" s="2347"/>
      <c r="K338" s="3212"/>
      <c r="L338" s="3212"/>
      <c r="M338" s="2347"/>
      <c r="N338" s="3212"/>
      <c r="O338" s="3212"/>
      <c r="P338" s="2347"/>
      <c r="Q338" s="2347" t="s">
        <v>15472</v>
      </c>
    </row>
    <row r="339" spans="1:17">
      <c r="A339" s="2842" t="s">
        <v>8859</v>
      </c>
      <c r="B339" s="2843">
        <v>5213000558</v>
      </c>
      <c r="C339" s="2843">
        <v>253</v>
      </c>
      <c r="D339" s="2844">
        <v>2010020901</v>
      </c>
      <c r="E339" s="2842" t="s">
        <v>8860</v>
      </c>
      <c r="F339" s="2864"/>
      <c r="G339" s="2637"/>
      <c r="H339" s="2638"/>
      <c r="I339" s="2638"/>
      <c r="J339" s="2347"/>
      <c r="K339" s="3212"/>
      <c r="L339" s="3212"/>
      <c r="M339" s="2347" t="s">
        <v>1149</v>
      </c>
      <c r="N339" s="3212"/>
      <c r="O339" s="3212"/>
      <c r="P339" s="2347"/>
      <c r="Q339" s="2347" t="s">
        <v>15474</v>
      </c>
    </row>
    <row r="340" spans="1:17">
      <c r="A340" s="2842" t="s">
        <v>195</v>
      </c>
      <c r="B340" s="2843">
        <v>7705762628</v>
      </c>
      <c r="C340" s="2843">
        <v>154</v>
      </c>
      <c r="D340" s="2844">
        <v>2010450101</v>
      </c>
      <c r="E340" s="2842" t="s">
        <v>6285</v>
      </c>
      <c r="F340" s="2864"/>
      <c r="G340" s="2637"/>
      <c r="H340" s="2638"/>
      <c r="I340" s="2638"/>
      <c r="J340" s="2347"/>
      <c r="K340" s="3212"/>
      <c r="L340" s="3212"/>
      <c r="M340" s="2347" t="s">
        <v>1149</v>
      </c>
      <c r="N340" s="3212"/>
      <c r="O340" s="3212"/>
      <c r="P340" s="2347"/>
      <c r="Q340" s="2347" t="s">
        <v>15475</v>
      </c>
    </row>
    <row r="341" spans="1:17" ht="29">
      <c r="A341" s="2842" t="s">
        <v>15282</v>
      </c>
      <c r="B341" s="2843">
        <v>2508135548</v>
      </c>
      <c r="C341" s="2843">
        <v>0</v>
      </c>
      <c r="D341" s="2844">
        <v>2011304400</v>
      </c>
      <c r="E341" s="2842" t="s">
        <v>15283</v>
      </c>
      <c r="F341" s="2630"/>
      <c r="G341" s="2637"/>
      <c r="H341" s="2638"/>
      <c r="I341" s="2638"/>
      <c r="J341" s="2347"/>
      <c r="K341" s="2638"/>
      <c r="L341" s="3212"/>
      <c r="M341" s="2347"/>
      <c r="N341" s="3212"/>
      <c r="O341" s="3212"/>
      <c r="P341" s="2347"/>
      <c r="Q341" s="2347" t="s">
        <v>15468</v>
      </c>
    </row>
    <row r="342" spans="1:17">
      <c r="A342" s="2842" t="s">
        <v>10016</v>
      </c>
      <c r="B342" s="2843">
        <v>1615015998</v>
      </c>
      <c r="C342" s="2843">
        <v>663925</v>
      </c>
      <c r="D342" s="2844">
        <v>2010598000</v>
      </c>
      <c r="E342" s="2842" t="s">
        <v>10017</v>
      </c>
      <c r="F342" s="2864"/>
      <c r="G342" s="2637"/>
      <c r="H342" s="2638"/>
      <c r="I342" s="2638"/>
      <c r="J342" s="2347"/>
      <c r="K342" s="3212"/>
      <c r="L342" s="3212"/>
      <c r="M342" s="2347" t="s">
        <v>1149</v>
      </c>
      <c r="N342" s="3212"/>
      <c r="O342" s="3212"/>
      <c r="P342" s="2347"/>
      <c r="Q342" s="2347" t="s">
        <v>15472</v>
      </c>
    </row>
    <row r="343" spans="1:17" ht="43.5">
      <c r="A343" s="2842" t="s">
        <v>14657</v>
      </c>
      <c r="B343" s="2843">
        <v>7709848900</v>
      </c>
      <c r="C343" s="2843">
        <v>682664</v>
      </c>
      <c r="D343" s="2844">
        <v>2010592704</v>
      </c>
      <c r="E343" s="2842" t="s">
        <v>14656</v>
      </c>
      <c r="F343" s="2630"/>
      <c r="G343" s="2637"/>
      <c r="H343" s="2638"/>
      <c r="I343" s="2638"/>
      <c r="J343" s="2347"/>
      <c r="K343" s="2638"/>
      <c r="L343" s="3212"/>
      <c r="M343" s="2347" t="s">
        <v>1149</v>
      </c>
      <c r="N343" s="3212"/>
      <c r="O343" s="3212"/>
      <c r="P343" s="2347"/>
      <c r="Q343" s="2347" t="s">
        <v>15472</v>
      </c>
    </row>
    <row r="344" spans="1:17">
      <c r="A344" s="2842" t="s">
        <v>6090</v>
      </c>
      <c r="B344" s="2843">
        <v>6143083535</v>
      </c>
      <c r="C344" s="2843">
        <v>365614</v>
      </c>
      <c r="D344" s="2844">
        <v>2010242651</v>
      </c>
      <c r="E344" s="2842" t="s">
        <v>8060</v>
      </c>
      <c r="F344" s="2864"/>
      <c r="G344" s="2637"/>
      <c r="H344" s="2638"/>
      <c r="I344" s="2638"/>
      <c r="J344" s="2347"/>
      <c r="K344" s="3212"/>
      <c r="L344" s="3212"/>
      <c r="M344" s="2347" t="s">
        <v>1149</v>
      </c>
      <c r="N344" s="3212"/>
      <c r="O344" s="3212"/>
      <c r="P344" s="2347"/>
      <c r="Q344" s="2347" t="s">
        <v>15467</v>
      </c>
    </row>
    <row r="345" spans="1:17">
      <c r="A345" s="2842" t="s">
        <v>1193</v>
      </c>
      <c r="B345" s="2843">
        <v>7705923730</v>
      </c>
      <c r="C345" s="2843">
        <v>179781</v>
      </c>
      <c r="D345" s="2844">
        <v>2010591307</v>
      </c>
      <c r="E345" s="3639" t="s">
        <v>6005</v>
      </c>
      <c r="F345" s="2864"/>
      <c r="G345" s="2637"/>
      <c r="H345" s="2638"/>
      <c r="I345" s="2638"/>
      <c r="J345" s="2347"/>
      <c r="K345" s="3212"/>
      <c r="L345" s="3212"/>
      <c r="M345" s="2347" t="s">
        <v>1149</v>
      </c>
      <c r="N345" s="3212"/>
      <c r="O345" s="3212"/>
      <c r="P345" s="2347"/>
      <c r="Q345" s="2347" t="s">
        <v>15472</v>
      </c>
    </row>
    <row r="346" spans="1:17">
      <c r="A346" s="2842" t="s">
        <v>8542</v>
      </c>
      <c r="B346" s="2843">
        <v>5254491182</v>
      </c>
      <c r="C346" s="2843">
        <v>481853</v>
      </c>
      <c r="D346" s="2844">
        <v>1200000000</v>
      </c>
      <c r="E346" s="2842" t="s">
        <v>8541</v>
      </c>
      <c r="F346" s="2864"/>
      <c r="G346" s="2637"/>
      <c r="H346" s="2638"/>
      <c r="I346" s="2638"/>
      <c r="J346" s="2347"/>
      <c r="K346" s="3212"/>
      <c r="L346" s="3212"/>
      <c r="M346" s="2347" t="s">
        <v>1149</v>
      </c>
      <c r="N346" s="3212"/>
      <c r="O346" s="3212"/>
      <c r="P346" s="2347"/>
      <c r="Q346" s="2347" t="s">
        <v>15470</v>
      </c>
    </row>
    <row r="347" spans="1:17">
      <c r="A347" s="2842" t="s">
        <v>10266</v>
      </c>
      <c r="B347" s="2843">
        <v>2452048467</v>
      </c>
      <c r="C347" s="2843">
        <v>688489</v>
      </c>
      <c r="D347" s="2844">
        <v>1230000000</v>
      </c>
      <c r="E347" s="2842" t="s">
        <v>10267</v>
      </c>
      <c r="F347" s="2864"/>
      <c r="G347" s="2637"/>
      <c r="H347" s="2638"/>
      <c r="I347" s="2638"/>
      <c r="J347" s="2347"/>
      <c r="K347" s="3212"/>
      <c r="L347" s="3212"/>
      <c r="M347" s="2347" t="s">
        <v>1149</v>
      </c>
      <c r="N347" s="3212"/>
      <c r="O347" s="3212"/>
      <c r="P347" s="2347"/>
      <c r="Q347" s="2347" t="s">
        <v>15470</v>
      </c>
    </row>
    <row r="348" spans="1:17">
      <c r="A348" s="2842" t="s">
        <v>10228</v>
      </c>
      <c r="B348" s="2843">
        <v>5838014321</v>
      </c>
      <c r="C348" s="2843"/>
      <c r="D348" s="2844">
        <v>1210000000</v>
      </c>
      <c r="E348" s="2842" t="s">
        <v>10229</v>
      </c>
      <c r="F348" s="2864"/>
      <c r="G348" s="2637"/>
      <c r="H348" s="2638"/>
      <c r="I348" s="2638"/>
      <c r="J348" s="2347"/>
      <c r="K348" s="3212"/>
      <c r="L348" s="3212"/>
      <c r="M348" s="2347" t="s">
        <v>1149</v>
      </c>
      <c r="N348" s="3212"/>
      <c r="O348" s="3212"/>
      <c r="P348" s="2347"/>
      <c r="Q348" s="2347" t="s">
        <v>15470</v>
      </c>
    </row>
    <row r="349" spans="1:17">
      <c r="A349" s="2842" t="s">
        <v>14305</v>
      </c>
      <c r="B349" s="2843">
        <v>6682019450</v>
      </c>
      <c r="C349" s="2843">
        <v>699038</v>
      </c>
      <c r="D349" s="2844">
        <v>1240000000</v>
      </c>
      <c r="E349" s="2842" t="s">
        <v>14306</v>
      </c>
      <c r="F349" s="2864"/>
      <c r="G349" s="2637"/>
      <c r="H349" s="2638"/>
      <c r="I349" s="2638"/>
      <c r="J349" s="2347"/>
      <c r="K349" s="3212"/>
      <c r="L349" s="3212"/>
      <c r="M349" s="2347" t="s">
        <v>1149</v>
      </c>
      <c r="N349" s="3212"/>
      <c r="O349" s="3212"/>
      <c r="P349" s="2347"/>
      <c r="Q349" s="2347" t="s">
        <v>15470</v>
      </c>
    </row>
    <row r="350" spans="1:17">
      <c r="A350" s="2842" t="s">
        <v>10226</v>
      </c>
      <c r="B350" s="2843">
        <v>7024045290</v>
      </c>
      <c r="C350" s="2843"/>
      <c r="D350" s="2844">
        <v>1220000000</v>
      </c>
      <c r="E350" s="2842" t="s">
        <v>10227</v>
      </c>
      <c r="F350" s="2864"/>
      <c r="G350" s="2637"/>
      <c r="H350" s="2638"/>
      <c r="I350" s="2638"/>
      <c r="J350" s="2347"/>
      <c r="K350" s="3212"/>
      <c r="L350" s="3212"/>
      <c r="M350" s="2347" t="s">
        <v>1149</v>
      </c>
      <c r="N350" s="3212"/>
      <c r="O350" s="3212"/>
      <c r="P350" s="2347"/>
      <c r="Q350" s="2347" t="s">
        <v>15470</v>
      </c>
    </row>
    <row r="351" spans="1:17">
      <c r="A351" s="2842" t="s">
        <v>2914</v>
      </c>
      <c r="B351" s="2843">
        <v>6724008446</v>
      </c>
      <c r="C351" s="2843">
        <v>297</v>
      </c>
      <c r="D351" s="2844">
        <v>2010590800</v>
      </c>
      <c r="E351" s="2842" t="s">
        <v>6006</v>
      </c>
      <c r="F351" s="2864"/>
      <c r="G351" s="2637"/>
      <c r="H351" s="2638"/>
      <c r="I351" s="2638"/>
      <c r="J351" s="2347"/>
      <c r="K351" s="3212"/>
      <c r="L351" s="3212"/>
      <c r="M351" s="2347" t="s">
        <v>1149</v>
      </c>
      <c r="N351" s="3212"/>
      <c r="O351" s="3212"/>
      <c r="P351" s="2347"/>
      <c r="Q351" s="2347" t="s">
        <v>15472</v>
      </c>
    </row>
    <row r="352" spans="1:17">
      <c r="A352" s="2842" t="s">
        <v>10018</v>
      </c>
      <c r="B352" s="2843">
        <v>9725039450</v>
      </c>
      <c r="C352" s="2843">
        <v>667289</v>
      </c>
      <c r="D352" s="2844">
        <v>2010591350</v>
      </c>
      <c r="E352" s="2842" t="s">
        <v>10019</v>
      </c>
      <c r="F352" s="2864"/>
      <c r="G352" s="2637"/>
      <c r="H352" s="2638"/>
      <c r="I352" s="2638"/>
      <c r="J352" s="2347"/>
      <c r="K352" s="3212"/>
      <c r="L352" s="3212"/>
      <c r="M352" s="2347" t="s">
        <v>1149</v>
      </c>
      <c r="N352" s="3212"/>
      <c r="O352" s="3212"/>
      <c r="P352" s="2347"/>
      <c r="Q352" s="2347" t="s">
        <v>15472</v>
      </c>
    </row>
    <row r="353" spans="1:17">
      <c r="A353" s="2842" t="s">
        <v>15284</v>
      </c>
      <c r="B353" s="2843">
        <v>7801031451</v>
      </c>
      <c r="C353" s="2843">
        <v>138745</v>
      </c>
      <c r="D353" s="2844">
        <v>2010720001</v>
      </c>
      <c r="E353" s="2842" t="s">
        <v>15285</v>
      </c>
      <c r="F353" s="2630"/>
      <c r="G353" s="2637"/>
      <c r="H353" s="2638"/>
      <c r="I353" s="2638"/>
      <c r="J353" s="2347"/>
      <c r="K353" s="2638"/>
      <c r="L353" s="3212"/>
      <c r="M353" s="2347"/>
      <c r="N353" s="3212"/>
      <c r="O353" s="3212"/>
      <c r="P353" s="2347"/>
      <c r="Q353" s="2347" t="s">
        <v>15467</v>
      </c>
    </row>
    <row r="354" spans="1:17">
      <c r="A354" s="3116" t="s">
        <v>14926</v>
      </c>
      <c r="B354" s="3504">
        <v>2452048964</v>
      </c>
      <c r="C354" s="3504">
        <v>718103</v>
      </c>
      <c r="D354" s="3505">
        <v>3021000000</v>
      </c>
      <c r="E354" s="3506" t="s">
        <v>14927</v>
      </c>
      <c r="F354" s="2864"/>
      <c r="G354" s="2637"/>
      <c r="H354" s="2638"/>
      <c r="I354" s="2638"/>
      <c r="J354" s="2347"/>
      <c r="K354" s="3212"/>
      <c r="L354" s="3212"/>
      <c r="M354" s="2347"/>
      <c r="N354" s="3212"/>
      <c r="O354" s="3212"/>
      <c r="P354" s="2347"/>
      <c r="Q354" s="2347" t="s">
        <v>15482</v>
      </c>
    </row>
    <row r="355" spans="1:17">
      <c r="A355" s="2842" t="s">
        <v>1600</v>
      </c>
      <c r="B355" s="2843">
        <v>6439071143</v>
      </c>
      <c r="C355" s="2843">
        <v>287</v>
      </c>
      <c r="D355" s="2844">
        <v>2010590301</v>
      </c>
      <c r="E355" s="2842" t="s">
        <v>2915</v>
      </c>
      <c r="F355" s="2864"/>
      <c r="G355" s="2637"/>
      <c r="H355" s="2638"/>
      <c r="I355" s="2638"/>
      <c r="J355" s="2347"/>
      <c r="K355" s="3212"/>
      <c r="L355" s="3212"/>
      <c r="M355" s="2347" t="s">
        <v>1149</v>
      </c>
      <c r="N355" s="3212"/>
      <c r="O355" s="3212"/>
      <c r="P355" s="2347"/>
      <c r="Q355" s="2347" t="s">
        <v>15472</v>
      </c>
    </row>
    <row r="356" spans="1:17">
      <c r="A356" s="2842" t="s">
        <v>14230</v>
      </c>
      <c r="B356" s="2843">
        <v>592000975</v>
      </c>
      <c r="C356" s="2843">
        <v>690150</v>
      </c>
      <c r="D356" s="2844">
        <v>2010592203</v>
      </c>
      <c r="E356" s="2842" t="s">
        <v>14231</v>
      </c>
      <c r="F356" s="2864"/>
      <c r="G356" s="2637"/>
      <c r="H356" s="2638"/>
      <c r="I356" s="2638"/>
      <c r="J356" s="2347"/>
      <c r="K356" s="3212"/>
      <c r="L356" s="3212"/>
      <c r="M356" s="2347"/>
      <c r="N356" s="3212"/>
      <c r="O356" s="3212"/>
      <c r="P356" s="2347"/>
      <c r="Q356" s="2347" t="s">
        <v>15468</v>
      </c>
    </row>
    <row r="357" spans="1:17">
      <c r="A357" s="2842" t="s">
        <v>1601</v>
      </c>
      <c r="B357" s="2843">
        <v>6639019528</v>
      </c>
      <c r="C357" s="2843">
        <v>288</v>
      </c>
      <c r="D357" s="2844">
        <v>2010590303</v>
      </c>
      <c r="E357" s="2842" t="s">
        <v>2917</v>
      </c>
      <c r="F357" s="2864"/>
      <c r="G357" s="2637"/>
      <c r="H357" s="2638"/>
      <c r="I357" s="2638"/>
      <c r="J357" s="2347"/>
      <c r="K357" s="3212"/>
      <c r="L357" s="3212"/>
      <c r="M357" s="2347" t="s">
        <v>1149</v>
      </c>
      <c r="N357" s="3212"/>
      <c r="O357" s="3212"/>
      <c r="P357" s="2347"/>
      <c r="Q357" s="2347" t="s">
        <v>15472</v>
      </c>
    </row>
    <row r="358" spans="1:17" ht="29">
      <c r="A358" s="2842" t="s">
        <v>1602</v>
      </c>
      <c r="B358" s="2843">
        <v>2448005630</v>
      </c>
      <c r="C358" s="2843">
        <v>211874</v>
      </c>
      <c r="D358" s="2844">
        <v>2010840010</v>
      </c>
      <c r="E358" s="2842" t="s">
        <v>1603</v>
      </c>
      <c r="F358" s="2864"/>
      <c r="G358" s="2637"/>
      <c r="H358" s="2638"/>
      <c r="I358" s="2638"/>
      <c r="J358" s="2347"/>
      <c r="K358" s="3212"/>
      <c r="L358" s="3212"/>
      <c r="M358" s="2347" t="s">
        <v>1149</v>
      </c>
      <c r="N358" s="3212"/>
      <c r="O358" s="3212"/>
      <c r="P358" s="2347"/>
      <c r="Q358" s="2347" t="s">
        <v>15239</v>
      </c>
    </row>
    <row r="359" spans="1:17">
      <c r="A359" s="3116" t="s">
        <v>14693</v>
      </c>
      <c r="B359" s="3504">
        <v>7817329910</v>
      </c>
      <c r="C359" s="3504">
        <v>385287</v>
      </c>
      <c r="D359" s="3505">
        <v>2010242665</v>
      </c>
      <c r="E359" s="3506" t="s">
        <v>14694</v>
      </c>
      <c r="F359" s="2864"/>
      <c r="G359" s="2637"/>
      <c r="H359" s="2638"/>
      <c r="I359" s="2638"/>
      <c r="J359" s="2347"/>
      <c r="K359" s="3212"/>
      <c r="L359" s="3212"/>
      <c r="M359" s="2347"/>
      <c r="N359" s="3212"/>
      <c r="O359" s="3212"/>
      <c r="P359" s="2347"/>
      <c r="Q359" s="2347" t="s">
        <v>15467</v>
      </c>
    </row>
    <row r="360" spans="1:17">
      <c r="A360" s="2842" t="s">
        <v>1604</v>
      </c>
      <c r="B360" s="2843">
        <v>6143072318</v>
      </c>
      <c r="C360" s="2843">
        <v>127283</v>
      </c>
      <c r="D360" s="2844">
        <v>2010590305</v>
      </c>
      <c r="E360" s="2842" t="s">
        <v>1605</v>
      </c>
      <c r="F360" s="2864"/>
      <c r="G360" s="2637"/>
      <c r="H360" s="2638"/>
      <c r="I360" s="2638"/>
      <c r="J360" s="2347"/>
      <c r="K360" s="3212"/>
      <c r="L360" s="3212"/>
      <c r="M360" s="2347" t="s">
        <v>1149</v>
      </c>
      <c r="N360" s="3212"/>
      <c r="O360" s="3212"/>
      <c r="P360" s="2347"/>
      <c r="Q360" s="2347" t="s">
        <v>15472</v>
      </c>
    </row>
    <row r="361" spans="1:17">
      <c r="A361" s="2842" t="s">
        <v>15106</v>
      </c>
      <c r="B361" s="2843">
        <v>9705174644</v>
      </c>
      <c r="C361" s="2843">
        <v>734229</v>
      </c>
      <c r="D361" s="2844">
        <v>6040000000</v>
      </c>
      <c r="E361" s="2842" t="s">
        <v>15105</v>
      </c>
      <c r="F361" s="2864"/>
      <c r="G361" s="2637"/>
      <c r="H361" s="2638"/>
      <c r="I361" s="2638"/>
      <c r="J361" s="2347"/>
      <c r="K361" s="3212"/>
      <c r="L361" s="3212"/>
      <c r="M361" s="2347"/>
      <c r="N361" s="3212"/>
      <c r="O361" s="3212"/>
      <c r="P361" s="2347"/>
      <c r="Q361" s="2347" t="s">
        <v>15478</v>
      </c>
    </row>
    <row r="362" spans="1:17">
      <c r="A362" s="2842" t="s">
        <v>14307</v>
      </c>
      <c r="B362" s="2843">
        <v>9724061910</v>
      </c>
      <c r="C362" s="2843">
        <v>697168</v>
      </c>
      <c r="D362" s="2844">
        <v>2010900001</v>
      </c>
      <c r="E362" s="2842" t="s">
        <v>14308</v>
      </c>
      <c r="F362" s="2864"/>
      <c r="G362" s="2637"/>
      <c r="H362" s="2638"/>
      <c r="I362" s="2638"/>
      <c r="J362" s="2347"/>
      <c r="K362" s="3212"/>
      <c r="L362" s="3212"/>
      <c r="M362" s="3212" t="s">
        <v>10241</v>
      </c>
      <c r="N362" s="3212" t="s">
        <v>10242</v>
      </c>
      <c r="O362" s="3212"/>
      <c r="P362" s="2347"/>
      <c r="Q362" s="2347" t="s">
        <v>15470</v>
      </c>
    </row>
    <row r="363" spans="1:17" ht="43.5">
      <c r="A363" s="2842" t="s">
        <v>6092</v>
      </c>
      <c r="B363" s="2843">
        <v>1000000001</v>
      </c>
      <c r="C363" s="2843">
        <v>481088</v>
      </c>
      <c r="D363" s="2844">
        <v>1070020000</v>
      </c>
      <c r="E363" s="2842" t="s">
        <v>6820</v>
      </c>
      <c r="F363" s="2864"/>
      <c r="G363" s="2637"/>
      <c r="H363" s="2638"/>
      <c r="I363" s="2638"/>
      <c r="J363" s="2347"/>
      <c r="K363" s="3212"/>
      <c r="L363" s="3212"/>
      <c r="M363" s="2347" t="s">
        <v>1149</v>
      </c>
      <c r="N363" s="3212"/>
      <c r="O363" s="3212"/>
      <c r="P363" s="2347"/>
      <c r="Q363" s="2347" t="s">
        <v>15480</v>
      </c>
    </row>
    <row r="364" spans="1:17">
      <c r="A364" s="2842" t="s">
        <v>1608</v>
      </c>
      <c r="B364" s="2843">
        <v>4506009051</v>
      </c>
      <c r="C364" s="2843">
        <v>153118</v>
      </c>
      <c r="D364" s="2844">
        <v>2010230802</v>
      </c>
      <c r="E364" s="2842" t="s">
        <v>1609</v>
      </c>
      <c r="F364" s="2864"/>
      <c r="G364" s="2637"/>
      <c r="H364" s="2466"/>
      <c r="I364" s="2466"/>
      <c r="J364" s="2347"/>
      <c r="K364" s="3212"/>
      <c r="L364" s="3212"/>
      <c r="M364" s="2347" t="s">
        <v>1149</v>
      </c>
      <c r="N364" s="3212"/>
      <c r="O364" s="3212"/>
      <c r="P364" s="2347"/>
      <c r="Q364" s="2347" t="s">
        <v>15474</v>
      </c>
    </row>
    <row r="365" spans="1:17">
      <c r="A365" s="2842" t="s">
        <v>15286</v>
      </c>
      <c r="B365" s="2843">
        <v>9725071534</v>
      </c>
      <c r="C365" s="2843">
        <v>713392</v>
      </c>
      <c r="D365" s="2844">
        <v>2011308000</v>
      </c>
      <c r="E365" s="2842" t="s">
        <v>15287</v>
      </c>
      <c r="F365" s="2630"/>
      <c r="G365" s="2637"/>
      <c r="H365" s="2638"/>
      <c r="I365" s="2638"/>
      <c r="J365" s="2347"/>
      <c r="K365" s="2638"/>
      <c r="L365" s="3212"/>
      <c r="M365" s="2347"/>
      <c r="N365" s="3212"/>
      <c r="O365" s="3212"/>
      <c r="P365" s="2347"/>
      <c r="Q365" s="2347" t="s">
        <v>15468</v>
      </c>
    </row>
    <row r="366" spans="1:17">
      <c r="A366" s="3116" t="s">
        <v>15194</v>
      </c>
      <c r="B366" s="3504">
        <v>9728072134</v>
      </c>
      <c r="C366" s="3504">
        <v>737542</v>
      </c>
      <c r="D366" s="3505">
        <v>2010592213</v>
      </c>
      <c r="E366" s="3506" t="s">
        <v>15195</v>
      </c>
      <c r="F366" s="2864"/>
      <c r="G366" s="2637"/>
      <c r="H366" s="2466"/>
      <c r="I366" s="2466"/>
      <c r="J366" s="2347"/>
      <c r="K366" s="3212"/>
      <c r="L366" s="3212"/>
      <c r="M366" s="3212" t="s">
        <v>10241</v>
      </c>
      <c r="N366" s="3212" t="s">
        <v>10242</v>
      </c>
      <c r="O366" s="3212"/>
      <c r="P366" s="2347"/>
      <c r="Q366" s="2347" t="s">
        <v>15472</v>
      </c>
    </row>
    <row r="367" spans="1:17">
      <c r="A367" s="2842" t="s">
        <v>15288</v>
      </c>
      <c r="B367" s="2843">
        <v>7706787992</v>
      </c>
      <c r="C367" s="2843">
        <v>639705</v>
      </c>
      <c r="D367" s="2844">
        <v>2011320300</v>
      </c>
      <c r="E367" s="2842" t="s">
        <v>14771</v>
      </c>
      <c r="F367" s="2630"/>
      <c r="G367" s="2637"/>
      <c r="H367" s="2638"/>
      <c r="I367" s="2638"/>
      <c r="J367" s="2347"/>
      <c r="K367" s="2638"/>
      <c r="L367" s="3212"/>
      <c r="M367" s="2347"/>
      <c r="N367" s="3212"/>
      <c r="O367" s="3212"/>
      <c r="P367" s="2347"/>
      <c r="Q367" s="2347" t="s">
        <v>15468</v>
      </c>
    </row>
    <row r="368" spans="1:17" ht="29">
      <c r="A368" s="2842" t="s">
        <v>1610</v>
      </c>
      <c r="B368" s="2843">
        <v>6629027216</v>
      </c>
      <c r="C368" s="2843">
        <v>213663</v>
      </c>
      <c r="D368" s="2844">
        <v>2010800900</v>
      </c>
      <c r="E368" s="2842" t="s">
        <v>1611</v>
      </c>
      <c r="F368" s="2864"/>
      <c r="G368" s="2637"/>
      <c r="H368" s="2638"/>
      <c r="I368" s="2638"/>
      <c r="J368" s="2347"/>
      <c r="K368" s="3212"/>
      <c r="L368" s="3212"/>
      <c r="M368" s="2347" t="s">
        <v>1149</v>
      </c>
      <c r="N368" s="3212"/>
      <c r="O368" s="3212"/>
      <c r="P368" s="2347"/>
      <c r="Q368" s="2347" t="s">
        <v>15239</v>
      </c>
    </row>
    <row r="369" spans="1:17">
      <c r="A369" s="3116" t="s">
        <v>14697</v>
      </c>
      <c r="B369" s="3504">
        <v>7817045594</v>
      </c>
      <c r="C369" s="3504">
        <v>308589</v>
      </c>
      <c r="D369" s="3505">
        <v>2010242666</v>
      </c>
      <c r="E369" s="3506" t="s">
        <v>14698</v>
      </c>
      <c r="F369" s="2629"/>
      <c r="G369" s="2637"/>
      <c r="H369" s="2638"/>
      <c r="I369" s="2638"/>
      <c r="J369" s="2842"/>
      <c r="K369" s="3212"/>
      <c r="L369" s="3212"/>
      <c r="M369" s="2347"/>
      <c r="N369" s="3212"/>
      <c r="O369" s="3212"/>
      <c r="P369" s="2347"/>
      <c r="Q369" s="2347" t="s">
        <v>15467</v>
      </c>
    </row>
    <row r="370" spans="1:17">
      <c r="A370" s="3116" t="s">
        <v>14699</v>
      </c>
      <c r="B370" s="3504">
        <v>7817302964</v>
      </c>
      <c r="C370" s="3504">
        <v>647020</v>
      </c>
      <c r="D370" s="3505">
        <v>1150000066</v>
      </c>
      <c r="E370" s="3506" t="s">
        <v>14700</v>
      </c>
      <c r="F370" s="2629"/>
      <c r="G370" s="2637"/>
      <c r="H370" s="2638"/>
      <c r="I370" s="2638"/>
      <c r="J370" s="2842"/>
      <c r="K370" s="3212"/>
      <c r="L370" s="3212"/>
      <c r="M370" s="2347"/>
      <c r="N370" s="3212"/>
      <c r="O370" s="3212"/>
      <c r="P370" s="2347"/>
      <c r="Q370" s="2347" t="s">
        <v>15467</v>
      </c>
    </row>
    <row r="371" spans="1:17">
      <c r="A371" s="2842" t="s">
        <v>2921</v>
      </c>
      <c r="B371" s="2843">
        <v>6672219595</v>
      </c>
      <c r="C371" s="2843">
        <v>256</v>
      </c>
      <c r="D371" s="2844">
        <v>2010070000</v>
      </c>
      <c r="E371" s="2842" t="s">
        <v>7667</v>
      </c>
      <c r="F371" s="2864"/>
      <c r="G371" s="2637"/>
      <c r="H371" s="2638"/>
      <c r="I371" s="2638"/>
      <c r="J371" s="2347"/>
      <c r="K371" s="3212"/>
      <c r="L371" s="3212"/>
      <c r="M371" s="2347" t="s">
        <v>1149</v>
      </c>
      <c r="N371" s="3212"/>
      <c r="O371" s="3212"/>
      <c r="P371" s="2347"/>
      <c r="Q371" s="2347" t="s">
        <v>15471</v>
      </c>
    </row>
    <row r="372" spans="1:17">
      <c r="A372" s="2842" t="s">
        <v>2922</v>
      </c>
      <c r="B372" s="2843">
        <v>101553117</v>
      </c>
      <c r="C372" s="2843">
        <v>161</v>
      </c>
      <c r="D372" s="2844">
        <v>2010480300</v>
      </c>
      <c r="E372" s="2842" t="s">
        <v>8061</v>
      </c>
      <c r="F372" s="2629"/>
      <c r="G372" s="2637"/>
      <c r="H372" s="2638"/>
      <c r="I372" s="2638"/>
      <c r="J372" s="2842"/>
      <c r="K372" s="3212"/>
      <c r="L372" s="3212"/>
      <c r="M372" s="2347" t="s">
        <v>1149</v>
      </c>
      <c r="N372" s="3212"/>
      <c r="O372" s="3212"/>
      <c r="P372" s="2347"/>
      <c r="Q372" s="2347" t="s">
        <v>2547</v>
      </c>
    </row>
    <row r="373" spans="1:17" ht="29">
      <c r="A373" s="2842" t="s">
        <v>1612</v>
      </c>
      <c r="B373" s="2843">
        <v>7704670879</v>
      </c>
      <c r="C373" s="2843">
        <v>155680</v>
      </c>
      <c r="D373" s="2844">
        <v>2010590400</v>
      </c>
      <c r="E373" s="2842" t="s">
        <v>6008</v>
      </c>
      <c r="F373" s="2864"/>
      <c r="G373" s="2637"/>
      <c r="H373" s="2638"/>
      <c r="I373" s="2638"/>
      <c r="J373" s="2347" t="s">
        <v>5435</v>
      </c>
      <c r="K373" s="3212"/>
      <c r="L373" s="3212"/>
      <c r="M373" s="2347" t="s">
        <v>1149</v>
      </c>
      <c r="N373" s="3212"/>
      <c r="O373" s="3212"/>
      <c r="P373" s="2347"/>
      <c r="Q373" s="2347" t="s">
        <v>15472</v>
      </c>
    </row>
    <row r="374" spans="1:17">
      <c r="A374" s="3116" t="s">
        <v>14701</v>
      </c>
      <c r="B374" s="3504">
        <v>7801374219</v>
      </c>
      <c r="C374" s="3504">
        <v>704512</v>
      </c>
      <c r="D374" s="3505">
        <v>2010242661</v>
      </c>
      <c r="E374" s="3506" t="s">
        <v>14702</v>
      </c>
      <c r="F374" s="2629"/>
      <c r="G374" s="2637"/>
      <c r="H374" s="2638"/>
      <c r="I374" s="2638"/>
      <c r="J374" s="2842"/>
      <c r="K374" s="3212"/>
      <c r="L374" s="3212"/>
      <c r="M374" s="2347"/>
      <c r="N374" s="3212"/>
      <c r="O374" s="3212"/>
      <c r="P374" s="2347"/>
      <c r="Q374" s="2347" t="s">
        <v>15467</v>
      </c>
    </row>
    <row r="375" spans="1:17">
      <c r="A375" s="2842" t="s">
        <v>10230</v>
      </c>
      <c r="B375" s="2843">
        <v>9724042820</v>
      </c>
      <c r="C375" s="2843">
        <v>676649</v>
      </c>
      <c r="D375" s="2844">
        <v>1191000000</v>
      </c>
      <c r="E375" s="2842" t="s">
        <v>10231</v>
      </c>
      <c r="F375" s="2864"/>
      <c r="G375" s="2637"/>
      <c r="H375" s="2638"/>
      <c r="I375" s="2638"/>
      <c r="J375" s="2347"/>
      <c r="K375" s="3212"/>
      <c r="L375" s="3212"/>
      <c r="M375" s="3212" t="s">
        <v>10241</v>
      </c>
      <c r="N375" s="3212" t="s">
        <v>10242</v>
      </c>
      <c r="O375" s="3212"/>
      <c r="P375" s="2347"/>
      <c r="Q375" s="2347" t="s">
        <v>15468</v>
      </c>
    </row>
    <row r="376" spans="1:17">
      <c r="A376" s="3116" t="s">
        <v>14703</v>
      </c>
      <c r="B376" s="3504">
        <v>7817047256</v>
      </c>
      <c r="C376" s="3504">
        <v>106407</v>
      </c>
      <c r="D376" s="3505">
        <v>2010242664</v>
      </c>
      <c r="E376" s="3506" t="s">
        <v>14704</v>
      </c>
      <c r="F376" s="2629"/>
      <c r="G376" s="2637"/>
      <c r="H376" s="2638"/>
      <c r="I376" s="2638"/>
      <c r="J376" s="2842"/>
      <c r="K376" s="3212"/>
      <c r="L376" s="3212"/>
      <c r="M376" s="2347"/>
      <c r="N376" s="3212"/>
      <c r="O376" s="3212"/>
      <c r="P376" s="2347"/>
      <c r="Q376" s="2347" t="s">
        <v>15467</v>
      </c>
    </row>
    <row r="377" spans="1:17">
      <c r="A377" s="2842" t="s">
        <v>14232</v>
      </c>
      <c r="B377" s="2843">
        <v>9722006872</v>
      </c>
      <c r="C377" s="2843">
        <v>691973</v>
      </c>
      <c r="D377" s="2844">
        <v>2011600000</v>
      </c>
      <c r="E377" s="2842" t="s">
        <v>14233</v>
      </c>
      <c r="F377" s="2864"/>
      <c r="G377" s="2637"/>
      <c r="H377" s="2638"/>
      <c r="I377" s="2638"/>
      <c r="J377" s="2347"/>
      <c r="K377" s="3212"/>
      <c r="L377" s="3212"/>
      <c r="M377" s="3212" t="s">
        <v>10241</v>
      </c>
      <c r="N377" s="3212" t="s">
        <v>10242</v>
      </c>
      <c r="O377" s="3212"/>
      <c r="P377" s="2347"/>
      <c r="Q377" s="2347" t="s">
        <v>15480</v>
      </c>
    </row>
    <row r="378" spans="1:17">
      <c r="A378" s="2842" t="s">
        <v>2923</v>
      </c>
      <c r="B378" s="2843">
        <v>5213004023</v>
      </c>
      <c r="C378" s="2843">
        <v>25</v>
      </c>
      <c r="D378" s="2844">
        <v>2010020900</v>
      </c>
      <c r="E378" s="2842" t="s">
        <v>5361</v>
      </c>
      <c r="F378" s="2864"/>
      <c r="G378" s="2637"/>
      <c r="H378" s="2638"/>
      <c r="I378" s="2638"/>
      <c r="J378" s="2347"/>
      <c r="K378" s="3212"/>
      <c r="L378" s="3212"/>
      <c r="M378" s="2347" t="s">
        <v>1149</v>
      </c>
      <c r="N378" s="3212"/>
      <c r="O378" s="3212"/>
      <c r="P378" s="2347"/>
      <c r="Q378" s="2347" t="s">
        <v>15474</v>
      </c>
    </row>
    <row r="379" spans="1:17">
      <c r="A379" s="2842" t="s">
        <v>14337</v>
      </c>
      <c r="B379" s="2843"/>
      <c r="C379" s="2843">
        <v>154783</v>
      </c>
      <c r="D379" s="2844">
        <v>2010980022</v>
      </c>
      <c r="E379" s="2842" t="s">
        <v>6785</v>
      </c>
      <c r="F379" s="2864"/>
      <c r="G379" s="2637"/>
      <c r="H379" s="2638"/>
      <c r="I379" s="2638"/>
      <c r="J379" s="2347"/>
      <c r="K379" s="3212"/>
      <c r="L379" s="3212"/>
      <c r="M379" s="2347" t="s">
        <v>1149</v>
      </c>
      <c r="N379" s="3212"/>
      <c r="O379" s="3212"/>
      <c r="P379" s="2347"/>
      <c r="Q379" s="2347" t="s">
        <v>15469</v>
      </c>
    </row>
    <row r="380" spans="1:17">
      <c r="A380" s="2842" t="s">
        <v>1615</v>
      </c>
      <c r="B380" s="2843">
        <v>6916015990</v>
      </c>
      <c r="C380" s="2843">
        <v>132232</v>
      </c>
      <c r="D380" s="2844">
        <v>2010590306</v>
      </c>
      <c r="E380" s="2842" t="s">
        <v>1616</v>
      </c>
      <c r="F380" s="2864"/>
      <c r="G380" s="2637"/>
      <c r="H380" s="2638"/>
      <c r="I380" s="2638"/>
      <c r="J380" s="2347"/>
      <c r="K380" s="3212"/>
      <c r="L380" s="3212"/>
      <c r="M380" s="2347" t="s">
        <v>1149</v>
      </c>
      <c r="N380" s="3212"/>
      <c r="O380" s="3212"/>
      <c r="P380" s="2347"/>
      <c r="Q380" s="2347" t="s">
        <v>15472</v>
      </c>
    </row>
    <row r="381" spans="1:17" ht="43.5">
      <c r="A381" s="2842" t="s">
        <v>2926</v>
      </c>
      <c r="B381" s="2843">
        <v>110106102189908</v>
      </c>
      <c r="C381" s="2843">
        <v>306003</v>
      </c>
      <c r="D381" s="2844">
        <v>2010480200</v>
      </c>
      <c r="E381" s="2842" t="s">
        <v>8063</v>
      </c>
      <c r="F381" s="2864"/>
      <c r="G381" s="2637"/>
      <c r="H381" s="2638"/>
      <c r="I381" s="2638"/>
      <c r="J381" s="2347"/>
      <c r="K381" s="3212"/>
      <c r="L381" s="3212"/>
      <c r="M381" s="2347" t="s">
        <v>1149</v>
      </c>
      <c r="N381" s="3212"/>
      <c r="O381" s="3212"/>
      <c r="P381" s="2347"/>
      <c r="Q381" s="2347" t="s">
        <v>2547</v>
      </c>
    </row>
    <row r="382" spans="1:17" ht="29">
      <c r="A382" s="2842" t="s">
        <v>14333</v>
      </c>
      <c r="B382" s="2843"/>
      <c r="C382" s="3637">
        <v>529518</v>
      </c>
      <c r="D382" s="2844">
        <v>2011221661</v>
      </c>
      <c r="E382" s="2842" t="s">
        <v>14334</v>
      </c>
      <c r="F382" s="2864"/>
      <c r="G382" s="2637"/>
      <c r="H382" s="2638"/>
      <c r="I382" s="2638"/>
      <c r="J382" s="2347"/>
      <c r="K382" s="3212"/>
      <c r="L382" s="3212"/>
      <c r="M382" s="2347" t="s">
        <v>1149</v>
      </c>
      <c r="N382" s="3212"/>
      <c r="O382" s="3212"/>
      <c r="P382" s="2347"/>
      <c r="Q382" s="2347" t="s">
        <v>15469</v>
      </c>
    </row>
    <row r="383" spans="1:17">
      <c r="A383" s="2842" t="s">
        <v>415</v>
      </c>
      <c r="B383" s="2843">
        <v>3305709037</v>
      </c>
      <c r="C383" s="2843">
        <v>172959</v>
      </c>
      <c r="D383" s="2844">
        <v>2010240700</v>
      </c>
      <c r="E383" s="2842" t="s">
        <v>6014</v>
      </c>
      <c r="F383" s="2864"/>
      <c r="G383" s="2637"/>
      <c r="H383" s="2638"/>
      <c r="I383" s="2638"/>
      <c r="J383" s="2347"/>
      <c r="K383" s="3212"/>
      <c r="L383" s="3212"/>
      <c r="M383" s="2347" t="s">
        <v>1149</v>
      </c>
      <c r="N383" s="3212"/>
      <c r="O383" s="3212"/>
      <c r="P383" s="2347"/>
      <c r="Q383" s="2347" t="s">
        <v>15239</v>
      </c>
    </row>
    <row r="384" spans="1:17">
      <c r="A384" s="2842" t="s">
        <v>1619</v>
      </c>
      <c r="B384" s="2843">
        <v>5117065288</v>
      </c>
      <c r="C384" s="2843">
        <v>290</v>
      </c>
      <c r="D384" s="2844">
        <v>2010590307</v>
      </c>
      <c r="E384" s="2842" t="s">
        <v>2927</v>
      </c>
      <c r="F384" s="2629"/>
      <c r="G384" s="2637"/>
      <c r="H384" s="2638"/>
      <c r="I384" s="2638"/>
      <c r="J384" s="2347"/>
      <c r="K384" s="3212"/>
      <c r="L384" s="3212"/>
      <c r="M384" s="2347" t="s">
        <v>1149</v>
      </c>
      <c r="N384" s="3212"/>
      <c r="O384" s="3212"/>
      <c r="P384" s="2347"/>
      <c r="Q384" s="2347" t="s">
        <v>15472</v>
      </c>
    </row>
    <row r="385" spans="1:25">
      <c r="A385" s="2842" t="s">
        <v>8640</v>
      </c>
      <c r="B385" s="2843">
        <v>7709474187</v>
      </c>
      <c r="C385" s="2843">
        <v>574076</v>
      </c>
      <c r="D385" s="2844">
        <v>2010592800</v>
      </c>
      <c r="E385" s="2842" t="s">
        <v>8641</v>
      </c>
      <c r="F385" s="2864"/>
      <c r="G385" s="2637"/>
      <c r="H385" s="2638"/>
      <c r="I385" s="2638"/>
      <c r="J385" s="2347"/>
      <c r="K385" s="3212"/>
      <c r="L385" s="3212"/>
      <c r="M385" s="2347" t="s">
        <v>1149</v>
      </c>
      <c r="N385" s="3212"/>
      <c r="O385" s="3212"/>
      <c r="P385" s="2347"/>
      <c r="Q385" s="2347" t="s">
        <v>15470</v>
      </c>
    </row>
    <row r="386" spans="1:25" ht="29">
      <c r="A386" s="2842" t="s">
        <v>9925</v>
      </c>
      <c r="B386" s="2843">
        <v>9723099118</v>
      </c>
      <c r="C386" s="2843">
        <v>646624</v>
      </c>
      <c r="D386" s="2844">
        <v>2010252200</v>
      </c>
      <c r="E386" s="2842" t="s">
        <v>9926</v>
      </c>
      <c r="F386" s="2864"/>
      <c r="G386" s="2637"/>
      <c r="H386" s="2638"/>
      <c r="I386" s="2638"/>
      <c r="J386" s="2347"/>
      <c r="K386" s="3212"/>
      <c r="L386" s="3212"/>
      <c r="M386" s="2347" t="s">
        <v>1149</v>
      </c>
      <c r="N386" s="3212"/>
      <c r="O386" s="3212"/>
      <c r="P386" s="2347"/>
      <c r="Q386" s="2347" t="s">
        <v>15473</v>
      </c>
    </row>
    <row r="387" spans="1:25" ht="29">
      <c r="A387" s="3653" t="s">
        <v>15510</v>
      </c>
      <c r="B387" s="2843"/>
      <c r="C387" s="2843">
        <v>753166</v>
      </c>
      <c r="D387" s="2844">
        <v>2010244500</v>
      </c>
      <c r="E387" s="2842" t="s">
        <v>15511</v>
      </c>
      <c r="F387" s="2630"/>
      <c r="G387" s="2637"/>
      <c r="H387" s="2638"/>
      <c r="I387" s="2638"/>
      <c r="J387" s="2347"/>
      <c r="K387" s="2638"/>
      <c r="L387" s="3212"/>
      <c r="M387" s="2347"/>
      <c r="N387" s="3212"/>
      <c r="O387" s="3212"/>
      <c r="P387" s="2347"/>
      <c r="Q387" s="2347" t="s">
        <v>15473</v>
      </c>
      <c r="R387" s="3634"/>
      <c r="S387" s="3634"/>
      <c r="T387" s="3634"/>
      <c r="U387" s="3634"/>
      <c r="V387" s="3634"/>
      <c r="W387" s="3634"/>
      <c r="X387" s="3634"/>
      <c r="Y387" s="3634"/>
    </row>
    <row r="388" spans="1:25" ht="29">
      <c r="A388" s="2842" t="s">
        <v>6093</v>
      </c>
      <c r="B388" s="2843">
        <v>5254482357</v>
      </c>
      <c r="C388" s="2843">
        <v>203903</v>
      </c>
      <c r="D388" s="2844">
        <v>1150040000</v>
      </c>
      <c r="E388" s="2842" t="s">
        <v>6094</v>
      </c>
      <c r="F388" s="2864"/>
      <c r="G388" s="2637"/>
      <c r="H388" s="2638"/>
      <c r="I388" s="2638"/>
      <c r="J388" s="2347"/>
      <c r="K388" s="3212"/>
      <c r="L388" s="3212"/>
      <c r="M388" s="2347" t="s">
        <v>1149</v>
      </c>
      <c r="N388" s="3212"/>
      <c r="O388" s="3212"/>
      <c r="P388" s="2347"/>
      <c r="Q388" s="2347" t="s">
        <v>15480</v>
      </c>
    </row>
    <row r="389" spans="1:25">
      <c r="A389" s="2842" t="s">
        <v>1622</v>
      </c>
      <c r="B389" s="2843">
        <v>4634010454</v>
      </c>
      <c r="C389" s="2843">
        <v>291</v>
      </c>
      <c r="D389" s="2844">
        <v>2010590308</v>
      </c>
      <c r="E389" s="2842" t="s">
        <v>1623</v>
      </c>
      <c r="F389" s="2864"/>
      <c r="G389" s="2637"/>
      <c r="H389" s="2638"/>
      <c r="I389" s="2638"/>
      <c r="J389" s="2347"/>
      <c r="K389" s="3212"/>
      <c r="L389" s="3212"/>
      <c r="M389" s="2347" t="s">
        <v>1149</v>
      </c>
      <c r="N389" s="3212"/>
      <c r="O389" s="3212"/>
      <c r="P389" s="2347"/>
      <c r="Q389" s="2347" t="s">
        <v>15472</v>
      </c>
    </row>
    <row r="390" spans="1:25">
      <c r="A390" s="3636" t="s">
        <v>15442</v>
      </c>
      <c r="B390" s="2843"/>
      <c r="C390" s="2843" t="s">
        <v>15443</v>
      </c>
      <c r="D390" s="2844">
        <v>2010020122</v>
      </c>
      <c r="E390" s="2842" t="s">
        <v>15444</v>
      </c>
      <c r="F390" s="2630"/>
      <c r="G390" s="2637"/>
      <c r="H390" s="2638"/>
      <c r="I390" s="2638"/>
      <c r="J390" s="2347"/>
      <c r="K390" s="2638"/>
      <c r="L390" s="3212"/>
      <c r="M390" s="2347"/>
      <c r="N390" s="3212"/>
      <c r="O390" s="3212"/>
      <c r="P390" s="2347"/>
      <c r="Q390" s="2347">
        <v>0</v>
      </c>
      <c r="R390" s="3634"/>
      <c r="S390" s="3634"/>
      <c r="T390" s="3634"/>
      <c r="U390" s="3634"/>
      <c r="V390" s="3634"/>
      <c r="W390" s="3634"/>
      <c r="X390" s="3634"/>
      <c r="Y390" s="3634"/>
    </row>
    <row r="391" spans="1:25">
      <c r="A391" s="2842" t="s">
        <v>2931</v>
      </c>
      <c r="B391" s="2843">
        <v>4714023385</v>
      </c>
      <c r="C391" s="2843">
        <v>292</v>
      </c>
      <c r="D391" s="2844">
        <v>2010590309</v>
      </c>
      <c r="E391" s="2842" t="s">
        <v>3918</v>
      </c>
      <c r="F391" s="2864"/>
      <c r="G391" s="2637"/>
      <c r="H391" s="2466"/>
      <c r="I391" s="2466"/>
      <c r="J391" s="2347"/>
      <c r="K391" s="3212"/>
      <c r="L391" s="3212"/>
      <c r="M391" s="2347" t="s">
        <v>1149</v>
      </c>
      <c r="N391" s="3212"/>
      <c r="O391" s="3212"/>
      <c r="P391" s="2347"/>
      <c r="Q391" s="2347" t="s">
        <v>15472</v>
      </c>
    </row>
    <row r="392" spans="1:25" ht="43.5">
      <c r="A392" s="2842" t="s">
        <v>8777</v>
      </c>
      <c r="B392" s="2843">
        <v>7726447190</v>
      </c>
      <c r="C392" s="2843">
        <v>586821</v>
      </c>
      <c r="D392" s="2844">
        <v>2011000002</v>
      </c>
      <c r="E392" s="2842" t="s">
        <v>8776</v>
      </c>
      <c r="F392" s="2864"/>
      <c r="G392" s="2637"/>
      <c r="H392" s="2638"/>
      <c r="I392" s="2638"/>
      <c r="J392" s="2347"/>
      <c r="K392" s="3212"/>
      <c r="L392" s="3212"/>
      <c r="M392" s="3212" t="s">
        <v>10241</v>
      </c>
      <c r="N392" s="3212" t="s">
        <v>10242</v>
      </c>
      <c r="O392" s="3212"/>
      <c r="P392" s="2347"/>
      <c r="Q392" s="2347" t="s">
        <v>15470</v>
      </c>
    </row>
    <row r="393" spans="1:25">
      <c r="A393" s="2842" t="s">
        <v>15289</v>
      </c>
      <c r="B393" s="2843">
        <v>7820038445</v>
      </c>
      <c r="C393" s="2843">
        <v>431317</v>
      </c>
      <c r="D393" s="2844">
        <v>2011322500</v>
      </c>
      <c r="E393" s="2842" t="s">
        <v>14746</v>
      </c>
      <c r="F393" s="2630"/>
      <c r="G393" s="2637"/>
      <c r="H393" s="2638"/>
      <c r="I393" s="2638"/>
      <c r="J393" s="2347"/>
      <c r="K393" s="2638"/>
      <c r="L393" s="3212"/>
      <c r="M393" s="2347"/>
      <c r="N393" s="3212"/>
      <c r="O393" s="3212"/>
      <c r="P393" s="2347"/>
      <c r="Q393" s="2347" t="s">
        <v>15468</v>
      </c>
    </row>
    <row r="394" spans="1:25">
      <c r="A394" s="2842" t="s">
        <v>15539</v>
      </c>
      <c r="B394" s="2843">
        <v>7813173683</v>
      </c>
      <c r="C394" s="2843">
        <v>679329</v>
      </c>
      <c r="D394" s="2844">
        <v>2011306350</v>
      </c>
      <c r="E394" s="2842" t="s">
        <v>15290</v>
      </c>
      <c r="F394" s="2630"/>
      <c r="G394" s="2865"/>
      <c r="H394" s="2638"/>
      <c r="I394" s="2638"/>
      <c r="J394" s="2347"/>
      <c r="K394" s="2638"/>
      <c r="L394" s="3212"/>
      <c r="M394" s="2347"/>
      <c r="N394" s="3212"/>
      <c r="O394" s="3212"/>
      <c r="P394" s="2347"/>
      <c r="Q394" s="2347" t="s">
        <v>15468</v>
      </c>
    </row>
    <row r="395" spans="1:25">
      <c r="A395" s="2842" t="s">
        <v>3920</v>
      </c>
      <c r="B395" s="2843">
        <v>1402046871</v>
      </c>
      <c r="C395" s="2843">
        <v>22</v>
      </c>
      <c r="D395" s="2844">
        <v>2010020500</v>
      </c>
      <c r="E395" s="2842" t="s">
        <v>6011</v>
      </c>
      <c r="F395" s="2864"/>
      <c r="G395" s="2637"/>
      <c r="H395" s="2638"/>
      <c r="I395" s="2638"/>
      <c r="J395" s="2347"/>
      <c r="K395" s="3212"/>
      <c r="L395" s="3212"/>
      <c r="M395" s="2347" t="s">
        <v>1149</v>
      </c>
      <c r="N395" s="3212"/>
      <c r="O395" s="3212"/>
      <c r="P395" s="2347"/>
      <c r="Q395" s="2347" t="s">
        <v>15474</v>
      </c>
    </row>
    <row r="396" spans="1:25" ht="29">
      <c r="A396" s="2842" t="s">
        <v>15291</v>
      </c>
      <c r="B396" s="2843">
        <v>5074002308</v>
      </c>
      <c r="C396" s="2843">
        <v>679001</v>
      </c>
      <c r="D396" s="2844">
        <v>2011322230</v>
      </c>
      <c r="E396" s="2842" t="s">
        <v>14750</v>
      </c>
      <c r="F396" s="2630"/>
      <c r="G396" s="2637"/>
      <c r="H396" s="2638"/>
      <c r="I396" s="2638"/>
      <c r="J396" s="2347"/>
      <c r="K396" s="2638"/>
      <c r="L396" s="3212"/>
      <c r="M396" s="2347"/>
      <c r="N396" s="3212"/>
      <c r="O396" s="3212"/>
      <c r="P396" s="2347"/>
      <c r="Q396" s="2347" t="s">
        <v>15468</v>
      </c>
    </row>
    <row r="397" spans="1:25">
      <c r="A397" s="2842" t="s">
        <v>15540</v>
      </c>
      <c r="B397" s="2843">
        <v>7818008549</v>
      </c>
      <c r="C397" s="2843">
        <v>679321</v>
      </c>
      <c r="D397" s="2844">
        <v>2011000229</v>
      </c>
      <c r="E397" s="2842" t="s">
        <v>15292</v>
      </c>
      <c r="F397" s="2630"/>
      <c r="G397" s="2637"/>
      <c r="H397" s="2638"/>
      <c r="I397" s="2638"/>
      <c r="J397" s="2347"/>
      <c r="K397" s="2638"/>
      <c r="L397" s="3212"/>
      <c r="M397" s="2347"/>
      <c r="N397" s="3212"/>
      <c r="O397" s="3212"/>
      <c r="P397" s="2347"/>
      <c r="Q397" s="2347" t="s">
        <v>15468</v>
      </c>
    </row>
    <row r="398" spans="1:25" ht="29">
      <c r="A398" s="2842" t="s">
        <v>6095</v>
      </c>
      <c r="B398" s="2843">
        <v>6143057983</v>
      </c>
      <c r="C398" s="2843">
        <v>184628</v>
      </c>
      <c r="D398" s="2844">
        <v>2010242650</v>
      </c>
      <c r="E398" s="2842" t="s">
        <v>8064</v>
      </c>
      <c r="F398" s="2629"/>
      <c r="G398" s="2637"/>
      <c r="H398" s="2638"/>
      <c r="I398" s="2638"/>
      <c r="J398" s="2347"/>
      <c r="K398" s="3212"/>
      <c r="L398" s="3212"/>
      <c r="M398" s="2347" t="s">
        <v>1149</v>
      </c>
      <c r="N398" s="3212"/>
      <c r="O398" s="3212"/>
      <c r="P398" s="2347"/>
      <c r="Q398" s="2347" t="s">
        <v>15467</v>
      </c>
    </row>
    <row r="399" spans="1:25">
      <c r="A399" s="2842" t="s">
        <v>15293</v>
      </c>
      <c r="B399" s="2843" t="s">
        <v>15294</v>
      </c>
      <c r="C399" s="2843">
        <v>736901</v>
      </c>
      <c r="D399" s="2844">
        <v>2011306320</v>
      </c>
      <c r="E399" s="2842" t="s">
        <v>15295</v>
      </c>
      <c r="F399" s="2630"/>
      <c r="G399" s="2637"/>
      <c r="H399" s="2638"/>
      <c r="I399" s="2638"/>
      <c r="J399" s="2347"/>
      <c r="K399" s="2638"/>
      <c r="L399" s="3212"/>
      <c r="M399" s="2347"/>
      <c r="N399" s="3212"/>
      <c r="O399" s="3212"/>
      <c r="P399" s="2347"/>
      <c r="Q399" s="2347" t="s">
        <v>15468</v>
      </c>
    </row>
    <row r="400" spans="1:25">
      <c r="A400" s="2842" t="s">
        <v>15296</v>
      </c>
      <c r="B400" s="2843" t="s">
        <v>15297</v>
      </c>
      <c r="C400" s="2843">
        <v>735896</v>
      </c>
      <c r="D400" s="2844">
        <v>2011306310</v>
      </c>
      <c r="E400" s="2842" t="s">
        <v>15298</v>
      </c>
      <c r="F400" s="2630"/>
      <c r="G400" s="2637"/>
      <c r="H400" s="2638"/>
      <c r="I400" s="2638"/>
      <c r="J400" s="2347"/>
      <c r="K400" s="2638"/>
      <c r="L400" s="3212"/>
      <c r="M400" s="2347"/>
      <c r="N400" s="3212"/>
      <c r="O400" s="3212"/>
      <c r="P400" s="2347"/>
      <c r="Q400" s="2347" t="s">
        <v>15468</v>
      </c>
    </row>
    <row r="401" spans="1:25">
      <c r="A401" s="2842" t="s">
        <v>15299</v>
      </c>
      <c r="B401" s="2843" t="s">
        <v>15300</v>
      </c>
      <c r="C401" s="2843">
        <v>0</v>
      </c>
      <c r="D401" s="2844">
        <v>2011000228</v>
      </c>
      <c r="E401" s="2842" t="s">
        <v>15301</v>
      </c>
      <c r="F401" s="2630"/>
      <c r="G401" s="2637"/>
      <c r="H401" s="2638"/>
      <c r="I401" s="2638"/>
      <c r="J401" s="2347"/>
      <c r="K401" s="2638"/>
      <c r="L401" s="3212"/>
      <c r="M401" s="2347"/>
      <c r="N401" s="3212"/>
      <c r="O401" s="3212"/>
      <c r="P401" s="2347"/>
      <c r="Q401" s="2347" t="s">
        <v>15468</v>
      </c>
    </row>
    <row r="402" spans="1:25">
      <c r="A402" s="3636" t="s">
        <v>15445</v>
      </c>
      <c r="B402" s="2843"/>
      <c r="C402" s="2843" t="s">
        <v>15446</v>
      </c>
      <c r="D402" s="2844">
        <v>2010020162</v>
      </c>
      <c r="E402" s="2842" t="s">
        <v>15447</v>
      </c>
      <c r="F402" s="2630"/>
      <c r="G402" s="2637"/>
      <c r="H402" s="2638"/>
      <c r="I402" s="2638"/>
      <c r="J402" s="2347"/>
      <c r="K402" s="2638"/>
      <c r="L402" s="3212"/>
      <c r="M402" s="2347"/>
      <c r="N402" s="3212"/>
      <c r="O402" s="3212"/>
      <c r="P402" s="2347"/>
      <c r="Q402" s="2347">
        <v>0</v>
      </c>
      <c r="R402" s="3634"/>
      <c r="S402" s="3634"/>
      <c r="T402" s="3634"/>
      <c r="U402" s="3634"/>
      <c r="V402" s="3634"/>
      <c r="W402" s="3634"/>
      <c r="X402" s="3634"/>
      <c r="Y402" s="3634"/>
    </row>
    <row r="403" spans="1:25">
      <c r="A403" s="2842" t="s">
        <v>1625</v>
      </c>
      <c r="B403" s="2843">
        <v>6629026340</v>
      </c>
      <c r="C403" s="2843">
        <v>193100</v>
      </c>
      <c r="D403" s="2844">
        <v>2010800600</v>
      </c>
      <c r="E403" s="2842" t="s">
        <v>1626</v>
      </c>
      <c r="F403" s="2864"/>
      <c r="G403" s="2637"/>
      <c r="H403" s="2638"/>
      <c r="I403" s="2638"/>
      <c r="J403" s="2347"/>
      <c r="K403" s="3212"/>
      <c r="L403" s="3212"/>
      <c r="M403" s="2347" t="s">
        <v>1149</v>
      </c>
      <c r="N403" s="3212"/>
      <c r="O403" s="3212"/>
      <c r="P403" s="2347"/>
      <c r="Q403" s="2347" t="s">
        <v>15239</v>
      </c>
    </row>
    <row r="404" spans="1:25" ht="29">
      <c r="A404" s="2842" t="s">
        <v>3921</v>
      </c>
      <c r="B404" s="2843">
        <v>3801091245</v>
      </c>
      <c r="C404" s="2843">
        <v>128</v>
      </c>
      <c r="D404" s="2844">
        <v>2010241700</v>
      </c>
      <c r="E404" s="2842" t="s">
        <v>6012</v>
      </c>
      <c r="F404" s="2864"/>
      <c r="G404" s="2637"/>
      <c r="H404" s="2638"/>
      <c r="I404" s="2638"/>
      <c r="J404" s="2347"/>
      <c r="K404" s="3212"/>
      <c r="L404" s="3212"/>
      <c r="M404" s="2347" t="s">
        <v>1149</v>
      </c>
      <c r="N404" s="3212"/>
      <c r="O404" s="3212"/>
      <c r="P404" s="2347"/>
      <c r="Q404" s="2347" t="s">
        <v>15469</v>
      </c>
    </row>
    <row r="405" spans="1:25">
      <c r="A405" s="2842" t="s">
        <v>10178</v>
      </c>
      <c r="B405" s="2843">
        <v>6683018026</v>
      </c>
      <c r="C405" s="2843">
        <v>671638</v>
      </c>
      <c r="D405" s="2844">
        <v>2010598800</v>
      </c>
      <c r="E405" s="2842" t="s">
        <v>10177</v>
      </c>
      <c r="F405" s="2630"/>
      <c r="G405" s="2637"/>
      <c r="H405" s="2638"/>
      <c r="I405" s="2638"/>
      <c r="J405" s="2347"/>
      <c r="K405" s="2638"/>
      <c r="L405" s="3212"/>
      <c r="M405" s="2347" t="s">
        <v>1149</v>
      </c>
      <c r="N405" s="3212"/>
      <c r="O405" s="3212"/>
      <c r="P405" s="2347"/>
      <c r="Q405" s="2347" t="s">
        <v>15472</v>
      </c>
    </row>
    <row r="406" spans="1:25">
      <c r="A406" s="2842" t="s">
        <v>3922</v>
      </c>
      <c r="B406" s="2843">
        <v>5410027319</v>
      </c>
      <c r="C406" s="2843">
        <v>69</v>
      </c>
      <c r="D406" s="2844">
        <v>2010230209</v>
      </c>
      <c r="E406" s="2842" t="s">
        <v>6013</v>
      </c>
      <c r="F406" s="2864"/>
      <c r="G406" s="2637"/>
      <c r="H406" s="2638"/>
      <c r="I406" s="2638"/>
      <c r="J406" s="2347"/>
      <c r="K406" s="3212"/>
      <c r="L406" s="3212"/>
      <c r="M406" s="2347" t="s">
        <v>1149</v>
      </c>
      <c r="N406" s="3212"/>
      <c r="O406" s="3212"/>
      <c r="P406" s="2347"/>
      <c r="Q406" s="2347" t="s">
        <v>15239</v>
      </c>
    </row>
    <row r="407" spans="1:25">
      <c r="A407" s="2842" t="s">
        <v>10268</v>
      </c>
      <c r="B407" s="2843">
        <v>7709835482</v>
      </c>
      <c r="C407" s="2843">
        <v>687492</v>
      </c>
      <c r="D407" s="2844">
        <v>2010597001</v>
      </c>
      <c r="E407" s="2842" t="s">
        <v>10269</v>
      </c>
      <c r="F407" s="2864"/>
      <c r="G407" s="2637"/>
      <c r="H407" s="2638"/>
      <c r="I407" s="2638"/>
      <c r="J407" s="2347"/>
      <c r="K407" s="3212"/>
      <c r="L407" s="3212"/>
      <c r="M407" s="2347" t="s">
        <v>1149</v>
      </c>
      <c r="N407" s="3212"/>
      <c r="O407" s="3212"/>
      <c r="P407" s="2347"/>
      <c r="Q407" s="2347" t="s">
        <v>15472</v>
      </c>
    </row>
    <row r="408" spans="1:25" ht="29">
      <c r="A408" s="2842" t="s">
        <v>15542</v>
      </c>
      <c r="B408" s="2843">
        <v>5042155037</v>
      </c>
      <c r="C408" s="2843">
        <v>667914</v>
      </c>
      <c r="D408" s="2844">
        <v>2010630300</v>
      </c>
      <c r="E408" s="2842" t="s">
        <v>10176</v>
      </c>
      <c r="F408" s="2630"/>
      <c r="G408" s="2637"/>
      <c r="H408" s="2638"/>
      <c r="I408" s="2638"/>
      <c r="J408" s="2347"/>
      <c r="K408" s="2638"/>
      <c r="L408" s="3212"/>
      <c r="M408" s="2347" t="s">
        <v>1149</v>
      </c>
      <c r="N408" s="3212"/>
      <c r="O408" s="3212"/>
      <c r="P408" s="2347"/>
      <c r="Q408" s="2347" t="s">
        <v>15472</v>
      </c>
    </row>
    <row r="409" spans="1:25" ht="29">
      <c r="A409" s="2842" t="s">
        <v>1631</v>
      </c>
      <c r="B409" s="2843">
        <v>5019021966</v>
      </c>
      <c r="C409" s="2843">
        <v>314</v>
      </c>
      <c r="D409" s="2844">
        <v>2010670100</v>
      </c>
      <c r="E409" s="2842" t="s">
        <v>10</v>
      </c>
      <c r="F409" s="2864"/>
      <c r="G409" s="2637"/>
      <c r="H409" s="2638"/>
      <c r="I409" s="2638"/>
      <c r="J409" s="2347"/>
      <c r="K409" s="3212"/>
      <c r="L409" s="3212"/>
      <c r="M409" s="2347" t="s">
        <v>1149</v>
      </c>
      <c r="N409" s="3212"/>
      <c r="O409" s="3212"/>
      <c r="P409" s="2347"/>
      <c r="Q409" s="2347" t="s">
        <v>15472</v>
      </c>
    </row>
    <row r="410" spans="1:25" ht="29">
      <c r="A410" s="2842" t="s">
        <v>15302</v>
      </c>
      <c r="B410" s="2843">
        <v>2315150780</v>
      </c>
      <c r="C410" s="2843">
        <v>639687</v>
      </c>
      <c r="D410" s="2844">
        <v>2011322250</v>
      </c>
      <c r="E410" s="2842" t="s">
        <v>14756</v>
      </c>
      <c r="F410" s="2630"/>
      <c r="G410" s="2637"/>
      <c r="H410" s="2638"/>
      <c r="I410" s="2638"/>
      <c r="J410" s="2347"/>
      <c r="K410" s="2638"/>
      <c r="L410" s="3212"/>
      <c r="M410" s="2347"/>
      <c r="N410" s="3212"/>
      <c r="O410" s="3212"/>
      <c r="P410" s="2347"/>
      <c r="Q410" s="2347" t="s">
        <v>15468</v>
      </c>
    </row>
    <row r="411" spans="1:25">
      <c r="A411" s="2842" t="s">
        <v>3923</v>
      </c>
      <c r="B411" s="2843">
        <v>3651008478</v>
      </c>
      <c r="C411" s="2843">
        <v>293</v>
      </c>
      <c r="D411" s="2844">
        <v>2010590310</v>
      </c>
      <c r="E411" s="2842" t="s">
        <v>3924</v>
      </c>
      <c r="F411" s="2864"/>
      <c r="G411" s="2637"/>
      <c r="H411" s="2638"/>
      <c r="I411" s="2638"/>
      <c r="J411" s="2347"/>
      <c r="K411" s="3212"/>
      <c r="L411" s="3212"/>
      <c r="M411" s="2347" t="s">
        <v>1149</v>
      </c>
      <c r="N411" s="3212"/>
      <c r="O411" s="3212"/>
      <c r="P411" s="2347"/>
      <c r="Q411" s="2347" t="s">
        <v>15472</v>
      </c>
    </row>
    <row r="412" spans="1:25">
      <c r="A412" s="2842" t="s">
        <v>15303</v>
      </c>
      <c r="B412" s="2843">
        <v>2315072838</v>
      </c>
      <c r="C412" s="2843">
        <v>639702</v>
      </c>
      <c r="D412" s="2844">
        <v>2011320200</v>
      </c>
      <c r="E412" s="2842" t="s">
        <v>14748</v>
      </c>
      <c r="F412" s="2630"/>
      <c r="G412" s="2637"/>
      <c r="H412" s="2638"/>
      <c r="I412" s="2638"/>
      <c r="J412" s="2347"/>
      <c r="K412" s="2638"/>
      <c r="L412" s="3212"/>
      <c r="M412" s="2347"/>
      <c r="N412" s="3212"/>
      <c r="O412" s="3212"/>
      <c r="P412" s="2347"/>
      <c r="Q412" s="2347" t="s">
        <v>15468</v>
      </c>
    </row>
    <row r="413" spans="1:25">
      <c r="A413" s="2842" t="s">
        <v>15304</v>
      </c>
      <c r="B413" s="2843">
        <v>2315116450</v>
      </c>
      <c r="C413" s="2843">
        <v>657786</v>
      </c>
      <c r="D413" s="2844">
        <v>2011322240</v>
      </c>
      <c r="E413" s="2842" t="s">
        <v>14755</v>
      </c>
      <c r="F413" s="2630"/>
      <c r="G413" s="2637"/>
      <c r="H413" s="2638"/>
      <c r="I413" s="2638"/>
      <c r="J413" s="2347"/>
      <c r="K413" s="2638"/>
      <c r="L413" s="3212"/>
      <c r="M413" s="2347"/>
      <c r="N413" s="3212"/>
      <c r="O413" s="3212"/>
      <c r="P413" s="2347"/>
      <c r="Q413" s="2347" t="s">
        <v>15468</v>
      </c>
    </row>
    <row r="414" spans="1:25">
      <c r="A414" s="3116" t="s">
        <v>15198</v>
      </c>
      <c r="B414" s="3504">
        <v>9705178310</v>
      </c>
      <c r="C414" s="3504">
        <v>741021</v>
      </c>
      <c r="D414" s="3505">
        <v>6070000000</v>
      </c>
      <c r="E414" s="3506" t="s">
        <v>15199</v>
      </c>
      <c r="F414" s="2864"/>
      <c r="G414" s="2637"/>
      <c r="H414" s="2638"/>
      <c r="I414" s="2638"/>
      <c r="J414" s="2347"/>
      <c r="K414" s="3212"/>
      <c r="L414" s="3212"/>
      <c r="M414" s="3212" t="s">
        <v>10241</v>
      </c>
      <c r="N414" s="3212" t="s">
        <v>10242</v>
      </c>
      <c r="O414" s="3212"/>
      <c r="P414" s="2347"/>
      <c r="Q414" s="2347" t="s">
        <v>15468</v>
      </c>
    </row>
    <row r="415" spans="1:25" ht="29">
      <c r="A415" s="3116" t="s">
        <v>14840</v>
      </c>
      <c r="B415" s="3504">
        <v>7814806314</v>
      </c>
      <c r="C415" s="3504"/>
      <c r="D415" s="3505">
        <v>2011710000</v>
      </c>
      <c r="E415" s="3506" t="s">
        <v>14841</v>
      </c>
      <c r="F415" s="2864"/>
      <c r="G415" s="2637"/>
      <c r="H415" s="2638"/>
      <c r="I415" s="2638"/>
      <c r="J415" s="2347"/>
      <c r="K415" s="3212"/>
      <c r="L415" s="3212"/>
      <c r="M415" s="2347"/>
      <c r="N415" s="3212"/>
      <c r="O415" s="3212"/>
      <c r="P415" s="2347"/>
      <c r="Q415" s="2347" t="s">
        <v>15470</v>
      </c>
    </row>
    <row r="416" spans="1:25" ht="29">
      <c r="A416" s="2842" t="s">
        <v>5690</v>
      </c>
      <c r="B416" s="2843">
        <v>7705849332</v>
      </c>
      <c r="C416" s="2843">
        <v>26</v>
      </c>
      <c r="D416" s="2844">
        <v>2010021000</v>
      </c>
      <c r="E416" s="2842" t="s">
        <v>8065</v>
      </c>
      <c r="F416" s="2864"/>
      <c r="G416" s="2637"/>
      <c r="H416" s="2638"/>
      <c r="I416" s="2638"/>
      <c r="J416" s="2347" t="s">
        <v>5435</v>
      </c>
      <c r="K416" s="3212"/>
      <c r="L416" s="3212"/>
      <c r="M416" s="2347" t="s">
        <v>1149</v>
      </c>
      <c r="N416" s="3212"/>
      <c r="O416" s="3212"/>
      <c r="P416" s="2347"/>
      <c r="Q416" s="2347" t="s">
        <v>15474</v>
      </c>
    </row>
    <row r="417" spans="1:17">
      <c r="A417" s="2842" t="s">
        <v>6823</v>
      </c>
      <c r="B417" s="2843">
        <v>2452044014</v>
      </c>
      <c r="C417" s="2843">
        <v>462826</v>
      </c>
      <c r="D417" s="2844">
        <v>3020060000</v>
      </c>
      <c r="E417" s="2842" t="s">
        <v>6824</v>
      </c>
      <c r="F417" s="2864"/>
      <c r="G417" s="2637"/>
      <c r="H417" s="2638"/>
      <c r="I417" s="2638"/>
      <c r="J417" s="2347"/>
      <c r="K417" s="3212"/>
      <c r="L417" s="3212"/>
      <c r="M417" s="2347" t="s">
        <v>1149</v>
      </c>
      <c r="N417" s="3212"/>
      <c r="O417" s="3212"/>
      <c r="P417" s="2347"/>
      <c r="Q417" s="2347" t="s">
        <v>15482</v>
      </c>
    </row>
    <row r="418" spans="1:17">
      <c r="A418" s="2842" t="s">
        <v>14857</v>
      </c>
      <c r="B418" s="2843">
        <v>7709733339</v>
      </c>
      <c r="C418" s="2843">
        <v>345</v>
      </c>
      <c r="D418" s="2844">
        <v>2010591305</v>
      </c>
      <c r="E418" s="2842" t="s">
        <v>14858</v>
      </c>
      <c r="F418" s="2864"/>
      <c r="G418" s="2637"/>
      <c r="H418" s="2638"/>
      <c r="I418" s="2638"/>
      <c r="J418" s="2347"/>
      <c r="K418" s="3212"/>
      <c r="L418" s="3212"/>
      <c r="M418" s="2347" t="s">
        <v>1149</v>
      </c>
      <c r="N418" s="3212"/>
      <c r="O418" s="3212"/>
      <c r="P418" s="2347"/>
      <c r="Q418" s="2347" t="s">
        <v>15472</v>
      </c>
    </row>
    <row r="419" spans="1:17" ht="43.5">
      <c r="A419" s="2842" t="s">
        <v>204</v>
      </c>
      <c r="B419" s="2843">
        <v>5036035447</v>
      </c>
      <c r="C419" s="2843" t="s">
        <v>7489</v>
      </c>
      <c r="D419" s="2844">
        <v>5036035447</v>
      </c>
      <c r="E419" s="2842" t="s">
        <v>8066</v>
      </c>
      <c r="F419" s="2864"/>
      <c r="G419" s="2637"/>
      <c r="H419" s="2638"/>
      <c r="I419" s="2638"/>
      <c r="J419" s="2347"/>
      <c r="K419" s="3212"/>
      <c r="L419" s="3212"/>
      <c r="M419" s="2347" t="s">
        <v>1149</v>
      </c>
      <c r="N419" s="3212"/>
      <c r="O419" s="3212"/>
      <c r="P419" s="2347"/>
      <c r="Q419" s="2347" t="s">
        <v>15467</v>
      </c>
    </row>
    <row r="420" spans="1:17" ht="29">
      <c r="A420" s="2842" t="s">
        <v>15307</v>
      </c>
      <c r="B420" s="2843">
        <v>5009062353</v>
      </c>
      <c r="C420" s="2843">
        <v>678999</v>
      </c>
      <c r="D420" s="2844">
        <v>2011323600</v>
      </c>
      <c r="E420" s="2842" t="s">
        <v>15308</v>
      </c>
      <c r="F420" s="2630"/>
      <c r="G420" s="2637"/>
      <c r="H420" s="2638"/>
      <c r="I420" s="2638"/>
      <c r="J420" s="2347"/>
      <c r="K420" s="2638"/>
      <c r="L420" s="3212"/>
      <c r="M420" s="2347"/>
      <c r="N420" s="3212"/>
      <c r="O420" s="3212"/>
      <c r="P420" s="2347"/>
      <c r="Q420" s="2347" t="s">
        <v>15468</v>
      </c>
    </row>
    <row r="421" spans="1:17">
      <c r="A421" s="3116" t="s">
        <v>14842</v>
      </c>
      <c r="B421" s="3504">
        <v>7111504990</v>
      </c>
      <c r="C421" s="3636"/>
      <c r="D421" s="3505">
        <v>2021000750</v>
      </c>
      <c r="E421" s="3506" t="s">
        <v>14843</v>
      </c>
      <c r="F421" s="2864"/>
      <c r="G421" s="2637"/>
      <c r="H421" s="2638"/>
      <c r="I421" s="2638"/>
      <c r="J421" s="2347"/>
      <c r="K421" s="3212"/>
      <c r="L421" s="3212"/>
      <c r="M421" s="2347"/>
      <c r="N421" s="3212"/>
      <c r="O421" s="3212"/>
      <c r="P421" s="2347"/>
      <c r="Q421" s="2347" t="s">
        <v>9936</v>
      </c>
    </row>
    <row r="422" spans="1:17">
      <c r="A422" s="2842" t="s">
        <v>7508</v>
      </c>
      <c r="B422" s="2843">
        <v>1001156891</v>
      </c>
      <c r="C422" s="2843">
        <v>187796</v>
      </c>
      <c r="D422" s="2844">
        <v>2010242630</v>
      </c>
      <c r="E422" s="2842" t="s">
        <v>7509</v>
      </c>
      <c r="F422" s="2864"/>
      <c r="G422" s="2637"/>
      <c r="H422" s="2638"/>
      <c r="I422" s="2638"/>
      <c r="J422" s="2842"/>
      <c r="K422" s="3212"/>
      <c r="L422" s="3212"/>
      <c r="M422" s="2347" t="s">
        <v>1149</v>
      </c>
      <c r="N422" s="3212"/>
      <c r="O422" s="3212"/>
      <c r="P422" s="2347"/>
      <c r="Q422" s="2347" t="s">
        <v>15467</v>
      </c>
    </row>
    <row r="423" spans="1:17">
      <c r="A423" s="2842" t="s">
        <v>7677</v>
      </c>
      <c r="B423" s="2843">
        <v>7530012519</v>
      </c>
      <c r="C423" s="2843">
        <v>261</v>
      </c>
      <c r="D423" s="2844">
        <v>2010230404</v>
      </c>
      <c r="E423" s="2842" t="s">
        <v>8068</v>
      </c>
      <c r="F423" s="2864"/>
      <c r="G423" s="2637"/>
      <c r="H423" s="2638"/>
      <c r="I423" s="2638"/>
      <c r="J423" s="2347"/>
      <c r="K423" s="3212"/>
      <c r="L423" s="3212"/>
      <c r="M423" s="2347" t="s">
        <v>1149</v>
      </c>
      <c r="N423" s="3212"/>
      <c r="O423" s="3212"/>
      <c r="P423" s="2347"/>
      <c r="Q423" s="2347" t="s">
        <v>15474</v>
      </c>
    </row>
    <row r="424" spans="1:17">
      <c r="A424" s="2842" t="s">
        <v>30</v>
      </c>
      <c r="B424" s="2843">
        <v>1837005119</v>
      </c>
      <c r="C424" s="2843">
        <v>81</v>
      </c>
      <c r="D424" s="2844">
        <v>2010230310</v>
      </c>
      <c r="E424" s="2842" t="s">
        <v>5371</v>
      </c>
      <c r="F424" s="2864"/>
      <c r="G424" s="2637"/>
      <c r="H424" s="2638"/>
      <c r="I424" s="2638"/>
      <c r="J424" s="2842"/>
      <c r="K424" s="3212"/>
      <c r="L424" s="3212"/>
      <c r="M424" s="2347" t="s">
        <v>1149</v>
      </c>
      <c r="N424" s="3212"/>
      <c r="O424" s="3212"/>
      <c r="P424" s="2347"/>
      <c r="Q424" s="2347" t="s">
        <v>15239</v>
      </c>
    </row>
    <row r="425" spans="1:17">
      <c r="A425" s="2842" t="s">
        <v>31</v>
      </c>
      <c r="B425" s="2843">
        <v>3329065342</v>
      </c>
      <c r="C425" s="2843">
        <v>202477</v>
      </c>
      <c r="D425" s="2844">
        <v>2010440400</v>
      </c>
      <c r="E425" s="2842" t="s">
        <v>32</v>
      </c>
      <c r="F425" s="2864"/>
      <c r="G425" s="2637"/>
      <c r="H425" s="2638"/>
      <c r="I425" s="2638"/>
      <c r="J425" s="2347"/>
      <c r="K425" s="3212"/>
      <c r="L425" s="3212"/>
      <c r="M425" s="2347" t="s">
        <v>1149</v>
      </c>
      <c r="N425" s="3212"/>
      <c r="O425" s="3212"/>
      <c r="P425" s="2347"/>
      <c r="Q425" s="2347" t="s">
        <v>15239</v>
      </c>
    </row>
    <row r="426" spans="1:17">
      <c r="A426" s="2842" t="s">
        <v>6827</v>
      </c>
      <c r="B426" s="2843">
        <v>2452040122</v>
      </c>
      <c r="C426" s="2843">
        <v>337037</v>
      </c>
      <c r="D426" s="2844">
        <v>3020050000</v>
      </c>
      <c r="E426" s="2842" t="s">
        <v>6828</v>
      </c>
      <c r="F426" s="2864"/>
      <c r="G426" s="2637"/>
      <c r="H426" s="2638"/>
      <c r="I426" s="2638"/>
      <c r="J426" s="2347"/>
      <c r="K426" s="3212"/>
      <c r="L426" s="3212"/>
      <c r="M426" s="2347" t="s">
        <v>1149</v>
      </c>
      <c r="N426" s="3212"/>
      <c r="O426" s="3212"/>
      <c r="P426" s="2347"/>
      <c r="Q426" s="2347" t="s">
        <v>15482</v>
      </c>
    </row>
    <row r="427" spans="1:17" ht="29">
      <c r="A427" s="2842" t="s">
        <v>9971</v>
      </c>
      <c r="B427" s="2843">
        <v>4003032505</v>
      </c>
      <c r="C427" s="2843">
        <v>656798</v>
      </c>
      <c r="D427" s="2844">
        <v>2010242215</v>
      </c>
      <c r="E427" s="2842" t="s">
        <v>9972</v>
      </c>
      <c r="F427" s="2864"/>
      <c r="G427" s="2637"/>
      <c r="H427" s="2638"/>
      <c r="I427" s="2638"/>
      <c r="J427" s="2347"/>
      <c r="K427" s="3212"/>
      <c r="L427" s="3212"/>
      <c r="M427" s="2347" t="s">
        <v>1149</v>
      </c>
      <c r="N427" s="3212"/>
      <c r="O427" s="3212"/>
      <c r="P427" s="2347"/>
      <c r="Q427" s="2347" t="s">
        <v>15473</v>
      </c>
    </row>
    <row r="428" spans="1:17">
      <c r="A428" s="2842" t="s">
        <v>33</v>
      </c>
      <c r="B428" s="2843">
        <v>7530012639</v>
      </c>
      <c r="C428" s="2843">
        <v>168317</v>
      </c>
      <c r="D428" s="2844">
        <v>2010230407</v>
      </c>
      <c r="E428" s="2842" t="s">
        <v>34</v>
      </c>
      <c r="F428" s="2864"/>
      <c r="G428" s="2637"/>
      <c r="H428" s="2638"/>
      <c r="I428" s="2638"/>
      <c r="J428" s="2347"/>
      <c r="K428" s="3212"/>
      <c r="L428" s="3212"/>
      <c r="M428" s="2347" t="s">
        <v>1149</v>
      </c>
      <c r="N428" s="3212"/>
      <c r="O428" s="3212"/>
      <c r="P428" s="2347"/>
      <c r="Q428" s="2347" t="s">
        <v>15474</v>
      </c>
    </row>
    <row r="429" spans="1:17" ht="43.5">
      <c r="A429" s="2842" t="s">
        <v>8642</v>
      </c>
      <c r="B429" s="2843">
        <v>5042142655</v>
      </c>
      <c r="C429" s="2843">
        <v>466198</v>
      </c>
      <c r="D429" s="2844">
        <v>3112000000</v>
      </c>
      <c r="E429" s="2842" t="s">
        <v>8643</v>
      </c>
      <c r="F429" s="2864"/>
      <c r="G429" s="2637"/>
      <c r="H429" s="2638"/>
      <c r="I429" s="2638"/>
      <c r="J429" s="2347"/>
      <c r="K429" s="3212"/>
      <c r="L429" s="3212"/>
      <c r="M429" s="2347" t="s">
        <v>1149</v>
      </c>
      <c r="N429" s="3212"/>
      <c r="O429" s="3212"/>
      <c r="P429" s="2347"/>
      <c r="Q429" s="2347" t="s">
        <v>15482</v>
      </c>
    </row>
    <row r="430" spans="1:17">
      <c r="A430" s="2842" t="s">
        <v>14309</v>
      </c>
      <c r="B430" s="2843">
        <v>9724056639</v>
      </c>
      <c r="C430" s="2843">
        <v>691626</v>
      </c>
      <c r="D430" s="2844">
        <v>2010996000</v>
      </c>
      <c r="E430" s="2842" t="s">
        <v>14310</v>
      </c>
      <c r="F430" s="2864"/>
      <c r="G430" s="2637"/>
      <c r="H430" s="2638"/>
      <c r="I430" s="2638"/>
      <c r="J430" s="2347"/>
      <c r="K430" s="3212"/>
      <c r="L430" s="3212"/>
      <c r="M430" s="2347" t="s">
        <v>1149</v>
      </c>
      <c r="N430" s="3212"/>
      <c r="O430" s="3212"/>
      <c r="P430" s="2347"/>
      <c r="Q430" s="2347" t="s">
        <v>15484</v>
      </c>
    </row>
    <row r="431" spans="1:17">
      <c r="A431" s="2842" t="s">
        <v>3927</v>
      </c>
      <c r="B431" s="2843">
        <v>7736554699</v>
      </c>
      <c r="C431" s="2843">
        <v>356</v>
      </c>
      <c r="D431" s="2844">
        <v>2010230935</v>
      </c>
      <c r="E431" s="2842" t="s">
        <v>6286</v>
      </c>
      <c r="F431" s="2864"/>
      <c r="G431" s="2637"/>
      <c r="H431" s="2638"/>
      <c r="I431" s="2638"/>
      <c r="J431" s="2347"/>
      <c r="K431" s="3212"/>
      <c r="L431" s="3212"/>
      <c r="M431" s="2347" t="s">
        <v>1149</v>
      </c>
      <c r="N431" s="3212"/>
      <c r="O431" s="3212"/>
      <c r="P431" s="2347"/>
      <c r="Q431" s="2347" t="s">
        <v>15467</v>
      </c>
    </row>
    <row r="432" spans="1:17">
      <c r="A432" s="2842" t="s">
        <v>3928</v>
      </c>
      <c r="B432" s="2843">
        <v>70540003292</v>
      </c>
      <c r="C432" s="2843">
        <v>252</v>
      </c>
      <c r="D432" s="2844">
        <v>2010020601</v>
      </c>
      <c r="E432" s="2842" t="s">
        <v>5360</v>
      </c>
      <c r="F432" s="2864"/>
      <c r="G432" s="2637"/>
      <c r="H432" s="2638"/>
      <c r="I432" s="2638"/>
      <c r="J432" s="2347"/>
      <c r="K432" s="3212"/>
      <c r="L432" s="3212"/>
      <c r="M432" s="2347" t="s">
        <v>1149</v>
      </c>
      <c r="N432" s="3212"/>
      <c r="O432" s="3212"/>
      <c r="P432" s="2347"/>
      <c r="Q432" s="2347" t="s">
        <v>15469</v>
      </c>
    </row>
    <row r="433" spans="1:18" ht="34.4" customHeight="1">
      <c r="A433" s="2842" t="s">
        <v>9979</v>
      </c>
      <c r="B433" s="2843">
        <v>9705146020</v>
      </c>
      <c r="C433" s="2843">
        <v>655712</v>
      </c>
      <c r="D433" s="2844">
        <v>2011900002</v>
      </c>
      <c r="E433" s="2842" t="s">
        <v>9980</v>
      </c>
      <c r="F433" s="2864"/>
      <c r="G433" s="2637"/>
      <c r="H433" s="2638"/>
      <c r="I433" s="2638"/>
      <c r="J433" s="2347"/>
      <c r="K433" s="3212"/>
      <c r="L433" s="3212"/>
      <c r="M433" s="2347" t="s">
        <v>1149</v>
      </c>
      <c r="N433" s="3212"/>
      <c r="O433" s="3212"/>
      <c r="P433" s="2347"/>
      <c r="Q433" s="2347" t="s">
        <v>15468</v>
      </c>
    </row>
    <row r="434" spans="1:18" ht="34.4" customHeight="1">
      <c r="A434" s="2842" t="s">
        <v>9977</v>
      </c>
      <c r="B434" s="2843">
        <v>9705146037</v>
      </c>
      <c r="C434" s="2843">
        <v>655706</v>
      </c>
      <c r="D434" s="2844">
        <v>2011900001</v>
      </c>
      <c r="E434" s="2842" t="s">
        <v>9978</v>
      </c>
      <c r="F434" s="2864"/>
      <c r="G434" s="2637"/>
      <c r="H434" s="2638"/>
      <c r="I434" s="2638"/>
      <c r="J434" s="2347"/>
      <c r="K434" s="3212"/>
      <c r="L434" s="3212"/>
      <c r="M434" s="2347" t="s">
        <v>1149</v>
      </c>
      <c r="N434" s="3212"/>
      <c r="O434" s="3212"/>
      <c r="P434" s="2347"/>
      <c r="Q434" s="2347" t="s">
        <v>15468</v>
      </c>
    </row>
    <row r="435" spans="1:18" ht="34.4" customHeight="1">
      <c r="A435" s="2842" t="s">
        <v>10222</v>
      </c>
      <c r="B435" s="2843">
        <v>9705146012</v>
      </c>
      <c r="C435" s="2843">
        <v>655711</v>
      </c>
      <c r="D435" s="2844">
        <v>2011900003</v>
      </c>
      <c r="E435" s="2842" t="s">
        <v>10223</v>
      </c>
      <c r="F435" s="2864"/>
      <c r="G435" s="2637"/>
      <c r="H435" s="2638"/>
      <c r="I435" s="2638"/>
      <c r="J435" s="2347"/>
      <c r="K435" s="3212"/>
      <c r="L435" s="3212"/>
      <c r="M435" s="2347" t="s">
        <v>1149</v>
      </c>
      <c r="N435" s="3212"/>
      <c r="O435" s="3212"/>
      <c r="P435" s="2347"/>
      <c r="Q435" s="2347" t="s">
        <v>15468</v>
      </c>
    </row>
    <row r="436" spans="1:18">
      <c r="A436" s="2842" t="s">
        <v>15311</v>
      </c>
      <c r="B436" s="2843">
        <v>2537110812</v>
      </c>
      <c r="C436" s="2843">
        <v>639701</v>
      </c>
      <c r="D436" s="2844">
        <v>2011322260</v>
      </c>
      <c r="E436" s="2842" t="s">
        <v>14763</v>
      </c>
      <c r="F436" s="2630"/>
      <c r="G436" s="2637"/>
      <c r="H436" s="2638"/>
      <c r="I436" s="2638"/>
      <c r="J436" s="2347"/>
      <c r="K436" s="2638"/>
      <c r="L436" s="3212"/>
      <c r="M436" s="2347"/>
      <c r="N436" s="3212"/>
      <c r="O436" s="3212"/>
      <c r="P436" s="2347"/>
      <c r="Q436" s="2347" t="s">
        <v>15468</v>
      </c>
    </row>
    <row r="437" spans="1:18" ht="34.4" customHeight="1">
      <c r="A437" s="2842" t="s">
        <v>35</v>
      </c>
      <c r="B437" s="2843">
        <v>7530012660</v>
      </c>
      <c r="C437" s="2843">
        <v>168307</v>
      </c>
      <c r="D437" s="2844">
        <v>2010230408</v>
      </c>
      <c r="E437" s="2842" t="s">
        <v>36</v>
      </c>
      <c r="F437" s="2864"/>
      <c r="G437" s="2637"/>
      <c r="H437" s="2638"/>
      <c r="I437" s="2638"/>
      <c r="J437" s="2347"/>
      <c r="K437" s="3212"/>
      <c r="L437" s="3212"/>
      <c r="M437" s="2347" t="s">
        <v>1149</v>
      </c>
      <c r="N437" s="3212"/>
      <c r="O437" s="3212"/>
      <c r="P437" s="2347"/>
      <c r="Q437" s="2347" t="s">
        <v>15474</v>
      </c>
    </row>
    <row r="438" spans="1:18" ht="34.4" customHeight="1">
      <c r="A438" s="2842" t="s">
        <v>6098</v>
      </c>
      <c r="B438" s="2843">
        <v>2452201891</v>
      </c>
      <c r="C438" s="2843">
        <v>299816</v>
      </c>
      <c r="D438" s="2844">
        <v>3020040000</v>
      </c>
      <c r="E438" s="2842" t="s">
        <v>6829</v>
      </c>
      <c r="F438" s="2864"/>
      <c r="G438" s="2637"/>
      <c r="H438" s="2638"/>
      <c r="I438" s="2638"/>
      <c r="J438" s="2842"/>
      <c r="K438" s="3212"/>
      <c r="L438" s="3212"/>
      <c r="M438" s="2347" t="s">
        <v>1149</v>
      </c>
      <c r="N438" s="3212"/>
      <c r="O438" s="3212"/>
      <c r="P438" s="2347"/>
      <c r="Q438" s="2347" t="s">
        <v>15482</v>
      </c>
    </row>
    <row r="439" spans="1:18" ht="34.4" customHeight="1">
      <c r="A439" s="2842" t="s">
        <v>10180</v>
      </c>
      <c r="B439" s="2843">
        <v>4025457445</v>
      </c>
      <c r="C439" s="2843">
        <v>667062</v>
      </c>
      <c r="D439" s="2844">
        <v>2011010001</v>
      </c>
      <c r="E439" s="2842" t="s">
        <v>10179</v>
      </c>
      <c r="F439" s="2864"/>
      <c r="G439" s="2637"/>
      <c r="H439" s="2638"/>
      <c r="I439" s="2638"/>
      <c r="J439" s="2347"/>
      <c r="K439" s="3212"/>
      <c r="L439" s="3212"/>
      <c r="M439" s="2347" t="s">
        <v>1149</v>
      </c>
      <c r="N439" s="3212"/>
      <c r="O439" s="3212"/>
      <c r="P439" s="2347"/>
      <c r="Q439" s="2347" t="s">
        <v>15471</v>
      </c>
      <c r="R439" s="395" t="s">
        <v>14831</v>
      </c>
    </row>
    <row r="440" spans="1:18" ht="34.4" customHeight="1">
      <c r="A440" s="2842" t="s">
        <v>15312</v>
      </c>
      <c r="B440" s="2843">
        <v>7805353227</v>
      </c>
      <c r="C440" s="2843">
        <v>198648</v>
      </c>
      <c r="D440" s="2844">
        <v>2011306340</v>
      </c>
      <c r="E440" s="2842" t="s">
        <v>15313</v>
      </c>
      <c r="F440" s="2630"/>
      <c r="G440" s="2637"/>
      <c r="H440" s="2638"/>
      <c r="I440" s="2638"/>
      <c r="J440" s="2347"/>
      <c r="K440" s="2638"/>
      <c r="L440" s="3212"/>
      <c r="M440" s="2347"/>
      <c r="N440" s="3212"/>
      <c r="O440" s="3212"/>
      <c r="P440" s="2347"/>
      <c r="Q440" s="2347" t="s">
        <v>15468</v>
      </c>
    </row>
    <row r="441" spans="1:18" ht="34.4" customHeight="1">
      <c r="A441" s="2842" t="s">
        <v>15314</v>
      </c>
      <c r="B441" s="2843" t="s">
        <v>15315</v>
      </c>
      <c r="C441" s="2843">
        <v>374623</v>
      </c>
      <c r="D441" s="2844">
        <v>2010022210</v>
      </c>
      <c r="E441" s="2842" t="s">
        <v>15316</v>
      </c>
      <c r="F441" s="2630"/>
      <c r="G441" s="2637"/>
      <c r="H441" s="2638"/>
      <c r="I441" s="2638"/>
      <c r="J441" s="2347"/>
      <c r="K441" s="2638"/>
      <c r="L441" s="3212"/>
      <c r="M441" s="2347"/>
      <c r="N441" s="3212"/>
      <c r="O441" s="3212"/>
      <c r="P441" s="2347"/>
      <c r="Q441" s="2347" t="s">
        <v>15468</v>
      </c>
    </row>
    <row r="442" spans="1:18" ht="34.4" customHeight="1">
      <c r="A442" s="2842" t="s">
        <v>15317</v>
      </c>
      <c r="B442" s="2843"/>
      <c r="C442" s="2843">
        <v>409317</v>
      </c>
      <c r="D442" s="2844">
        <v>2010022310</v>
      </c>
      <c r="E442" s="2842" t="s">
        <v>15318</v>
      </c>
      <c r="F442" s="2630"/>
      <c r="G442" s="2637"/>
      <c r="H442" s="2638"/>
      <c r="I442" s="2638"/>
      <c r="J442" s="2347"/>
      <c r="K442" s="2638"/>
      <c r="L442" s="3212"/>
      <c r="M442" s="2347"/>
      <c r="N442" s="3212"/>
      <c r="O442" s="3212"/>
      <c r="P442" s="2347"/>
      <c r="Q442" s="2347" t="s">
        <v>15468</v>
      </c>
    </row>
    <row r="443" spans="1:18" ht="34.4" customHeight="1">
      <c r="A443" s="2842" t="s">
        <v>37</v>
      </c>
      <c r="B443" s="2843">
        <v>7726704313</v>
      </c>
      <c r="C443" s="2843">
        <v>293674</v>
      </c>
      <c r="D443" s="2844">
        <v>2010960000</v>
      </c>
      <c r="E443" s="2842" t="s">
        <v>38</v>
      </c>
      <c r="F443" s="2864"/>
      <c r="G443" s="2637"/>
      <c r="H443" s="2638"/>
      <c r="I443" s="2638"/>
      <c r="J443" s="2347"/>
      <c r="K443" s="3212"/>
      <c r="L443" s="3212"/>
      <c r="M443" s="2347" t="s">
        <v>1149</v>
      </c>
      <c r="N443" s="3212"/>
      <c r="O443" s="3212"/>
      <c r="P443" s="2347"/>
      <c r="Q443" s="2347" t="s">
        <v>2547</v>
      </c>
    </row>
    <row r="444" spans="1:18" ht="34.4" customHeight="1">
      <c r="A444" s="2842" t="s">
        <v>15319</v>
      </c>
      <c r="B444" s="2843">
        <v>3906371088</v>
      </c>
      <c r="C444" s="2843">
        <v>639698</v>
      </c>
      <c r="D444" s="2844">
        <v>2011322490</v>
      </c>
      <c r="E444" s="2842" t="s">
        <v>15320</v>
      </c>
      <c r="F444" s="2630"/>
      <c r="G444" s="2637"/>
      <c r="H444" s="2638"/>
      <c r="I444" s="2638"/>
      <c r="J444" s="2347"/>
      <c r="K444" s="2638"/>
      <c r="L444" s="3212"/>
      <c r="M444" s="2347"/>
      <c r="N444" s="3212"/>
      <c r="O444" s="3212"/>
      <c r="P444" s="2347"/>
      <c r="Q444" s="2347" t="s">
        <v>15468</v>
      </c>
    </row>
    <row r="445" spans="1:18" ht="34.4" customHeight="1">
      <c r="A445" s="2842" t="s">
        <v>8482</v>
      </c>
      <c r="B445" s="2843">
        <v>7530012614</v>
      </c>
      <c r="C445" s="2843">
        <v>162226</v>
      </c>
      <c r="D445" s="2844">
        <v>2010230406</v>
      </c>
      <c r="E445" s="2842" t="s">
        <v>8483</v>
      </c>
      <c r="F445" s="2864"/>
      <c r="G445" s="2637"/>
      <c r="H445" s="2866"/>
      <c r="I445" s="2866"/>
      <c r="J445" s="2512"/>
      <c r="K445" s="3212"/>
      <c r="L445" s="3212"/>
      <c r="M445" s="2347" t="s">
        <v>1149</v>
      </c>
      <c r="N445" s="3212"/>
      <c r="O445" s="3212"/>
      <c r="P445" s="2347"/>
      <c r="Q445" s="2347" t="s">
        <v>15474</v>
      </c>
    </row>
    <row r="446" spans="1:18" ht="34.4" customHeight="1">
      <c r="A446" s="2842" t="s">
        <v>9969</v>
      </c>
      <c r="B446" s="2843">
        <v>7726465513</v>
      </c>
      <c r="C446" s="2843">
        <v>652741</v>
      </c>
      <c r="D446" s="2844">
        <v>2011000030</v>
      </c>
      <c r="E446" s="2842" t="s">
        <v>9970</v>
      </c>
      <c r="F446" s="2864"/>
      <c r="G446" s="2637"/>
      <c r="H446" s="2638"/>
      <c r="I446" s="2638"/>
      <c r="J446" s="2347"/>
      <c r="K446" s="3212"/>
      <c r="L446" s="3212"/>
      <c r="M446" s="2347" t="s">
        <v>1149</v>
      </c>
      <c r="N446" s="3212"/>
      <c r="O446" s="3212"/>
      <c r="P446" s="2347"/>
      <c r="Q446" s="2347" t="s">
        <v>15473</v>
      </c>
    </row>
    <row r="447" spans="1:18" ht="34.4" customHeight="1">
      <c r="A447" s="2842" t="s">
        <v>10224</v>
      </c>
      <c r="B447" s="2843">
        <v>7721566412</v>
      </c>
      <c r="C447" s="2843">
        <v>174298</v>
      </c>
      <c r="D447" s="2844">
        <v>2010660100</v>
      </c>
      <c r="E447" s="2842" t="s">
        <v>10225</v>
      </c>
      <c r="F447" s="2864"/>
      <c r="G447" s="2637"/>
      <c r="H447" s="2638"/>
      <c r="I447" s="2638"/>
      <c r="J447" s="2347"/>
      <c r="K447" s="3212"/>
      <c r="L447" s="3212"/>
      <c r="M447" s="2347" t="s">
        <v>1149</v>
      </c>
      <c r="N447" s="3212"/>
      <c r="O447" s="3212"/>
      <c r="P447" s="2347"/>
      <c r="Q447" s="2347" t="s">
        <v>15484</v>
      </c>
    </row>
    <row r="448" spans="1:18" ht="34.4" customHeight="1">
      <c r="A448" s="3116" t="s">
        <v>14930</v>
      </c>
      <c r="B448" s="3504">
        <v>9722017828</v>
      </c>
      <c r="C448" s="3504">
        <v>711013</v>
      </c>
      <c r="D448" s="3505">
        <v>1050100000</v>
      </c>
      <c r="E448" s="3506" t="s">
        <v>14931</v>
      </c>
      <c r="F448" s="2864"/>
      <c r="G448" s="2637"/>
      <c r="H448" s="2638"/>
      <c r="I448" s="2638"/>
      <c r="J448" s="2347"/>
      <c r="K448" s="3212"/>
      <c r="L448" s="3212"/>
      <c r="M448" s="3212" t="s">
        <v>10241</v>
      </c>
      <c r="N448" s="3212" t="s">
        <v>10242</v>
      </c>
      <c r="O448" s="3212"/>
      <c r="P448" s="2347"/>
      <c r="Q448" s="2347" t="s">
        <v>15480</v>
      </c>
    </row>
    <row r="449" spans="1:25" ht="34.4" customHeight="1">
      <c r="A449" s="2842" t="s">
        <v>15321</v>
      </c>
      <c r="B449" s="2843">
        <v>7841088817</v>
      </c>
      <c r="C449" s="2843">
        <v>647271</v>
      </c>
      <c r="D449" s="2844">
        <v>2010995000</v>
      </c>
      <c r="E449" s="2842" t="s">
        <v>15322</v>
      </c>
      <c r="F449" s="2630"/>
      <c r="G449" s="2637"/>
      <c r="H449" s="2638"/>
      <c r="I449" s="2638"/>
      <c r="J449" s="2347"/>
      <c r="K449" s="2638"/>
      <c r="L449" s="3212"/>
      <c r="M449" s="2347"/>
      <c r="N449" s="3212"/>
      <c r="O449" s="3212"/>
      <c r="P449" s="2347"/>
      <c r="Q449" s="2347" t="s">
        <v>15484</v>
      </c>
    </row>
    <row r="450" spans="1:25" ht="34.4" customHeight="1">
      <c r="A450" s="2842" t="s">
        <v>15323</v>
      </c>
      <c r="B450" s="2843">
        <v>6671133627</v>
      </c>
      <c r="C450" s="2843">
        <v>709260</v>
      </c>
      <c r="D450" s="2844">
        <v>2010997000</v>
      </c>
      <c r="E450" s="2842" t="s">
        <v>15324</v>
      </c>
      <c r="F450" s="2630"/>
      <c r="G450" s="2637"/>
      <c r="H450" s="2638"/>
      <c r="I450" s="2638"/>
      <c r="J450" s="2347"/>
      <c r="K450" s="2638"/>
      <c r="L450" s="3212"/>
      <c r="M450" s="2347"/>
      <c r="N450" s="3212"/>
      <c r="O450" s="3212"/>
      <c r="P450" s="2347"/>
      <c r="Q450" s="2347" t="s">
        <v>15484</v>
      </c>
    </row>
    <row r="451" spans="1:25" ht="34.4" customHeight="1">
      <c r="A451" s="2842" t="s">
        <v>15325</v>
      </c>
      <c r="B451" s="2843" t="s">
        <v>15326</v>
      </c>
      <c r="C451" s="2843">
        <v>639728</v>
      </c>
      <c r="D451" s="2844">
        <v>2011322910</v>
      </c>
      <c r="E451" s="2842" t="s">
        <v>15327</v>
      </c>
      <c r="F451" s="2630"/>
      <c r="G451" s="2637"/>
      <c r="H451" s="2638"/>
      <c r="I451" s="2638"/>
      <c r="J451" s="2347"/>
      <c r="K451" s="2638"/>
      <c r="L451" s="3212"/>
      <c r="M451" s="2347"/>
      <c r="N451" s="3212"/>
      <c r="O451" s="3212"/>
      <c r="P451" s="2347"/>
      <c r="Q451" s="2347" t="s">
        <v>15468</v>
      </c>
    </row>
    <row r="452" spans="1:25" ht="34.4" customHeight="1">
      <c r="A452" s="2842" t="s">
        <v>15328</v>
      </c>
      <c r="B452" s="2843">
        <v>2315134805</v>
      </c>
      <c r="C452" s="2843">
        <v>639696</v>
      </c>
      <c r="D452" s="2844">
        <v>2011322220</v>
      </c>
      <c r="E452" s="2842" t="s">
        <v>14759</v>
      </c>
      <c r="F452" s="2630"/>
      <c r="G452" s="2637"/>
      <c r="H452" s="2638"/>
      <c r="I452" s="2638"/>
      <c r="J452" s="2347"/>
      <c r="K452" s="2638"/>
      <c r="L452" s="3212"/>
      <c r="M452" s="2347"/>
      <c r="N452" s="3212"/>
      <c r="O452" s="3212"/>
      <c r="P452" s="2347"/>
      <c r="Q452" s="2347" t="s">
        <v>15468</v>
      </c>
    </row>
    <row r="453" spans="1:25" ht="34.4" customHeight="1">
      <c r="A453" s="2842" t="s">
        <v>15329</v>
      </c>
      <c r="B453" s="2843">
        <v>9706011924</v>
      </c>
      <c r="C453" s="2843">
        <v>690148</v>
      </c>
      <c r="D453" s="2844">
        <v>2011000640</v>
      </c>
      <c r="E453" s="2842" t="s">
        <v>15330</v>
      </c>
      <c r="F453" s="2630"/>
      <c r="G453" s="2637"/>
      <c r="H453" s="2638"/>
      <c r="I453" s="2638"/>
      <c r="J453" s="2347"/>
      <c r="K453" s="2638"/>
      <c r="L453" s="3212"/>
      <c r="M453" s="2347"/>
      <c r="N453" s="3212"/>
      <c r="O453" s="3212"/>
      <c r="P453" s="2347"/>
      <c r="Q453" s="2347" t="s">
        <v>15468</v>
      </c>
    </row>
    <row r="454" spans="1:25" ht="34.4" customHeight="1">
      <c r="A454" s="2842" t="s">
        <v>15331</v>
      </c>
      <c r="B454" s="2843">
        <v>4705039477</v>
      </c>
      <c r="C454" s="2843">
        <v>639699</v>
      </c>
      <c r="D454" s="2844">
        <v>2011322210</v>
      </c>
      <c r="E454" s="2842" t="s">
        <v>14761</v>
      </c>
      <c r="F454" s="2630"/>
      <c r="G454" s="2637"/>
      <c r="H454" s="2638"/>
      <c r="I454" s="2638"/>
      <c r="J454" s="2347"/>
      <c r="K454" s="2638"/>
      <c r="L454" s="3212"/>
      <c r="M454" s="2347"/>
      <c r="N454" s="3212"/>
      <c r="O454" s="3212"/>
      <c r="P454" s="2347"/>
      <c r="Q454" s="2347" t="s">
        <v>15468</v>
      </c>
    </row>
    <row r="455" spans="1:25" ht="34.4" customHeight="1">
      <c r="A455" s="3116" t="s">
        <v>14932</v>
      </c>
      <c r="B455" s="3504">
        <v>9706022877</v>
      </c>
      <c r="C455" s="3504">
        <v>713419</v>
      </c>
      <c r="D455" s="3505">
        <v>1050200000</v>
      </c>
      <c r="E455" s="3506" t="s">
        <v>14933</v>
      </c>
      <c r="F455" s="2864"/>
      <c r="G455" s="2637"/>
      <c r="H455" s="2638"/>
      <c r="I455" s="2638"/>
      <c r="J455" s="2347"/>
      <c r="K455" s="3212"/>
      <c r="L455" s="3212"/>
      <c r="M455" s="2347"/>
      <c r="N455" s="3212"/>
      <c r="O455" s="3212"/>
      <c r="P455" s="2347"/>
      <c r="Q455" s="2347" t="s">
        <v>15480</v>
      </c>
    </row>
    <row r="456" spans="1:25" ht="34.4" customHeight="1">
      <c r="A456" s="2842" t="s">
        <v>15332</v>
      </c>
      <c r="B456" s="2843">
        <v>7706767403</v>
      </c>
      <c r="C456" s="2843">
        <v>639697</v>
      </c>
      <c r="D456" s="2844">
        <v>2011320100</v>
      </c>
      <c r="E456" s="2842" t="s">
        <v>14765</v>
      </c>
      <c r="F456" s="2630"/>
      <c r="G456" s="2637"/>
      <c r="H456" s="2638"/>
      <c r="I456" s="2638"/>
      <c r="J456" s="2347"/>
      <c r="K456" s="2638"/>
      <c r="L456" s="3212"/>
      <c r="M456" s="2347"/>
      <c r="N456" s="3212"/>
      <c r="O456" s="3212"/>
      <c r="P456" s="2347"/>
      <c r="Q456" s="2347" t="s">
        <v>15468</v>
      </c>
    </row>
    <row r="457" spans="1:25" ht="34.4" customHeight="1">
      <c r="A457" s="2842" t="s">
        <v>14325</v>
      </c>
      <c r="B457" s="2843">
        <v>7413026733</v>
      </c>
      <c r="C457" s="2843">
        <v>631298</v>
      </c>
      <c r="D457" s="2844">
        <v>1070030000</v>
      </c>
      <c r="E457" s="2842" t="s">
        <v>14326</v>
      </c>
      <c r="F457" s="2864"/>
      <c r="G457" s="2637"/>
      <c r="H457" s="2638"/>
      <c r="I457" s="2638"/>
      <c r="J457" s="2347"/>
      <c r="K457" s="3212"/>
      <c r="L457" s="3212"/>
      <c r="M457" s="2347" t="s">
        <v>1149</v>
      </c>
      <c r="N457" s="3212"/>
      <c r="O457" s="3212"/>
      <c r="P457" s="2347"/>
      <c r="Q457" s="2347" t="s">
        <v>15480</v>
      </c>
    </row>
    <row r="458" spans="1:25" ht="34.4" customHeight="1">
      <c r="A458" s="2842" t="s">
        <v>15333</v>
      </c>
      <c r="B458" s="2843">
        <v>7813652485</v>
      </c>
      <c r="C458" s="2843">
        <v>684316</v>
      </c>
      <c r="D458" s="2844">
        <v>2010230214</v>
      </c>
      <c r="E458" s="2842" t="s">
        <v>15334</v>
      </c>
      <c r="F458" s="2630"/>
      <c r="G458" s="2637"/>
      <c r="H458" s="2638"/>
      <c r="I458" s="2638"/>
      <c r="J458" s="2347"/>
      <c r="K458" s="2638"/>
      <c r="L458" s="3212"/>
      <c r="M458" s="3212"/>
      <c r="N458" s="3212"/>
      <c r="O458" s="3212"/>
      <c r="P458" s="2347"/>
      <c r="Q458" s="2347" t="s">
        <v>15239</v>
      </c>
    </row>
    <row r="459" spans="1:25" ht="34.4" customHeight="1">
      <c r="A459" s="2842" t="s">
        <v>15335</v>
      </c>
      <c r="B459" s="2843">
        <v>7736675904</v>
      </c>
      <c r="C459" s="2843">
        <v>685462</v>
      </c>
      <c r="D459" s="2844">
        <v>2011103000</v>
      </c>
      <c r="E459" s="2842" t="s">
        <v>15336</v>
      </c>
      <c r="F459" s="2630"/>
      <c r="G459" s="2637"/>
      <c r="H459" s="2638"/>
      <c r="I459" s="2638"/>
      <c r="J459" s="2347"/>
      <c r="K459" s="2638"/>
      <c r="L459" s="3212"/>
      <c r="M459" s="2347"/>
      <c r="N459" s="3212"/>
      <c r="O459" s="3212"/>
      <c r="P459" s="2347"/>
      <c r="Q459" s="2347" t="s">
        <v>15471</v>
      </c>
    </row>
    <row r="460" spans="1:25" ht="34.4" customHeight="1">
      <c r="A460" s="2842" t="s">
        <v>3929</v>
      </c>
      <c r="B460" s="2843">
        <v>5254082542</v>
      </c>
      <c r="C460" s="2843">
        <v>36</v>
      </c>
      <c r="D460" s="2844">
        <v>2010150400</v>
      </c>
      <c r="E460" s="2842" t="s">
        <v>6015</v>
      </c>
      <c r="F460" s="2864"/>
      <c r="G460" s="2637"/>
      <c r="H460" s="2638"/>
      <c r="I460" s="2638"/>
      <c r="J460" s="2347"/>
      <c r="K460" s="3212"/>
      <c r="L460" s="3212"/>
      <c r="M460" s="2347" t="s">
        <v>1149</v>
      </c>
      <c r="N460" s="3212"/>
      <c r="O460" s="3212"/>
      <c r="P460" s="2347"/>
      <c r="Q460" s="2347" t="s">
        <v>15480</v>
      </c>
    </row>
    <row r="461" spans="1:25" ht="34.4" customHeight="1">
      <c r="A461" s="2842" t="s">
        <v>39</v>
      </c>
      <c r="B461" s="2843">
        <v>6724008661</v>
      </c>
      <c r="C461" s="2843">
        <v>295</v>
      </c>
      <c r="D461" s="2844">
        <v>2010590315</v>
      </c>
      <c r="E461" s="2842" t="s">
        <v>40</v>
      </c>
      <c r="F461" s="2864"/>
      <c r="G461" s="2637"/>
      <c r="H461" s="2638"/>
      <c r="I461" s="2638"/>
      <c r="J461" s="2347"/>
      <c r="K461" s="3212"/>
      <c r="L461" s="3212"/>
      <c r="M461" s="2347" t="s">
        <v>1149</v>
      </c>
      <c r="N461" s="3212"/>
      <c r="O461" s="3212"/>
      <c r="P461" s="2347"/>
      <c r="Q461" s="2347" t="s">
        <v>15472</v>
      </c>
    </row>
    <row r="462" spans="1:25" ht="34.4" customHeight="1">
      <c r="A462" s="3636" t="s">
        <v>15448</v>
      </c>
      <c r="B462" s="2843"/>
      <c r="C462" s="2843" t="s">
        <v>15449</v>
      </c>
      <c r="D462" s="2844">
        <v>2010020112</v>
      </c>
      <c r="E462" s="2842" t="s">
        <v>15450</v>
      </c>
      <c r="F462" s="2630"/>
      <c r="G462" s="2637"/>
      <c r="H462" s="2638" t="s">
        <v>9871</v>
      </c>
      <c r="I462" s="2638" t="s">
        <v>9871</v>
      </c>
      <c r="J462" s="2347"/>
      <c r="K462" s="2638"/>
      <c r="L462" s="3212"/>
      <c r="M462" s="2347"/>
      <c r="N462" s="3212"/>
      <c r="O462" s="3212"/>
      <c r="P462" s="2347"/>
      <c r="Q462" s="2347">
        <v>0</v>
      </c>
      <c r="R462" s="3634" t="s">
        <v>14832</v>
      </c>
      <c r="S462" s="3634"/>
      <c r="T462" s="3634"/>
      <c r="U462" s="3634"/>
      <c r="V462" s="3634"/>
      <c r="W462" s="3634"/>
      <c r="X462" s="3634"/>
      <c r="Y462" s="3634"/>
    </row>
    <row r="463" spans="1:25" ht="34.4" customHeight="1">
      <c r="A463" s="2842" t="s">
        <v>15337</v>
      </c>
      <c r="B463" s="2843" t="s">
        <v>15338</v>
      </c>
      <c r="C463" s="2843">
        <v>0</v>
      </c>
      <c r="D463" s="2844">
        <v>2011306330</v>
      </c>
      <c r="E463" s="2842" t="s">
        <v>15339</v>
      </c>
      <c r="F463" s="2630"/>
      <c r="G463" s="2637"/>
      <c r="H463" s="2638"/>
      <c r="I463" s="2638"/>
      <c r="J463" s="2347"/>
      <c r="K463" s="2638"/>
      <c r="L463" s="3212"/>
      <c r="M463" s="2347"/>
      <c r="N463" s="3212"/>
      <c r="O463" s="3212"/>
      <c r="P463" s="2347"/>
      <c r="Q463" s="2347" t="s">
        <v>15468</v>
      </c>
    </row>
    <row r="464" spans="1:25" ht="34.4" customHeight="1">
      <c r="A464" s="2842" t="s">
        <v>15340</v>
      </c>
      <c r="B464" s="2843">
        <v>2315046740</v>
      </c>
      <c r="C464" s="2843">
        <v>639679</v>
      </c>
      <c r="D464" s="2844">
        <v>2011310010</v>
      </c>
      <c r="E464" s="2842" t="s">
        <v>14774</v>
      </c>
      <c r="F464" s="2630"/>
      <c r="G464" s="2637"/>
      <c r="H464" s="2638"/>
      <c r="I464" s="2638"/>
      <c r="J464" s="2347"/>
      <c r="K464" s="2638"/>
      <c r="L464" s="3212"/>
      <c r="M464" s="2347"/>
      <c r="N464" s="3212"/>
      <c r="O464" s="3212"/>
      <c r="P464" s="2347"/>
      <c r="Q464" s="2347" t="s">
        <v>15468</v>
      </c>
    </row>
    <row r="465" spans="1:25" ht="34.4" customHeight="1">
      <c r="A465" s="2842" t="s">
        <v>14344</v>
      </c>
      <c r="B465" s="2843">
        <v>7734578729</v>
      </c>
      <c r="C465" s="2843">
        <v>208919</v>
      </c>
      <c r="D465" s="2844">
        <v>2010660101</v>
      </c>
      <c r="E465" s="2842" t="s">
        <v>8644</v>
      </c>
      <c r="F465" s="2864"/>
      <c r="G465" s="2637"/>
      <c r="H465" s="2638"/>
      <c r="I465" s="2638"/>
      <c r="J465" s="2842"/>
      <c r="K465" s="3212"/>
      <c r="L465" s="3212"/>
      <c r="M465" s="2347" t="s">
        <v>1149</v>
      </c>
      <c r="N465" s="3212"/>
      <c r="O465" s="3212"/>
      <c r="P465" s="2347"/>
      <c r="Q465" s="2347" t="s">
        <v>15484</v>
      </c>
    </row>
    <row r="466" spans="1:25" ht="34.4" customHeight="1">
      <c r="A466" s="3636" t="s">
        <v>15451</v>
      </c>
      <c r="B466" s="2843"/>
      <c r="C466" s="2843" t="s">
        <v>15452</v>
      </c>
      <c r="D466" s="2844">
        <v>2010020111</v>
      </c>
      <c r="E466" s="2842" t="s">
        <v>15453</v>
      </c>
      <c r="F466" s="2630"/>
      <c r="G466" s="2637"/>
      <c r="H466" s="2638"/>
      <c r="I466" s="2638"/>
      <c r="J466" s="2347"/>
      <c r="K466" s="2638"/>
      <c r="L466" s="3212"/>
      <c r="M466" s="2347"/>
      <c r="N466" s="3212"/>
      <c r="O466" s="3212"/>
      <c r="P466" s="2347"/>
      <c r="Q466" s="2347">
        <v>0</v>
      </c>
      <c r="R466" s="3634"/>
      <c r="S466" s="3634"/>
      <c r="T466" s="3634"/>
      <c r="U466" s="3634"/>
      <c r="V466" s="3634"/>
      <c r="W466" s="3634"/>
      <c r="X466" s="3634"/>
      <c r="Y466" s="3634"/>
    </row>
    <row r="467" spans="1:25" ht="34.4" customHeight="1">
      <c r="A467" s="2842" t="s">
        <v>10105</v>
      </c>
      <c r="B467" s="2843">
        <v>2452201644</v>
      </c>
      <c r="C467" s="2843">
        <v>294541</v>
      </c>
      <c r="D467" s="2844">
        <v>3020000005</v>
      </c>
      <c r="E467" s="2842" t="s">
        <v>10106</v>
      </c>
      <c r="F467" s="2629"/>
      <c r="G467" s="2637"/>
      <c r="H467" s="2466"/>
      <c r="I467" s="2466"/>
      <c r="J467" s="2347"/>
      <c r="K467" s="3212"/>
      <c r="L467" s="3212"/>
      <c r="M467" s="2347" t="s">
        <v>1149</v>
      </c>
      <c r="N467" s="3212"/>
      <c r="O467" s="3212"/>
      <c r="P467" s="2347"/>
      <c r="Q467" s="2347" t="s">
        <v>15482</v>
      </c>
    </row>
    <row r="468" spans="1:25" ht="34.4" customHeight="1">
      <c r="A468" s="2842" t="s">
        <v>10172</v>
      </c>
      <c r="B468" s="2843">
        <v>7413027751</v>
      </c>
      <c r="C468" s="2843">
        <v>673685</v>
      </c>
      <c r="D468" s="2844">
        <v>1070040000</v>
      </c>
      <c r="E468" s="2842" t="s">
        <v>10171</v>
      </c>
      <c r="F468" s="2630"/>
      <c r="G468" s="2637"/>
      <c r="H468" s="2638"/>
      <c r="I468" s="2638"/>
      <c r="J468" s="2347"/>
      <c r="K468" s="2638"/>
      <c r="L468" s="3212"/>
      <c r="M468" s="2347" t="s">
        <v>1149</v>
      </c>
      <c r="N468" s="3212"/>
      <c r="O468" s="3212"/>
      <c r="P468" s="2347"/>
      <c r="Q468" s="2347" t="s">
        <v>15480</v>
      </c>
    </row>
    <row r="469" spans="1:25" ht="34.4" customHeight="1">
      <c r="A469" s="3636" t="s">
        <v>15454</v>
      </c>
      <c r="B469" s="2843"/>
      <c r="C469" s="2843" t="s">
        <v>15455</v>
      </c>
      <c r="D469" s="2844">
        <v>2010020132</v>
      </c>
      <c r="E469" s="2842" t="s">
        <v>15456</v>
      </c>
      <c r="F469" s="2630"/>
      <c r="G469" s="2637"/>
      <c r="H469" s="2638"/>
      <c r="I469" s="2638"/>
      <c r="J469" s="2347"/>
      <c r="K469" s="2638"/>
      <c r="L469" s="3212"/>
      <c r="M469" s="2347"/>
      <c r="N469" s="3212"/>
      <c r="O469" s="3212"/>
      <c r="P469" s="2347"/>
      <c r="Q469" s="2347">
        <v>0</v>
      </c>
      <c r="R469" s="3634"/>
      <c r="S469" s="3634"/>
      <c r="T469" s="3634"/>
      <c r="U469" s="3634"/>
      <c r="V469" s="3634"/>
      <c r="W469" s="3634"/>
      <c r="X469" s="3634"/>
      <c r="Y469" s="3634"/>
    </row>
    <row r="470" spans="1:25" ht="34.4" customHeight="1">
      <c r="A470" s="2842" t="s">
        <v>3933</v>
      </c>
      <c r="B470" s="2843">
        <v>1837004309</v>
      </c>
      <c r="C470" s="2843">
        <v>76</v>
      </c>
      <c r="D470" s="2844">
        <v>2010230305</v>
      </c>
      <c r="E470" s="2842" t="s">
        <v>5369</v>
      </c>
      <c r="F470" s="2864"/>
      <c r="G470" s="2637"/>
      <c r="H470" s="2638"/>
      <c r="I470" s="2638"/>
      <c r="J470" s="2347"/>
      <c r="K470" s="3212"/>
      <c r="L470" s="3212"/>
      <c r="M470" s="2347" t="s">
        <v>1149</v>
      </c>
      <c r="N470" s="3212"/>
      <c r="O470" s="3212"/>
      <c r="P470" s="2347"/>
      <c r="Q470" s="2347" t="s">
        <v>15239</v>
      </c>
    </row>
    <row r="471" spans="1:25" ht="34.4" customHeight="1">
      <c r="A471" s="2842" t="s">
        <v>14340</v>
      </c>
      <c r="B471" s="2843"/>
      <c r="C471" s="2843">
        <v>488086</v>
      </c>
      <c r="D471" s="2844">
        <v>2010021611</v>
      </c>
      <c r="E471" s="2842" t="s">
        <v>14341</v>
      </c>
      <c r="F471" s="2864"/>
      <c r="G471" s="2637"/>
      <c r="H471" s="2638"/>
      <c r="I471" s="2638"/>
      <c r="J471" s="2347"/>
      <c r="K471" s="3212"/>
      <c r="L471" s="3212"/>
      <c r="M471" s="2347" t="s">
        <v>1149</v>
      </c>
      <c r="N471" s="3212"/>
      <c r="O471" s="3212"/>
      <c r="P471" s="2347"/>
      <c r="Q471" s="2347" t="s">
        <v>15469</v>
      </c>
    </row>
    <row r="472" spans="1:25" ht="34.4" customHeight="1">
      <c r="A472" s="2842" t="s">
        <v>15341</v>
      </c>
      <c r="B472" s="2843">
        <v>7729664877</v>
      </c>
      <c r="C472" s="2843">
        <v>657783</v>
      </c>
      <c r="D472" s="2844">
        <v>2011322400</v>
      </c>
      <c r="E472" s="2842" t="s">
        <v>14751</v>
      </c>
      <c r="F472" s="2630"/>
      <c r="G472" s="2637"/>
      <c r="H472" s="2638"/>
      <c r="I472" s="2638"/>
      <c r="J472" s="2347"/>
      <c r="K472" s="2638"/>
      <c r="L472" s="3212"/>
      <c r="M472" s="2347"/>
      <c r="N472" s="3212"/>
      <c r="O472" s="3212"/>
      <c r="P472" s="2347"/>
      <c r="Q472" s="2347" t="s">
        <v>15468</v>
      </c>
    </row>
    <row r="473" spans="1:25" ht="34.4" customHeight="1">
      <c r="A473" s="2842" t="s">
        <v>15342</v>
      </c>
      <c r="B473" s="2843">
        <v>7720422425</v>
      </c>
      <c r="C473" s="2843"/>
      <c r="D473" s="2844">
        <v>2011304100</v>
      </c>
      <c r="E473" s="2842" t="s">
        <v>15343</v>
      </c>
      <c r="F473" s="2630"/>
      <c r="G473" s="2637"/>
      <c r="H473" s="2638"/>
      <c r="I473" s="2638"/>
      <c r="J473" s="2347"/>
      <c r="K473" s="2638"/>
      <c r="L473" s="3212"/>
      <c r="M473" s="2347"/>
      <c r="N473" s="3212"/>
      <c r="O473" s="3212"/>
      <c r="P473" s="2347"/>
      <c r="Q473" s="2347" t="s">
        <v>15468</v>
      </c>
    </row>
    <row r="474" spans="1:25" ht="34.4" customHeight="1">
      <c r="A474" s="2842" t="s">
        <v>7594</v>
      </c>
      <c r="B474" s="2843">
        <v>2452040108</v>
      </c>
      <c r="C474" s="2843">
        <v>339103</v>
      </c>
      <c r="D474" s="2844">
        <v>3020000001</v>
      </c>
      <c r="E474" s="2842" t="s">
        <v>6830</v>
      </c>
      <c r="F474" s="2864"/>
      <c r="G474" s="2637"/>
      <c r="H474" s="2638"/>
      <c r="I474" s="2638"/>
      <c r="J474" s="2347"/>
      <c r="K474" s="3212"/>
      <c r="L474" s="3212"/>
      <c r="M474" s="2347" t="s">
        <v>1149</v>
      </c>
      <c r="N474" s="3212"/>
      <c r="O474" s="3212"/>
      <c r="P474" s="2347"/>
      <c r="Q474" s="2347" t="s">
        <v>15482</v>
      </c>
    </row>
    <row r="475" spans="1:25" ht="34.4" customHeight="1">
      <c r="A475" s="3636" t="s">
        <v>15457</v>
      </c>
      <c r="B475" s="2843"/>
      <c r="C475" s="2843" t="s">
        <v>15458</v>
      </c>
      <c r="D475" s="2844">
        <v>2010020142</v>
      </c>
      <c r="E475" s="2842" t="s">
        <v>15459</v>
      </c>
      <c r="F475" s="2630"/>
      <c r="G475" s="2637"/>
      <c r="H475" s="2638"/>
      <c r="I475" s="2638"/>
      <c r="J475" s="2347"/>
      <c r="K475" s="2638"/>
      <c r="L475" s="3212"/>
      <c r="M475" s="2347"/>
      <c r="N475" s="3212"/>
      <c r="O475" s="3212"/>
      <c r="P475" s="2347"/>
      <c r="Q475" s="2347">
        <v>0</v>
      </c>
      <c r="R475" s="3634"/>
      <c r="S475" s="3634"/>
      <c r="T475" s="3634"/>
      <c r="U475" s="3634"/>
      <c r="V475" s="3634"/>
      <c r="W475" s="3634"/>
      <c r="X475" s="3634"/>
      <c r="Y475" s="3634"/>
    </row>
    <row r="476" spans="1:25" ht="34.4" customHeight="1">
      <c r="A476" s="2842" t="s">
        <v>3934</v>
      </c>
      <c r="B476" s="2843">
        <v>7530012491</v>
      </c>
      <c r="C476" s="2843">
        <v>260</v>
      </c>
      <c r="D476" s="2844">
        <v>2010230403</v>
      </c>
      <c r="E476" s="2842" t="s">
        <v>3935</v>
      </c>
      <c r="F476" s="2864"/>
      <c r="G476" s="2637"/>
      <c r="H476" s="2638"/>
      <c r="I476" s="2638"/>
      <c r="J476" s="2347"/>
      <c r="K476" s="3212"/>
      <c r="L476" s="3212"/>
      <c r="M476" s="2347" t="s">
        <v>1149</v>
      </c>
      <c r="N476" s="3212"/>
      <c r="O476" s="3212"/>
      <c r="P476" s="2347"/>
      <c r="Q476" s="2347" t="s">
        <v>15474</v>
      </c>
    </row>
    <row r="477" spans="1:25" ht="34.4" customHeight="1">
      <c r="A477" s="2842" t="s">
        <v>3938</v>
      </c>
      <c r="B477" s="2843">
        <v>7530003426</v>
      </c>
      <c r="C477" s="2843">
        <v>259</v>
      </c>
      <c r="D477" s="2844">
        <v>2010230401</v>
      </c>
      <c r="E477" s="2842" t="s">
        <v>6291</v>
      </c>
      <c r="F477" s="2864"/>
      <c r="G477" s="2637"/>
      <c r="H477" s="2638"/>
      <c r="I477" s="2638"/>
      <c r="J477" s="2347"/>
      <c r="K477" s="3212"/>
      <c r="L477" s="3212"/>
      <c r="M477" s="2347" t="s">
        <v>1149</v>
      </c>
      <c r="N477" s="3212"/>
      <c r="O477" s="3212"/>
      <c r="P477" s="2347"/>
      <c r="Q477" s="2347" t="s">
        <v>15474</v>
      </c>
    </row>
    <row r="478" spans="1:25" ht="34.4" customHeight="1">
      <c r="A478" s="2842" t="s">
        <v>6101</v>
      </c>
      <c r="B478" s="2843">
        <v>2452201651</v>
      </c>
      <c r="C478" s="2843">
        <v>294831</v>
      </c>
      <c r="D478" s="2844">
        <v>3020000004</v>
      </c>
      <c r="E478" s="2842" t="s">
        <v>6831</v>
      </c>
      <c r="F478" s="2864"/>
      <c r="G478" s="2637"/>
      <c r="H478" s="2638"/>
      <c r="I478" s="2638"/>
      <c r="J478" s="2347"/>
      <c r="K478" s="3212"/>
      <c r="L478" s="3212"/>
      <c r="M478" s="2347" t="s">
        <v>1149</v>
      </c>
      <c r="N478" s="3212"/>
      <c r="O478" s="3212"/>
      <c r="P478" s="2347"/>
      <c r="Q478" s="2347" t="s">
        <v>15482</v>
      </c>
    </row>
    <row r="479" spans="1:25" ht="34.4" customHeight="1">
      <c r="A479" s="2842" t="s">
        <v>3939</v>
      </c>
      <c r="B479" s="2843">
        <v>7706607400</v>
      </c>
      <c r="C479" s="2843">
        <v>117</v>
      </c>
      <c r="D479" s="2844">
        <v>2010240400</v>
      </c>
      <c r="E479" s="2842" t="s">
        <v>6052</v>
      </c>
      <c r="F479" s="2629"/>
      <c r="G479" s="2637"/>
      <c r="H479" s="2638"/>
      <c r="I479" s="2638"/>
      <c r="J479" s="2347"/>
      <c r="K479" s="3212"/>
      <c r="L479" s="3212"/>
      <c r="M479" s="2347" t="s">
        <v>1149</v>
      </c>
      <c r="N479" s="3212"/>
      <c r="O479" s="3212"/>
      <c r="P479" s="2347"/>
      <c r="Q479" s="2347" t="s">
        <v>15469</v>
      </c>
    </row>
    <row r="480" spans="1:25" ht="34.4" customHeight="1">
      <c r="A480" s="3116" t="s">
        <v>14705</v>
      </c>
      <c r="B480" s="3504">
        <v>7817038269</v>
      </c>
      <c r="C480" s="3504">
        <v>401920</v>
      </c>
      <c r="D480" s="3505">
        <v>2010242662</v>
      </c>
      <c r="E480" s="3316" t="s">
        <v>15148</v>
      </c>
      <c r="F480" s="2864"/>
      <c r="G480" s="2637"/>
      <c r="H480" s="2638"/>
      <c r="I480" s="2638"/>
      <c r="J480" s="2347"/>
      <c r="K480" s="3212"/>
      <c r="L480" s="3212"/>
      <c r="M480" s="2347"/>
      <c r="N480" s="3212"/>
      <c r="O480" s="3212"/>
      <c r="P480" s="2347"/>
      <c r="Q480" s="2347" t="s">
        <v>15467</v>
      </c>
    </row>
    <row r="481" spans="1:17" ht="34.4" customHeight="1">
      <c r="A481" s="2842" t="s">
        <v>9973</v>
      </c>
      <c r="B481" s="2843">
        <v>5216017398</v>
      </c>
      <c r="C481" s="2843">
        <v>210166</v>
      </c>
      <c r="D481" s="2844">
        <v>4150000001</v>
      </c>
      <c r="E481" s="2842" t="s">
        <v>9974</v>
      </c>
      <c r="F481" s="2864"/>
      <c r="G481" s="2637"/>
      <c r="H481" s="2638"/>
      <c r="I481" s="2347"/>
      <c r="J481" s="2347"/>
      <c r="K481" s="3212"/>
      <c r="L481" s="3212"/>
      <c r="M481" s="2347" t="s">
        <v>1149</v>
      </c>
      <c r="N481" s="3212"/>
      <c r="O481" s="3212"/>
      <c r="P481" s="2347"/>
      <c r="Q481" s="2347" t="s">
        <v>15480</v>
      </c>
    </row>
    <row r="482" spans="1:17" ht="34.4" customHeight="1">
      <c r="A482" s="2842" t="s">
        <v>6832</v>
      </c>
      <c r="B482" s="2843" t="s">
        <v>7490</v>
      </c>
      <c r="C482" s="2843" t="s">
        <v>7491</v>
      </c>
      <c r="D482" s="2844">
        <v>1051000000</v>
      </c>
      <c r="E482" s="2842" t="s">
        <v>6833</v>
      </c>
      <c r="F482" s="2864"/>
      <c r="G482" s="2637"/>
      <c r="H482" s="2638"/>
      <c r="I482" s="2465" t="s">
        <v>6173</v>
      </c>
      <c r="J482" s="2347"/>
      <c r="K482" s="3212"/>
      <c r="L482" s="3212"/>
      <c r="M482" s="2347" t="s">
        <v>1149</v>
      </c>
      <c r="N482" s="3212"/>
      <c r="O482" s="3212"/>
      <c r="P482" s="2347"/>
      <c r="Q482" s="2347" t="s">
        <v>15480</v>
      </c>
    </row>
    <row r="483" spans="1:17" ht="34.4" customHeight="1">
      <c r="A483" s="2842" t="s">
        <v>9975</v>
      </c>
      <c r="B483" s="2843">
        <v>7813634750</v>
      </c>
      <c r="C483" s="2843">
        <v>603036</v>
      </c>
      <c r="D483" s="2844">
        <v>2010592550</v>
      </c>
      <c r="E483" s="2842" t="s">
        <v>9976</v>
      </c>
      <c r="F483" s="2630"/>
      <c r="G483" s="2637"/>
      <c r="H483" s="2638"/>
      <c r="I483" s="2638"/>
      <c r="J483" s="2347"/>
      <c r="K483" s="2638"/>
      <c r="L483" s="3212"/>
      <c r="M483" s="2347" t="s">
        <v>1149</v>
      </c>
      <c r="N483" s="3212"/>
      <c r="O483" s="3212"/>
      <c r="P483" s="2347"/>
      <c r="Q483" s="2347" t="s">
        <v>15472</v>
      </c>
    </row>
    <row r="484" spans="1:17" ht="34.4" customHeight="1">
      <c r="A484" s="2842" t="s">
        <v>8649</v>
      </c>
      <c r="B484" s="2843" t="s">
        <v>8650</v>
      </c>
      <c r="C484" s="2843">
        <v>263809</v>
      </c>
      <c r="D484" s="2844">
        <v>2010592530</v>
      </c>
      <c r="E484" s="2842" t="s">
        <v>8651</v>
      </c>
      <c r="F484" s="2864"/>
      <c r="G484" s="2637"/>
      <c r="H484" s="2638"/>
      <c r="I484" s="2638"/>
      <c r="J484" s="2347"/>
      <c r="K484" s="3212"/>
      <c r="L484" s="3212"/>
      <c r="M484" s="2347" t="s">
        <v>1149</v>
      </c>
      <c r="N484" s="3212"/>
      <c r="O484" s="3212"/>
      <c r="P484" s="2347"/>
      <c r="Q484" s="2347" t="s">
        <v>15472</v>
      </c>
    </row>
    <row r="485" spans="1:17" ht="34.4" customHeight="1">
      <c r="A485" s="2842" t="s">
        <v>15344</v>
      </c>
      <c r="B485" s="2843">
        <v>2315095521</v>
      </c>
      <c r="C485" s="2843">
        <v>639689</v>
      </c>
      <c r="D485" s="2844">
        <v>2011322280</v>
      </c>
      <c r="E485" s="2842" t="s">
        <v>14769</v>
      </c>
      <c r="F485" s="2630"/>
      <c r="G485" s="2637"/>
      <c r="H485" s="2638"/>
      <c r="I485" s="2638"/>
      <c r="J485" s="2347"/>
      <c r="K485" s="2638"/>
      <c r="L485" s="3212"/>
      <c r="M485" s="2347"/>
      <c r="N485" s="3212"/>
      <c r="O485" s="3212"/>
      <c r="P485" s="2347"/>
      <c r="Q485" s="2347" t="s">
        <v>15468</v>
      </c>
    </row>
    <row r="486" spans="1:17" ht="34.4" customHeight="1">
      <c r="A486" s="3116" t="s">
        <v>15463</v>
      </c>
      <c r="B486" s="3504">
        <v>7817044801</v>
      </c>
      <c r="C486" s="3504">
        <v>117577</v>
      </c>
      <c r="D486" s="3505">
        <v>2010242663</v>
      </c>
      <c r="E486" s="3506" t="s">
        <v>15464</v>
      </c>
      <c r="F486" s="2864"/>
      <c r="G486" s="2637"/>
      <c r="H486" s="2638"/>
      <c r="I486" s="2638"/>
      <c r="J486" s="2347"/>
      <c r="K486" s="3212"/>
      <c r="L486" s="3212"/>
      <c r="M486" s="2347"/>
      <c r="N486" s="3212"/>
      <c r="O486" s="3212"/>
      <c r="P486" s="2347"/>
      <c r="Q486" s="2347" t="s">
        <v>15467</v>
      </c>
    </row>
    <row r="487" spans="1:17" ht="34.4" customHeight="1">
      <c r="A487" s="2842" t="s">
        <v>10175</v>
      </c>
      <c r="B487" s="2843">
        <v>9724038485</v>
      </c>
      <c r="C487" s="2843">
        <v>673542</v>
      </c>
      <c r="D487" s="2844">
        <v>1070050000</v>
      </c>
      <c r="E487" s="2842" t="s">
        <v>10174</v>
      </c>
      <c r="F487" s="2630"/>
      <c r="G487" s="2637"/>
      <c r="H487" s="2638"/>
      <c r="I487" s="2638"/>
      <c r="J487" s="2347"/>
      <c r="K487" s="2638"/>
      <c r="L487" s="3212"/>
      <c r="M487" s="3212" t="s">
        <v>10241</v>
      </c>
      <c r="N487" s="3212" t="s">
        <v>10242</v>
      </c>
      <c r="O487" s="3212"/>
      <c r="P487" s="2347"/>
      <c r="Q487" s="2347" t="s">
        <v>15239</v>
      </c>
    </row>
    <row r="488" spans="1:17" ht="34.4" customHeight="1">
      <c r="A488" s="2842" t="s">
        <v>15345</v>
      </c>
      <c r="B488" s="2843">
        <v>5074043311</v>
      </c>
      <c r="C488" s="2843">
        <v>571551</v>
      </c>
      <c r="D488" s="2844">
        <v>2011323500</v>
      </c>
      <c r="E488" s="2842" t="s">
        <v>14767</v>
      </c>
      <c r="F488" s="2630"/>
      <c r="G488" s="2637"/>
      <c r="H488" s="2638"/>
      <c r="I488" s="2638"/>
      <c r="J488" s="2347"/>
      <c r="K488" s="2638"/>
      <c r="L488" s="3212"/>
      <c r="M488" s="2347"/>
      <c r="N488" s="3212"/>
      <c r="O488" s="3212"/>
      <c r="P488" s="2347"/>
      <c r="Q488" s="2347" t="s">
        <v>15468</v>
      </c>
    </row>
    <row r="489" spans="1:17" ht="34.4" customHeight="1">
      <c r="A489" s="2842" t="s">
        <v>9874</v>
      </c>
      <c r="B489" s="2843">
        <v>111140017365</v>
      </c>
      <c r="C489" s="2843">
        <v>247487</v>
      </c>
      <c r="D489" s="2844">
        <v>2010234924</v>
      </c>
      <c r="E489" s="2842" t="s">
        <v>9874</v>
      </c>
      <c r="F489" s="2631"/>
      <c r="G489" s="2637"/>
      <c r="H489" s="2638"/>
      <c r="I489" s="2638"/>
      <c r="J489" s="2347"/>
      <c r="K489" s="2638"/>
      <c r="L489" s="3212"/>
      <c r="M489" s="2347" t="s">
        <v>1149</v>
      </c>
      <c r="N489" s="3212"/>
      <c r="O489" s="3212"/>
      <c r="P489" s="2347"/>
      <c r="Q489" s="2347">
        <v>0</v>
      </c>
    </row>
    <row r="490" spans="1:17" ht="34.4" customHeight="1">
      <c r="A490" s="2842" t="s">
        <v>15541</v>
      </c>
      <c r="B490" s="2843"/>
      <c r="C490" s="2843">
        <v>397923</v>
      </c>
      <c r="D490" s="2844">
        <v>2010022410</v>
      </c>
      <c r="E490" s="2842" t="s">
        <v>15346</v>
      </c>
      <c r="F490" s="2630"/>
      <c r="G490" s="2637"/>
      <c r="H490" s="2638"/>
      <c r="I490" s="2638"/>
      <c r="J490" s="2347"/>
      <c r="K490" s="2638"/>
      <c r="L490" s="3212"/>
      <c r="M490" s="2347"/>
      <c r="N490" s="3212"/>
      <c r="O490" s="3212"/>
      <c r="P490" s="2347"/>
      <c r="Q490" s="2347" t="s">
        <v>15468</v>
      </c>
    </row>
    <row r="491" spans="1:17" ht="34.4" customHeight="1">
      <c r="A491" s="2842" t="s">
        <v>15347</v>
      </c>
      <c r="B491" s="2843">
        <v>193579696</v>
      </c>
      <c r="C491" s="2843">
        <v>690154</v>
      </c>
      <c r="D491" s="2844">
        <v>2011322410</v>
      </c>
      <c r="E491" s="2842" t="s">
        <v>15348</v>
      </c>
      <c r="F491" s="2630"/>
      <c r="G491" s="2637"/>
      <c r="H491" s="2638"/>
      <c r="I491" s="2638"/>
      <c r="J491" s="2347"/>
      <c r="K491" s="2638"/>
      <c r="L491" s="3212"/>
      <c r="M491" s="2347"/>
      <c r="N491" s="3212"/>
      <c r="O491" s="3212"/>
      <c r="P491" s="2347"/>
      <c r="Q491" s="2347" t="s">
        <v>15468</v>
      </c>
    </row>
    <row r="492" spans="1:17" ht="34.4" customHeight="1">
      <c r="A492" s="2842" t="s">
        <v>15349</v>
      </c>
      <c r="B492" s="2843">
        <v>6345646</v>
      </c>
      <c r="C492" s="2843">
        <v>639744</v>
      </c>
      <c r="D492" s="2844">
        <v>2011322900</v>
      </c>
      <c r="E492" s="2842" t="s">
        <v>15350</v>
      </c>
      <c r="F492" s="2630"/>
      <c r="G492" s="2637"/>
      <c r="H492" s="2638"/>
      <c r="I492" s="2638"/>
      <c r="J492" s="2347"/>
      <c r="K492" s="2638"/>
      <c r="L492" s="3212"/>
      <c r="M492" s="2347"/>
      <c r="N492" s="3212"/>
      <c r="O492" s="3212"/>
      <c r="P492" s="2347"/>
      <c r="Q492" s="2347" t="s">
        <v>15468</v>
      </c>
    </row>
    <row r="493" spans="1:17" ht="34.4" customHeight="1">
      <c r="A493" s="2842" t="s">
        <v>6102</v>
      </c>
      <c r="B493" s="2843">
        <v>7423023178</v>
      </c>
      <c r="C493" s="2843">
        <v>197744</v>
      </c>
      <c r="D493" s="2844">
        <v>1110020000</v>
      </c>
      <c r="E493" s="2842" t="s">
        <v>8037</v>
      </c>
      <c r="F493" s="2864"/>
      <c r="G493" s="2637"/>
      <c r="H493" s="2638"/>
      <c r="I493" s="2638"/>
      <c r="J493" s="2347"/>
      <c r="K493" s="3212"/>
      <c r="L493" s="3212"/>
      <c r="M493" s="2347" t="s">
        <v>1149</v>
      </c>
      <c r="N493" s="3212"/>
      <c r="O493" s="3212"/>
      <c r="P493" s="2347"/>
      <c r="Q493" s="2347" t="s">
        <v>15480</v>
      </c>
    </row>
    <row r="494" spans="1:17" ht="34.4" customHeight="1">
      <c r="A494" s="2842" t="s">
        <v>3942</v>
      </c>
      <c r="B494" s="2843">
        <v>5410153786</v>
      </c>
      <c r="C494" s="2843">
        <v>65</v>
      </c>
      <c r="D494" s="2844">
        <v>2010230205</v>
      </c>
      <c r="E494" s="2842" t="s">
        <v>6083</v>
      </c>
      <c r="F494" s="2864"/>
      <c r="G494" s="2637"/>
      <c r="H494" s="2638"/>
      <c r="I494" s="2638"/>
      <c r="J494" s="2347"/>
      <c r="K494" s="3212"/>
      <c r="L494" s="3212"/>
      <c r="M494" s="2347" t="s">
        <v>1149</v>
      </c>
      <c r="N494" s="3212"/>
      <c r="O494" s="3212"/>
      <c r="P494" s="2347"/>
      <c r="Q494" s="2347" t="s">
        <v>15239</v>
      </c>
    </row>
    <row r="495" spans="1:17" ht="34.4" customHeight="1">
      <c r="A495" s="2842" t="s">
        <v>6103</v>
      </c>
      <c r="B495" s="2843">
        <v>7451382644</v>
      </c>
      <c r="C495" s="2843">
        <v>399601</v>
      </c>
      <c r="D495" s="2844">
        <v>1110000002</v>
      </c>
      <c r="E495" s="2842" t="s">
        <v>8067</v>
      </c>
      <c r="F495" s="2864"/>
      <c r="G495" s="2637"/>
      <c r="H495" s="2638"/>
      <c r="I495" s="2465" t="s">
        <v>6173</v>
      </c>
      <c r="J495" s="2842"/>
      <c r="K495" s="3212"/>
      <c r="L495" s="3212"/>
      <c r="M495" s="2347" t="s">
        <v>1149</v>
      </c>
      <c r="N495" s="3212"/>
      <c r="O495" s="3212"/>
      <c r="P495" s="2347"/>
      <c r="Q495" s="2347" t="s">
        <v>15480</v>
      </c>
    </row>
    <row r="496" spans="1:17" ht="34.4" customHeight="1">
      <c r="A496" s="2842" t="s">
        <v>10068</v>
      </c>
      <c r="B496" s="2843">
        <v>7536087140</v>
      </c>
      <c r="C496" s="2843">
        <v>19</v>
      </c>
      <c r="D496" s="2844">
        <v>2010020200</v>
      </c>
      <c r="E496" s="2842" t="s">
        <v>10069</v>
      </c>
      <c r="F496" s="2864"/>
      <c r="G496" s="2637"/>
      <c r="H496" s="2638"/>
      <c r="I496" s="2638"/>
      <c r="J496" s="2842"/>
      <c r="K496" s="3212"/>
      <c r="L496" s="3212"/>
      <c r="M496" s="2347" t="s">
        <v>1149</v>
      </c>
      <c r="N496" s="3212"/>
      <c r="O496" s="3212"/>
      <c r="P496" s="2347"/>
      <c r="Q496" s="2347" t="s">
        <v>15474</v>
      </c>
    </row>
    <row r="497" spans="1:25" ht="34.4" customHeight="1">
      <c r="A497" s="2842" t="s">
        <v>15351</v>
      </c>
      <c r="B497" s="2843">
        <v>7705867885</v>
      </c>
      <c r="C497" s="2843">
        <v>360626</v>
      </c>
      <c r="D497" s="2844">
        <v>2011306300</v>
      </c>
      <c r="E497" s="2842" t="s">
        <v>15352</v>
      </c>
      <c r="F497" s="2630"/>
      <c r="G497" s="2637"/>
      <c r="H497" s="2638"/>
      <c r="I497" s="2638"/>
      <c r="J497" s="2347"/>
      <c r="K497" s="2638"/>
      <c r="L497" s="3212"/>
      <c r="M497" s="2347"/>
      <c r="N497" s="3212"/>
      <c r="O497" s="3212"/>
      <c r="P497" s="2347"/>
      <c r="Q497" s="2347" t="s">
        <v>15468</v>
      </c>
    </row>
    <row r="498" spans="1:25" ht="34.4" customHeight="1">
      <c r="A498" s="2842" t="s">
        <v>49</v>
      </c>
      <c r="B498" s="2843">
        <v>7422032148</v>
      </c>
      <c r="C498" s="2843">
        <v>132635</v>
      </c>
      <c r="D498" s="2844">
        <v>2010450109</v>
      </c>
      <c r="E498" s="2842" t="s">
        <v>50</v>
      </c>
      <c r="F498" s="2629"/>
      <c r="G498" s="2637"/>
      <c r="H498" s="2466"/>
      <c r="I498" s="2466"/>
      <c r="J498" s="2347"/>
      <c r="K498" s="3212"/>
      <c r="L498" s="3212"/>
      <c r="M498" s="2347" t="s">
        <v>1149</v>
      </c>
      <c r="N498" s="3212"/>
      <c r="O498" s="3212"/>
      <c r="P498" s="2347"/>
      <c r="Q498" s="2347" t="s">
        <v>15475</v>
      </c>
    </row>
    <row r="499" spans="1:25" s="3634" customFormat="1">
      <c r="A499" s="2842" t="s">
        <v>15353</v>
      </c>
      <c r="B499" s="2843">
        <v>7805584697</v>
      </c>
      <c r="C499" s="2843">
        <v>679314</v>
      </c>
      <c r="D499" s="2844">
        <v>2011306200</v>
      </c>
      <c r="E499" s="2842" t="s">
        <v>15354</v>
      </c>
      <c r="F499" s="2630"/>
      <c r="G499" s="2637"/>
      <c r="H499" s="2638"/>
      <c r="I499" s="2638"/>
      <c r="J499" s="2347"/>
      <c r="K499" s="2638"/>
      <c r="L499" s="3212"/>
      <c r="M499" s="2347"/>
      <c r="N499" s="3212"/>
      <c r="O499" s="3212"/>
      <c r="P499" s="2347"/>
      <c r="Q499" s="2347" t="s">
        <v>15468</v>
      </c>
      <c r="R499" s="395"/>
      <c r="S499" s="395"/>
      <c r="T499" s="395"/>
      <c r="U499" s="395"/>
      <c r="V499" s="395"/>
      <c r="W499" s="395"/>
      <c r="X499" s="395"/>
      <c r="Y499" s="395"/>
    </row>
    <row r="500" spans="1:25" s="3634" customFormat="1" ht="29">
      <c r="A500" s="3653" t="s">
        <v>15508</v>
      </c>
      <c r="B500" s="2843">
        <v>2315166028</v>
      </c>
      <c r="C500" s="2843">
        <v>639708</v>
      </c>
      <c r="D500" s="2844">
        <v>2011320400</v>
      </c>
      <c r="E500" s="2842" t="s">
        <v>15509</v>
      </c>
      <c r="F500" s="2630"/>
      <c r="G500" s="2637"/>
      <c r="H500" s="2638"/>
      <c r="I500" s="2638"/>
      <c r="J500" s="2347"/>
      <c r="K500" s="2638"/>
      <c r="L500" s="3212"/>
      <c r="M500" s="2347"/>
      <c r="N500" s="3212"/>
      <c r="O500" s="3212"/>
      <c r="P500" s="2347"/>
      <c r="Q500" s="2347" t="s">
        <v>15468</v>
      </c>
      <c r="R500" s="395"/>
      <c r="S500" s="395"/>
      <c r="T500" s="395"/>
      <c r="U500" s="395"/>
      <c r="V500" s="395"/>
      <c r="W500" s="395"/>
      <c r="X500" s="395"/>
      <c r="Y500" s="395"/>
    </row>
    <row r="501" spans="1:25" s="3634" customFormat="1">
      <c r="A501" s="2842" t="s">
        <v>6106</v>
      </c>
      <c r="B501" s="2843">
        <v>5216000193</v>
      </c>
      <c r="C501" s="2843">
        <v>225731</v>
      </c>
      <c r="D501" s="2844">
        <v>1150000005</v>
      </c>
      <c r="E501" s="2842" t="s">
        <v>8069</v>
      </c>
      <c r="F501" s="2864"/>
      <c r="G501" s="2637"/>
      <c r="H501" s="2638"/>
      <c r="I501" s="2638"/>
      <c r="J501" s="2347"/>
      <c r="K501" s="3212"/>
      <c r="L501" s="3212"/>
      <c r="M501" s="2347" t="s">
        <v>1149</v>
      </c>
      <c r="N501" s="3212"/>
      <c r="O501" s="3212"/>
      <c r="P501" s="2347"/>
      <c r="Q501" s="2347" t="s">
        <v>15480</v>
      </c>
      <c r="R501" s="395"/>
      <c r="S501" s="395"/>
      <c r="T501" s="395"/>
      <c r="U501" s="395"/>
      <c r="V501" s="395"/>
      <c r="W501" s="395"/>
      <c r="X501" s="395"/>
      <c r="Y501" s="395"/>
    </row>
    <row r="502" spans="1:25" s="3634" customFormat="1">
      <c r="A502" s="2842" t="s">
        <v>15355</v>
      </c>
      <c r="B502" s="2843">
        <v>7720259786</v>
      </c>
      <c r="C502" s="2843">
        <v>223326</v>
      </c>
      <c r="D502" s="2844">
        <v>2011322290</v>
      </c>
      <c r="E502" s="2842" t="s">
        <v>14773</v>
      </c>
      <c r="F502" s="2630"/>
      <c r="G502" s="2637"/>
      <c r="H502" s="2638"/>
      <c r="I502" s="2638"/>
      <c r="J502" s="2347"/>
      <c r="K502" s="2638"/>
      <c r="L502" s="3212"/>
      <c r="M502" s="2347"/>
      <c r="N502" s="3212"/>
      <c r="O502" s="3212"/>
      <c r="P502" s="2347"/>
      <c r="Q502" s="2347" t="s">
        <v>15468</v>
      </c>
      <c r="R502" s="395"/>
      <c r="S502" s="395"/>
      <c r="T502" s="395"/>
      <c r="U502" s="395"/>
      <c r="V502" s="395"/>
      <c r="W502" s="395"/>
      <c r="X502" s="395"/>
      <c r="Y502" s="395"/>
    </row>
    <row r="503" spans="1:25" s="3634" customFormat="1">
      <c r="A503" s="3636" t="s">
        <v>15460</v>
      </c>
      <c r="B503" s="2843"/>
      <c r="C503" s="2843" t="s">
        <v>15461</v>
      </c>
      <c r="D503" s="2844">
        <v>2010020152</v>
      </c>
      <c r="E503" s="2842" t="s">
        <v>15462</v>
      </c>
      <c r="F503" s="2630"/>
      <c r="G503" s="2637"/>
      <c r="H503" s="2638"/>
      <c r="I503" s="2638"/>
      <c r="J503" s="2347"/>
      <c r="K503" s="2638"/>
      <c r="L503" s="3212"/>
      <c r="M503" s="2347"/>
      <c r="N503" s="3212"/>
      <c r="O503" s="3212"/>
      <c r="P503" s="2347"/>
      <c r="Q503" s="2347">
        <v>0</v>
      </c>
    </row>
    <row r="504" spans="1:25" s="3634" customFormat="1">
      <c r="A504" s="2842" t="s">
        <v>15356</v>
      </c>
      <c r="B504" s="2843">
        <v>5009059167</v>
      </c>
      <c r="C504" s="2843">
        <v>679306</v>
      </c>
      <c r="D504" s="2844">
        <v>2011306400</v>
      </c>
      <c r="E504" s="2842" t="s">
        <v>15357</v>
      </c>
      <c r="F504" s="2630"/>
      <c r="G504" s="2637"/>
      <c r="H504" s="2638"/>
      <c r="I504" s="2638"/>
      <c r="J504" s="2347"/>
      <c r="K504" s="2638"/>
      <c r="L504" s="3212"/>
      <c r="M504" s="2347"/>
      <c r="N504" s="3212"/>
      <c r="O504" s="3212"/>
      <c r="P504" s="2347"/>
      <c r="Q504" s="2347" t="s">
        <v>15468</v>
      </c>
      <c r="R504" s="395"/>
      <c r="S504" s="395"/>
      <c r="T504" s="395"/>
      <c r="U504" s="395"/>
      <c r="V504" s="395"/>
      <c r="W504" s="395"/>
      <c r="X504" s="395"/>
      <c r="Y504" s="395"/>
    </row>
    <row r="505" spans="1:25" s="3634" customFormat="1">
      <c r="A505" s="3116" t="s">
        <v>14854</v>
      </c>
      <c r="B505" s="3504">
        <v>34577723</v>
      </c>
      <c r="C505" s="3504"/>
      <c r="D505" s="3505">
        <v>2011000025</v>
      </c>
      <c r="E505" s="3506" t="s">
        <v>15104</v>
      </c>
      <c r="F505" s="2864"/>
      <c r="G505" s="2637"/>
      <c r="H505" s="2638"/>
      <c r="I505" s="2638"/>
      <c r="J505" s="2347"/>
      <c r="K505" s="3212"/>
      <c r="L505" s="3212"/>
      <c r="M505" s="2347"/>
      <c r="N505" s="3212"/>
      <c r="O505" s="3212"/>
      <c r="P505" s="2347"/>
      <c r="Q505" s="2347" t="s">
        <v>15483</v>
      </c>
      <c r="R505" s="395"/>
      <c r="S505" s="395"/>
      <c r="T505" s="395"/>
      <c r="U505" s="395"/>
      <c r="V505" s="395"/>
      <c r="W505" s="395"/>
      <c r="X505" s="395"/>
      <c r="Y505" s="395"/>
    </row>
    <row r="506" spans="1:25" s="3634" customFormat="1">
      <c r="A506" s="2842" t="s">
        <v>4949</v>
      </c>
      <c r="B506" s="2843">
        <v>5254082648</v>
      </c>
      <c r="C506" s="2843">
        <v>173052</v>
      </c>
      <c r="D506" s="2844">
        <v>2010150600</v>
      </c>
      <c r="E506" s="2842" t="s">
        <v>4950</v>
      </c>
      <c r="F506" s="2864"/>
      <c r="G506" s="2637"/>
      <c r="H506" s="2638"/>
      <c r="I506" s="2638"/>
      <c r="J506" s="2842"/>
      <c r="K506" s="2638"/>
      <c r="L506" s="3212"/>
      <c r="M506" s="2347" t="s">
        <v>1149</v>
      </c>
      <c r="N506" s="3212"/>
      <c r="O506" s="3212"/>
      <c r="P506" s="2347"/>
      <c r="Q506" s="2347" t="s">
        <v>15480</v>
      </c>
      <c r="R506" s="395"/>
      <c r="S506" s="395"/>
      <c r="T506" s="395"/>
      <c r="U506" s="395"/>
      <c r="V506" s="395"/>
      <c r="W506" s="395"/>
      <c r="X506" s="395"/>
      <c r="Y506" s="395"/>
    </row>
    <row r="507" spans="1:25" s="3634" customFormat="1">
      <c r="A507" s="2842" t="s">
        <v>4951</v>
      </c>
      <c r="B507" s="2843">
        <v>4027055893</v>
      </c>
      <c r="C507" s="2843">
        <v>169</v>
      </c>
      <c r="D507" s="2844">
        <v>2010590300</v>
      </c>
      <c r="E507" s="2842" t="s">
        <v>5368</v>
      </c>
      <c r="F507" s="2864"/>
      <c r="G507" s="2637"/>
      <c r="H507" s="2638"/>
      <c r="I507" s="2638"/>
      <c r="J507" s="2347"/>
      <c r="K507" s="2638"/>
      <c r="L507" s="3212"/>
      <c r="M507" s="2347" t="s">
        <v>1149</v>
      </c>
      <c r="N507" s="3212"/>
      <c r="O507" s="3212"/>
      <c r="P507" s="2347"/>
      <c r="Q507" s="2347" t="s">
        <v>15472</v>
      </c>
      <c r="R507" s="395"/>
      <c r="S507" s="395"/>
      <c r="T507" s="395"/>
      <c r="U507" s="395"/>
      <c r="V507" s="395"/>
      <c r="W507" s="395"/>
      <c r="X507" s="395"/>
      <c r="Y507" s="395"/>
    </row>
    <row r="508" spans="1:25" s="3634" customFormat="1">
      <c r="A508" s="2842" t="s">
        <v>4952</v>
      </c>
      <c r="B508" s="2843">
        <v>1837004362</v>
      </c>
      <c r="C508" s="2843">
        <v>78</v>
      </c>
      <c r="D508" s="2844">
        <v>2010230307</v>
      </c>
      <c r="E508" s="2842" t="s">
        <v>5370</v>
      </c>
      <c r="F508" s="2630"/>
      <c r="G508" s="2637"/>
      <c r="H508" s="2638"/>
      <c r="I508" s="2638"/>
      <c r="J508" s="2347"/>
      <c r="K508" s="2638"/>
      <c r="L508" s="3212"/>
      <c r="M508" s="2347" t="s">
        <v>1149</v>
      </c>
      <c r="N508" s="3212"/>
      <c r="O508" s="3212"/>
      <c r="P508" s="2347"/>
      <c r="Q508" s="2347" t="s">
        <v>15239</v>
      </c>
      <c r="R508" s="395"/>
      <c r="S508" s="395"/>
      <c r="T508" s="395"/>
      <c r="U508" s="395"/>
      <c r="V508" s="395"/>
      <c r="W508" s="395"/>
      <c r="X508" s="395"/>
      <c r="Y508" s="395"/>
    </row>
    <row r="509" spans="1:25" ht="34.4" customHeight="1">
      <c r="A509" s="3116" t="s">
        <v>15196</v>
      </c>
      <c r="B509" s="3504">
        <v>9721179921</v>
      </c>
      <c r="C509" s="3504">
        <v>741612</v>
      </c>
      <c r="D509" s="3505">
        <v>2010599000</v>
      </c>
      <c r="E509" s="3638" t="s">
        <v>15197</v>
      </c>
      <c r="F509" s="2864"/>
      <c r="G509" s="2637"/>
      <c r="H509" s="2638"/>
      <c r="I509" s="2638"/>
      <c r="J509" s="2347"/>
      <c r="K509" s="3212"/>
      <c r="L509" s="3212"/>
      <c r="M509" s="2347"/>
      <c r="N509" s="3212"/>
      <c r="O509" s="3212"/>
      <c r="P509" s="2347"/>
      <c r="Q509" s="2347" t="s">
        <v>15472</v>
      </c>
    </row>
    <row r="510" spans="1:25" ht="34.4" customHeight="1" thickBot="1">
      <c r="A510" s="2842" t="s">
        <v>15110</v>
      </c>
      <c r="B510" s="2843">
        <v>9725089316</v>
      </c>
      <c r="C510" s="2843">
        <v>731891</v>
      </c>
      <c r="D510" s="2844">
        <v>2010230955</v>
      </c>
      <c r="E510" s="2842" t="s">
        <v>15109</v>
      </c>
      <c r="F510" s="2864"/>
      <c r="G510" s="2637"/>
      <c r="H510" s="2638"/>
      <c r="I510" s="2638"/>
      <c r="J510" s="2842"/>
      <c r="K510" s="2638"/>
      <c r="L510" s="3212"/>
      <c r="M510" s="2347"/>
      <c r="N510" s="3212"/>
      <c r="O510" s="3212"/>
      <c r="P510" s="2347"/>
      <c r="Q510" s="2347" t="s">
        <v>15481</v>
      </c>
    </row>
    <row r="511" spans="1:25" ht="29">
      <c r="A511" s="2632" t="s">
        <v>7595</v>
      </c>
      <c r="B511" s="2632"/>
      <c r="C511" s="2632"/>
      <c r="D511" s="2632"/>
      <c r="E511" s="2632"/>
      <c r="F511" s="2632"/>
      <c r="G511" s="2632"/>
      <c r="H511" s="2632"/>
      <c r="I511" s="2632"/>
      <c r="J511" s="2632"/>
      <c r="K511" s="2632"/>
      <c r="L511" s="2632"/>
      <c r="M511" s="2632"/>
      <c r="N511" s="2632"/>
      <c r="O511" s="3436"/>
      <c r="P511" s="3436"/>
      <c r="Q511" s="3436"/>
    </row>
    <row r="512" spans="1:25" ht="29">
      <c r="A512" s="2633" t="s">
        <v>7596</v>
      </c>
      <c r="B512" s="2634">
        <v>7706414704</v>
      </c>
      <c r="C512" s="2634">
        <v>96799</v>
      </c>
      <c r="D512" s="2635">
        <v>5100000000</v>
      </c>
      <c r="E512" s="2636" t="s">
        <v>7597</v>
      </c>
      <c r="F512" s="2637"/>
      <c r="G512" s="2637"/>
      <c r="H512" s="2638"/>
      <c r="I512" s="2638"/>
      <c r="J512" s="2347"/>
      <c r="K512" s="2347"/>
      <c r="L512" s="3212"/>
      <c r="M512" s="3212" t="s">
        <v>10241</v>
      </c>
      <c r="N512" s="3212" t="s">
        <v>10242</v>
      </c>
      <c r="O512" s="3212"/>
      <c r="P512" s="2347"/>
      <c r="Q512" s="2347"/>
    </row>
    <row r="513" spans="1:17" ht="58">
      <c r="A513" s="2842" t="s">
        <v>7598</v>
      </c>
      <c r="B513" s="2843">
        <v>7705096054</v>
      </c>
      <c r="C513" s="2843">
        <v>96825</v>
      </c>
      <c r="D513" s="2844">
        <v>5090000000</v>
      </c>
      <c r="E513" s="2597" t="s">
        <v>7599</v>
      </c>
      <c r="F513" s="2637"/>
      <c r="G513" s="2637"/>
      <c r="H513" s="2638"/>
      <c r="I513" s="2638"/>
      <c r="J513" s="2347"/>
      <c r="K513" s="2347"/>
      <c r="L513" s="3212"/>
      <c r="M513" s="3212" t="s">
        <v>10241</v>
      </c>
      <c r="N513" s="3212" t="s">
        <v>10242</v>
      </c>
      <c r="O513" s="3212"/>
      <c r="P513" s="2347"/>
      <c r="Q513" s="2347"/>
    </row>
    <row r="514" spans="1:17" ht="58">
      <c r="A514" s="2842" t="s">
        <v>7669</v>
      </c>
      <c r="B514" s="2843">
        <v>5029133115</v>
      </c>
      <c r="C514" s="2843">
        <v>96981</v>
      </c>
      <c r="D514" s="2844">
        <v>5150000000</v>
      </c>
      <c r="E514" s="2597" t="s">
        <v>7600</v>
      </c>
      <c r="F514" s="2637"/>
      <c r="G514" s="2637"/>
      <c r="H514" s="2638"/>
      <c r="I514" s="2638"/>
      <c r="J514" s="2347"/>
      <c r="K514" s="2347"/>
      <c r="L514" s="3212"/>
      <c r="M514" s="2347" t="s">
        <v>1149</v>
      </c>
      <c r="N514" s="3212"/>
      <c r="O514" s="3212"/>
      <c r="P514" s="2347"/>
      <c r="Q514" s="2347"/>
    </row>
    <row r="515" spans="1:17" ht="29">
      <c r="A515" s="2842" t="s">
        <v>7602</v>
      </c>
      <c r="B515" s="2843">
        <v>7726485277</v>
      </c>
      <c r="C515" s="2843">
        <v>292959</v>
      </c>
      <c r="D515" s="2844">
        <v>5170000000</v>
      </c>
      <c r="E515" s="2597" t="s">
        <v>7603</v>
      </c>
      <c r="F515" s="2637"/>
      <c r="G515" s="2637"/>
      <c r="H515" s="2638"/>
      <c r="I515" s="2638"/>
      <c r="J515" s="2347"/>
      <c r="K515" s="2347"/>
      <c r="L515" s="3212"/>
      <c r="M515" s="2347" t="s">
        <v>1149</v>
      </c>
      <c r="N515" s="3212"/>
      <c r="O515" s="3212"/>
      <c r="P515" s="2347"/>
      <c r="Q515" s="2347"/>
    </row>
    <row r="516" spans="1:17" ht="29">
      <c r="A516" s="2842" t="s">
        <v>7604</v>
      </c>
      <c r="B516" s="2843">
        <v>7706470770</v>
      </c>
      <c r="C516" s="2843">
        <v>293823</v>
      </c>
      <c r="D516" s="2844">
        <v>5120000000</v>
      </c>
      <c r="E516" s="2597" t="s">
        <v>7605</v>
      </c>
      <c r="F516" s="2637"/>
      <c r="G516" s="2637"/>
      <c r="H516" s="2638"/>
      <c r="I516" s="2638"/>
      <c r="J516" s="2347"/>
      <c r="K516" s="2347"/>
      <c r="L516" s="3212"/>
      <c r="M516" s="3212" t="s">
        <v>10241</v>
      </c>
      <c r="N516" s="3212" t="s">
        <v>10242</v>
      </c>
      <c r="O516" s="3212"/>
      <c r="P516" s="2347"/>
      <c r="Q516" s="2347"/>
    </row>
    <row r="517" spans="1:17" ht="29">
      <c r="A517" s="2842" t="s">
        <v>7606</v>
      </c>
      <c r="B517" s="2843">
        <v>7725351697</v>
      </c>
      <c r="C517" s="2843">
        <v>318855</v>
      </c>
      <c r="D517" s="2844">
        <v>5180000000</v>
      </c>
      <c r="E517" s="2597" t="s">
        <v>7607</v>
      </c>
      <c r="F517" s="2637"/>
      <c r="G517" s="2637"/>
      <c r="H517" s="2638"/>
      <c r="I517" s="2638"/>
      <c r="J517" s="2347"/>
      <c r="K517" s="2347"/>
      <c r="L517" s="3212"/>
      <c r="M517" s="3212" t="s">
        <v>10241</v>
      </c>
      <c r="N517" s="3212" t="s">
        <v>10242</v>
      </c>
      <c r="O517" s="3212"/>
      <c r="P517" s="2347"/>
      <c r="Q517" s="2347"/>
    </row>
    <row r="518" spans="1:17" ht="58">
      <c r="A518" s="2842" t="s">
        <v>7608</v>
      </c>
      <c r="B518" s="2843">
        <v>7706416170</v>
      </c>
      <c r="C518" s="2843">
        <v>386744</v>
      </c>
      <c r="D518" s="2844">
        <v>5190000000</v>
      </c>
      <c r="E518" s="2597" t="s">
        <v>7609</v>
      </c>
      <c r="F518" s="2637"/>
      <c r="G518" s="2637"/>
      <c r="H518" s="2638"/>
      <c r="I518" s="2638"/>
      <c r="J518" s="2347"/>
      <c r="K518" s="2347"/>
      <c r="L518" s="3212"/>
      <c r="M518" s="2347" t="s">
        <v>1149</v>
      </c>
      <c r="N518" s="3212"/>
      <c r="O518" s="3212"/>
      <c r="P518" s="2347"/>
      <c r="Q518" s="2347"/>
    </row>
    <row r="519" spans="1:17" ht="58">
      <c r="A519" s="2842" t="s">
        <v>7610</v>
      </c>
      <c r="B519" s="2843">
        <v>7706445460</v>
      </c>
      <c r="C519" s="2843">
        <v>481198</v>
      </c>
      <c r="D519" s="2844">
        <v>5210000000</v>
      </c>
      <c r="E519" s="2597" t="s">
        <v>7611</v>
      </c>
      <c r="F519" s="2637"/>
      <c r="G519" s="2637"/>
      <c r="H519" s="2638"/>
      <c r="I519" s="2638"/>
      <c r="J519" s="2347"/>
      <c r="K519" s="2638"/>
      <c r="L519" s="3212"/>
      <c r="M519" s="3212" t="s">
        <v>10241</v>
      </c>
      <c r="N519" s="3212" t="s">
        <v>10242</v>
      </c>
      <c r="O519" s="3212"/>
      <c r="P519" s="2347"/>
      <c r="Q519" s="2347"/>
    </row>
    <row r="520" spans="1:17" ht="43.5">
      <c r="A520" s="2842" t="s">
        <v>7717</v>
      </c>
      <c r="B520" s="2843">
        <v>7706422695</v>
      </c>
      <c r="C520" s="2843">
        <v>409863</v>
      </c>
      <c r="D520" s="2844">
        <v>5110000000</v>
      </c>
      <c r="E520" s="2597" t="s">
        <v>7718</v>
      </c>
      <c r="F520" s="2637"/>
      <c r="G520" s="2637"/>
      <c r="H520" s="2638"/>
      <c r="I520" s="2638"/>
      <c r="J520" s="2347"/>
      <c r="K520" s="2638"/>
      <c r="L520" s="3212"/>
      <c r="M520" s="3212" t="s">
        <v>10241</v>
      </c>
      <c r="N520" s="3212" t="s">
        <v>10242</v>
      </c>
      <c r="O520" s="3212"/>
      <c r="P520" s="2347"/>
      <c r="Q520" s="2347"/>
    </row>
    <row r="521" spans="1:17" ht="58">
      <c r="A521" s="2842" t="s">
        <v>7616</v>
      </c>
      <c r="B521" s="2843">
        <v>7706471614</v>
      </c>
      <c r="C521" s="2843">
        <v>379434</v>
      </c>
      <c r="D521" s="2844">
        <v>2010980001</v>
      </c>
      <c r="E521" s="2597" t="s">
        <v>7617</v>
      </c>
      <c r="F521" s="2637"/>
      <c r="G521" s="2637"/>
      <c r="H521" s="2638"/>
      <c r="I521" s="2638"/>
      <c r="J521" s="2347"/>
      <c r="K521" s="2638"/>
      <c r="L521" s="3212"/>
      <c r="M521" s="3212" t="s">
        <v>10241</v>
      </c>
      <c r="N521" s="3212" t="s">
        <v>10244</v>
      </c>
      <c r="O521" s="3212"/>
      <c r="P521" s="2347"/>
      <c r="Q521" s="2347"/>
    </row>
    <row r="522" spans="1:17">
      <c r="A522" s="2842" t="s">
        <v>9618</v>
      </c>
      <c r="B522" s="2843">
        <v>7726450860</v>
      </c>
      <c r="C522" s="2843">
        <v>596052</v>
      </c>
      <c r="D522" s="2844">
        <v>2011000004</v>
      </c>
      <c r="E522" s="2597" t="s">
        <v>9619</v>
      </c>
      <c r="F522" s="2637"/>
      <c r="G522" s="2637"/>
      <c r="H522" s="2638"/>
      <c r="I522" s="2638"/>
      <c r="J522" s="2347"/>
      <c r="K522" s="2638"/>
      <c r="L522" s="3212"/>
      <c r="M522" s="3212" t="s">
        <v>10241</v>
      </c>
      <c r="N522" s="3212" t="s">
        <v>10242</v>
      </c>
      <c r="O522" s="3212"/>
      <c r="P522" s="2347"/>
      <c r="Q522" s="2347"/>
    </row>
    <row r="523" spans="1:17" ht="43.5">
      <c r="A523" s="2842" t="s">
        <v>15241</v>
      </c>
      <c r="B523" s="2843">
        <v>9705152344</v>
      </c>
      <c r="C523" s="2843">
        <v>673933</v>
      </c>
      <c r="D523" s="2844">
        <v>2011500000</v>
      </c>
      <c r="E523" s="2597" t="s">
        <v>15242</v>
      </c>
      <c r="F523" s="2637"/>
      <c r="G523" s="2637"/>
      <c r="H523" s="2638"/>
      <c r="I523" s="2638"/>
      <c r="J523" s="2347"/>
      <c r="K523" s="2638"/>
      <c r="L523" s="3212"/>
      <c r="M523" s="3212"/>
      <c r="N523" s="3212"/>
      <c r="O523" s="3212"/>
      <c r="P523" s="2347"/>
      <c r="Q523" s="2347"/>
    </row>
    <row r="524" spans="1:17" ht="43.5">
      <c r="A524" s="2842" t="s">
        <v>7618</v>
      </c>
      <c r="B524" s="2843">
        <v>7706470787</v>
      </c>
      <c r="C524" s="2843">
        <v>293828</v>
      </c>
      <c r="D524" s="2844">
        <v>6100000000</v>
      </c>
      <c r="E524" s="2597" t="s">
        <v>7619</v>
      </c>
      <c r="F524" s="2637"/>
      <c r="G524" s="2637"/>
      <c r="H524" s="2638"/>
      <c r="I524" s="2638"/>
      <c r="J524" s="2347"/>
      <c r="K524" s="2638"/>
      <c r="L524" s="3212"/>
      <c r="M524" s="3212" t="s">
        <v>10241</v>
      </c>
      <c r="N524" s="3212" t="s">
        <v>10242</v>
      </c>
      <c r="O524" s="3212"/>
      <c r="P524" s="2347"/>
      <c r="Q524" s="2347"/>
    </row>
    <row r="525" spans="1:17" ht="29">
      <c r="A525" s="2842" t="s">
        <v>7678</v>
      </c>
      <c r="B525" s="2843">
        <v>4025450383</v>
      </c>
      <c r="C525" s="2843">
        <v>514998</v>
      </c>
      <c r="D525" s="2844">
        <v>5500000000</v>
      </c>
      <c r="E525" s="2597" t="s">
        <v>7671</v>
      </c>
      <c r="F525" s="2637"/>
      <c r="G525" s="2637"/>
      <c r="H525" s="2638"/>
      <c r="I525" s="2638"/>
      <c r="J525" s="2347"/>
      <c r="K525" s="2638"/>
      <c r="L525" s="3212"/>
      <c r="M525" s="3212" t="s">
        <v>10241</v>
      </c>
      <c r="N525" s="3212" t="s">
        <v>10242</v>
      </c>
      <c r="O525" s="3212"/>
      <c r="P525" s="2347"/>
      <c r="Q525" s="2347"/>
    </row>
  </sheetData>
  <sheetProtection algorithmName="SHA-512" hashValue="I3Hf6YfUa9Iu4lnWWgTIiU1Q8zNf/WinnKeNR3jBkp37y6lFBejrTZlbxGTb5wD7s5/cKH8uU02p85qu9vXyqA==" saltValue="BuZvN9McCVHC68Fn8391jw==" spinCount="100000" sheet="1" objects="1" scenarios="1" formatColumns="0" formatRows="0" autoFilter="0"/>
  <autoFilter ref="A2:Y525"/>
  <customSheetViews>
    <customSheetView guid="{3769259D-9653-4B34-A2F6-4FB6F9F4E533}" scale="75" showGridLines="0" showAutoFilter="1">
      <pane ySplit="2" topLeftCell="A53" activePane="bottomLeft" state="frozen"/>
      <selection pane="bottomLeft" activeCell="B53" sqref="B53"/>
      <pageMargins left="0.7" right="0.7" top="0.75" bottom="0.75" header="0.3" footer="0.3"/>
      <pageSetup orientation="portrait" r:id="rId1"/>
      <autoFilter ref="B1:S1"/>
    </customSheetView>
    <customSheetView guid="{40D7A2BB-326C-4ED3-999C-17852F56D6F4}" showGridLines="0" showAutoFilter="1" topLeftCell="B1">
      <pane ySplit="2" topLeftCell="A53" activePane="bottomLeft" state="frozen"/>
      <selection pane="bottomLeft" activeCell="C61" sqref="C61"/>
      <pageMargins left="0.7" right="0.7" top="0.75" bottom="0.75" header="0.3" footer="0.3"/>
      <pageSetup orientation="portrait" r:id="rId2"/>
      <autoFilter ref="B1:S1"/>
    </customSheetView>
    <customSheetView guid="{5D121940-0CE8-4A0E-A493-67FAAA6E0FF8}" showGridLines="0" showAutoFilter="1">
      <pane ySplit="2" topLeftCell="A3" activePane="bottomLeft" state="frozen"/>
      <selection pane="bottomLeft" activeCell="B21" sqref="B21"/>
      <pageMargins left="0.7" right="0.7" top="0.75" bottom="0.75" header="0.3" footer="0.3"/>
      <pageSetup orientation="portrait" r:id="rId3"/>
      <autoFilter ref="B1:S1"/>
    </customSheetView>
    <customSheetView guid="{47AEACC4-6EA5-412C-AF39-A6C5357B313A}" showGridLines="0" showAutoFilter="1">
      <pane ySplit="2" topLeftCell="A3" activePane="bottomLeft" state="frozen"/>
      <selection pane="bottomLeft" activeCell="A3" sqref="A3:A178"/>
      <pageMargins left="0.7" right="0.7" top="0.75" bottom="0.75" header="0.3" footer="0.3"/>
      <pageSetup orientation="portrait" r:id="rId4"/>
      <autoFilter ref="B1:S1"/>
    </customSheetView>
    <customSheetView guid="{4D957B38-5430-481E-B791-E0A66F913B50}" scale="70">
      <pane ySplit="1" topLeftCell="A2" activePane="bottomLeft" state="frozen"/>
      <selection pane="bottomLeft" activeCell="C4" sqref="C4"/>
      <pageMargins left="0.7" right="0.7" top="0.75" bottom="0.75" header="0.3" footer="0.3"/>
      <pageSetup orientation="portrait" r:id="rId5"/>
    </customSheetView>
    <customSheetView guid="{C913A9E8-661B-40A4-A3C9-1BC5F2B2E9F0}" showGridLines="0" showAutoFilter="1">
      <pane ySplit="2" topLeftCell="A3" activePane="bottomLeft" state="frozen"/>
      <selection pane="bottomLeft" activeCell="A3" sqref="A3:A178"/>
      <pageMargins left="0.7" right="0.7" top="0.75" bottom="0.75" header="0.3" footer="0.3"/>
      <pageSetup orientation="portrait" r:id="rId6"/>
      <autoFilter ref="B1:S1"/>
    </customSheetView>
  </customSheetViews>
  <phoneticPr fontId="0" type="noConversion"/>
  <conditionalFormatting sqref="A4:A6">
    <cfRule type="duplicateValues" dxfId="1450" priority="3366"/>
    <cfRule type="duplicateValues" dxfId="1449" priority="3367"/>
  </conditionalFormatting>
  <conditionalFormatting sqref="A4:A6">
    <cfRule type="duplicateValues" dxfId="1448" priority="3368"/>
  </conditionalFormatting>
  <conditionalFormatting sqref="C6">
    <cfRule type="duplicateValues" dxfId="1447" priority="2785"/>
  </conditionalFormatting>
  <conditionalFormatting sqref="D2:D3">
    <cfRule type="duplicateValues" dxfId="1446" priority="10066"/>
  </conditionalFormatting>
  <conditionalFormatting sqref="D2:D3">
    <cfRule type="duplicateValues" dxfId="1445" priority="10097"/>
    <cfRule type="duplicateValues" dxfId="1444" priority="10098"/>
  </conditionalFormatting>
  <conditionalFormatting sqref="E2:E3">
    <cfRule type="duplicateValues" dxfId="1443" priority="10099"/>
  </conditionalFormatting>
  <conditionalFormatting sqref="B2:B3">
    <cfRule type="duplicateValues" dxfId="1442" priority="10100"/>
    <cfRule type="duplicateValues" dxfId="1441" priority="10101"/>
  </conditionalFormatting>
  <conditionalFormatting sqref="C2:C3">
    <cfRule type="duplicateValues" dxfId="1440" priority="10102"/>
  </conditionalFormatting>
  <conditionalFormatting sqref="B2:B3">
    <cfRule type="duplicateValues" dxfId="1439" priority="10103"/>
  </conditionalFormatting>
  <conditionalFormatting sqref="A2:A3">
    <cfRule type="duplicateValues" dxfId="1438" priority="10104"/>
    <cfRule type="duplicateValues" dxfId="1437" priority="10105"/>
  </conditionalFormatting>
  <conditionalFormatting sqref="A2:A3">
    <cfRule type="duplicateValues" dxfId="1436" priority="10151"/>
  </conditionalFormatting>
  <conditionalFormatting sqref="A2:A3">
    <cfRule type="duplicateValues" dxfId="1435" priority="10152"/>
    <cfRule type="duplicateValues" dxfId="1434" priority="10153"/>
  </conditionalFormatting>
  <conditionalFormatting sqref="A2:A3">
    <cfRule type="duplicateValues" dxfId="1433" priority="10154"/>
  </conditionalFormatting>
  <conditionalFormatting sqref="D7">
    <cfRule type="duplicateValues" dxfId="1432" priority="2565"/>
    <cfRule type="duplicateValues" dxfId="1431" priority="2566"/>
  </conditionalFormatting>
  <conditionalFormatting sqref="E7">
    <cfRule type="duplicateValues" dxfId="1430" priority="2567"/>
  </conditionalFormatting>
  <conditionalFormatting sqref="B7">
    <cfRule type="duplicateValues" dxfId="1429" priority="2568"/>
    <cfRule type="duplicateValues" dxfId="1428" priority="2569"/>
  </conditionalFormatting>
  <conditionalFormatting sqref="C7">
    <cfRule type="duplicateValues" dxfId="1427" priority="2570"/>
  </conditionalFormatting>
  <conditionalFormatting sqref="B7">
    <cfRule type="duplicateValues" dxfId="1426" priority="2571"/>
  </conditionalFormatting>
  <conditionalFormatting sqref="D7">
    <cfRule type="duplicateValues" dxfId="1425" priority="2572"/>
  </conditionalFormatting>
  <conditionalFormatting sqref="A7">
    <cfRule type="duplicateValues" dxfId="1424" priority="2573"/>
    <cfRule type="duplicateValues" dxfId="1423" priority="2574"/>
  </conditionalFormatting>
  <conditionalFormatting sqref="A7">
    <cfRule type="duplicateValues" dxfId="1422" priority="2575"/>
  </conditionalFormatting>
  <conditionalFormatting sqref="A7">
    <cfRule type="duplicateValues" dxfId="1421" priority="2576"/>
  </conditionalFormatting>
  <conditionalFormatting sqref="A7">
    <cfRule type="duplicateValues" dxfId="1420" priority="2577"/>
    <cfRule type="duplicateValues" dxfId="1419" priority="2578"/>
  </conditionalFormatting>
  <conditionalFormatting sqref="D7">
    <cfRule type="duplicateValues" dxfId="1418" priority="2579"/>
  </conditionalFormatting>
  <conditionalFormatting sqref="A7">
    <cfRule type="duplicateValues" dxfId="1417" priority="2580"/>
  </conditionalFormatting>
  <conditionalFormatting sqref="A7">
    <cfRule type="duplicateValues" dxfId="1416" priority="2581"/>
  </conditionalFormatting>
  <conditionalFormatting sqref="D7">
    <cfRule type="duplicateValues" dxfId="1415" priority="2582"/>
  </conditionalFormatting>
  <conditionalFormatting sqref="A7">
    <cfRule type="duplicateValues" dxfId="1414" priority="2583"/>
  </conditionalFormatting>
  <conditionalFormatting sqref="A7">
    <cfRule type="duplicateValues" dxfId="1413" priority="2584"/>
  </conditionalFormatting>
  <conditionalFormatting sqref="A7">
    <cfRule type="duplicateValues" dxfId="1412" priority="2585"/>
  </conditionalFormatting>
  <conditionalFormatting sqref="A7">
    <cfRule type="duplicateValues" dxfId="1411" priority="2586"/>
  </conditionalFormatting>
  <conditionalFormatting sqref="D4:D6">
    <cfRule type="duplicateValues" dxfId="1410" priority="12243"/>
    <cfRule type="duplicateValues" dxfId="1409" priority="12244"/>
  </conditionalFormatting>
  <conditionalFormatting sqref="E4:E6">
    <cfRule type="duplicateValues" dxfId="1408" priority="12311"/>
  </conditionalFormatting>
  <conditionalFormatting sqref="B4:B6">
    <cfRule type="duplicateValues" dxfId="1407" priority="12347"/>
    <cfRule type="duplicateValues" dxfId="1406" priority="12348"/>
  </conditionalFormatting>
  <conditionalFormatting sqref="C4:C5">
    <cfRule type="duplicateValues" dxfId="1405" priority="12423"/>
  </conditionalFormatting>
  <conditionalFormatting sqref="B4:B6">
    <cfRule type="duplicateValues" dxfId="1404" priority="12460"/>
  </conditionalFormatting>
  <conditionalFormatting sqref="D4:D6">
    <cfRule type="duplicateValues" dxfId="1403" priority="12498"/>
  </conditionalFormatting>
  <conditionalFormatting sqref="A4:A6">
    <cfRule type="duplicateValues" dxfId="1402" priority="12532"/>
  </conditionalFormatting>
  <conditionalFormatting sqref="A4:A6">
    <cfRule type="duplicateValues" dxfId="1401" priority="12566"/>
    <cfRule type="duplicateValues" dxfId="1400" priority="12567"/>
  </conditionalFormatting>
  <conditionalFormatting sqref="A2:A6">
    <cfRule type="duplicateValues" dxfId="1399" priority="12668"/>
  </conditionalFormatting>
  <conditionalFormatting sqref="E526:E1048576 E1">
    <cfRule type="duplicateValues" dxfId="1398" priority="13400"/>
  </conditionalFormatting>
  <conditionalFormatting sqref="B526:B1048576 B1">
    <cfRule type="duplicateValues" dxfId="1397" priority="13404"/>
    <cfRule type="duplicateValues" dxfId="1396" priority="13405"/>
  </conditionalFormatting>
  <conditionalFormatting sqref="C526:C1048576 C1">
    <cfRule type="duplicateValues" dxfId="1395" priority="13412"/>
  </conditionalFormatting>
  <conditionalFormatting sqref="D526:D1048576 D1">
    <cfRule type="duplicateValues" dxfId="1394" priority="13416"/>
  </conditionalFormatting>
  <conditionalFormatting sqref="D526:D1048576 D1">
    <cfRule type="duplicateValues" dxfId="1393" priority="13420"/>
    <cfRule type="duplicateValues" dxfId="1392" priority="13421"/>
  </conditionalFormatting>
  <conditionalFormatting sqref="B526:B1048576 B1">
    <cfRule type="duplicateValues" dxfId="1391" priority="13428"/>
  </conditionalFormatting>
  <conditionalFormatting sqref="B526:B1048576">
    <cfRule type="duplicateValues" dxfId="1390" priority="13432"/>
  </conditionalFormatting>
  <conditionalFormatting sqref="A526:A1048576 A1">
    <cfRule type="duplicateValues" dxfId="1389" priority="13435"/>
    <cfRule type="duplicateValues" dxfId="1388" priority="13436"/>
  </conditionalFormatting>
  <conditionalFormatting sqref="A526:A1048576 A1">
    <cfRule type="duplicateValues" dxfId="1387" priority="13443"/>
  </conditionalFormatting>
  <conditionalFormatting sqref="A526:A1048576">
    <cfRule type="duplicateValues" dxfId="1386" priority="13447"/>
  </conditionalFormatting>
  <conditionalFormatting sqref="A526:A1048576">
    <cfRule type="duplicateValues" dxfId="1385" priority="13450"/>
    <cfRule type="duplicateValues" dxfId="1384" priority="13451"/>
  </conditionalFormatting>
  <conditionalFormatting sqref="A526:A1048576 A1:A6">
    <cfRule type="duplicateValues" dxfId="1383" priority="13456"/>
  </conditionalFormatting>
  <conditionalFormatting sqref="D526:D1048576 D1:D6">
    <cfRule type="duplicateValues" dxfId="1382" priority="13462"/>
  </conditionalFormatting>
  <conditionalFormatting sqref="D526:D1048576">
    <cfRule type="duplicateValues" dxfId="1381" priority="13468"/>
  </conditionalFormatting>
  <conditionalFormatting sqref="D526:D1048576 D1:D7">
    <cfRule type="duplicateValues" dxfId="1380" priority="13474"/>
  </conditionalFormatting>
  <conditionalFormatting sqref="A526:A1048576 A1:A7">
    <cfRule type="duplicateValues" dxfId="1379" priority="15000"/>
  </conditionalFormatting>
  <conditionalFormatting sqref="A8:A9">
    <cfRule type="duplicateValues" dxfId="1378" priority="856"/>
    <cfRule type="duplicateValues" dxfId="1377" priority="857"/>
  </conditionalFormatting>
  <conditionalFormatting sqref="A8:A9">
    <cfRule type="duplicateValues" dxfId="1376" priority="858"/>
  </conditionalFormatting>
  <conditionalFormatting sqref="D8:D9">
    <cfRule type="duplicateValues" dxfId="1375" priority="859"/>
    <cfRule type="duplicateValues" dxfId="1374" priority="860"/>
  </conditionalFormatting>
  <conditionalFormatting sqref="E8:E9">
    <cfRule type="duplicateValues" dxfId="1373" priority="861"/>
  </conditionalFormatting>
  <conditionalFormatting sqref="B8:B9">
    <cfRule type="duplicateValues" dxfId="1372" priority="862"/>
    <cfRule type="duplicateValues" dxfId="1371" priority="863"/>
  </conditionalFormatting>
  <conditionalFormatting sqref="C8:C9">
    <cfRule type="duplicateValues" dxfId="1370" priority="864"/>
  </conditionalFormatting>
  <conditionalFormatting sqref="B8:B9">
    <cfRule type="duplicateValues" dxfId="1369" priority="865"/>
  </conditionalFormatting>
  <conditionalFormatting sqref="D8:D9">
    <cfRule type="duplicateValues" dxfId="1368" priority="866"/>
  </conditionalFormatting>
  <conditionalFormatting sqref="A8:A9">
    <cfRule type="duplicateValues" dxfId="1367" priority="867"/>
  </conditionalFormatting>
  <conditionalFormatting sqref="A8:A9">
    <cfRule type="duplicateValues" dxfId="1366" priority="868"/>
    <cfRule type="duplicateValues" dxfId="1365" priority="869"/>
  </conditionalFormatting>
  <conditionalFormatting sqref="A8:A9">
    <cfRule type="duplicateValues" dxfId="1364" priority="870"/>
  </conditionalFormatting>
  <conditionalFormatting sqref="B96">
    <cfRule type="duplicateValues" dxfId="1363" priority="852"/>
    <cfRule type="duplicateValues" dxfId="1362" priority="853"/>
  </conditionalFormatting>
  <conditionalFormatting sqref="C96">
    <cfRule type="duplicateValues" dxfId="1361" priority="854"/>
  </conditionalFormatting>
  <conditionalFormatting sqref="B96">
    <cfRule type="duplicateValues" dxfId="1360" priority="855"/>
  </conditionalFormatting>
  <conditionalFormatting sqref="E104">
    <cfRule type="duplicateValues" dxfId="1359" priority="843"/>
  </conditionalFormatting>
  <conditionalFormatting sqref="D104">
    <cfRule type="duplicateValues" dxfId="1358" priority="844"/>
  </conditionalFormatting>
  <conditionalFormatting sqref="A104">
    <cfRule type="duplicateValues" dxfId="1357" priority="845"/>
  </conditionalFormatting>
  <conditionalFormatting sqref="C104">
    <cfRule type="duplicateValues" dxfId="1356" priority="846"/>
  </conditionalFormatting>
  <conditionalFormatting sqref="B104">
    <cfRule type="duplicateValues" dxfId="1355" priority="847"/>
  </conditionalFormatting>
  <conditionalFormatting sqref="A104">
    <cfRule type="duplicateValues" dxfId="1354" priority="848"/>
    <cfRule type="duplicateValues" dxfId="1353" priority="849"/>
  </conditionalFormatting>
  <conditionalFormatting sqref="B104">
    <cfRule type="duplicateValues" dxfId="1352" priority="850"/>
    <cfRule type="duplicateValues" dxfId="1351" priority="851"/>
  </conditionalFormatting>
  <conditionalFormatting sqref="E164">
    <cfRule type="duplicateValues" dxfId="1350" priority="834"/>
  </conditionalFormatting>
  <conditionalFormatting sqref="D164">
    <cfRule type="duplicateValues" dxfId="1349" priority="835"/>
  </conditionalFormatting>
  <conditionalFormatting sqref="A164">
    <cfRule type="duplicateValues" dxfId="1348" priority="836"/>
  </conditionalFormatting>
  <conditionalFormatting sqref="C164">
    <cfRule type="duplicateValues" dxfId="1347" priority="837"/>
  </conditionalFormatting>
  <conditionalFormatting sqref="B164">
    <cfRule type="duplicateValues" dxfId="1346" priority="838"/>
  </conditionalFormatting>
  <conditionalFormatting sqref="A164">
    <cfRule type="duplicateValues" dxfId="1345" priority="839"/>
    <cfRule type="duplicateValues" dxfId="1344" priority="840"/>
  </conditionalFormatting>
  <conditionalFormatting sqref="B164">
    <cfRule type="duplicateValues" dxfId="1343" priority="841"/>
    <cfRule type="duplicateValues" dxfId="1342" priority="842"/>
  </conditionalFormatting>
  <conditionalFormatting sqref="E255">
    <cfRule type="duplicateValues" dxfId="1341" priority="825"/>
  </conditionalFormatting>
  <conditionalFormatting sqref="D255">
    <cfRule type="duplicateValues" dxfId="1340" priority="826"/>
  </conditionalFormatting>
  <conditionalFormatting sqref="A255">
    <cfRule type="duplicateValues" dxfId="1339" priority="827"/>
  </conditionalFormatting>
  <conditionalFormatting sqref="C255">
    <cfRule type="duplicateValues" dxfId="1338" priority="828"/>
  </conditionalFormatting>
  <conditionalFormatting sqref="B255">
    <cfRule type="duplicateValues" dxfId="1337" priority="829"/>
  </conditionalFormatting>
  <conditionalFormatting sqref="A255">
    <cfRule type="duplicateValues" dxfId="1336" priority="830"/>
    <cfRule type="duplicateValues" dxfId="1335" priority="831"/>
  </conditionalFormatting>
  <conditionalFormatting sqref="B255">
    <cfRule type="duplicateValues" dxfId="1334" priority="832"/>
    <cfRule type="duplicateValues" dxfId="1333" priority="833"/>
  </conditionalFormatting>
  <conditionalFormatting sqref="E65">
    <cfRule type="duplicateValues" dxfId="1332" priority="816"/>
  </conditionalFormatting>
  <conditionalFormatting sqref="D65">
    <cfRule type="duplicateValues" dxfId="1331" priority="817"/>
  </conditionalFormatting>
  <conditionalFormatting sqref="A65">
    <cfRule type="duplicateValues" dxfId="1330" priority="818"/>
  </conditionalFormatting>
  <conditionalFormatting sqref="C65">
    <cfRule type="duplicateValues" dxfId="1329" priority="819"/>
  </conditionalFormatting>
  <conditionalFormatting sqref="B65">
    <cfRule type="duplicateValues" dxfId="1328" priority="820"/>
  </conditionalFormatting>
  <conditionalFormatting sqref="A65">
    <cfRule type="duplicateValues" dxfId="1327" priority="821"/>
    <cfRule type="duplicateValues" dxfId="1326" priority="822"/>
  </conditionalFormatting>
  <conditionalFormatting sqref="B65">
    <cfRule type="duplicateValues" dxfId="1325" priority="823"/>
    <cfRule type="duplicateValues" dxfId="1324" priority="824"/>
  </conditionalFormatting>
  <conditionalFormatting sqref="E105">
    <cfRule type="duplicateValues" dxfId="1323" priority="808"/>
  </conditionalFormatting>
  <conditionalFormatting sqref="D105">
    <cfRule type="duplicateValues" dxfId="1322" priority="809"/>
  </conditionalFormatting>
  <conditionalFormatting sqref="A105">
    <cfRule type="duplicateValues" dxfId="1321" priority="810"/>
  </conditionalFormatting>
  <conditionalFormatting sqref="B105">
    <cfRule type="duplicateValues" dxfId="1320" priority="811"/>
  </conditionalFormatting>
  <conditionalFormatting sqref="A105">
    <cfRule type="duplicateValues" dxfId="1319" priority="812"/>
    <cfRule type="duplicateValues" dxfId="1318" priority="813"/>
  </conditionalFormatting>
  <conditionalFormatting sqref="B105">
    <cfRule type="duplicateValues" dxfId="1317" priority="814"/>
    <cfRule type="duplicateValues" dxfId="1316" priority="815"/>
  </conditionalFormatting>
  <conditionalFormatting sqref="C105">
    <cfRule type="duplicateValues" dxfId="1315" priority="807"/>
  </conditionalFormatting>
  <conditionalFormatting sqref="E226">
    <cfRule type="duplicateValues" dxfId="1314" priority="799"/>
  </conditionalFormatting>
  <conditionalFormatting sqref="D226">
    <cfRule type="duplicateValues" dxfId="1313" priority="800"/>
  </conditionalFormatting>
  <conditionalFormatting sqref="A226">
    <cfRule type="duplicateValues" dxfId="1312" priority="801"/>
  </conditionalFormatting>
  <conditionalFormatting sqref="B226">
    <cfRule type="duplicateValues" dxfId="1311" priority="802"/>
  </conditionalFormatting>
  <conditionalFormatting sqref="A226">
    <cfRule type="duplicateValues" dxfId="1310" priority="803"/>
    <cfRule type="duplicateValues" dxfId="1309" priority="804"/>
  </conditionalFormatting>
  <conditionalFormatting sqref="B226">
    <cfRule type="duplicateValues" dxfId="1308" priority="805"/>
    <cfRule type="duplicateValues" dxfId="1307" priority="806"/>
  </conditionalFormatting>
  <conditionalFormatting sqref="C226">
    <cfRule type="duplicateValues" dxfId="1306" priority="798"/>
  </conditionalFormatting>
  <conditionalFormatting sqref="E256">
    <cfRule type="duplicateValues" dxfId="1305" priority="789"/>
  </conditionalFormatting>
  <conditionalFormatting sqref="D256">
    <cfRule type="duplicateValues" dxfId="1304" priority="790"/>
  </conditionalFormatting>
  <conditionalFormatting sqref="A256">
    <cfRule type="duplicateValues" dxfId="1303" priority="791"/>
  </conditionalFormatting>
  <conditionalFormatting sqref="C256">
    <cfRule type="duplicateValues" dxfId="1302" priority="792"/>
  </conditionalFormatting>
  <conditionalFormatting sqref="B256">
    <cfRule type="duplicateValues" dxfId="1301" priority="793"/>
  </conditionalFormatting>
  <conditionalFormatting sqref="A256">
    <cfRule type="duplicateValues" dxfId="1300" priority="794"/>
    <cfRule type="duplicateValues" dxfId="1299" priority="795"/>
  </conditionalFormatting>
  <conditionalFormatting sqref="B256">
    <cfRule type="duplicateValues" dxfId="1298" priority="796"/>
    <cfRule type="duplicateValues" dxfId="1297" priority="797"/>
  </conditionalFormatting>
  <conditionalFormatting sqref="A8:A9">
    <cfRule type="duplicateValues" dxfId="1296" priority="871"/>
  </conditionalFormatting>
  <conditionalFormatting sqref="D8:D9">
    <cfRule type="duplicateValues" dxfId="1295" priority="872"/>
  </conditionalFormatting>
  <conditionalFormatting sqref="D8:D9">
    <cfRule type="duplicateValues" dxfId="1294" priority="873"/>
  </conditionalFormatting>
  <conditionalFormatting sqref="D8:D9">
    <cfRule type="duplicateValues" dxfId="1293" priority="874"/>
  </conditionalFormatting>
  <conditionalFormatting sqref="A289 A266 A10 A106:A113 A257 A67:A70 A227:A233 A165:A172 A72:A86 A38:A53 A214:A223 A88:A100 A103 A115:A122 A145:A153 A179:A180 A191:A203 A236:A241 A248:A254 A268 A174:A177 A139:A143 A155:A162 A182:A189 A12:A36 A243:A246 A124:A137 A55:A64 A225 A205:A210">
    <cfRule type="duplicateValues" dxfId="1292" priority="875"/>
    <cfRule type="duplicateValues" dxfId="1291" priority="876"/>
  </conditionalFormatting>
  <conditionalFormatting sqref="A289 A266 A10 A106:A113 A257 A67:A70 A227:A233 A165:A172 A72:A86 A38:A53 A214:A223 A88:A100 A103 A115:A122 A145:A153 A179:A180 A191:A203 A236:A241 A248:A254 A268 A174:A177 A139:A143 A155:A162 A182:A189 A12:A36 A243:A246 A124:A137 A55:A64 A225 A205:A210">
    <cfRule type="duplicateValues" dxfId="1290" priority="877"/>
  </conditionalFormatting>
  <conditionalFormatting sqref="D289 D266 D10 D106:D113 D257 D67:D70 D227:D233 D165:D177 D72:D86 D38:D53 D214:D223 D88:D100 D103 D115:D122 D145:D153 D179:D180 D191:D203 D236:D241 D248:D254 D268 D139:D143 D155:D163 D182:D189 D12:D36 D243:D246 D124:D137 D55:D64 D225 D205:D210">
    <cfRule type="duplicateValues" dxfId="1289" priority="878"/>
  </conditionalFormatting>
  <conditionalFormatting sqref="D289 D266 D10 D106:D113 D257 D67:D70 D227:D233 D165:D177 D72:D86 D38:D53 D214:D223 D88:D100 D103 D115:D122 D145:D153 D179:D180 D191:D203 D236:D241 D248:D254 D268 D139:D143 D155:D163 D182:D189 D12:D36 D243:D246 D124:D137 D55:D64 D225 D205:D210">
    <cfRule type="duplicateValues" dxfId="1288" priority="879"/>
    <cfRule type="duplicateValues" dxfId="1287" priority="880"/>
  </conditionalFormatting>
  <conditionalFormatting sqref="E289 E266 E10 E106:E113 E257 E67:E70 E227:E233 E165:E172 E72:E86 E38:E53 E214:E223 E88:E100 E103 E115:E122 E145:E153 E179:E180 E191:E203 E236:E241 E248:E254 E268 E174:E177 E139:E143 E155:E163 E182:E189 E12:E36 E243:E246 E124:E137 E55:E64 E225 E205:E210">
    <cfRule type="duplicateValues" dxfId="1286" priority="881"/>
  </conditionalFormatting>
  <conditionalFormatting sqref="B289 B266 B10 B97:B100 B106:B113 B257 B67:B70 B227:B233 B165:B177 B72:B86 B38:B53 B214:B223 B88:B95 B103 B115:B122 B145:B153 B179:B180 B191:B203 B236:B241 B248:B254 B268 B139:B143 B155:B163 B182:B189 B12:B36 B243:B246 B124:B137 B55:B64 B225 B205:B210">
    <cfRule type="duplicateValues" dxfId="1285" priority="882"/>
    <cfRule type="duplicateValues" dxfId="1284" priority="883"/>
  </conditionalFormatting>
  <conditionalFormatting sqref="C289 C266 C10 C97:C100 C106:C113 C257 C67:C70 C227:C233 C165:C177 C72:C86 C38:C53 C214:C223 C88:C95 C103 C115:C122 C145:C153 C179:C180 C191:C203 C236:C241 C248:C254 C268 C139:C143 C155:C163 C182:C189 C12:C36 C243:C246 C124:C137 C55:C64 C225 C205:C210">
    <cfRule type="duplicateValues" dxfId="1283" priority="884"/>
  </conditionalFormatting>
  <conditionalFormatting sqref="B289 B266 B10 B97:B100 B106:B113 B257 B67:B70 B227:B233 B165:B177 B72:B86 B38:B53 B214:B223 B88:B95 B103 B115:B122 B145:B153 B179:B180 B191:B203 B236:B241 B248:B254 B268 B139:B143 B155:B163 B182:B189 B12:B36 B243:B246 B124:B137 B55:B64 B225 B205:B210">
    <cfRule type="duplicateValues" dxfId="1282" priority="885"/>
  </conditionalFormatting>
  <conditionalFormatting sqref="E71">
    <cfRule type="duplicateValues" dxfId="1281" priority="780"/>
  </conditionalFormatting>
  <conditionalFormatting sqref="D71">
    <cfRule type="duplicateValues" dxfId="1280" priority="781"/>
  </conditionalFormatting>
  <conditionalFormatting sqref="A71">
    <cfRule type="duplicateValues" dxfId="1279" priority="782"/>
  </conditionalFormatting>
  <conditionalFormatting sqref="C71">
    <cfRule type="duplicateValues" dxfId="1278" priority="783"/>
  </conditionalFormatting>
  <conditionalFormatting sqref="B71">
    <cfRule type="duplicateValues" dxfId="1277" priority="784"/>
  </conditionalFormatting>
  <conditionalFormatting sqref="A71">
    <cfRule type="duplicateValues" dxfId="1276" priority="785"/>
    <cfRule type="duplicateValues" dxfId="1275" priority="786"/>
  </conditionalFormatting>
  <conditionalFormatting sqref="B71">
    <cfRule type="duplicateValues" dxfId="1274" priority="787"/>
    <cfRule type="duplicateValues" dxfId="1273" priority="788"/>
  </conditionalFormatting>
  <conditionalFormatting sqref="E260">
    <cfRule type="duplicateValues" dxfId="1272" priority="774"/>
  </conditionalFormatting>
  <conditionalFormatting sqref="D260">
    <cfRule type="duplicateValues" dxfId="1271" priority="775"/>
  </conditionalFormatting>
  <conditionalFormatting sqref="C260">
    <cfRule type="duplicateValues" dxfId="1270" priority="776"/>
  </conditionalFormatting>
  <conditionalFormatting sqref="B260">
    <cfRule type="duplicateValues" dxfId="1269" priority="777"/>
  </conditionalFormatting>
  <conditionalFormatting sqref="B260">
    <cfRule type="duplicateValues" dxfId="1268" priority="778"/>
    <cfRule type="duplicateValues" dxfId="1267" priority="779"/>
  </conditionalFormatting>
  <conditionalFormatting sqref="A260">
    <cfRule type="duplicateValues" dxfId="1266" priority="771"/>
  </conditionalFormatting>
  <conditionalFormatting sqref="A260">
    <cfRule type="duplicateValues" dxfId="1265" priority="772"/>
    <cfRule type="duplicateValues" dxfId="1264" priority="773"/>
  </conditionalFormatting>
  <conditionalFormatting sqref="A258">
    <cfRule type="duplicateValues" dxfId="1263" priority="760"/>
    <cfRule type="duplicateValues" dxfId="1262" priority="761"/>
  </conditionalFormatting>
  <conditionalFormatting sqref="A258">
    <cfRule type="duplicateValues" dxfId="1261" priority="762"/>
  </conditionalFormatting>
  <conditionalFormatting sqref="D258">
    <cfRule type="duplicateValues" dxfId="1260" priority="763"/>
  </conditionalFormatting>
  <conditionalFormatting sqref="D258">
    <cfRule type="duplicateValues" dxfId="1259" priority="764"/>
    <cfRule type="duplicateValues" dxfId="1258" priority="765"/>
  </conditionalFormatting>
  <conditionalFormatting sqref="E258">
    <cfRule type="duplicateValues" dxfId="1257" priority="766"/>
  </conditionalFormatting>
  <conditionalFormatting sqref="B258">
    <cfRule type="duplicateValues" dxfId="1256" priority="767"/>
    <cfRule type="duplicateValues" dxfId="1255" priority="768"/>
  </conditionalFormatting>
  <conditionalFormatting sqref="C258">
    <cfRule type="duplicateValues" dxfId="1254" priority="769"/>
  </conditionalFormatting>
  <conditionalFormatting sqref="B258">
    <cfRule type="duplicateValues" dxfId="1253" priority="770"/>
  </conditionalFormatting>
  <conditionalFormatting sqref="A273">
    <cfRule type="duplicateValues" dxfId="1252" priority="749"/>
    <cfRule type="duplicateValues" dxfId="1251" priority="750"/>
  </conditionalFormatting>
  <conditionalFormatting sqref="A273">
    <cfRule type="duplicateValues" dxfId="1250" priority="751"/>
  </conditionalFormatting>
  <conditionalFormatting sqref="D273">
    <cfRule type="duplicateValues" dxfId="1249" priority="752"/>
  </conditionalFormatting>
  <conditionalFormatting sqref="D273">
    <cfRule type="duplicateValues" dxfId="1248" priority="753"/>
    <cfRule type="duplicateValues" dxfId="1247" priority="754"/>
  </conditionalFormatting>
  <conditionalFormatting sqref="E273">
    <cfRule type="duplicateValues" dxfId="1246" priority="755"/>
  </conditionalFormatting>
  <conditionalFormatting sqref="B273">
    <cfRule type="duplicateValues" dxfId="1245" priority="756"/>
    <cfRule type="duplicateValues" dxfId="1244" priority="757"/>
  </conditionalFormatting>
  <conditionalFormatting sqref="C273">
    <cfRule type="duplicateValues" dxfId="1243" priority="758"/>
  </conditionalFormatting>
  <conditionalFormatting sqref="B273">
    <cfRule type="duplicateValues" dxfId="1242" priority="759"/>
  </conditionalFormatting>
  <conditionalFormatting sqref="A37">
    <cfRule type="duplicateValues" dxfId="1241" priority="738"/>
    <cfRule type="duplicateValues" dxfId="1240" priority="739"/>
  </conditionalFormatting>
  <conditionalFormatting sqref="A37">
    <cfRule type="duplicateValues" dxfId="1239" priority="740"/>
  </conditionalFormatting>
  <conditionalFormatting sqref="D37">
    <cfRule type="duplicateValues" dxfId="1238" priority="741"/>
  </conditionalFormatting>
  <conditionalFormatting sqref="D37">
    <cfRule type="duplicateValues" dxfId="1237" priority="742"/>
    <cfRule type="duplicateValues" dxfId="1236" priority="743"/>
  </conditionalFormatting>
  <conditionalFormatting sqref="E37">
    <cfRule type="duplicateValues" dxfId="1235" priority="744"/>
  </conditionalFormatting>
  <conditionalFormatting sqref="B37">
    <cfRule type="duplicateValues" dxfId="1234" priority="745"/>
    <cfRule type="duplicateValues" dxfId="1233" priority="746"/>
  </conditionalFormatting>
  <conditionalFormatting sqref="C37">
    <cfRule type="duplicateValues" dxfId="1232" priority="747"/>
  </conditionalFormatting>
  <conditionalFormatting sqref="B37">
    <cfRule type="duplicateValues" dxfId="1231" priority="748"/>
  </conditionalFormatting>
  <conditionalFormatting sqref="A213">
    <cfRule type="duplicateValues" dxfId="1230" priority="727"/>
    <cfRule type="duplicateValues" dxfId="1229" priority="728"/>
  </conditionalFormatting>
  <conditionalFormatting sqref="A213">
    <cfRule type="duplicateValues" dxfId="1228" priority="729"/>
  </conditionalFormatting>
  <conditionalFormatting sqref="D213">
    <cfRule type="duplicateValues" dxfId="1227" priority="730"/>
  </conditionalFormatting>
  <conditionalFormatting sqref="D213">
    <cfRule type="duplicateValues" dxfId="1226" priority="731"/>
    <cfRule type="duplicateValues" dxfId="1225" priority="732"/>
  </conditionalFormatting>
  <conditionalFormatting sqref="E213">
    <cfRule type="duplicateValues" dxfId="1224" priority="733"/>
  </conditionalFormatting>
  <conditionalFormatting sqref="B213">
    <cfRule type="duplicateValues" dxfId="1223" priority="734"/>
    <cfRule type="duplicateValues" dxfId="1222" priority="735"/>
  </conditionalFormatting>
  <conditionalFormatting sqref="C213">
    <cfRule type="duplicateValues" dxfId="1221" priority="736"/>
  </conditionalFormatting>
  <conditionalFormatting sqref="B213">
    <cfRule type="duplicateValues" dxfId="1220" priority="737"/>
  </conditionalFormatting>
  <conditionalFormatting sqref="A87">
    <cfRule type="duplicateValues" dxfId="1219" priority="716"/>
    <cfRule type="duplicateValues" dxfId="1218" priority="717"/>
  </conditionalFormatting>
  <conditionalFormatting sqref="A87">
    <cfRule type="duplicateValues" dxfId="1217" priority="718"/>
  </conditionalFormatting>
  <conditionalFormatting sqref="D87">
    <cfRule type="duplicateValues" dxfId="1216" priority="719"/>
  </conditionalFormatting>
  <conditionalFormatting sqref="D87">
    <cfRule type="duplicateValues" dxfId="1215" priority="720"/>
    <cfRule type="duplicateValues" dxfId="1214" priority="721"/>
  </conditionalFormatting>
  <conditionalFormatting sqref="E87">
    <cfRule type="duplicateValues" dxfId="1213" priority="722"/>
  </conditionalFormatting>
  <conditionalFormatting sqref="B87">
    <cfRule type="duplicateValues" dxfId="1212" priority="723"/>
    <cfRule type="duplicateValues" dxfId="1211" priority="724"/>
  </conditionalFormatting>
  <conditionalFormatting sqref="C87">
    <cfRule type="duplicateValues" dxfId="1210" priority="725"/>
  </conditionalFormatting>
  <conditionalFormatting sqref="B87">
    <cfRule type="duplicateValues" dxfId="1209" priority="726"/>
  </conditionalFormatting>
  <conditionalFormatting sqref="A272">
    <cfRule type="duplicateValues" dxfId="1208" priority="705"/>
    <cfRule type="duplicateValues" dxfId="1207" priority="706"/>
  </conditionalFormatting>
  <conditionalFormatting sqref="A272">
    <cfRule type="duplicateValues" dxfId="1206" priority="707"/>
  </conditionalFormatting>
  <conditionalFormatting sqref="D272">
    <cfRule type="duplicateValues" dxfId="1205" priority="708"/>
  </conditionalFormatting>
  <conditionalFormatting sqref="D272">
    <cfRule type="duplicateValues" dxfId="1204" priority="709"/>
    <cfRule type="duplicateValues" dxfId="1203" priority="710"/>
  </conditionalFormatting>
  <conditionalFormatting sqref="E272">
    <cfRule type="duplicateValues" dxfId="1202" priority="711"/>
  </conditionalFormatting>
  <conditionalFormatting sqref="B272">
    <cfRule type="duplicateValues" dxfId="1201" priority="712"/>
    <cfRule type="duplicateValues" dxfId="1200" priority="713"/>
  </conditionalFormatting>
  <conditionalFormatting sqref="C272">
    <cfRule type="duplicateValues" dxfId="1199" priority="714"/>
  </conditionalFormatting>
  <conditionalFormatting sqref="B272">
    <cfRule type="duplicateValues" dxfId="1198" priority="715"/>
  </conditionalFormatting>
  <conditionalFormatting sqref="A269:A271">
    <cfRule type="duplicateValues" dxfId="1197" priority="694"/>
    <cfRule type="duplicateValues" dxfId="1196" priority="695"/>
  </conditionalFormatting>
  <conditionalFormatting sqref="A269:A271">
    <cfRule type="duplicateValues" dxfId="1195" priority="696"/>
  </conditionalFormatting>
  <conditionalFormatting sqref="D269:D271">
    <cfRule type="duplicateValues" dxfId="1194" priority="697"/>
  </conditionalFormatting>
  <conditionalFormatting sqref="D269:D271">
    <cfRule type="duplicateValues" dxfId="1193" priority="698"/>
    <cfRule type="duplicateValues" dxfId="1192" priority="699"/>
  </conditionalFormatting>
  <conditionalFormatting sqref="E269:E271">
    <cfRule type="duplicateValues" dxfId="1191" priority="700"/>
  </conditionalFormatting>
  <conditionalFormatting sqref="B269:B271">
    <cfRule type="duplicateValues" dxfId="1190" priority="701"/>
    <cfRule type="duplicateValues" dxfId="1189" priority="702"/>
  </conditionalFormatting>
  <conditionalFormatting sqref="C269:C271">
    <cfRule type="duplicateValues" dxfId="1188" priority="703"/>
  </conditionalFormatting>
  <conditionalFormatting sqref="B269:B271">
    <cfRule type="duplicateValues" dxfId="1187" priority="704"/>
  </conditionalFormatting>
  <conditionalFormatting sqref="A262:A263">
    <cfRule type="duplicateValues" dxfId="1186" priority="683"/>
    <cfRule type="duplicateValues" dxfId="1185" priority="684"/>
  </conditionalFormatting>
  <conditionalFormatting sqref="A262:A263">
    <cfRule type="duplicateValues" dxfId="1184" priority="685"/>
  </conditionalFormatting>
  <conditionalFormatting sqref="D262:D263">
    <cfRule type="duplicateValues" dxfId="1183" priority="686"/>
  </conditionalFormatting>
  <conditionalFormatting sqref="D262:D263">
    <cfRule type="duplicateValues" dxfId="1182" priority="687"/>
    <cfRule type="duplicateValues" dxfId="1181" priority="688"/>
  </conditionalFormatting>
  <conditionalFormatting sqref="E262:E263">
    <cfRule type="duplicateValues" dxfId="1180" priority="689"/>
  </conditionalFormatting>
  <conditionalFormatting sqref="B262:B263">
    <cfRule type="duplicateValues" dxfId="1179" priority="690"/>
    <cfRule type="duplicateValues" dxfId="1178" priority="691"/>
  </conditionalFormatting>
  <conditionalFormatting sqref="C262:C263">
    <cfRule type="duplicateValues" dxfId="1177" priority="692"/>
  </conditionalFormatting>
  <conditionalFormatting sqref="B262:B263">
    <cfRule type="duplicateValues" dxfId="1176" priority="693"/>
  </conditionalFormatting>
  <conditionalFormatting sqref="A261">
    <cfRule type="duplicateValues" dxfId="1175" priority="672"/>
    <cfRule type="duplicateValues" dxfId="1174" priority="673"/>
  </conditionalFormatting>
  <conditionalFormatting sqref="A261">
    <cfRule type="duplicateValues" dxfId="1173" priority="674"/>
  </conditionalFormatting>
  <conditionalFormatting sqref="D261">
    <cfRule type="duplicateValues" dxfId="1172" priority="675"/>
  </conditionalFormatting>
  <conditionalFormatting sqref="D261">
    <cfRule type="duplicateValues" dxfId="1171" priority="676"/>
    <cfRule type="duplicateValues" dxfId="1170" priority="677"/>
  </conditionalFormatting>
  <conditionalFormatting sqref="E261">
    <cfRule type="duplicateValues" dxfId="1169" priority="678"/>
  </conditionalFormatting>
  <conditionalFormatting sqref="B261">
    <cfRule type="duplicateValues" dxfId="1168" priority="679"/>
    <cfRule type="duplicateValues" dxfId="1167" priority="680"/>
  </conditionalFormatting>
  <conditionalFormatting sqref="C261">
    <cfRule type="duplicateValues" dxfId="1166" priority="681"/>
  </conditionalFormatting>
  <conditionalFormatting sqref="B261">
    <cfRule type="duplicateValues" dxfId="1165" priority="682"/>
  </conditionalFormatting>
  <conditionalFormatting sqref="A264">
    <cfRule type="duplicateValues" dxfId="1164" priority="661"/>
    <cfRule type="duplicateValues" dxfId="1163" priority="662"/>
  </conditionalFormatting>
  <conditionalFormatting sqref="A264">
    <cfRule type="duplicateValues" dxfId="1162" priority="663"/>
  </conditionalFormatting>
  <conditionalFormatting sqref="D264">
    <cfRule type="duplicateValues" dxfId="1161" priority="664"/>
  </conditionalFormatting>
  <conditionalFormatting sqref="D264">
    <cfRule type="duplicateValues" dxfId="1160" priority="665"/>
    <cfRule type="duplicateValues" dxfId="1159" priority="666"/>
  </conditionalFormatting>
  <conditionalFormatting sqref="E264">
    <cfRule type="duplicateValues" dxfId="1158" priority="667"/>
  </conditionalFormatting>
  <conditionalFormatting sqref="B264">
    <cfRule type="duplicateValues" dxfId="1157" priority="668"/>
    <cfRule type="duplicateValues" dxfId="1156" priority="669"/>
  </conditionalFormatting>
  <conditionalFormatting sqref="C264">
    <cfRule type="duplicateValues" dxfId="1155" priority="670"/>
  </conditionalFormatting>
  <conditionalFormatting sqref="B264">
    <cfRule type="duplicateValues" dxfId="1154" priority="671"/>
  </conditionalFormatting>
  <conditionalFormatting sqref="A267">
    <cfRule type="duplicateValues" dxfId="1153" priority="650"/>
    <cfRule type="duplicateValues" dxfId="1152" priority="651"/>
  </conditionalFormatting>
  <conditionalFormatting sqref="A267">
    <cfRule type="duplicateValues" dxfId="1151" priority="652"/>
  </conditionalFormatting>
  <conditionalFormatting sqref="D267">
    <cfRule type="duplicateValues" dxfId="1150" priority="653"/>
  </conditionalFormatting>
  <conditionalFormatting sqref="D267">
    <cfRule type="duplicateValues" dxfId="1149" priority="654"/>
    <cfRule type="duplicateValues" dxfId="1148" priority="655"/>
  </conditionalFormatting>
  <conditionalFormatting sqref="E267">
    <cfRule type="duplicateValues" dxfId="1147" priority="656"/>
  </conditionalFormatting>
  <conditionalFormatting sqref="B267">
    <cfRule type="duplicateValues" dxfId="1146" priority="657"/>
    <cfRule type="duplicateValues" dxfId="1145" priority="658"/>
  </conditionalFormatting>
  <conditionalFormatting sqref="C267">
    <cfRule type="duplicateValues" dxfId="1144" priority="659"/>
  </conditionalFormatting>
  <conditionalFormatting sqref="B267">
    <cfRule type="duplicateValues" dxfId="1143" priority="660"/>
  </conditionalFormatting>
  <conditionalFormatting sqref="A265">
    <cfRule type="duplicateValues" dxfId="1142" priority="639"/>
    <cfRule type="duplicateValues" dxfId="1141" priority="640"/>
  </conditionalFormatting>
  <conditionalFormatting sqref="A265">
    <cfRule type="duplicateValues" dxfId="1140" priority="641"/>
  </conditionalFormatting>
  <conditionalFormatting sqref="D265">
    <cfRule type="duplicateValues" dxfId="1139" priority="642"/>
  </conditionalFormatting>
  <conditionalFormatting sqref="D265">
    <cfRule type="duplicateValues" dxfId="1138" priority="643"/>
    <cfRule type="duplicateValues" dxfId="1137" priority="644"/>
  </conditionalFormatting>
  <conditionalFormatting sqref="E265">
    <cfRule type="duplicateValues" dxfId="1136" priority="645"/>
  </conditionalFormatting>
  <conditionalFormatting sqref="B265">
    <cfRule type="duplicateValues" dxfId="1135" priority="646"/>
    <cfRule type="duplicateValues" dxfId="1134" priority="647"/>
  </conditionalFormatting>
  <conditionalFormatting sqref="C265">
    <cfRule type="duplicateValues" dxfId="1133" priority="648"/>
  </conditionalFormatting>
  <conditionalFormatting sqref="B265">
    <cfRule type="duplicateValues" dxfId="1132" priority="649"/>
  </conditionalFormatting>
  <conditionalFormatting sqref="A259">
    <cfRule type="duplicateValues" dxfId="1131" priority="628"/>
    <cfRule type="duplicateValues" dxfId="1130" priority="629"/>
  </conditionalFormatting>
  <conditionalFormatting sqref="A259">
    <cfRule type="duplicateValues" dxfId="1129" priority="630"/>
  </conditionalFormatting>
  <conditionalFormatting sqref="D259">
    <cfRule type="duplicateValues" dxfId="1128" priority="631"/>
  </conditionalFormatting>
  <conditionalFormatting sqref="D259">
    <cfRule type="duplicateValues" dxfId="1127" priority="632"/>
    <cfRule type="duplicateValues" dxfId="1126" priority="633"/>
  </conditionalFormatting>
  <conditionalFormatting sqref="E259">
    <cfRule type="duplicateValues" dxfId="1125" priority="634"/>
  </conditionalFormatting>
  <conditionalFormatting sqref="B259">
    <cfRule type="duplicateValues" dxfId="1124" priority="635"/>
    <cfRule type="duplicateValues" dxfId="1123" priority="636"/>
  </conditionalFormatting>
  <conditionalFormatting sqref="C259">
    <cfRule type="duplicateValues" dxfId="1122" priority="637"/>
  </conditionalFormatting>
  <conditionalFormatting sqref="B259">
    <cfRule type="duplicateValues" dxfId="1121" priority="638"/>
  </conditionalFormatting>
  <conditionalFormatting sqref="E66">
    <cfRule type="duplicateValues" dxfId="1120" priority="622"/>
  </conditionalFormatting>
  <conditionalFormatting sqref="D66">
    <cfRule type="duplicateValues" dxfId="1119" priority="623"/>
  </conditionalFormatting>
  <conditionalFormatting sqref="C66">
    <cfRule type="duplicateValues" dxfId="1118" priority="624"/>
  </conditionalFormatting>
  <conditionalFormatting sqref="B66">
    <cfRule type="duplicateValues" dxfId="1117" priority="625"/>
  </conditionalFormatting>
  <conditionalFormatting sqref="B66">
    <cfRule type="duplicateValues" dxfId="1116" priority="626"/>
    <cfRule type="duplicateValues" dxfId="1115" priority="627"/>
  </conditionalFormatting>
  <conditionalFormatting sqref="A66">
    <cfRule type="duplicateValues" dxfId="1114" priority="619"/>
  </conditionalFormatting>
  <conditionalFormatting sqref="A66">
    <cfRule type="duplicateValues" dxfId="1113" priority="620"/>
    <cfRule type="duplicateValues" dxfId="1112" priority="621"/>
  </conditionalFormatting>
  <conditionalFormatting sqref="E101">
    <cfRule type="duplicateValues" dxfId="1111" priority="613"/>
  </conditionalFormatting>
  <conditionalFormatting sqref="D101">
    <cfRule type="duplicateValues" dxfId="1110" priority="614"/>
  </conditionalFormatting>
  <conditionalFormatting sqref="C101">
    <cfRule type="duplicateValues" dxfId="1109" priority="615"/>
  </conditionalFormatting>
  <conditionalFormatting sqref="B101">
    <cfRule type="duplicateValues" dxfId="1108" priority="616"/>
  </conditionalFormatting>
  <conditionalFormatting sqref="B101">
    <cfRule type="duplicateValues" dxfId="1107" priority="617"/>
    <cfRule type="duplicateValues" dxfId="1106" priority="618"/>
  </conditionalFormatting>
  <conditionalFormatting sqref="A101">
    <cfRule type="duplicateValues" dxfId="1105" priority="610"/>
  </conditionalFormatting>
  <conditionalFormatting sqref="A101">
    <cfRule type="duplicateValues" dxfId="1104" priority="611"/>
    <cfRule type="duplicateValues" dxfId="1103" priority="612"/>
  </conditionalFormatting>
  <conditionalFormatting sqref="E102">
    <cfRule type="duplicateValues" dxfId="1102" priority="604"/>
  </conditionalFormatting>
  <conditionalFormatting sqref="D102">
    <cfRule type="duplicateValues" dxfId="1101" priority="605"/>
  </conditionalFormatting>
  <conditionalFormatting sqref="C102">
    <cfRule type="duplicateValues" dxfId="1100" priority="606"/>
  </conditionalFormatting>
  <conditionalFormatting sqref="B102">
    <cfRule type="duplicateValues" dxfId="1099" priority="607"/>
  </conditionalFormatting>
  <conditionalFormatting sqref="B102">
    <cfRule type="duplicateValues" dxfId="1098" priority="608"/>
    <cfRule type="duplicateValues" dxfId="1097" priority="609"/>
  </conditionalFormatting>
  <conditionalFormatting sqref="A102">
    <cfRule type="duplicateValues" dxfId="1096" priority="601"/>
  </conditionalFormatting>
  <conditionalFormatting sqref="A102">
    <cfRule type="duplicateValues" dxfId="1095" priority="602"/>
    <cfRule type="duplicateValues" dxfId="1094" priority="603"/>
  </conditionalFormatting>
  <conditionalFormatting sqref="E114">
    <cfRule type="duplicateValues" dxfId="1093" priority="595"/>
  </conditionalFormatting>
  <conditionalFormatting sqref="D114">
    <cfRule type="duplicateValues" dxfId="1092" priority="596"/>
  </conditionalFormatting>
  <conditionalFormatting sqref="C114">
    <cfRule type="duplicateValues" dxfId="1091" priority="597"/>
  </conditionalFormatting>
  <conditionalFormatting sqref="B114">
    <cfRule type="duplicateValues" dxfId="1090" priority="598"/>
  </conditionalFormatting>
  <conditionalFormatting sqref="B114">
    <cfRule type="duplicateValues" dxfId="1089" priority="599"/>
    <cfRule type="duplicateValues" dxfId="1088" priority="600"/>
  </conditionalFormatting>
  <conditionalFormatting sqref="A114">
    <cfRule type="duplicateValues" dxfId="1087" priority="592"/>
  </conditionalFormatting>
  <conditionalFormatting sqref="A114">
    <cfRule type="duplicateValues" dxfId="1086" priority="593"/>
    <cfRule type="duplicateValues" dxfId="1085" priority="594"/>
  </conditionalFormatting>
  <conditionalFormatting sqref="E144">
    <cfRule type="duplicateValues" dxfId="1084" priority="586"/>
  </conditionalFormatting>
  <conditionalFormatting sqref="D144">
    <cfRule type="duplicateValues" dxfId="1083" priority="587"/>
  </conditionalFormatting>
  <conditionalFormatting sqref="C144">
    <cfRule type="duplicateValues" dxfId="1082" priority="588"/>
  </conditionalFormatting>
  <conditionalFormatting sqref="B144">
    <cfRule type="duplicateValues" dxfId="1081" priority="589"/>
  </conditionalFormatting>
  <conditionalFormatting sqref="B144">
    <cfRule type="duplicateValues" dxfId="1080" priority="590"/>
    <cfRule type="duplicateValues" dxfId="1079" priority="591"/>
  </conditionalFormatting>
  <conditionalFormatting sqref="A144">
    <cfRule type="duplicateValues" dxfId="1078" priority="583"/>
  </conditionalFormatting>
  <conditionalFormatting sqref="A144">
    <cfRule type="duplicateValues" dxfId="1077" priority="584"/>
    <cfRule type="duplicateValues" dxfId="1076" priority="585"/>
  </conditionalFormatting>
  <conditionalFormatting sqref="E178">
    <cfRule type="duplicateValues" dxfId="1075" priority="577"/>
  </conditionalFormatting>
  <conditionalFormatting sqref="D178">
    <cfRule type="duplicateValues" dxfId="1074" priority="578"/>
  </conditionalFormatting>
  <conditionalFormatting sqref="C178">
    <cfRule type="duplicateValues" dxfId="1073" priority="579"/>
  </conditionalFormatting>
  <conditionalFormatting sqref="B178">
    <cfRule type="duplicateValues" dxfId="1072" priority="580"/>
  </conditionalFormatting>
  <conditionalFormatting sqref="B178">
    <cfRule type="duplicateValues" dxfId="1071" priority="581"/>
    <cfRule type="duplicateValues" dxfId="1070" priority="582"/>
  </conditionalFormatting>
  <conditionalFormatting sqref="A178">
    <cfRule type="duplicateValues" dxfId="1069" priority="574"/>
  </conditionalFormatting>
  <conditionalFormatting sqref="A178">
    <cfRule type="duplicateValues" dxfId="1068" priority="575"/>
    <cfRule type="duplicateValues" dxfId="1067" priority="576"/>
  </conditionalFormatting>
  <conditionalFormatting sqref="E190">
    <cfRule type="duplicateValues" dxfId="1066" priority="568"/>
  </conditionalFormatting>
  <conditionalFormatting sqref="D190">
    <cfRule type="duplicateValues" dxfId="1065" priority="569"/>
  </conditionalFormatting>
  <conditionalFormatting sqref="C190">
    <cfRule type="duplicateValues" dxfId="1064" priority="570"/>
  </conditionalFormatting>
  <conditionalFormatting sqref="B190">
    <cfRule type="duplicateValues" dxfId="1063" priority="571"/>
  </conditionalFormatting>
  <conditionalFormatting sqref="B190">
    <cfRule type="duplicateValues" dxfId="1062" priority="572"/>
    <cfRule type="duplicateValues" dxfId="1061" priority="573"/>
  </conditionalFormatting>
  <conditionalFormatting sqref="A190">
    <cfRule type="duplicateValues" dxfId="1060" priority="565"/>
  </conditionalFormatting>
  <conditionalFormatting sqref="A190">
    <cfRule type="duplicateValues" dxfId="1059" priority="566"/>
    <cfRule type="duplicateValues" dxfId="1058" priority="567"/>
  </conditionalFormatting>
  <conditionalFormatting sqref="E211:E212">
    <cfRule type="duplicateValues" dxfId="1057" priority="559"/>
  </conditionalFormatting>
  <conditionalFormatting sqref="D211:D212">
    <cfRule type="duplicateValues" dxfId="1056" priority="560"/>
  </conditionalFormatting>
  <conditionalFormatting sqref="C211:C212">
    <cfRule type="duplicateValues" dxfId="1055" priority="561"/>
  </conditionalFormatting>
  <conditionalFormatting sqref="B211:B212">
    <cfRule type="duplicateValues" dxfId="1054" priority="562"/>
  </conditionalFormatting>
  <conditionalFormatting sqref="B211:B212">
    <cfRule type="duplicateValues" dxfId="1053" priority="563"/>
    <cfRule type="duplicateValues" dxfId="1052" priority="564"/>
  </conditionalFormatting>
  <conditionalFormatting sqref="A211:A212">
    <cfRule type="duplicateValues" dxfId="1051" priority="556"/>
  </conditionalFormatting>
  <conditionalFormatting sqref="A211:A212">
    <cfRule type="duplicateValues" dxfId="1050" priority="557"/>
    <cfRule type="duplicateValues" dxfId="1049" priority="558"/>
  </conditionalFormatting>
  <conditionalFormatting sqref="E234:E235">
    <cfRule type="duplicateValues" dxfId="1048" priority="550"/>
  </conditionalFormatting>
  <conditionalFormatting sqref="D234:D235">
    <cfRule type="duplicateValues" dxfId="1047" priority="551"/>
  </conditionalFormatting>
  <conditionalFormatting sqref="C234:C235">
    <cfRule type="duplicateValues" dxfId="1046" priority="552"/>
  </conditionalFormatting>
  <conditionalFormatting sqref="B234:B235">
    <cfRule type="duplicateValues" dxfId="1045" priority="553"/>
  </conditionalFormatting>
  <conditionalFormatting sqref="B234:B235">
    <cfRule type="duplicateValues" dxfId="1044" priority="554"/>
    <cfRule type="duplicateValues" dxfId="1043" priority="555"/>
  </conditionalFormatting>
  <conditionalFormatting sqref="A234:A235">
    <cfRule type="duplicateValues" dxfId="1042" priority="547"/>
  </conditionalFormatting>
  <conditionalFormatting sqref="A234:A235">
    <cfRule type="duplicateValues" dxfId="1041" priority="548"/>
    <cfRule type="duplicateValues" dxfId="1040" priority="549"/>
  </conditionalFormatting>
  <conditionalFormatting sqref="E247">
    <cfRule type="duplicateValues" dxfId="1039" priority="541"/>
  </conditionalFormatting>
  <conditionalFormatting sqref="D247">
    <cfRule type="duplicateValues" dxfId="1038" priority="542"/>
  </conditionalFormatting>
  <conditionalFormatting sqref="C247">
    <cfRule type="duplicateValues" dxfId="1037" priority="543"/>
  </conditionalFormatting>
  <conditionalFormatting sqref="B247">
    <cfRule type="duplicateValues" dxfId="1036" priority="544"/>
  </conditionalFormatting>
  <conditionalFormatting sqref="B247">
    <cfRule type="duplicateValues" dxfId="1035" priority="545"/>
    <cfRule type="duplicateValues" dxfId="1034" priority="546"/>
  </conditionalFormatting>
  <conditionalFormatting sqref="A247">
    <cfRule type="duplicateValues" dxfId="1033" priority="538"/>
  </conditionalFormatting>
  <conditionalFormatting sqref="A247">
    <cfRule type="duplicateValues" dxfId="1032" priority="539"/>
    <cfRule type="duplicateValues" dxfId="1031" priority="540"/>
  </conditionalFormatting>
  <conditionalFormatting sqref="A289 A8:A10 A174:A180 A139:A153 A155:A162 A182:A203 A12:A53 A243:A273 A124:A137 A55:A122 A225:A241 A164:A172 A205:A223">
    <cfRule type="duplicateValues" dxfId="1030" priority="537"/>
  </conditionalFormatting>
  <conditionalFormatting sqref="C288 C276:C280">
    <cfRule type="duplicateValues" dxfId="1029" priority="526"/>
  </conditionalFormatting>
  <conditionalFormatting sqref="C275">
    <cfRule type="duplicateValues" dxfId="1028" priority="525"/>
  </conditionalFormatting>
  <conditionalFormatting sqref="G511">
    <cfRule type="duplicateValues" dxfId="1027" priority="489"/>
    <cfRule type="duplicateValues" dxfId="1026" priority="490"/>
  </conditionalFormatting>
  <conditionalFormatting sqref="H511:K511">
    <cfRule type="duplicateValues" dxfId="1025" priority="487"/>
    <cfRule type="duplicateValues" dxfId="1024" priority="488"/>
  </conditionalFormatting>
  <conditionalFormatting sqref="D512">
    <cfRule type="duplicateValues" dxfId="1023" priority="484"/>
    <cfRule type="duplicateValues" dxfId="1022" priority="485"/>
  </conditionalFormatting>
  <conditionalFormatting sqref="D513">
    <cfRule type="duplicateValues" dxfId="1021" priority="482"/>
    <cfRule type="duplicateValues" dxfId="1020" priority="483"/>
  </conditionalFormatting>
  <conditionalFormatting sqref="D516 D514">
    <cfRule type="duplicateValues" dxfId="1019" priority="480"/>
    <cfRule type="duplicateValues" dxfId="1018" priority="481"/>
  </conditionalFormatting>
  <conditionalFormatting sqref="D515">
    <cfRule type="duplicateValues" dxfId="1017" priority="478"/>
    <cfRule type="duplicateValues" dxfId="1016" priority="479"/>
  </conditionalFormatting>
  <conditionalFormatting sqref="D517">
    <cfRule type="duplicateValues" dxfId="1015" priority="476"/>
    <cfRule type="duplicateValues" dxfId="1014" priority="477"/>
  </conditionalFormatting>
  <conditionalFormatting sqref="D518">
    <cfRule type="duplicateValues" dxfId="1013" priority="474"/>
    <cfRule type="duplicateValues" dxfId="1012" priority="475"/>
  </conditionalFormatting>
  <conditionalFormatting sqref="D519">
    <cfRule type="duplicateValues" dxfId="1011" priority="472"/>
    <cfRule type="duplicateValues" dxfId="1010" priority="473"/>
  </conditionalFormatting>
  <conditionalFormatting sqref="A512:A519">
    <cfRule type="duplicateValues" dxfId="1009" priority="486"/>
  </conditionalFormatting>
  <conditionalFormatting sqref="A512:A519">
    <cfRule type="duplicateValues" dxfId="1008" priority="491"/>
  </conditionalFormatting>
  <conditionalFormatting sqref="D512:D519">
    <cfRule type="duplicateValues" dxfId="1007" priority="492"/>
  </conditionalFormatting>
  <conditionalFormatting sqref="B512:B519">
    <cfRule type="duplicateValues" dxfId="1006" priority="493"/>
  </conditionalFormatting>
  <conditionalFormatting sqref="D520:D522 D524:D525">
    <cfRule type="duplicateValues" dxfId="1005" priority="461"/>
    <cfRule type="duplicateValues" dxfId="1004" priority="462"/>
  </conditionalFormatting>
  <conditionalFormatting sqref="A520:A522 A524:A525">
    <cfRule type="duplicateValues" dxfId="1003" priority="463"/>
  </conditionalFormatting>
  <conditionalFormatting sqref="D520:D522 D524:D525">
    <cfRule type="duplicateValues" dxfId="1002" priority="460"/>
  </conditionalFormatting>
  <conditionalFormatting sqref="A520:A522">
    <cfRule type="duplicateValues" dxfId="1001" priority="464"/>
  </conditionalFormatting>
  <conditionalFormatting sqref="A520:A522">
    <cfRule type="duplicateValues" dxfId="1000" priority="465"/>
  </conditionalFormatting>
  <conditionalFormatting sqref="A520:A522">
    <cfRule type="duplicateValues" dxfId="999" priority="466"/>
  </conditionalFormatting>
  <conditionalFormatting sqref="A520:A522">
    <cfRule type="duplicateValues" dxfId="998" priority="467"/>
  </conditionalFormatting>
  <conditionalFormatting sqref="A520:A522">
    <cfRule type="duplicateValues" dxfId="997" priority="468"/>
  </conditionalFormatting>
  <conditionalFormatting sqref="A520:A522">
    <cfRule type="duplicateValues" dxfId="996" priority="459"/>
  </conditionalFormatting>
  <conditionalFormatting sqref="A520:A522">
    <cfRule type="duplicateValues" dxfId="995" priority="469"/>
  </conditionalFormatting>
  <conditionalFormatting sqref="D520:D522">
    <cfRule type="duplicateValues" dxfId="994" priority="470"/>
  </conditionalFormatting>
  <conditionalFormatting sqref="B520:B522 B524:B525">
    <cfRule type="duplicateValues" dxfId="993" priority="471"/>
  </conditionalFormatting>
  <conditionalFormatting sqref="A520:A522">
    <cfRule type="duplicateValues" dxfId="992" priority="458"/>
  </conditionalFormatting>
  <conditionalFormatting sqref="A520:A522">
    <cfRule type="duplicateValues" dxfId="991" priority="457"/>
  </conditionalFormatting>
  <conditionalFormatting sqref="D520:D522">
    <cfRule type="duplicateValues" dxfId="990" priority="456"/>
  </conditionalFormatting>
  <conditionalFormatting sqref="A512:A519">
    <cfRule type="duplicateValues" dxfId="989" priority="494"/>
  </conditionalFormatting>
  <conditionalFormatting sqref="A512:A519">
    <cfRule type="duplicateValues" dxfId="988" priority="495"/>
  </conditionalFormatting>
  <conditionalFormatting sqref="L511:O511">
    <cfRule type="duplicateValues" dxfId="987" priority="454"/>
    <cfRule type="duplicateValues" dxfId="986" priority="455"/>
  </conditionalFormatting>
  <conditionalFormatting sqref="A512:A519">
    <cfRule type="duplicateValues" dxfId="985" priority="496"/>
  </conditionalFormatting>
  <conditionalFormatting sqref="A512:A519">
    <cfRule type="duplicateValues" dxfId="984" priority="497"/>
  </conditionalFormatting>
  <conditionalFormatting sqref="A512:A519">
    <cfRule type="duplicateValues" dxfId="983" priority="498"/>
  </conditionalFormatting>
  <conditionalFormatting sqref="A512:A519">
    <cfRule type="duplicateValues" dxfId="982" priority="499"/>
  </conditionalFormatting>
  <conditionalFormatting sqref="A512:A519">
    <cfRule type="duplicateValues" dxfId="981" priority="500"/>
  </conditionalFormatting>
  <conditionalFormatting sqref="E336">
    <cfRule type="duplicateValues" dxfId="980" priority="445"/>
  </conditionalFormatting>
  <conditionalFormatting sqref="D336">
    <cfRule type="duplicateValues" dxfId="979" priority="446"/>
  </conditionalFormatting>
  <conditionalFormatting sqref="A336">
    <cfRule type="duplicateValues" dxfId="978" priority="447"/>
  </conditionalFormatting>
  <conditionalFormatting sqref="C336">
    <cfRule type="duplicateValues" dxfId="977" priority="448"/>
  </conditionalFormatting>
  <conditionalFormatting sqref="B336">
    <cfRule type="duplicateValues" dxfId="976" priority="449"/>
  </conditionalFormatting>
  <conditionalFormatting sqref="A336">
    <cfRule type="duplicateValues" dxfId="975" priority="450"/>
    <cfRule type="duplicateValues" dxfId="974" priority="451"/>
  </conditionalFormatting>
  <conditionalFormatting sqref="B336">
    <cfRule type="duplicateValues" dxfId="973" priority="452"/>
    <cfRule type="duplicateValues" dxfId="972" priority="453"/>
  </conditionalFormatting>
  <conditionalFormatting sqref="E348">
    <cfRule type="duplicateValues" dxfId="971" priority="436"/>
  </conditionalFormatting>
  <conditionalFormatting sqref="D348">
    <cfRule type="duplicateValues" dxfId="970" priority="437"/>
  </conditionalFormatting>
  <conditionalFormatting sqref="A348">
    <cfRule type="duplicateValues" dxfId="969" priority="438"/>
  </conditionalFormatting>
  <conditionalFormatting sqref="C348">
    <cfRule type="duplicateValues" dxfId="968" priority="439"/>
  </conditionalFormatting>
  <conditionalFormatting sqref="B348">
    <cfRule type="duplicateValues" dxfId="967" priority="440"/>
  </conditionalFormatting>
  <conditionalFormatting sqref="A348">
    <cfRule type="duplicateValues" dxfId="966" priority="441"/>
    <cfRule type="duplicateValues" dxfId="965" priority="442"/>
  </conditionalFormatting>
  <conditionalFormatting sqref="B348">
    <cfRule type="duplicateValues" dxfId="964" priority="443"/>
    <cfRule type="duplicateValues" dxfId="963" priority="444"/>
  </conditionalFormatting>
  <conditionalFormatting sqref="E349">
    <cfRule type="duplicateValues" dxfId="962" priority="427"/>
  </conditionalFormatting>
  <conditionalFormatting sqref="D349">
    <cfRule type="duplicateValues" dxfId="961" priority="428"/>
  </conditionalFormatting>
  <conditionalFormatting sqref="A349">
    <cfRule type="duplicateValues" dxfId="960" priority="429"/>
  </conditionalFormatting>
  <conditionalFormatting sqref="C349">
    <cfRule type="duplicateValues" dxfId="959" priority="430"/>
  </conditionalFormatting>
  <conditionalFormatting sqref="B349">
    <cfRule type="duplicateValues" dxfId="958" priority="431"/>
  </conditionalFormatting>
  <conditionalFormatting sqref="A349">
    <cfRule type="duplicateValues" dxfId="957" priority="432"/>
    <cfRule type="duplicateValues" dxfId="956" priority="433"/>
  </conditionalFormatting>
  <conditionalFormatting sqref="B349">
    <cfRule type="duplicateValues" dxfId="955" priority="434"/>
    <cfRule type="duplicateValues" dxfId="954" priority="435"/>
  </conditionalFormatting>
  <conditionalFormatting sqref="E350">
    <cfRule type="duplicateValues" dxfId="953" priority="418"/>
  </conditionalFormatting>
  <conditionalFormatting sqref="D350">
    <cfRule type="duplicateValues" dxfId="952" priority="419"/>
  </conditionalFormatting>
  <conditionalFormatting sqref="A350">
    <cfRule type="duplicateValues" dxfId="951" priority="420"/>
  </conditionalFormatting>
  <conditionalFormatting sqref="C350">
    <cfRule type="duplicateValues" dxfId="950" priority="421"/>
  </conditionalFormatting>
  <conditionalFormatting sqref="B350">
    <cfRule type="duplicateValues" dxfId="949" priority="422"/>
  </conditionalFormatting>
  <conditionalFormatting sqref="A350">
    <cfRule type="duplicateValues" dxfId="948" priority="423"/>
    <cfRule type="duplicateValues" dxfId="947" priority="424"/>
  </conditionalFormatting>
  <conditionalFormatting sqref="B350">
    <cfRule type="duplicateValues" dxfId="946" priority="425"/>
    <cfRule type="duplicateValues" dxfId="945" priority="426"/>
  </conditionalFormatting>
  <conditionalFormatting sqref="E351">
    <cfRule type="duplicateValues" dxfId="944" priority="409"/>
  </conditionalFormatting>
  <conditionalFormatting sqref="D351">
    <cfRule type="duplicateValues" dxfId="943" priority="410"/>
  </conditionalFormatting>
  <conditionalFormatting sqref="A351">
    <cfRule type="duplicateValues" dxfId="942" priority="411"/>
  </conditionalFormatting>
  <conditionalFormatting sqref="C351">
    <cfRule type="duplicateValues" dxfId="941" priority="412"/>
  </conditionalFormatting>
  <conditionalFormatting sqref="B351">
    <cfRule type="duplicateValues" dxfId="940" priority="413"/>
  </conditionalFormatting>
  <conditionalFormatting sqref="A351">
    <cfRule type="duplicateValues" dxfId="939" priority="414"/>
    <cfRule type="duplicateValues" dxfId="938" priority="415"/>
  </conditionalFormatting>
  <conditionalFormatting sqref="B351">
    <cfRule type="duplicateValues" dxfId="937" priority="416"/>
    <cfRule type="duplicateValues" dxfId="936" priority="417"/>
  </conditionalFormatting>
  <conditionalFormatting sqref="E421">
    <cfRule type="duplicateValues" dxfId="935" priority="400"/>
  </conditionalFormatting>
  <conditionalFormatting sqref="D421">
    <cfRule type="duplicateValues" dxfId="934" priority="401"/>
  </conditionalFormatting>
  <conditionalFormatting sqref="A421">
    <cfRule type="duplicateValues" dxfId="933" priority="402"/>
  </conditionalFormatting>
  <conditionalFormatting sqref="C421">
    <cfRule type="duplicateValues" dxfId="932" priority="403"/>
  </conditionalFormatting>
  <conditionalFormatting sqref="B421">
    <cfRule type="duplicateValues" dxfId="931" priority="404"/>
  </conditionalFormatting>
  <conditionalFormatting sqref="A421">
    <cfRule type="duplicateValues" dxfId="930" priority="405"/>
    <cfRule type="duplicateValues" dxfId="929" priority="406"/>
  </conditionalFormatting>
  <conditionalFormatting sqref="B421">
    <cfRule type="duplicateValues" dxfId="928" priority="407"/>
    <cfRule type="duplicateValues" dxfId="927" priority="408"/>
  </conditionalFormatting>
  <conditionalFormatting sqref="E422">
    <cfRule type="duplicateValues" dxfId="926" priority="391"/>
  </conditionalFormatting>
  <conditionalFormatting sqref="D422">
    <cfRule type="duplicateValues" dxfId="925" priority="392"/>
  </conditionalFormatting>
  <conditionalFormatting sqref="A422">
    <cfRule type="duplicateValues" dxfId="924" priority="393"/>
  </conditionalFormatting>
  <conditionalFormatting sqref="C422">
    <cfRule type="duplicateValues" dxfId="923" priority="394"/>
  </conditionalFormatting>
  <conditionalFormatting sqref="B422">
    <cfRule type="duplicateValues" dxfId="922" priority="395"/>
  </conditionalFormatting>
  <conditionalFormatting sqref="A422">
    <cfRule type="duplicateValues" dxfId="921" priority="396"/>
    <cfRule type="duplicateValues" dxfId="920" priority="397"/>
  </conditionalFormatting>
  <conditionalFormatting sqref="B422">
    <cfRule type="duplicateValues" dxfId="919" priority="398"/>
    <cfRule type="duplicateValues" dxfId="918" priority="399"/>
  </conditionalFormatting>
  <conditionalFormatting sqref="A512:A519">
    <cfRule type="duplicateValues" dxfId="917" priority="501"/>
  </conditionalFormatting>
  <conditionalFormatting sqref="D512:D519">
    <cfRule type="duplicateValues" dxfId="916" priority="502"/>
  </conditionalFormatting>
  <conditionalFormatting sqref="D512:D519">
    <cfRule type="duplicateValues" dxfId="915" priority="503"/>
  </conditionalFormatting>
  <conditionalFormatting sqref="D512:D522 D524:D525">
    <cfRule type="duplicateValues" dxfId="914" priority="504"/>
  </conditionalFormatting>
  <conditionalFormatting sqref="D512:D522">
    <cfRule type="duplicateValues" dxfId="913" priority="505"/>
  </conditionalFormatting>
  <conditionalFormatting sqref="A434:A435 A181 A337:A339 A332:A333 A413:A420 A154 A330 A383:A386 A405 A423:A432 A341:A342 A352:A369 A377:A381 A295:A296 A290:A292 A344 A346:A347 A371:A375 A407:A411 A312:A316 A388:A393 A318:A328 A298:A303 A335 A395:A396 A398:A402">
    <cfRule type="duplicateValues" dxfId="912" priority="506"/>
    <cfRule type="duplicateValues" dxfId="911" priority="507"/>
  </conditionalFormatting>
  <conditionalFormatting sqref="A434:A435 A181 A337:A339 A332:A333 A413:A420 A154 A330 A383:A386 A405 A423:A432 A341:A342 A352:A369 A377:A381 A295:A296 A290:A292 A344 A346:A347 A371:A375 A407:A411 A312:A316 A388:A393 A318:A328 A298:A303 A335 A395:A396 A398:A402">
    <cfRule type="duplicateValues" dxfId="910" priority="508"/>
  </conditionalFormatting>
  <conditionalFormatting sqref="D434:D435 D181 D337:D339 D332:D335 D413:D420 D154 D330 D383:D386 D405 D423:D432 D341:D342 D352:D369 D377:D381 D294:D303 D290:D292 D344 D346:D347 D371:D375 D407:D411 D305:D308 D310:D316 D388:D402 D318:D328">
    <cfRule type="duplicateValues" dxfId="909" priority="509"/>
  </conditionalFormatting>
  <conditionalFormatting sqref="D434:D435 D181 D337:D339 D332:D335 D413:D420 D154 D330 D383:D386 D405 D423:D432 D341:D342 D352:D369 D377:D381 D294:D303 D290:D292 D344 D346:D347 D371:D375 D407:D411 D305:D308 D310:D316 D388:D402 D318:D328">
    <cfRule type="duplicateValues" dxfId="908" priority="510"/>
    <cfRule type="duplicateValues" dxfId="907" priority="511"/>
  </conditionalFormatting>
  <conditionalFormatting sqref="E434:E435 E181 E337:E339 E332:E335 E413:E420 E154 E330 E383:E386 E405 E423:E432 E341:E342 E352:E369 E377:E381 E294:E303 E290:E292 E344 E346:E347 E371:E375 E407:E411 E305:E308 E310:E316 E388:E402 E318:E328">
    <cfRule type="duplicateValues" dxfId="906" priority="512"/>
  </conditionalFormatting>
  <conditionalFormatting sqref="B434:B435 B181 B337:B339 B332:B335 B413:B420 B154 B330 B383:B386 B405 B423:B432 B341:B342 B352:B369 B377:B381 B294:B303 B290:B292 B344 B346:B347 B371:B375 B407:B411 B305:B308 B310:B316 B388:B402 B318:B328">
    <cfRule type="duplicateValues" dxfId="905" priority="513"/>
    <cfRule type="duplicateValues" dxfId="904" priority="514"/>
  </conditionalFormatting>
  <conditionalFormatting sqref="C463 C434:C435 C181 C337:C339 C332:C335 C413:C420 C154 C330 C405 C423:C432 C352:C369 C377:C381 C294:C303 C290:C292 C344 C346:C347 C371:C375 C407:C411 C305:C308 C341:C342 C383:C386 C451 C491:C492 C310:C316 C388:C402 C318:C328">
    <cfRule type="duplicateValues" dxfId="903" priority="515"/>
  </conditionalFormatting>
  <conditionalFormatting sqref="B434:B435 B181 B337:B339 B332:B335 B413:B420 B154 B330 B383:B386 B405 B423:B432 B341:B342 B352:B369 B377:B381 B294:B303 B290:B292 B344 B346:B347 B371:B375 B407:B411 B305:B308 B310:B316 B388:B402 B318:B328">
    <cfRule type="duplicateValues" dxfId="902" priority="516"/>
  </conditionalFormatting>
  <conditionalFormatting sqref="E331">
    <cfRule type="duplicateValues" dxfId="901" priority="385"/>
  </conditionalFormatting>
  <conditionalFormatting sqref="D331">
    <cfRule type="duplicateValues" dxfId="900" priority="386"/>
  </conditionalFormatting>
  <conditionalFormatting sqref="C331">
    <cfRule type="duplicateValues" dxfId="899" priority="387"/>
  </conditionalFormatting>
  <conditionalFormatting sqref="B331">
    <cfRule type="duplicateValues" dxfId="898" priority="388"/>
  </conditionalFormatting>
  <conditionalFormatting sqref="B331">
    <cfRule type="duplicateValues" dxfId="897" priority="389"/>
    <cfRule type="duplicateValues" dxfId="896" priority="390"/>
  </conditionalFormatting>
  <conditionalFormatting sqref="A331">
    <cfRule type="duplicateValues" dxfId="895" priority="382"/>
  </conditionalFormatting>
  <conditionalFormatting sqref="A331">
    <cfRule type="duplicateValues" dxfId="894" priority="383"/>
    <cfRule type="duplicateValues" dxfId="893" priority="384"/>
  </conditionalFormatting>
  <conditionalFormatting sqref="E376">
    <cfRule type="duplicateValues" dxfId="892" priority="376"/>
  </conditionalFormatting>
  <conditionalFormatting sqref="D376">
    <cfRule type="duplicateValues" dxfId="891" priority="377"/>
  </conditionalFormatting>
  <conditionalFormatting sqref="C376">
    <cfRule type="duplicateValues" dxfId="890" priority="378"/>
  </conditionalFormatting>
  <conditionalFormatting sqref="B376">
    <cfRule type="duplicateValues" dxfId="889" priority="379"/>
  </conditionalFormatting>
  <conditionalFormatting sqref="B376">
    <cfRule type="duplicateValues" dxfId="888" priority="380"/>
    <cfRule type="duplicateValues" dxfId="887" priority="381"/>
  </conditionalFormatting>
  <conditionalFormatting sqref="A376">
    <cfRule type="duplicateValues" dxfId="886" priority="373"/>
  </conditionalFormatting>
  <conditionalFormatting sqref="A376">
    <cfRule type="duplicateValues" dxfId="885" priority="374"/>
    <cfRule type="duplicateValues" dxfId="884" priority="375"/>
  </conditionalFormatting>
  <conditionalFormatting sqref="A382">
    <cfRule type="duplicateValues" dxfId="883" priority="367"/>
  </conditionalFormatting>
  <conditionalFormatting sqref="E382">
    <cfRule type="duplicateValues" dxfId="882" priority="370"/>
  </conditionalFormatting>
  <conditionalFormatting sqref="D382">
    <cfRule type="duplicateValues" dxfId="881" priority="371"/>
  </conditionalFormatting>
  <conditionalFormatting sqref="B382">
    <cfRule type="duplicateValues" dxfId="880" priority="372"/>
  </conditionalFormatting>
  <conditionalFormatting sqref="A382">
    <cfRule type="duplicateValues" dxfId="879" priority="368"/>
    <cfRule type="duplicateValues" dxfId="878" priority="369"/>
  </conditionalFormatting>
  <conditionalFormatting sqref="D412">
    <cfRule type="duplicateValues" dxfId="877" priority="362"/>
  </conditionalFormatting>
  <conditionalFormatting sqref="C412">
    <cfRule type="duplicateValues" dxfId="876" priority="363"/>
  </conditionalFormatting>
  <conditionalFormatting sqref="B412">
    <cfRule type="duplicateValues" dxfId="875" priority="364"/>
  </conditionalFormatting>
  <conditionalFormatting sqref="B412">
    <cfRule type="duplicateValues" dxfId="874" priority="365"/>
    <cfRule type="duplicateValues" dxfId="873" priority="366"/>
  </conditionalFormatting>
  <conditionalFormatting sqref="E412">
    <cfRule type="duplicateValues" dxfId="872" priority="355"/>
  </conditionalFormatting>
  <conditionalFormatting sqref="E412">
    <cfRule type="duplicateValues" dxfId="871" priority="356"/>
  </conditionalFormatting>
  <conditionalFormatting sqref="E412">
    <cfRule type="duplicateValues" dxfId="870" priority="357"/>
    <cfRule type="duplicateValues" dxfId="869" priority="358"/>
  </conditionalFormatting>
  <conditionalFormatting sqref="E412">
    <cfRule type="duplicateValues" dxfId="868" priority="359"/>
  </conditionalFormatting>
  <conditionalFormatting sqref="E412">
    <cfRule type="duplicateValues" dxfId="867" priority="360"/>
    <cfRule type="duplicateValues" dxfId="866" priority="361"/>
  </conditionalFormatting>
  <conditionalFormatting sqref="A412">
    <cfRule type="duplicateValues" dxfId="865" priority="354"/>
  </conditionalFormatting>
  <conditionalFormatting sqref="E329">
    <cfRule type="duplicateValues" dxfId="864" priority="348"/>
  </conditionalFormatting>
  <conditionalFormatting sqref="D329">
    <cfRule type="duplicateValues" dxfId="863" priority="349"/>
  </conditionalFormatting>
  <conditionalFormatting sqref="C329">
    <cfRule type="duplicateValues" dxfId="862" priority="350"/>
  </conditionalFormatting>
  <conditionalFormatting sqref="B329">
    <cfRule type="duplicateValues" dxfId="861" priority="351"/>
  </conditionalFormatting>
  <conditionalFormatting sqref="B329">
    <cfRule type="duplicateValues" dxfId="860" priority="352"/>
    <cfRule type="duplicateValues" dxfId="859" priority="353"/>
  </conditionalFormatting>
  <conditionalFormatting sqref="A329">
    <cfRule type="duplicateValues" dxfId="858" priority="345"/>
  </conditionalFormatting>
  <conditionalFormatting sqref="A329">
    <cfRule type="duplicateValues" dxfId="857" priority="346"/>
    <cfRule type="duplicateValues" dxfId="856" priority="347"/>
  </conditionalFormatting>
  <conditionalFormatting sqref="E403:E404">
    <cfRule type="duplicateValues" dxfId="855" priority="330"/>
  </conditionalFormatting>
  <conditionalFormatting sqref="D403:D404">
    <cfRule type="duplicateValues" dxfId="854" priority="331"/>
  </conditionalFormatting>
  <conditionalFormatting sqref="C403:C404">
    <cfRule type="duplicateValues" dxfId="853" priority="332"/>
  </conditionalFormatting>
  <conditionalFormatting sqref="B403:B404">
    <cfRule type="duplicateValues" dxfId="852" priority="333"/>
  </conditionalFormatting>
  <conditionalFormatting sqref="B403:B404">
    <cfRule type="duplicateValues" dxfId="851" priority="334"/>
    <cfRule type="duplicateValues" dxfId="850" priority="335"/>
  </conditionalFormatting>
  <conditionalFormatting sqref="A403:A404">
    <cfRule type="duplicateValues" dxfId="849" priority="327"/>
  </conditionalFormatting>
  <conditionalFormatting sqref="A403:A404">
    <cfRule type="duplicateValues" dxfId="848" priority="328"/>
    <cfRule type="duplicateValues" dxfId="847" priority="329"/>
  </conditionalFormatting>
  <conditionalFormatting sqref="A511:E511">
    <cfRule type="duplicateValues" dxfId="846" priority="325"/>
    <cfRule type="duplicateValues" dxfId="845" priority="326"/>
  </conditionalFormatting>
  <conditionalFormatting sqref="E433">
    <cfRule type="duplicateValues" dxfId="844" priority="324"/>
  </conditionalFormatting>
  <conditionalFormatting sqref="A340">
    <cfRule type="duplicateValues" dxfId="843" priority="313"/>
    <cfRule type="duplicateValues" dxfId="842" priority="314"/>
  </conditionalFormatting>
  <conditionalFormatting sqref="A340">
    <cfRule type="duplicateValues" dxfId="841" priority="315"/>
  </conditionalFormatting>
  <conditionalFormatting sqref="D340">
    <cfRule type="duplicateValues" dxfId="840" priority="316"/>
  </conditionalFormatting>
  <conditionalFormatting sqref="D340">
    <cfRule type="duplicateValues" dxfId="839" priority="317"/>
    <cfRule type="duplicateValues" dxfId="838" priority="318"/>
  </conditionalFormatting>
  <conditionalFormatting sqref="E340">
    <cfRule type="duplicateValues" dxfId="837" priority="319"/>
  </conditionalFormatting>
  <conditionalFormatting sqref="B340">
    <cfRule type="duplicateValues" dxfId="836" priority="320"/>
    <cfRule type="duplicateValues" dxfId="835" priority="321"/>
  </conditionalFormatting>
  <conditionalFormatting sqref="C340">
    <cfRule type="duplicateValues" dxfId="834" priority="322"/>
  </conditionalFormatting>
  <conditionalFormatting sqref="B340">
    <cfRule type="duplicateValues" dxfId="833" priority="323"/>
  </conditionalFormatting>
  <conditionalFormatting sqref="A293">
    <cfRule type="duplicateValues" dxfId="832" priority="302"/>
    <cfRule type="duplicateValues" dxfId="831" priority="303"/>
  </conditionalFormatting>
  <conditionalFormatting sqref="A293">
    <cfRule type="duplicateValues" dxfId="830" priority="304"/>
  </conditionalFormatting>
  <conditionalFormatting sqref="D293">
    <cfRule type="duplicateValues" dxfId="829" priority="305"/>
  </conditionalFormatting>
  <conditionalFormatting sqref="D293">
    <cfRule type="duplicateValues" dxfId="828" priority="306"/>
    <cfRule type="duplicateValues" dxfId="827" priority="307"/>
  </conditionalFormatting>
  <conditionalFormatting sqref="E293">
    <cfRule type="duplicateValues" dxfId="826" priority="308"/>
  </conditionalFormatting>
  <conditionalFormatting sqref="C293">
    <cfRule type="duplicateValues" dxfId="825" priority="311"/>
  </conditionalFormatting>
  <conditionalFormatting sqref="D433">
    <cfRule type="duplicateValues" dxfId="824" priority="517"/>
  </conditionalFormatting>
  <conditionalFormatting sqref="C433">
    <cfRule type="duplicateValues" dxfId="823" priority="518"/>
  </conditionalFormatting>
  <conditionalFormatting sqref="B433">
    <cfRule type="duplicateValues" dxfId="822" priority="519"/>
  </conditionalFormatting>
  <conditionalFormatting sqref="B433">
    <cfRule type="duplicateValues" dxfId="821" priority="520"/>
    <cfRule type="duplicateValues" dxfId="820" priority="521"/>
  </conditionalFormatting>
  <conditionalFormatting sqref="A433">
    <cfRule type="duplicateValues" dxfId="819" priority="522"/>
  </conditionalFormatting>
  <conditionalFormatting sqref="A433">
    <cfRule type="duplicateValues" dxfId="818" priority="523"/>
    <cfRule type="duplicateValues" dxfId="817" priority="524"/>
  </conditionalFormatting>
  <conditionalFormatting sqref="A524:A525 A290:A293 A344 A346:A369 A371:A386 A407:A436 A181 A154 A511:A522 A312:A316 A388:A393 A318:A333 A295:A296 A298:A303 A335:A342 A395:A396 A398:A405">
    <cfRule type="duplicateValues" dxfId="816" priority="16133"/>
  </conditionalFormatting>
  <conditionalFormatting sqref="E343">
    <cfRule type="duplicateValues" dxfId="815" priority="284"/>
  </conditionalFormatting>
  <conditionalFormatting sqref="D343">
    <cfRule type="duplicateValues" dxfId="814" priority="285"/>
  </conditionalFormatting>
  <conditionalFormatting sqref="C343">
    <cfRule type="duplicateValues" dxfId="813" priority="286"/>
  </conditionalFormatting>
  <conditionalFormatting sqref="B343">
    <cfRule type="duplicateValues" dxfId="812" priority="287"/>
  </conditionalFormatting>
  <conditionalFormatting sqref="B343">
    <cfRule type="duplicateValues" dxfId="811" priority="288"/>
    <cfRule type="duplicateValues" dxfId="810" priority="289"/>
  </conditionalFormatting>
  <conditionalFormatting sqref="A343">
    <cfRule type="duplicateValues" dxfId="809" priority="281"/>
  </conditionalFormatting>
  <conditionalFormatting sqref="A343">
    <cfRule type="duplicateValues" dxfId="808" priority="282"/>
    <cfRule type="duplicateValues" dxfId="807" priority="283"/>
  </conditionalFormatting>
  <conditionalFormatting sqref="E345">
    <cfRule type="duplicateValues" dxfId="806" priority="275"/>
  </conditionalFormatting>
  <conditionalFormatting sqref="D345">
    <cfRule type="duplicateValues" dxfId="805" priority="276"/>
  </conditionalFormatting>
  <conditionalFormatting sqref="C345">
    <cfRule type="duplicateValues" dxfId="804" priority="277"/>
  </conditionalFormatting>
  <conditionalFormatting sqref="B345">
    <cfRule type="duplicateValues" dxfId="803" priority="278"/>
  </conditionalFormatting>
  <conditionalFormatting sqref="B345">
    <cfRule type="duplicateValues" dxfId="802" priority="279"/>
    <cfRule type="duplicateValues" dxfId="801" priority="280"/>
  </conditionalFormatting>
  <conditionalFormatting sqref="A345">
    <cfRule type="duplicateValues" dxfId="800" priority="272"/>
  </conditionalFormatting>
  <conditionalFormatting sqref="A345">
    <cfRule type="duplicateValues" dxfId="799" priority="273"/>
    <cfRule type="duplicateValues" dxfId="798" priority="274"/>
  </conditionalFormatting>
  <conditionalFormatting sqref="E370">
    <cfRule type="duplicateValues" dxfId="797" priority="266"/>
  </conditionalFormatting>
  <conditionalFormatting sqref="D370">
    <cfRule type="duplicateValues" dxfId="796" priority="267"/>
  </conditionalFormatting>
  <conditionalFormatting sqref="C370">
    <cfRule type="duplicateValues" dxfId="795" priority="268"/>
  </conditionalFormatting>
  <conditionalFormatting sqref="B370">
    <cfRule type="duplicateValues" dxfId="794" priority="269"/>
  </conditionalFormatting>
  <conditionalFormatting sqref="B370">
    <cfRule type="duplicateValues" dxfId="793" priority="270"/>
    <cfRule type="duplicateValues" dxfId="792" priority="271"/>
  </conditionalFormatting>
  <conditionalFormatting sqref="A370">
    <cfRule type="duplicateValues" dxfId="791" priority="263"/>
  </conditionalFormatting>
  <conditionalFormatting sqref="A370">
    <cfRule type="duplicateValues" dxfId="790" priority="264"/>
    <cfRule type="duplicateValues" dxfId="789" priority="265"/>
  </conditionalFormatting>
  <conditionalFormatting sqref="A288 A275:A280">
    <cfRule type="duplicateValues" dxfId="788" priority="16363"/>
    <cfRule type="duplicateValues" dxfId="787" priority="16364"/>
  </conditionalFormatting>
  <conditionalFormatting sqref="A288 A275:A280">
    <cfRule type="duplicateValues" dxfId="786" priority="16365"/>
  </conditionalFormatting>
  <conditionalFormatting sqref="D288 D275:D280">
    <cfRule type="duplicateValues" dxfId="785" priority="16366"/>
  </conditionalFormatting>
  <conditionalFormatting sqref="D288 D275:D280">
    <cfRule type="duplicateValues" dxfId="784" priority="16367"/>
    <cfRule type="duplicateValues" dxfId="783" priority="16368"/>
  </conditionalFormatting>
  <conditionalFormatting sqref="E288 E275:E280">
    <cfRule type="duplicateValues" dxfId="782" priority="16369"/>
  </conditionalFormatting>
  <conditionalFormatting sqref="B288 B275:B280">
    <cfRule type="duplicateValues" dxfId="781" priority="16370"/>
    <cfRule type="duplicateValues" dxfId="780" priority="16371"/>
  </conditionalFormatting>
  <conditionalFormatting sqref="B288 B275:B280">
    <cfRule type="duplicateValues" dxfId="779" priority="16372"/>
  </conditionalFormatting>
  <conditionalFormatting sqref="D406">
    <cfRule type="duplicateValues" dxfId="778" priority="255"/>
  </conditionalFormatting>
  <conditionalFormatting sqref="C406">
    <cfRule type="duplicateValues" dxfId="777" priority="256"/>
  </conditionalFormatting>
  <conditionalFormatting sqref="B406">
    <cfRule type="duplicateValues" dxfId="776" priority="257"/>
  </conditionalFormatting>
  <conditionalFormatting sqref="B406">
    <cfRule type="duplicateValues" dxfId="775" priority="258"/>
    <cfRule type="duplicateValues" dxfId="774" priority="259"/>
  </conditionalFormatting>
  <conditionalFormatting sqref="A406">
    <cfRule type="duplicateValues" dxfId="773" priority="260"/>
  </conditionalFormatting>
  <conditionalFormatting sqref="A406">
    <cfRule type="duplicateValues" dxfId="772" priority="261"/>
    <cfRule type="duplicateValues" dxfId="771" priority="262"/>
  </conditionalFormatting>
  <conditionalFormatting sqref="E406">
    <cfRule type="duplicateValues" dxfId="770" priority="254"/>
  </conditionalFormatting>
  <conditionalFormatting sqref="A274">
    <cfRule type="duplicateValues" dxfId="769" priority="244"/>
    <cfRule type="duplicateValues" dxfId="768" priority="245"/>
  </conditionalFormatting>
  <conditionalFormatting sqref="A274">
    <cfRule type="duplicateValues" dxfId="767" priority="246"/>
  </conditionalFormatting>
  <conditionalFormatting sqref="D274">
    <cfRule type="duplicateValues" dxfId="766" priority="247"/>
  </conditionalFormatting>
  <conditionalFormatting sqref="D274">
    <cfRule type="duplicateValues" dxfId="765" priority="248"/>
    <cfRule type="duplicateValues" dxfId="764" priority="249"/>
  </conditionalFormatting>
  <conditionalFormatting sqref="E274">
    <cfRule type="duplicateValues" dxfId="763" priority="250"/>
  </conditionalFormatting>
  <conditionalFormatting sqref="B274">
    <cfRule type="duplicateValues" dxfId="762" priority="251"/>
    <cfRule type="duplicateValues" dxfId="761" priority="252"/>
  </conditionalFormatting>
  <conditionalFormatting sqref="B274">
    <cfRule type="duplicateValues" dxfId="760" priority="253"/>
  </conditionalFormatting>
  <conditionalFormatting sqref="C274">
    <cfRule type="duplicateValues" dxfId="759" priority="243"/>
  </conditionalFormatting>
  <conditionalFormatting sqref="D523">
    <cfRule type="duplicateValues" dxfId="758" priority="229"/>
    <cfRule type="duplicateValues" dxfId="757" priority="230"/>
  </conditionalFormatting>
  <conditionalFormatting sqref="A523">
    <cfRule type="duplicateValues" dxfId="756" priority="231"/>
  </conditionalFormatting>
  <conditionalFormatting sqref="D523">
    <cfRule type="duplicateValues" dxfId="755" priority="228"/>
  </conditionalFormatting>
  <conditionalFormatting sqref="A523">
    <cfRule type="duplicateValues" dxfId="754" priority="232"/>
  </conditionalFormatting>
  <conditionalFormatting sqref="A523">
    <cfRule type="duplicateValues" dxfId="753" priority="233"/>
  </conditionalFormatting>
  <conditionalFormatting sqref="A523">
    <cfRule type="duplicateValues" dxfId="752" priority="234"/>
  </conditionalFormatting>
  <conditionalFormatting sqref="A523">
    <cfRule type="duplicateValues" dxfId="751" priority="235"/>
  </conditionalFormatting>
  <conditionalFormatting sqref="A523">
    <cfRule type="duplicateValues" dxfId="750" priority="236"/>
  </conditionalFormatting>
  <conditionalFormatting sqref="A523">
    <cfRule type="duplicateValues" dxfId="749" priority="227"/>
  </conditionalFormatting>
  <conditionalFormatting sqref="A523">
    <cfRule type="duplicateValues" dxfId="748" priority="237"/>
  </conditionalFormatting>
  <conditionalFormatting sqref="D523">
    <cfRule type="duplicateValues" dxfId="747" priority="238"/>
  </conditionalFormatting>
  <conditionalFormatting sqref="B523">
    <cfRule type="duplicateValues" dxfId="746" priority="239"/>
  </conditionalFormatting>
  <conditionalFormatting sqref="A523">
    <cfRule type="duplicateValues" dxfId="745" priority="226"/>
  </conditionalFormatting>
  <conditionalFormatting sqref="A523">
    <cfRule type="duplicateValues" dxfId="744" priority="225"/>
  </conditionalFormatting>
  <conditionalFormatting sqref="D523">
    <cfRule type="duplicateValues" dxfId="743" priority="224"/>
  </conditionalFormatting>
  <conditionalFormatting sqref="D523">
    <cfRule type="duplicateValues" dxfId="742" priority="240"/>
  </conditionalFormatting>
  <conditionalFormatting sqref="D523">
    <cfRule type="duplicateValues" dxfId="741" priority="241"/>
  </conditionalFormatting>
  <conditionalFormatting sqref="A523">
    <cfRule type="duplicateValues" dxfId="740" priority="242"/>
  </conditionalFormatting>
  <conditionalFormatting sqref="A436">
    <cfRule type="duplicateValues" dxfId="739" priority="16396"/>
    <cfRule type="duplicateValues" dxfId="738" priority="16397"/>
  </conditionalFormatting>
  <conditionalFormatting sqref="A436">
    <cfRule type="duplicateValues" dxfId="737" priority="16398"/>
  </conditionalFormatting>
  <conditionalFormatting sqref="D436">
    <cfRule type="duplicateValues" dxfId="736" priority="16399"/>
  </conditionalFormatting>
  <conditionalFormatting sqref="D436">
    <cfRule type="duplicateValues" dxfId="735" priority="16400"/>
    <cfRule type="duplicateValues" dxfId="734" priority="16401"/>
  </conditionalFormatting>
  <conditionalFormatting sqref="E436">
    <cfRule type="duplicateValues" dxfId="733" priority="16402"/>
  </conditionalFormatting>
  <conditionalFormatting sqref="B436">
    <cfRule type="duplicateValues" dxfId="732" priority="16403"/>
    <cfRule type="duplicateValues" dxfId="731" priority="16404"/>
  </conditionalFormatting>
  <conditionalFormatting sqref="C436">
    <cfRule type="duplicateValues" dxfId="730" priority="16405"/>
  </conditionalFormatting>
  <conditionalFormatting sqref="B436">
    <cfRule type="duplicateValues" dxfId="729" priority="16406"/>
  </conditionalFormatting>
  <conditionalFormatting sqref="P511">
    <cfRule type="duplicateValues" dxfId="728" priority="199"/>
    <cfRule type="duplicateValues" dxfId="727" priority="200"/>
  </conditionalFormatting>
  <conditionalFormatting sqref="Q511">
    <cfRule type="duplicateValues" dxfId="726" priority="197"/>
    <cfRule type="duplicateValues" dxfId="725" priority="198"/>
  </conditionalFormatting>
  <conditionalFormatting sqref="E173">
    <cfRule type="duplicateValues" dxfId="724" priority="196"/>
  </conditionalFormatting>
  <conditionalFormatting sqref="A173">
    <cfRule type="duplicateValues" dxfId="723" priority="188"/>
    <cfRule type="duplicateValues" dxfId="722" priority="189"/>
  </conditionalFormatting>
  <conditionalFormatting sqref="A173">
    <cfRule type="duplicateValues" dxfId="721" priority="190"/>
  </conditionalFormatting>
  <conditionalFormatting sqref="A173">
    <cfRule type="duplicateValues" dxfId="720" priority="191"/>
    <cfRule type="duplicateValues" dxfId="719" priority="192"/>
  </conditionalFormatting>
  <conditionalFormatting sqref="A173">
    <cfRule type="duplicateValues" dxfId="718" priority="193"/>
  </conditionalFormatting>
  <conditionalFormatting sqref="A173">
    <cfRule type="duplicateValues" dxfId="717" priority="194"/>
  </conditionalFormatting>
  <conditionalFormatting sqref="A173">
    <cfRule type="duplicateValues" dxfId="716" priority="195"/>
  </conditionalFormatting>
  <conditionalFormatting sqref="A173">
    <cfRule type="duplicateValues" dxfId="715" priority="187"/>
  </conditionalFormatting>
  <conditionalFormatting sqref="A487:A489 A437:A485 A204 A501:A510 A491:A499">
    <cfRule type="duplicateValues" dxfId="714" priority="16586"/>
    <cfRule type="duplicateValues" dxfId="713" priority="16587"/>
  </conditionalFormatting>
  <conditionalFormatting sqref="A487:A489 A437:A485 A204 A501:A510 A491:A499">
    <cfRule type="duplicateValues" dxfId="712" priority="16590"/>
  </conditionalFormatting>
  <conditionalFormatting sqref="D509:D510 D437:D458 D204 D487:D498 D460:D485">
    <cfRule type="duplicateValues" dxfId="711" priority="16592"/>
  </conditionalFormatting>
  <conditionalFormatting sqref="D509:D510 D437:D458 D204 D487:D498 D460:D485">
    <cfRule type="duplicateValues" dxfId="710" priority="16594"/>
    <cfRule type="duplicateValues" dxfId="709" priority="16595"/>
  </conditionalFormatting>
  <conditionalFormatting sqref="E509:E510 E437:E485 E204 E487:E498">
    <cfRule type="duplicateValues" dxfId="708" priority="16598"/>
  </conditionalFormatting>
  <conditionalFormatting sqref="B509:B510 B437:B485 B204 B487:B498">
    <cfRule type="duplicateValues" dxfId="707" priority="16600"/>
    <cfRule type="duplicateValues" dxfId="706" priority="16601"/>
  </conditionalFormatting>
  <conditionalFormatting sqref="C509:C510 C437:C450 C487:C490 C452:C462 C204 C464:C485 C493:C498">
    <cfRule type="duplicateValues" dxfId="705" priority="16604"/>
  </conditionalFormatting>
  <conditionalFormatting sqref="B509:B510 B437:B485 B204 B487:B498">
    <cfRule type="duplicateValues" dxfId="704" priority="16606"/>
  </conditionalFormatting>
  <conditionalFormatting sqref="D499 D501:D508">
    <cfRule type="duplicateValues" dxfId="703" priority="168"/>
  </conditionalFormatting>
  <conditionalFormatting sqref="D499 D501:D508">
    <cfRule type="duplicateValues" dxfId="702" priority="169"/>
    <cfRule type="duplicateValues" dxfId="701" priority="170"/>
  </conditionalFormatting>
  <conditionalFormatting sqref="E499 E501:E508">
    <cfRule type="duplicateValues" dxfId="700" priority="171"/>
  </conditionalFormatting>
  <conditionalFormatting sqref="B499 B501:B508">
    <cfRule type="duplicateValues" dxfId="699" priority="172"/>
    <cfRule type="duplicateValues" dxfId="698" priority="173"/>
  </conditionalFormatting>
  <conditionalFormatting sqref="C499 C501:C508">
    <cfRule type="duplicateValues" dxfId="697" priority="174"/>
  </conditionalFormatting>
  <conditionalFormatting sqref="B499 B501:B508">
    <cfRule type="duplicateValues" dxfId="696" priority="175"/>
  </conditionalFormatting>
  <conditionalFormatting sqref="A487:A489 A1:A10 A139:A162 A283:A293 A12:A53 A243:A281 A124:A137 A55:A122 A225:A241 A312:A316 A501:A1048576 A388:A393 A164:A223 A318:A333 A295:A296 A298:A303 A335:A386 A395:A396 A398:A485 A491:A499">
    <cfRule type="duplicateValues" dxfId="695" priority="167"/>
  </conditionalFormatting>
  <conditionalFormatting sqref="E486">
    <cfRule type="duplicateValues" dxfId="694" priority="158"/>
  </conditionalFormatting>
  <conditionalFormatting sqref="D486">
    <cfRule type="duplicateValues" dxfId="693" priority="159"/>
  </conditionalFormatting>
  <conditionalFormatting sqref="C486">
    <cfRule type="duplicateValues" dxfId="692" priority="160"/>
  </conditionalFormatting>
  <conditionalFormatting sqref="B486">
    <cfRule type="duplicateValues" dxfId="691" priority="161"/>
  </conditionalFormatting>
  <conditionalFormatting sqref="B486">
    <cfRule type="duplicateValues" dxfId="690" priority="162"/>
    <cfRule type="duplicateValues" dxfId="689" priority="163"/>
  </conditionalFormatting>
  <conditionalFormatting sqref="A486">
    <cfRule type="duplicateValues" dxfId="688" priority="164"/>
  </conditionalFormatting>
  <conditionalFormatting sqref="A486">
    <cfRule type="duplicateValues" dxfId="687" priority="165"/>
    <cfRule type="duplicateValues" dxfId="686" priority="166"/>
  </conditionalFormatting>
  <conditionalFormatting sqref="E304">
    <cfRule type="duplicateValues" dxfId="685" priority="149"/>
  </conditionalFormatting>
  <conditionalFormatting sqref="D304">
    <cfRule type="duplicateValues" dxfId="684" priority="150"/>
  </conditionalFormatting>
  <conditionalFormatting sqref="C304">
    <cfRule type="duplicateValues" dxfId="683" priority="151"/>
  </conditionalFormatting>
  <conditionalFormatting sqref="B304">
    <cfRule type="duplicateValues" dxfId="682" priority="152"/>
  </conditionalFormatting>
  <conditionalFormatting sqref="B304">
    <cfRule type="duplicateValues" dxfId="681" priority="153"/>
    <cfRule type="duplicateValues" dxfId="680" priority="154"/>
  </conditionalFormatting>
  <conditionalFormatting sqref="A304">
    <cfRule type="duplicateValues" dxfId="679" priority="155"/>
  </conditionalFormatting>
  <conditionalFormatting sqref="A304">
    <cfRule type="duplicateValues" dxfId="678" priority="156"/>
    <cfRule type="duplicateValues" dxfId="677" priority="157"/>
  </conditionalFormatting>
  <conditionalFormatting sqref="E138">
    <cfRule type="duplicateValues" dxfId="676" priority="140"/>
  </conditionalFormatting>
  <conditionalFormatting sqref="D138">
    <cfRule type="duplicateValues" dxfId="675" priority="141"/>
  </conditionalFormatting>
  <conditionalFormatting sqref="C138">
    <cfRule type="duplicateValues" dxfId="674" priority="142"/>
  </conditionalFormatting>
  <conditionalFormatting sqref="B138">
    <cfRule type="duplicateValues" dxfId="673" priority="143"/>
  </conditionalFormatting>
  <conditionalFormatting sqref="B138">
    <cfRule type="duplicateValues" dxfId="672" priority="144"/>
    <cfRule type="duplicateValues" dxfId="671" priority="145"/>
  </conditionalFormatting>
  <conditionalFormatting sqref="A138">
    <cfRule type="duplicateValues" dxfId="670" priority="146"/>
  </conditionalFormatting>
  <conditionalFormatting sqref="A138">
    <cfRule type="duplicateValues" dxfId="669" priority="147"/>
    <cfRule type="duplicateValues" dxfId="668" priority="148"/>
  </conditionalFormatting>
  <conditionalFormatting sqref="F511">
    <cfRule type="duplicateValues" dxfId="667" priority="138"/>
    <cfRule type="duplicateValues" dxfId="666" priority="139"/>
  </conditionalFormatting>
  <conditionalFormatting sqref="D459">
    <cfRule type="duplicateValues" dxfId="665" priority="135"/>
  </conditionalFormatting>
  <conditionalFormatting sqref="D459">
    <cfRule type="duplicateValues" dxfId="664" priority="136"/>
    <cfRule type="duplicateValues" dxfId="663" priority="137"/>
  </conditionalFormatting>
  <conditionalFormatting sqref="C281 C283:C287">
    <cfRule type="duplicateValues" dxfId="662" priority="17136"/>
  </conditionalFormatting>
  <conditionalFormatting sqref="A281 A283:A287">
    <cfRule type="duplicateValues" dxfId="661" priority="17138"/>
    <cfRule type="duplicateValues" dxfId="660" priority="17139"/>
  </conditionalFormatting>
  <conditionalFormatting sqref="A281 A283:A287">
    <cfRule type="duplicateValues" dxfId="659" priority="17142"/>
  </conditionalFormatting>
  <conditionalFormatting sqref="D281 D283:D287">
    <cfRule type="duplicateValues" dxfId="658" priority="17144"/>
  </conditionalFormatting>
  <conditionalFormatting sqref="D281 D283:D287">
    <cfRule type="duplicateValues" dxfId="657" priority="17146"/>
    <cfRule type="duplicateValues" dxfId="656" priority="17147"/>
  </conditionalFormatting>
  <conditionalFormatting sqref="E281 E283:E287">
    <cfRule type="duplicateValues" dxfId="655" priority="17150"/>
  </conditionalFormatting>
  <conditionalFormatting sqref="B281 B283:B287">
    <cfRule type="duplicateValues" dxfId="654" priority="17152"/>
    <cfRule type="duplicateValues" dxfId="653" priority="17153"/>
  </conditionalFormatting>
  <conditionalFormatting sqref="B281 B283:B287">
    <cfRule type="duplicateValues" dxfId="652" priority="17156"/>
  </conditionalFormatting>
  <conditionalFormatting sqref="A282">
    <cfRule type="duplicateValues" dxfId="651" priority="114"/>
  </conditionalFormatting>
  <conditionalFormatting sqref="C282">
    <cfRule type="duplicateValues" dxfId="650" priority="115"/>
  </conditionalFormatting>
  <conditionalFormatting sqref="A282">
    <cfRule type="duplicateValues" dxfId="649" priority="116"/>
    <cfRule type="duplicateValues" dxfId="648" priority="117"/>
  </conditionalFormatting>
  <conditionalFormatting sqref="A282">
    <cfRule type="duplicateValues" dxfId="647" priority="118"/>
  </conditionalFormatting>
  <conditionalFormatting sqref="D282">
    <cfRule type="duplicateValues" dxfId="646" priority="119"/>
  </conditionalFormatting>
  <conditionalFormatting sqref="D282">
    <cfRule type="duplicateValues" dxfId="645" priority="120"/>
    <cfRule type="duplicateValues" dxfId="644" priority="121"/>
  </conditionalFormatting>
  <conditionalFormatting sqref="E282">
    <cfRule type="duplicateValues" dxfId="643" priority="122"/>
  </conditionalFormatting>
  <conditionalFormatting sqref="B282">
    <cfRule type="duplicateValues" dxfId="642" priority="123"/>
    <cfRule type="duplicateValues" dxfId="641" priority="124"/>
  </conditionalFormatting>
  <conditionalFormatting sqref="B282">
    <cfRule type="duplicateValues" dxfId="640" priority="125"/>
  </conditionalFormatting>
  <conditionalFormatting sqref="A11">
    <cfRule type="duplicateValues" dxfId="639" priority="94"/>
    <cfRule type="duplicateValues" dxfId="638" priority="95"/>
  </conditionalFormatting>
  <conditionalFormatting sqref="A11">
    <cfRule type="duplicateValues" dxfId="637" priority="96"/>
  </conditionalFormatting>
  <conditionalFormatting sqref="D11">
    <cfRule type="duplicateValues" dxfId="636" priority="97"/>
  </conditionalFormatting>
  <conditionalFormatting sqref="D11">
    <cfRule type="duplicateValues" dxfId="635" priority="98"/>
    <cfRule type="duplicateValues" dxfId="634" priority="99"/>
  </conditionalFormatting>
  <conditionalFormatting sqref="E11">
    <cfRule type="duplicateValues" dxfId="633" priority="100"/>
  </conditionalFormatting>
  <conditionalFormatting sqref="B11">
    <cfRule type="duplicateValues" dxfId="632" priority="101"/>
    <cfRule type="duplicateValues" dxfId="631" priority="102"/>
  </conditionalFormatting>
  <conditionalFormatting sqref="C11">
    <cfRule type="duplicateValues" dxfId="630" priority="103"/>
  </conditionalFormatting>
  <conditionalFormatting sqref="B11">
    <cfRule type="duplicateValues" dxfId="629" priority="104"/>
  </conditionalFormatting>
  <conditionalFormatting sqref="A11">
    <cfRule type="duplicateValues" dxfId="628" priority="93"/>
  </conditionalFormatting>
  <conditionalFormatting sqref="A11">
    <cfRule type="duplicateValues" dxfId="627" priority="92"/>
  </conditionalFormatting>
  <conditionalFormatting sqref="A242">
    <cfRule type="duplicateValues" dxfId="626" priority="76"/>
    <cfRule type="duplicateValues" dxfId="625" priority="77"/>
  </conditionalFormatting>
  <conditionalFormatting sqref="A242">
    <cfRule type="duplicateValues" dxfId="624" priority="78"/>
  </conditionalFormatting>
  <conditionalFormatting sqref="D242">
    <cfRule type="duplicateValues" dxfId="623" priority="79"/>
    <cfRule type="duplicateValues" dxfId="622" priority="80"/>
  </conditionalFormatting>
  <conditionalFormatting sqref="E242">
    <cfRule type="duplicateValues" dxfId="621" priority="81"/>
  </conditionalFormatting>
  <conditionalFormatting sqref="B242">
    <cfRule type="duplicateValues" dxfId="620" priority="82"/>
    <cfRule type="duplicateValues" dxfId="619" priority="83"/>
  </conditionalFormatting>
  <conditionalFormatting sqref="C242">
    <cfRule type="duplicateValues" dxfId="618" priority="84"/>
  </conditionalFormatting>
  <conditionalFormatting sqref="B242">
    <cfRule type="duplicateValues" dxfId="617" priority="85"/>
  </conditionalFormatting>
  <conditionalFormatting sqref="D242">
    <cfRule type="duplicateValues" dxfId="616" priority="86"/>
  </conditionalFormatting>
  <conditionalFormatting sqref="A242">
    <cfRule type="duplicateValues" dxfId="615" priority="75"/>
  </conditionalFormatting>
  <conditionalFormatting sqref="A242">
    <cfRule type="duplicateValues" dxfId="614" priority="87"/>
  </conditionalFormatting>
  <conditionalFormatting sqref="A242">
    <cfRule type="duplicateValues" dxfId="613" priority="88"/>
  </conditionalFormatting>
  <conditionalFormatting sqref="D242">
    <cfRule type="duplicateValues" dxfId="612" priority="89"/>
  </conditionalFormatting>
  <conditionalFormatting sqref="D242">
    <cfRule type="duplicateValues" dxfId="611" priority="90"/>
  </conditionalFormatting>
  <conditionalFormatting sqref="A242">
    <cfRule type="duplicateValues" dxfId="610" priority="91"/>
  </conditionalFormatting>
  <conditionalFormatting sqref="A123">
    <cfRule type="duplicateValues" dxfId="609" priority="58"/>
  </conditionalFormatting>
  <conditionalFormatting sqref="D123">
    <cfRule type="duplicateValues" dxfId="608" priority="59"/>
  </conditionalFormatting>
  <conditionalFormatting sqref="D123">
    <cfRule type="duplicateValues" dxfId="607" priority="60"/>
    <cfRule type="duplicateValues" dxfId="606" priority="61"/>
  </conditionalFormatting>
  <conditionalFormatting sqref="E123">
    <cfRule type="duplicateValues" dxfId="605" priority="62"/>
  </conditionalFormatting>
  <conditionalFormatting sqref="B123">
    <cfRule type="duplicateValues" dxfId="604" priority="63"/>
    <cfRule type="duplicateValues" dxfId="603" priority="64"/>
  </conditionalFormatting>
  <conditionalFormatting sqref="C123">
    <cfRule type="duplicateValues" dxfId="602" priority="65"/>
  </conditionalFormatting>
  <conditionalFormatting sqref="B123">
    <cfRule type="duplicateValues" dxfId="601" priority="66"/>
  </conditionalFormatting>
  <conditionalFormatting sqref="A123">
    <cfRule type="duplicateValues" dxfId="600" priority="67"/>
    <cfRule type="duplicateValues" dxfId="599" priority="68"/>
  </conditionalFormatting>
  <conditionalFormatting sqref="A123">
    <cfRule type="duplicateValues" dxfId="598" priority="69"/>
  </conditionalFormatting>
  <conditionalFormatting sqref="A123">
    <cfRule type="duplicateValues" dxfId="597" priority="70"/>
  </conditionalFormatting>
  <conditionalFormatting sqref="A123">
    <cfRule type="duplicateValues" dxfId="596" priority="71"/>
  </conditionalFormatting>
  <conditionalFormatting sqref="D123">
    <cfRule type="duplicateValues" dxfId="595" priority="72"/>
  </conditionalFormatting>
  <conditionalFormatting sqref="D123">
    <cfRule type="duplicateValues" dxfId="594" priority="73"/>
  </conditionalFormatting>
  <conditionalFormatting sqref="A123">
    <cfRule type="duplicateValues" dxfId="593" priority="74"/>
  </conditionalFormatting>
  <conditionalFormatting sqref="E224">
    <cfRule type="duplicateValues" dxfId="592" priority="49"/>
  </conditionalFormatting>
  <conditionalFormatting sqref="D224">
    <cfRule type="duplicateValues" dxfId="591" priority="50"/>
  </conditionalFormatting>
  <conditionalFormatting sqref="C224">
    <cfRule type="duplicateValues" dxfId="590" priority="51"/>
  </conditionalFormatting>
  <conditionalFormatting sqref="B224">
    <cfRule type="duplicateValues" dxfId="589" priority="52"/>
  </conditionalFormatting>
  <conditionalFormatting sqref="B224">
    <cfRule type="duplicateValues" dxfId="588" priority="53"/>
    <cfRule type="duplicateValues" dxfId="587" priority="54"/>
  </conditionalFormatting>
  <conditionalFormatting sqref="A224 A294 A297 A305:A308 A310:A311 A334 A394 A397 A490">
    <cfRule type="duplicateValues" dxfId="586" priority="55"/>
  </conditionalFormatting>
  <conditionalFormatting sqref="A224 A294 A297 A305:A308 A310:A311 A334 A394 A397 A490">
    <cfRule type="duplicateValues" dxfId="585" priority="56"/>
    <cfRule type="duplicateValues" dxfId="584" priority="57"/>
  </conditionalFormatting>
  <conditionalFormatting sqref="B293">
    <cfRule type="duplicateValues" dxfId="583" priority="46"/>
  </conditionalFormatting>
  <conditionalFormatting sqref="B293">
    <cfRule type="duplicateValues" dxfId="582" priority="47"/>
    <cfRule type="duplicateValues" dxfId="581" priority="48"/>
  </conditionalFormatting>
  <conditionalFormatting sqref="A309">
    <cfRule type="duplicateValues" dxfId="580" priority="35"/>
    <cfRule type="duplicateValues" dxfId="579" priority="36"/>
  </conditionalFormatting>
  <conditionalFormatting sqref="A309">
    <cfRule type="duplicateValues" dxfId="578" priority="37"/>
  </conditionalFormatting>
  <conditionalFormatting sqref="D309">
    <cfRule type="duplicateValues" dxfId="577" priority="38"/>
  </conditionalFormatting>
  <conditionalFormatting sqref="D309">
    <cfRule type="duplicateValues" dxfId="576" priority="39"/>
    <cfRule type="duplicateValues" dxfId="575" priority="40"/>
  </conditionalFormatting>
  <conditionalFormatting sqref="E309">
    <cfRule type="duplicateValues" dxfId="574" priority="41"/>
  </conditionalFormatting>
  <conditionalFormatting sqref="B309">
    <cfRule type="duplicateValues" dxfId="573" priority="42"/>
    <cfRule type="duplicateValues" dxfId="572" priority="43"/>
  </conditionalFormatting>
  <conditionalFormatting sqref="C309">
    <cfRule type="duplicateValues" dxfId="571" priority="44"/>
  </conditionalFormatting>
  <conditionalFormatting sqref="B309">
    <cfRule type="duplicateValues" dxfId="570" priority="45"/>
  </conditionalFormatting>
  <conditionalFormatting sqref="A500">
    <cfRule type="duplicateValues" dxfId="569" priority="24"/>
    <cfRule type="duplicateValues" dxfId="568" priority="25"/>
  </conditionalFormatting>
  <conditionalFormatting sqref="A500">
    <cfRule type="duplicateValues" dxfId="567" priority="26"/>
  </conditionalFormatting>
  <conditionalFormatting sqref="D500">
    <cfRule type="duplicateValues" dxfId="566" priority="27"/>
  </conditionalFormatting>
  <conditionalFormatting sqref="D500">
    <cfRule type="duplicateValues" dxfId="565" priority="28"/>
    <cfRule type="duplicateValues" dxfId="564" priority="29"/>
  </conditionalFormatting>
  <conditionalFormatting sqref="E500">
    <cfRule type="duplicateValues" dxfId="563" priority="30"/>
  </conditionalFormatting>
  <conditionalFormatting sqref="B500">
    <cfRule type="duplicateValues" dxfId="562" priority="31"/>
    <cfRule type="duplicateValues" dxfId="561" priority="32"/>
  </conditionalFormatting>
  <conditionalFormatting sqref="C500">
    <cfRule type="duplicateValues" dxfId="560" priority="33"/>
  </conditionalFormatting>
  <conditionalFormatting sqref="B500">
    <cfRule type="duplicateValues" dxfId="559" priority="34"/>
  </conditionalFormatting>
  <conditionalFormatting sqref="A387">
    <cfRule type="duplicateValues" dxfId="558" priority="13"/>
    <cfRule type="duplicateValues" dxfId="557" priority="14"/>
  </conditionalFormatting>
  <conditionalFormatting sqref="A387">
    <cfRule type="duplicateValues" dxfId="556" priority="15"/>
  </conditionalFormatting>
  <conditionalFormatting sqref="D387">
    <cfRule type="duplicateValues" dxfId="555" priority="16"/>
  </conditionalFormatting>
  <conditionalFormatting sqref="D387">
    <cfRule type="duplicateValues" dxfId="554" priority="17"/>
    <cfRule type="duplicateValues" dxfId="553" priority="18"/>
  </conditionalFormatting>
  <conditionalFormatting sqref="E387">
    <cfRule type="duplicateValues" dxfId="552" priority="19"/>
  </conditionalFormatting>
  <conditionalFormatting sqref="B387">
    <cfRule type="duplicateValues" dxfId="551" priority="20"/>
    <cfRule type="duplicateValues" dxfId="550" priority="21"/>
  </conditionalFormatting>
  <conditionalFormatting sqref="C387">
    <cfRule type="duplicateValues" dxfId="549" priority="22"/>
  </conditionalFormatting>
  <conditionalFormatting sqref="B387">
    <cfRule type="duplicateValues" dxfId="548" priority="23"/>
  </conditionalFormatting>
  <conditionalFormatting sqref="A163">
    <cfRule type="duplicateValues" dxfId="547" priority="10"/>
  </conditionalFormatting>
  <conditionalFormatting sqref="A163">
    <cfRule type="duplicateValues" dxfId="546" priority="11"/>
    <cfRule type="duplicateValues" dxfId="545" priority="12"/>
  </conditionalFormatting>
  <conditionalFormatting sqref="E317">
    <cfRule type="duplicateValues" dxfId="544" priority="1"/>
  </conditionalFormatting>
  <conditionalFormatting sqref="D317">
    <cfRule type="duplicateValues" dxfId="543" priority="2"/>
  </conditionalFormatting>
  <conditionalFormatting sqref="C317">
    <cfRule type="duplicateValues" dxfId="542" priority="3"/>
  </conditionalFormatting>
  <conditionalFormatting sqref="B317">
    <cfRule type="duplicateValues" dxfId="541" priority="4"/>
  </conditionalFormatting>
  <conditionalFormatting sqref="B317">
    <cfRule type="duplicateValues" dxfId="540" priority="5"/>
    <cfRule type="duplicateValues" dxfId="539" priority="6"/>
  </conditionalFormatting>
  <conditionalFormatting sqref="A317">
    <cfRule type="duplicateValues" dxfId="538" priority="7"/>
  </conditionalFormatting>
  <conditionalFormatting sqref="A317">
    <cfRule type="duplicateValues" dxfId="537" priority="8"/>
    <cfRule type="duplicateValues" dxfId="536" priority="9"/>
  </conditionalFormatting>
  <pageMargins left="0.70866141732283472" right="0.70866141732283472" top="0.74803149606299213" bottom="0.74803149606299213" header="0.31496062992125984" footer="0.31496062992125984"/>
  <pageSetup scale="10" fitToHeight="2" orientation="portrait" r:id="rId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P16305"/>
  <sheetViews>
    <sheetView topLeftCell="D436" zoomScale="47" zoomScaleNormal="47" workbookViewId="0">
      <selection activeCell="H4" sqref="H4:I443"/>
    </sheetView>
  </sheetViews>
  <sheetFormatPr defaultColWidth="40.54296875" defaultRowHeight="14.5" outlineLevelCol="1"/>
  <cols>
    <col min="1" max="1" width="0" style="511" hidden="1" customWidth="1"/>
    <col min="2" max="3" width="40.54296875" style="511"/>
    <col min="4" max="4" width="66.54296875" style="511" customWidth="1"/>
    <col min="5" max="6" width="40.54296875" style="2091" customWidth="1"/>
    <col min="7" max="7" width="40.54296875" style="511" customWidth="1"/>
    <col min="8" max="8" width="39.453125" style="511" customWidth="1"/>
    <col min="9" max="9" width="49.453125" style="511" customWidth="1"/>
    <col min="10" max="10" width="85.1796875" style="511" customWidth="1"/>
    <col min="11" max="11" width="111.1796875" style="511" customWidth="1"/>
    <col min="12" max="12" width="55" style="511" customWidth="1"/>
    <col min="13" max="13" width="62.453125" style="511" customWidth="1"/>
    <col min="14" max="15" width="40.54296875" style="511" customWidth="1"/>
    <col min="16" max="16" width="128.1796875" style="511" customWidth="1"/>
    <col min="17" max="21" width="40.54296875" style="511" customWidth="1"/>
    <col min="22" max="22" width="48.54296875" style="511" customWidth="1"/>
    <col min="23" max="28" width="40.54296875" style="511" customWidth="1"/>
    <col min="29" max="29" width="61.1796875" style="511" customWidth="1"/>
    <col min="30" max="30" width="40.54296875" style="511" customWidth="1"/>
    <col min="31" max="31" width="40.54296875" style="2153" customWidth="1"/>
    <col min="32" max="39" width="40.54296875" style="511" customWidth="1"/>
    <col min="40" max="40" width="177.1796875" style="511" customWidth="1"/>
    <col min="41" max="41" width="85" style="511" customWidth="1"/>
    <col min="42" max="42" width="73.54296875" style="511" customWidth="1"/>
    <col min="43" max="43" width="56.54296875" style="511" customWidth="1"/>
    <col min="44" max="44" width="84.453125" style="2510" customWidth="1"/>
    <col min="45" max="46" width="40.54296875" style="511" customWidth="1"/>
    <col min="47" max="47" width="57.453125" style="2744" customWidth="1"/>
    <col min="48" max="48" width="41.54296875" style="2744" customWidth="1"/>
    <col min="49" max="49" width="54.54296875" style="2744" customWidth="1"/>
    <col min="50" max="50" width="40.54296875" style="2744" customWidth="1"/>
    <col min="51" max="51" width="40.54296875" style="531" customWidth="1"/>
    <col min="52" max="52" width="72.453125" style="511" customWidth="1"/>
    <col min="53" max="57" width="40.54296875" style="511"/>
    <col min="58" max="58" width="89.453125" style="511" customWidth="1"/>
    <col min="59" max="59" width="31" style="511" customWidth="1"/>
    <col min="60" max="60" width="36.54296875" style="3626" customWidth="1"/>
    <col min="61" max="61" width="64.54296875" style="2514" customWidth="1"/>
    <col min="62" max="62" width="40.54296875" style="2514" customWidth="1"/>
    <col min="63" max="63" width="40.54296875" style="511" customWidth="1" outlineLevel="1"/>
    <col min="64" max="66" width="40.54296875" customWidth="1" outlineLevel="1"/>
    <col min="67" max="67" width="40.54296875" style="2535" customWidth="1" outlineLevel="1"/>
    <col min="68" max="68" width="40.54296875" customWidth="1" outlineLevel="1"/>
    <col min="69" max="69" width="86.54296875" customWidth="1" outlineLevel="1"/>
    <col min="70" max="70" width="40.54296875" customWidth="1" outlineLevel="1"/>
    <col min="71" max="71" width="18.54296875" customWidth="1" outlineLevel="1"/>
    <col min="72" max="72" width="41.453125" customWidth="1" outlineLevel="1"/>
    <col min="73" max="73" width="120.54296875" customWidth="1" outlineLevel="1"/>
    <col min="74" max="74" width="34.54296875" style="3081" customWidth="1" outlineLevel="1"/>
    <col min="75" max="75" width="30.453125" customWidth="1" outlineLevel="1"/>
    <col min="76" max="76" width="7.453125" customWidth="1" outlineLevel="1"/>
    <col min="77" max="77" width="10.54296875" customWidth="1" outlineLevel="1"/>
    <col min="78" max="78" width="30.453125" customWidth="1" outlineLevel="1"/>
    <col min="79" max="79" width="40.54296875" style="2744" customWidth="1"/>
    <col min="80" max="81" width="30.453125" customWidth="1" outlineLevel="1"/>
    <col min="82" max="82" width="21.453125" style="101" customWidth="1" outlineLevel="1"/>
    <col min="83" max="83" width="14.54296875" customWidth="1" outlineLevel="1"/>
    <col min="84" max="84" width="15.54296875" customWidth="1" outlineLevel="1"/>
    <col min="85" max="85" width="15" customWidth="1" outlineLevel="1"/>
    <col min="86" max="86" width="18.54296875" customWidth="1" outlineLevel="1"/>
    <col min="87" max="87" width="35.453125" customWidth="1" outlineLevel="1"/>
    <col min="88" max="88" width="17.453125" customWidth="1" outlineLevel="1"/>
    <col min="89" max="89" width="40.54296875" customWidth="1" outlineLevel="1"/>
    <col min="90" max="90" width="14.54296875" customWidth="1" outlineLevel="1"/>
    <col min="91" max="96" width="40.54296875" customWidth="1" outlineLevel="1"/>
    <col min="97" max="97" width="69.453125" style="511" customWidth="1" outlineLevel="1"/>
    <col min="98" max="98" width="53.453125" style="511" customWidth="1" outlineLevel="1"/>
    <col min="99" max="101" width="40.54296875" customWidth="1" outlineLevel="1"/>
    <col min="102" max="102" width="40.54296875" style="166" customWidth="1" outlineLevel="1"/>
    <col min="103" max="103" width="40.54296875" customWidth="1" outlineLevel="1"/>
    <col min="104" max="104" width="40.54296875" style="2321" customWidth="1" outlineLevel="1"/>
    <col min="106" max="106" width="22.54296875" style="2153" customWidth="1"/>
    <col min="107" max="107" width="22.54296875" style="2535" customWidth="1"/>
    <col min="108" max="108" width="22.54296875" style="2530" customWidth="1"/>
    <col min="109" max="110" width="22.54296875" style="2764" customWidth="1"/>
    <col min="111" max="111" width="26.453125" style="2535" customWidth="1"/>
    <col min="115" max="115" width="33" customWidth="1"/>
    <col min="116" max="116" width="38.453125" customWidth="1"/>
    <col min="127" max="127" width="103.453125" customWidth="1"/>
    <col min="133" max="133" width="40.54296875" style="101"/>
    <col min="137" max="137" width="40.54296875" style="101"/>
    <col min="139" max="139" width="40.54296875" style="101"/>
  </cols>
  <sheetData>
    <row r="1" spans="1:146" s="2447" customFormat="1" ht="91.4" customHeight="1" thickBot="1">
      <c r="A1" s="2511">
        <v>1003</v>
      </c>
      <c r="B1" s="2511">
        <v>1008</v>
      </c>
      <c r="C1" s="2511">
        <v>1009</v>
      </c>
      <c r="D1" s="2511">
        <v>1010</v>
      </c>
      <c r="E1" s="2351">
        <v>2112</v>
      </c>
      <c r="F1" s="2351">
        <v>2113</v>
      </c>
      <c r="G1" s="2511">
        <v>2142</v>
      </c>
      <c r="H1" s="2511">
        <v>2240</v>
      </c>
      <c r="I1" s="2511" t="s">
        <v>1284</v>
      </c>
      <c r="J1" s="2511">
        <v>2240</v>
      </c>
      <c r="K1" s="2511">
        <v>2240</v>
      </c>
      <c r="L1" s="2511">
        <v>2240</v>
      </c>
      <c r="M1" s="2511">
        <v>2240</v>
      </c>
      <c r="N1" s="2511">
        <v>2241</v>
      </c>
      <c r="O1" s="2511">
        <v>2250</v>
      </c>
      <c r="P1" s="2511">
        <v>2310</v>
      </c>
      <c r="Q1" s="2511">
        <v>2311</v>
      </c>
      <c r="R1" s="2511">
        <v>2330</v>
      </c>
      <c r="S1" s="2511">
        <v>2420</v>
      </c>
      <c r="T1" s="2511">
        <v>2422</v>
      </c>
      <c r="U1" s="2511">
        <v>2423</v>
      </c>
      <c r="V1" s="2511">
        <v>2430</v>
      </c>
      <c r="W1" s="2511">
        <v>2450</v>
      </c>
      <c r="X1" s="2511">
        <v>2451</v>
      </c>
      <c r="Y1" s="2511">
        <v>2530</v>
      </c>
      <c r="Z1" s="2511">
        <v>2540</v>
      </c>
      <c r="AA1" s="2511">
        <v>2552</v>
      </c>
      <c r="AB1" s="2511">
        <v>2610</v>
      </c>
      <c r="AC1" s="2155">
        <v>2620</v>
      </c>
      <c r="AD1" s="2511">
        <v>2640</v>
      </c>
      <c r="AE1" s="1875">
        <v>6018</v>
      </c>
      <c r="AF1" s="1875">
        <v>5100</v>
      </c>
      <c r="AG1" s="1875">
        <v>2018</v>
      </c>
      <c r="AH1" s="1875">
        <v>2018</v>
      </c>
      <c r="AI1" s="1875">
        <v>2018</v>
      </c>
      <c r="AJ1" s="1875">
        <v>2018</v>
      </c>
      <c r="AK1" s="1875">
        <v>2018</v>
      </c>
      <c r="AL1" s="2511">
        <v>10018</v>
      </c>
      <c r="AM1" s="2511">
        <v>10019</v>
      </c>
      <c r="AN1" s="2511">
        <v>10019</v>
      </c>
      <c r="AO1" s="2511">
        <v>10019</v>
      </c>
      <c r="AP1" s="2511">
        <v>10019</v>
      </c>
      <c r="AQ1" s="2511">
        <v>10020</v>
      </c>
      <c r="AR1" s="2511">
        <v>2145</v>
      </c>
      <c r="AS1" s="2511">
        <v>10023</v>
      </c>
      <c r="AT1" s="2511">
        <v>9058</v>
      </c>
      <c r="AU1" s="2155" t="s">
        <v>3397</v>
      </c>
      <c r="AV1" s="2155" t="s">
        <v>3397</v>
      </c>
      <c r="AW1" s="2155" t="s">
        <v>3397</v>
      </c>
      <c r="AX1" s="2155" t="s">
        <v>3397</v>
      </c>
      <c r="AY1" s="2155" t="s">
        <v>3397</v>
      </c>
      <c r="AZ1" s="2511" t="s">
        <v>7585</v>
      </c>
      <c r="BA1" s="2511" t="s">
        <v>1826</v>
      </c>
      <c r="BB1" s="2511" t="s">
        <v>981</v>
      </c>
      <c r="BC1" s="2511" t="s">
        <v>981</v>
      </c>
      <c r="BD1" s="2511" t="s">
        <v>983</v>
      </c>
      <c r="BE1" s="2511" t="s">
        <v>984</v>
      </c>
      <c r="BF1" s="2511" t="s">
        <v>985</v>
      </c>
      <c r="BG1" s="533" t="s">
        <v>978</v>
      </c>
      <c r="BH1" s="2511"/>
      <c r="BI1" s="2511" t="s">
        <v>1850</v>
      </c>
      <c r="BJ1" s="2511"/>
      <c r="BK1" s="2511"/>
      <c r="BL1" s="2511"/>
      <c r="BM1" s="2511"/>
      <c r="BN1" s="2511"/>
      <c r="BO1" s="2511">
        <v>2720</v>
      </c>
      <c r="BP1" s="2511">
        <v>2720</v>
      </c>
      <c r="BQ1" s="2511">
        <v>2751</v>
      </c>
      <c r="BR1" s="2511">
        <v>2780</v>
      </c>
      <c r="BS1" s="2511">
        <v>2612</v>
      </c>
      <c r="CA1" s="2511">
        <v>6003</v>
      </c>
      <c r="CD1" s="2873"/>
      <c r="CJ1" s="2084"/>
      <c r="CK1" s="2447">
        <v>2426</v>
      </c>
      <c r="CM1" s="2511">
        <v>9073</v>
      </c>
      <c r="CO1" s="2511" t="s">
        <v>5389</v>
      </c>
      <c r="CP1" s="2447" t="s">
        <v>5904</v>
      </c>
      <c r="CQ1" s="2511"/>
      <c r="CS1" s="2511">
        <v>2240</v>
      </c>
      <c r="CT1" s="2511"/>
      <c r="CV1" s="2872" t="s">
        <v>5264</v>
      </c>
      <c r="CX1" s="2872" t="s">
        <v>1147</v>
      </c>
      <c r="CZ1" s="2872" t="s">
        <v>6216</v>
      </c>
      <c r="DB1" s="2534">
        <v>6001</v>
      </c>
      <c r="DC1" s="2155">
        <v>2730</v>
      </c>
      <c r="DD1" s="2155">
        <v>2730</v>
      </c>
      <c r="DE1" s="2155">
        <v>2730</v>
      </c>
      <c r="DF1" s="2155">
        <v>2730</v>
      </c>
      <c r="DG1" s="2155">
        <v>2752</v>
      </c>
      <c r="DI1" s="2872">
        <v>2561</v>
      </c>
      <c r="DK1" s="2867" t="s">
        <v>2077</v>
      </c>
      <c r="DL1" s="2869" t="s">
        <v>2078</v>
      </c>
      <c r="DM1" s="2869" t="s">
        <v>14508</v>
      </c>
      <c r="DO1" s="2511" t="s">
        <v>8188</v>
      </c>
      <c r="DP1" s="2511" t="s">
        <v>8394</v>
      </c>
      <c r="DQ1" s="2779" t="s">
        <v>8325</v>
      </c>
      <c r="DR1" s="2511" t="s">
        <v>8342</v>
      </c>
      <c r="DS1" s="2511" t="s">
        <v>3999</v>
      </c>
      <c r="DT1" s="533" t="s">
        <v>8526</v>
      </c>
      <c r="DU1" s="533" t="s">
        <v>8691</v>
      </c>
      <c r="DW1" s="2952" t="s">
        <v>2843</v>
      </c>
      <c r="EB1" s="2155" t="s">
        <v>3397</v>
      </c>
      <c r="EC1" s="101"/>
      <c r="EG1" s="3342"/>
      <c r="EI1" s="3398"/>
    </row>
    <row r="2" spans="1:146" s="2874" customFormat="1" ht="110.25" customHeight="1">
      <c r="A2" s="2511" t="s">
        <v>3195</v>
      </c>
      <c r="B2" s="2511"/>
      <c r="C2" s="2511" t="s">
        <v>5509</v>
      </c>
      <c r="D2" s="2511" t="s">
        <v>3395</v>
      </c>
      <c r="E2" s="2351" t="s">
        <v>5555</v>
      </c>
      <c r="F2" s="2351" t="s">
        <v>4129</v>
      </c>
      <c r="G2" s="2511" t="s">
        <v>4052</v>
      </c>
      <c r="H2" s="1875" t="s">
        <v>5070</v>
      </c>
      <c r="I2" s="1875"/>
      <c r="J2" s="2511" t="s">
        <v>1299</v>
      </c>
      <c r="K2" s="2511" t="s">
        <v>1300</v>
      </c>
      <c r="L2" s="2511" t="s">
        <v>1299</v>
      </c>
      <c r="M2" s="2511" t="s">
        <v>1300</v>
      </c>
      <c r="N2" s="2511" t="s">
        <v>3204</v>
      </c>
      <c r="O2" s="2511" t="s">
        <v>1849</v>
      </c>
      <c r="P2" s="2511" t="s">
        <v>1846</v>
      </c>
      <c r="Q2" s="2511" t="s">
        <v>1845</v>
      </c>
      <c r="R2" s="2511" t="s">
        <v>2206</v>
      </c>
      <c r="S2" s="2511" t="s">
        <v>3008</v>
      </c>
      <c r="T2" s="2511" t="s">
        <v>5411</v>
      </c>
      <c r="U2" s="2511" t="s">
        <v>3012</v>
      </c>
      <c r="V2" s="2511" t="s">
        <v>5413</v>
      </c>
      <c r="W2" s="2511" t="s">
        <v>5376</v>
      </c>
      <c r="X2" s="2511" t="s">
        <v>4663</v>
      </c>
      <c r="Y2" s="2511" t="s">
        <v>1825</v>
      </c>
      <c r="Z2" s="2511" t="s">
        <v>3016</v>
      </c>
      <c r="AA2" s="2511" t="s">
        <v>3092</v>
      </c>
      <c r="AB2" s="2511" t="s">
        <v>3102</v>
      </c>
      <c r="AC2" s="2155" t="s">
        <v>1848</v>
      </c>
      <c r="AD2" s="2511" t="s">
        <v>5172</v>
      </c>
      <c r="AE2" s="2511" t="s">
        <v>7160</v>
      </c>
      <c r="AF2" s="2511" t="s">
        <v>3355</v>
      </c>
      <c r="AG2" s="2511" t="s">
        <v>4069</v>
      </c>
      <c r="AH2" s="2511" t="s">
        <v>4069</v>
      </c>
      <c r="AI2" s="2511" t="s">
        <v>4069</v>
      </c>
      <c r="AJ2" s="2511" t="s">
        <v>4069</v>
      </c>
      <c r="AK2" s="2511" t="s">
        <v>4069</v>
      </c>
      <c r="AL2" s="2511" t="s">
        <v>3013</v>
      </c>
      <c r="AM2" s="2511" t="s">
        <v>3344</v>
      </c>
      <c r="AN2" s="2229" t="s">
        <v>3345</v>
      </c>
      <c r="AO2" s="2229" t="s">
        <v>5273</v>
      </c>
      <c r="AP2" s="2229" t="s">
        <v>6165</v>
      </c>
      <c r="AQ2" s="2229" t="s">
        <v>3347</v>
      </c>
      <c r="AR2" s="2511" t="s">
        <v>6112</v>
      </c>
      <c r="AS2" s="2511" t="s">
        <v>3092</v>
      </c>
      <c r="AT2" s="2511"/>
      <c r="AU2" s="2155" t="s">
        <v>5481</v>
      </c>
      <c r="AV2" s="2155" t="s">
        <v>5481</v>
      </c>
      <c r="AW2" s="2155" t="s">
        <v>5481</v>
      </c>
      <c r="AX2" s="2155" t="s">
        <v>5481</v>
      </c>
      <c r="AY2" s="2155" t="s">
        <v>5481</v>
      </c>
      <c r="AZ2" s="2511" t="s">
        <v>3434</v>
      </c>
      <c r="BA2" s="2511" t="s">
        <v>4556</v>
      </c>
      <c r="BB2" s="2511"/>
      <c r="BC2" s="2511"/>
      <c r="BD2" s="2511"/>
      <c r="BE2" s="2511"/>
      <c r="BF2" s="2511"/>
      <c r="BG2" s="533"/>
      <c r="BH2" s="2511" t="s">
        <v>3198</v>
      </c>
      <c r="BI2" s="2511" t="s">
        <v>5077</v>
      </c>
      <c r="BJ2" s="2077" t="s">
        <v>6314</v>
      </c>
      <c r="BK2" s="2511" t="s">
        <v>1847</v>
      </c>
      <c r="BL2" s="2511" t="s">
        <v>2809</v>
      </c>
      <c r="BM2" s="2511" t="s">
        <v>3358</v>
      </c>
      <c r="BN2" s="2511" t="s">
        <v>3366</v>
      </c>
      <c r="BO2" s="2511" t="s">
        <v>1817</v>
      </c>
      <c r="BP2" s="2511" t="s">
        <v>3368</v>
      </c>
      <c r="BQ2" s="2511" t="s">
        <v>3372</v>
      </c>
      <c r="BR2" s="2511" t="s">
        <v>5261</v>
      </c>
      <c r="BS2" s="2511" t="s">
        <v>1816</v>
      </c>
      <c r="BT2" s="1875" t="s">
        <v>418</v>
      </c>
      <c r="BU2" s="2511" t="s">
        <v>1303</v>
      </c>
      <c r="BV2" s="2511"/>
      <c r="BW2" s="2511"/>
      <c r="BX2" s="2511"/>
      <c r="BY2" s="2511"/>
      <c r="BZ2" s="2511"/>
      <c r="CA2" s="2511" t="s">
        <v>5072</v>
      </c>
      <c r="CB2" s="2511"/>
      <c r="CC2" s="2511"/>
      <c r="CD2" s="2511"/>
      <c r="CE2" s="2511"/>
      <c r="CF2" s="2511"/>
      <c r="CG2" s="2511"/>
      <c r="CH2" s="2511"/>
      <c r="CI2" s="2511"/>
      <c r="CJ2" s="2083"/>
      <c r="CK2" s="2511" t="s">
        <v>2967</v>
      </c>
      <c r="CL2" s="2083"/>
      <c r="CM2" s="2511" t="s">
        <v>5718</v>
      </c>
      <c r="CN2" s="2511" t="s">
        <v>423</v>
      </c>
      <c r="CO2" s="2511"/>
      <c r="CP2" s="2874" t="s">
        <v>1300</v>
      </c>
      <c r="CQ2" s="2511" t="s">
        <v>6061</v>
      </c>
      <c r="CS2" s="2511" t="s">
        <v>1300</v>
      </c>
      <c r="CT2" s="2511" t="s">
        <v>6167</v>
      </c>
      <c r="CV2" s="2871" t="s">
        <v>6189</v>
      </c>
      <c r="CX2" s="2871"/>
      <c r="CZ2" s="2871" t="s">
        <v>6189</v>
      </c>
      <c r="DB2" s="2155" t="s">
        <v>7162</v>
      </c>
      <c r="DC2" s="2155" t="s">
        <v>4928</v>
      </c>
      <c r="DD2" s="2155" t="s">
        <v>4928</v>
      </c>
      <c r="DE2" s="2155" t="s">
        <v>4928</v>
      </c>
      <c r="DF2" s="2155" t="s">
        <v>4928</v>
      </c>
      <c r="DG2" s="2155" t="s">
        <v>4928</v>
      </c>
      <c r="DI2" s="2871" t="s">
        <v>5075</v>
      </c>
      <c r="DK2" s="2868"/>
      <c r="DL2" s="2870"/>
      <c r="DM2" s="2870"/>
      <c r="DO2" s="1892" t="s">
        <v>8395</v>
      </c>
      <c r="DP2" s="1892">
        <v>540838</v>
      </c>
      <c r="DQ2" s="2780" t="s">
        <v>8326</v>
      </c>
      <c r="DR2" s="2783" t="s">
        <v>8332</v>
      </c>
      <c r="DS2" s="2816" t="s">
        <v>8436</v>
      </c>
      <c r="DT2" s="2091" t="s">
        <v>3031</v>
      </c>
      <c r="DU2" s="2816" t="s">
        <v>8716</v>
      </c>
      <c r="DW2" s="2951" t="s">
        <v>6189</v>
      </c>
      <c r="EB2" s="2155" t="s">
        <v>10042</v>
      </c>
      <c r="EC2" s="101"/>
      <c r="EG2" s="2309"/>
      <c r="EI2" s="2155" t="s">
        <v>10322</v>
      </c>
      <c r="EK2" s="2155" t="s">
        <v>14543</v>
      </c>
      <c r="EM2" s="3460" t="s">
        <v>54</v>
      </c>
      <c r="EN2" s="3460" t="s">
        <v>54</v>
      </c>
      <c r="EP2" s="2155" t="s">
        <v>14557</v>
      </c>
    </row>
    <row r="3" spans="1:146" s="2874" customFormat="1" ht="33.65" customHeight="1">
      <c r="A3" s="2511" t="s">
        <v>1280</v>
      </c>
      <c r="B3" s="2511" t="s">
        <v>3363</v>
      </c>
      <c r="C3" s="2511" t="s">
        <v>3364</v>
      </c>
      <c r="D3" s="2511" t="s">
        <v>3338</v>
      </c>
      <c r="E3" s="2351" t="s">
        <v>3339</v>
      </c>
      <c r="F3" s="2351" t="s">
        <v>3342</v>
      </c>
      <c r="G3" s="2511" t="s">
        <v>3348</v>
      </c>
      <c r="H3" s="1875" t="s">
        <v>1282</v>
      </c>
      <c r="I3" s="1875"/>
      <c r="J3" s="1875" t="s">
        <v>1141</v>
      </c>
      <c r="K3" s="1875" t="s">
        <v>1142</v>
      </c>
      <c r="L3" s="1875" t="s">
        <v>1139</v>
      </c>
      <c r="M3" s="1875" t="s">
        <v>1140</v>
      </c>
      <c r="N3" s="2511" t="s">
        <v>1283</v>
      </c>
      <c r="O3" s="2511" t="s">
        <v>1289</v>
      </c>
      <c r="P3" s="2511" t="s">
        <v>1281</v>
      </c>
      <c r="Q3" s="2511" t="s">
        <v>1279</v>
      </c>
      <c r="R3" s="2511" t="s">
        <v>1290</v>
      </c>
      <c r="S3" s="2511" t="s">
        <v>3356</v>
      </c>
      <c r="T3" s="2511" t="s">
        <v>3361</v>
      </c>
      <c r="U3" s="2511" t="s">
        <v>3362</v>
      </c>
      <c r="V3" s="2511" t="s">
        <v>3360</v>
      </c>
      <c r="W3" s="2511" t="s">
        <v>3351</v>
      </c>
      <c r="X3" s="2511" t="s">
        <v>3350</v>
      </c>
      <c r="Y3" s="2511" t="s">
        <v>1276</v>
      </c>
      <c r="Z3" s="2511" t="s">
        <v>3352</v>
      </c>
      <c r="AA3" s="2511" t="s">
        <v>1278</v>
      </c>
      <c r="AB3" s="2511" t="s">
        <v>3365</v>
      </c>
      <c r="AC3" s="2155" t="s">
        <v>1288</v>
      </c>
      <c r="AD3" s="2511" t="s">
        <v>3359</v>
      </c>
      <c r="AE3" s="2511" t="s">
        <v>977</v>
      </c>
      <c r="AF3" s="2511" t="s">
        <v>3354</v>
      </c>
      <c r="AG3" s="2511" t="s">
        <v>894</v>
      </c>
      <c r="AH3" s="2511" t="s">
        <v>897</v>
      </c>
      <c r="AI3" s="2511" t="s">
        <v>895</v>
      </c>
      <c r="AJ3" s="2511" t="s">
        <v>896</v>
      </c>
      <c r="AK3" s="2511" t="s">
        <v>6305</v>
      </c>
      <c r="AL3" s="2511" t="s">
        <v>989</v>
      </c>
      <c r="AM3" s="2511" t="s">
        <v>990</v>
      </c>
      <c r="AN3" s="1875" t="s">
        <v>991</v>
      </c>
      <c r="AO3" s="1875" t="s">
        <v>5272</v>
      </c>
      <c r="AP3" s="1875" t="s">
        <v>6164</v>
      </c>
      <c r="AQ3" s="1875" t="s">
        <v>992</v>
      </c>
      <c r="AR3" s="2511" t="s">
        <v>7123</v>
      </c>
      <c r="AS3" s="2511" t="s">
        <v>993</v>
      </c>
      <c r="AT3" s="2511" t="s">
        <v>1301</v>
      </c>
      <c r="AU3" s="2155" t="s">
        <v>3337</v>
      </c>
      <c r="AV3" s="2155" t="s">
        <v>8367</v>
      </c>
      <c r="AW3" s="2155" t="s">
        <v>908</v>
      </c>
      <c r="AX3" s="2155" t="s">
        <v>3346</v>
      </c>
      <c r="AY3" s="2155" t="s">
        <v>706</v>
      </c>
      <c r="AZ3" s="2511" t="s">
        <v>6209</v>
      </c>
      <c r="BA3" s="2511" t="s">
        <v>1277</v>
      </c>
      <c r="BB3" s="2511" t="s">
        <v>982</v>
      </c>
      <c r="BC3" s="2511" t="s">
        <v>4937</v>
      </c>
      <c r="BD3" s="2511" t="s">
        <v>986</v>
      </c>
      <c r="BE3" s="2511" t="s">
        <v>987</v>
      </c>
      <c r="BF3" s="2511" t="s">
        <v>988</v>
      </c>
      <c r="BG3" s="533" t="s">
        <v>979</v>
      </c>
      <c r="BH3" s="2511" t="s">
        <v>1286</v>
      </c>
      <c r="BI3" s="2511" t="s">
        <v>1285</v>
      </c>
      <c r="BJ3" s="2511"/>
      <c r="BK3" s="2511" t="s">
        <v>1287</v>
      </c>
      <c r="BL3" s="2511" t="s">
        <v>3343</v>
      </c>
      <c r="BM3" s="2511" t="s">
        <v>3357</v>
      </c>
      <c r="BN3" s="2511" t="s">
        <v>3367</v>
      </c>
      <c r="BO3" s="2511" t="s">
        <v>3369</v>
      </c>
      <c r="BP3" s="2511" t="s">
        <v>3371</v>
      </c>
      <c r="BQ3" s="2511" t="s">
        <v>261</v>
      </c>
      <c r="BR3" s="2511" t="s">
        <v>1292</v>
      </c>
      <c r="BS3" s="2511" t="s">
        <v>1298</v>
      </c>
      <c r="BT3" s="2511" t="s">
        <v>417</v>
      </c>
      <c r="BU3" s="2511" t="s">
        <v>1304</v>
      </c>
      <c r="BV3" s="2511"/>
      <c r="BW3" s="2511" t="s">
        <v>70</v>
      </c>
      <c r="BX3" s="2511" t="s">
        <v>1306</v>
      </c>
      <c r="BY3" s="2511" t="s">
        <v>1307</v>
      </c>
      <c r="BZ3" s="2511" t="s">
        <v>1430</v>
      </c>
      <c r="CA3" s="2511" t="s">
        <v>3349</v>
      </c>
      <c r="CB3" s="2511" t="s">
        <v>994</v>
      </c>
      <c r="CC3" s="2511" t="s">
        <v>995</v>
      </c>
      <c r="CD3" s="2511" t="s">
        <v>1447</v>
      </c>
      <c r="CE3" s="2511" t="s">
        <v>1639</v>
      </c>
      <c r="CF3" s="2511" t="s">
        <v>1640</v>
      </c>
      <c r="CG3" s="2511" t="s">
        <v>1641</v>
      </c>
      <c r="CH3" s="2511" t="s">
        <v>1656</v>
      </c>
      <c r="CI3" s="2511" t="s">
        <v>855</v>
      </c>
      <c r="CJ3" s="2083"/>
      <c r="CK3" s="2511" t="s">
        <v>1364</v>
      </c>
      <c r="CL3" s="2083"/>
      <c r="CM3" s="2511" t="s">
        <v>5719</v>
      </c>
      <c r="CN3" s="2511" t="s">
        <v>291</v>
      </c>
      <c r="CO3" s="2511" t="s">
        <v>292</v>
      </c>
      <c r="CP3" s="2874" t="s">
        <v>1142</v>
      </c>
      <c r="CQ3" s="2511"/>
      <c r="CS3" s="1875" t="s">
        <v>1142</v>
      </c>
      <c r="CT3" s="1875"/>
      <c r="CV3" s="735"/>
      <c r="CX3" s="735"/>
      <c r="CZ3" s="735"/>
      <c r="DB3" s="2155" t="s">
        <v>7163</v>
      </c>
      <c r="DC3" s="2155" t="s">
        <v>8148</v>
      </c>
      <c r="DD3" s="2155" t="s">
        <v>8149</v>
      </c>
      <c r="DE3" s="2155" t="s">
        <v>8150</v>
      </c>
      <c r="DF3" s="2155" t="s">
        <v>8151</v>
      </c>
      <c r="DG3" s="2155" t="s">
        <v>7164</v>
      </c>
      <c r="DI3" s="735"/>
      <c r="DK3" s="2183" t="s">
        <v>2084</v>
      </c>
      <c r="DL3" s="2176" t="s">
        <v>2084</v>
      </c>
      <c r="DM3" s="2575" t="s">
        <v>7493</v>
      </c>
      <c r="DO3" s="1892" t="s">
        <v>8396</v>
      </c>
      <c r="DP3" s="1892">
        <v>532400</v>
      </c>
      <c r="DQ3" s="2780" t="s">
        <v>5435</v>
      </c>
      <c r="DR3" s="2783" t="s">
        <v>8333</v>
      </c>
      <c r="DS3" s="2816" t="s">
        <v>8437</v>
      </c>
      <c r="DT3" s="2091" t="s">
        <v>7472</v>
      </c>
      <c r="DU3" s="2816" t="s">
        <v>8717</v>
      </c>
      <c r="DW3" s="735" t="s">
        <v>8704</v>
      </c>
      <c r="DY3" s="735" t="s">
        <v>8881</v>
      </c>
      <c r="DZ3" s="735" t="s">
        <v>9985</v>
      </c>
      <c r="EB3" s="2155" t="s">
        <v>3337</v>
      </c>
      <c r="EC3" s="2155" t="s">
        <v>4654</v>
      </c>
      <c r="EE3" s="2155" t="s">
        <v>10191</v>
      </c>
      <c r="EG3" s="2155" t="s">
        <v>10217</v>
      </c>
      <c r="EI3" s="2155">
        <v>1100</v>
      </c>
      <c r="EK3" s="2155">
        <v>2040</v>
      </c>
      <c r="EM3" s="68" t="s">
        <v>14551</v>
      </c>
      <c r="EN3" s="68" t="s">
        <v>14552</v>
      </c>
      <c r="EP3" s="2155">
        <v>2101</v>
      </c>
    </row>
    <row r="4" spans="1:146" ht="87">
      <c r="A4" s="530" t="s">
        <v>3521</v>
      </c>
      <c r="B4" s="511" t="s">
        <v>695</v>
      </c>
      <c r="C4" s="511" t="s">
        <v>1401</v>
      </c>
      <c r="D4" s="2689" t="s">
        <v>10181</v>
      </c>
      <c r="E4" s="2091" t="s">
        <v>5484</v>
      </c>
      <c r="F4" s="2091" t="s">
        <v>4507</v>
      </c>
      <c r="G4" s="511" t="s">
        <v>217</v>
      </c>
      <c r="H4" s="3442" t="s">
        <v>4716</v>
      </c>
      <c r="I4" s="3442" t="s">
        <v>1851</v>
      </c>
      <c r="J4" s="3442" t="s">
        <v>4716</v>
      </c>
      <c r="K4" s="3437" t="s">
        <v>8497</v>
      </c>
      <c r="L4" s="3437" t="s">
        <v>4716</v>
      </c>
      <c r="M4" s="3437" t="s">
        <v>2476</v>
      </c>
      <c r="N4" s="2744" t="s">
        <v>3104</v>
      </c>
      <c r="O4" s="3133" t="s">
        <v>9826</v>
      </c>
      <c r="P4" s="3064" t="s">
        <v>10271</v>
      </c>
      <c r="Q4" s="511" t="s">
        <v>1841</v>
      </c>
      <c r="R4" s="2744" t="s">
        <v>2204</v>
      </c>
      <c r="S4" s="511" t="s">
        <v>2999</v>
      </c>
      <c r="T4" s="511" t="s">
        <v>5253</v>
      </c>
      <c r="U4" s="511" t="s">
        <v>4234</v>
      </c>
      <c r="V4" s="511" t="s">
        <v>6294</v>
      </c>
      <c r="W4" s="511" t="s">
        <v>4673</v>
      </c>
      <c r="X4" s="511" t="s">
        <v>4665</v>
      </c>
      <c r="Y4" s="511" t="s">
        <v>4843</v>
      </c>
      <c r="Z4" s="511" t="s">
        <v>4207</v>
      </c>
      <c r="AA4" s="511" t="s">
        <v>5442</v>
      </c>
      <c r="AB4" s="2091" t="s">
        <v>7149</v>
      </c>
      <c r="AC4" s="3136" t="s">
        <v>759</v>
      </c>
      <c r="AD4" s="511" t="s">
        <v>5254</v>
      </c>
      <c r="AE4" s="2153" t="s">
        <v>5670</v>
      </c>
      <c r="AF4" s="531" t="s">
        <v>2786</v>
      </c>
      <c r="AG4" s="511" t="s">
        <v>2983</v>
      </c>
      <c r="AH4" s="3083" t="s">
        <v>898</v>
      </c>
      <c r="AI4" s="511" t="s">
        <v>2983</v>
      </c>
      <c r="AJ4" s="2744" t="s">
        <v>4527</v>
      </c>
      <c r="AK4" s="511" t="s">
        <v>2983</v>
      </c>
      <c r="AL4" s="511" t="s">
        <v>1329</v>
      </c>
      <c r="AM4" s="511" t="s">
        <v>4522</v>
      </c>
      <c r="AN4" s="3283" t="s">
        <v>4153</v>
      </c>
      <c r="AO4" s="3283" t="s">
        <v>4153</v>
      </c>
      <c r="AP4" s="3437" t="s">
        <v>4153</v>
      </c>
      <c r="AQ4" s="3283" t="s">
        <v>4153</v>
      </c>
      <c r="AR4" s="101" t="s">
        <v>8891</v>
      </c>
      <c r="AS4" s="511" t="s">
        <v>3093</v>
      </c>
      <c r="AT4" s="531" t="s">
        <v>250</v>
      </c>
      <c r="AU4" s="2154" t="s">
        <v>8076</v>
      </c>
      <c r="AV4" s="2818" t="s">
        <v>3336</v>
      </c>
      <c r="AW4" s="531" t="s">
        <v>5258</v>
      </c>
      <c r="AX4" s="531" t="s">
        <v>8076</v>
      </c>
      <c r="AY4" s="2744" t="s">
        <v>8076</v>
      </c>
      <c r="AZ4" s="511" t="s">
        <v>7533</v>
      </c>
      <c r="BA4" s="511" t="s">
        <v>1827</v>
      </c>
      <c r="BB4" s="511" t="s">
        <v>3031</v>
      </c>
      <c r="BC4" s="511" t="s">
        <v>3031</v>
      </c>
      <c r="BD4" s="511" t="s">
        <v>3018</v>
      </c>
      <c r="BE4" s="511" t="s">
        <v>3022</v>
      </c>
      <c r="BF4" s="3083" t="s">
        <v>7472</v>
      </c>
      <c r="BG4" s="3083" t="s">
        <v>7472</v>
      </c>
      <c r="BH4" s="2405">
        <v>2080209</v>
      </c>
      <c r="BI4" s="2405" t="s">
        <v>1189</v>
      </c>
      <c r="BJ4" s="2466">
        <v>219343</v>
      </c>
      <c r="BK4" s="530" t="s">
        <v>1853</v>
      </c>
      <c r="BL4" s="2744" t="s">
        <v>2810</v>
      </c>
      <c r="BM4" s="2744" t="s">
        <v>2813</v>
      </c>
      <c r="BN4" s="2744" t="s">
        <v>8475</v>
      </c>
      <c r="BO4" s="3083" t="s">
        <v>4914</v>
      </c>
      <c r="BP4" s="2744" t="s">
        <v>4913</v>
      </c>
      <c r="BQ4" s="2782" t="s">
        <v>8344</v>
      </c>
      <c r="BR4" s="511" t="s">
        <v>1293</v>
      </c>
      <c r="BS4" s="2744" t="s">
        <v>1814</v>
      </c>
      <c r="BT4" s="2744" t="s">
        <v>4931</v>
      </c>
      <c r="BU4" s="3126" t="s">
        <v>6738</v>
      </c>
      <c r="BV4" s="3082" t="str">
        <f>CONCATENATE(LEFT(BU4,8),RIGHT(BU4,9))</f>
        <v>{1110000ехнологии</v>
      </c>
      <c r="BW4" s="101" t="s">
        <v>69</v>
      </c>
      <c r="BX4" s="2447">
        <v>60</v>
      </c>
      <c r="BY4" s="2447">
        <v>60</v>
      </c>
      <c r="BZ4" s="3112" t="s">
        <v>2072</v>
      </c>
      <c r="CA4" s="3113" t="s">
        <v>8537</v>
      </c>
      <c r="CB4" s="2744" t="s">
        <v>3094</v>
      </c>
      <c r="CC4" s="2744" t="s">
        <v>3093</v>
      </c>
      <c r="CD4" s="101" t="s">
        <v>1448</v>
      </c>
      <c r="CE4" s="2080" t="s">
        <v>14496</v>
      </c>
      <c r="CF4" s="1803">
        <v>44562</v>
      </c>
      <c r="CG4" s="1803">
        <v>44651</v>
      </c>
      <c r="CH4" s="1511" t="s">
        <v>3441</v>
      </c>
      <c r="CI4" s="166" t="s">
        <v>856</v>
      </c>
      <c r="CJ4" s="562"/>
      <c r="CK4" t="s">
        <v>1365</v>
      </c>
      <c r="CL4" s="562"/>
      <c r="CM4" t="s">
        <v>5720</v>
      </c>
      <c r="CN4" t="s">
        <v>290</v>
      </c>
      <c r="CO4" t="s">
        <v>293</v>
      </c>
      <c r="CP4" s="3437" t="s">
        <v>5476</v>
      </c>
      <c r="CQ4" s="1511" t="s">
        <v>4953</v>
      </c>
      <c r="CS4" s="3437" t="s">
        <v>8497</v>
      </c>
      <c r="CT4" s="2299" t="s">
        <v>6477</v>
      </c>
      <c r="CV4" s="2305" t="s">
        <v>3405</v>
      </c>
      <c r="CX4" s="1892" t="s">
        <v>6756</v>
      </c>
      <c r="CZ4" s="2306" t="s">
        <v>4953</v>
      </c>
      <c r="DB4" s="2153" t="s">
        <v>7165</v>
      </c>
      <c r="DC4" s="2745" t="s">
        <v>6761</v>
      </c>
      <c r="DD4" s="2745" t="s">
        <v>6761</v>
      </c>
      <c r="DE4" s="2745" t="s">
        <v>6762</v>
      </c>
      <c r="DF4" s="2745" t="s">
        <v>6759</v>
      </c>
      <c r="DG4" s="2745" t="s">
        <v>6730</v>
      </c>
      <c r="DH4" s="2764"/>
      <c r="DI4" t="s">
        <v>7434</v>
      </c>
      <c r="DK4" s="2576" t="s">
        <v>2085</v>
      </c>
      <c r="DL4" s="2178" t="s">
        <v>2086</v>
      </c>
      <c r="DM4" s="2575" t="s">
        <v>7493</v>
      </c>
      <c r="DO4" s="1892" t="s">
        <v>8189</v>
      </c>
      <c r="DP4" s="1892">
        <v>136943</v>
      </c>
      <c r="DQ4" s="2780" t="s">
        <v>1149</v>
      </c>
      <c r="DR4" s="2783" t="s">
        <v>8334</v>
      </c>
      <c r="DS4" s="2816" t="s">
        <v>8438</v>
      </c>
      <c r="DT4" s="2091" t="s">
        <v>3032</v>
      </c>
      <c r="DU4" s="2816" t="s">
        <v>8785</v>
      </c>
      <c r="DW4" s="1511" t="s">
        <v>8705</v>
      </c>
      <c r="DY4" s="2816" t="s">
        <v>8716</v>
      </c>
      <c r="DZ4" t="s">
        <v>3389</v>
      </c>
      <c r="EB4" s="3228" t="s">
        <v>8088</v>
      </c>
      <c r="EC4" s="101" t="s">
        <v>4482</v>
      </c>
      <c r="EE4" s="2689" t="s">
        <v>10184</v>
      </c>
      <c r="EG4" s="3343" t="s">
        <v>1318</v>
      </c>
      <c r="EI4" s="2689" t="s">
        <v>10323</v>
      </c>
      <c r="EK4" s="3468" t="s">
        <v>14544</v>
      </c>
      <c r="EM4" s="450" t="s">
        <v>1472</v>
      </c>
      <c r="EN4" s="450" t="s">
        <v>1472</v>
      </c>
      <c r="EP4" s="450" t="s">
        <v>14558</v>
      </c>
    </row>
    <row r="5" spans="1:146" ht="87">
      <c r="A5" s="530" t="s">
        <v>1349</v>
      </c>
      <c r="B5" s="511" t="s">
        <v>696</v>
      </c>
      <c r="C5" s="511" t="s">
        <v>1809</v>
      </c>
      <c r="D5" s="2689" t="s">
        <v>10182</v>
      </c>
      <c r="E5" s="2091" t="s">
        <v>5485</v>
      </c>
      <c r="F5" s="2091" t="s">
        <v>4121</v>
      </c>
      <c r="G5" s="511" t="s">
        <v>218</v>
      </c>
      <c r="H5" s="3442" t="s">
        <v>3103</v>
      </c>
      <c r="I5" s="3442" t="s">
        <v>3104</v>
      </c>
      <c r="J5" s="3442" t="s">
        <v>3103</v>
      </c>
      <c r="K5" s="3437" t="s">
        <v>6866</v>
      </c>
      <c r="L5" s="3437" t="s">
        <v>3103</v>
      </c>
      <c r="M5" s="3437" t="s">
        <v>2480</v>
      </c>
      <c r="N5" s="2744" t="s">
        <v>9814</v>
      </c>
      <c r="O5" s="3131" t="s">
        <v>9827</v>
      </c>
      <c r="P5" s="3064" t="s">
        <v>10275</v>
      </c>
      <c r="Q5" s="511" t="s">
        <v>1840</v>
      </c>
      <c r="R5" s="511" t="s">
        <v>2205</v>
      </c>
      <c r="S5" s="511" t="s">
        <v>3000</v>
      </c>
      <c r="T5" s="511" t="s">
        <v>4224</v>
      </c>
      <c r="U5" s="511" t="s">
        <v>3011</v>
      </c>
      <c r="V5" s="511" t="s">
        <v>6295</v>
      </c>
      <c r="W5" s="511" t="s">
        <v>3914</v>
      </c>
      <c r="X5" s="511" t="s">
        <v>2995</v>
      </c>
      <c r="Y5" s="511" t="s">
        <v>1823</v>
      </c>
      <c r="Z5" s="511" t="s">
        <v>3015</v>
      </c>
      <c r="AA5" s="511" t="s">
        <v>5444</v>
      </c>
      <c r="AB5" s="511" t="s">
        <v>1802</v>
      </c>
      <c r="AC5" s="3136" t="s">
        <v>761</v>
      </c>
      <c r="AD5" s="2744" t="s">
        <v>5256</v>
      </c>
      <c r="AE5" s="2153" t="s">
        <v>5671</v>
      </c>
      <c r="AF5" s="531" t="s">
        <v>1705</v>
      </c>
      <c r="AG5" s="511" t="s">
        <v>2984</v>
      </c>
      <c r="AH5" s="3083" t="s">
        <v>899</v>
      </c>
      <c r="AI5" s="511" t="s">
        <v>2984</v>
      </c>
      <c r="AJ5" s="2744" t="s">
        <v>4528</v>
      </c>
      <c r="AK5" s="511" t="s">
        <v>2987</v>
      </c>
      <c r="AL5" s="511" t="s">
        <v>1330</v>
      </c>
      <c r="AM5" s="511" t="s">
        <v>3340</v>
      </c>
      <c r="AN5" s="3283" t="s">
        <v>4154</v>
      </c>
      <c r="AO5" s="3283" t="s">
        <v>4154</v>
      </c>
      <c r="AP5" s="3437" t="s">
        <v>4154</v>
      </c>
      <c r="AQ5" s="3283" t="s">
        <v>4154</v>
      </c>
      <c r="AR5" s="101" t="s">
        <v>8892</v>
      </c>
      <c r="AS5" s="511" t="s">
        <v>3094</v>
      </c>
      <c r="AT5" s="531" t="s">
        <v>251</v>
      </c>
      <c r="AU5" s="2154" t="s">
        <v>8077</v>
      </c>
      <c r="AV5" s="2816" t="s">
        <v>8451</v>
      </c>
      <c r="AW5" s="531" t="s">
        <v>5259</v>
      </c>
      <c r="AX5" s="531" t="s">
        <v>8077</v>
      </c>
      <c r="AY5" s="2744" t="s">
        <v>8077</v>
      </c>
      <c r="AZ5" s="511" t="s">
        <v>7534</v>
      </c>
      <c r="BA5" s="511" t="s">
        <v>1828</v>
      </c>
      <c r="BB5" s="511" t="s">
        <v>7472</v>
      </c>
      <c r="BC5" s="511" t="s">
        <v>7472</v>
      </c>
      <c r="BD5" s="511" t="s">
        <v>3019</v>
      </c>
      <c r="BE5" s="511" t="s">
        <v>3023</v>
      </c>
      <c r="BF5" s="1802" t="s">
        <v>3034</v>
      </c>
      <c r="BG5" s="1802" t="s">
        <v>3034</v>
      </c>
      <c r="BH5" s="2405">
        <v>101553117</v>
      </c>
      <c r="BI5" s="2405" t="s">
        <v>2922</v>
      </c>
      <c r="BJ5" s="2466">
        <v>161</v>
      </c>
      <c r="BK5" s="530" t="s">
        <v>3106</v>
      </c>
      <c r="BL5" s="2744" t="s">
        <v>2811</v>
      </c>
      <c r="BM5" s="2744" t="s">
        <v>2814</v>
      </c>
      <c r="BN5" s="2744" t="s">
        <v>8476</v>
      </c>
      <c r="BO5" s="3083" t="s">
        <v>4913</v>
      </c>
      <c r="BP5" s="2744" t="s">
        <v>4911</v>
      </c>
      <c r="BQ5" s="2782" t="s">
        <v>8328</v>
      </c>
      <c r="BR5" s="511" t="s">
        <v>1294</v>
      </c>
      <c r="BS5" s="2744" t="s">
        <v>1815</v>
      </c>
      <c r="BT5" s="511" t="s">
        <v>1143</v>
      </c>
      <c r="BU5" s="3126" t="s">
        <v>6739</v>
      </c>
      <c r="BV5" s="3082" t="str">
        <f t="shared" ref="BV5:BV62" si="0">CONCATENATE(LEFT(BU5,8),RIGHT(BU5,9))</f>
        <v>{1110000 2015 гг.</v>
      </c>
      <c r="BW5" s="101" t="s">
        <v>71</v>
      </c>
      <c r="BX5" s="2447">
        <v>62</v>
      </c>
      <c r="BY5" s="2447">
        <v>62</v>
      </c>
      <c r="BZ5" s="3112" t="s">
        <v>6977</v>
      </c>
      <c r="CA5" s="3113" t="s">
        <v>2867</v>
      </c>
      <c r="CB5" s="2744" t="s">
        <v>3095</v>
      </c>
      <c r="CC5" s="2744" t="s">
        <v>3096</v>
      </c>
      <c r="CD5" s="101" t="s">
        <v>1449</v>
      </c>
      <c r="CE5" s="2080" t="s">
        <v>14497</v>
      </c>
      <c r="CF5" s="1803">
        <v>44562</v>
      </c>
      <c r="CG5" s="1803">
        <v>44742</v>
      </c>
      <c r="CH5" s="1511" t="s">
        <v>3443</v>
      </c>
      <c r="CI5" s="166" t="s">
        <v>857</v>
      </c>
      <c r="CJ5" s="562"/>
      <c r="CK5" s="2349" t="s">
        <v>6296</v>
      </c>
      <c r="CM5" t="s">
        <v>5721</v>
      </c>
      <c r="CO5" t="s">
        <v>294</v>
      </c>
      <c r="CP5" s="3437" t="s">
        <v>2476</v>
      </c>
      <c r="CQ5">
        <v>46</v>
      </c>
      <c r="CS5" s="3437" t="s">
        <v>6866</v>
      </c>
      <c r="CT5" s="2299" t="s">
        <v>6478</v>
      </c>
      <c r="CV5" s="2305" t="s">
        <v>3407</v>
      </c>
      <c r="CX5" s="1892" t="s">
        <v>6757</v>
      </c>
      <c r="CZ5" s="2306">
        <v>21</v>
      </c>
      <c r="DA5" s="2558"/>
      <c r="DB5" s="2153" t="s">
        <v>7166</v>
      </c>
      <c r="DC5" s="2745" t="s">
        <v>6762</v>
      </c>
      <c r="DD5" s="2153" t="s">
        <v>6759</v>
      </c>
      <c r="DE5" s="2745" t="s">
        <v>6759</v>
      </c>
      <c r="DF5" s="2745"/>
      <c r="DG5" s="2745" t="s">
        <v>8658</v>
      </c>
      <c r="DH5" s="2764"/>
      <c r="DI5" t="s">
        <v>7435</v>
      </c>
      <c r="DK5" s="3150" t="s">
        <v>9877</v>
      </c>
      <c r="DL5" s="2178" t="s">
        <v>3400</v>
      </c>
      <c r="DM5" s="3151"/>
      <c r="DO5" s="1892" t="s">
        <v>8190</v>
      </c>
      <c r="DP5" s="1892">
        <v>295830</v>
      </c>
      <c r="DR5" s="2689" t="s">
        <v>8335</v>
      </c>
      <c r="DS5" s="2816" t="s">
        <v>8439</v>
      </c>
      <c r="DT5" s="2091" t="s">
        <v>3033</v>
      </c>
      <c r="DU5" s="2816" t="s">
        <v>8718</v>
      </c>
      <c r="DW5" s="1511" t="s">
        <v>3405</v>
      </c>
      <c r="DY5" s="2816" t="s">
        <v>8717</v>
      </c>
      <c r="DZ5">
        <v>76</v>
      </c>
      <c r="EB5" s="3228" t="s">
        <v>8089</v>
      </c>
      <c r="EC5" s="101" t="s">
        <v>4483</v>
      </c>
      <c r="EE5" s="2689" t="s">
        <v>4184</v>
      </c>
      <c r="EG5" s="3343" t="s">
        <v>1319</v>
      </c>
      <c r="EI5" s="2689" t="s">
        <v>10324</v>
      </c>
      <c r="EJ5" s="3468" t="s">
        <v>14547</v>
      </c>
      <c r="EK5" s="3468" t="s">
        <v>14545</v>
      </c>
      <c r="EM5" s="450" t="s">
        <v>1483</v>
      </c>
      <c r="EN5" s="450" t="s">
        <v>1483</v>
      </c>
      <c r="EP5" s="450" t="s">
        <v>14559</v>
      </c>
    </row>
    <row r="6" spans="1:146" ht="72.5">
      <c r="A6" s="529" t="s">
        <v>1350</v>
      </c>
      <c r="C6" s="511" t="s">
        <v>1810</v>
      </c>
      <c r="D6" s="2689" t="s">
        <v>6177</v>
      </c>
      <c r="E6" s="2091" t="s">
        <v>5486</v>
      </c>
      <c r="H6" s="3442" t="s">
        <v>5459</v>
      </c>
      <c r="I6" s="3442" t="s">
        <v>3104</v>
      </c>
      <c r="J6" s="3442" t="s">
        <v>5459</v>
      </c>
      <c r="K6" s="3437" t="s">
        <v>2476</v>
      </c>
      <c r="L6" s="3437" t="s">
        <v>5459</v>
      </c>
      <c r="M6" s="3437" t="s">
        <v>7137</v>
      </c>
      <c r="N6" s="2744" t="s">
        <v>9815</v>
      </c>
      <c r="O6" s="3131" t="s">
        <v>9828</v>
      </c>
      <c r="P6" s="3064" t="s">
        <v>10276</v>
      </c>
      <c r="Q6" s="511" t="s">
        <v>3107</v>
      </c>
      <c r="S6" s="511" t="s">
        <v>3001</v>
      </c>
      <c r="T6" s="511" t="s">
        <v>5255</v>
      </c>
      <c r="W6" s="511" t="s">
        <v>3915</v>
      </c>
      <c r="X6" s="511" t="s">
        <v>2996</v>
      </c>
      <c r="Y6" s="511" t="s">
        <v>1824</v>
      </c>
      <c r="Z6" s="511" t="s">
        <v>3353</v>
      </c>
      <c r="AA6" s="511" t="s">
        <v>5443</v>
      </c>
      <c r="AB6" s="2091" t="s">
        <v>7148</v>
      </c>
      <c r="AC6" s="3136" t="s">
        <v>762</v>
      </c>
      <c r="AD6" s="2744" t="s">
        <v>10206</v>
      </c>
      <c r="AE6" s="2153" t="s">
        <v>5672</v>
      </c>
      <c r="AF6" s="531" t="s">
        <v>1706</v>
      </c>
      <c r="AG6" s="511" t="s">
        <v>2985</v>
      </c>
      <c r="AH6" s="3083" t="s">
        <v>900</v>
      </c>
      <c r="AI6" s="511" t="s">
        <v>2985</v>
      </c>
      <c r="AJ6" s="2744" t="s">
        <v>4529</v>
      </c>
      <c r="AK6" s="511" t="s">
        <v>2990</v>
      </c>
      <c r="AL6" s="511" t="s">
        <v>1331</v>
      </c>
      <c r="AM6" s="511" t="s">
        <v>3341</v>
      </c>
      <c r="AN6" s="3283" t="s">
        <v>4155</v>
      </c>
      <c r="AO6" s="3283" t="s">
        <v>4155</v>
      </c>
      <c r="AP6" s="3437" t="s">
        <v>4155</v>
      </c>
      <c r="AQ6" s="3283" t="s">
        <v>4155</v>
      </c>
      <c r="AR6" s="101" t="s">
        <v>8893</v>
      </c>
      <c r="AS6" s="511" t="s">
        <v>3095</v>
      </c>
      <c r="AT6" s="1777" t="s">
        <v>273</v>
      </c>
      <c r="AU6" s="2154" t="s">
        <v>8078</v>
      </c>
      <c r="AV6" s="2816" t="s">
        <v>8452</v>
      </c>
      <c r="AW6" s="531" t="s">
        <v>5329</v>
      </c>
      <c r="AX6" s="531" t="s">
        <v>8078</v>
      </c>
      <c r="AY6" s="2744" t="s">
        <v>8078</v>
      </c>
      <c r="AZ6" s="511" t="s">
        <v>7535</v>
      </c>
      <c r="BA6" s="511" t="s">
        <v>1829</v>
      </c>
      <c r="BB6" s="511" t="s">
        <v>3032</v>
      </c>
      <c r="BC6" s="511" t="s">
        <v>3032</v>
      </c>
      <c r="BD6" s="511" t="s">
        <v>3020</v>
      </c>
      <c r="BE6" s="511" t="s">
        <v>3024</v>
      </c>
      <c r="BF6" s="1802" t="s">
        <v>7473</v>
      </c>
      <c r="BG6" s="1802" t="s">
        <v>7473</v>
      </c>
      <c r="BH6" s="2406">
        <v>1001000598</v>
      </c>
      <c r="BI6" s="2409" t="s">
        <v>2468</v>
      </c>
      <c r="BJ6" s="2466">
        <v>220713</v>
      </c>
      <c r="BK6" s="530" t="s">
        <v>3109</v>
      </c>
      <c r="BL6" s="2744" t="s">
        <v>2812</v>
      </c>
      <c r="BM6" s="2446"/>
      <c r="BN6" s="2744" t="s">
        <v>8477</v>
      </c>
      <c r="BO6" s="3083" t="s">
        <v>4912</v>
      </c>
      <c r="BP6" s="2744" t="s">
        <v>4906</v>
      </c>
      <c r="BQ6" s="2782" t="s">
        <v>8329</v>
      </c>
      <c r="BR6" s="511" t="s">
        <v>1295</v>
      </c>
      <c r="BS6" s="2744"/>
      <c r="BT6" s="2744" t="s">
        <v>927</v>
      </c>
      <c r="BU6" s="3126" t="s">
        <v>6740</v>
      </c>
      <c r="BV6" s="3082" t="str">
        <f t="shared" si="0"/>
        <v>{1110000019 года.</v>
      </c>
      <c r="BW6" s="101"/>
      <c r="BX6" s="2447"/>
      <c r="BY6" s="2447">
        <v>76</v>
      </c>
      <c r="BZ6" s="3112" t="s">
        <v>6951</v>
      </c>
      <c r="CA6" s="3113" t="s">
        <v>3765</v>
      </c>
      <c r="CB6" s="2744" t="s">
        <v>3097</v>
      </c>
      <c r="CC6" s="2744" t="s">
        <v>3098</v>
      </c>
      <c r="CE6" s="2080" t="s">
        <v>14498</v>
      </c>
      <c r="CF6" s="1803">
        <v>44562</v>
      </c>
      <c r="CG6" s="1803">
        <v>44834</v>
      </c>
      <c r="CH6" s="1511" t="s">
        <v>3445</v>
      </c>
      <c r="CI6" s="166" t="s">
        <v>858</v>
      </c>
      <c r="CJ6" s="562"/>
      <c r="CK6" s="2349" t="s">
        <v>6297</v>
      </c>
      <c r="CL6" s="2446"/>
      <c r="CM6" t="s">
        <v>5722</v>
      </c>
      <c r="CO6" t="s">
        <v>295</v>
      </c>
      <c r="CP6" s="3437" t="s">
        <v>2480</v>
      </c>
      <c r="CQ6" s="1511"/>
      <c r="CS6" s="3437" t="s">
        <v>2476</v>
      </c>
      <c r="CT6" s="2299" t="s">
        <v>6479</v>
      </c>
      <c r="CV6" s="2305" t="s">
        <v>3413</v>
      </c>
      <c r="CX6" s="1892" t="s">
        <v>6758</v>
      </c>
      <c r="CZ6" s="2306">
        <v>26</v>
      </c>
      <c r="DA6" s="2558"/>
      <c r="DB6" s="2153" t="s">
        <v>7167</v>
      </c>
      <c r="DC6" s="2745" t="s">
        <v>6759</v>
      </c>
      <c r="DD6" s="2764"/>
      <c r="DG6" s="2745" t="s">
        <v>7152</v>
      </c>
      <c r="DH6" s="2764"/>
      <c r="DI6" t="s">
        <v>7436</v>
      </c>
      <c r="DK6" s="2576" t="s">
        <v>742</v>
      </c>
      <c r="DL6" s="2178" t="s">
        <v>2087</v>
      </c>
      <c r="DM6" s="2575" t="s">
        <v>7494</v>
      </c>
      <c r="DO6" s="1892" t="s">
        <v>8191</v>
      </c>
      <c r="DP6" s="1892">
        <v>370390</v>
      </c>
      <c r="DR6" s="2689" t="s">
        <v>8336</v>
      </c>
      <c r="DS6" s="2816" t="s">
        <v>8440</v>
      </c>
      <c r="DT6" s="2879" t="s">
        <v>3034</v>
      </c>
      <c r="DU6" s="2816" t="s">
        <v>8737</v>
      </c>
      <c r="DW6" s="1511" t="s">
        <v>3407</v>
      </c>
      <c r="DY6" s="2816" t="s">
        <v>8785</v>
      </c>
      <c r="EB6" s="3228" t="s">
        <v>8090</v>
      </c>
      <c r="EC6" s="101" t="s">
        <v>4484</v>
      </c>
      <c r="EG6" s="3343" t="s">
        <v>955</v>
      </c>
      <c r="EI6" s="2689" t="s">
        <v>10325</v>
      </c>
      <c r="EK6" s="3468" t="s">
        <v>14546</v>
      </c>
      <c r="EM6" s="450" t="s">
        <v>1473</v>
      </c>
      <c r="EN6" s="450" t="s">
        <v>1473</v>
      </c>
      <c r="EP6" s="450" t="s">
        <v>14560</v>
      </c>
    </row>
    <row r="7" spans="1:146" ht="87.5" thickBot="1">
      <c r="A7" s="532"/>
      <c r="C7" s="511" t="s">
        <v>1811</v>
      </c>
      <c r="D7" s="2689" t="s">
        <v>10183</v>
      </c>
      <c r="E7" s="2091" t="s">
        <v>4126</v>
      </c>
      <c r="H7" s="3633" t="s">
        <v>5460</v>
      </c>
      <c r="I7" s="3139"/>
      <c r="J7" s="3442" t="s">
        <v>5460</v>
      </c>
      <c r="K7" s="3437" t="s">
        <v>4718</v>
      </c>
      <c r="L7" s="3437" t="s">
        <v>5460</v>
      </c>
      <c r="M7" s="3437" t="s">
        <v>2484</v>
      </c>
      <c r="N7" s="2744" t="s">
        <v>2310</v>
      </c>
      <c r="O7" s="3131" t="s">
        <v>3111</v>
      </c>
      <c r="P7" s="3438" t="s">
        <v>10277</v>
      </c>
      <c r="Q7" s="511" t="s">
        <v>3110</v>
      </c>
      <c r="S7" s="511" t="s">
        <v>3002</v>
      </c>
      <c r="W7" s="511" t="s">
        <v>4674</v>
      </c>
      <c r="X7" s="511" t="s">
        <v>2997</v>
      </c>
      <c r="Y7" s="511" t="s">
        <v>4844</v>
      </c>
      <c r="AA7" s="511" t="s">
        <v>5445</v>
      </c>
      <c r="AB7" s="2091" t="s">
        <v>10097</v>
      </c>
      <c r="AC7" s="3435" t="s">
        <v>763</v>
      </c>
      <c r="AE7" s="2153" t="s">
        <v>6023</v>
      </c>
      <c r="AF7" s="531" t="s">
        <v>2787</v>
      </c>
      <c r="AG7" s="511" t="s">
        <v>2986</v>
      </c>
      <c r="AH7" s="3083" t="s">
        <v>2987</v>
      </c>
      <c r="AI7" s="511" t="s">
        <v>2990</v>
      </c>
      <c r="AJ7" s="2744" t="s">
        <v>4530</v>
      </c>
      <c r="AK7" s="511" t="s">
        <v>2991</v>
      </c>
      <c r="AL7" s="511" t="s">
        <v>1332</v>
      </c>
      <c r="AN7" s="3283" t="s">
        <v>4156</v>
      </c>
      <c r="AO7" s="3283" t="s">
        <v>4156</v>
      </c>
      <c r="AP7" s="3437" t="s">
        <v>4156</v>
      </c>
      <c r="AQ7" s="3283" t="s">
        <v>4156</v>
      </c>
      <c r="AR7" s="101" t="s">
        <v>8894</v>
      </c>
      <c r="AS7" s="511" t="s">
        <v>3096</v>
      </c>
      <c r="AT7" s="1777" t="s">
        <v>271</v>
      </c>
      <c r="AU7" s="2154" t="s">
        <v>8079</v>
      </c>
      <c r="AV7" s="2816" t="s">
        <v>8453</v>
      </c>
      <c r="AW7" s="531" t="s">
        <v>5333</v>
      </c>
      <c r="AX7" s="531" t="s">
        <v>8079</v>
      </c>
      <c r="AY7" s="2744" t="s">
        <v>8079</v>
      </c>
      <c r="AZ7" s="511" t="s">
        <v>7536</v>
      </c>
      <c r="BB7" s="511" t="s">
        <v>3033</v>
      </c>
      <c r="BC7" s="511" t="s">
        <v>3033</v>
      </c>
      <c r="BD7" s="511" t="s">
        <v>3021</v>
      </c>
      <c r="BE7" s="511" t="s">
        <v>3025</v>
      </c>
      <c r="BF7" s="1802" t="s">
        <v>3035</v>
      </c>
      <c r="BG7" s="1802" t="s">
        <v>3035</v>
      </c>
      <c r="BH7" s="2408">
        <v>1001025747</v>
      </c>
      <c r="BI7" s="2409" t="s">
        <v>2715</v>
      </c>
      <c r="BJ7" s="2466">
        <v>386004</v>
      </c>
      <c r="BK7" s="530" t="s">
        <v>5069</v>
      </c>
      <c r="BL7" s="2744"/>
      <c r="BM7" s="3083"/>
      <c r="BN7" s="3083"/>
      <c r="BO7" s="3083" t="s">
        <v>4911</v>
      </c>
      <c r="BP7" s="2744"/>
      <c r="BQ7" s="2782" t="s">
        <v>8330</v>
      </c>
      <c r="BR7" s="511" t="s">
        <v>1296</v>
      </c>
      <c r="BS7" s="2744"/>
      <c r="BT7" s="511" t="s">
        <v>4933</v>
      </c>
      <c r="BU7" s="3126" t="s">
        <v>6741</v>
      </c>
      <c r="BV7" s="3082" t="str">
        <f t="shared" si="0"/>
        <v>{1110000 ФЦП и ПП</v>
      </c>
      <c r="BW7" s="101"/>
      <c r="BZ7" s="3112" t="s">
        <v>7041</v>
      </c>
      <c r="CA7" s="3113" t="s">
        <v>3837</v>
      </c>
      <c r="CE7" s="2081" t="s">
        <v>14349</v>
      </c>
      <c r="CF7" s="1803">
        <v>44562</v>
      </c>
      <c r="CG7" s="1803">
        <v>44926</v>
      </c>
      <c r="CH7" s="1511" t="s">
        <v>3447</v>
      </c>
      <c r="CI7" s="166" t="s">
        <v>859</v>
      </c>
      <c r="CJ7" s="562"/>
      <c r="CM7" t="s">
        <v>5723</v>
      </c>
      <c r="CO7" t="s">
        <v>296</v>
      </c>
      <c r="CP7" s="3437" t="s">
        <v>2484</v>
      </c>
      <c r="CS7" s="3437" t="s">
        <v>4718</v>
      </c>
      <c r="CT7" s="2299" t="s">
        <v>6480</v>
      </c>
      <c r="CV7" s="2305" t="s">
        <v>3415</v>
      </c>
      <c r="CX7" s="1892" t="s">
        <v>8393</v>
      </c>
      <c r="CZ7" s="2306">
        <v>43</v>
      </c>
      <c r="DA7" s="2558"/>
      <c r="DB7" s="2153" t="s">
        <v>7168</v>
      </c>
      <c r="DC7" s="2745"/>
      <c r="DD7" s="2764"/>
      <c r="DG7" s="2745" t="s">
        <v>7154</v>
      </c>
      <c r="DH7" s="2764"/>
      <c r="DI7" t="s">
        <v>7437</v>
      </c>
      <c r="DK7" s="2576" t="s">
        <v>2088</v>
      </c>
      <c r="DL7" s="2178" t="s">
        <v>3399</v>
      </c>
      <c r="DM7" s="2575" t="s">
        <v>7494</v>
      </c>
      <c r="DO7" s="1892" t="s">
        <v>8397</v>
      </c>
      <c r="DP7" s="1892">
        <v>547113</v>
      </c>
      <c r="DR7" s="2689" t="s">
        <v>8337</v>
      </c>
      <c r="DT7" s="2879" t="s">
        <v>7473</v>
      </c>
      <c r="DU7" s="2816" t="s">
        <v>8692</v>
      </c>
      <c r="DW7" s="1511" t="s">
        <v>3413</v>
      </c>
      <c r="DY7" s="2816" t="s">
        <v>8718</v>
      </c>
      <c r="EB7" s="3228" t="s">
        <v>8091</v>
      </c>
      <c r="EG7" s="3343" t="s">
        <v>5930</v>
      </c>
      <c r="EI7" s="2689" t="s">
        <v>10326</v>
      </c>
      <c r="EK7" s="3468" t="s">
        <v>14547</v>
      </c>
      <c r="EM7" s="450" t="s">
        <v>1484</v>
      </c>
      <c r="EN7" s="450" t="s">
        <v>1484</v>
      </c>
      <c r="EP7" s="450" t="s">
        <v>14561</v>
      </c>
    </row>
    <row r="8" spans="1:146" ht="72.5">
      <c r="A8" s="532"/>
      <c r="C8" s="511" t="s">
        <v>1812</v>
      </c>
      <c r="D8" s="2689" t="s">
        <v>6178</v>
      </c>
      <c r="E8" s="2091" t="s">
        <v>5487</v>
      </c>
      <c r="H8" s="3442" t="s">
        <v>7136</v>
      </c>
      <c r="I8" s="3442" t="s">
        <v>3152</v>
      </c>
      <c r="J8" s="3442" t="s">
        <v>7136</v>
      </c>
      <c r="K8" s="3437" t="s">
        <v>2480</v>
      </c>
      <c r="L8" s="3437" t="s">
        <v>7136</v>
      </c>
      <c r="M8" s="3437" t="s">
        <v>14410</v>
      </c>
      <c r="N8" s="2744" t="s">
        <v>1256</v>
      </c>
      <c r="O8" s="3131" t="s">
        <v>9829</v>
      </c>
      <c r="P8" s="3438" t="s">
        <v>10278</v>
      </c>
      <c r="Q8" s="511" t="s">
        <v>3112</v>
      </c>
      <c r="S8" s="511" t="s">
        <v>7145</v>
      </c>
      <c r="W8" s="2744" t="s">
        <v>6236</v>
      </c>
      <c r="AB8" s="511" t="s">
        <v>1803</v>
      </c>
      <c r="AC8" s="3136" t="s">
        <v>764</v>
      </c>
      <c r="AE8" s="2153" t="s">
        <v>6024</v>
      </c>
      <c r="AF8" s="531" t="s">
        <v>2788</v>
      </c>
      <c r="AG8" s="511" t="s">
        <v>6241</v>
      </c>
      <c r="AH8" s="3083" t="s">
        <v>2990</v>
      </c>
      <c r="AI8" s="511" t="s">
        <v>2991</v>
      </c>
      <c r="AJ8" s="2744" t="s">
        <v>4531</v>
      </c>
      <c r="AL8" s="511" t="s">
        <v>1333</v>
      </c>
      <c r="AN8" s="3283" t="s">
        <v>14362</v>
      </c>
      <c r="AO8" s="3283" t="s">
        <v>14362</v>
      </c>
      <c r="AP8" s="3437" t="s">
        <v>14362</v>
      </c>
      <c r="AQ8" s="3283" t="s">
        <v>14362</v>
      </c>
      <c r="AR8" s="101" t="s">
        <v>8895</v>
      </c>
      <c r="AT8" s="531" t="s">
        <v>252</v>
      </c>
      <c r="AU8" s="2154" t="s">
        <v>8080</v>
      </c>
      <c r="AV8" s="2816" t="s">
        <v>8454</v>
      </c>
      <c r="AW8" s="531" t="s">
        <v>5334</v>
      </c>
      <c r="AX8" s="531" t="s">
        <v>8080</v>
      </c>
      <c r="AY8" s="2744" t="s">
        <v>8080</v>
      </c>
      <c r="AZ8" s="511" t="s">
        <v>7537</v>
      </c>
      <c r="BB8" s="511" t="s">
        <v>7473</v>
      </c>
      <c r="BC8" s="1802" t="s">
        <v>3034</v>
      </c>
      <c r="BE8" s="511" t="s">
        <v>14466</v>
      </c>
      <c r="BF8" s="1802" t="s">
        <v>3086</v>
      </c>
      <c r="BG8" s="1802" t="s">
        <v>3086</v>
      </c>
      <c r="BH8" s="2406">
        <v>1001140891</v>
      </c>
      <c r="BI8" s="2409" t="s">
        <v>1885</v>
      </c>
      <c r="BJ8" s="2466">
        <v>232159</v>
      </c>
      <c r="BK8" s="530" t="s">
        <v>3114</v>
      </c>
      <c r="BO8" s="3083" t="s">
        <v>4910</v>
      </c>
      <c r="BP8" s="2744"/>
      <c r="BQ8" s="2782" t="s">
        <v>8331</v>
      </c>
      <c r="BR8" s="2744" t="s">
        <v>1297</v>
      </c>
      <c r="BS8" s="2744"/>
      <c r="BT8" s="2744" t="s">
        <v>4934</v>
      </c>
      <c r="BU8" s="3126" t="s">
        <v>5716</v>
      </c>
      <c r="BV8" s="3082" t="str">
        <f t="shared" si="0"/>
        <v>{1110000оектам ГК</v>
      </c>
      <c r="BW8" s="101"/>
      <c r="BZ8" s="3112" t="s">
        <v>6949</v>
      </c>
      <c r="CA8" s="3113" t="s">
        <v>3763</v>
      </c>
      <c r="CH8" s="1511" t="s">
        <v>3449</v>
      </c>
      <c r="CI8" s="166" t="s">
        <v>860</v>
      </c>
      <c r="CJ8" s="562"/>
      <c r="CP8" s="3437" t="s">
        <v>14410</v>
      </c>
      <c r="CS8" s="3437" t="s">
        <v>2480</v>
      </c>
      <c r="CT8" s="2299" t="s">
        <v>6481</v>
      </c>
      <c r="CV8" s="2305" t="s">
        <v>3422</v>
      </c>
      <c r="CX8" s="2718"/>
      <c r="CZ8" s="2306">
        <v>44</v>
      </c>
      <c r="DA8" s="2558"/>
      <c r="DB8" s="2153" t="s">
        <v>7169</v>
      </c>
      <c r="DC8" s="2745"/>
      <c r="DD8" s="2745"/>
      <c r="DG8" s="2745"/>
      <c r="DH8" s="2764"/>
      <c r="DI8" t="s">
        <v>7438</v>
      </c>
      <c r="DK8" s="2576" t="s">
        <v>2089</v>
      </c>
      <c r="DL8" s="2178" t="s">
        <v>4651</v>
      </c>
      <c r="DM8" s="2575" t="s">
        <v>7494</v>
      </c>
      <c r="DO8" s="1892" t="s">
        <v>8398</v>
      </c>
      <c r="DP8" s="1892">
        <v>547108</v>
      </c>
      <c r="DR8" s="2689" t="s">
        <v>8338</v>
      </c>
      <c r="DT8" s="2879" t="s">
        <v>3035</v>
      </c>
      <c r="DU8" s="2744"/>
      <c r="DW8" s="1511" t="s">
        <v>3415</v>
      </c>
      <c r="DY8" s="2816" t="s">
        <v>8737</v>
      </c>
      <c r="EB8" s="3228" t="s">
        <v>8092</v>
      </c>
      <c r="EG8" s="3343" t="s">
        <v>10081</v>
      </c>
      <c r="EI8" s="2689" t="s">
        <v>10327</v>
      </c>
      <c r="EK8" s="3468" t="s">
        <v>14548</v>
      </c>
      <c r="EM8" s="450" t="s">
        <v>1474</v>
      </c>
      <c r="EN8" s="450" t="s">
        <v>1474</v>
      </c>
      <c r="EP8" s="450" t="s">
        <v>14562</v>
      </c>
    </row>
    <row r="9" spans="1:146" ht="72.5">
      <c r="A9" s="532"/>
      <c r="C9" s="511" t="s">
        <v>427</v>
      </c>
      <c r="D9" s="2689" t="s">
        <v>6179</v>
      </c>
      <c r="E9" s="2091" t="s">
        <v>5488</v>
      </c>
      <c r="H9" s="3442" t="s">
        <v>14373</v>
      </c>
      <c r="I9" s="3442" t="s">
        <v>3152</v>
      </c>
      <c r="J9" s="3442" t="s">
        <v>14373</v>
      </c>
      <c r="K9" s="3437" t="s">
        <v>7137</v>
      </c>
      <c r="L9" s="3437" t="s">
        <v>3113</v>
      </c>
      <c r="M9" s="3437" t="s">
        <v>4837</v>
      </c>
      <c r="N9" s="2744" t="s">
        <v>3152</v>
      </c>
      <c r="O9" s="3131" t="s">
        <v>3117</v>
      </c>
      <c r="P9" s="3438" t="s">
        <v>14491</v>
      </c>
      <c r="Q9" s="511" t="s">
        <v>3115</v>
      </c>
      <c r="S9" s="511" t="s">
        <v>3003</v>
      </c>
      <c r="W9" s="511" t="s">
        <v>14630</v>
      </c>
      <c r="AB9" s="511" t="s">
        <v>1804</v>
      </c>
      <c r="AC9" s="3137" t="s">
        <v>765</v>
      </c>
      <c r="AE9" s="2153" t="s">
        <v>5673</v>
      </c>
      <c r="AF9" s="531" t="s">
        <v>2789</v>
      </c>
      <c r="AG9" s="511" t="s">
        <v>2987</v>
      </c>
      <c r="AH9" s="3083" t="s">
        <v>2991</v>
      </c>
      <c r="AI9" s="511" t="s">
        <v>2992</v>
      </c>
      <c r="AL9" s="511" t="s">
        <v>1334</v>
      </c>
      <c r="AN9" s="3283" t="s">
        <v>4157</v>
      </c>
      <c r="AO9" s="3283" t="s">
        <v>4157</v>
      </c>
      <c r="AP9" s="3437" t="s">
        <v>4157</v>
      </c>
      <c r="AQ9" s="3283" t="s">
        <v>4157</v>
      </c>
      <c r="AR9" s="101" t="s">
        <v>8896</v>
      </c>
      <c r="AT9" s="1777" t="s">
        <v>272</v>
      </c>
      <c r="AU9" s="2154" t="s">
        <v>8082</v>
      </c>
      <c r="AV9" s="2816" t="s">
        <v>8368</v>
      </c>
      <c r="AW9" s="531" t="s">
        <v>8081</v>
      </c>
      <c r="AX9" s="531" t="s">
        <v>8082</v>
      </c>
      <c r="AY9" s="2744" t="s">
        <v>8082</v>
      </c>
      <c r="AZ9" s="511" t="s">
        <v>7538</v>
      </c>
      <c r="BB9" s="511" t="s">
        <v>3036</v>
      </c>
      <c r="BC9" s="1802" t="s">
        <v>7473</v>
      </c>
      <c r="BE9" s="511" t="s">
        <v>3026</v>
      </c>
      <c r="BF9" s="1802" t="s">
        <v>3087</v>
      </c>
      <c r="BG9" s="1802" t="s">
        <v>3087</v>
      </c>
      <c r="BH9" s="2406">
        <v>1001154975</v>
      </c>
      <c r="BI9" s="2409" t="s">
        <v>2586</v>
      </c>
      <c r="BJ9" s="2466">
        <v>187789</v>
      </c>
      <c r="BK9" s="530" t="s">
        <v>3116</v>
      </c>
      <c r="BO9" s="3083" t="s">
        <v>4905</v>
      </c>
      <c r="BP9" s="2744"/>
      <c r="BQ9" s="511"/>
      <c r="BR9" s="3083"/>
      <c r="BT9" s="2744" t="s">
        <v>928</v>
      </c>
      <c r="BU9" s="3126" t="s">
        <v>6249</v>
      </c>
      <c r="BV9" s="3082" t="str">
        <f t="shared" si="0"/>
        <v>{1110000заказчики</v>
      </c>
      <c r="BW9" s="101"/>
      <c r="BZ9" s="3112" t="s">
        <v>7062</v>
      </c>
      <c r="CA9" s="3113" t="s">
        <v>3858</v>
      </c>
      <c r="CE9" s="2448"/>
      <c r="CF9" s="2446"/>
      <c r="CG9" s="2446"/>
      <c r="CH9" s="1511" t="s">
        <v>4953</v>
      </c>
      <c r="CJ9" s="562"/>
      <c r="CP9" s="3437" t="s">
        <v>4837</v>
      </c>
      <c r="CS9" s="3437" t="s">
        <v>7137</v>
      </c>
      <c r="CT9" s="2299" t="s">
        <v>6482</v>
      </c>
      <c r="CV9" s="2305" t="s">
        <v>3428</v>
      </c>
      <c r="CX9" s="2718"/>
      <c r="CZ9" s="2306">
        <v>45</v>
      </c>
      <c r="DA9" s="2558"/>
      <c r="DB9" s="2153" t="s">
        <v>7170</v>
      </c>
      <c r="DC9" s="2745"/>
      <c r="DD9" s="2764"/>
      <c r="DG9" s="2745"/>
      <c r="DH9" s="2764"/>
      <c r="DI9" t="s">
        <v>7439</v>
      </c>
      <c r="DK9" s="2576" t="s">
        <v>743</v>
      </c>
      <c r="DL9" s="2178" t="s">
        <v>2090</v>
      </c>
      <c r="DM9" s="2575" t="s">
        <v>7493</v>
      </c>
      <c r="DO9" s="1892" t="s">
        <v>8192</v>
      </c>
      <c r="DP9" s="1892">
        <v>210628</v>
      </c>
      <c r="DR9" s="2689" t="s">
        <v>8339</v>
      </c>
      <c r="DT9" s="2091" t="s">
        <v>3036</v>
      </c>
      <c r="DU9" s="2744"/>
      <c r="DW9" s="1511" t="s">
        <v>3422</v>
      </c>
      <c r="EB9" s="3228" t="s">
        <v>8094</v>
      </c>
      <c r="EG9" s="3343" t="s">
        <v>6836</v>
      </c>
      <c r="EI9" s="2689" t="s">
        <v>10328</v>
      </c>
      <c r="EK9" s="3468" t="s">
        <v>14549</v>
      </c>
      <c r="EM9" s="450" t="s">
        <v>1488</v>
      </c>
      <c r="EN9" s="450" t="s">
        <v>1488</v>
      </c>
      <c r="EP9" s="450" t="s">
        <v>14563</v>
      </c>
    </row>
    <row r="10" spans="1:146" ht="87">
      <c r="A10" s="2447"/>
      <c r="C10" s="511" t="s">
        <v>1402</v>
      </c>
      <c r="D10" s="2689" t="s">
        <v>6180</v>
      </c>
      <c r="E10" s="2091" t="s">
        <v>4125</v>
      </c>
      <c r="H10" s="3442" t="s">
        <v>3113</v>
      </c>
      <c r="I10" s="3442" t="s">
        <v>3104</v>
      </c>
      <c r="J10" s="3442" t="s">
        <v>3113</v>
      </c>
      <c r="K10" s="3437" t="s">
        <v>14408</v>
      </c>
      <c r="L10" s="3437" t="s">
        <v>1844</v>
      </c>
      <c r="M10" s="3437" t="s">
        <v>4721</v>
      </c>
      <c r="N10" s="2744" t="s">
        <v>3161</v>
      </c>
      <c r="O10" s="3131" t="s">
        <v>9830</v>
      </c>
      <c r="P10" s="3438" t="s">
        <v>14491</v>
      </c>
      <c r="Q10" s="511" t="s">
        <v>3118</v>
      </c>
      <c r="S10" s="511" t="s">
        <v>7146</v>
      </c>
      <c r="AB10" s="511" t="s">
        <v>1805</v>
      </c>
      <c r="AC10" s="3137" t="s">
        <v>1428</v>
      </c>
      <c r="AE10" s="2153" t="s">
        <v>5674</v>
      </c>
      <c r="AF10" s="531" t="s">
        <v>2790</v>
      </c>
      <c r="AG10" s="511" t="s">
        <v>2988</v>
      </c>
      <c r="AH10" s="3083" t="s">
        <v>2993</v>
      </c>
      <c r="AL10" s="511" t="s">
        <v>1335</v>
      </c>
      <c r="AN10" s="3283" t="s">
        <v>4158</v>
      </c>
      <c r="AO10" s="3283" t="s">
        <v>4158</v>
      </c>
      <c r="AP10" s="3437" t="s">
        <v>4158</v>
      </c>
      <c r="AQ10" s="3283" t="s">
        <v>4158</v>
      </c>
      <c r="AR10" s="101" t="s">
        <v>8897</v>
      </c>
      <c r="AU10" s="2154" t="s">
        <v>4488</v>
      </c>
      <c r="AV10" s="2817" t="s">
        <v>8369</v>
      </c>
      <c r="AW10" s="531" t="s">
        <v>8083</v>
      </c>
      <c r="AX10" s="531" t="s">
        <v>4488</v>
      </c>
      <c r="AY10" s="2744" t="s">
        <v>4488</v>
      </c>
      <c r="AZ10" s="511" t="s">
        <v>7539</v>
      </c>
      <c r="BB10" s="511" t="s">
        <v>3037</v>
      </c>
      <c r="BC10" s="1802" t="s">
        <v>3035</v>
      </c>
      <c r="BE10" s="2744" t="s">
        <v>14467</v>
      </c>
      <c r="BF10" s="3083" t="s">
        <v>6864</v>
      </c>
      <c r="BG10" s="3083" t="s">
        <v>6864</v>
      </c>
      <c r="BH10" s="2405">
        <v>1001156891</v>
      </c>
      <c r="BI10" s="2409" t="s">
        <v>7508</v>
      </c>
      <c r="BJ10" s="2466">
        <v>187796</v>
      </c>
      <c r="BK10" s="530" t="s">
        <v>5068</v>
      </c>
      <c r="BL10" s="3083"/>
      <c r="BM10" s="3083"/>
      <c r="BN10" s="3083"/>
      <c r="BO10" s="2847" t="s">
        <v>4909</v>
      </c>
      <c r="BP10" s="2744"/>
      <c r="BQ10" s="511"/>
      <c r="BR10" s="511"/>
      <c r="BS10" s="2717"/>
      <c r="BT10" s="511" t="s">
        <v>929</v>
      </c>
      <c r="BU10" s="3126" t="s">
        <v>6742</v>
      </c>
      <c r="BV10" s="3082" t="str">
        <f t="shared" si="0"/>
        <v>{1110000заказчики</v>
      </c>
      <c r="BW10" s="101"/>
      <c r="BX10" s="2717"/>
      <c r="BY10" s="2717"/>
      <c r="BZ10" s="3112" t="s">
        <v>7023</v>
      </c>
      <c r="CA10" s="3113" t="s">
        <v>3819</v>
      </c>
      <c r="CB10" s="2717"/>
      <c r="CC10" s="2717"/>
      <c r="CE10" s="2448"/>
      <c r="CF10" s="2717"/>
      <c r="CG10" s="2717"/>
      <c r="CH10" s="2963">
        <v>21</v>
      </c>
      <c r="CI10" s="2717"/>
      <c r="CJ10" s="2717"/>
      <c r="CL10" s="2717"/>
      <c r="CP10" s="3437" t="s">
        <v>4721</v>
      </c>
      <c r="CQ10" s="2717"/>
      <c r="CS10" s="3437" t="s">
        <v>2482</v>
      </c>
      <c r="CT10" s="2299" t="s">
        <v>6483</v>
      </c>
      <c r="CV10" s="2305" t="s">
        <v>3430</v>
      </c>
      <c r="CX10" s="2718"/>
      <c r="CZ10" s="2307" t="s">
        <v>3240</v>
      </c>
      <c r="DA10" s="2558"/>
      <c r="DB10" s="2153" t="s">
        <v>7171</v>
      </c>
      <c r="DC10" s="2153"/>
      <c r="DD10" s="3083"/>
      <c r="DG10" s="2153"/>
      <c r="DH10" s="2764"/>
      <c r="DI10" t="s">
        <v>7440</v>
      </c>
      <c r="DK10" s="2576" t="s">
        <v>7879</v>
      </c>
      <c r="DL10" s="2178" t="s">
        <v>7878</v>
      </c>
      <c r="DM10" s="2575" t="s">
        <v>7501</v>
      </c>
      <c r="DO10" s="1892" t="s">
        <v>8193</v>
      </c>
      <c r="DP10" s="1892">
        <v>212450</v>
      </c>
      <c r="DR10" s="2689" t="s">
        <v>8340</v>
      </c>
      <c r="DT10" s="2091" t="s">
        <v>3037</v>
      </c>
      <c r="DU10" s="2744"/>
      <c r="DW10" s="1511" t="s">
        <v>3428</v>
      </c>
      <c r="EB10" s="3228" t="s">
        <v>4489</v>
      </c>
      <c r="EG10" s="3343" t="s">
        <v>7715</v>
      </c>
      <c r="EI10" s="2689" t="s">
        <v>10329</v>
      </c>
      <c r="EK10" s="3468" t="s">
        <v>14550</v>
      </c>
      <c r="EM10" s="450" t="s">
        <v>1485</v>
      </c>
      <c r="EN10" s="450" t="s">
        <v>1485</v>
      </c>
      <c r="EP10" s="450" t="s">
        <v>14564</v>
      </c>
    </row>
    <row r="11" spans="1:146" ht="58">
      <c r="A11" s="2447"/>
      <c r="C11" s="511" t="s">
        <v>1429</v>
      </c>
      <c r="D11" s="2689" t="s">
        <v>6181</v>
      </c>
      <c r="E11" s="2091" t="s">
        <v>5489</v>
      </c>
      <c r="H11" s="3633" t="s">
        <v>1844</v>
      </c>
      <c r="I11" s="3139"/>
      <c r="J11" s="3442" t="s">
        <v>1844</v>
      </c>
      <c r="K11" s="3437" t="s">
        <v>2482</v>
      </c>
      <c r="L11" s="3437" t="s">
        <v>14374</v>
      </c>
      <c r="M11" s="3437" t="s">
        <v>2491</v>
      </c>
      <c r="N11" s="511" t="s">
        <v>1851</v>
      </c>
      <c r="O11" s="3131" t="s">
        <v>9831</v>
      </c>
      <c r="P11" s="3438" t="s">
        <v>14492</v>
      </c>
      <c r="S11" s="511" t="s">
        <v>3004</v>
      </c>
      <c r="AB11" s="511" t="s">
        <v>1806</v>
      </c>
      <c r="AC11" s="3137" t="s">
        <v>10025</v>
      </c>
      <c r="AE11" s="2153" t="s">
        <v>5675</v>
      </c>
      <c r="AF11" s="531" t="s">
        <v>2791</v>
      </c>
      <c r="AG11" s="511" t="s">
        <v>2989</v>
      </c>
      <c r="AH11" s="2446" t="s">
        <v>2994</v>
      </c>
      <c r="AL11" s="511" t="s">
        <v>1336</v>
      </c>
      <c r="AN11" s="3283" t="s">
        <v>7124</v>
      </c>
      <c r="AO11" s="3283" t="s">
        <v>7124</v>
      </c>
      <c r="AP11" s="3437" t="s">
        <v>7124</v>
      </c>
      <c r="AQ11" s="3283" t="s">
        <v>7124</v>
      </c>
      <c r="AR11" s="101" t="s">
        <v>8898</v>
      </c>
      <c r="AT11" s="2744"/>
      <c r="AU11" s="2154" t="s">
        <v>1339</v>
      </c>
      <c r="AV11" s="2154" t="s">
        <v>8370</v>
      </c>
      <c r="AW11" s="531" t="s">
        <v>8084</v>
      </c>
      <c r="AX11" s="531" t="s">
        <v>1339</v>
      </c>
      <c r="AY11" s="2744" t="s">
        <v>1339</v>
      </c>
      <c r="AZ11" s="2091" t="s">
        <v>7544</v>
      </c>
      <c r="BB11" s="511" t="s">
        <v>3038</v>
      </c>
      <c r="BC11" s="2744" t="s">
        <v>3036</v>
      </c>
      <c r="BE11" s="2744" t="s">
        <v>14468</v>
      </c>
      <c r="BF11" s="3156" t="s">
        <v>6865</v>
      </c>
      <c r="BG11" s="3156" t="s">
        <v>6865</v>
      </c>
      <c r="BH11" s="2406">
        <v>1001165920</v>
      </c>
      <c r="BI11" s="2409" t="s">
        <v>1878</v>
      </c>
      <c r="BJ11" s="2466">
        <v>219106</v>
      </c>
      <c r="BK11" s="530" t="s">
        <v>3121</v>
      </c>
      <c r="BL11" s="2717"/>
      <c r="BM11" s="2717"/>
      <c r="BN11" s="2717"/>
      <c r="BO11" s="2847" t="s">
        <v>4908</v>
      </c>
      <c r="BP11" s="511"/>
      <c r="BQ11" s="511"/>
      <c r="BR11" s="2744"/>
      <c r="BS11" s="2717"/>
      <c r="BT11" s="511" t="s">
        <v>930</v>
      </c>
      <c r="BU11" s="3126" t="s">
        <v>6250</v>
      </c>
      <c r="BV11" s="3082" t="str">
        <f t="shared" si="0"/>
        <v>{1110000заказчики</v>
      </c>
      <c r="BW11" s="101"/>
      <c r="BX11" s="2717"/>
      <c r="BY11" s="2717"/>
      <c r="BZ11" s="3112" t="s">
        <v>6948</v>
      </c>
      <c r="CA11" s="3113" t="s">
        <v>3762</v>
      </c>
      <c r="CB11" s="2717"/>
      <c r="CC11" s="2717"/>
      <c r="CE11" s="2448"/>
      <c r="CF11" s="2717"/>
      <c r="CG11" s="2717"/>
      <c r="CH11" s="3083">
        <v>41</v>
      </c>
      <c r="CI11" s="2717"/>
      <c r="CJ11" s="3083"/>
      <c r="CP11" s="3437" t="s">
        <v>2491</v>
      </c>
      <c r="CS11" s="3437" t="s">
        <v>2484</v>
      </c>
      <c r="CT11" s="2299" t="s">
        <v>6484</v>
      </c>
      <c r="CV11" s="2305" t="s">
        <v>3432</v>
      </c>
      <c r="CX11" s="2718"/>
      <c r="CZ11" s="2448"/>
      <c r="DA11" s="2558"/>
      <c r="DB11" s="2153" t="s">
        <v>7172</v>
      </c>
      <c r="DC11" s="2153"/>
      <c r="DD11" s="2764"/>
      <c r="DG11" s="2153"/>
      <c r="DH11" s="2764"/>
      <c r="DK11" s="2576" t="s">
        <v>7914</v>
      </c>
      <c r="DL11" s="2178" t="s">
        <v>7878</v>
      </c>
      <c r="DM11" s="2575" t="s">
        <v>7501</v>
      </c>
      <c r="DO11" s="1892" t="s">
        <v>8194</v>
      </c>
      <c r="DP11" s="1892">
        <v>383063</v>
      </c>
      <c r="DR11" s="2689" t="s">
        <v>8341</v>
      </c>
      <c r="DT11" s="2091" t="s">
        <v>3038</v>
      </c>
      <c r="DU11" s="2744"/>
      <c r="DV11" s="2744"/>
      <c r="DW11" s="1511" t="s">
        <v>3430</v>
      </c>
      <c r="EB11" s="3228" t="s">
        <v>1340</v>
      </c>
      <c r="EG11" s="101" t="s">
        <v>2151</v>
      </c>
      <c r="EI11" s="2689" t="s">
        <v>10330</v>
      </c>
      <c r="EM11" s="450" t="s">
        <v>1486</v>
      </c>
      <c r="EN11" s="450" t="s">
        <v>1486</v>
      </c>
      <c r="EP11" s="450" t="s">
        <v>14565</v>
      </c>
    </row>
    <row r="12" spans="1:146" ht="43.5">
      <c r="A12" s="2447"/>
      <c r="D12" s="2689" t="s">
        <v>6182</v>
      </c>
      <c r="E12" s="2091" t="s">
        <v>5490</v>
      </c>
      <c r="H12" s="3442" t="s">
        <v>14374</v>
      </c>
      <c r="I12" s="3442" t="s">
        <v>3104</v>
      </c>
      <c r="J12" s="3442" t="s">
        <v>14374</v>
      </c>
      <c r="K12" s="3437" t="s">
        <v>2484</v>
      </c>
      <c r="L12" s="3437" t="s">
        <v>14375</v>
      </c>
      <c r="M12" s="3437" t="s">
        <v>22</v>
      </c>
      <c r="N12" s="2744" t="s">
        <v>2477</v>
      </c>
      <c r="O12" s="3131" t="s">
        <v>9832</v>
      </c>
      <c r="P12" s="3438" t="s">
        <v>14493</v>
      </c>
      <c r="S12" s="511" t="s">
        <v>3005</v>
      </c>
      <c r="AB12" s="511" t="s">
        <v>1807</v>
      </c>
      <c r="AC12" s="3137" t="s">
        <v>10026</v>
      </c>
      <c r="AE12" s="2153" t="s">
        <v>5595</v>
      </c>
      <c r="AF12" s="531" t="s">
        <v>1372</v>
      </c>
      <c r="AG12" s="511" t="s">
        <v>2990</v>
      </c>
      <c r="AL12" s="511" t="s">
        <v>1337</v>
      </c>
      <c r="AN12" s="3283" t="s">
        <v>8129</v>
      </c>
      <c r="AO12" s="3283" t="s">
        <v>8129</v>
      </c>
      <c r="AP12" s="3437" t="s">
        <v>8129</v>
      </c>
      <c r="AQ12" s="3283" t="s">
        <v>8129</v>
      </c>
      <c r="AR12" s="101" t="s">
        <v>9843</v>
      </c>
      <c r="AU12" s="2154" t="s">
        <v>5862</v>
      </c>
      <c r="AV12" s="2154" t="s">
        <v>8455</v>
      </c>
      <c r="AW12" s="531" t="s">
        <v>8085</v>
      </c>
      <c r="AX12" s="531" t="s">
        <v>5862</v>
      </c>
      <c r="AY12" s="2744" t="s">
        <v>5862</v>
      </c>
      <c r="AZ12" s="2091" t="s">
        <v>7540</v>
      </c>
      <c r="BB12" s="2514" t="s">
        <v>3039</v>
      </c>
      <c r="BC12" s="511" t="s">
        <v>3037</v>
      </c>
      <c r="BE12" s="511" t="s">
        <v>3027</v>
      </c>
      <c r="BF12" s="3083" t="s">
        <v>9885</v>
      </c>
      <c r="BG12" s="3083" t="s">
        <v>9885</v>
      </c>
      <c r="BH12" s="2406">
        <v>1101300468</v>
      </c>
      <c r="BI12" s="2409" t="s">
        <v>2254</v>
      </c>
      <c r="BJ12" s="2466">
        <v>206375</v>
      </c>
      <c r="BK12" s="530" t="s">
        <v>3122</v>
      </c>
      <c r="BL12" s="2717"/>
      <c r="BM12" s="2446"/>
      <c r="BN12" s="2717"/>
      <c r="BO12" s="3083" t="s">
        <v>8432</v>
      </c>
      <c r="BP12" s="2744"/>
      <c r="BQ12" s="511"/>
      <c r="BR12" s="511"/>
      <c r="BS12" s="2717"/>
      <c r="BT12" s="511" t="s">
        <v>931</v>
      </c>
      <c r="BU12" s="3126" t="s">
        <v>4739</v>
      </c>
      <c r="BV12" s="3082" t="str">
        <f t="shared" si="0"/>
        <v>{1110000 Росатом)</v>
      </c>
      <c r="BW12" s="101"/>
      <c r="BX12" s="2717"/>
      <c r="BY12" s="2717"/>
      <c r="BZ12" s="3112" t="s">
        <v>6931</v>
      </c>
      <c r="CA12" s="3113" t="s">
        <v>4670</v>
      </c>
      <c r="CB12" s="2717"/>
      <c r="CC12" s="2717"/>
      <c r="CE12" s="2717"/>
      <c r="CF12" s="2717"/>
      <c r="CG12" s="2717"/>
      <c r="CH12" s="2963">
        <v>43</v>
      </c>
      <c r="CI12" s="2717"/>
      <c r="CJ12" s="2717"/>
      <c r="CP12" s="3437" t="s">
        <v>2536</v>
      </c>
      <c r="CQ12" s="2717"/>
      <c r="CS12" s="3437" t="s">
        <v>14409</v>
      </c>
      <c r="CT12" s="2299" t="s">
        <v>6485</v>
      </c>
      <c r="CV12" s="2306">
        <v>10</v>
      </c>
      <c r="CZ12" s="2448"/>
      <c r="DA12" s="2558"/>
      <c r="DB12" s="2153" t="s">
        <v>7173</v>
      </c>
      <c r="DC12" s="2745"/>
      <c r="DD12" s="2745"/>
      <c r="DG12" s="2745"/>
      <c r="DH12" s="2764"/>
      <c r="DK12" s="2729" t="s">
        <v>7880</v>
      </c>
      <c r="DL12" s="2178" t="s">
        <v>7878</v>
      </c>
      <c r="DM12" s="2575" t="s">
        <v>9611</v>
      </c>
      <c r="DO12" s="1892" t="s">
        <v>8195</v>
      </c>
      <c r="DP12" s="1892">
        <v>205882</v>
      </c>
      <c r="DR12" s="2787" t="s">
        <v>3389</v>
      </c>
      <c r="DT12" s="2091" t="s">
        <v>3039</v>
      </c>
      <c r="DU12" s="2744"/>
      <c r="DV12" s="2744"/>
      <c r="DW12" s="1511" t="s">
        <v>3432</v>
      </c>
      <c r="EB12" s="3228" t="s">
        <v>5863</v>
      </c>
      <c r="EI12" s="2689" t="s">
        <v>10331</v>
      </c>
      <c r="EM12" s="450" t="s">
        <v>1487</v>
      </c>
      <c r="EN12" s="450" t="s">
        <v>1487</v>
      </c>
    </row>
    <row r="13" spans="1:146" ht="116">
      <c r="A13" s="2447"/>
      <c r="D13" s="2689" t="s">
        <v>6183</v>
      </c>
      <c r="E13" s="2091" t="s">
        <v>4124</v>
      </c>
      <c r="H13" s="3633" t="s">
        <v>14375</v>
      </c>
      <c r="I13" s="3139"/>
      <c r="J13" s="3442" t="s">
        <v>14375</v>
      </c>
      <c r="K13" s="3437" t="s">
        <v>14409</v>
      </c>
      <c r="L13" s="3437" t="s">
        <v>5461</v>
      </c>
      <c r="M13" s="3437" t="s">
        <v>23</v>
      </c>
      <c r="N13" s="2744" t="s">
        <v>3290</v>
      </c>
      <c r="O13" s="3131" t="s">
        <v>9833</v>
      </c>
      <c r="P13" s="3438" t="s">
        <v>14493</v>
      </c>
      <c r="S13" s="511" t="s">
        <v>3006</v>
      </c>
      <c r="AB13" s="511" t="s">
        <v>1808</v>
      </c>
      <c r="AC13" s="3137" t="s">
        <v>10027</v>
      </c>
      <c r="AE13" s="2153" t="s">
        <v>5596</v>
      </c>
      <c r="AF13" s="531" t="s">
        <v>891</v>
      </c>
      <c r="AG13" s="511" t="s">
        <v>2991</v>
      </c>
      <c r="AL13" s="511" t="s">
        <v>1338</v>
      </c>
      <c r="AN13" s="3283" t="s">
        <v>4159</v>
      </c>
      <c r="AO13" s="3283" t="s">
        <v>4159</v>
      </c>
      <c r="AP13" s="3437" t="s">
        <v>4159</v>
      </c>
      <c r="AQ13" s="3283" t="s">
        <v>4159</v>
      </c>
      <c r="AR13" s="101" t="s">
        <v>8899</v>
      </c>
      <c r="AU13" s="2290" t="s">
        <v>6126</v>
      </c>
      <c r="AV13" s="2154" t="s">
        <v>8456</v>
      </c>
      <c r="AW13" s="531" t="s">
        <v>8086</v>
      </c>
      <c r="AX13" s="2091" t="s">
        <v>6126</v>
      </c>
      <c r="AY13" s="2091" t="s">
        <v>6126</v>
      </c>
      <c r="AZ13" s="2091" t="s">
        <v>7541</v>
      </c>
      <c r="BB13" s="511" t="s">
        <v>3040</v>
      </c>
      <c r="BC13" s="511" t="s">
        <v>3038</v>
      </c>
      <c r="BE13" s="511" t="s">
        <v>3028</v>
      </c>
      <c r="BH13" s="2406">
        <v>1102024468</v>
      </c>
      <c r="BI13" s="2409" t="s">
        <v>2641</v>
      </c>
      <c r="BJ13" s="2466">
        <v>256331</v>
      </c>
      <c r="BK13" s="530" t="s">
        <v>1821</v>
      </c>
      <c r="BL13" s="3083"/>
      <c r="BM13" s="3083"/>
      <c r="BN13" s="3083"/>
      <c r="BO13" s="3083" t="s">
        <v>4906</v>
      </c>
      <c r="BP13" s="511"/>
      <c r="BQ13" s="511"/>
      <c r="BR13" s="511"/>
      <c r="BS13" s="2717"/>
      <c r="BT13" s="511" t="s">
        <v>932</v>
      </c>
      <c r="BU13" s="3126" t="s">
        <v>4740</v>
      </c>
      <c r="BV13" s="3082" t="str">
        <f t="shared" si="0"/>
        <v>{1110000солидации</v>
      </c>
      <c r="BW13" s="101"/>
      <c r="BX13" s="2446"/>
      <c r="BY13" s="2446"/>
      <c r="BZ13" s="3112" t="s">
        <v>6950</v>
      </c>
      <c r="CA13" s="3113" t="s">
        <v>3764</v>
      </c>
      <c r="CB13" s="2446"/>
      <c r="CC13" s="2446"/>
      <c r="CE13" s="2717"/>
      <c r="CF13" s="2717"/>
      <c r="CG13" s="2717"/>
      <c r="CH13" s="2963">
        <v>45</v>
      </c>
      <c r="CI13" s="2717"/>
      <c r="CJ13" s="2717"/>
      <c r="CP13" s="3437" t="s">
        <v>14413</v>
      </c>
      <c r="CS13" s="3437" t="s">
        <v>14410</v>
      </c>
      <c r="CT13" s="2299" t="s">
        <v>6486</v>
      </c>
      <c r="CV13" s="2306">
        <v>14</v>
      </c>
      <c r="CZ13" s="2448"/>
      <c r="DA13" s="2558"/>
      <c r="DB13" s="2153" t="s">
        <v>7174</v>
      </c>
      <c r="DC13" s="2153"/>
      <c r="DD13" s="2764"/>
      <c r="DG13" s="2153"/>
      <c r="DH13" s="2764"/>
      <c r="DK13" s="2729" t="s">
        <v>7881</v>
      </c>
      <c r="DL13" s="2178" t="s">
        <v>7878</v>
      </c>
      <c r="DM13" s="2575" t="s">
        <v>7500</v>
      </c>
      <c r="DO13" s="1892" t="s">
        <v>8196</v>
      </c>
      <c r="DP13" s="1892">
        <v>344157</v>
      </c>
      <c r="DT13" s="2091" t="s">
        <v>3040</v>
      </c>
      <c r="DU13" s="2744"/>
      <c r="DV13" s="2744"/>
      <c r="DW13" s="1511">
        <v>10</v>
      </c>
      <c r="EB13" s="3228" t="s">
        <v>6129</v>
      </c>
      <c r="EI13" s="2689" t="s">
        <v>10332</v>
      </c>
      <c r="EM13" s="450" t="s">
        <v>1197</v>
      </c>
      <c r="EN13" s="450" t="s">
        <v>1197</v>
      </c>
    </row>
    <row r="14" spans="1:146" ht="58">
      <c r="A14" s="532"/>
      <c r="D14" s="2689" t="s">
        <v>6184</v>
      </c>
      <c r="E14" s="2091" t="s">
        <v>4123</v>
      </c>
      <c r="H14" s="3442" t="s">
        <v>5461</v>
      </c>
      <c r="I14" s="3442" t="s">
        <v>3104</v>
      </c>
      <c r="J14" s="3442" t="s">
        <v>5461</v>
      </c>
      <c r="K14" s="3437" t="s">
        <v>14410</v>
      </c>
      <c r="L14" s="3437" t="s">
        <v>5462</v>
      </c>
      <c r="M14" s="3437" t="s">
        <v>2498</v>
      </c>
      <c r="N14" s="2263" t="s">
        <v>3285</v>
      </c>
      <c r="O14" s="3131" t="s">
        <v>9834</v>
      </c>
      <c r="P14" s="3438" t="s">
        <v>14494</v>
      </c>
      <c r="S14" s="511" t="s">
        <v>3007</v>
      </c>
      <c r="AC14" s="3137" t="s">
        <v>10030</v>
      </c>
      <c r="AE14" s="2153" t="s">
        <v>5597</v>
      </c>
      <c r="AF14" s="3083" t="s">
        <v>952</v>
      </c>
      <c r="AG14" s="511" t="s">
        <v>2992</v>
      </c>
      <c r="AN14" s="3283" t="s">
        <v>4160</v>
      </c>
      <c r="AO14" s="3283" t="s">
        <v>4160</v>
      </c>
      <c r="AP14" s="3437" t="s">
        <v>4160</v>
      </c>
      <c r="AQ14" s="3283" t="s">
        <v>4160</v>
      </c>
      <c r="AR14" s="101" t="s">
        <v>8900</v>
      </c>
      <c r="AU14" s="2290" t="s">
        <v>6127</v>
      </c>
      <c r="AV14" s="2290" t="s">
        <v>8457</v>
      </c>
      <c r="AW14" s="531" t="s">
        <v>8087</v>
      </c>
      <c r="AX14" s="2091" t="s">
        <v>6127</v>
      </c>
      <c r="AY14" s="2091" t="s">
        <v>6127</v>
      </c>
      <c r="AZ14" s="511" t="s">
        <v>7545</v>
      </c>
      <c r="BB14" s="511" t="s">
        <v>3041</v>
      </c>
      <c r="BC14" s="511" t="s">
        <v>3039</v>
      </c>
      <c r="BE14" s="2744" t="s">
        <v>10095</v>
      </c>
      <c r="BH14" s="2406">
        <v>1102054991</v>
      </c>
      <c r="BI14" s="2409" t="s">
        <v>188</v>
      </c>
      <c r="BJ14" s="2466">
        <v>191872</v>
      </c>
      <c r="BK14" s="530" t="s">
        <v>5067</v>
      </c>
      <c r="BL14" s="2446"/>
      <c r="BO14" s="3083" t="s">
        <v>3370</v>
      </c>
      <c r="BP14" s="2744"/>
      <c r="BQ14" s="511"/>
      <c r="BR14" s="511"/>
      <c r="BS14" s="2446"/>
      <c r="BT14" s="2744" t="s">
        <v>933</v>
      </c>
      <c r="BU14" s="3126" t="s">
        <v>4743</v>
      </c>
      <c r="BV14" s="3082" t="str">
        <f t="shared" si="0"/>
        <v>{1120100, лизинг)</v>
      </c>
      <c r="BW14" s="101"/>
      <c r="BZ14" s="3112" t="s">
        <v>6946</v>
      </c>
      <c r="CA14" s="3113" t="s">
        <v>3760</v>
      </c>
      <c r="CI14" s="2446"/>
      <c r="CJ14" s="2446"/>
      <c r="CP14" s="3437" t="s">
        <v>3284</v>
      </c>
      <c r="CS14" s="3437" t="s">
        <v>4719</v>
      </c>
      <c r="CT14" s="2299" t="s">
        <v>6487</v>
      </c>
      <c r="CV14" s="2306">
        <v>15</v>
      </c>
      <c r="CZ14" s="2448"/>
      <c r="DA14" s="2558"/>
      <c r="DB14" s="2153" t="s">
        <v>7175</v>
      </c>
      <c r="DC14" s="2745"/>
      <c r="DD14" s="2764"/>
      <c r="DG14" s="2745"/>
      <c r="DH14" s="2764"/>
      <c r="DK14" s="2729" t="s">
        <v>7882</v>
      </c>
      <c r="DL14" s="2178" t="s">
        <v>7878</v>
      </c>
      <c r="DM14" s="2575" t="s">
        <v>7495</v>
      </c>
      <c r="DO14" s="1892" t="s">
        <v>8197</v>
      </c>
      <c r="DP14" s="1892">
        <v>136249</v>
      </c>
      <c r="DT14" s="2091" t="s">
        <v>3041</v>
      </c>
      <c r="DU14" s="2744"/>
      <c r="DV14" s="2744"/>
      <c r="DW14" s="1511" t="s">
        <v>9954</v>
      </c>
      <c r="EB14" s="3228" t="s">
        <v>6130</v>
      </c>
      <c r="EI14" s="2689" t="s">
        <v>10333</v>
      </c>
      <c r="EM14" s="450" t="s">
        <v>1475</v>
      </c>
      <c r="EN14" s="450" t="s">
        <v>1475</v>
      </c>
    </row>
    <row r="15" spans="1:146" ht="87">
      <c r="A15" s="532"/>
      <c r="D15" s="2689" t="s">
        <v>6185</v>
      </c>
      <c r="E15" s="2091" t="s">
        <v>4122</v>
      </c>
      <c r="H15" s="3633" t="s">
        <v>5462</v>
      </c>
      <c r="I15" s="3139"/>
      <c r="J15" s="3442" t="s">
        <v>5462</v>
      </c>
      <c r="K15" s="3437" t="s">
        <v>4719</v>
      </c>
      <c r="L15" s="3437" t="s">
        <v>5463</v>
      </c>
      <c r="M15" s="3437" t="s">
        <v>24</v>
      </c>
      <c r="N15" s="2263" t="s">
        <v>3294</v>
      </c>
      <c r="O15" s="3131" t="s">
        <v>9835</v>
      </c>
      <c r="P15" s="3438" t="s">
        <v>14459</v>
      </c>
      <c r="AC15" s="3137" t="s">
        <v>10031</v>
      </c>
      <c r="AE15" s="2153" t="s">
        <v>5598</v>
      </c>
      <c r="AF15" s="3083" t="s">
        <v>953</v>
      </c>
      <c r="AG15" s="511" t="s">
        <v>2993</v>
      </c>
      <c r="AN15" s="3283" t="s">
        <v>4161</v>
      </c>
      <c r="AO15" s="3283" t="s">
        <v>4161</v>
      </c>
      <c r="AP15" s="3437" t="s">
        <v>4161</v>
      </c>
      <c r="AQ15" s="3283" t="s">
        <v>4161</v>
      </c>
      <c r="AR15" s="101" t="s">
        <v>8901</v>
      </c>
      <c r="AU15" s="2290" t="s">
        <v>6128</v>
      </c>
      <c r="AV15" s="2290" t="s">
        <v>8458</v>
      </c>
      <c r="AW15" s="531" t="s">
        <v>5335</v>
      </c>
      <c r="AX15" s="2091" t="s">
        <v>6128</v>
      </c>
      <c r="AY15" s="2091" t="s">
        <v>6128</v>
      </c>
      <c r="AZ15" s="2744" t="s">
        <v>7546</v>
      </c>
      <c r="BB15" s="511" t="s">
        <v>3042</v>
      </c>
      <c r="BC15" s="511" t="s">
        <v>3040</v>
      </c>
      <c r="BE15" s="511" t="s">
        <v>3029</v>
      </c>
      <c r="BH15" s="2406">
        <v>1215032212</v>
      </c>
      <c r="BI15" s="2409" t="s">
        <v>3634</v>
      </c>
      <c r="BJ15" s="2466">
        <v>122191</v>
      </c>
      <c r="BK15" s="530" t="s">
        <v>5066</v>
      </c>
      <c r="BO15" s="3083" t="s">
        <v>4904</v>
      </c>
      <c r="BP15" s="2744"/>
      <c r="BQ15" s="511"/>
      <c r="BR15" s="511"/>
      <c r="BS15" s="2446"/>
      <c r="BT15" s="511" t="s">
        <v>934</v>
      </c>
      <c r="BU15" s="3126" t="s">
        <v>4744</v>
      </c>
      <c r="BV15" s="3082" t="str">
        <f t="shared" si="0"/>
        <v>{1120200тельности</v>
      </c>
      <c r="BW15" s="101"/>
      <c r="BZ15" s="3112" t="s">
        <v>7031</v>
      </c>
      <c r="CA15" s="3113" t="s">
        <v>3827</v>
      </c>
      <c r="CE15" s="2446"/>
      <c r="CF15" s="2446"/>
      <c r="CG15" s="2446"/>
      <c r="CI15" s="2446"/>
      <c r="CJ15" s="2446"/>
      <c r="CP15" s="3437" t="s">
        <v>14416</v>
      </c>
      <c r="CS15" s="3437" t="s">
        <v>4837</v>
      </c>
      <c r="CT15" s="2299" t="s">
        <v>6488</v>
      </c>
      <c r="CV15" s="2306">
        <v>16</v>
      </c>
      <c r="CZ15" s="2717"/>
      <c r="DA15" s="2558"/>
      <c r="DB15" s="2153" t="s">
        <v>7176</v>
      </c>
      <c r="DC15" s="2745"/>
      <c r="DD15" s="3083"/>
      <c r="DG15" s="2745"/>
      <c r="DH15" s="2764"/>
      <c r="DK15" s="2729" t="s">
        <v>7883</v>
      </c>
      <c r="DL15" s="2178" t="s">
        <v>7878</v>
      </c>
      <c r="DM15" s="2575" t="s">
        <v>7496</v>
      </c>
      <c r="DO15" s="1892" t="s">
        <v>8198</v>
      </c>
      <c r="DP15" s="1892">
        <v>110269</v>
      </c>
      <c r="DT15" s="2091" t="s">
        <v>3042</v>
      </c>
      <c r="DU15" s="2744"/>
      <c r="DV15" s="2744"/>
      <c r="DW15" s="1511" t="s">
        <v>9955</v>
      </c>
      <c r="EB15" s="3228" t="s">
        <v>6131</v>
      </c>
      <c r="EI15" s="2689" t="s">
        <v>10334</v>
      </c>
      <c r="EM15" s="450" t="s">
        <v>1476</v>
      </c>
      <c r="EN15" s="450" t="s">
        <v>1476</v>
      </c>
    </row>
    <row r="16" spans="1:146" ht="58">
      <c r="A16" s="532"/>
      <c r="D16" s="2689" t="s">
        <v>9898</v>
      </c>
      <c r="E16" s="2091" t="s">
        <v>5491</v>
      </c>
      <c r="H16" s="3442" t="s">
        <v>5463</v>
      </c>
      <c r="I16" s="3442" t="s">
        <v>3104</v>
      </c>
      <c r="J16" s="3442" t="s">
        <v>5463</v>
      </c>
      <c r="K16" s="3437" t="s">
        <v>4837</v>
      </c>
      <c r="L16" s="3437" t="s">
        <v>5464</v>
      </c>
      <c r="M16" s="3437" t="s">
        <v>25</v>
      </c>
      <c r="N16" s="2263"/>
      <c r="O16" s="3131" t="s">
        <v>9836</v>
      </c>
      <c r="P16" s="3438" t="s">
        <v>14460</v>
      </c>
      <c r="AC16" s="3137" t="s">
        <v>10029</v>
      </c>
      <c r="AE16" s="2153" t="s">
        <v>5599</v>
      </c>
      <c r="AF16" s="3083" t="s">
        <v>954</v>
      </c>
      <c r="AG16" s="511" t="s">
        <v>2994</v>
      </c>
      <c r="AN16" s="3283" t="s">
        <v>7125</v>
      </c>
      <c r="AO16" s="3283" t="s">
        <v>7125</v>
      </c>
      <c r="AP16" s="3437" t="s">
        <v>7125</v>
      </c>
      <c r="AQ16" s="3283" t="s">
        <v>7125</v>
      </c>
      <c r="AR16" s="101" t="s">
        <v>8902</v>
      </c>
      <c r="AU16" s="2290" t="s">
        <v>8659</v>
      </c>
      <c r="AV16" s="2290" t="s">
        <v>8459</v>
      </c>
      <c r="AW16" s="531" t="s">
        <v>1343</v>
      </c>
      <c r="AX16" s="2091" t="s">
        <v>8659</v>
      </c>
      <c r="AY16" s="2091" t="s">
        <v>8659</v>
      </c>
      <c r="AZ16" s="511" t="s">
        <v>7547</v>
      </c>
      <c r="BB16" s="511" t="s">
        <v>3043</v>
      </c>
      <c r="BC16" s="511" t="s">
        <v>3041</v>
      </c>
      <c r="BE16" s="511" t="s">
        <v>3030</v>
      </c>
      <c r="BH16" s="2406">
        <v>1300003220</v>
      </c>
      <c r="BI16" s="2409" t="s">
        <v>2684</v>
      </c>
      <c r="BJ16" s="2466">
        <v>219598</v>
      </c>
      <c r="BK16" s="530" t="s">
        <v>5065</v>
      </c>
      <c r="BO16" s="3083" t="s">
        <v>8433</v>
      </c>
      <c r="BP16" s="2744"/>
      <c r="BQ16" s="2744"/>
      <c r="BR16" s="2744"/>
      <c r="BT16" s="2744" t="s">
        <v>935</v>
      </c>
      <c r="BU16" s="3126" t="s">
        <v>4745</v>
      </c>
      <c r="BV16" s="3082" t="str">
        <f t="shared" si="0"/>
        <v>{1120300граждение</v>
      </c>
      <c r="BW16" s="101"/>
      <c r="BZ16" s="3112" t="s">
        <v>6954</v>
      </c>
      <c r="CA16" s="3113" t="s">
        <v>3768</v>
      </c>
      <c r="CJ16" s="2446"/>
      <c r="CP16" s="3437" t="s">
        <v>14417</v>
      </c>
      <c r="CS16" s="3437" t="s">
        <v>4720</v>
      </c>
      <c r="CT16" s="2299" t="s">
        <v>6489</v>
      </c>
      <c r="CV16" s="2306">
        <v>19</v>
      </c>
      <c r="CZ16" s="2717"/>
      <c r="DA16" s="2558"/>
      <c r="DB16" s="2153" t="s">
        <v>7177</v>
      </c>
      <c r="DC16" s="2745"/>
      <c r="DD16" s="2745"/>
      <c r="DG16" s="2745"/>
      <c r="DH16" s="2764"/>
      <c r="DK16" s="2729" t="s">
        <v>14511</v>
      </c>
      <c r="DL16" s="2178" t="s">
        <v>7878</v>
      </c>
      <c r="DM16" s="2575" t="s">
        <v>7495</v>
      </c>
      <c r="DO16" s="1892" t="s">
        <v>8199</v>
      </c>
      <c r="DP16" s="1892">
        <v>293340</v>
      </c>
      <c r="DT16" s="2091" t="s">
        <v>3043</v>
      </c>
      <c r="DU16" s="2744"/>
      <c r="DV16" s="2744"/>
      <c r="DW16" s="1511" t="s">
        <v>9956</v>
      </c>
      <c r="EB16" s="3228" t="s">
        <v>8668</v>
      </c>
      <c r="EI16" s="2689" t="s">
        <v>10335</v>
      </c>
      <c r="EM16" s="450" t="s">
        <v>1477</v>
      </c>
      <c r="EN16" s="450" t="s">
        <v>1477</v>
      </c>
    </row>
    <row r="17" spans="1:144" ht="58">
      <c r="A17" s="532"/>
      <c r="D17" s="2689" t="s">
        <v>10184</v>
      </c>
      <c r="E17" s="2091" t="s">
        <v>5492</v>
      </c>
      <c r="H17" s="3442" t="s">
        <v>5464</v>
      </c>
      <c r="I17" s="3442" t="s">
        <v>3104</v>
      </c>
      <c r="J17" s="3442" t="s">
        <v>5464</v>
      </c>
      <c r="K17" s="3437" t="s">
        <v>4720</v>
      </c>
      <c r="L17" s="3437" t="s">
        <v>957</v>
      </c>
      <c r="M17" s="3437" t="s">
        <v>2499</v>
      </c>
      <c r="N17" s="2263"/>
      <c r="O17" s="3131" t="s">
        <v>8170</v>
      </c>
      <c r="P17" s="3438" t="s">
        <v>14464</v>
      </c>
      <c r="AC17" s="3137" t="s">
        <v>10032</v>
      </c>
      <c r="AE17" s="2153" t="s">
        <v>5600</v>
      </c>
      <c r="AN17" s="3283" t="s">
        <v>7126</v>
      </c>
      <c r="AO17" s="3283" t="s">
        <v>7126</v>
      </c>
      <c r="AP17" s="3437" t="s">
        <v>7126</v>
      </c>
      <c r="AQ17" s="3283" t="s">
        <v>7126</v>
      </c>
      <c r="AR17" s="101" t="s">
        <v>8903</v>
      </c>
      <c r="AU17" s="2290" t="s">
        <v>9816</v>
      </c>
      <c r="AV17" s="2154" t="s">
        <v>8371</v>
      </c>
      <c r="AW17" s="531" t="s">
        <v>5866</v>
      </c>
      <c r="AX17" s="2091" t="s">
        <v>9816</v>
      </c>
      <c r="AY17" s="2091" t="s">
        <v>9816</v>
      </c>
      <c r="AZ17" s="511" t="s">
        <v>7548</v>
      </c>
      <c r="BB17" s="511" t="s">
        <v>1764</v>
      </c>
      <c r="BC17" s="511" t="s">
        <v>3042</v>
      </c>
      <c r="BH17" s="2406">
        <v>1325033434</v>
      </c>
      <c r="BI17" s="2409" t="s">
        <v>1883</v>
      </c>
      <c r="BJ17" s="2466">
        <v>232617</v>
      </c>
      <c r="BK17" s="530" t="s">
        <v>3126</v>
      </c>
      <c r="BO17" s="3083" t="s">
        <v>8434</v>
      </c>
      <c r="BP17" s="2744"/>
      <c r="BQ17" s="511"/>
      <c r="BR17" s="511"/>
      <c r="BT17" s="511" t="s">
        <v>1490</v>
      </c>
      <c r="BU17" s="3126" t="s">
        <v>4748</v>
      </c>
      <c r="BV17" s="3082" t="str">
        <f t="shared" si="0"/>
        <v>{1191100х налогов</v>
      </c>
      <c r="BW17" s="101"/>
      <c r="BZ17" s="3112" t="s">
        <v>7072</v>
      </c>
      <c r="CA17" s="3113" t="s">
        <v>3890</v>
      </c>
      <c r="CP17" s="3437" t="s">
        <v>14419</v>
      </c>
      <c r="CS17" s="3437" t="s">
        <v>4721</v>
      </c>
      <c r="CT17" s="2299" t="s">
        <v>6490</v>
      </c>
      <c r="CV17" s="2306" t="s">
        <v>4953</v>
      </c>
      <c r="DA17" s="2558"/>
      <c r="DB17" s="2153" t="s">
        <v>7178</v>
      </c>
      <c r="DC17" s="2745"/>
      <c r="DD17" s="2764"/>
      <c r="DG17" s="2745"/>
      <c r="DH17" s="2764"/>
      <c r="DK17" s="2729" t="s">
        <v>7884</v>
      </c>
      <c r="DL17" s="2178" t="s">
        <v>7878</v>
      </c>
      <c r="DM17" s="2575" t="s">
        <v>7497</v>
      </c>
      <c r="DO17" s="1892" t="s">
        <v>8200</v>
      </c>
      <c r="DP17" s="1892">
        <v>205748</v>
      </c>
      <c r="DT17" s="2091" t="s">
        <v>1764</v>
      </c>
      <c r="DU17" s="2744"/>
      <c r="DV17" s="2744"/>
      <c r="DW17" s="1511" t="s">
        <v>9957</v>
      </c>
      <c r="EB17" s="3228" t="s">
        <v>9818</v>
      </c>
      <c r="EI17" s="2689" t="s">
        <v>10336</v>
      </c>
      <c r="EM17" s="450" t="s">
        <v>1478</v>
      </c>
      <c r="EN17" s="450" t="s">
        <v>1478</v>
      </c>
    </row>
    <row r="18" spans="1:144" ht="72.5">
      <c r="A18" s="532"/>
      <c r="C18" s="2744"/>
      <c r="D18" s="2783" t="s">
        <v>14348</v>
      </c>
      <c r="E18" s="2091" t="s">
        <v>5493</v>
      </c>
      <c r="H18" s="3442" t="s">
        <v>957</v>
      </c>
      <c r="I18" s="3442" t="s">
        <v>3152</v>
      </c>
      <c r="J18" s="3442" t="s">
        <v>957</v>
      </c>
      <c r="K18" s="3437" t="s">
        <v>4721</v>
      </c>
      <c r="L18" s="3437" t="s">
        <v>958</v>
      </c>
      <c r="M18" s="3437" t="s">
        <v>26</v>
      </c>
      <c r="N18" s="2263"/>
      <c r="O18" s="3131" t="s">
        <v>9837</v>
      </c>
      <c r="P18" s="3438" t="s">
        <v>14461</v>
      </c>
      <c r="AC18" s="3137" t="s">
        <v>10028</v>
      </c>
      <c r="AE18" s="2153" t="s">
        <v>5601</v>
      </c>
      <c r="AN18" s="3283" t="s">
        <v>3176</v>
      </c>
      <c r="AO18" s="3283" t="s">
        <v>3176</v>
      </c>
      <c r="AP18" s="3437" t="s">
        <v>3176</v>
      </c>
      <c r="AQ18" s="3283" t="s">
        <v>3176</v>
      </c>
      <c r="AR18" s="101" t="s">
        <v>8904</v>
      </c>
      <c r="AU18" s="2290" t="s">
        <v>10060</v>
      </c>
      <c r="AV18" s="2154" t="s">
        <v>8460</v>
      </c>
      <c r="AW18" s="2091" t="s">
        <v>6138</v>
      </c>
      <c r="AX18" s="2091" t="s">
        <v>10060</v>
      </c>
      <c r="AY18" s="2091" t="s">
        <v>10060</v>
      </c>
      <c r="AZ18" s="2744" t="s">
        <v>7549</v>
      </c>
      <c r="BB18" s="511" t="s">
        <v>1765</v>
      </c>
      <c r="BC18" s="511" t="s">
        <v>3043</v>
      </c>
      <c r="BH18" s="2406">
        <v>1326178263</v>
      </c>
      <c r="BI18" s="2409" t="s">
        <v>4496</v>
      </c>
      <c r="BJ18" s="2466">
        <v>153019</v>
      </c>
      <c r="BK18" s="530" t="s">
        <v>5064</v>
      </c>
      <c r="BO18" s="3083" t="s">
        <v>8435</v>
      </c>
      <c r="BP18" s="2744"/>
      <c r="BQ18" s="511"/>
      <c r="BR18" s="511"/>
      <c r="BT18" s="511" t="s">
        <v>936</v>
      </c>
      <c r="BU18" s="3126" t="s">
        <v>4749</v>
      </c>
      <c r="BV18" s="3082" t="str">
        <f t="shared" si="0"/>
        <v>{1191200 и сборов</v>
      </c>
      <c r="BW18" s="101"/>
      <c r="BZ18" s="3112" t="s">
        <v>6959</v>
      </c>
      <c r="CA18" s="3113" t="s">
        <v>3773</v>
      </c>
      <c r="CP18" s="3437" t="s">
        <v>7138</v>
      </c>
      <c r="CQ18" s="2802"/>
      <c r="CS18" s="3437" t="s">
        <v>4722</v>
      </c>
      <c r="CT18" s="2299" t="s">
        <v>6491</v>
      </c>
      <c r="CV18" s="2306">
        <v>26</v>
      </c>
      <c r="DA18" s="2558"/>
      <c r="DB18" s="2153" t="s">
        <v>7179</v>
      </c>
      <c r="DC18" s="2745"/>
      <c r="DD18" s="2764"/>
      <c r="DG18" s="2745"/>
      <c r="DH18" s="2764"/>
      <c r="DK18" s="2729" t="s">
        <v>7885</v>
      </c>
      <c r="DL18" s="2178" t="s">
        <v>7878</v>
      </c>
      <c r="DM18" s="2575" t="s">
        <v>7498</v>
      </c>
      <c r="DO18" s="1892" t="s">
        <v>8201</v>
      </c>
      <c r="DP18" s="1892">
        <v>115754</v>
      </c>
      <c r="DT18" s="2091" t="s">
        <v>1765</v>
      </c>
      <c r="DU18" s="2744"/>
      <c r="DV18" s="2744"/>
      <c r="DW18" s="1511" t="s">
        <v>9958</v>
      </c>
      <c r="EB18" s="3228" t="s">
        <v>10043</v>
      </c>
      <c r="EI18" s="2689" t="s">
        <v>10337</v>
      </c>
      <c r="EM18" s="450" t="s">
        <v>1479</v>
      </c>
      <c r="EN18" s="450" t="s">
        <v>1479</v>
      </c>
    </row>
    <row r="19" spans="1:144" ht="58">
      <c r="A19" s="532"/>
      <c r="D19" s="2689" t="s">
        <v>6315</v>
      </c>
      <c r="E19" s="2091" t="s">
        <v>4504</v>
      </c>
      <c r="H19" s="3442" t="s">
        <v>958</v>
      </c>
      <c r="I19" s="3442" t="s">
        <v>3152</v>
      </c>
      <c r="J19" s="3442" t="s">
        <v>958</v>
      </c>
      <c r="K19" s="3437" t="s">
        <v>4722</v>
      </c>
      <c r="L19" s="3437" t="s">
        <v>3124</v>
      </c>
      <c r="M19" s="3437" t="s">
        <v>27</v>
      </c>
      <c r="N19" s="2263"/>
      <c r="O19" s="3134" t="s">
        <v>9838</v>
      </c>
      <c r="P19" s="3438" t="s">
        <v>14495</v>
      </c>
      <c r="AC19" s="3135" t="s">
        <v>2062</v>
      </c>
      <c r="AE19" s="2153" t="s">
        <v>5602</v>
      </c>
      <c r="AN19" s="3283" t="s">
        <v>3177</v>
      </c>
      <c r="AO19" s="3283" t="s">
        <v>3177</v>
      </c>
      <c r="AP19" s="3437" t="s">
        <v>3177</v>
      </c>
      <c r="AQ19" s="3283" t="s">
        <v>3177</v>
      </c>
      <c r="AR19" s="101" t="s">
        <v>8905</v>
      </c>
      <c r="AU19" s="2290" t="s">
        <v>14522</v>
      </c>
      <c r="AV19" s="2154"/>
      <c r="AW19" s="2091" t="s">
        <v>6139</v>
      </c>
      <c r="AX19" s="2091" t="s">
        <v>14522</v>
      </c>
      <c r="AY19" s="2091" t="s">
        <v>14522</v>
      </c>
      <c r="AZ19" s="511" t="s">
        <v>7550</v>
      </c>
      <c r="BB19" s="511" t="s">
        <v>1766</v>
      </c>
      <c r="BC19" s="511" t="s">
        <v>1764</v>
      </c>
      <c r="BH19" s="2406">
        <v>1328902450</v>
      </c>
      <c r="BI19" s="2409" t="s">
        <v>2282</v>
      </c>
      <c r="BJ19" s="2466">
        <v>238235</v>
      </c>
      <c r="BK19" s="530"/>
      <c r="BL19" s="2570"/>
      <c r="BM19" s="2570"/>
      <c r="BN19" s="2571"/>
      <c r="BO19" s="3083" t="s">
        <v>8187</v>
      </c>
      <c r="BP19" s="2744"/>
      <c r="BQ19" s="511"/>
      <c r="BR19" s="511"/>
      <c r="BT19" s="511" t="s">
        <v>937</v>
      </c>
      <c r="BU19" s="3126" t="s">
        <v>4750</v>
      </c>
      <c r="BV19" s="3082" t="str">
        <f t="shared" si="0"/>
        <v>{1191300ых фондов</v>
      </c>
      <c r="BW19" s="101"/>
      <c r="BZ19" s="3112" t="s">
        <v>6956</v>
      </c>
      <c r="CA19" s="3113" t="s">
        <v>3770</v>
      </c>
      <c r="CP19" s="3437" t="s">
        <v>5679</v>
      </c>
      <c r="CS19" s="3437" t="s">
        <v>2491</v>
      </c>
      <c r="CT19" s="2299" t="s">
        <v>6492</v>
      </c>
      <c r="CV19" s="2306">
        <v>41</v>
      </c>
      <c r="DA19" s="2558"/>
      <c r="DB19" s="2153" t="s">
        <v>7180</v>
      </c>
      <c r="DC19" s="2745"/>
      <c r="DD19" s="2764"/>
      <c r="DG19" s="2745"/>
      <c r="DH19" s="2764"/>
      <c r="DK19" s="2729" t="s">
        <v>7886</v>
      </c>
      <c r="DL19" s="2178" t="s">
        <v>7878</v>
      </c>
      <c r="DM19" s="2575" t="s">
        <v>7887</v>
      </c>
      <c r="DO19" s="1892" t="s">
        <v>8202</v>
      </c>
      <c r="DP19" s="1892">
        <v>360650</v>
      </c>
      <c r="DT19" s="2091" t="s">
        <v>1766</v>
      </c>
      <c r="DU19" s="2744"/>
      <c r="DV19" s="2744"/>
      <c r="DW19" s="1511" t="s">
        <v>9960</v>
      </c>
      <c r="EB19" s="3228" t="s">
        <v>8081</v>
      </c>
      <c r="EI19" s="2689" t="s">
        <v>10338</v>
      </c>
      <c r="EM19" s="450" t="s">
        <v>1480</v>
      </c>
      <c r="EN19" s="450" t="s">
        <v>1480</v>
      </c>
    </row>
    <row r="20" spans="1:144" ht="58">
      <c r="A20" s="532"/>
      <c r="D20" s="2689" t="s">
        <v>6316</v>
      </c>
      <c r="E20" s="2091" t="s">
        <v>4505</v>
      </c>
      <c r="H20" s="3442" t="s">
        <v>3124</v>
      </c>
      <c r="I20" s="3442" t="s">
        <v>3152</v>
      </c>
      <c r="J20" s="3442" t="s">
        <v>3124</v>
      </c>
      <c r="K20" s="3437" t="s">
        <v>2491</v>
      </c>
      <c r="L20" s="3437" t="s">
        <v>959</v>
      </c>
      <c r="M20" s="3437" t="s">
        <v>2500</v>
      </c>
      <c r="N20" s="2263"/>
      <c r="P20" s="3438" t="s">
        <v>14495</v>
      </c>
      <c r="AC20" s="2744"/>
      <c r="AE20" s="2153" t="s">
        <v>5603</v>
      </c>
      <c r="AN20" s="3283" t="s">
        <v>3178</v>
      </c>
      <c r="AO20" s="3283" t="s">
        <v>3178</v>
      </c>
      <c r="AP20" s="3437" t="s">
        <v>3178</v>
      </c>
      <c r="AQ20" s="3283" t="s">
        <v>3178</v>
      </c>
      <c r="AR20" s="101" t="s">
        <v>8906</v>
      </c>
      <c r="AU20" s="2154" t="s">
        <v>8088</v>
      </c>
      <c r="AV20" s="2154"/>
      <c r="AW20" s="2091" t="s">
        <v>6140</v>
      </c>
      <c r="AX20" s="531" t="s">
        <v>8088</v>
      </c>
      <c r="AY20" s="2744" t="s">
        <v>8088</v>
      </c>
      <c r="AZ20" s="511" t="s">
        <v>7551</v>
      </c>
      <c r="BB20" s="511" t="s">
        <v>1767</v>
      </c>
      <c r="BC20" s="511" t="s">
        <v>1765</v>
      </c>
      <c r="BH20" s="2406">
        <v>1402046695</v>
      </c>
      <c r="BI20" s="2409" t="s">
        <v>2595</v>
      </c>
      <c r="BJ20" s="2466">
        <v>228983</v>
      </c>
      <c r="BK20" s="530"/>
      <c r="BL20" s="2570"/>
      <c r="BM20" s="2570"/>
      <c r="BN20" s="2571"/>
      <c r="BO20" s="3083" t="s">
        <v>7150</v>
      </c>
      <c r="BP20" s="2744"/>
      <c r="BQ20" s="511"/>
      <c r="BR20" s="511"/>
      <c r="BT20" s="1777" t="s">
        <v>734</v>
      </c>
      <c r="BU20" s="3126" t="s">
        <v>5724</v>
      </c>
      <c r="BV20" s="3082" t="str">
        <f t="shared" si="0"/>
        <v>{1191400ибыль КГН</v>
      </c>
      <c r="BW20" s="101"/>
      <c r="BZ20" s="3112" t="s">
        <v>6965</v>
      </c>
      <c r="CA20" s="3113" t="s">
        <v>3779</v>
      </c>
      <c r="CP20" s="3437" t="s">
        <v>4838</v>
      </c>
      <c r="CS20" s="3437" t="s">
        <v>1217</v>
      </c>
      <c r="CT20" s="2299" t="s">
        <v>6493</v>
      </c>
      <c r="CV20" s="2306">
        <v>43</v>
      </c>
      <c r="DA20" s="2558"/>
      <c r="DB20" s="2153" t="s">
        <v>7181</v>
      </c>
      <c r="DD20" s="2745"/>
      <c r="DH20" s="2764"/>
      <c r="DK20" s="2729" t="s">
        <v>7888</v>
      </c>
      <c r="DL20" s="2178" t="s">
        <v>7878</v>
      </c>
      <c r="DM20" s="2932" t="s">
        <v>14512</v>
      </c>
      <c r="DO20" s="1892" t="s">
        <v>8203</v>
      </c>
      <c r="DP20" s="1892">
        <v>517857</v>
      </c>
      <c r="DT20" s="2091" t="s">
        <v>1767</v>
      </c>
      <c r="DU20" s="2744"/>
      <c r="DV20" s="2744"/>
      <c r="DW20" s="1511" t="s">
        <v>9961</v>
      </c>
      <c r="EB20" s="3228" t="s">
        <v>8083</v>
      </c>
      <c r="EI20" s="2689" t="s">
        <v>10339</v>
      </c>
      <c r="EM20" s="450" t="s">
        <v>1481</v>
      </c>
      <c r="EN20" s="450" t="s">
        <v>1481</v>
      </c>
    </row>
    <row r="21" spans="1:144" ht="58.5" thickBot="1">
      <c r="A21" s="532"/>
      <c r="D21" s="2689" t="s">
        <v>6317</v>
      </c>
      <c r="E21" s="2091" t="s">
        <v>4506</v>
      </c>
      <c r="H21" s="3442" t="s">
        <v>959</v>
      </c>
      <c r="I21" s="3442" t="s">
        <v>3152</v>
      </c>
      <c r="J21" s="3442" t="s">
        <v>959</v>
      </c>
      <c r="K21" s="3437" t="s">
        <v>1217</v>
      </c>
      <c r="L21" s="3437" t="s">
        <v>960</v>
      </c>
      <c r="M21" s="3437" t="s">
        <v>1461</v>
      </c>
      <c r="N21" s="2263"/>
      <c r="P21" s="3438" t="s">
        <v>14463</v>
      </c>
      <c r="AE21" s="2153" t="s">
        <v>6025</v>
      </c>
      <c r="AN21" s="3283" t="s">
        <v>3179</v>
      </c>
      <c r="AO21" s="3283" t="s">
        <v>3179</v>
      </c>
      <c r="AP21" s="3437" t="s">
        <v>3179</v>
      </c>
      <c r="AQ21" s="3283" t="s">
        <v>3179</v>
      </c>
      <c r="AR21" s="101" t="s">
        <v>8907</v>
      </c>
      <c r="AU21" s="2154" t="s">
        <v>8089</v>
      </c>
      <c r="AV21" s="2154"/>
      <c r="AW21" s="2091" t="s">
        <v>8662</v>
      </c>
      <c r="AX21" s="531" t="s">
        <v>8089</v>
      </c>
      <c r="AY21" s="2744" t="s">
        <v>8089</v>
      </c>
      <c r="AZ21" s="511" t="s">
        <v>7552</v>
      </c>
      <c r="BB21" s="511" t="s">
        <v>1768</v>
      </c>
      <c r="BC21" s="511" t="s">
        <v>1766</v>
      </c>
      <c r="BH21" s="2405">
        <v>1402046871</v>
      </c>
      <c r="BI21" s="2405" t="s">
        <v>3920</v>
      </c>
      <c r="BJ21" s="2466">
        <v>22</v>
      </c>
      <c r="BK21" s="530"/>
      <c r="BL21" s="2570"/>
      <c r="BM21" s="2570"/>
      <c r="BN21" s="2571"/>
      <c r="BO21" s="3083" t="s">
        <v>7151</v>
      </c>
      <c r="BP21" s="2744"/>
      <c r="BQ21" s="511"/>
      <c r="BR21" s="511"/>
      <c r="BT21" s="511" t="s">
        <v>938</v>
      </c>
      <c r="BU21" s="3126" t="s">
        <v>5725</v>
      </c>
      <c r="BV21" s="3082" t="str">
        <f t="shared" si="0"/>
        <v>{1192300оизводств</v>
      </c>
      <c r="BW21" s="101"/>
      <c r="BZ21" s="3112" t="s">
        <v>6958</v>
      </c>
      <c r="CA21" s="3113" t="s">
        <v>3772</v>
      </c>
      <c r="CP21" s="3437" t="s">
        <v>14431</v>
      </c>
      <c r="CS21" s="3437" t="s">
        <v>1218</v>
      </c>
      <c r="CT21" s="2299" t="s">
        <v>6494</v>
      </c>
      <c r="CV21" s="2306">
        <v>44</v>
      </c>
      <c r="DA21" s="2558"/>
      <c r="DB21" s="2153" t="s">
        <v>7182</v>
      </c>
      <c r="DC21" s="2745"/>
      <c r="DD21" s="2764"/>
      <c r="DG21" s="2745"/>
      <c r="DH21" s="2764"/>
      <c r="DK21" s="3150" t="s">
        <v>15092</v>
      </c>
      <c r="DL21" s="2178" t="s">
        <v>7878</v>
      </c>
      <c r="DM21" s="3597" t="s">
        <v>9611</v>
      </c>
      <c r="DO21" s="1892" t="s">
        <v>8204</v>
      </c>
      <c r="DP21" s="1892">
        <v>482740</v>
      </c>
      <c r="DT21" s="2091" t="s">
        <v>1768</v>
      </c>
      <c r="DU21" s="2744"/>
      <c r="DV21" s="2744"/>
      <c r="DW21" s="1511" t="s">
        <v>9959</v>
      </c>
      <c r="EB21" s="3228" t="s">
        <v>8084</v>
      </c>
      <c r="EI21" s="2689" t="s">
        <v>10340</v>
      </c>
      <c r="EM21" s="451" t="s">
        <v>1482</v>
      </c>
      <c r="EN21" s="451" t="s">
        <v>1482</v>
      </c>
    </row>
    <row r="22" spans="1:144" ht="58">
      <c r="A22" s="532"/>
      <c r="D22" s="2689" t="s">
        <v>6318</v>
      </c>
      <c r="E22" s="2091" t="s">
        <v>6026</v>
      </c>
      <c r="H22" s="3442" t="s">
        <v>960</v>
      </c>
      <c r="I22" s="3442" t="s">
        <v>3152</v>
      </c>
      <c r="J22" s="3442" t="s">
        <v>960</v>
      </c>
      <c r="K22" s="3437" t="s">
        <v>1218</v>
      </c>
      <c r="L22" s="3437" t="s">
        <v>3127</v>
      </c>
      <c r="M22" s="3437" t="s">
        <v>2503</v>
      </c>
      <c r="N22" s="2263"/>
      <c r="P22" s="3438" t="s">
        <v>14453</v>
      </c>
      <c r="AC22" s="2744"/>
      <c r="AE22" s="2153" t="s">
        <v>5604</v>
      </c>
      <c r="AN22" s="3283" t="s">
        <v>3180</v>
      </c>
      <c r="AO22" s="3283" t="s">
        <v>3180</v>
      </c>
      <c r="AP22" s="3437" t="s">
        <v>3180</v>
      </c>
      <c r="AQ22" s="3283" t="s">
        <v>3180</v>
      </c>
      <c r="AR22" s="101" t="s">
        <v>8908</v>
      </c>
      <c r="AU22" s="2154" t="s">
        <v>8090</v>
      </c>
      <c r="AV22" s="2154"/>
      <c r="AW22" s="2091" t="s">
        <v>9817</v>
      </c>
      <c r="AX22" s="531" t="s">
        <v>8090</v>
      </c>
      <c r="AY22" s="2744" t="s">
        <v>8090</v>
      </c>
      <c r="AZ22" s="511" t="s">
        <v>7553</v>
      </c>
      <c r="BB22" s="511" t="s">
        <v>1769</v>
      </c>
      <c r="BC22" s="511" t="s">
        <v>1767</v>
      </c>
      <c r="BH22" s="2406">
        <v>1433014654</v>
      </c>
      <c r="BI22" s="2409" t="s">
        <v>2423</v>
      </c>
      <c r="BJ22" s="2466">
        <v>285656</v>
      </c>
      <c r="BK22" s="530"/>
      <c r="BL22" s="2570"/>
      <c r="BM22" s="2570"/>
      <c r="BN22" s="2571"/>
      <c r="BO22" s="3083" t="s">
        <v>4903</v>
      </c>
      <c r="BP22" s="2744"/>
      <c r="BQ22" s="511"/>
      <c r="BR22" s="511"/>
      <c r="BT22" s="511" t="s">
        <v>939</v>
      </c>
      <c r="BU22" s="3126" t="s">
        <v>5726</v>
      </c>
      <c r="BV22" s="3082" t="str">
        <f t="shared" si="0"/>
        <v>{1192400еликвидов</v>
      </c>
      <c r="BW22" s="101"/>
      <c r="BZ22" s="3112" t="s">
        <v>6964</v>
      </c>
      <c r="CA22" s="3113" t="s">
        <v>3778</v>
      </c>
      <c r="CP22" s="3437" t="s">
        <v>3576</v>
      </c>
      <c r="CS22" s="3437" t="s">
        <v>219</v>
      </c>
      <c r="CT22" s="2299" t="s">
        <v>6495</v>
      </c>
      <c r="CV22" s="2306">
        <v>45</v>
      </c>
      <c r="DA22" s="2558"/>
      <c r="DB22" s="2153" t="s">
        <v>7183</v>
      </c>
      <c r="DC22" s="2745"/>
      <c r="DD22" s="3083"/>
      <c r="DG22" s="2745"/>
      <c r="DH22" s="2764"/>
      <c r="DK22" s="2576" t="s">
        <v>905</v>
      </c>
      <c r="DL22" s="2179" t="s">
        <v>904</v>
      </c>
      <c r="DM22" s="2575" t="s">
        <v>7494</v>
      </c>
      <c r="DO22" s="1892" t="s">
        <v>8205</v>
      </c>
      <c r="DP22" s="1892">
        <v>391478</v>
      </c>
      <c r="DT22" s="2091" t="s">
        <v>1769</v>
      </c>
      <c r="DU22" s="2744"/>
      <c r="DV22" s="2744"/>
      <c r="DW22" s="1511" t="s">
        <v>10134</v>
      </c>
      <c r="EB22" s="3228" t="s">
        <v>8085</v>
      </c>
      <c r="EI22" s="2689" t="s">
        <v>10341</v>
      </c>
    </row>
    <row r="23" spans="1:144" ht="58">
      <c r="A23" s="532"/>
      <c r="D23" s="2689" t="s">
        <v>6319</v>
      </c>
      <c r="E23" s="2091" t="s">
        <v>14357</v>
      </c>
      <c r="H23" s="3442" t="s">
        <v>3127</v>
      </c>
      <c r="I23" s="3442" t="s">
        <v>3152</v>
      </c>
      <c r="J23" s="3442" t="s">
        <v>3127</v>
      </c>
      <c r="K23" s="3437" t="s">
        <v>219</v>
      </c>
      <c r="L23" s="3437" t="s">
        <v>961</v>
      </c>
      <c r="M23" s="3437" t="s">
        <v>2505</v>
      </c>
      <c r="N23" s="2263"/>
      <c r="P23" s="3438" t="s">
        <v>14462</v>
      </c>
      <c r="AE23" s="2153" t="s">
        <v>6027</v>
      </c>
      <c r="AF23" s="531"/>
      <c r="AN23" s="3283" t="s">
        <v>3181</v>
      </c>
      <c r="AO23" s="3283" t="s">
        <v>3181</v>
      </c>
      <c r="AP23" s="3437" t="s">
        <v>3181</v>
      </c>
      <c r="AQ23" s="3283" t="s">
        <v>3181</v>
      </c>
      <c r="AR23" s="101" t="s">
        <v>8909</v>
      </c>
      <c r="AU23" s="2154" t="s">
        <v>8091</v>
      </c>
      <c r="AV23" s="2154"/>
      <c r="AW23" s="2091" t="s">
        <v>10044</v>
      </c>
      <c r="AX23" s="531" t="s">
        <v>8091</v>
      </c>
      <c r="AY23" s="2744" t="s">
        <v>8091</v>
      </c>
      <c r="AZ23" s="511" t="s">
        <v>7554</v>
      </c>
      <c r="BB23" s="511" t="s">
        <v>1770</v>
      </c>
      <c r="BC23" s="2514" t="s">
        <v>1768</v>
      </c>
      <c r="BH23" s="2406">
        <v>1433015633</v>
      </c>
      <c r="BI23" s="2409" t="s">
        <v>1880</v>
      </c>
      <c r="BJ23" s="2466">
        <v>334928</v>
      </c>
      <c r="BK23" s="530"/>
      <c r="BL23" s="2570"/>
      <c r="BM23" s="2570"/>
      <c r="BN23" s="2571"/>
      <c r="BP23" s="2446"/>
      <c r="BQ23" s="511"/>
      <c r="BR23" s="511"/>
      <c r="BT23" s="511" t="s">
        <v>940</v>
      </c>
      <c r="BU23" s="3126" t="s">
        <v>5727</v>
      </c>
      <c r="BV23" s="3082" t="str">
        <f t="shared" si="0"/>
        <v>{1192500х активов</v>
      </c>
      <c r="BW23" s="101"/>
      <c r="BZ23" s="3112" t="s">
        <v>6962</v>
      </c>
      <c r="CA23" s="3113" t="s">
        <v>3776</v>
      </c>
      <c r="CP23" s="3437" t="s">
        <v>3579</v>
      </c>
      <c r="CS23" s="3437" t="s">
        <v>1219</v>
      </c>
      <c r="CT23" s="2299" t="s">
        <v>6496</v>
      </c>
      <c r="CV23" s="2306">
        <v>46</v>
      </c>
      <c r="DA23" s="2558"/>
      <c r="DB23" s="2153" t="s">
        <v>7184</v>
      </c>
      <c r="DC23" s="2745"/>
      <c r="DD23" s="2745"/>
      <c r="DG23" s="2745"/>
      <c r="DH23" s="2764"/>
      <c r="DK23" s="2576" t="s">
        <v>2092</v>
      </c>
      <c r="DL23" s="2179" t="s">
        <v>5302</v>
      </c>
      <c r="DM23" s="2575" t="s">
        <v>8174</v>
      </c>
      <c r="DO23" s="1892" t="s">
        <v>8206</v>
      </c>
      <c r="DP23" s="1892">
        <v>341389</v>
      </c>
      <c r="DT23" s="2091" t="s">
        <v>1770</v>
      </c>
      <c r="DU23" s="2744"/>
      <c r="DV23" s="2744"/>
      <c r="DW23" s="1511">
        <v>15</v>
      </c>
      <c r="EB23" s="3228" t="s">
        <v>8086</v>
      </c>
      <c r="EI23" s="2689" t="s">
        <v>10342</v>
      </c>
    </row>
    <row r="24" spans="1:144" ht="43.5">
      <c r="A24" s="532"/>
      <c r="D24" s="2689" t="s">
        <v>6320</v>
      </c>
      <c r="H24" s="3442" t="s">
        <v>961</v>
      </c>
      <c r="I24" s="3442" t="s">
        <v>3152</v>
      </c>
      <c r="J24" s="3442" t="s">
        <v>961</v>
      </c>
      <c r="K24" s="3437" t="s">
        <v>1219</v>
      </c>
      <c r="L24" s="3437" t="s">
        <v>962</v>
      </c>
      <c r="M24" s="3437" t="s">
        <v>2507</v>
      </c>
      <c r="N24" s="2263"/>
      <c r="P24" s="3438" t="s">
        <v>14450</v>
      </c>
      <c r="AE24" s="2153" t="s">
        <v>5605</v>
      </c>
      <c r="AF24" s="2744"/>
      <c r="AN24" s="3283" t="s">
        <v>1198</v>
      </c>
      <c r="AO24" s="3283" t="s">
        <v>1198</v>
      </c>
      <c r="AP24" s="3437" t="s">
        <v>1198</v>
      </c>
      <c r="AQ24" s="3283" t="s">
        <v>1198</v>
      </c>
      <c r="AR24" s="101" t="s">
        <v>8910</v>
      </c>
      <c r="AU24" s="2154" t="s">
        <v>8092</v>
      </c>
      <c r="AV24" s="2154"/>
      <c r="AW24" s="2091" t="s">
        <v>14526</v>
      </c>
      <c r="AX24" s="531" t="s">
        <v>8092</v>
      </c>
      <c r="AY24" s="2744" t="s">
        <v>8092</v>
      </c>
      <c r="AZ24" s="511" t="s">
        <v>7555</v>
      </c>
      <c r="BB24" s="511" t="s">
        <v>1771</v>
      </c>
      <c r="BC24" s="511" t="s">
        <v>1769</v>
      </c>
      <c r="BH24" s="2406">
        <v>1435115270</v>
      </c>
      <c r="BI24" s="2409" t="s">
        <v>1931</v>
      </c>
      <c r="BJ24" s="2466">
        <v>162354</v>
      </c>
      <c r="BK24" s="530"/>
      <c r="BL24" s="2570"/>
      <c r="BM24" s="2570"/>
      <c r="BN24" s="2571"/>
      <c r="BO24" s="3083" t="s">
        <v>4911</v>
      </c>
      <c r="BP24" s="2744"/>
      <c r="BQ24" s="511"/>
      <c r="BR24" s="511"/>
      <c r="BT24" s="511" t="s">
        <v>941</v>
      </c>
      <c r="BU24" s="3126" t="s">
        <v>5728</v>
      </c>
      <c r="BV24" s="3082" t="str">
        <f t="shared" si="0"/>
        <v>{1192900еализации</v>
      </c>
      <c r="BW24" s="101"/>
      <c r="BZ24" s="3112" t="s">
        <v>6963</v>
      </c>
      <c r="CA24" s="3113" t="s">
        <v>3777</v>
      </c>
      <c r="CP24" s="3437" t="s">
        <v>3581</v>
      </c>
      <c r="CS24" s="3437" t="s">
        <v>1220</v>
      </c>
      <c r="CT24" s="2299" t="s">
        <v>6497</v>
      </c>
      <c r="CV24" s="2306">
        <v>58</v>
      </c>
      <c r="DA24" s="2558"/>
      <c r="DB24" s="2153" t="s">
        <v>7185</v>
      </c>
      <c r="DC24" s="2745"/>
      <c r="DD24" s="2764"/>
      <c r="DG24" s="2745"/>
      <c r="DH24" s="2764"/>
      <c r="DK24" s="2576" t="s">
        <v>2093</v>
      </c>
      <c r="DL24" s="2178" t="s">
        <v>4683</v>
      </c>
      <c r="DM24" s="2575" t="s">
        <v>7500</v>
      </c>
      <c r="DO24" s="1892" t="s">
        <v>8207</v>
      </c>
      <c r="DP24" s="1892">
        <v>426162</v>
      </c>
      <c r="DT24" s="2091" t="s">
        <v>1771</v>
      </c>
      <c r="DU24" s="2744"/>
      <c r="DV24" s="2744"/>
      <c r="DW24" s="1511">
        <v>16</v>
      </c>
      <c r="EB24" s="3228" t="s">
        <v>8087</v>
      </c>
      <c r="EI24" s="2689" t="s">
        <v>10343</v>
      </c>
    </row>
    <row r="25" spans="1:144" ht="43.5">
      <c r="A25" s="532"/>
      <c r="D25" s="2689" t="s">
        <v>6321</v>
      </c>
      <c r="H25" s="3442" t="s">
        <v>962</v>
      </c>
      <c r="I25" s="3442" t="s">
        <v>3152</v>
      </c>
      <c r="J25" s="3442" t="s">
        <v>962</v>
      </c>
      <c r="K25" s="3437" t="s">
        <v>1220</v>
      </c>
      <c r="L25" s="3437" t="s">
        <v>3128</v>
      </c>
      <c r="M25" s="3437" t="s">
        <v>2509</v>
      </c>
      <c r="N25" s="2263"/>
      <c r="P25" s="3438" t="s">
        <v>14452</v>
      </c>
      <c r="AC25" s="2744"/>
      <c r="AE25" s="2153" t="s">
        <v>5606</v>
      </c>
      <c r="AN25" s="3283" t="s">
        <v>1199</v>
      </c>
      <c r="AO25" s="3283" t="s">
        <v>1199</v>
      </c>
      <c r="AP25" s="3437" t="s">
        <v>1199</v>
      </c>
      <c r="AQ25" s="3283" t="s">
        <v>1199</v>
      </c>
      <c r="AR25" s="101" t="s">
        <v>9844</v>
      </c>
      <c r="AU25" s="2154" t="s">
        <v>8094</v>
      </c>
      <c r="AV25" s="2154"/>
      <c r="AW25" s="531" t="s">
        <v>8093</v>
      </c>
      <c r="AX25" s="531" t="s">
        <v>8094</v>
      </c>
      <c r="AY25" s="2744" t="s">
        <v>8094</v>
      </c>
      <c r="AZ25" s="2744" t="s">
        <v>14358</v>
      </c>
      <c r="BB25" s="511" t="s">
        <v>1772</v>
      </c>
      <c r="BC25" s="511" t="s">
        <v>1770</v>
      </c>
      <c r="BH25" s="2406">
        <v>1655043818</v>
      </c>
      <c r="BI25" s="2409" t="s">
        <v>3550</v>
      </c>
      <c r="BJ25" s="2466">
        <v>190630</v>
      </c>
      <c r="BK25" s="530"/>
      <c r="BL25" s="2570"/>
      <c r="BM25" s="2570"/>
      <c r="BN25" s="2571"/>
      <c r="BO25" s="3083" t="s">
        <v>8187</v>
      </c>
      <c r="BP25" s="2744"/>
      <c r="BQ25" s="2744"/>
      <c r="BR25" s="2744"/>
      <c r="BT25" s="2744" t="s">
        <v>942</v>
      </c>
      <c r="BU25" s="3126" t="s">
        <v>5729</v>
      </c>
      <c r="BV25" s="3082" t="str">
        <f t="shared" si="0"/>
        <v>{1193000го случая</v>
      </c>
      <c r="BW25" s="101"/>
      <c r="BZ25" s="3112" t="s">
        <v>6952</v>
      </c>
      <c r="CA25" s="3113" t="s">
        <v>3766</v>
      </c>
      <c r="CP25" s="3437" t="s">
        <v>3583</v>
      </c>
      <c r="CS25" s="3437" t="s">
        <v>2495</v>
      </c>
      <c r="CT25" s="2299" t="s">
        <v>6498</v>
      </c>
      <c r="CV25" s="2306">
        <v>59</v>
      </c>
      <c r="DA25" s="2558"/>
      <c r="DB25" s="2153" t="s">
        <v>7186</v>
      </c>
      <c r="DC25" s="2745"/>
      <c r="DD25" s="2764"/>
      <c r="DG25" s="2745"/>
      <c r="DH25" s="2764"/>
      <c r="DK25" s="2577" t="s">
        <v>3405</v>
      </c>
      <c r="DL25" s="2178" t="s">
        <v>5224</v>
      </c>
      <c r="DM25" s="2575" t="s">
        <v>14512</v>
      </c>
      <c r="DO25" s="1892" t="s">
        <v>8208</v>
      </c>
      <c r="DP25" s="1892">
        <v>125117</v>
      </c>
      <c r="DT25" s="2091" t="s">
        <v>1772</v>
      </c>
      <c r="DU25" s="2744"/>
      <c r="DV25" s="2744"/>
      <c r="DW25" s="1511">
        <v>19</v>
      </c>
      <c r="EB25" s="3228" t="s">
        <v>5335</v>
      </c>
      <c r="EI25" s="2689" t="s">
        <v>10344</v>
      </c>
    </row>
    <row r="26" spans="1:144" ht="58">
      <c r="A26" s="532"/>
      <c r="D26" s="2689" t="s">
        <v>6322</v>
      </c>
      <c r="H26" s="3442" t="s">
        <v>3128</v>
      </c>
      <c r="I26" s="3442" t="s">
        <v>3152</v>
      </c>
      <c r="J26" s="3442" t="s">
        <v>3128</v>
      </c>
      <c r="K26" s="3437" t="s">
        <v>2495</v>
      </c>
      <c r="L26" s="3437" t="s">
        <v>3129</v>
      </c>
      <c r="M26" s="3437" t="s">
        <v>2511</v>
      </c>
      <c r="N26" s="2263"/>
      <c r="P26" s="3438" t="s">
        <v>14451</v>
      </c>
      <c r="AC26" s="2514"/>
      <c r="AE26" s="2153" t="s">
        <v>5607</v>
      </c>
      <c r="AF26" s="531"/>
      <c r="AN26" s="3283" t="s">
        <v>1200</v>
      </c>
      <c r="AO26" s="3283" t="s">
        <v>1200</v>
      </c>
      <c r="AP26" s="3437" t="s">
        <v>1200</v>
      </c>
      <c r="AQ26" s="3283" t="s">
        <v>1200</v>
      </c>
      <c r="AR26" s="101" t="s">
        <v>9845</v>
      </c>
      <c r="AU26" s="2154" t="s">
        <v>4489</v>
      </c>
      <c r="AV26" s="2290"/>
      <c r="AW26" s="531" t="s">
        <v>8095</v>
      </c>
      <c r="AX26" s="531" t="s">
        <v>4489</v>
      </c>
      <c r="AY26" s="2744" t="s">
        <v>4489</v>
      </c>
      <c r="AZ26" s="511" t="s">
        <v>7556</v>
      </c>
      <c r="BB26" s="511" t="s">
        <v>7523</v>
      </c>
      <c r="BC26" s="511" t="s">
        <v>1771</v>
      </c>
      <c r="BH26" s="2406">
        <v>1655071678</v>
      </c>
      <c r="BI26" s="2409" t="s">
        <v>2250</v>
      </c>
      <c r="BJ26" s="2466">
        <v>345990</v>
      </c>
      <c r="BK26" s="530"/>
      <c r="BL26" s="2570"/>
      <c r="BM26" s="2570"/>
      <c r="BN26" s="2571"/>
      <c r="BP26" s="2446"/>
      <c r="BQ26" s="2744"/>
      <c r="BR26" s="2744"/>
      <c r="BT26" s="2744" t="s">
        <v>943</v>
      </c>
      <c r="BU26" s="3126" t="s">
        <v>5730</v>
      </c>
      <c r="BV26" s="3082" t="str">
        <f t="shared" si="0"/>
        <v>{1194000зательств</v>
      </c>
      <c r="BW26" s="101"/>
      <c r="BZ26" s="3112" t="s">
        <v>7060</v>
      </c>
      <c r="CA26" s="3113" t="s">
        <v>3856</v>
      </c>
      <c r="CP26" s="3437" t="s">
        <v>3585</v>
      </c>
      <c r="CS26" s="3437" t="s">
        <v>1221</v>
      </c>
      <c r="CT26" s="2299" t="s">
        <v>6499</v>
      </c>
      <c r="CV26" s="2306">
        <v>60</v>
      </c>
      <c r="DA26" s="2558"/>
      <c r="DB26" s="2153" t="s">
        <v>7187</v>
      </c>
      <c r="DC26" s="2745"/>
      <c r="DD26" s="2745"/>
      <c r="DG26" s="2745"/>
      <c r="DH26" s="2764"/>
      <c r="DK26" s="2577" t="s">
        <v>3407</v>
      </c>
      <c r="DL26" s="2178" t="s">
        <v>14578</v>
      </c>
      <c r="DM26" s="2575" t="s">
        <v>14512</v>
      </c>
      <c r="DO26" s="1892" t="s">
        <v>8209</v>
      </c>
      <c r="DP26" s="1892">
        <v>125116</v>
      </c>
      <c r="DT26" s="2091" t="s">
        <v>7523</v>
      </c>
      <c r="DU26" s="2744"/>
      <c r="DV26" s="2744"/>
      <c r="DW26" s="1511" t="s">
        <v>4953</v>
      </c>
      <c r="EB26" s="3228" t="s">
        <v>1343</v>
      </c>
      <c r="EI26" s="2689" t="s">
        <v>10345</v>
      </c>
    </row>
    <row r="27" spans="1:144" ht="101.5">
      <c r="A27" s="532"/>
      <c r="D27" s="2689" t="s">
        <v>6323</v>
      </c>
      <c r="H27" s="3442" t="s">
        <v>3129</v>
      </c>
      <c r="I27" s="3442" t="s">
        <v>3152</v>
      </c>
      <c r="J27" s="3442" t="s">
        <v>3129</v>
      </c>
      <c r="K27" s="3437" t="s">
        <v>1221</v>
      </c>
      <c r="L27" s="3437" t="s">
        <v>3130</v>
      </c>
      <c r="M27" s="3437" t="s">
        <v>2512</v>
      </c>
      <c r="N27" s="2514"/>
      <c r="P27" s="3438" t="s">
        <v>14448</v>
      </c>
      <c r="AE27" s="2153" t="s">
        <v>5608</v>
      </c>
      <c r="AF27" s="531"/>
      <c r="AH27" s="2744"/>
      <c r="AN27" s="3283" t="s">
        <v>1201</v>
      </c>
      <c r="AO27" s="3283" t="s">
        <v>1201</v>
      </c>
      <c r="AP27" s="3437" t="s">
        <v>1201</v>
      </c>
      <c r="AQ27" s="3283" t="s">
        <v>1201</v>
      </c>
      <c r="AR27" s="101" t="s">
        <v>8911</v>
      </c>
      <c r="AU27" s="2154" t="s">
        <v>1340</v>
      </c>
      <c r="AV27" s="2290"/>
      <c r="AW27" s="531" t="s">
        <v>8096</v>
      </c>
      <c r="AX27" s="531" t="s">
        <v>1340</v>
      </c>
      <c r="AY27" s="2744" t="s">
        <v>1340</v>
      </c>
      <c r="AZ27" s="511" t="s">
        <v>7557</v>
      </c>
      <c r="BB27" s="511" t="s">
        <v>1773</v>
      </c>
      <c r="BC27" s="2744" t="s">
        <v>1772</v>
      </c>
      <c r="BH27" s="2406">
        <v>1655189422</v>
      </c>
      <c r="BI27" s="2409" t="s">
        <v>2438</v>
      </c>
      <c r="BJ27" s="2466">
        <v>122297</v>
      </c>
      <c r="BK27" s="530"/>
      <c r="BL27" s="2572"/>
      <c r="BM27" s="2572"/>
      <c r="BN27" s="2571"/>
      <c r="BP27" s="3083"/>
      <c r="BQ27" s="2514"/>
      <c r="BR27" s="511"/>
      <c r="BT27" s="511" t="s">
        <v>944</v>
      </c>
      <c r="BU27" s="3126" t="s">
        <v>5733</v>
      </c>
      <c r="BV27" s="3082" t="str">
        <f t="shared" si="0"/>
        <v>{1199001ботниками</v>
      </c>
      <c r="BW27" s="101"/>
      <c r="BZ27" s="3112" t="s">
        <v>7085</v>
      </c>
      <c r="CA27" s="3113" t="s">
        <v>3870</v>
      </c>
      <c r="CE27" s="2448"/>
      <c r="CP27" s="3437" t="s">
        <v>3586</v>
      </c>
      <c r="CS27" s="3437" t="s">
        <v>1222</v>
      </c>
      <c r="CT27" s="2299" t="s">
        <v>6500</v>
      </c>
      <c r="CV27" s="2306">
        <v>62</v>
      </c>
      <c r="CX27" s="2718"/>
      <c r="DA27" s="2558"/>
      <c r="DB27" s="2153" t="s">
        <v>7188</v>
      </c>
      <c r="DD27" s="2764"/>
      <c r="DH27" s="2764"/>
      <c r="DK27" s="3478" t="s">
        <v>2821</v>
      </c>
      <c r="DL27" s="3479" t="s">
        <v>4181</v>
      </c>
      <c r="DM27" s="2575" t="s">
        <v>14512</v>
      </c>
      <c r="DO27" s="1892" t="s">
        <v>8210</v>
      </c>
      <c r="DP27" s="1892">
        <v>125115</v>
      </c>
      <c r="DT27" s="2091" t="s">
        <v>1773</v>
      </c>
      <c r="DU27" s="2744"/>
      <c r="DV27" s="2744"/>
      <c r="DW27" s="1511">
        <v>26</v>
      </c>
      <c r="EB27" s="3228" t="s">
        <v>5866</v>
      </c>
      <c r="EI27" s="2689" t="s">
        <v>10346</v>
      </c>
    </row>
    <row r="28" spans="1:144" ht="58">
      <c r="A28" s="532"/>
      <c r="D28" s="2689" t="s">
        <v>10185</v>
      </c>
      <c r="H28" s="3442" t="s">
        <v>3130</v>
      </c>
      <c r="I28" s="3442" t="s">
        <v>3152</v>
      </c>
      <c r="J28" s="3442" t="s">
        <v>3130</v>
      </c>
      <c r="K28" s="3437" t="s">
        <v>1222</v>
      </c>
      <c r="L28" s="3437" t="s">
        <v>3131</v>
      </c>
      <c r="M28" s="3437" t="s">
        <v>14411</v>
      </c>
      <c r="N28" s="2263"/>
      <c r="P28" s="3438" t="s">
        <v>14447</v>
      </c>
      <c r="AE28" s="2153" t="s">
        <v>5609</v>
      </c>
      <c r="AF28" s="531"/>
      <c r="AN28" s="3283" t="s">
        <v>3182</v>
      </c>
      <c r="AO28" s="3283" t="s">
        <v>3182</v>
      </c>
      <c r="AP28" s="3437" t="s">
        <v>3182</v>
      </c>
      <c r="AQ28" s="3283" t="s">
        <v>3182</v>
      </c>
      <c r="AR28" s="101" t="s">
        <v>9846</v>
      </c>
      <c r="AU28" s="2154" t="s">
        <v>5863</v>
      </c>
      <c r="AV28" s="2290"/>
      <c r="AW28" s="531" t="s">
        <v>8097</v>
      </c>
      <c r="AX28" s="531" t="s">
        <v>5863</v>
      </c>
      <c r="AY28" s="2744" t="s">
        <v>5863</v>
      </c>
      <c r="AZ28" s="511" t="s">
        <v>7558</v>
      </c>
      <c r="BB28" s="511" t="s">
        <v>1774</v>
      </c>
      <c r="BC28" s="511" t="s">
        <v>7523</v>
      </c>
      <c r="BF28" s="2744"/>
      <c r="BG28" s="2744"/>
      <c r="BH28" s="2406">
        <v>1657036630</v>
      </c>
      <c r="BI28" s="2409" t="s">
        <v>2243</v>
      </c>
      <c r="BJ28" s="2466">
        <v>122322</v>
      </c>
      <c r="BK28" s="530"/>
      <c r="BP28" s="2446"/>
      <c r="BQ28" s="511"/>
      <c r="BR28" s="511"/>
      <c r="BT28" s="511" t="s">
        <v>945</v>
      </c>
      <c r="BU28" s="3126" t="s">
        <v>5734</v>
      </c>
      <c r="BV28" s="3082" t="str">
        <f t="shared" si="0"/>
        <v>{1199002аботникам</v>
      </c>
      <c r="BW28" s="101"/>
      <c r="BZ28" s="3112" t="s">
        <v>6932</v>
      </c>
      <c r="CA28" s="3113" t="s">
        <v>6207</v>
      </c>
      <c r="CP28" s="3437" t="s">
        <v>3587</v>
      </c>
      <c r="CS28" s="3437" t="s">
        <v>2496</v>
      </c>
      <c r="CT28" s="2299" t="s">
        <v>6501</v>
      </c>
      <c r="CV28" s="2306">
        <v>63</v>
      </c>
      <c r="DA28" s="2558"/>
      <c r="DB28" s="2153" t="s">
        <v>7189</v>
      </c>
      <c r="DD28" s="3083"/>
      <c r="DH28" s="2764"/>
      <c r="DK28" s="2577" t="s">
        <v>3413</v>
      </c>
      <c r="DL28" s="2178" t="s">
        <v>4180</v>
      </c>
      <c r="DM28" s="2575" t="s">
        <v>14512</v>
      </c>
      <c r="DO28" s="1892" t="s">
        <v>8211</v>
      </c>
      <c r="DP28" s="1892">
        <v>125110</v>
      </c>
      <c r="DT28" s="2091" t="s">
        <v>1774</v>
      </c>
      <c r="DU28" s="2744"/>
      <c r="DV28" s="2744"/>
      <c r="DW28" s="1511">
        <v>41</v>
      </c>
      <c r="EB28" s="3228" t="s">
        <v>6138</v>
      </c>
      <c r="EI28" s="2689" t="s">
        <v>10347</v>
      </c>
    </row>
    <row r="29" spans="1:144" ht="58">
      <c r="A29" s="532"/>
      <c r="D29" s="2689" t="s">
        <v>10186</v>
      </c>
      <c r="H29" s="3442" t="s">
        <v>3131</v>
      </c>
      <c r="I29" s="3442" t="s">
        <v>3152</v>
      </c>
      <c r="J29" s="3442" t="s">
        <v>3131</v>
      </c>
      <c r="K29" s="3437" t="s">
        <v>2496</v>
      </c>
      <c r="L29" s="3437" t="s">
        <v>3133</v>
      </c>
      <c r="M29" s="3437" t="s">
        <v>2513</v>
      </c>
      <c r="N29" s="2263"/>
      <c r="P29" s="3438" t="s">
        <v>14458</v>
      </c>
      <c r="AE29" s="2153" t="s">
        <v>6028</v>
      </c>
      <c r="AF29" s="531"/>
      <c r="AN29" s="3283" t="s">
        <v>3183</v>
      </c>
      <c r="AO29" s="3283" t="s">
        <v>3183</v>
      </c>
      <c r="AP29" s="3437" t="s">
        <v>3183</v>
      </c>
      <c r="AQ29" s="3283" t="s">
        <v>3183</v>
      </c>
      <c r="AR29" s="101" t="s">
        <v>8912</v>
      </c>
      <c r="AU29" s="2290" t="s">
        <v>6129</v>
      </c>
      <c r="AV29" s="2154"/>
      <c r="AW29" s="531" t="s">
        <v>8098</v>
      </c>
      <c r="AX29" s="2091" t="s">
        <v>6129</v>
      </c>
      <c r="AY29" s="2091" t="s">
        <v>6129</v>
      </c>
      <c r="AZ29" s="511" t="s">
        <v>7559</v>
      </c>
      <c r="BB29" s="511" t="s">
        <v>1775</v>
      </c>
      <c r="BC29" s="511" t="s">
        <v>1773</v>
      </c>
      <c r="BH29" s="2406">
        <v>1657082308</v>
      </c>
      <c r="BI29" s="2409" t="s">
        <v>2435</v>
      </c>
      <c r="BJ29" s="2466">
        <v>122324</v>
      </c>
      <c r="BK29" s="530"/>
      <c r="BP29" s="3083"/>
      <c r="BQ29" s="2514"/>
      <c r="BR29" s="511"/>
      <c r="BT29" s="511" t="s">
        <v>946</v>
      </c>
      <c r="BU29" s="3126" t="s">
        <v>5735</v>
      </c>
      <c r="BV29" s="3082" t="str">
        <f t="shared" si="0"/>
        <v>{1199003ых счетах</v>
      </c>
      <c r="BW29" s="101"/>
      <c r="BZ29" s="3112" t="s">
        <v>6957</v>
      </c>
      <c r="CA29" s="3113" t="s">
        <v>3771</v>
      </c>
      <c r="CE29" s="2448"/>
      <c r="CP29" s="3437" t="s">
        <v>3589</v>
      </c>
      <c r="CS29" s="3437" t="s">
        <v>22</v>
      </c>
      <c r="CT29" s="2299" t="s">
        <v>6502</v>
      </c>
      <c r="CV29" s="2306">
        <v>66</v>
      </c>
      <c r="CX29" s="2718"/>
      <c r="DA29" s="2558"/>
      <c r="DB29" s="2153" t="s">
        <v>7190</v>
      </c>
      <c r="DD29" s="2745"/>
      <c r="DH29" s="2764"/>
      <c r="DK29" s="2577" t="s">
        <v>3415</v>
      </c>
      <c r="DL29" s="2178" t="s">
        <v>4182</v>
      </c>
      <c r="DM29" s="2575" t="s">
        <v>14512</v>
      </c>
      <c r="DO29" s="1892" t="s">
        <v>8212</v>
      </c>
      <c r="DP29" s="1892">
        <v>125112</v>
      </c>
      <c r="DT29" s="2091" t="s">
        <v>1775</v>
      </c>
      <c r="DU29" s="2744"/>
      <c r="DV29" s="2744"/>
      <c r="DW29" s="1511">
        <v>43</v>
      </c>
      <c r="EB29" s="3228" t="s">
        <v>6139</v>
      </c>
      <c r="EI29" s="2689" t="s">
        <v>10348</v>
      </c>
    </row>
    <row r="30" spans="1:144" ht="43.5">
      <c r="A30" s="532"/>
      <c r="D30" s="2689" t="s">
        <v>10187</v>
      </c>
      <c r="H30" s="3442" t="s">
        <v>3133</v>
      </c>
      <c r="I30" s="3442" t="s">
        <v>3152</v>
      </c>
      <c r="J30" s="3442" t="s">
        <v>3133</v>
      </c>
      <c r="K30" s="3437" t="s">
        <v>22</v>
      </c>
      <c r="L30" s="3437" t="s">
        <v>3135</v>
      </c>
      <c r="M30" s="3437" t="s">
        <v>2515</v>
      </c>
      <c r="N30" s="2263"/>
      <c r="P30" s="3438" t="s">
        <v>14449</v>
      </c>
      <c r="AE30" s="2153" t="s">
        <v>5610</v>
      </c>
      <c r="AF30" s="531"/>
      <c r="AN30" s="3283" t="s">
        <v>3184</v>
      </c>
      <c r="AO30" s="3283" t="s">
        <v>3184</v>
      </c>
      <c r="AP30" s="3437" t="s">
        <v>3184</v>
      </c>
      <c r="AQ30" s="3283" t="s">
        <v>3184</v>
      </c>
      <c r="AR30" s="101" t="s">
        <v>8913</v>
      </c>
      <c r="AU30" s="2290" t="s">
        <v>6130</v>
      </c>
      <c r="AV30" s="2154"/>
      <c r="AW30" s="531" t="s">
        <v>8099</v>
      </c>
      <c r="AX30" s="2091" t="s">
        <v>6130</v>
      </c>
      <c r="AY30" s="2091" t="s">
        <v>6130</v>
      </c>
      <c r="AZ30" s="511" t="s">
        <v>7560</v>
      </c>
      <c r="BB30" s="511" t="s">
        <v>7524</v>
      </c>
      <c r="BC30" s="511" t="s">
        <v>1774</v>
      </c>
      <c r="BH30" s="2406">
        <v>1660003183</v>
      </c>
      <c r="BI30" s="2409" t="s">
        <v>2470</v>
      </c>
      <c r="BJ30" s="2466">
        <v>258693</v>
      </c>
      <c r="BK30" s="530"/>
      <c r="BP30" s="2446"/>
      <c r="BQ30" s="511"/>
      <c r="BR30" s="511"/>
      <c r="BT30" s="2744" t="s">
        <v>947</v>
      </c>
      <c r="BU30" s="3126" t="s">
        <v>6863</v>
      </c>
      <c r="BV30" s="3082" t="str">
        <f t="shared" si="0"/>
        <v>{1199004е месяцев</v>
      </c>
      <c r="BW30" s="101"/>
      <c r="BZ30" s="3112" t="s">
        <v>6936</v>
      </c>
      <c r="CA30" s="3113" t="s">
        <v>3750</v>
      </c>
      <c r="CP30" s="3437" t="s">
        <v>3590</v>
      </c>
      <c r="CS30" s="3437" t="s">
        <v>23</v>
      </c>
      <c r="CT30" s="2299" t="s">
        <v>6503</v>
      </c>
      <c r="CV30" s="2306">
        <v>67</v>
      </c>
      <c r="CZ30" s="2448"/>
      <c r="DA30" s="2558"/>
      <c r="DB30" s="2153" t="s">
        <v>7191</v>
      </c>
      <c r="DD30" s="2764"/>
      <c r="DH30" s="2764"/>
      <c r="DK30" s="2577" t="s">
        <v>3422</v>
      </c>
      <c r="DL30" s="2178" t="s">
        <v>4187</v>
      </c>
      <c r="DM30" s="2575" t="s">
        <v>14512</v>
      </c>
      <c r="DO30" s="1892" t="s">
        <v>8213</v>
      </c>
      <c r="DP30" s="1892">
        <v>215886</v>
      </c>
      <c r="DT30" s="2091" t="s">
        <v>7524</v>
      </c>
      <c r="DU30" s="2744"/>
      <c r="DV30" s="2744"/>
      <c r="DW30" s="1511">
        <v>44</v>
      </c>
      <c r="EB30" s="3228" t="s">
        <v>6140</v>
      </c>
      <c r="EI30" s="2689" t="s">
        <v>10349</v>
      </c>
    </row>
    <row r="31" spans="1:144" ht="58">
      <c r="A31" s="532"/>
      <c r="D31" s="2689" t="s">
        <v>10188</v>
      </c>
      <c r="H31" s="3442" t="s">
        <v>3135</v>
      </c>
      <c r="I31" s="3442" t="s">
        <v>3152</v>
      </c>
      <c r="J31" s="3442" t="s">
        <v>3135</v>
      </c>
      <c r="K31" s="3437" t="s">
        <v>23</v>
      </c>
      <c r="L31" s="3437" t="s">
        <v>3137</v>
      </c>
      <c r="M31" s="3437" t="s">
        <v>2516</v>
      </c>
      <c r="N31" s="2263"/>
      <c r="P31" s="3438" t="s">
        <v>14457</v>
      </c>
      <c r="AE31" s="2153" t="s">
        <v>5611</v>
      </c>
      <c r="AN31" s="3283" t="s">
        <v>1202</v>
      </c>
      <c r="AO31" s="3283" t="s">
        <v>1202</v>
      </c>
      <c r="AP31" s="3437" t="s">
        <v>1202</v>
      </c>
      <c r="AQ31" s="3283" t="s">
        <v>1202</v>
      </c>
      <c r="AR31" s="101" t="s">
        <v>8914</v>
      </c>
      <c r="AU31" s="2290" t="s">
        <v>6131</v>
      </c>
      <c r="AV31" s="2154"/>
      <c r="AW31" s="531" t="s">
        <v>5336</v>
      </c>
      <c r="AX31" s="2091" t="s">
        <v>6131</v>
      </c>
      <c r="AY31" s="2091" t="s">
        <v>6131</v>
      </c>
      <c r="AZ31" s="511" t="s">
        <v>7561</v>
      </c>
      <c r="BB31" s="511" t="s">
        <v>1776</v>
      </c>
      <c r="BC31" s="511" t="s">
        <v>1775</v>
      </c>
      <c r="BH31" s="2406">
        <v>1660075893</v>
      </c>
      <c r="BI31" s="2409" t="s">
        <v>2364</v>
      </c>
      <c r="BJ31" s="2466">
        <v>345718</v>
      </c>
      <c r="BK31" s="530"/>
      <c r="BL31" s="3083"/>
      <c r="BM31" s="3083"/>
      <c r="BN31" s="3083"/>
      <c r="BP31" s="3083"/>
      <c r="BQ31" s="511"/>
      <c r="BR31" s="511"/>
      <c r="BT31" s="511" t="s">
        <v>948</v>
      </c>
      <c r="BU31" s="3126" t="s">
        <v>5742</v>
      </c>
      <c r="BV31" s="3082" t="str">
        <f t="shared" si="0"/>
        <v>{1199999тельности</v>
      </c>
      <c r="BW31" s="101"/>
      <c r="BZ31" s="3112" t="s">
        <v>7033</v>
      </c>
      <c r="CA31" s="3113" t="s">
        <v>3829</v>
      </c>
      <c r="CP31" s="3437" t="s">
        <v>7140</v>
      </c>
      <c r="CS31" s="3437" t="s">
        <v>2498</v>
      </c>
      <c r="CT31" s="2299" t="s">
        <v>6504</v>
      </c>
      <c r="CV31" s="2306">
        <v>68</v>
      </c>
      <c r="DA31" s="2558"/>
      <c r="DB31" s="2153" t="s">
        <v>7192</v>
      </c>
      <c r="DD31" s="2764"/>
      <c r="DH31" s="2764"/>
      <c r="DK31" s="2577" t="s">
        <v>3428</v>
      </c>
      <c r="DL31" s="2178" t="s">
        <v>4188</v>
      </c>
      <c r="DM31" s="2575" t="s">
        <v>14512</v>
      </c>
      <c r="DO31" s="1892" t="s">
        <v>8214</v>
      </c>
      <c r="DP31" s="1892">
        <v>125111</v>
      </c>
      <c r="DT31" s="2091" t="s">
        <v>1776</v>
      </c>
      <c r="DU31" s="2744"/>
      <c r="DV31" s="2744"/>
      <c r="DW31" s="1511">
        <v>45</v>
      </c>
      <c r="EB31" s="3228" t="s">
        <v>8662</v>
      </c>
      <c r="EI31" s="2689" t="s">
        <v>10350</v>
      </c>
    </row>
    <row r="32" spans="1:144" ht="87">
      <c r="A32" s="532"/>
      <c r="D32" s="2689" t="s">
        <v>10189</v>
      </c>
      <c r="H32" s="3442" t="s">
        <v>3137</v>
      </c>
      <c r="I32" s="3442" t="s">
        <v>3152</v>
      </c>
      <c r="J32" s="3442" t="s">
        <v>3137</v>
      </c>
      <c r="K32" s="3437" t="s">
        <v>2498</v>
      </c>
      <c r="L32" s="3437" t="s">
        <v>3139</v>
      </c>
      <c r="M32" s="3437" t="s">
        <v>2517</v>
      </c>
      <c r="N32" s="2263"/>
      <c r="P32" s="3438" t="s">
        <v>14454</v>
      </c>
      <c r="AE32" s="2153" t="s">
        <v>5612</v>
      </c>
      <c r="AN32" s="3283" t="s">
        <v>1203</v>
      </c>
      <c r="AO32" s="3283" t="s">
        <v>1203</v>
      </c>
      <c r="AP32" s="3437" t="s">
        <v>1203</v>
      </c>
      <c r="AQ32" s="3283" t="s">
        <v>1203</v>
      </c>
      <c r="AR32" s="101" t="s">
        <v>8915</v>
      </c>
      <c r="AU32" s="2290" t="s">
        <v>8668</v>
      </c>
      <c r="AV32" s="2154"/>
      <c r="AW32" s="531" t="s">
        <v>1344</v>
      </c>
      <c r="AX32" s="2091" t="s">
        <v>8668</v>
      </c>
      <c r="AY32" s="2091" t="s">
        <v>8668</v>
      </c>
      <c r="AZ32" s="511" t="s">
        <v>7562</v>
      </c>
      <c r="BB32" s="511" t="s">
        <v>1777</v>
      </c>
      <c r="BC32" s="511" t="s">
        <v>7524</v>
      </c>
      <c r="BH32" s="2406">
        <v>1660137677</v>
      </c>
      <c r="BI32" s="2409" t="s">
        <v>2707</v>
      </c>
      <c r="BJ32" s="2466">
        <v>265502</v>
      </c>
      <c r="BK32" s="530"/>
      <c r="BQ32" s="2744"/>
      <c r="BR32" s="2744"/>
      <c r="BT32" s="2744" t="s">
        <v>949</v>
      </c>
      <c r="BU32" s="3126" t="s">
        <v>274</v>
      </c>
      <c r="BV32" s="3082" t="str">
        <f t="shared" si="0"/>
        <v>{1210101х изделий</v>
      </c>
      <c r="BW32" s="101"/>
      <c r="BZ32" s="3112" t="s">
        <v>6944</v>
      </c>
      <c r="CA32" s="3113" t="s">
        <v>3758</v>
      </c>
      <c r="CO32" s="2765"/>
      <c r="CP32" s="3437" t="s">
        <v>8499</v>
      </c>
      <c r="CS32" s="3437" t="s">
        <v>24</v>
      </c>
      <c r="CT32" s="2299" t="s">
        <v>6505</v>
      </c>
      <c r="CV32" s="2306">
        <v>69</v>
      </c>
      <c r="CZ32" s="2448"/>
      <c r="DA32" s="2558"/>
      <c r="DB32" s="2153" t="s">
        <v>7193</v>
      </c>
      <c r="DD32" s="2745"/>
      <c r="DH32" s="2764"/>
      <c r="DK32" s="2577" t="s">
        <v>2094</v>
      </c>
      <c r="DL32" s="2178" t="s">
        <v>4188</v>
      </c>
      <c r="DM32" s="2575" t="s">
        <v>14512</v>
      </c>
      <c r="DO32" s="1892" t="s">
        <v>8215</v>
      </c>
      <c r="DP32" s="1892">
        <v>150675</v>
      </c>
      <c r="DT32" s="2091" t="s">
        <v>1777</v>
      </c>
      <c r="DU32" s="2744"/>
      <c r="DV32" s="2744"/>
      <c r="DW32" s="1511">
        <v>46</v>
      </c>
      <c r="EB32" s="3228" t="s">
        <v>9817</v>
      </c>
      <c r="EI32" s="2689" t="s">
        <v>10351</v>
      </c>
    </row>
    <row r="33" spans="1:139" ht="72.5">
      <c r="A33" s="532"/>
      <c r="D33" s="2689" t="s">
        <v>10190</v>
      </c>
      <c r="H33" s="3442" t="s">
        <v>3139</v>
      </c>
      <c r="I33" s="3442" t="s">
        <v>3152</v>
      </c>
      <c r="J33" s="3442" t="s">
        <v>3139</v>
      </c>
      <c r="K33" s="3437" t="s">
        <v>24</v>
      </c>
      <c r="L33" s="3437" t="s">
        <v>3141</v>
      </c>
      <c r="M33" s="3437" t="s">
        <v>2519</v>
      </c>
      <c r="N33" s="2263"/>
      <c r="P33" s="3438" t="s">
        <v>14456</v>
      </c>
      <c r="AE33" s="2153" t="s">
        <v>5613</v>
      </c>
      <c r="AF33" s="2744"/>
      <c r="AN33" s="3283" t="s">
        <v>1204</v>
      </c>
      <c r="AO33" s="3283" t="s">
        <v>1204</v>
      </c>
      <c r="AP33" s="3437" t="s">
        <v>1204</v>
      </c>
      <c r="AQ33" s="3283" t="s">
        <v>1204</v>
      </c>
      <c r="AR33" s="101" t="s">
        <v>8916</v>
      </c>
      <c r="AU33" s="2290" t="s">
        <v>9818</v>
      </c>
      <c r="AV33" s="2154"/>
      <c r="AW33" s="531" t="s">
        <v>5867</v>
      </c>
      <c r="AX33" s="2091" t="s">
        <v>9818</v>
      </c>
      <c r="AY33" s="2091" t="s">
        <v>9818</v>
      </c>
      <c r="AZ33" s="2091" t="s">
        <v>7563</v>
      </c>
      <c r="BB33" s="511" t="s">
        <v>1778</v>
      </c>
      <c r="BC33" s="511" t="s">
        <v>1776</v>
      </c>
      <c r="BH33" s="2406">
        <v>1661010120</v>
      </c>
      <c r="BI33" s="2409" t="s">
        <v>3611</v>
      </c>
      <c r="BJ33" s="2466">
        <v>209884</v>
      </c>
      <c r="BK33" s="530"/>
      <c r="BP33" s="3083"/>
      <c r="BQ33" s="511"/>
      <c r="BR33" s="511"/>
      <c r="BT33" s="511" t="s">
        <v>950</v>
      </c>
      <c r="BU33" s="3126" t="s">
        <v>275</v>
      </c>
      <c r="BV33" s="3082" t="str">
        <f t="shared" si="0"/>
        <v>{1210102репродажи</v>
      </c>
      <c r="BW33" s="101"/>
      <c r="BZ33" s="3112" t="s">
        <v>6987</v>
      </c>
      <c r="CA33" s="3113" t="s">
        <v>3910</v>
      </c>
      <c r="CP33" s="3437" t="s">
        <v>8500</v>
      </c>
      <c r="CS33" s="3437" t="s">
        <v>25</v>
      </c>
      <c r="CT33" s="2299" t="s">
        <v>6506</v>
      </c>
      <c r="CV33" s="2306">
        <v>70</v>
      </c>
      <c r="DA33" s="2558"/>
      <c r="DB33" s="2153" t="s">
        <v>7194</v>
      </c>
      <c r="DD33" s="2764"/>
      <c r="DH33" s="2764"/>
      <c r="DK33" s="2577" t="s">
        <v>3430</v>
      </c>
      <c r="DL33" s="2178" t="s">
        <v>4195</v>
      </c>
      <c r="DM33" s="2575" t="s">
        <v>14512</v>
      </c>
      <c r="DO33" s="1892" t="s">
        <v>8216</v>
      </c>
      <c r="DP33" s="1892">
        <v>553829</v>
      </c>
      <c r="DT33" s="2091" t="s">
        <v>1778</v>
      </c>
      <c r="DU33" s="2744"/>
      <c r="DV33" s="2744"/>
      <c r="DW33" s="1511" t="s">
        <v>8797</v>
      </c>
      <c r="EB33" s="3228" t="s">
        <v>10044</v>
      </c>
      <c r="EI33" s="2689" t="s">
        <v>10352</v>
      </c>
    </row>
    <row r="34" spans="1:139" ht="58">
      <c r="A34" s="532"/>
      <c r="D34" s="2689" t="s">
        <v>9883</v>
      </c>
      <c r="H34" s="3442" t="s">
        <v>3141</v>
      </c>
      <c r="I34" s="3442" t="s">
        <v>3152</v>
      </c>
      <c r="J34" s="3442" t="s">
        <v>3141</v>
      </c>
      <c r="K34" s="3437" t="s">
        <v>25</v>
      </c>
      <c r="L34" s="3437" t="s">
        <v>3143</v>
      </c>
      <c r="M34" s="3437" t="s">
        <v>7521</v>
      </c>
      <c r="N34" s="2263"/>
      <c r="P34" s="3438" t="s">
        <v>14455</v>
      </c>
      <c r="AE34" s="2153" t="s">
        <v>5614</v>
      </c>
      <c r="AN34" s="3283" t="s">
        <v>1205</v>
      </c>
      <c r="AO34" s="3283" t="s">
        <v>1205</v>
      </c>
      <c r="AP34" s="3437" t="s">
        <v>1205</v>
      </c>
      <c r="AQ34" s="3283" t="s">
        <v>1205</v>
      </c>
      <c r="AR34" s="101" t="s">
        <v>8917</v>
      </c>
      <c r="AU34" s="2290" t="s">
        <v>10043</v>
      </c>
      <c r="AV34" s="2154"/>
      <c r="AW34" s="2091" t="s">
        <v>6141</v>
      </c>
      <c r="AX34" s="2091" t="s">
        <v>10043</v>
      </c>
      <c r="AY34" s="2091" t="s">
        <v>10043</v>
      </c>
      <c r="AZ34" s="2091" t="s">
        <v>7542</v>
      </c>
      <c r="BB34" s="511" t="s">
        <v>1779</v>
      </c>
      <c r="BC34" s="511" t="s">
        <v>1777</v>
      </c>
      <c r="BH34" s="2406">
        <v>1701029232</v>
      </c>
      <c r="BI34" s="2409" t="s">
        <v>2441</v>
      </c>
      <c r="BJ34" s="2466">
        <v>122357</v>
      </c>
      <c r="BK34" s="530"/>
      <c r="BQ34" s="511"/>
      <c r="BR34" s="511"/>
      <c r="BT34" s="2744"/>
      <c r="BU34" s="3126" t="s">
        <v>276</v>
      </c>
      <c r="BV34" s="3082" t="str">
        <f t="shared" si="0"/>
        <v>{1210199ценностей</v>
      </c>
      <c r="BW34" s="101"/>
      <c r="BZ34" s="3112" t="s">
        <v>6937</v>
      </c>
      <c r="CA34" s="3113" t="s">
        <v>3751</v>
      </c>
      <c r="CP34" s="3437" t="s">
        <v>8501</v>
      </c>
      <c r="CS34" s="3437" t="s">
        <v>2499</v>
      </c>
      <c r="CT34" s="2299" t="s">
        <v>6507</v>
      </c>
      <c r="CV34" s="2306">
        <v>71</v>
      </c>
      <c r="DA34" s="2558"/>
      <c r="DB34" s="2153" t="s">
        <v>7195</v>
      </c>
      <c r="DD34" s="2764"/>
      <c r="DH34" s="2764"/>
      <c r="DK34" s="2577" t="s">
        <v>5884</v>
      </c>
      <c r="DL34" s="2178" t="s">
        <v>2095</v>
      </c>
      <c r="DM34" s="2575" t="s">
        <v>14512</v>
      </c>
      <c r="DO34" s="1892" t="s">
        <v>8217</v>
      </c>
      <c r="DP34" s="1892">
        <v>553835</v>
      </c>
      <c r="DT34" s="2091" t="s">
        <v>1779</v>
      </c>
      <c r="DU34" s="2744"/>
      <c r="DV34" s="2744"/>
      <c r="DW34" s="1511" t="s">
        <v>8798</v>
      </c>
      <c r="EI34" s="2689" t="s">
        <v>10353</v>
      </c>
    </row>
    <row r="35" spans="1:139" ht="58">
      <c r="A35" s="532"/>
      <c r="D35" s="2689" t="s">
        <v>9882</v>
      </c>
      <c r="H35" s="3442" t="s">
        <v>3143</v>
      </c>
      <c r="I35" s="3442" t="s">
        <v>3152</v>
      </c>
      <c r="J35" s="3442" t="s">
        <v>3143</v>
      </c>
      <c r="K35" s="3437" t="s">
        <v>2499</v>
      </c>
      <c r="L35" s="3437" t="s">
        <v>3144</v>
      </c>
      <c r="M35" s="3437" t="s">
        <v>7522</v>
      </c>
      <c r="N35" s="2263"/>
      <c r="P35" s="3438" t="s">
        <v>10279</v>
      </c>
      <c r="AE35" s="2153" t="s">
        <v>5615</v>
      </c>
      <c r="AN35" s="3283" t="s">
        <v>68</v>
      </c>
      <c r="AO35" s="3283" t="s">
        <v>68</v>
      </c>
      <c r="AP35" s="3437" t="s">
        <v>68</v>
      </c>
      <c r="AQ35" s="3283" t="s">
        <v>68</v>
      </c>
      <c r="AR35" s="101" t="s">
        <v>8918</v>
      </c>
      <c r="AU35" s="2290" t="s">
        <v>14523</v>
      </c>
      <c r="AV35" s="2154"/>
      <c r="AW35" s="2091" t="s">
        <v>6142</v>
      </c>
      <c r="AX35" s="2091" t="s">
        <v>14523</v>
      </c>
      <c r="AY35" s="2091" t="s">
        <v>14523</v>
      </c>
      <c r="AZ35" s="2091" t="s">
        <v>7543</v>
      </c>
      <c r="BB35" s="511" t="s">
        <v>1780</v>
      </c>
      <c r="BC35" s="511" t="s">
        <v>1778</v>
      </c>
      <c r="BH35" s="2406">
        <v>1701040660</v>
      </c>
      <c r="BI35" s="2409" t="s">
        <v>2442</v>
      </c>
      <c r="BJ35" s="2466">
        <v>198214</v>
      </c>
      <c r="BK35" s="530"/>
      <c r="BP35" s="2446"/>
      <c r="BQ35" s="511"/>
      <c r="BR35" s="511"/>
      <c r="BT35" s="2744"/>
      <c r="BU35" s="3126" t="s">
        <v>5746</v>
      </c>
      <c r="BV35" s="3082" t="str">
        <f t="shared" si="0"/>
        <v>{1210200м энергии</v>
      </c>
      <c r="BW35" s="101"/>
      <c r="BZ35" s="3112" t="s">
        <v>7030</v>
      </c>
      <c r="CA35" s="3113" t="s">
        <v>3826</v>
      </c>
      <c r="CP35" s="3437" t="s">
        <v>4819</v>
      </c>
      <c r="CS35" s="3437" t="s">
        <v>26</v>
      </c>
      <c r="CT35" s="2299" t="s">
        <v>6508</v>
      </c>
      <c r="CV35" s="2306">
        <v>73</v>
      </c>
      <c r="DA35" s="2558"/>
      <c r="DB35" s="2153" t="s">
        <v>7196</v>
      </c>
      <c r="DD35" s="2745"/>
      <c r="DH35" s="2764"/>
      <c r="DK35" s="3264" t="s">
        <v>10037</v>
      </c>
      <c r="DL35" s="2178" t="s">
        <v>10041</v>
      </c>
      <c r="DM35" s="2575" t="s">
        <v>14512</v>
      </c>
      <c r="DO35" s="1892" t="s">
        <v>8218</v>
      </c>
      <c r="DP35" s="1892">
        <v>146345</v>
      </c>
      <c r="DT35" s="2091" t="s">
        <v>1780</v>
      </c>
      <c r="DU35" s="2744"/>
      <c r="DV35" s="2744"/>
      <c r="DW35" s="1511" t="s">
        <v>8799</v>
      </c>
      <c r="EI35" s="2689" t="s">
        <v>10354</v>
      </c>
    </row>
    <row r="36" spans="1:139" ht="43.5">
      <c r="A36" s="532"/>
      <c r="D36" s="2689" t="s">
        <v>9693</v>
      </c>
      <c r="H36" s="3442" t="s">
        <v>3144</v>
      </c>
      <c r="I36" s="3442" t="s">
        <v>3152</v>
      </c>
      <c r="J36" s="3442" t="s">
        <v>3144</v>
      </c>
      <c r="K36" s="3437" t="s">
        <v>26</v>
      </c>
      <c r="L36" s="3437" t="s">
        <v>3145</v>
      </c>
      <c r="M36" s="3437" t="s">
        <v>2521</v>
      </c>
      <c r="N36" s="2263"/>
      <c r="P36" s="3438" t="s">
        <v>10280</v>
      </c>
      <c r="AE36" s="2153" t="s">
        <v>5616</v>
      </c>
      <c r="AN36" s="3283" t="s">
        <v>8130</v>
      </c>
      <c r="AO36" s="3283" t="s">
        <v>8130</v>
      </c>
      <c r="AP36" s="3437" t="s">
        <v>8130</v>
      </c>
      <c r="AQ36" s="3283" t="s">
        <v>8130</v>
      </c>
      <c r="AR36" s="101" t="s">
        <v>8919</v>
      </c>
      <c r="AU36" s="2154" t="s">
        <v>8100</v>
      </c>
      <c r="AV36" s="2154"/>
      <c r="AW36" s="2091" t="s">
        <v>6143</v>
      </c>
      <c r="AX36" s="531" t="s">
        <v>8100</v>
      </c>
      <c r="AY36" s="2744" t="s">
        <v>8100</v>
      </c>
      <c r="AZ36" s="511" t="s">
        <v>7564</v>
      </c>
      <c r="BB36" s="511" t="s">
        <v>1781</v>
      </c>
      <c r="BC36" s="511" t="s">
        <v>1779</v>
      </c>
      <c r="BH36" s="2406">
        <v>1826000260</v>
      </c>
      <c r="BI36" s="2409" t="s">
        <v>1917</v>
      </c>
      <c r="BJ36" s="2466">
        <v>108122</v>
      </c>
      <c r="BK36" s="530"/>
      <c r="BP36" s="2446"/>
      <c r="BQ36" s="511"/>
      <c r="BR36" s="511"/>
      <c r="BT36" s="2744"/>
      <c r="BU36" s="3126" t="s">
        <v>5747</v>
      </c>
      <c r="BV36" s="3082" t="str">
        <f t="shared" si="0"/>
        <v>{1210301нию с ОЯТ</v>
      </c>
      <c r="BW36" s="101"/>
      <c r="BZ36" s="3112" t="s">
        <v>7013</v>
      </c>
      <c r="CA36" s="3113" t="s">
        <v>2877</v>
      </c>
      <c r="CP36" s="3437" t="s">
        <v>259</v>
      </c>
      <c r="CS36" s="3437" t="s">
        <v>27</v>
      </c>
      <c r="CT36" s="2299" t="s">
        <v>6509</v>
      </c>
      <c r="CV36" s="2306">
        <v>75</v>
      </c>
      <c r="DA36" s="2558"/>
      <c r="DB36" s="2153" t="s">
        <v>7197</v>
      </c>
      <c r="DD36" s="2764"/>
      <c r="DH36" s="2764"/>
      <c r="DK36" s="2577" t="s">
        <v>3432</v>
      </c>
      <c r="DL36" s="2178" t="s">
        <v>2096</v>
      </c>
      <c r="DM36" s="2575" t="s">
        <v>7887</v>
      </c>
      <c r="DO36" s="1892" t="s">
        <v>8219</v>
      </c>
      <c r="DP36" s="1892">
        <v>155112</v>
      </c>
      <c r="DT36" s="2091" t="s">
        <v>1781</v>
      </c>
      <c r="DU36" s="2744"/>
      <c r="DV36" s="2744"/>
      <c r="DW36" s="1511" t="s">
        <v>8800</v>
      </c>
      <c r="EI36" s="2689" t="s">
        <v>10355</v>
      </c>
    </row>
    <row r="37" spans="1:139" ht="43.5">
      <c r="A37" s="532"/>
      <c r="D37" s="2689" t="s">
        <v>6324</v>
      </c>
      <c r="H37" s="3442" t="s">
        <v>3145</v>
      </c>
      <c r="I37" s="3442" t="s">
        <v>3152</v>
      </c>
      <c r="J37" s="3442" t="s">
        <v>3145</v>
      </c>
      <c r="K37" s="3437" t="s">
        <v>27</v>
      </c>
      <c r="L37" s="3437" t="s">
        <v>3147</v>
      </c>
      <c r="M37" s="3437" t="s">
        <v>2523</v>
      </c>
      <c r="N37" s="2263"/>
      <c r="AE37" s="2153" t="s">
        <v>5617</v>
      </c>
      <c r="AN37" s="3283" t="s">
        <v>8131</v>
      </c>
      <c r="AO37" s="3283" t="s">
        <v>8131</v>
      </c>
      <c r="AP37" s="3437" t="s">
        <v>8131</v>
      </c>
      <c r="AQ37" s="3283" t="s">
        <v>8131</v>
      </c>
      <c r="AR37" s="101" t="s">
        <v>8920</v>
      </c>
      <c r="AU37" s="2154" t="s">
        <v>8101</v>
      </c>
      <c r="AV37" s="2154"/>
      <c r="AW37" s="2091" t="s">
        <v>8663</v>
      </c>
      <c r="AX37" s="531" t="s">
        <v>8101</v>
      </c>
      <c r="AY37" s="2744" t="s">
        <v>8101</v>
      </c>
      <c r="AZ37" s="511" t="s">
        <v>7565</v>
      </c>
      <c r="BB37" s="511" t="s">
        <v>14471</v>
      </c>
      <c r="BC37" s="511" t="s">
        <v>1780</v>
      </c>
      <c r="BH37" s="2406">
        <v>1829002026</v>
      </c>
      <c r="BI37" s="2409" t="s">
        <v>1939</v>
      </c>
      <c r="BJ37" s="2466">
        <v>151971</v>
      </c>
      <c r="BK37" s="530"/>
      <c r="BQ37" s="511"/>
      <c r="BR37" s="511"/>
      <c r="BT37" s="2744"/>
      <c r="BU37" s="3126" t="s">
        <v>5748</v>
      </c>
      <c r="BV37" s="3082" t="str">
        <f t="shared" si="0"/>
        <v>{1210302нию с РАО</v>
      </c>
      <c r="BW37" s="101"/>
      <c r="BZ37" s="3112" t="s">
        <v>7034</v>
      </c>
      <c r="CA37" s="3113" t="s">
        <v>3830</v>
      </c>
      <c r="CP37" s="3437" t="s">
        <v>6079</v>
      </c>
      <c r="CQ37" s="2802"/>
      <c r="CS37" s="3437" t="s">
        <v>2500</v>
      </c>
      <c r="CT37" s="2299" t="s">
        <v>6510</v>
      </c>
      <c r="CV37" s="2306">
        <v>76</v>
      </c>
      <c r="DA37" s="2558"/>
      <c r="DB37" s="2153" t="s">
        <v>7198</v>
      </c>
      <c r="DD37" s="2764"/>
      <c r="DH37" s="2764"/>
      <c r="DK37" s="2577">
        <v>10</v>
      </c>
      <c r="DL37" s="2178" t="s">
        <v>2097</v>
      </c>
      <c r="DM37" s="2575" t="s">
        <v>7495</v>
      </c>
      <c r="DO37" s="1892" t="s">
        <v>8220</v>
      </c>
      <c r="DP37" s="1892">
        <v>189882</v>
      </c>
      <c r="DT37" s="2091" t="s">
        <v>14471</v>
      </c>
      <c r="DU37" s="2744"/>
      <c r="DV37" s="2744"/>
      <c r="DW37" s="1511" t="s">
        <v>8801</v>
      </c>
      <c r="EI37" s="2689" t="s">
        <v>10356</v>
      </c>
    </row>
    <row r="38" spans="1:139" ht="67.5" customHeight="1">
      <c r="A38" s="532"/>
      <c r="D38" s="2689" t="s">
        <v>6186</v>
      </c>
      <c r="H38" s="3442" t="s">
        <v>3147</v>
      </c>
      <c r="I38" s="3442" t="s">
        <v>3104</v>
      </c>
      <c r="J38" s="3442" t="s">
        <v>3147</v>
      </c>
      <c r="K38" s="3437" t="s">
        <v>2500</v>
      </c>
      <c r="L38" s="3437" t="s">
        <v>3148</v>
      </c>
      <c r="M38" s="3437" t="s">
        <v>2525</v>
      </c>
      <c r="N38" s="2263"/>
      <c r="AE38" s="2153" t="s">
        <v>5618</v>
      </c>
      <c r="AN38" s="3283" t="s">
        <v>3185</v>
      </c>
      <c r="AO38" s="3283" t="s">
        <v>3185</v>
      </c>
      <c r="AP38" s="3437" t="s">
        <v>3185</v>
      </c>
      <c r="AQ38" s="3283" t="s">
        <v>3185</v>
      </c>
      <c r="AR38" s="101" t="s">
        <v>8921</v>
      </c>
      <c r="AU38" s="2154" t="s">
        <v>8102</v>
      </c>
      <c r="AV38" s="2290"/>
      <c r="AW38" s="2091" t="s">
        <v>9819</v>
      </c>
      <c r="AX38" s="531" t="s">
        <v>8102</v>
      </c>
      <c r="AY38" s="2744" t="s">
        <v>8102</v>
      </c>
      <c r="AZ38" s="511" t="s">
        <v>7566</v>
      </c>
      <c r="BB38" s="511" t="s">
        <v>14470</v>
      </c>
      <c r="BC38" s="511" t="s">
        <v>1781</v>
      </c>
      <c r="BH38" s="2406">
        <v>1829013814</v>
      </c>
      <c r="BI38" s="2409" t="s">
        <v>2392</v>
      </c>
      <c r="BJ38" s="2466">
        <v>108262</v>
      </c>
      <c r="BK38" s="530"/>
      <c r="BQ38" s="511"/>
      <c r="BR38" s="511"/>
      <c r="BT38" s="2744"/>
      <c r="BU38" s="3126" t="s">
        <v>5749</v>
      </c>
      <c r="BV38" s="3082" t="str">
        <f t="shared" si="0"/>
        <v>{1210303богащению</v>
      </c>
      <c r="BW38" s="101"/>
      <c r="BZ38" s="3112" t="s">
        <v>7032</v>
      </c>
      <c r="CA38" s="3113" t="s">
        <v>3828</v>
      </c>
      <c r="CP38" s="3437" t="s">
        <v>4822</v>
      </c>
      <c r="CQ38" s="2802"/>
      <c r="CS38" s="3437" t="s">
        <v>1461</v>
      </c>
      <c r="CT38" s="2299" t="s">
        <v>6511</v>
      </c>
      <c r="CV38" s="2306">
        <v>77</v>
      </c>
      <c r="DA38" s="2558"/>
      <c r="DB38" s="2153" t="s">
        <v>7199</v>
      </c>
      <c r="DD38" s="2764"/>
      <c r="DH38" s="2764"/>
      <c r="DK38" s="2577" t="s">
        <v>2822</v>
      </c>
      <c r="DL38" s="2178" t="s">
        <v>2098</v>
      </c>
      <c r="DM38" s="2575" t="s">
        <v>7495</v>
      </c>
      <c r="DO38" s="1892" t="s">
        <v>8221</v>
      </c>
      <c r="DP38" s="1892">
        <v>553828</v>
      </c>
      <c r="DT38" s="2091" t="s">
        <v>14470</v>
      </c>
      <c r="DU38" s="2744"/>
      <c r="DV38" s="2744"/>
      <c r="DW38" s="1511" t="s">
        <v>8802</v>
      </c>
      <c r="EI38" s="2689" t="s">
        <v>10357</v>
      </c>
    </row>
    <row r="39" spans="1:139" ht="43.5">
      <c r="A39" s="532"/>
      <c r="D39" s="2689" t="s">
        <v>6238</v>
      </c>
      <c r="G39" s="2744"/>
      <c r="H39" s="3633" t="s">
        <v>3148</v>
      </c>
      <c r="I39" s="3139"/>
      <c r="J39" s="3442" t="s">
        <v>3148</v>
      </c>
      <c r="K39" s="3437" t="s">
        <v>1461</v>
      </c>
      <c r="L39" s="3437" t="s">
        <v>14376</v>
      </c>
      <c r="M39" s="3437" t="s">
        <v>2527</v>
      </c>
      <c r="N39" s="2263"/>
      <c r="AE39" s="2153" t="s">
        <v>6029</v>
      </c>
      <c r="AN39" s="3283" t="s">
        <v>3186</v>
      </c>
      <c r="AO39" s="3283" t="s">
        <v>3186</v>
      </c>
      <c r="AP39" s="3437" t="s">
        <v>3186</v>
      </c>
      <c r="AQ39" s="3283" t="s">
        <v>3186</v>
      </c>
      <c r="AR39" s="101" t="s">
        <v>8922</v>
      </c>
      <c r="AU39" s="2154" t="s">
        <v>8103</v>
      </c>
      <c r="AV39" s="2290"/>
      <c r="AW39" s="2091" t="s">
        <v>10063</v>
      </c>
      <c r="AX39" s="531" t="s">
        <v>8103</v>
      </c>
      <c r="AY39" s="2744" t="s">
        <v>8103</v>
      </c>
      <c r="AZ39" s="511" t="s">
        <v>7567</v>
      </c>
      <c r="BB39" s="511" t="s">
        <v>14469</v>
      </c>
      <c r="BC39" s="511" t="s">
        <v>14471</v>
      </c>
      <c r="BH39" s="2406">
        <v>1831044305</v>
      </c>
      <c r="BI39" s="2409" t="s">
        <v>2363</v>
      </c>
      <c r="BJ39" s="2466">
        <v>152014</v>
      </c>
      <c r="BK39" s="530"/>
      <c r="BQ39" s="2744"/>
      <c r="BR39" s="2744"/>
      <c r="BT39" s="2744"/>
      <c r="BU39" s="3126" t="s">
        <v>5750</v>
      </c>
      <c r="BV39" s="3082" t="str">
        <f t="shared" si="0"/>
        <v>{1210304реработке</v>
      </c>
      <c r="BW39" s="101"/>
      <c r="BZ39" s="3112" t="s">
        <v>7036</v>
      </c>
      <c r="CA39" s="3113" t="s">
        <v>3832</v>
      </c>
      <c r="CP39" s="3437" t="s">
        <v>4823</v>
      </c>
      <c r="CQ39" s="2802"/>
      <c r="CS39" s="3437" t="s">
        <v>2503</v>
      </c>
      <c r="CT39" s="2299" t="s">
        <v>6512</v>
      </c>
      <c r="CV39" s="2306">
        <v>78</v>
      </c>
      <c r="DA39" s="2558"/>
      <c r="DB39" s="2153" t="s">
        <v>7200</v>
      </c>
      <c r="DD39" s="2764"/>
      <c r="DH39" s="2764"/>
      <c r="DK39" s="2577">
        <v>14</v>
      </c>
      <c r="DL39" s="2178" t="s">
        <v>5583</v>
      </c>
      <c r="DM39" s="2575" t="s">
        <v>7495</v>
      </c>
      <c r="DO39" s="1892" t="s">
        <v>8222</v>
      </c>
      <c r="DP39" s="1892">
        <v>553848</v>
      </c>
      <c r="DT39" s="2091" t="s">
        <v>14469</v>
      </c>
      <c r="DU39" s="2744"/>
      <c r="DV39" s="2744"/>
      <c r="DW39" s="1511" t="s">
        <v>8803</v>
      </c>
      <c r="EI39" s="2689" t="s">
        <v>10358</v>
      </c>
    </row>
    <row r="40" spans="1:139" ht="43.5">
      <c r="A40" s="532"/>
      <c r="D40" s="2689" t="s">
        <v>7426</v>
      </c>
      <c r="G40" s="2744"/>
      <c r="H40" s="3442" t="s">
        <v>14376</v>
      </c>
      <c r="I40" s="3442" t="s">
        <v>3104</v>
      </c>
      <c r="J40" s="3442" t="s">
        <v>14376</v>
      </c>
      <c r="K40" s="3437" t="s">
        <v>2503</v>
      </c>
      <c r="L40" s="3437" t="s">
        <v>14377</v>
      </c>
      <c r="M40" s="3437" t="s">
        <v>2529</v>
      </c>
      <c r="N40" s="2263"/>
      <c r="AE40" s="2153" t="s">
        <v>5619</v>
      </c>
      <c r="AN40" s="3283" t="s">
        <v>3187</v>
      </c>
      <c r="AO40" s="3283" t="s">
        <v>3187</v>
      </c>
      <c r="AP40" s="3437" t="s">
        <v>3187</v>
      </c>
      <c r="AQ40" s="3283" t="s">
        <v>3187</v>
      </c>
      <c r="AR40" s="101" t="s">
        <v>8923</v>
      </c>
      <c r="AU40" s="2154" t="s">
        <v>8104</v>
      </c>
      <c r="AV40" s="2290"/>
      <c r="AW40" s="2091" t="s">
        <v>14527</v>
      </c>
      <c r="AX40" s="531" t="s">
        <v>8104</v>
      </c>
      <c r="AY40" s="2744" t="s">
        <v>8104</v>
      </c>
      <c r="AZ40" s="511" t="s">
        <v>7568</v>
      </c>
      <c r="BB40" s="511" t="s">
        <v>1782</v>
      </c>
      <c r="BC40" s="511" t="s">
        <v>14470</v>
      </c>
      <c r="BH40" s="2406">
        <v>1832056110</v>
      </c>
      <c r="BI40" s="2409" t="s">
        <v>2956</v>
      </c>
      <c r="BJ40" s="2466">
        <v>108567</v>
      </c>
      <c r="BK40" s="530"/>
      <c r="BQ40" s="511"/>
      <c r="BR40" s="511"/>
      <c r="BT40" s="2744"/>
      <c r="BU40" s="3126" t="s">
        <v>5751</v>
      </c>
      <c r="BV40" s="3082" t="str">
        <f t="shared" si="0"/>
        <v>{1210305ые работы</v>
      </c>
      <c r="BW40" s="101"/>
      <c r="BZ40" s="3112" t="s">
        <v>6985</v>
      </c>
      <c r="CA40" s="3113" t="s">
        <v>3912</v>
      </c>
      <c r="CP40" s="3437" t="s">
        <v>4825</v>
      </c>
      <c r="CQ40" s="2802"/>
      <c r="CS40" s="3437" t="s">
        <v>2505</v>
      </c>
      <c r="CT40" s="2299" t="s">
        <v>6513</v>
      </c>
      <c r="CV40" s="2306">
        <v>80</v>
      </c>
      <c r="DA40" s="2558"/>
      <c r="DB40" s="2153" t="s">
        <v>7201</v>
      </c>
      <c r="DD40" s="2745"/>
      <c r="DH40" s="2764"/>
      <c r="DK40" s="2577">
        <v>15</v>
      </c>
      <c r="DL40" s="2178" t="s">
        <v>2099</v>
      </c>
      <c r="DM40" s="2575" t="s">
        <v>7495</v>
      </c>
      <c r="DO40" s="1892" t="s">
        <v>8223</v>
      </c>
      <c r="DP40" s="1892">
        <v>553834</v>
      </c>
      <c r="DT40" s="2091" t="s">
        <v>1782</v>
      </c>
      <c r="DU40" s="2744"/>
      <c r="DV40" s="2744"/>
      <c r="DW40" s="1511">
        <v>59</v>
      </c>
      <c r="EI40" s="2689" t="s">
        <v>10359</v>
      </c>
    </row>
    <row r="41" spans="1:139" ht="43.5">
      <c r="A41" s="532"/>
      <c r="D41" s="2689" t="s">
        <v>7427</v>
      </c>
      <c r="H41" s="3633" t="s">
        <v>14377</v>
      </c>
      <c r="I41" s="3139"/>
      <c r="J41" s="3442" t="s">
        <v>14377</v>
      </c>
      <c r="K41" s="3437" t="s">
        <v>2505</v>
      </c>
      <c r="L41" s="3437" t="s">
        <v>9694</v>
      </c>
      <c r="M41" s="3437" t="s">
        <v>2531</v>
      </c>
      <c r="N41" s="2514"/>
      <c r="AE41" s="2153" t="s">
        <v>5620</v>
      </c>
      <c r="AF41" s="2744"/>
      <c r="AH41" s="2744"/>
      <c r="AN41" s="3283" t="s">
        <v>3188</v>
      </c>
      <c r="AO41" s="3283" t="s">
        <v>3188</v>
      </c>
      <c r="AP41" s="3437" t="s">
        <v>3188</v>
      </c>
      <c r="AQ41" s="3283" t="s">
        <v>3188</v>
      </c>
      <c r="AR41" s="101" t="s">
        <v>8924</v>
      </c>
      <c r="AT41" s="2744"/>
      <c r="AU41" s="2154" t="s">
        <v>8106</v>
      </c>
      <c r="AV41" s="2154"/>
      <c r="AW41" s="531" t="s">
        <v>8105</v>
      </c>
      <c r="AX41" s="531" t="s">
        <v>8106</v>
      </c>
      <c r="AY41" s="2744" t="s">
        <v>8106</v>
      </c>
      <c r="AZ41" s="511" t="s">
        <v>7569</v>
      </c>
      <c r="BB41" s="511" t="s">
        <v>1783</v>
      </c>
      <c r="BC41" s="2744" t="s">
        <v>14469</v>
      </c>
      <c r="BH41" s="2406">
        <v>1833024791</v>
      </c>
      <c r="BI41" s="2409" t="s">
        <v>1869</v>
      </c>
      <c r="BJ41" s="2466">
        <v>108594</v>
      </c>
      <c r="BK41" s="530"/>
      <c r="BP41" s="3083"/>
      <c r="BQ41" s="2744"/>
      <c r="BR41" s="511"/>
      <c r="BS41" s="3083"/>
      <c r="BT41" s="511"/>
      <c r="BU41" s="3126" t="s">
        <v>5752</v>
      </c>
      <c r="BV41" s="3082" t="str">
        <f t="shared" si="0"/>
        <v>{1210306ые работы</v>
      </c>
      <c r="BW41" s="101"/>
      <c r="BZ41" s="3112" t="s">
        <v>7029</v>
      </c>
      <c r="CA41" s="3113" t="s">
        <v>3825</v>
      </c>
      <c r="CH41" s="3083"/>
      <c r="CI41" s="3083"/>
      <c r="CJ41" s="3083"/>
      <c r="CP41" s="3437" t="s">
        <v>2327</v>
      </c>
      <c r="CS41" s="3437" t="s">
        <v>2507</v>
      </c>
      <c r="CT41" s="2299" t="s">
        <v>6514</v>
      </c>
      <c r="CV41" s="2306">
        <v>81</v>
      </c>
      <c r="DA41" s="2558"/>
      <c r="DB41" s="2153" t="s">
        <v>7202</v>
      </c>
      <c r="DD41" s="3083"/>
      <c r="DH41" s="2764"/>
      <c r="DK41" s="2577">
        <v>16</v>
      </c>
      <c r="DL41" s="2178" t="s">
        <v>4046</v>
      </c>
      <c r="DM41" s="2575" t="s">
        <v>7495</v>
      </c>
      <c r="DO41" s="1892" t="s">
        <v>8224</v>
      </c>
      <c r="DP41" s="1892">
        <v>553837</v>
      </c>
      <c r="DT41" s="2091" t="s">
        <v>1783</v>
      </c>
      <c r="DU41" s="2744"/>
      <c r="DV41" s="2744"/>
      <c r="DW41" s="1511">
        <v>60</v>
      </c>
      <c r="EI41" s="2689" t="s">
        <v>10360</v>
      </c>
    </row>
    <row r="42" spans="1:139" ht="65">
      <c r="A42" s="532"/>
      <c r="D42" s="2689" t="s">
        <v>6201</v>
      </c>
      <c r="H42" s="3442" t="s">
        <v>9694</v>
      </c>
      <c r="I42" s="3442" t="s">
        <v>3104</v>
      </c>
      <c r="J42" s="3442" t="s">
        <v>9694</v>
      </c>
      <c r="K42" s="3437" t="s">
        <v>2507</v>
      </c>
      <c r="L42" s="3437" t="s">
        <v>9695</v>
      </c>
      <c r="M42" s="3437" t="s">
        <v>2533</v>
      </c>
      <c r="N42" s="2514"/>
      <c r="AE42" s="2153" t="s">
        <v>6030</v>
      </c>
      <c r="AN42" s="3283" t="s">
        <v>3189</v>
      </c>
      <c r="AO42" s="3283" t="s">
        <v>3189</v>
      </c>
      <c r="AP42" s="3437" t="s">
        <v>3189</v>
      </c>
      <c r="AQ42" s="3283" t="s">
        <v>3189</v>
      </c>
      <c r="AR42" s="101" t="s">
        <v>8925</v>
      </c>
      <c r="AU42" s="2154" t="s">
        <v>4490</v>
      </c>
      <c r="AV42" s="2154"/>
      <c r="AW42" s="531" t="s">
        <v>8107</v>
      </c>
      <c r="AX42" s="531" t="s">
        <v>4490</v>
      </c>
      <c r="AY42" s="2744" t="s">
        <v>4490</v>
      </c>
      <c r="AZ42" s="511" t="s">
        <v>7570</v>
      </c>
      <c r="BB42" s="511" t="s">
        <v>1784</v>
      </c>
      <c r="BC42" s="511" t="s">
        <v>1782</v>
      </c>
      <c r="BF42" s="2744"/>
      <c r="BG42" s="2744"/>
      <c r="BH42" s="2406">
        <v>1834021673</v>
      </c>
      <c r="BI42" s="2409" t="s">
        <v>2455</v>
      </c>
      <c r="BJ42" s="2466">
        <v>108658</v>
      </c>
      <c r="BK42" s="530"/>
      <c r="BQ42" s="2744"/>
      <c r="BR42" s="2744"/>
      <c r="BT42" s="2744"/>
      <c r="BU42" s="3126" t="s">
        <v>5753</v>
      </c>
      <c r="BV42" s="3082" t="str">
        <f t="shared" si="0"/>
        <v>{1210308отведение</v>
      </c>
      <c r="BW42" s="101"/>
      <c r="BZ42" s="3112" t="s">
        <v>6930</v>
      </c>
      <c r="CA42" s="3113" t="s">
        <v>4677</v>
      </c>
      <c r="CP42" s="3437" t="s">
        <v>1136</v>
      </c>
      <c r="CS42" s="3437" t="s">
        <v>2509</v>
      </c>
      <c r="CT42" s="2299" t="s">
        <v>6515</v>
      </c>
      <c r="CV42" s="2306">
        <v>82</v>
      </c>
      <c r="DA42" s="2558"/>
      <c r="DB42" s="2153" t="s">
        <v>7203</v>
      </c>
      <c r="DD42" s="2764"/>
      <c r="DH42" s="2764"/>
      <c r="DK42" s="2576">
        <v>19</v>
      </c>
      <c r="DL42" s="2178" t="s">
        <v>4902</v>
      </c>
      <c r="DM42" s="2932" t="s">
        <v>8622</v>
      </c>
      <c r="DO42" s="1892" t="s">
        <v>8225</v>
      </c>
      <c r="DP42" s="1892">
        <v>144357</v>
      </c>
      <c r="DT42" s="2091" t="s">
        <v>1784</v>
      </c>
      <c r="DU42" s="2744"/>
      <c r="DV42" s="2744"/>
      <c r="DW42" s="1511">
        <v>62</v>
      </c>
      <c r="EI42" s="2689" t="s">
        <v>10361</v>
      </c>
    </row>
    <row r="43" spans="1:139" ht="51">
      <c r="A43" s="532"/>
      <c r="D43" s="2689" t="s">
        <v>6202</v>
      </c>
      <c r="H43" s="3442" t="s">
        <v>9695</v>
      </c>
      <c r="I43" s="3442" t="s">
        <v>3104</v>
      </c>
      <c r="J43" s="3442" t="s">
        <v>9695</v>
      </c>
      <c r="K43" s="3437" t="s">
        <v>2509</v>
      </c>
      <c r="L43" s="3437" t="s">
        <v>14235</v>
      </c>
      <c r="M43" s="3437" t="s">
        <v>2536</v>
      </c>
      <c r="N43" s="2514"/>
      <c r="AE43" s="2153" t="s">
        <v>5621</v>
      </c>
      <c r="AF43" s="2744"/>
      <c r="AH43" s="2744"/>
      <c r="AN43" s="3283" t="s">
        <v>3190</v>
      </c>
      <c r="AO43" s="3283" t="s">
        <v>3190</v>
      </c>
      <c r="AP43" s="3437" t="s">
        <v>3190</v>
      </c>
      <c r="AQ43" s="3283" t="s">
        <v>3190</v>
      </c>
      <c r="AR43" s="101" t="s">
        <v>8926</v>
      </c>
      <c r="AU43" s="2154" t="s">
        <v>1341</v>
      </c>
      <c r="AV43" s="2154"/>
      <c r="AW43" s="531" t="s">
        <v>8108</v>
      </c>
      <c r="AX43" s="531" t="s">
        <v>1341</v>
      </c>
      <c r="AY43" s="2744" t="s">
        <v>1341</v>
      </c>
      <c r="AZ43" s="511" t="s">
        <v>7571</v>
      </c>
      <c r="BB43" s="511" t="s">
        <v>1785</v>
      </c>
      <c r="BC43" s="511" t="s">
        <v>1783</v>
      </c>
      <c r="BH43" s="2406">
        <v>1835011597</v>
      </c>
      <c r="BI43" s="2409" t="s">
        <v>2051</v>
      </c>
      <c r="BJ43" s="2466">
        <v>108690</v>
      </c>
      <c r="BK43" s="530"/>
      <c r="BP43" s="3083"/>
      <c r="BQ43" s="511"/>
      <c r="BR43" s="511"/>
      <c r="BT43" s="511"/>
      <c r="BU43" s="3126" t="s">
        <v>5754</v>
      </c>
      <c r="BV43" s="3082" t="str">
        <f t="shared" si="0"/>
        <v>{1210309у ремонту</v>
      </c>
      <c r="BW43" s="101"/>
      <c r="BZ43" s="3112" t="s">
        <v>6996</v>
      </c>
      <c r="CA43" s="3113" t="s">
        <v>3901</v>
      </c>
      <c r="CE43" s="3083"/>
      <c r="CP43" s="3437" t="s">
        <v>2329</v>
      </c>
      <c r="CS43" s="3437" t="s">
        <v>2511</v>
      </c>
      <c r="CT43" s="2299" t="s">
        <v>6516</v>
      </c>
      <c r="CV43" s="2306">
        <v>83</v>
      </c>
      <c r="DA43" s="2558"/>
      <c r="DB43" s="2153" t="s">
        <v>7204</v>
      </c>
      <c r="DD43" s="2764"/>
      <c r="DH43" s="2764"/>
      <c r="DK43" s="2576" t="s">
        <v>220</v>
      </c>
      <c r="DL43" s="2178" t="s">
        <v>2100</v>
      </c>
      <c r="DM43" s="2575" t="s">
        <v>7494</v>
      </c>
      <c r="DO43" s="1892" t="s">
        <v>8226</v>
      </c>
      <c r="DP43" s="1892">
        <v>116524</v>
      </c>
      <c r="DT43" s="2091" t="s">
        <v>1785</v>
      </c>
      <c r="DU43" s="2744"/>
      <c r="DV43" s="2744"/>
      <c r="DW43" s="1511">
        <v>63</v>
      </c>
      <c r="EI43" s="2689" t="s">
        <v>10362</v>
      </c>
    </row>
    <row r="44" spans="1:139" ht="58">
      <c r="A44" s="532"/>
      <c r="D44" s="2689" t="s">
        <v>6203</v>
      </c>
      <c r="H44" s="3442" t="s">
        <v>14235</v>
      </c>
      <c r="I44" s="3442" t="s">
        <v>3152</v>
      </c>
      <c r="J44" s="3442" t="s">
        <v>14235</v>
      </c>
      <c r="K44" s="3437" t="s">
        <v>2511</v>
      </c>
      <c r="L44" s="3437" t="s">
        <v>14236</v>
      </c>
      <c r="M44" s="3437" t="s">
        <v>14413</v>
      </c>
      <c r="N44" s="2263"/>
      <c r="AE44" s="2153" t="s">
        <v>5622</v>
      </c>
      <c r="AN44" s="3283" t="s">
        <v>3191</v>
      </c>
      <c r="AO44" s="3283" t="s">
        <v>3191</v>
      </c>
      <c r="AP44" s="3437" t="s">
        <v>3191</v>
      </c>
      <c r="AQ44" s="3283" t="s">
        <v>3191</v>
      </c>
      <c r="AR44" s="101" t="s">
        <v>8927</v>
      </c>
      <c r="AU44" s="2154" t="s">
        <v>5864</v>
      </c>
      <c r="AV44" s="2154"/>
      <c r="AW44" s="531" t="s">
        <v>8109</v>
      </c>
      <c r="AX44" s="531" t="s">
        <v>5864</v>
      </c>
      <c r="AY44" s="2744" t="s">
        <v>5864</v>
      </c>
      <c r="AZ44" s="2744" t="s">
        <v>7572</v>
      </c>
      <c r="BB44" s="511" t="s">
        <v>1786</v>
      </c>
      <c r="BC44" s="2744" t="s">
        <v>1784</v>
      </c>
      <c r="BF44" s="2744"/>
      <c r="BG44" s="2744"/>
      <c r="BH44" s="2405">
        <v>1835038790</v>
      </c>
      <c r="BI44" s="2405" t="s">
        <v>6872</v>
      </c>
      <c r="BJ44" s="2466">
        <v>241455</v>
      </c>
      <c r="BK44" s="530"/>
      <c r="BQ44" s="511"/>
      <c r="BR44" s="511"/>
      <c r="BT44" s="2744"/>
      <c r="BU44" s="3126" t="s">
        <v>5755</v>
      </c>
      <c r="BV44" s="3082" t="str">
        <f t="shared" si="0"/>
        <v>{1210310луживанию</v>
      </c>
      <c r="BW44" s="101"/>
      <c r="BZ44" s="3112" t="s">
        <v>6933</v>
      </c>
      <c r="CA44" s="3113" t="s">
        <v>3747</v>
      </c>
      <c r="CP44" s="3437" t="s">
        <v>2331</v>
      </c>
      <c r="CS44" s="3437" t="s">
        <v>2512</v>
      </c>
      <c r="CT44" s="2299" t="s">
        <v>6517</v>
      </c>
      <c r="CV44" s="2306">
        <v>86</v>
      </c>
      <c r="CZ44" s="3083"/>
      <c r="DA44" s="2558"/>
      <c r="DB44" s="2153" t="s">
        <v>7205</v>
      </c>
      <c r="DD44" s="2764"/>
      <c r="DH44" s="2764"/>
      <c r="DK44" s="2576" t="s">
        <v>221</v>
      </c>
      <c r="DL44" s="2178" t="s">
        <v>2101</v>
      </c>
      <c r="DM44" s="2575" t="s">
        <v>7494</v>
      </c>
      <c r="DO44" s="1892" t="s">
        <v>8227</v>
      </c>
      <c r="DP44" s="1892">
        <v>170829</v>
      </c>
      <c r="DT44" s="2091" t="s">
        <v>1786</v>
      </c>
      <c r="DU44" s="2744"/>
      <c r="DV44" s="2744"/>
      <c r="DW44" s="1511" t="s">
        <v>8804</v>
      </c>
      <c r="EI44" s="2689" t="s">
        <v>10363</v>
      </c>
    </row>
    <row r="45" spans="1:139" ht="50">
      <c r="A45" s="532"/>
      <c r="D45" s="2689" t="s">
        <v>9839</v>
      </c>
      <c r="H45" s="3633" t="s">
        <v>14236</v>
      </c>
      <c r="I45" s="3139"/>
      <c r="J45" s="3442" t="s">
        <v>14236</v>
      </c>
      <c r="K45" s="3437" t="s">
        <v>2512</v>
      </c>
      <c r="L45" s="3437" t="s">
        <v>14378</v>
      </c>
      <c r="M45" s="3437" t="s">
        <v>9696</v>
      </c>
      <c r="N45" s="2263"/>
      <c r="AE45" s="2153" t="s">
        <v>5623</v>
      </c>
      <c r="AN45" s="3283" t="s">
        <v>3192</v>
      </c>
      <c r="AO45" s="3283" t="s">
        <v>3192</v>
      </c>
      <c r="AP45" s="3437" t="s">
        <v>3192</v>
      </c>
      <c r="AQ45" s="3283" t="s">
        <v>3192</v>
      </c>
      <c r="AR45" s="101" t="s">
        <v>8928</v>
      </c>
      <c r="AU45" s="2290" t="s">
        <v>6132</v>
      </c>
      <c r="AV45" s="2154"/>
      <c r="AW45" s="531" t="s">
        <v>8110</v>
      </c>
      <c r="AX45" s="2091" t="s">
        <v>6132</v>
      </c>
      <c r="AY45" s="2091" t="s">
        <v>6132</v>
      </c>
      <c r="AZ45" s="511" t="s">
        <v>7573</v>
      </c>
      <c r="BB45" s="511" t="s">
        <v>1787</v>
      </c>
      <c r="BC45" s="511" t="s">
        <v>1785</v>
      </c>
      <c r="BH45" s="2406">
        <v>1835049093</v>
      </c>
      <c r="BI45" s="2409" t="s">
        <v>2658</v>
      </c>
      <c r="BJ45" s="2466">
        <v>152049</v>
      </c>
      <c r="BK45" s="530"/>
      <c r="BL45" s="3083"/>
      <c r="BM45" s="3083"/>
      <c r="BN45" s="3083"/>
      <c r="BP45" s="3083"/>
      <c r="BQ45" s="511"/>
      <c r="BR45" s="511"/>
      <c r="BT45" s="511"/>
      <c r="BU45" s="3126" t="s">
        <v>5756</v>
      </c>
      <c r="BV45" s="3082" t="str">
        <f t="shared" si="0"/>
        <v>{1210311ганизаций</v>
      </c>
      <c r="BW45" s="101"/>
      <c r="BZ45" s="3112" t="s">
        <v>7011</v>
      </c>
      <c r="CA45" s="3113" t="s">
        <v>4675</v>
      </c>
      <c r="CP45" s="3437" t="s">
        <v>10215</v>
      </c>
      <c r="CS45" s="3437" t="s">
        <v>14411</v>
      </c>
      <c r="CT45" s="2299" t="s">
        <v>6518</v>
      </c>
      <c r="CV45" s="2306">
        <v>90</v>
      </c>
      <c r="DA45" s="2558"/>
      <c r="DB45" s="2153" t="s">
        <v>7206</v>
      </c>
      <c r="DD45" s="2745"/>
      <c r="DH45" s="2764"/>
      <c r="DK45" s="2576" t="s">
        <v>919</v>
      </c>
      <c r="DL45" s="2178" t="s">
        <v>3398</v>
      </c>
      <c r="DM45" s="2575" t="s">
        <v>7494</v>
      </c>
      <c r="DO45" s="1892" t="s">
        <v>8228</v>
      </c>
      <c r="DP45" s="1892">
        <v>187601</v>
      </c>
      <c r="DT45" s="2091" t="s">
        <v>1787</v>
      </c>
      <c r="DU45" s="2744"/>
      <c r="DV45" s="2744"/>
      <c r="DW45" s="1511" t="s">
        <v>8805</v>
      </c>
      <c r="EI45" s="2689" t="s">
        <v>10364</v>
      </c>
    </row>
    <row r="46" spans="1:139" ht="43.5">
      <c r="A46" s="532"/>
      <c r="D46" s="2689" t="s">
        <v>9919</v>
      </c>
      <c r="H46" s="3442" t="s">
        <v>14378</v>
      </c>
      <c r="I46" s="3442" t="s">
        <v>3152</v>
      </c>
      <c r="J46" s="3442" t="s">
        <v>14378</v>
      </c>
      <c r="K46" s="3437" t="s">
        <v>14411</v>
      </c>
      <c r="L46" s="3437" t="s">
        <v>14379</v>
      </c>
      <c r="M46" s="3437" t="s">
        <v>9812</v>
      </c>
      <c r="N46" s="2263"/>
      <c r="AC46" s="2514"/>
      <c r="AE46" s="2745" t="s">
        <v>14998</v>
      </c>
      <c r="AN46" s="3283" t="s">
        <v>3193</v>
      </c>
      <c r="AO46" s="3283" t="s">
        <v>3193</v>
      </c>
      <c r="AP46" s="3437" t="s">
        <v>3193</v>
      </c>
      <c r="AQ46" s="3283" t="s">
        <v>3193</v>
      </c>
      <c r="AR46" s="101" t="s">
        <v>8929</v>
      </c>
      <c r="AU46" s="2290" t="s">
        <v>6133</v>
      </c>
      <c r="AV46" s="2154"/>
      <c r="AW46" s="531" t="s">
        <v>8111</v>
      </c>
      <c r="AX46" s="2091" t="s">
        <v>6133</v>
      </c>
      <c r="AY46" s="2091" t="s">
        <v>6133</v>
      </c>
      <c r="AZ46" s="2744" t="s">
        <v>7574</v>
      </c>
      <c r="BB46" s="511" t="s">
        <v>1788</v>
      </c>
      <c r="BC46" s="511" t="s">
        <v>1786</v>
      </c>
      <c r="BH46" s="2406">
        <v>1835056904</v>
      </c>
      <c r="BI46" s="2409" t="s">
        <v>2670</v>
      </c>
      <c r="BJ46" s="2466">
        <v>235502</v>
      </c>
      <c r="BK46" s="530"/>
      <c r="BQ46" s="511"/>
      <c r="BR46" s="511"/>
      <c r="BT46" s="2446"/>
      <c r="BU46" s="3126" t="s">
        <v>5757</v>
      </c>
      <c r="BV46" s="3082" t="str">
        <f t="shared" si="0"/>
        <v>{1210312 качества</v>
      </c>
      <c r="BW46" s="101"/>
      <c r="BZ46" s="3112" t="s">
        <v>6947</v>
      </c>
      <c r="CA46" s="3113" t="s">
        <v>3761</v>
      </c>
      <c r="CP46" s="3437" t="s">
        <v>2332</v>
      </c>
      <c r="CS46" s="3437" t="s">
        <v>2513</v>
      </c>
      <c r="CT46" s="2299" t="s">
        <v>6519</v>
      </c>
      <c r="CV46" s="2306">
        <v>91</v>
      </c>
      <c r="CZ46" s="3083"/>
      <c r="DA46" s="2558"/>
      <c r="DB46" s="2153" t="s">
        <v>7207</v>
      </c>
      <c r="DD46" s="2764"/>
      <c r="DH46" s="2764"/>
      <c r="DK46" s="2576">
        <v>21</v>
      </c>
      <c r="DL46" s="2178" t="s">
        <v>1789</v>
      </c>
      <c r="DM46" s="2575" t="s">
        <v>7495</v>
      </c>
      <c r="DO46" s="1892" t="s">
        <v>8229</v>
      </c>
      <c r="DP46" s="1892">
        <v>205495</v>
      </c>
      <c r="DT46" s="2091" t="s">
        <v>1788</v>
      </c>
      <c r="DU46" s="2744"/>
      <c r="DV46" s="2744"/>
      <c r="DW46" s="1511" t="s">
        <v>8806</v>
      </c>
      <c r="EI46" s="2689" t="s">
        <v>10365</v>
      </c>
    </row>
    <row r="47" spans="1:139" ht="43.5">
      <c r="A47" s="532"/>
      <c r="D47" s="2689" t="s">
        <v>9920</v>
      </c>
      <c r="H47" s="3633" t="s">
        <v>14379</v>
      </c>
      <c r="I47" s="3139"/>
      <c r="J47" s="3442" t="s">
        <v>14379</v>
      </c>
      <c r="K47" s="3437" t="s">
        <v>2513</v>
      </c>
      <c r="L47" s="3437" t="s">
        <v>14380</v>
      </c>
      <c r="M47" s="3437" t="s">
        <v>3284</v>
      </c>
      <c r="N47" s="2263"/>
      <c r="AE47" s="2153" t="s">
        <v>5624</v>
      </c>
      <c r="AN47" s="3283" t="s">
        <v>14363</v>
      </c>
      <c r="AO47" s="3283" t="s">
        <v>14363</v>
      </c>
      <c r="AP47" s="3437" t="s">
        <v>14363</v>
      </c>
      <c r="AQ47" s="3283" t="s">
        <v>14363</v>
      </c>
      <c r="AR47" s="101" t="s">
        <v>8930</v>
      </c>
      <c r="AU47" s="2290" t="s">
        <v>6134</v>
      </c>
      <c r="AV47" s="2154"/>
      <c r="AW47" s="531" t="s">
        <v>5337</v>
      </c>
      <c r="AX47" s="2091" t="s">
        <v>6134</v>
      </c>
      <c r="AY47" s="2091" t="s">
        <v>6134</v>
      </c>
      <c r="AZ47" s="511" t="s">
        <v>14359</v>
      </c>
      <c r="BB47" s="511" t="s">
        <v>3067</v>
      </c>
      <c r="BC47" s="511" t="s">
        <v>1787</v>
      </c>
      <c r="BH47" s="2406">
        <v>1835062672</v>
      </c>
      <c r="BI47" s="2409" t="s">
        <v>1971</v>
      </c>
      <c r="BJ47" s="2466">
        <v>108753</v>
      </c>
      <c r="BK47" s="530"/>
      <c r="BQ47" s="511"/>
      <c r="BR47" s="511"/>
      <c r="BT47" s="2446"/>
      <c r="BU47" s="3126" t="s">
        <v>5758</v>
      </c>
      <c r="BV47" s="3082" t="str">
        <f t="shared" si="0"/>
        <v>{1210313овождению</v>
      </c>
      <c r="BW47" s="101"/>
      <c r="BZ47" s="3112" t="s">
        <v>7035</v>
      </c>
      <c r="CA47" s="3113" t="s">
        <v>3831</v>
      </c>
      <c r="CP47" s="3437" t="s">
        <v>2334</v>
      </c>
      <c r="CS47" s="3437" t="s">
        <v>2515</v>
      </c>
      <c r="CT47" s="2299" t="s">
        <v>6520</v>
      </c>
      <c r="CV47" s="2306">
        <v>94</v>
      </c>
      <c r="DA47" s="2558"/>
      <c r="DB47" s="2153" t="s">
        <v>7208</v>
      </c>
      <c r="DD47" s="2764"/>
      <c r="DH47" s="2764"/>
      <c r="DK47" s="2576">
        <v>40</v>
      </c>
      <c r="DL47" s="2178" t="s">
        <v>1790</v>
      </c>
      <c r="DM47" s="2575" t="s">
        <v>7495</v>
      </c>
      <c r="DO47" s="1892" t="s">
        <v>8399</v>
      </c>
      <c r="DP47" s="1892">
        <v>479486</v>
      </c>
      <c r="DT47" s="2091" t="s">
        <v>3067</v>
      </c>
      <c r="DU47" s="2744"/>
      <c r="DV47" s="2744"/>
      <c r="DW47" s="1511" t="s">
        <v>8807</v>
      </c>
      <c r="EI47" s="2689" t="s">
        <v>10366</v>
      </c>
    </row>
    <row r="48" spans="1:139" ht="51">
      <c r="A48" s="532"/>
      <c r="D48" s="2539" t="s">
        <v>15012</v>
      </c>
      <c r="H48" s="3442" t="s">
        <v>14380</v>
      </c>
      <c r="I48" s="3442" t="s">
        <v>3152</v>
      </c>
      <c r="J48" s="3442" t="s">
        <v>14380</v>
      </c>
      <c r="K48" s="3437" t="s">
        <v>2515</v>
      </c>
      <c r="L48" s="3437" t="s">
        <v>14381</v>
      </c>
      <c r="M48" s="3437" t="s">
        <v>14416</v>
      </c>
      <c r="N48" s="2263"/>
      <c r="AE48" s="2153" t="s">
        <v>5625</v>
      </c>
      <c r="AN48" s="3283" t="s">
        <v>6878</v>
      </c>
      <c r="AO48" s="3283" t="s">
        <v>6878</v>
      </c>
      <c r="AP48" s="3437" t="s">
        <v>6878</v>
      </c>
      <c r="AQ48" s="3283" t="s">
        <v>6878</v>
      </c>
      <c r="AR48" s="101" t="s">
        <v>8931</v>
      </c>
      <c r="AU48" s="2290" t="s">
        <v>8660</v>
      </c>
      <c r="AV48" s="2154"/>
      <c r="AW48" s="531" t="s">
        <v>1345</v>
      </c>
      <c r="AX48" s="2091" t="s">
        <v>8660</v>
      </c>
      <c r="AY48" s="2091" t="s">
        <v>8660</v>
      </c>
      <c r="BB48" s="511" t="s">
        <v>3068</v>
      </c>
      <c r="BC48" s="511" t="s">
        <v>1788</v>
      </c>
      <c r="BH48" s="2406">
        <v>1835062930</v>
      </c>
      <c r="BI48" s="2409" t="s">
        <v>2446</v>
      </c>
      <c r="BJ48" s="2466">
        <v>145357</v>
      </c>
      <c r="BK48" s="530"/>
      <c r="BQ48" s="2744"/>
      <c r="BR48" s="2744"/>
      <c r="BT48" s="2446"/>
      <c r="BU48" s="3126" t="s">
        <v>5759</v>
      </c>
      <c r="BV48" s="3082" t="str">
        <f t="shared" si="0"/>
        <v>{1210314едованиям</v>
      </c>
      <c r="BW48" s="101"/>
      <c r="BZ48" s="3112" t="s">
        <v>8530</v>
      </c>
      <c r="CA48" s="3113" t="s">
        <v>8529</v>
      </c>
      <c r="CP48" s="3437" t="s">
        <v>1137</v>
      </c>
      <c r="CS48" s="3437" t="s">
        <v>2516</v>
      </c>
      <c r="CT48" s="2299" t="s">
        <v>6521</v>
      </c>
      <c r="CV48" s="2306">
        <v>96</v>
      </c>
      <c r="DA48" s="2558"/>
      <c r="DB48" s="2153" t="s">
        <v>7209</v>
      </c>
      <c r="DD48" s="2764"/>
      <c r="DH48" s="2764"/>
      <c r="DK48" s="2576" t="s">
        <v>2817</v>
      </c>
      <c r="DL48" s="2178" t="s">
        <v>4051</v>
      </c>
      <c r="DM48" s="2575" t="s">
        <v>7495</v>
      </c>
      <c r="DO48" s="1892" t="s">
        <v>8230</v>
      </c>
      <c r="DP48" s="1892">
        <v>136788</v>
      </c>
      <c r="DT48" s="2091" t="s">
        <v>3068</v>
      </c>
      <c r="DU48" s="2744"/>
      <c r="DV48" s="2744"/>
      <c r="DW48" s="1511" t="s">
        <v>8808</v>
      </c>
      <c r="EI48" s="2689" t="s">
        <v>10367</v>
      </c>
    </row>
    <row r="49" spans="1:139" ht="51">
      <c r="A49" s="532"/>
      <c r="D49" s="2539"/>
      <c r="H49" s="3442" t="s">
        <v>14381</v>
      </c>
      <c r="I49" s="3442" t="s">
        <v>3152</v>
      </c>
      <c r="J49" s="3442" t="s">
        <v>14381</v>
      </c>
      <c r="K49" s="3437" t="s">
        <v>2516</v>
      </c>
      <c r="L49" s="3437" t="s">
        <v>14384</v>
      </c>
      <c r="M49" s="3437" t="s">
        <v>14417</v>
      </c>
      <c r="N49" s="2263"/>
      <c r="AE49" s="2153" t="s">
        <v>6031</v>
      </c>
      <c r="AN49" s="3283" t="s">
        <v>6879</v>
      </c>
      <c r="AO49" s="3283" t="s">
        <v>6879</v>
      </c>
      <c r="AP49" s="3437" t="s">
        <v>6879</v>
      </c>
      <c r="AQ49" s="3283" t="s">
        <v>6879</v>
      </c>
      <c r="AR49" s="101" t="s">
        <v>8932</v>
      </c>
      <c r="AU49" s="2290" t="s">
        <v>9820</v>
      </c>
      <c r="AV49" s="2154"/>
      <c r="AW49" s="531" t="s">
        <v>5868</v>
      </c>
      <c r="AX49" s="2091" t="s">
        <v>9820</v>
      </c>
      <c r="AY49" s="2091" t="s">
        <v>9820</v>
      </c>
      <c r="BB49" s="511" t="s">
        <v>3069</v>
      </c>
      <c r="BC49" s="511" t="s">
        <v>3067</v>
      </c>
      <c r="BH49" s="2406">
        <v>1837002132</v>
      </c>
      <c r="BI49" s="2409" t="s">
        <v>2339</v>
      </c>
      <c r="BJ49" s="2466">
        <v>108807</v>
      </c>
      <c r="BK49" s="530"/>
      <c r="BQ49" s="2744"/>
      <c r="BR49" s="2744"/>
      <c r="BT49" s="2446"/>
      <c r="BU49" s="3126" t="s">
        <v>5760</v>
      </c>
      <c r="BV49" s="3082" t="str">
        <f t="shared" si="0"/>
        <v>{1210315опасности</v>
      </c>
      <c r="BW49" s="101"/>
      <c r="BZ49" s="3112" t="s">
        <v>7059</v>
      </c>
      <c r="CA49" s="3113" t="s">
        <v>3855</v>
      </c>
      <c r="CP49" s="3437" t="s">
        <v>7144</v>
      </c>
      <c r="CS49" s="3437" t="s">
        <v>2517</v>
      </c>
      <c r="CT49" s="2299" t="s">
        <v>6522</v>
      </c>
      <c r="CV49" s="2307">
        <v>97</v>
      </c>
      <c r="DA49" s="2558"/>
      <c r="DB49" s="2153" t="s">
        <v>7210</v>
      </c>
      <c r="DD49" s="2764"/>
      <c r="DH49" s="2764"/>
      <c r="DK49" s="2576" t="s">
        <v>2824</v>
      </c>
      <c r="DL49" s="2178" t="s">
        <v>4062</v>
      </c>
      <c r="DM49" s="2575" t="s">
        <v>7495</v>
      </c>
      <c r="DO49" s="1892" t="s">
        <v>8231</v>
      </c>
      <c r="DP49" s="1892">
        <v>147397</v>
      </c>
      <c r="DT49" s="2091" t="s">
        <v>3069</v>
      </c>
      <c r="DU49" s="2744"/>
      <c r="DV49" s="2744"/>
      <c r="DW49" s="1511" t="s">
        <v>8809</v>
      </c>
      <c r="EI49" s="2689" t="s">
        <v>10368</v>
      </c>
    </row>
    <row r="50" spans="1:139" ht="38.5">
      <c r="A50" s="532"/>
      <c r="D50" s="2539"/>
      <c r="H50" s="3442" t="s">
        <v>14382</v>
      </c>
      <c r="I50" s="3442" t="s">
        <v>3152</v>
      </c>
      <c r="J50" s="3442" t="s">
        <v>14382</v>
      </c>
      <c r="K50" s="3437" t="s">
        <v>2517</v>
      </c>
      <c r="L50" s="3437" t="s">
        <v>14385</v>
      </c>
      <c r="M50" s="3437" t="s">
        <v>14419</v>
      </c>
      <c r="N50" s="2514"/>
      <c r="AE50" s="2153" t="s">
        <v>5626</v>
      </c>
      <c r="AF50" s="2744"/>
      <c r="AH50" s="2744"/>
      <c r="AN50" s="3283" t="s">
        <v>6156</v>
      </c>
      <c r="AO50" s="3283" t="s">
        <v>6156</v>
      </c>
      <c r="AP50" s="3437" t="s">
        <v>6156</v>
      </c>
      <c r="AQ50" s="3283" t="s">
        <v>6156</v>
      </c>
      <c r="AR50" s="101" t="s">
        <v>8933</v>
      </c>
      <c r="AT50" s="2744"/>
      <c r="AU50" s="2290" t="s">
        <v>10061</v>
      </c>
      <c r="AV50" s="2290"/>
      <c r="AW50" s="2091" t="s">
        <v>6144</v>
      </c>
      <c r="AX50" s="2091" t="s">
        <v>10061</v>
      </c>
      <c r="AY50" s="2091" t="s">
        <v>10061</v>
      </c>
      <c r="BB50" s="511" t="s">
        <v>3070</v>
      </c>
      <c r="BC50" s="511" t="s">
        <v>3068</v>
      </c>
      <c r="BH50" s="2405">
        <v>1837003150</v>
      </c>
      <c r="BI50" s="2405" t="s">
        <v>3941</v>
      </c>
      <c r="BJ50" s="2466">
        <v>74</v>
      </c>
      <c r="BK50" s="530"/>
      <c r="BL50" s="3083"/>
      <c r="BP50" s="3083"/>
      <c r="BQ50" s="2744"/>
      <c r="BR50" s="511"/>
      <c r="BS50" s="3083"/>
      <c r="BT50" s="3083"/>
      <c r="BU50" s="3126" t="s">
        <v>5761</v>
      </c>
      <c r="BV50" s="3082" t="str">
        <f t="shared" si="0"/>
        <v>{1210316опасности</v>
      </c>
      <c r="BW50" s="101"/>
      <c r="BZ50" s="3112" t="s">
        <v>6984</v>
      </c>
      <c r="CA50" s="3113" t="s">
        <v>4666</v>
      </c>
      <c r="CE50" s="3083"/>
      <c r="CF50" s="3083"/>
      <c r="CG50" s="3083"/>
      <c r="CH50" s="3083"/>
      <c r="CI50" s="3083"/>
      <c r="CJ50" s="3083"/>
      <c r="CP50" s="3437" t="s">
        <v>9946</v>
      </c>
      <c r="CS50" s="3437" t="s">
        <v>2519</v>
      </c>
      <c r="CT50" s="2299" t="s">
        <v>6523</v>
      </c>
      <c r="CV50" s="2307">
        <v>98</v>
      </c>
      <c r="DA50" s="2558"/>
      <c r="DB50" s="2153" t="s">
        <v>7211</v>
      </c>
      <c r="DD50" s="2745"/>
      <c r="DH50" s="2764"/>
      <c r="DK50" s="2576">
        <v>43</v>
      </c>
      <c r="DL50" s="2178" t="s">
        <v>4063</v>
      </c>
      <c r="DM50" s="2575" t="s">
        <v>7495</v>
      </c>
      <c r="DO50" s="1892" t="s">
        <v>8232</v>
      </c>
      <c r="DP50" s="1892">
        <v>151904</v>
      </c>
      <c r="DT50" s="2091" t="s">
        <v>3070</v>
      </c>
      <c r="DU50" s="2744"/>
      <c r="DV50" s="2744"/>
      <c r="DW50" s="1511" t="s">
        <v>8810</v>
      </c>
      <c r="EI50" s="2689" t="s">
        <v>10369</v>
      </c>
    </row>
    <row r="51" spans="1:139" ht="43.5">
      <c r="A51" s="532"/>
      <c r="D51" s="2539"/>
      <c r="H51" s="3442" t="s">
        <v>14383</v>
      </c>
      <c r="I51" s="3442" t="s">
        <v>3152</v>
      </c>
      <c r="J51" s="3442" t="s">
        <v>14383</v>
      </c>
      <c r="K51" s="3437" t="s">
        <v>2519</v>
      </c>
      <c r="L51" s="3437" t="s">
        <v>14388</v>
      </c>
      <c r="M51" s="3437" t="s">
        <v>7138</v>
      </c>
      <c r="N51" s="2263"/>
      <c r="AE51" s="2153" t="s">
        <v>5627</v>
      </c>
      <c r="AN51" s="3283" t="s">
        <v>6880</v>
      </c>
      <c r="AO51" s="3283" t="s">
        <v>6880</v>
      </c>
      <c r="AP51" s="3437" t="s">
        <v>6880</v>
      </c>
      <c r="AQ51" s="3283" t="s">
        <v>6880</v>
      </c>
      <c r="AR51" s="101" t="s">
        <v>8934</v>
      </c>
      <c r="AU51" s="2290" t="s">
        <v>14524</v>
      </c>
      <c r="AV51" s="2290"/>
      <c r="AW51" s="2091" t="s">
        <v>6145</v>
      </c>
      <c r="AX51" s="2091" t="s">
        <v>14524</v>
      </c>
      <c r="AY51" s="2091" t="s">
        <v>14524</v>
      </c>
      <c r="BB51" s="511" t="s">
        <v>3071</v>
      </c>
      <c r="BC51" s="511" t="s">
        <v>3069</v>
      </c>
      <c r="BF51" s="2744"/>
      <c r="BG51" s="2744"/>
      <c r="BH51" s="2405">
        <v>1837003961</v>
      </c>
      <c r="BI51" s="2405" t="s">
        <v>2920</v>
      </c>
      <c r="BJ51" s="2466">
        <v>75</v>
      </c>
      <c r="BK51" s="530"/>
      <c r="BQ51" s="511"/>
      <c r="BR51" s="511"/>
      <c r="BT51" s="2446"/>
      <c r="BU51" s="3126" t="s">
        <v>5762</v>
      </c>
      <c r="BV51" s="3082" t="str">
        <f t="shared" si="0"/>
        <v>{1210317роприятий</v>
      </c>
      <c r="BW51" s="101"/>
      <c r="BZ51" s="3112" t="s">
        <v>6929</v>
      </c>
      <c r="CA51" s="3113" t="s">
        <v>4669</v>
      </c>
      <c r="CP51" s="3437" t="s">
        <v>9947</v>
      </c>
      <c r="CS51" s="3437" t="s">
        <v>2521</v>
      </c>
      <c r="CT51" s="2299" t="s">
        <v>6524</v>
      </c>
      <c r="CV51" s="2307">
        <v>99</v>
      </c>
      <c r="DA51" s="2558"/>
      <c r="DB51" s="2153" t="s">
        <v>7212</v>
      </c>
      <c r="DD51" s="2764"/>
      <c r="DH51" s="2764"/>
      <c r="DK51" s="2576">
        <v>45</v>
      </c>
      <c r="DL51" s="2178" t="s">
        <v>4068</v>
      </c>
      <c r="DM51" s="2575" t="s">
        <v>7495</v>
      </c>
      <c r="DO51" s="1892" t="s">
        <v>8233</v>
      </c>
      <c r="DP51" s="1892">
        <v>116384</v>
      </c>
      <c r="DT51" s="2091" t="s">
        <v>3071</v>
      </c>
      <c r="DU51" s="2744"/>
      <c r="DV51" s="2744"/>
      <c r="DW51" s="1511" t="s">
        <v>8811</v>
      </c>
      <c r="EI51" s="2689" t="s">
        <v>10370</v>
      </c>
    </row>
    <row r="52" spans="1:139" ht="51">
      <c r="A52" s="532"/>
      <c r="D52" s="2539"/>
      <c r="H52" s="3633" t="s">
        <v>14384</v>
      </c>
      <c r="I52" s="3139"/>
      <c r="J52" s="3442" t="s">
        <v>14384</v>
      </c>
      <c r="K52" s="3437" t="s">
        <v>7521</v>
      </c>
      <c r="L52" s="3437" t="s">
        <v>14389</v>
      </c>
      <c r="M52" s="3437" t="s">
        <v>5679</v>
      </c>
      <c r="N52" s="2263"/>
      <c r="AE52" s="2153" t="s">
        <v>5628</v>
      </c>
      <c r="AN52" s="3283" t="s">
        <v>6881</v>
      </c>
      <c r="AO52" s="3283" t="s">
        <v>6881</v>
      </c>
      <c r="AP52" s="3437" t="s">
        <v>6881</v>
      </c>
      <c r="AQ52" s="3283" t="s">
        <v>6881</v>
      </c>
      <c r="AR52" s="101" t="s">
        <v>8935</v>
      </c>
      <c r="AU52" s="2154" t="s">
        <v>8112</v>
      </c>
      <c r="AV52" s="2290"/>
      <c r="AW52" s="2091" t="s">
        <v>6146</v>
      </c>
      <c r="AX52" s="531" t="s">
        <v>8112</v>
      </c>
      <c r="AY52" s="2744" t="s">
        <v>8112</v>
      </c>
      <c r="BB52" s="511" t="s">
        <v>3072</v>
      </c>
      <c r="BC52" s="511" t="s">
        <v>3070</v>
      </c>
      <c r="BH52" s="2405">
        <v>1837004309</v>
      </c>
      <c r="BI52" s="2405" t="s">
        <v>3933</v>
      </c>
      <c r="BJ52" s="2466">
        <v>76</v>
      </c>
      <c r="BK52" s="530"/>
      <c r="BQ52" s="2744"/>
      <c r="BR52" s="2744"/>
      <c r="BT52" s="2446"/>
      <c r="BU52" s="3126" t="s">
        <v>5763</v>
      </c>
      <c r="BV52" s="3082" t="str">
        <f t="shared" si="0"/>
        <v>{1210318роэнергии</v>
      </c>
      <c r="BW52" s="101"/>
      <c r="BZ52" s="3112" t="s">
        <v>7010</v>
      </c>
      <c r="CA52" s="3113" t="s">
        <v>2875</v>
      </c>
      <c r="CP52" s="3600" t="s">
        <v>14635</v>
      </c>
      <c r="CS52" s="3437" t="s">
        <v>2523</v>
      </c>
      <c r="CT52" s="2299" t="s">
        <v>6525</v>
      </c>
      <c r="CV52" t="s">
        <v>3389</v>
      </c>
      <c r="DA52" s="2558"/>
      <c r="DB52" s="2153" t="s">
        <v>7213</v>
      </c>
      <c r="DD52" s="2764"/>
      <c r="DH52" s="2764"/>
      <c r="DK52" s="2576" t="s">
        <v>423</v>
      </c>
      <c r="DL52" s="2178" t="s">
        <v>4113</v>
      </c>
      <c r="DM52" s="2575" t="s">
        <v>7495</v>
      </c>
      <c r="DO52" s="1892" t="s">
        <v>8234</v>
      </c>
      <c r="DP52" s="1892">
        <v>174318</v>
      </c>
      <c r="DT52" s="2091" t="s">
        <v>3072</v>
      </c>
      <c r="DU52" s="2744"/>
      <c r="DV52" s="2744"/>
      <c r="DW52" s="1511" t="s">
        <v>8812</v>
      </c>
      <c r="EI52" s="2689" t="s">
        <v>10371</v>
      </c>
    </row>
    <row r="53" spans="1:139" ht="65">
      <c r="A53" s="532"/>
      <c r="D53" s="2539"/>
      <c r="H53" s="3633" t="s">
        <v>14385</v>
      </c>
      <c r="I53" s="3139"/>
      <c r="J53" s="3442" t="s">
        <v>14385</v>
      </c>
      <c r="K53" s="3437" t="s">
        <v>7522</v>
      </c>
      <c r="L53" s="3437" t="s">
        <v>14398</v>
      </c>
      <c r="M53" s="3437" t="s">
        <v>3293</v>
      </c>
      <c r="N53" s="2263"/>
      <c r="AC53" s="2514"/>
      <c r="AE53" s="2153" t="s">
        <v>5629</v>
      </c>
      <c r="AN53" s="3283" t="s">
        <v>6882</v>
      </c>
      <c r="AO53" s="3283" t="s">
        <v>6882</v>
      </c>
      <c r="AP53" s="3437" t="s">
        <v>6882</v>
      </c>
      <c r="AQ53" s="3283" t="s">
        <v>6882</v>
      </c>
      <c r="AR53" s="101" t="s">
        <v>8936</v>
      </c>
      <c r="AU53" s="2154" t="s">
        <v>8113</v>
      </c>
      <c r="AV53" s="2154"/>
      <c r="AW53" s="2091" t="s">
        <v>8664</v>
      </c>
      <c r="AX53" s="531" t="s">
        <v>8113</v>
      </c>
      <c r="AY53" s="2744" t="s">
        <v>8113</v>
      </c>
      <c r="BB53" s="511" t="s">
        <v>3073</v>
      </c>
      <c r="BC53" s="511" t="s">
        <v>3071</v>
      </c>
      <c r="BH53" s="2405">
        <v>1837004362</v>
      </c>
      <c r="BI53" s="2405" t="s">
        <v>4952</v>
      </c>
      <c r="BJ53" s="2466">
        <v>78</v>
      </c>
      <c r="BK53" s="530"/>
      <c r="BL53" s="3083"/>
      <c r="BM53" s="3083"/>
      <c r="BN53" s="3083"/>
      <c r="BP53" s="3083"/>
      <c r="BQ53" s="511"/>
      <c r="BR53" s="511"/>
      <c r="BT53" s="3083"/>
      <c r="BU53" s="3126" t="s">
        <v>5764</v>
      </c>
      <c r="BV53" s="3082" t="str">
        <f t="shared" si="0"/>
        <v>{1210319ги охраны</v>
      </c>
      <c r="BW53" s="101"/>
      <c r="BZ53" s="3112" t="s">
        <v>6989</v>
      </c>
      <c r="CA53" s="3113" t="s">
        <v>3908</v>
      </c>
      <c r="CP53" s="3437" t="s">
        <v>4834</v>
      </c>
      <c r="CS53" s="3437" t="s">
        <v>2525</v>
      </c>
      <c r="CT53" s="2299" t="s">
        <v>6526</v>
      </c>
      <c r="CV53" s="3083"/>
      <c r="CZ53" s="3083"/>
      <c r="DA53" s="2558"/>
      <c r="DB53" s="2153" t="s">
        <v>7214</v>
      </c>
      <c r="DD53" s="3083"/>
      <c r="DH53" s="2764"/>
      <c r="DK53" s="2576" t="s">
        <v>424</v>
      </c>
      <c r="DL53" s="2178" t="s">
        <v>6069</v>
      </c>
      <c r="DM53" s="2575" t="s">
        <v>8624</v>
      </c>
      <c r="DO53" s="1892" t="s">
        <v>8235</v>
      </c>
      <c r="DP53" s="1892">
        <v>155807</v>
      </c>
      <c r="DT53" s="2091" t="s">
        <v>3073</v>
      </c>
      <c r="DU53" s="2744"/>
      <c r="DV53" s="2744"/>
      <c r="DW53" s="1511" t="s">
        <v>8813</v>
      </c>
      <c r="EI53" s="2689" t="s">
        <v>10372</v>
      </c>
    </row>
    <row r="54" spans="1:139" ht="51">
      <c r="A54" s="532"/>
      <c r="D54" s="2539"/>
      <c r="H54" s="3633" t="s">
        <v>14386</v>
      </c>
      <c r="I54" s="3139"/>
      <c r="J54" s="3442" t="s">
        <v>14386</v>
      </c>
      <c r="K54" s="3437" t="s">
        <v>2521</v>
      </c>
      <c r="L54" s="3437" t="s">
        <v>14399</v>
      </c>
      <c r="M54" s="3437" t="s">
        <v>3537</v>
      </c>
      <c r="N54" s="2263"/>
      <c r="AE54" s="2153" t="s">
        <v>5630</v>
      </c>
      <c r="AN54" s="3283" t="s">
        <v>6883</v>
      </c>
      <c r="AO54" s="3283" t="s">
        <v>6883</v>
      </c>
      <c r="AP54" s="3437" t="s">
        <v>6883</v>
      </c>
      <c r="AQ54" s="3283" t="s">
        <v>6883</v>
      </c>
      <c r="AR54" s="101" t="s">
        <v>8937</v>
      </c>
      <c r="AU54" s="2154" t="s">
        <v>8114</v>
      </c>
      <c r="AV54" s="2154"/>
      <c r="AW54" s="2091" t="s">
        <v>9821</v>
      </c>
      <c r="AX54" s="531" t="s">
        <v>8114</v>
      </c>
      <c r="AY54" s="2744" t="s">
        <v>8114</v>
      </c>
      <c r="BB54" s="511" t="s">
        <v>3074</v>
      </c>
      <c r="BC54" s="511" t="s">
        <v>3072</v>
      </c>
      <c r="BH54" s="2405">
        <v>1837004980</v>
      </c>
      <c r="BI54" s="2405" t="s">
        <v>3940</v>
      </c>
      <c r="BJ54" s="2466">
        <v>80</v>
      </c>
      <c r="BK54" s="530"/>
      <c r="BQ54" s="511"/>
      <c r="BR54" s="511"/>
      <c r="BT54" s="2446"/>
      <c r="BU54" s="3126" t="s">
        <v>5765</v>
      </c>
      <c r="BV54" s="3082" t="str">
        <f t="shared" si="0"/>
        <v>{1210320ые работы</v>
      </c>
      <c r="BW54" s="101"/>
      <c r="BZ54" s="3112" t="s">
        <v>6942</v>
      </c>
      <c r="CA54" s="3113" t="s">
        <v>3756</v>
      </c>
      <c r="CP54" s="3437"/>
      <c r="CS54" s="3437" t="s">
        <v>2527</v>
      </c>
      <c r="CT54" s="2299" t="s">
        <v>6527</v>
      </c>
      <c r="DA54" s="2558"/>
      <c r="DB54" s="2153" t="s">
        <v>7215</v>
      </c>
      <c r="DD54" s="2745"/>
      <c r="DH54" s="2764"/>
      <c r="DK54" s="2576">
        <v>46</v>
      </c>
      <c r="DL54" s="2178" t="s">
        <v>4072</v>
      </c>
      <c r="DM54" s="2575" t="s">
        <v>7496</v>
      </c>
      <c r="DO54" s="1892" t="s">
        <v>8236</v>
      </c>
      <c r="DP54" s="1892">
        <v>155659</v>
      </c>
      <c r="DT54" s="2091" t="s">
        <v>3074</v>
      </c>
      <c r="DU54" s="2744"/>
      <c r="DV54" s="2744"/>
      <c r="DW54" s="1511" t="s">
        <v>8814</v>
      </c>
      <c r="EI54" s="2689" t="s">
        <v>10373</v>
      </c>
    </row>
    <row r="55" spans="1:139" ht="51">
      <c r="A55" s="532"/>
      <c r="D55" s="2539"/>
      <c r="H55" s="3633" t="s">
        <v>14387</v>
      </c>
      <c r="I55" s="3139"/>
      <c r="J55" s="3442" t="s">
        <v>14387</v>
      </c>
      <c r="K55" s="3437" t="s">
        <v>2523</v>
      </c>
      <c r="L55" s="3437" t="s">
        <v>3160</v>
      </c>
      <c r="M55" s="3437" t="s">
        <v>3538</v>
      </c>
      <c r="N55" s="2263"/>
      <c r="AE55" s="2153" t="s">
        <v>5631</v>
      </c>
      <c r="AN55" s="3283" t="s">
        <v>6884</v>
      </c>
      <c r="AO55" s="3283" t="s">
        <v>6884</v>
      </c>
      <c r="AP55" s="3437" t="s">
        <v>6884</v>
      </c>
      <c r="AQ55" s="3283" t="s">
        <v>6884</v>
      </c>
      <c r="AR55" s="101" t="s">
        <v>8938</v>
      </c>
      <c r="AU55" s="2154" t="s">
        <v>8115</v>
      </c>
      <c r="AV55" s="2154"/>
      <c r="AW55" s="2091" t="s">
        <v>10064</v>
      </c>
      <c r="AX55" s="531" t="s">
        <v>8115</v>
      </c>
      <c r="AY55" s="2744" t="s">
        <v>8115</v>
      </c>
      <c r="BB55" s="511" t="s">
        <v>3075</v>
      </c>
      <c r="BC55" s="511" t="s">
        <v>3073</v>
      </c>
      <c r="BH55" s="2405">
        <v>1837005119</v>
      </c>
      <c r="BI55" s="2405" t="s">
        <v>30</v>
      </c>
      <c r="BJ55" s="2466">
        <v>81</v>
      </c>
      <c r="BK55" s="530"/>
      <c r="BQ55" s="2514"/>
      <c r="BR55" s="2744"/>
      <c r="BT55" s="2446"/>
      <c r="BU55" s="3126" t="s">
        <v>5766</v>
      </c>
      <c r="BV55" s="3082" t="str">
        <f t="shared" si="0"/>
        <v>{1210321ких работ</v>
      </c>
      <c r="BW55" s="101"/>
      <c r="BZ55" s="3112" t="s">
        <v>7039</v>
      </c>
      <c r="CA55" s="3113" t="s">
        <v>3835</v>
      </c>
      <c r="CE55" s="2448"/>
      <c r="CP55" s="2446"/>
      <c r="CS55" s="3437" t="s">
        <v>2529</v>
      </c>
      <c r="CT55" s="2299" t="s">
        <v>6528</v>
      </c>
      <c r="CX55" s="2718"/>
      <c r="DA55" s="2558"/>
      <c r="DB55" s="2153" t="s">
        <v>7216</v>
      </c>
      <c r="DD55" s="2764"/>
      <c r="DH55" s="2764"/>
      <c r="DK55" s="2576" t="s">
        <v>425</v>
      </c>
      <c r="DL55" s="2178" t="s">
        <v>1435</v>
      </c>
      <c r="DM55" s="2575" t="s">
        <v>8623</v>
      </c>
      <c r="DO55" s="1892" t="s">
        <v>8237</v>
      </c>
      <c r="DP55" s="1892">
        <v>155805</v>
      </c>
      <c r="DT55" s="2091" t="s">
        <v>3075</v>
      </c>
      <c r="DU55" s="2744"/>
      <c r="DV55" s="2744"/>
      <c r="DW55" s="1511" t="s">
        <v>8815</v>
      </c>
      <c r="EI55" s="2689" t="s">
        <v>10374</v>
      </c>
    </row>
    <row r="56" spans="1:139" ht="75">
      <c r="A56" s="532"/>
      <c r="D56" s="2539"/>
      <c r="H56" s="3442" t="s">
        <v>14388</v>
      </c>
      <c r="I56" s="3442" t="s">
        <v>3152</v>
      </c>
      <c r="J56" s="3442" t="s">
        <v>14388</v>
      </c>
      <c r="K56" s="3437" t="s">
        <v>2525</v>
      </c>
      <c r="L56" s="3437" t="s">
        <v>3162</v>
      </c>
      <c r="M56" s="3437" t="s">
        <v>3539</v>
      </c>
      <c r="N56" s="2263"/>
      <c r="AE56" s="2153" t="s">
        <v>6032</v>
      </c>
      <c r="AN56" s="3283" t="s">
        <v>6885</v>
      </c>
      <c r="AO56" s="3283" t="s">
        <v>6885</v>
      </c>
      <c r="AP56" s="3437" t="s">
        <v>6885</v>
      </c>
      <c r="AQ56" s="3283" t="s">
        <v>6885</v>
      </c>
      <c r="AR56" s="101" t="s">
        <v>8939</v>
      </c>
      <c r="AU56" s="2154" t="s">
        <v>8116</v>
      </c>
      <c r="AV56" s="2154"/>
      <c r="AW56" s="2091" t="s">
        <v>14529</v>
      </c>
      <c r="AX56" s="531" t="s">
        <v>8116</v>
      </c>
      <c r="AY56" s="2744" t="s">
        <v>8116</v>
      </c>
      <c r="BB56" s="511" t="s">
        <v>3076</v>
      </c>
      <c r="BC56" s="511" t="s">
        <v>3074</v>
      </c>
      <c r="BH56" s="2406">
        <v>1840001386</v>
      </c>
      <c r="BI56" s="2409" t="s">
        <v>2941</v>
      </c>
      <c r="BJ56" s="2466">
        <v>235249</v>
      </c>
      <c r="BK56" s="530"/>
      <c r="BQ56" s="2744"/>
      <c r="BR56" s="2744"/>
      <c r="BT56" s="2446"/>
      <c r="BU56" s="3126" t="s">
        <v>5767</v>
      </c>
      <c r="BV56" s="3082" t="str">
        <f t="shared" si="0"/>
        <v>{1210322ие работы</v>
      </c>
      <c r="BW56" s="101"/>
      <c r="BZ56" s="3112" t="s">
        <v>7094</v>
      </c>
      <c r="CA56" s="3113" t="s">
        <v>3879</v>
      </c>
      <c r="CP56" s="3083"/>
      <c r="CS56" s="3437" t="s">
        <v>2531</v>
      </c>
      <c r="CT56" s="2299" t="s">
        <v>6529</v>
      </c>
      <c r="CV56" s="3083"/>
      <c r="DA56" s="2558"/>
      <c r="DB56" s="2153" t="s">
        <v>7217</v>
      </c>
      <c r="DD56" s="2764"/>
      <c r="DH56" s="2764"/>
      <c r="DK56" s="2576" t="s">
        <v>5033</v>
      </c>
      <c r="DL56" s="2178" t="s">
        <v>5032</v>
      </c>
      <c r="DM56" s="2575" t="s">
        <v>7501</v>
      </c>
      <c r="DO56" s="1892" t="s">
        <v>8238</v>
      </c>
      <c r="DP56" s="1892">
        <v>155806</v>
      </c>
      <c r="DT56" s="2091" t="s">
        <v>3076</v>
      </c>
      <c r="DU56" s="2744"/>
      <c r="DV56" s="2744"/>
      <c r="DW56" s="1511" t="s">
        <v>8816</v>
      </c>
      <c r="EI56" s="2689" t="s">
        <v>10375</v>
      </c>
    </row>
    <row r="57" spans="1:139" ht="43.5">
      <c r="A57" s="532"/>
      <c r="D57" s="2539"/>
      <c r="H57" s="3442" t="s">
        <v>14389</v>
      </c>
      <c r="I57" s="3442" t="s">
        <v>3152</v>
      </c>
      <c r="J57" s="3442" t="s">
        <v>14389</v>
      </c>
      <c r="K57" s="3437" t="s">
        <v>2527</v>
      </c>
      <c r="L57" s="3437" t="s">
        <v>3164</v>
      </c>
      <c r="M57" s="3437" t="s">
        <v>3540</v>
      </c>
      <c r="N57" s="2263"/>
      <c r="AE57" s="2153" t="s">
        <v>5632</v>
      </c>
      <c r="AN57" s="3283" t="s">
        <v>6886</v>
      </c>
      <c r="AO57" s="3283" t="s">
        <v>6886</v>
      </c>
      <c r="AP57" s="3437" t="s">
        <v>6886</v>
      </c>
      <c r="AQ57" s="3283" t="s">
        <v>6886</v>
      </c>
      <c r="AR57" s="101" t="s">
        <v>8940</v>
      </c>
      <c r="AU57" s="2154" t="s">
        <v>8118</v>
      </c>
      <c r="AV57" s="2154"/>
      <c r="AW57" s="2744" t="s">
        <v>8117</v>
      </c>
      <c r="AX57" s="531" t="s">
        <v>8118</v>
      </c>
      <c r="AY57" s="2744" t="s">
        <v>8118</v>
      </c>
      <c r="BB57" s="511" t="s">
        <v>3077</v>
      </c>
      <c r="BC57" s="511" t="s">
        <v>3075</v>
      </c>
      <c r="BH57" s="2406">
        <v>1841007197</v>
      </c>
      <c r="BI57" s="2409" t="s">
        <v>2690</v>
      </c>
      <c r="BJ57" s="2466">
        <v>243622</v>
      </c>
      <c r="BK57" s="530"/>
      <c r="BQ57" s="511"/>
      <c r="BR57" s="511"/>
      <c r="BU57" s="3126" t="s">
        <v>5768</v>
      </c>
      <c r="BV57" s="3082" t="str">
        <f t="shared" si="0"/>
        <v>{1210399характера</v>
      </c>
      <c r="BW57" s="101"/>
      <c r="BZ57" s="3112" t="s">
        <v>7082</v>
      </c>
      <c r="CA57" s="3113" t="s">
        <v>3880</v>
      </c>
      <c r="CP57" s="2446"/>
      <c r="CS57" s="3437" t="s">
        <v>2533</v>
      </c>
      <c r="CT57" s="2299" t="s">
        <v>6530</v>
      </c>
      <c r="DA57" s="2558"/>
      <c r="DB57" s="2153" t="s">
        <v>7218</v>
      </c>
      <c r="DD57" s="2764"/>
      <c r="DH57" s="2764"/>
      <c r="DK57" s="2576">
        <v>50</v>
      </c>
      <c r="DL57" s="2178" t="s">
        <v>4662</v>
      </c>
      <c r="DM57" s="2575" t="s">
        <v>7497</v>
      </c>
      <c r="DO57" s="1892" t="s">
        <v>8239</v>
      </c>
      <c r="DP57" s="1892">
        <v>149490</v>
      </c>
      <c r="DT57" s="2091" t="s">
        <v>3077</v>
      </c>
      <c r="DU57" s="2744"/>
      <c r="DV57" s="2744"/>
      <c r="DW57" s="1511" t="s">
        <v>8817</v>
      </c>
      <c r="EI57" s="2689" t="s">
        <v>10376</v>
      </c>
    </row>
    <row r="58" spans="1:139" ht="43.5">
      <c r="A58" s="532"/>
      <c r="D58" s="2539"/>
      <c r="H58" s="3442" t="s">
        <v>14390</v>
      </c>
      <c r="I58" s="3442" t="s">
        <v>3152</v>
      </c>
      <c r="J58" s="3442" t="s">
        <v>14390</v>
      </c>
      <c r="K58" s="3437" t="s">
        <v>2529</v>
      </c>
      <c r="L58" s="3437" t="s">
        <v>5465</v>
      </c>
      <c r="M58" s="3437" t="s">
        <v>3541</v>
      </c>
      <c r="N58" s="2263"/>
      <c r="AE58" s="2153" t="s">
        <v>5633</v>
      </c>
      <c r="AN58" s="3283" t="s">
        <v>6887</v>
      </c>
      <c r="AO58" s="3283" t="s">
        <v>6887</v>
      </c>
      <c r="AP58" s="3437" t="s">
        <v>6887</v>
      </c>
      <c r="AQ58" s="3283" t="s">
        <v>6887</v>
      </c>
      <c r="AR58" s="101" t="s">
        <v>8941</v>
      </c>
      <c r="AU58" s="2154" t="s">
        <v>4491</v>
      </c>
      <c r="AV58" s="2154"/>
      <c r="AW58" s="2744" t="s">
        <v>8119</v>
      </c>
      <c r="AX58" s="531" t="s">
        <v>4491</v>
      </c>
      <c r="AY58" s="2744" t="s">
        <v>4491</v>
      </c>
      <c r="BB58" s="511" t="s">
        <v>3078</v>
      </c>
      <c r="BC58" s="511" t="s">
        <v>3076</v>
      </c>
      <c r="BH58" s="2406">
        <v>1901067718</v>
      </c>
      <c r="BI58" s="2409" t="s">
        <v>2247</v>
      </c>
      <c r="BJ58" s="2466">
        <v>104296</v>
      </c>
      <c r="BK58" s="530"/>
      <c r="BQ58" s="511"/>
      <c r="BR58" s="511"/>
      <c r="BU58" s="3126" t="s">
        <v>5769</v>
      </c>
      <c r="BV58" s="3082" t="str">
        <f t="shared" si="0"/>
        <v>{1210400рахованию</v>
      </c>
      <c r="BW58" s="101"/>
      <c r="BZ58" s="3112" t="s">
        <v>6971</v>
      </c>
      <c r="CA58" s="3113" t="s">
        <v>2861</v>
      </c>
      <c r="CP58" s="2448"/>
      <c r="CS58" s="3437" t="s">
        <v>2535</v>
      </c>
      <c r="CT58" s="2299" t="s">
        <v>6531</v>
      </c>
      <c r="CV58" s="2448"/>
      <c r="CZ58" s="2448"/>
      <c r="DA58" s="2558"/>
      <c r="DB58" s="2153" t="s">
        <v>7219</v>
      </c>
      <c r="DD58" s="2745"/>
      <c r="DH58" s="2764"/>
      <c r="DK58" s="2576">
        <v>51</v>
      </c>
      <c r="DL58" s="2178" t="s">
        <v>4667</v>
      </c>
      <c r="DM58" s="2575" t="s">
        <v>7497</v>
      </c>
      <c r="DO58" s="1892" t="s">
        <v>8240</v>
      </c>
      <c r="DP58" s="1892">
        <v>150665</v>
      </c>
      <c r="DT58" s="2091" t="s">
        <v>3078</v>
      </c>
      <c r="DU58" s="2744"/>
      <c r="DV58" s="2744"/>
      <c r="DW58" s="1511" t="s">
        <v>8818</v>
      </c>
      <c r="EI58" s="2689" t="s">
        <v>10377</v>
      </c>
    </row>
    <row r="59" spans="1:139" ht="43.5">
      <c r="A59" s="532"/>
      <c r="D59" s="2539"/>
      <c r="H59" s="3442" t="s">
        <v>14391</v>
      </c>
      <c r="I59" s="3442" t="s">
        <v>3152</v>
      </c>
      <c r="J59" s="3442" t="s">
        <v>14391</v>
      </c>
      <c r="K59" s="3437" t="s">
        <v>2531</v>
      </c>
      <c r="L59" s="3437" t="s">
        <v>3166</v>
      </c>
      <c r="M59" s="3520" t="s">
        <v>14425</v>
      </c>
      <c r="N59" s="2263"/>
      <c r="AE59" s="2153" t="s">
        <v>5634</v>
      </c>
      <c r="AN59" s="3283" t="s">
        <v>6157</v>
      </c>
      <c r="AO59" s="3283" t="s">
        <v>6157</v>
      </c>
      <c r="AP59" s="3437" t="s">
        <v>6157</v>
      </c>
      <c r="AQ59" s="3283" t="s">
        <v>6157</v>
      </c>
      <c r="AR59" s="101" t="s">
        <v>8942</v>
      </c>
      <c r="AU59" s="2154" t="s">
        <v>1342</v>
      </c>
      <c r="AV59" s="2154"/>
      <c r="AW59" s="2744" t="s">
        <v>8120</v>
      </c>
      <c r="AX59" s="531" t="s">
        <v>1342</v>
      </c>
      <c r="AY59" s="2744" t="s">
        <v>1342</v>
      </c>
      <c r="BB59" s="511" t="s">
        <v>3079</v>
      </c>
      <c r="BC59" s="511" t="s">
        <v>3077</v>
      </c>
      <c r="BH59" s="2406">
        <v>2124016582</v>
      </c>
      <c r="BI59" s="2409" t="s">
        <v>2397</v>
      </c>
      <c r="BJ59" s="2466">
        <v>153652</v>
      </c>
      <c r="BK59" s="530"/>
      <c r="BQ59" s="511"/>
      <c r="BR59" s="511"/>
      <c r="BU59" s="3126" t="s">
        <v>5691</v>
      </c>
      <c r="BV59" s="3082" t="str">
        <f t="shared" si="0"/>
        <v>{1210511лификации</v>
      </c>
      <c r="BW59" s="101"/>
      <c r="BZ59" s="3112" t="s">
        <v>6975</v>
      </c>
      <c r="CA59" s="3113" t="s">
        <v>2865</v>
      </c>
      <c r="CP59" s="2446"/>
      <c r="CS59" s="3437" t="s">
        <v>2536</v>
      </c>
      <c r="CT59" s="2299" t="s">
        <v>6532</v>
      </c>
      <c r="DA59" s="2558"/>
      <c r="DB59" s="2153" t="s">
        <v>7220</v>
      </c>
      <c r="DD59" s="2764"/>
      <c r="DH59" s="2764"/>
      <c r="DK59" s="2576">
        <v>52</v>
      </c>
      <c r="DL59" s="2178" t="s">
        <v>4668</v>
      </c>
      <c r="DM59" s="2575" t="s">
        <v>7497</v>
      </c>
      <c r="DO59" s="1892" t="s">
        <v>8241</v>
      </c>
      <c r="DP59" s="1892">
        <v>116610</v>
      </c>
      <c r="DT59" s="2091" t="s">
        <v>3079</v>
      </c>
      <c r="DU59" s="2744"/>
      <c r="DV59" s="2744"/>
      <c r="DW59" s="1511" t="s">
        <v>8819</v>
      </c>
      <c r="EI59" s="2689" t="s">
        <v>10378</v>
      </c>
    </row>
    <row r="60" spans="1:139" ht="43.5">
      <c r="A60" s="532"/>
      <c r="D60" s="2539"/>
      <c r="H60" s="3442" t="s">
        <v>14392</v>
      </c>
      <c r="I60" s="3442" t="s">
        <v>3161</v>
      </c>
      <c r="J60" s="3442" t="s">
        <v>14392</v>
      </c>
      <c r="K60" s="3437" t="s">
        <v>2533</v>
      </c>
      <c r="L60" s="3437" t="s">
        <v>3168</v>
      </c>
      <c r="M60" s="3437" t="s">
        <v>14426</v>
      </c>
      <c r="N60" s="2263"/>
      <c r="AE60" s="2153" t="s">
        <v>6033</v>
      </c>
      <c r="AN60" s="3283" t="s">
        <v>2107</v>
      </c>
      <c r="AO60" s="3283" t="s">
        <v>2107</v>
      </c>
      <c r="AP60" s="3437" t="s">
        <v>2107</v>
      </c>
      <c r="AQ60" s="3283" t="s">
        <v>2107</v>
      </c>
      <c r="AR60" s="101" t="s">
        <v>8943</v>
      </c>
      <c r="AU60" s="2154" t="s">
        <v>5865</v>
      </c>
      <c r="AV60" s="2154"/>
      <c r="AW60" s="2744" t="s">
        <v>8121</v>
      </c>
      <c r="AX60" s="531" t="s">
        <v>5865</v>
      </c>
      <c r="AY60" s="2744" t="s">
        <v>5865</v>
      </c>
      <c r="BB60" s="2514" t="s">
        <v>3080</v>
      </c>
      <c r="BC60" s="511" t="s">
        <v>3078</v>
      </c>
      <c r="BH60" s="2406">
        <v>2128049998</v>
      </c>
      <c r="BI60" s="2409" t="s">
        <v>2448</v>
      </c>
      <c r="BJ60" s="2466">
        <v>380972</v>
      </c>
      <c r="BK60" s="530"/>
      <c r="BQ60" s="511"/>
      <c r="BR60" s="511"/>
      <c r="BU60" s="3126" t="s">
        <v>5692</v>
      </c>
      <c r="BV60" s="3082" t="str">
        <f t="shared" si="0"/>
        <v>{1210512персонала</v>
      </c>
      <c r="BW60" s="101"/>
      <c r="BZ60" s="3112" t="s">
        <v>6970</v>
      </c>
      <c r="CA60" s="3113" t="s">
        <v>3784</v>
      </c>
      <c r="CP60" s="2446"/>
      <c r="CS60" s="3437" t="s">
        <v>14412</v>
      </c>
      <c r="CT60" s="2299" t="s">
        <v>6533</v>
      </c>
      <c r="DA60" s="2558"/>
      <c r="DB60" s="2153" t="s">
        <v>7221</v>
      </c>
      <c r="DD60" s="2764"/>
      <c r="DH60" s="2764"/>
      <c r="DK60" s="2576">
        <v>55</v>
      </c>
      <c r="DL60" s="2178" t="s">
        <v>4671</v>
      </c>
      <c r="DM60" s="2575" t="s">
        <v>7497</v>
      </c>
      <c r="DO60" s="1892" t="s">
        <v>8242</v>
      </c>
      <c r="DP60" s="1892">
        <v>150438</v>
      </c>
      <c r="DT60" s="2091" t="s">
        <v>3080</v>
      </c>
      <c r="DU60" s="2744"/>
      <c r="DV60" s="2744"/>
      <c r="DW60" s="1511" t="s">
        <v>8820</v>
      </c>
      <c r="EI60" s="2689" t="s">
        <v>10379</v>
      </c>
    </row>
    <row r="61" spans="1:139" ht="58">
      <c r="A61" s="532"/>
      <c r="D61" s="2539"/>
      <c r="H61" s="3442" t="s">
        <v>14393</v>
      </c>
      <c r="I61" s="3442" t="s">
        <v>3161</v>
      </c>
      <c r="J61" s="3442" t="s">
        <v>14393</v>
      </c>
      <c r="K61" s="3437" t="s">
        <v>2535</v>
      </c>
      <c r="L61" s="3437" t="s">
        <v>5466</v>
      </c>
      <c r="M61" s="3437" t="s">
        <v>3542</v>
      </c>
      <c r="N61" s="2263"/>
      <c r="AE61" s="2153" t="s">
        <v>5635</v>
      </c>
      <c r="AN61" s="3283" t="s">
        <v>2108</v>
      </c>
      <c r="AO61" s="3283" t="s">
        <v>2108</v>
      </c>
      <c r="AP61" s="3437" t="s">
        <v>2108</v>
      </c>
      <c r="AQ61" s="3283" t="s">
        <v>2108</v>
      </c>
      <c r="AR61" s="101" t="s">
        <v>9847</v>
      </c>
      <c r="AU61" s="2290" t="s">
        <v>6135</v>
      </c>
      <c r="AV61" s="2154"/>
      <c r="AW61" s="2744" t="s">
        <v>8122</v>
      </c>
      <c r="AX61" s="2091" t="s">
        <v>6135</v>
      </c>
      <c r="AY61" s="2091" t="s">
        <v>6135</v>
      </c>
      <c r="BB61" s="2514" t="s">
        <v>3081</v>
      </c>
      <c r="BC61" s="511" t="s">
        <v>3079</v>
      </c>
      <c r="BH61" s="2406">
        <v>2128700232</v>
      </c>
      <c r="BI61" s="2409" t="s">
        <v>2449</v>
      </c>
      <c r="BJ61" s="2466">
        <v>122465</v>
      </c>
      <c r="BK61" s="530"/>
      <c r="BQ61" s="2744"/>
      <c r="BR61" s="2744"/>
      <c r="BU61" s="3126" t="s">
        <v>5693</v>
      </c>
      <c r="BV61" s="3082" t="str">
        <f t="shared" si="0"/>
        <v>{1210513персонала</v>
      </c>
      <c r="BW61" s="101"/>
      <c r="BZ61" s="3112" t="s">
        <v>7026</v>
      </c>
      <c r="CA61" s="3113" t="s">
        <v>3822</v>
      </c>
      <c r="CP61" s="2446"/>
      <c r="CS61" s="3437" t="s">
        <v>14413</v>
      </c>
      <c r="CT61" s="2299" t="s">
        <v>6534</v>
      </c>
      <c r="DA61" s="2558"/>
      <c r="DB61" s="2153" t="s">
        <v>7222</v>
      </c>
      <c r="DD61" s="2764"/>
      <c r="DH61" s="2764"/>
      <c r="DK61" s="2576">
        <v>57</v>
      </c>
      <c r="DL61" s="2178" t="s">
        <v>4676</v>
      </c>
      <c r="DM61" s="2575" t="s">
        <v>7497</v>
      </c>
      <c r="DO61" s="1892" t="s">
        <v>8243</v>
      </c>
      <c r="DP61" s="1892">
        <v>147176</v>
      </c>
      <c r="DT61" s="2091" t="s">
        <v>3081</v>
      </c>
      <c r="DU61" s="2744"/>
      <c r="DV61" s="2744"/>
      <c r="DW61" s="1511" t="s">
        <v>8821</v>
      </c>
      <c r="EI61" s="2689" t="s">
        <v>10380</v>
      </c>
    </row>
    <row r="62" spans="1:139" ht="43.5">
      <c r="A62" s="532"/>
      <c r="D62" s="2539"/>
      <c r="H62" s="3442" t="s">
        <v>14394</v>
      </c>
      <c r="I62" s="3442" t="s">
        <v>3152</v>
      </c>
      <c r="J62" s="3442" t="s">
        <v>14394</v>
      </c>
      <c r="K62" s="3437" t="s">
        <v>2536</v>
      </c>
      <c r="L62" s="3437" t="s">
        <v>3172</v>
      </c>
      <c r="M62" s="3437" t="s">
        <v>4723</v>
      </c>
      <c r="N62" s="2263"/>
      <c r="AE62" s="2153" t="s">
        <v>5636</v>
      </c>
      <c r="AN62" s="3283" t="s">
        <v>2109</v>
      </c>
      <c r="AO62" s="3283" t="s">
        <v>2109</v>
      </c>
      <c r="AP62" s="3437" t="s">
        <v>2109</v>
      </c>
      <c r="AQ62" s="3283" t="s">
        <v>2109</v>
      </c>
      <c r="AR62" s="101" t="s">
        <v>8944</v>
      </c>
      <c r="AU62" s="2290" t="s">
        <v>6136</v>
      </c>
      <c r="AV62" s="2290"/>
      <c r="AW62" s="2744" t="s">
        <v>8123</v>
      </c>
      <c r="AX62" s="2091" t="s">
        <v>6136</v>
      </c>
      <c r="AY62" s="2091" t="s">
        <v>6136</v>
      </c>
      <c r="BB62" s="511" t="s">
        <v>3082</v>
      </c>
      <c r="BC62" s="511" t="s">
        <v>3080</v>
      </c>
      <c r="BH62" s="2406">
        <v>2128701003</v>
      </c>
      <c r="BI62" s="2409" t="s">
        <v>2483</v>
      </c>
      <c r="BJ62" s="2466">
        <v>242062</v>
      </c>
      <c r="BK62" s="530"/>
      <c r="BQ62" s="511"/>
      <c r="BR62" s="511"/>
      <c r="BU62" s="3126" t="s">
        <v>5770</v>
      </c>
      <c r="BV62" s="3082" t="str">
        <f t="shared" si="0"/>
        <v>{1210520ерсоналом</v>
      </c>
      <c r="BW62" s="101"/>
      <c r="BZ62" s="3112" t="s">
        <v>7084</v>
      </c>
      <c r="CA62" s="3113" t="s">
        <v>3869</v>
      </c>
      <c r="CP62" s="3083"/>
      <c r="CS62" s="3437" t="s">
        <v>9696</v>
      </c>
      <c r="CT62" s="2299" t="s">
        <v>6535</v>
      </c>
      <c r="CV62" s="3083"/>
      <c r="DA62" s="2558"/>
      <c r="DB62" s="2153" t="s">
        <v>7223</v>
      </c>
      <c r="DD62" s="2745"/>
      <c r="DK62" s="2576" t="s">
        <v>2825</v>
      </c>
      <c r="DL62" s="2178" t="s">
        <v>1791</v>
      </c>
      <c r="DM62" s="2575" t="s">
        <v>7497</v>
      </c>
      <c r="DO62" s="1892" t="s">
        <v>8244</v>
      </c>
      <c r="DP62" s="1892">
        <v>179083</v>
      </c>
      <c r="DT62" s="2879" t="s">
        <v>3082</v>
      </c>
      <c r="DU62" s="2744"/>
      <c r="DV62" s="2744"/>
      <c r="DW62" s="1511" t="s">
        <v>8822</v>
      </c>
      <c r="EI62" s="2689" t="s">
        <v>10381</v>
      </c>
    </row>
    <row r="63" spans="1:139" ht="52">
      <c r="A63" s="532"/>
      <c r="D63" s="2539"/>
      <c r="H63" s="3442" t="s">
        <v>14395</v>
      </c>
      <c r="I63" s="3442" t="s">
        <v>3152</v>
      </c>
      <c r="J63" s="3442" t="s">
        <v>14395</v>
      </c>
      <c r="K63" s="3437" t="s">
        <v>14412</v>
      </c>
      <c r="L63" s="3437" t="s">
        <v>5468</v>
      </c>
      <c r="M63" s="3437" t="s">
        <v>3543</v>
      </c>
      <c r="N63" s="2263"/>
      <c r="AE63" s="2153" t="s">
        <v>6034</v>
      </c>
      <c r="AN63" s="3283" t="s">
        <v>2110</v>
      </c>
      <c r="AO63" s="3283" t="s">
        <v>2110</v>
      </c>
      <c r="AP63" s="3437" t="s">
        <v>2110</v>
      </c>
      <c r="AQ63" s="3283" t="s">
        <v>2110</v>
      </c>
      <c r="AR63" s="101" t="s">
        <v>8945</v>
      </c>
      <c r="AU63" s="2290" t="s">
        <v>6137</v>
      </c>
      <c r="AV63" s="2290"/>
      <c r="AW63" s="2744" t="s">
        <v>5338</v>
      </c>
      <c r="AX63" s="2091" t="s">
        <v>6137</v>
      </c>
      <c r="AY63" s="2091" t="s">
        <v>6137</v>
      </c>
      <c r="BB63" s="511" t="s">
        <v>3083</v>
      </c>
      <c r="BC63" s="511" t="s">
        <v>3081</v>
      </c>
      <c r="BH63" s="2408">
        <v>2204031890</v>
      </c>
      <c r="BI63" s="2409" t="s">
        <v>2345</v>
      </c>
      <c r="BJ63" s="2466">
        <v>249695</v>
      </c>
      <c r="BK63" s="530"/>
      <c r="BQ63" s="511"/>
      <c r="BR63" s="511"/>
      <c r="BU63" s="3126" t="s">
        <v>5771</v>
      </c>
      <c r="BV63" s="3082" t="str">
        <f t="shared" ref="BV63:BV126" si="1">CONCATENATE(LEFT(BU63,8),RIGHT(BU63,9))</f>
        <v>{1210600граждение</v>
      </c>
      <c r="BW63" s="101"/>
      <c r="BZ63" s="3112" t="s">
        <v>6969</v>
      </c>
      <c r="CA63" s="3113" t="s">
        <v>3783</v>
      </c>
      <c r="CS63" s="3437" t="s">
        <v>9812</v>
      </c>
      <c r="CT63" s="2299" t="s">
        <v>6536</v>
      </c>
      <c r="DA63" s="2558"/>
      <c r="DB63" s="2153" t="s">
        <v>7224</v>
      </c>
      <c r="DD63" s="3083"/>
      <c r="DK63" s="2576" t="s">
        <v>222</v>
      </c>
      <c r="DL63" s="2178" t="s">
        <v>1792</v>
      </c>
      <c r="DM63" s="2575" t="s">
        <v>9612</v>
      </c>
      <c r="DO63" s="1892" t="s">
        <v>8245</v>
      </c>
      <c r="DP63" s="1892">
        <v>283250</v>
      </c>
      <c r="DT63" s="2879" t="s">
        <v>3083</v>
      </c>
      <c r="DU63" s="2744"/>
      <c r="DV63" s="2744"/>
      <c r="DW63" s="1511" t="s">
        <v>8823</v>
      </c>
      <c r="EI63" s="2689" t="s">
        <v>10382</v>
      </c>
    </row>
    <row r="64" spans="1:139" ht="43.5">
      <c r="A64" s="532"/>
      <c r="D64" s="2539"/>
      <c r="H64" s="3442" t="s">
        <v>14396</v>
      </c>
      <c r="I64" s="3442" t="s">
        <v>3152</v>
      </c>
      <c r="J64" s="3442" t="s">
        <v>14396</v>
      </c>
      <c r="K64" s="3437" t="s">
        <v>14413</v>
      </c>
      <c r="L64" s="3437" t="s">
        <v>3175</v>
      </c>
      <c r="M64" s="3437" t="s">
        <v>1462</v>
      </c>
      <c r="N64" s="2263"/>
      <c r="AE64" s="2153" t="s">
        <v>5637</v>
      </c>
      <c r="AN64" s="3283" t="s">
        <v>2111</v>
      </c>
      <c r="AO64" s="3283" t="s">
        <v>2111</v>
      </c>
      <c r="AP64" s="3437" t="s">
        <v>2111</v>
      </c>
      <c r="AQ64" s="3283" t="s">
        <v>2111</v>
      </c>
      <c r="AR64" s="101" t="s">
        <v>8946</v>
      </c>
      <c r="AU64" s="2290" t="s">
        <v>8661</v>
      </c>
      <c r="AV64" s="2290"/>
      <c r="AW64" s="2744" t="s">
        <v>1346</v>
      </c>
      <c r="AX64" s="2091" t="s">
        <v>8661</v>
      </c>
      <c r="AY64" s="2091" t="s">
        <v>8661</v>
      </c>
      <c r="BB64" s="511" t="s">
        <v>3084</v>
      </c>
      <c r="BC64" s="2514" t="s">
        <v>3082</v>
      </c>
      <c r="BH64" s="2406">
        <v>2223028853</v>
      </c>
      <c r="BI64" s="2409" t="s">
        <v>2607</v>
      </c>
      <c r="BJ64" s="2466">
        <v>116807</v>
      </c>
      <c r="BK64" s="530"/>
      <c r="BQ64" s="2744"/>
      <c r="BR64" s="2744"/>
      <c r="BU64" s="3126" t="s">
        <v>5772</v>
      </c>
      <c r="BV64" s="3082" t="str">
        <f t="shared" si="1"/>
        <v>{1210700е платежи</v>
      </c>
      <c r="BW64" s="101"/>
      <c r="BZ64" s="3112" t="s">
        <v>6972</v>
      </c>
      <c r="CA64" s="3113" t="s">
        <v>2862</v>
      </c>
      <c r="CS64" s="3437" t="s">
        <v>3284</v>
      </c>
      <c r="CT64" s="2299" t="s">
        <v>6537</v>
      </c>
      <c r="DA64" s="2558"/>
      <c r="DB64" s="2153" t="s">
        <v>7225</v>
      </c>
      <c r="DD64" s="2764"/>
      <c r="DK64" s="2576" t="s">
        <v>2826</v>
      </c>
      <c r="DL64" s="2178" t="s">
        <v>4406</v>
      </c>
      <c r="DM64" s="2575" t="s">
        <v>7498</v>
      </c>
      <c r="DO64" s="1892" t="s">
        <v>8246</v>
      </c>
      <c r="DP64" s="1892">
        <v>303589</v>
      </c>
      <c r="DT64" s="2091" t="s">
        <v>3084</v>
      </c>
      <c r="DU64" s="2744"/>
      <c r="DV64" s="2744"/>
      <c r="DW64" s="1511" t="s">
        <v>8824</v>
      </c>
      <c r="EI64" s="2689" t="s">
        <v>10383</v>
      </c>
    </row>
    <row r="65" spans="1:139" ht="43.5">
      <c r="A65" s="532"/>
      <c r="D65" s="2539"/>
      <c r="H65" s="3442" t="s">
        <v>14397</v>
      </c>
      <c r="I65" s="3442" t="s">
        <v>3152</v>
      </c>
      <c r="J65" s="3442" t="s">
        <v>14397</v>
      </c>
      <c r="K65" s="3437" t="s">
        <v>9696</v>
      </c>
      <c r="L65" s="3437" t="s">
        <v>2102</v>
      </c>
      <c r="M65" s="3437" t="s">
        <v>5932</v>
      </c>
      <c r="N65" s="2263"/>
      <c r="AE65" s="2153" t="s">
        <v>5638</v>
      </c>
      <c r="AN65" s="3283" t="s">
        <v>2112</v>
      </c>
      <c r="AO65" s="3283" t="s">
        <v>2112</v>
      </c>
      <c r="AP65" s="3437" t="s">
        <v>2112</v>
      </c>
      <c r="AQ65" s="3283" t="s">
        <v>2112</v>
      </c>
      <c r="AR65" s="101" t="s">
        <v>8947</v>
      </c>
      <c r="AU65" s="2290" t="s">
        <v>9822</v>
      </c>
      <c r="AV65" s="2154"/>
      <c r="AW65" s="2744" t="s">
        <v>5869</v>
      </c>
      <c r="AX65" s="2091" t="s">
        <v>9822</v>
      </c>
      <c r="AY65" s="2091" t="s">
        <v>9822</v>
      </c>
      <c r="BB65" s="511" t="s">
        <v>3085</v>
      </c>
      <c r="BC65" s="2514" t="s">
        <v>3083</v>
      </c>
      <c r="BH65" s="2406">
        <v>2224068584</v>
      </c>
      <c r="BI65" s="2409" t="s">
        <v>2596</v>
      </c>
      <c r="BJ65" s="2466">
        <v>271280</v>
      </c>
      <c r="BK65" s="530"/>
      <c r="BQ65" s="511"/>
      <c r="BR65" s="511"/>
      <c r="BU65" s="3126" t="s">
        <v>5694</v>
      </c>
      <c r="BV65" s="3082" t="str">
        <f t="shared" si="1"/>
        <v>{1210911г.техники</v>
      </c>
      <c r="BW65" s="101"/>
      <c r="BZ65" s="3112" t="s">
        <v>6988</v>
      </c>
      <c r="CA65" s="3113" t="s">
        <v>3909</v>
      </c>
      <c r="CP65" s="3083"/>
      <c r="CS65" s="3437" t="s">
        <v>14414</v>
      </c>
      <c r="CT65" s="2299" t="s">
        <v>6538</v>
      </c>
      <c r="CV65" s="3083"/>
      <c r="DA65" s="2558"/>
      <c r="DB65" s="2153" t="s">
        <v>7226</v>
      </c>
      <c r="DK65" s="2576" t="s">
        <v>2827</v>
      </c>
      <c r="DL65" s="2178" t="s">
        <v>4407</v>
      </c>
      <c r="DM65" s="2575" t="s">
        <v>7498</v>
      </c>
      <c r="DO65" s="1892" t="s">
        <v>8247</v>
      </c>
      <c r="DP65" s="1892">
        <v>553827</v>
      </c>
      <c r="DT65" s="2091" t="s">
        <v>3085</v>
      </c>
      <c r="DU65" s="2744"/>
      <c r="DV65" s="2744"/>
      <c r="DW65" s="1511" t="s">
        <v>8825</v>
      </c>
      <c r="EI65" s="2689" t="s">
        <v>10384</v>
      </c>
    </row>
    <row r="66" spans="1:139" ht="38.5">
      <c r="A66" s="2447"/>
      <c r="D66" s="2539"/>
      <c r="H66" s="3633" t="s">
        <v>14398</v>
      </c>
      <c r="I66" s="3139"/>
      <c r="J66" s="3442" t="s">
        <v>14398</v>
      </c>
      <c r="K66" s="3437" t="s">
        <v>9812</v>
      </c>
      <c r="L66" s="3437" t="s">
        <v>2104</v>
      </c>
      <c r="M66" s="3437" t="s">
        <v>4725</v>
      </c>
      <c r="N66" s="2514"/>
      <c r="AE66" s="2153" t="s">
        <v>6035</v>
      </c>
      <c r="AF66" s="2744"/>
      <c r="AH66" s="2744"/>
      <c r="AN66" s="3283" t="s">
        <v>2113</v>
      </c>
      <c r="AO66" s="3283" t="s">
        <v>2113</v>
      </c>
      <c r="AP66" s="3437" t="s">
        <v>2113</v>
      </c>
      <c r="AQ66" s="3283" t="s">
        <v>2113</v>
      </c>
      <c r="AR66" s="101" t="s">
        <v>8948</v>
      </c>
      <c r="AT66" s="2744"/>
      <c r="AU66" s="2290" t="s">
        <v>10062</v>
      </c>
      <c r="AV66" s="2154"/>
      <c r="AW66" s="2091" t="s">
        <v>6147</v>
      </c>
      <c r="AX66" s="2091" t="s">
        <v>10062</v>
      </c>
      <c r="AY66" s="2091" t="s">
        <v>10062</v>
      </c>
      <c r="BB66" s="511" t="s">
        <v>3088</v>
      </c>
      <c r="BC66" s="511" t="s">
        <v>3084</v>
      </c>
      <c r="BH66" s="2406">
        <v>2224103849</v>
      </c>
      <c r="BI66" s="2409" t="s">
        <v>2424</v>
      </c>
      <c r="BJ66" s="2466">
        <v>177210</v>
      </c>
      <c r="BK66" s="530"/>
      <c r="BL66" s="3083"/>
      <c r="BN66" s="3083"/>
      <c r="BP66" s="3083"/>
      <c r="BQ66" s="2744"/>
      <c r="BR66" s="511"/>
      <c r="BS66" s="3083"/>
      <c r="BT66" s="3083"/>
      <c r="BU66" s="3126" t="s">
        <v>5695</v>
      </c>
      <c r="BV66" s="3082" t="str">
        <f t="shared" si="1"/>
        <v>{1210912лицензии)</v>
      </c>
      <c r="BW66" s="101"/>
      <c r="BX66" s="3083"/>
      <c r="BY66" s="3083"/>
      <c r="BZ66" s="3112" t="s">
        <v>6974</v>
      </c>
      <c r="CA66" s="3113" t="s">
        <v>2864</v>
      </c>
      <c r="CB66" s="3083"/>
      <c r="CC66" s="3083"/>
      <c r="CE66" s="3083"/>
      <c r="CF66" s="3083"/>
      <c r="CG66" s="3083"/>
      <c r="CH66" s="3083"/>
      <c r="CI66" s="3083"/>
      <c r="CJ66" s="3083"/>
      <c r="CQ66" s="3083"/>
      <c r="CS66" s="3437" t="s">
        <v>14415</v>
      </c>
      <c r="CT66" s="2299" t="s">
        <v>6539</v>
      </c>
      <c r="DA66" s="2558"/>
      <c r="DB66" s="2153" t="s">
        <v>7227</v>
      </c>
      <c r="DK66" s="2576" t="s">
        <v>2828</v>
      </c>
      <c r="DL66" s="2178" t="s">
        <v>5410</v>
      </c>
      <c r="DM66" s="2575" t="s">
        <v>7499</v>
      </c>
      <c r="DO66" s="1892" t="s">
        <v>8248</v>
      </c>
      <c r="DP66" s="1892">
        <v>305722</v>
      </c>
      <c r="DT66" s="2879" t="s">
        <v>3086</v>
      </c>
      <c r="DU66" s="2744"/>
      <c r="DV66" s="2744"/>
      <c r="DW66" s="1511" t="s">
        <v>8826</v>
      </c>
      <c r="EI66" s="2689" t="s">
        <v>10385</v>
      </c>
    </row>
    <row r="67" spans="1:139" ht="58">
      <c r="A67" s="532"/>
      <c r="D67" s="2539"/>
      <c r="H67" s="3633" t="s">
        <v>14399</v>
      </c>
      <c r="I67" s="3139"/>
      <c r="J67" s="3442" t="s">
        <v>14399</v>
      </c>
      <c r="K67" s="3437" t="s">
        <v>3284</v>
      </c>
      <c r="L67" s="3437" t="s">
        <v>2105</v>
      </c>
      <c r="M67" s="3437" t="s">
        <v>5801</v>
      </c>
      <c r="N67" s="2263"/>
      <c r="AB67" s="2744"/>
      <c r="AE67" s="2153" t="s">
        <v>6036</v>
      </c>
      <c r="AN67" s="3283" t="s">
        <v>6223</v>
      </c>
      <c r="AO67" s="3283" t="s">
        <v>6223</v>
      </c>
      <c r="AP67" s="3437" t="s">
        <v>6223</v>
      </c>
      <c r="AQ67" s="3283" t="s">
        <v>6223</v>
      </c>
      <c r="AR67" s="101" t="s">
        <v>8949</v>
      </c>
      <c r="AU67" s="2290" t="s">
        <v>14525</v>
      </c>
      <c r="AV67" s="2154"/>
      <c r="AW67" s="2091" t="s">
        <v>6148</v>
      </c>
      <c r="AX67" s="2091" t="s">
        <v>14525</v>
      </c>
      <c r="AY67" s="2091" t="s">
        <v>14525</v>
      </c>
      <c r="BB67" s="511" t="s">
        <v>3089</v>
      </c>
      <c r="BC67" s="511" t="s">
        <v>3085</v>
      </c>
      <c r="BF67" s="2744"/>
      <c r="BG67" s="2744"/>
      <c r="BH67" s="2406">
        <v>2308005830</v>
      </c>
      <c r="BI67" s="2409" t="s">
        <v>2256</v>
      </c>
      <c r="BJ67" s="2466">
        <v>382962</v>
      </c>
      <c r="BK67" s="530"/>
      <c r="BQ67" s="2744"/>
      <c r="BR67" s="2744"/>
      <c r="BU67" s="3126" t="s">
        <v>5696</v>
      </c>
      <c r="BV67" s="3082" t="str">
        <f t="shared" si="1"/>
        <v>{1210913х систем)</v>
      </c>
      <c r="BW67" s="101"/>
      <c r="BZ67" s="3111" t="s">
        <v>6928</v>
      </c>
      <c r="CA67" s="3110" t="s">
        <v>8173</v>
      </c>
      <c r="CP67" s="2448"/>
      <c r="CS67" s="3437" t="s">
        <v>14416</v>
      </c>
      <c r="CT67" s="2299" t="s">
        <v>6540</v>
      </c>
      <c r="CV67" s="2448"/>
      <c r="DA67" s="2558"/>
      <c r="DB67" s="2153" t="s">
        <v>7228</v>
      </c>
      <c r="DK67" s="2576" t="s">
        <v>2829</v>
      </c>
      <c r="DL67" s="2178" t="s">
        <v>5257</v>
      </c>
      <c r="DM67" s="2575" t="s">
        <v>7499</v>
      </c>
      <c r="DO67" s="1892" t="s">
        <v>8249</v>
      </c>
      <c r="DP67" s="1892">
        <v>304390</v>
      </c>
      <c r="DT67" s="2879" t="s">
        <v>3087</v>
      </c>
      <c r="DU67" s="2744"/>
      <c r="DV67" s="2744"/>
      <c r="DW67" s="1511" t="s">
        <v>8827</v>
      </c>
      <c r="EI67" s="2689" t="s">
        <v>10386</v>
      </c>
    </row>
    <row r="68" spans="1:139" ht="43.5">
      <c r="A68" s="532"/>
      <c r="D68" s="2539"/>
      <c r="H68" s="3633" t="s">
        <v>14400</v>
      </c>
      <c r="I68" s="3139"/>
      <c r="J68" s="3442" t="s">
        <v>14400</v>
      </c>
      <c r="K68" s="3437" t="s">
        <v>14414</v>
      </c>
      <c r="L68" s="3437" t="s">
        <v>2106</v>
      </c>
      <c r="M68" s="3437" t="s">
        <v>5802</v>
      </c>
      <c r="N68" s="2263"/>
      <c r="AE68" s="2153" t="s">
        <v>6037</v>
      </c>
      <c r="AN68" s="3283" t="s">
        <v>2114</v>
      </c>
      <c r="AO68" s="3283" t="s">
        <v>2114</v>
      </c>
      <c r="AP68" s="3437" t="s">
        <v>2114</v>
      </c>
      <c r="AQ68" s="3283" t="s">
        <v>2114</v>
      </c>
      <c r="AR68" s="101" t="s">
        <v>8950</v>
      </c>
      <c r="AU68" s="2154" t="s">
        <v>914</v>
      </c>
      <c r="AV68" s="2154"/>
      <c r="AW68" s="2091" t="s">
        <v>6149</v>
      </c>
      <c r="AX68" s="2154" t="s">
        <v>8784</v>
      </c>
      <c r="AY68" s="2154" t="s">
        <v>8784</v>
      </c>
      <c r="BB68" s="511" t="s">
        <v>3090</v>
      </c>
      <c r="BC68" s="1802" t="s">
        <v>3086</v>
      </c>
      <c r="BH68" s="2406">
        <v>2308024336</v>
      </c>
      <c r="BI68" s="2409" t="s">
        <v>2255</v>
      </c>
      <c r="BJ68" s="2466">
        <v>188005</v>
      </c>
      <c r="BK68" s="530"/>
      <c r="BQ68" s="2744"/>
      <c r="BR68" s="2744"/>
      <c r="BU68" s="3126" t="s">
        <v>5697</v>
      </c>
      <c r="BV68" s="3082" t="str">
        <f t="shared" si="1"/>
        <v>{1210914ого офиса</v>
      </c>
      <c r="BW68" s="101"/>
      <c r="BZ68" s="3112" t="s">
        <v>6997</v>
      </c>
      <c r="CA68" s="3110" t="s">
        <v>9683</v>
      </c>
      <c r="CS68" s="3437" t="s">
        <v>14417</v>
      </c>
      <c r="CT68" s="2299" t="s">
        <v>6541</v>
      </c>
      <c r="DA68" s="2558"/>
      <c r="DB68" s="2153" t="s">
        <v>7229</v>
      </c>
      <c r="DK68" s="2576" t="s">
        <v>2830</v>
      </c>
      <c r="DL68" s="2178" t="s">
        <v>4409</v>
      </c>
      <c r="DM68" s="2575" t="s">
        <v>7499</v>
      </c>
      <c r="DO68" s="1892" t="s">
        <v>15093</v>
      </c>
      <c r="DP68" s="1892">
        <v>654343</v>
      </c>
      <c r="DT68" s="2091" t="s">
        <v>3088</v>
      </c>
      <c r="DU68" s="2744"/>
      <c r="DV68" s="2744"/>
      <c r="DW68" s="1511" t="s">
        <v>8828</v>
      </c>
      <c r="EI68" s="2689" t="s">
        <v>10387</v>
      </c>
    </row>
    <row r="69" spans="1:139" ht="43.5">
      <c r="A69" s="532"/>
      <c r="D69" s="2539"/>
      <c r="H69" s="3633" t="s">
        <v>14401</v>
      </c>
      <c r="I69" s="3139"/>
      <c r="J69" s="3442" t="s">
        <v>14401</v>
      </c>
      <c r="K69" s="3437" t="s">
        <v>14415</v>
      </c>
      <c r="L69" s="3437" t="s">
        <v>3373</v>
      </c>
      <c r="M69" s="3437" t="s">
        <v>5803</v>
      </c>
      <c r="N69" s="2263"/>
      <c r="AE69" s="2153" t="s">
        <v>6038</v>
      </c>
      <c r="AN69" s="3283" t="s">
        <v>2115</v>
      </c>
      <c r="AO69" s="3283" t="s">
        <v>2115</v>
      </c>
      <c r="AP69" s="3437" t="s">
        <v>2115</v>
      </c>
      <c r="AQ69" s="3283" t="s">
        <v>2115</v>
      </c>
      <c r="AR69" s="101" t="s">
        <v>8951</v>
      </c>
      <c r="AU69" s="2154" t="s">
        <v>8784</v>
      </c>
      <c r="AV69" s="2154"/>
      <c r="AW69" s="2091" t="s">
        <v>8665</v>
      </c>
      <c r="AX69" s="531" t="s">
        <v>914</v>
      </c>
      <c r="AY69" s="2744" t="s">
        <v>914</v>
      </c>
      <c r="BB69" s="511" t="s">
        <v>3091</v>
      </c>
      <c r="BC69" s="1802" t="s">
        <v>3087</v>
      </c>
      <c r="BH69" s="2406">
        <v>2308119595</v>
      </c>
      <c r="BI69" s="2409" t="s">
        <v>2259</v>
      </c>
      <c r="BJ69" s="2466">
        <v>122575</v>
      </c>
      <c r="BK69" s="530"/>
      <c r="BQ69" s="2744"/>
      <c r="BR69" s="2744"/>
      <c r="BU69" s="3126" t="s">
        <v>5698</v>
      </c>
      <c r="BV69" s="3082" t="str">
        <f t="shared" si="1"/>
        <v>{1210915й системе</v>
      </c>
      <c r="BW69" s="101"/>
      <c r="BZ69" s="3112" t="s">
        <v>7087</v>
      </c>
      <c r="CA69" s="3113" t="s">
        <v>3872</v>
      </c>
      <c r="CP69" s="2448"/>
      <c r="CS69" s="3437" t="s">
        <v>14418</v>
      </c>
      <c r="CT69" s="2299" t="s">
        <v>6542</v>
      </c>
      <c r="CV69" s="2448"/>
      <c r="CZ69" s="3083"/>
      <c r="DA69" s="2558"/>
      <c r="DB69" s="2153" t="s">
        <v>7230</v>
      </c>
      <c r="DK69" s="2576" t="s">
        <v>2831</v>
      </c>
      <c r="DL69" s="2178" t="s">
        <v>4410</v>
      </c>
      <c r="DM69" s="2575" t="s">
        <v>7499</v>
      </c>
      <c r="DO69" s="1892" t="s">
        <v>8250</v>
      </c>
      <c r="DP69" s="1892">
        <v>404701</v>
      </c>
      <c r="DT69" s="2091" t="s">
        <v>3089</v>
      </c>
      <c r="DU69" s="2744"/>
      <c r="DV69" s="2744"/>
      <c r="DW69" s="1511" t="s">
        <v>8829</v>
      </c>
      <c r="EI69" s="2689" t="s">
        <v>10388</v>
      </c>
    </row>
    <row r="70" spans="1:139" ht="87">
      <c r="A70" s="532"/>
      <c r="D70" s="2539"/>
      <c r="H70" s="3442" t="s">
        <v>3160</v>
      </c>
      <c r="I70" s="3442" t="s">
        <v>3161</v>
      </c>
      <c r="J70" s="3442" t="s">
        <v>3160</v>
      </c>
      <c r="K70" s="3437" t="s">
        <v>14416</v>
      </c>
      <c r="L70" s="3437" t="s">
        <v>3374</v>
      </c>
      <c r="M70" s="3437" t="s">
        <v>1416</v>
      </c>
      <c r="N70" s="2263"/>
      <c r="AE70" s="2153" t="s">
        <v>5639</v>
      </c>
      <c r="AN70" s="3283" t="s">
        <v>2116</v>
      </c>
      <c r="AO70" s="3283" t="s">
        <v>2116</v>
      </c>
      <c r="AP70" s="3437" t="s">
        <v>2116</v>
      </c>
      <c r="AQ70" s="3283" t="s">
        <v>2116</v>
      </c>
      <c r="AR70" s="101" t="s">
        <v>8952</v>
      </c>
      <c r="AU70" s="2154" t="s">
        <v>5258</v>
      </c>
      <c r="AV70" s="2154"/>
      <c r="AW70" s="2091" t="s">
        <v>9823</v>
      </c>
      <c r="AX70" s="531" t="s">
        <v>5258</v>
      </c>
      <c r="AY70" s="2744" t="s">
        <v>5258</v>
      </c>
      <c r="BB70" s="2744" t="s">
        <v>260</v>
      </c>
      <c r="BC70" s="511" t="s">
        <v>3088</v>
      </c>
      <c r="BH70" s="2406">
        <v>2308128945</v>
      </c>
      <c r="BI70" s="2409" t="s">
        <v>2638</v>
      </c>
      <c r="BJ70" s="2466">
        <v>116940</v>
      </c>
      <c r="BK70" s="530"/>
      <c r="BQ70" s="511"/>
      <c r="BR70" s="511"/>
      <c r="BU70" s="3126" t="s">
        <v>5699</v>
      </c>
      <c r="BV70" s="3082" t="str">
        <f t="shared" si="1"/>
        <v>{1210916й системы</v>
      </c>
      <c r="BW70" s="101"/>
      <c r="BZ70" s="3112" t="s">
        <v>7064</v>
      </c>
      <c r="CA70" s="3113" t="s">
        <v>3860</v>
      </c>
      <c r="CP70" s="2448"/>
      <c r="CS70" s="3437" t="s">
        <v>14419</v>
      </c>
      <c r="CT70" s="2299" t="s">
        <v>6543</v>
      </c>
      <c r="CV70" s="2448"/>
      <c r="DA70" s="2558"/>
      <c r="DB70" s="2153" t="s">
        <v>7231</v>
      </c>
      <c r="DK70" s="2576" t="s">
        <v>2832</v>
      </c>
      <c r="DL70" s="2178" t="s">
        <v>4225</v>
      </c>
      <c r="DM70" s="2575" t="s">
        <v>7497</v>
      </c>
      <c r="DO70" s="1892" t="s">
        <v>8251</v>
      </c>
      <c r="DP70" s="1892">
        <v>147030</v>
      </c>
      <c r="DT70" s="2091" t="s">
        <v>3090</v>
      </c>
      <c r="DU70" s="2744"/>
      <c r="DV70" s="2744"/>
      <c r="DW70" s="1511" t="s">
        <v>8830</v>
      </c>
      <c r="EI70" s="2689" t="s">
        <v>10389</v>
      </c>
    </row>
    <row r="71" spans="1:139" ht="43.5">
      <c r="A71" s="532"/>
      <c r="D71" s="2539"/>
      <c r="H71" s="3442" t="s">
        <v>3162</v>
      </c>
      <c r="I71" s="3442" t="s">
        <v>3161</v>
      </c>
      <c r="J71" s="3442" t="s">
        <v>3162</v>
      </c>
      <c r="K71" s="3437" t="s">
        <v>14417</v>
      </c>
      <c r="L71" s="3437" t="s">
        <v>3375</v>
      </c>
      <c r="M71" s="3437" t="s">
        <v>1464</v>
      </c>
      <c r="N71" s="2263"/>
      <c r="AE71" s="2153" t="s">
        <v>6039</v>
      </c>
      <c r="AN71" s="3283" t="s">
        <v>2117</v>
      </c>
      <c r="AO71" s="3283" t="s">
        <v>2117</v>
      </c>
      <c r="AP71" s="3437" t="s">
        <v>2117</v>
      </c>
      <c r="AQ71" s="3283" t="s">
        <v>2117</v>
      </c>
      <c r="AR71" s="101" t="s">
        <v>8953</v>
      </c>
      <c r="AU71" s="2154" t="s">
        <v>5259</v>
      </c>
      <c r="AV71" s="2154"/>
      <c r="AW71" s="2091" t="s">
        <v>10065</v>
      </c>
      <c r="AX71" s="531" t="s">
        <v>5259</v>
      </c>
      <c r="AY71" s="2744" t="s">
        <v>5259</v>
      </c>
      <c r="BB71" s="2338" t="s">
        <v>6239</v>
      </c>
      <c r="BC71" s="511" t="s">
        <v>3089</v>
      </c>
      <c r="BH71" s="2406">
        <v>2309005375</v>
      </c>
      <c r="BI71" s="2409" t="s">
        <v>1916</v>
      </c>
      <c r="BJ71" s="2466">
        <v>297058</v>
      </c>
      <c r="BK71" s="530"/>
      <c r="BQ71" s="511"/>
      <c r="BR71" s="511"/>
      <c r="BU71" s="3126" t="s">
        <v>5700</v>
      </c>
      <c r="BV71" s="3082" t="str">
        <f t="shared" si="1"/>
        <v>{1210917плуатации</v>
      </c>
      <c r="BW71" s="101"/>
      <c r="BZ71" s="3112" t="s">
        <v>7017</v>
      </c>
      <c r="CA71" s="3113" t="s">
        <v>3813</v>
      </c>
      <c r="CS71" s="3437" t="s">
        <v>7138</v>
      </c>
      <c r="CT71" s="2299" t="s">
        <v>6544</v>
      </c>
      <c r="DA71" s="2558"/>
      <c r="DB71" s="2153" t="s">
        <v>7232</v>
      </c>
      <c r="DK71" s="2576" t="s">
        <v>2833</v>
      </c>
      <c r="DL71" s="2178" t="s">
        <v>4236</v>
      </c>
      <c r="DM71" s="2575" t="s">
        <v>7498</v>
      </c>
      <c r="DO71" s="1892" t="s">
        <v>8252</v>
      </c>
      <c r="DP71" s="1892">
        <v>147414</v>
      </c>
      <c r="DT71" s="2091" t="s">
        <v>3091</v>
      </c>
      <c r="DU71" s="2744"/>
      <c r="DV71" s="2744"/>
      <c r="DW71" s="1511" t="s">
        <v>8831</v>
      </c>
      <c r="EI71" s="2689" t="s">
        <v>10390</v>
      </c>
    </row>
    <row r="72" spans="1:139" ht="87">
      <c r="A72" s="532"/>
      <c r="D72" s="2539"/>
      <c r="H72" s="3442" t="s">
        <v>3164</v>
      </c>
      <c r="I72" s="3442" t="s">
        <v>3161</v>
      </c>
      <c r="J72" s="3442" t="s">
        <v>3164</v>
      </c>
      <c r="K72" s="3437" t="s">
        <v>14418</v>
      </c>
      <c r="L72" s="3437" t="s">
        <v>2313</v>
      </c>
      <c r="M72" s="3437" t="s">
        <v>1465</v>
      </c>
      <c r="N72" s="2263"/>
      <c r="AE72" s="2153" t="s">
        <v>5640</v>
      </c>
      <c r="AN72" s="3283" t="s">
        <v>2118</v>
      </c>
      <c r="AO72" s="3283" t="s">
        <v>2118</v>
      </c>
      <c r="AP72" s="3437" t="s">
        <v>2118</v>
      </c>
      <c r="AQ72" s="3283" t="s">
        <v>2118</v>
      </c>
      <c r="AR72" s="101" t="s">
        <v>8954</v>
      </c>
      <c r="AU72" s="2154" t="s">
        <v>5329</v>
      </c>
      <c r="AV72" s="2154"/>
      <c r="AW72" s="2091" t="s">
        <v>14530</v>
      </c>
      <c r="AX72" s="531" t="s">
        <v>5329</v>
      </c>
      <c r="AY72" s="2744" t="s">
        <v>5329</v>
      </c>
      <c r="BB72" s="2338" t="s">
        <v>6240</v>
      </c>
      <c r="BC72" s="2514" t="s">
        <v>3090</v>
      </c>
      <c r="BH72" s="2406">
        <v>2312054894</v>
      </c>
      <c r="BI72" s="2409" t="s">
        <v>2175</v>
      </c>
      <c r="BJ72" s="2466">
        <v>117312</v>
      </c>
      <c r="BK72" s="530"/>
      <c r="BQ72" s="511"/>
      <c r="BR72" s="511"/>
      <c r="BU72" s="3126" t="s">
        <v>5701</v>
      </c>
      <c r="BV72" s="3082" t="str">
        <f t="shared" si="1"/>
        <v>{1210918 политике</v>
      </c>
      <c r="BW72" s="101"/>
      <c r="BZ72" s="3112" t="s">
        <v>7019</v>
      </c>
      <c r="CA72" s="3113" t="s">
        <v>3815</v>
      </c>
      <c r="CS72" s="3437" t="s">
        <v>5679</v>
      </c>
      <c r="CT72" s="2299" t="s">
        <v>6545</v>
      </c>
      <c r="DA72" s="2558"/>
      <c r="DB72" s="2153" t="s">
        <v>7233</v>
      </c>
      <c r="DK72" s="2576" t="s">
        <v>2834</v>
      </c>
      <c r="DL72" s="2178" t="s">
        <v>4241</v>
      </c>
      <c r="DM72" s="2575" t="s">
        <v>7499</v>
      </c>
      <c r="DO72" s="1892" t="s">
        <v>8253</v>
      </c>
      <c r="DP72" s="1892">
        <v>115767</v>
      </c>
      <c r="DT72" s="2091" t="s">
        <v>260</v>
      </c>
      <c r="DU72" s="2744"/>
      <c r="DV72" s="2744"/>
      <c r="DW72" s="1511" t="s">
        <v>8832</v>
      </c>
      <c r="EI72" s="2689" t="s">
        <v>10391</v>
      </c>
    </row>
    <row r="73" spans="1:139" ht="43.5">
      <c r="A73" s="532"/>
      <c r="D73" s="2539"/>
      <c r="H73" s="3442" t="s">
        <v>5465</v>
      </c>
      <c r="I73" s="3442" t="s">
        <v>3161</v>
      </c>
      <c r="J73" s="3442" t="s">
        <v>5465</v>
      </c>
      <c r="K73" s="3437" t="s">
        <v>14419</v>
      </c>
      <c r="L73" s="3437" t="s">
        <v>90</v>
      </c>
      <c r="M73" s="3437" t="s">
        <v>3568</v>
      </c>
      <c r="N73" s="2514"/>
      <c r="AE73" s="2153" t="s">
        <v>5641</v>
      </c>
      <c r="AF73" s="2744"/>
      <c r="AN73" s="3283" t="s">
        <v>2119</v>
      </c>
      <c r="AO73" s="3283" t="s">
        <v>2119</v>
      </c>
      <c r="AP73" s="3437" t="s">
        <v>2119</v>
      </c>
      <c r="AQ73" s="3283" t="s">
        <v>2119</v>
      </c>
      <c r="AR73" s="101" t="s">
        <v>8955</v>
      </c>
      <c r="AU73" s="2154" t="s">
        <v>5330</v>
      </c>
      <c r="AV73" s="2154"/>
      <c r="AW73" s="531" t="s">
        <v>915</v>
      </c>
      <c r="AX73" s="531" t="s">
        <v>5330</v>
      </c>
      <c r="AY73" s="2744" t="s">
        <v>5333</v>
      </c>
      <c r="BB73" s="1892" t="s">
        <v>6864</v>
      </c>
      <c r="BC73" s="511" t="s">
        <v>3091</v>
      </c>
      <c r="BH73" s="2406">
        <v>2440001062</v>
      </c>
      <c r="BI73" s="2409" t="s">
        <v>199</v>
      </c>
      <c r="BJ73" s="2466">
        <v>201</v>
      </c>
      <c r="BK73" s="530"/>
      <c r="BP73" s="3083"/>
      <c r="BQ73" s="511"/>
      <c r="BR73" s="511"/>
      <c r="BT73" s="3083"/>
      <c r="BU73" s="3126" t="s">
        <v>5773</v>
      </c>
      <c r="BV73" s="3082" t="str">
        <f t="shared" si="1"/>
        <v>{1210920вая связь</v>
      </c>
      <c r="BW73" s="101"/>
      <c r="BZ73" s="3112" t="s">
        <v>7020</v>
      </c>
      <c r="CA73" s="3113" t="s">
        <v>3816</v>
      </c>
      <c r="CS73" s="3437" t="s">
        <v>3293</v>
      </c>
      <c r="CT73" s="2299" t="s">
        <v>6546</v>
      </c>
      <c r="DA73" s="2558"/>
      <c r="DB73" s="2153" t="s">
        <v>7234</v>
      </c>
      <c r="DD73" s="3083"/>
      <c r="DK73" s="2576" t="s">
        <v>2835</v>
      </c>
      <c r="DL73" s="2178" t="s">
        <v>5494</v>
      </c>
      <c r="DM73" s="2575" t="s">
        <v>7499</v>
      </c>
      <c r="DO73" s="1892" t="s">
        <v>8254</v>
      </c>
      <c r="DP73" s="1892">
        <v>204225</v>
      </c>
      <c r="DT73" s="2338" t="s">
        <v>6239</v>
      </c>
      <c r="DU73" s="2744"/>
      <c r="DV73" s="2744"/>
      <c r="DW73" s="1511" t="s">
        <v>8833</v>
      </c>
      <c r="EI73" s="2689" t="s">
        <v>10392</v>
      </c>
    </row>
    <row r="74" spans="1:139" ht="87">
      <c r="A74" s="532"/>
      <c r="D74" s="2539"/>
      <c r="H74" s="3442" t="s">
        <v>3166</v>
      </c>
      <c r="I74" s="3442" t="s">
        <v>3161</v>
      </c>
      <c r="J74" s="3442" t="s">
        <v>3166</v>
      </c>
      <c r="K74" s="3437" t="s">
        <v>14420</v>
      </c>
      <c r="L74" s="3437" t="s">
        <v>5469</v>
      </c>
      <c r="M74" s="3437" t="s">
        <v>3570</v>
      </c>
      <c r="N74" s="2263"/>
      <c r="AE74" s="2153" t="s">
        <v>5642</v>
      </c>
      <c r="AN74" s="3283" t="s">
        <v>2120</v>
      </c>
      <c r="AO74" s="3283" t="s">
        <v>2120</v>
      </c>
      <c r="AP74" s="3437" t="s">
        <v>2120</v>
      </c>
      <c r="AQ74" s="3283" t="s">
        <v>2120</v>
      </c>
      <c r="AR74" s="101" t="s">
        <v>10108</v>
      </c>
      <c r="AU74" s="2154" t="s">
        <v>5331</v>
      </c>
      <c r="AV74" s="2290"/>
      <c r="AW74" s="531" t="s">
        <v>8124</v>
      </c>
      <c r="AX74" s="531" t="s">
        <v>5331</v>
      </c>
      <c r="AY74" s="2744" t="s">
        <v>5334</v>
      </c>
      <c r="BB74" s="1892" t="s">
        <v>6865</v>
      </c>
      <c r="BC74" s="511" t="s">
        <v>260</v>
      </c>
      <c r="BH74" s="2405">
        <v>2448005630</v>
      </c>
      <c r="BI74" s="2405" t="s">
        <v>1602</v>
      </c>
      <c r="BJ74" s="2466">
        <v>211874</v>
      </c>
      <c r="BK74" s="530"/>
      <c r="BQ74" s="2744"/>
      <c r="BR74" s="2744"/>
      <c r="BU74" s="3126" t="s">
        <v>5774</v>
      </c>
      <c r="BV74" s="3082" t="str">
        <f t="shared" si="1"/>
        <v>{1210930ной связи</v>
      </c>
      <c r="BW74" s="101"/>
      <c r="BZ74" s="3112" t="s">
        <v>6934</v>
      </c>
      <c r="CA74" s="3113" t="s">
        <v>3748</v>
      </c>
      <c r="CS74" s="3437" t="s">
        <v>3537</v>
      </c>
      <c r="CT74" s="2299" t="s">
        <v>6547</v>
      </c>
      <c r="DA74" s="2558"/>
      <c r="DB74" s="2153" t="s">
        <v>7235</v>
      </c>
      <c r="DK74" s="2576" t="s">
        <v>5042</v>
      </c>
      <c r="DL74" s="2178" t="s">
        <v>1793</v>
      </c>
      <c r="DM74" s="2575" t="s">
        <v>9916</v>
      </c>
      <c r="DO74" s="1892" t="s">
        <v>8255</v>
      </c>
      <c r="DP74" s="1892">
        <v>174171</v>
      </c>
      <c r="DT74" s="2338" t="s">
        <v>6240</v>
      </c>
      <c r="DU74" s="2744"/>
      <c r="DV74" s="2744"/>
      <c r="DW74" s="1511" t="s">
        <v>8834</v>
      </c>
      <c r="EI74" s="2689" t="s">
        <v>10393</v>
      </c>
    </row>
    <row r="75" spans="1:139" ht="51">
      <c r="A75" s="532"/>
      <c r="D75" s="2539"/>
      <c r="H75" s="3442" t="s">
        <v>3168</v>
      </c>
      <c r="I75" s="3442" t="s">
        <v>3161</v>
      </c>
      <c r="J75" s="3442" t="s">
        <v>3168</v>
      </c>
      <c r="K75" s="3437" t="s">
        <v>14421</v>
      </c>
      <c r="L75" s="3437" t="s">
        <v>5470</v>
      </c>
      <c r="M75" s="3437" t="s">
        <v>4838</v>
      </c>
      <c r="N75" s="2263"/>
      <c r="AC75" s="2744"/>
      <c r="AE75" s="2153" t="s">
        <v>6040</v>
      </c>
      <c r="AN75" s="3283" t="s">
        <v>2121</v>
      </c>
      <c r="AO75" s="3283" t="s">
        <v>2121</v>
      </c>
      <c r="AP75" s="3437" t="s">
        <v>2121</v>
      </c>
      <c r="AQ75" s="3283" t="s">
        <v>2121</v>
      </c>
      <c r="AR75" s="101" t="s">
        <v>10109</v>
      </c>
      <c r="AU75" s="2154" t="s">
        <v>5332</v>
      </c>
      <c r="AV75" s="2290"/>
      <c r="AW75" s="531" t="s">
        <v>8125</v>
      </c>
      <c r="AX75" s="531" t="s">
        <v>5332</v>
      </c>
      <c r="AY75" s="2744" t="s">
        <v>8081</v>
      </c>
      <c r="AZ75" s="2744"/>
      <c r="BB75" s="3157" t="s">
        <v>9885</v>
      </c>
      <c r="BC75" s="2338" t="s">
        <v>6239</v>
      </c>
      <c r="BH75" s="2406">
        <v>2451000896</v>
      </c>
      <c r="BI75" s="2409" t="s">
        <v>464</v>
      </c>
      <c r="BJ75" s="2466">
        <v>262618</v>
      </c>
      <c r="BK75" s="530"/>
      <c r="BQ75" s="511"/>
      <c r="BR75" s="511"/>
      <c r="BU75" s="3126" t="s">
        <v>5775</v>
      </c>
      <c r="BV75" s="3082" t="str">
        <f t="shared" si="1"/>
        <v>{1210940е сотовой</v>
      </c>
      <c r="BW75" s="101"/>
      <c r="BZ75" s="3112" t="s">
        <v>6983</v>
      </c>
      <c r="CA75" s="3113" t="s">
        <v>3913</v>
      </c>
      <c r="CS75" s="3437" t="s">
        <v>3538</v>
      </c>
      <c r="CT75" s="2299" t="s">
        <v>6548</v>
      </c>
      <c r="DA75" s="2558"/>
      <c r="DB75" s="2153" t="s">
        <v>7236</v>
      </c>
      <c r="DK75" s="2576" t="s">
        <v>5040</v>
      </c>
      <c r="DL75" s="2178" t="s">
        <v>1794</v>
      </c>
      <c r="DM75" s="2575" t="s">
        <v>9916</v>
      </c>
      <c r="DO75" s="1892" t="s">
        <v>8256</v>
      </c>
      <c r="DP75" s="1892">
        <v>116386</v>
      </c>
      <c r="DT75" s="2237" t="s">
        <v>6864</v>
      </c>
      <c r="DU75" s="2744"/>
      <c r="DV75" s="2744"/>
      <c r="DW75" s="1511" t="s">
        <v>8835</v>
      </c>
      <c r="EI75" s="2689" t="s">
        <v>10394</v>
      </c>
    </row>
    <row r="76" spans="1:139" ht="43.5">
      <c r="A76" s="532"/>
      <c r="D76" s="2539"/>
      <c r="H76" s="3442" t="s">
        <v>5466</v>
      </c>
      <c r="I76" s="3442" t="s">
        <v>3161</v>
      </c>
      <c r="J76" s="3442" t="s">
        <v>5466</v>
      </c>
      <c r="K76" s="3437" t="s">
        <v>14422</v>
      </c>
      <c r="L76" s="3437" t="s">
        <v>5471</v>
      </c>
      <c r="M76" s="3437" t="s">
        <v>14431</v>
      </c>
      <c r="N76" s="2263"/>
      <c r="AE76" s="2153" t="s">
        <v>5643</v>
      </c>
      <c r="AF76" s="2744"/>
      <c r="AN76" s="3283" t="s">
        <v>2122</v>
      </c>
      <c r="AO76" s="3283" t="s">
        <v>2122</v>
      </c>
      <c r="AP76" s="3437" t="s">
        <v>2122</v>
      </c>
      <c r="AQ76" s="3283" t="s">
        <v>2122</v>
      </c>
      <c r="AR76" s="101" t="s">
        <v>10110</v>
      </c>
      <c r="AU76" s="2154" t="s">
        <v>5333</v>
      </c>
      <c r="AV76" s="2290"/>
      <c r="AW76" s="531" t="s">
        <v>8126</v>
      </c>
      <c r="AX76" s="531" t="s">
        <v>5333</v>
      </c>
      <c r="AY76" s="1777" t="s">
        <v>8083</v>
      </c>
      <c r="BB76" s="3157" t="s">
        <v>10050</v>
      </c>
      <c r="BC76" s="2338" t="s">
        <v>6240</v>
      </c>
      <c r="BH76" s="2406">
        <v>2452034954</v>
      </c>
      <c r="BI76" s="2409" t="s">
        <v>190</v>
      </c>
      <c r="BJ76" s="2466">
        <v>144254</v>
      </c>
      <c r="BK76" s="530"/>
      <c r="BL76" s="3083"/>
      <c r="BM76" s="3083"/>
      <c r="BN76" s="3083"/>
      <c r="BQ76" s="511"/>
      <c r="BR76" s="511"/>
      <c r="BT76" s="3083"/>
      <c r="BU76" s="3126" t="s">
        <v>5702</v>
      </c>
      <c r="BV76" s="3082" t="str">
        <f t="shared" si="1"/>
        <v>{1211010 Выставки</v>
      </c>
      <c r="BW76" s="101"/>
      <c r="BZ76" s="3112" t="s">
        <v>7018</v>
      </c>
      <c r="CA76" s="3113" t="s">
        <v>3814</v>
      </c>
      <c r="CP76" s="3083"/>
      <c r="CS76" s="3437" t="s">
        <v>3539</v>
      </c>
      <c r="CT76" s="2299" t="s">
        <v>6549</v>
      </c>
      <c r="CV76" s="3083"/>
      <c r="DA76" s="2558"/>
      <c r="DB76" s="2153" t="s">
        <v>7237</v>
      </c>
      <c r="DD76" s="3083"/>
      <c r="DK76" s="2576" t="s">
        <v>2836</v>
      </c>
      <c r="DL76" s="2178" t="s">
        <v>4075</v>
      </c>
      <c r="DM76" s="2575" t="s">
        <v>7496</v>
      </c>
      <c r="DO76" s="1892" t="s">
        <v>8257</v>
      </c>
      <c r="DP76" s="1892">
        <v>174188</v>
      </c>
      <c r="DT76" s="2237" t="s">
        <v>6865</v>
      </c>
      <c r="DW76" s="1511" t="s">
        <v>8836</v>
      </c>
      <c r="EI76" s="2689" t="s">
        <v>10395</v>
      </c>
    </row>
    <row r="77" spans="1:139" ht="51">
      <c r="A77" s="532"/>
      <c r="D77" s="2539"/>
      <c r="H77" s="3442" t="s">
        <v>5467</v>
      </c>
      <c r="I77" s="3442" t="s">
        <v>3161</v>
      </c>
      <c r="J77" s="3442" t="s">
        <v>5467</v>
      </c>
      <c r="K77" s="3437" t="s">
        <v>14423</v>
      </c>
      <c r="L77" s="3437" t="s">
        <v>2306</v>
      </c>
      <c r="M77" s="3437" t="s">
        <v>3576</v>
      </c>
      <c r="N77" s="2263"/>
      <c r="AE77" s="2153" t="s">
        <v>5644</v>
      </c>
      <c r="AN77" s="3283" t="s">
        <v>4509</v>
      </c>
      <c r="AO77" s="3283" t="s">
        <v>4509</v>
      </c>
      <c r="AP77" s="3437" t="s">
        <v>4509</v>
      </c>
      <c r="AQ77" s="3283" t="s">
        <v>4509</v>
      </c>
      <c r="AR77" s="101" t="s">
        <v>8956</v>
      </c>
      <c r="AU77" s="2154" t="s">
        <v>5334</v>
      </c>
      <c r="AV77" s="2154"/>
      <c r="AW77" s="531" t="s">
        <v>5340</v>
      </c>
      <c r="AX77" s="531" t="s">
        <v>5334</v>
      </c>
      <c r="AY77" s="2744" t="s">
        <v>8084</v>
      </c>
      <c r="BB77" s="3438" t="s">
        <v>14472</v>
      </c>
      <c r="BC77" s="1892" t="s">
        <v>6864</v>
      </c>
      <c r="BH77" s="2406">
        <v>2453001359</v>
      </c>
      <c r="BI77" s="2409" t="s">
        <v>466</v>
      </c>
      <c r="BJ77" s="2466">
        <v>104424</v>
      </c>
      <c r="BK77" s="530"/>
      <c r="BQ77" s="511"/>
      <c r="BR77" s="511"/>
      <c r="BU77" s="3126" t="s">
        <v>5703</v>
      </c>
      <c r="BV77" s="3082" t="str">
        <f t="shared" si="1"/>
        <v>{1211020} Реклама</v>
      </c>
      <c r="BW77" s="101"/>
      <c r="BZ77" s="3112" t="s">
        <v>6945</v>
      </c>
      <c r="CA77" s="3113" t="s">
        <v>3759</v>
      </c>
      <c r="CS77" s="3437" t="s">
        <v>3540</v>
      </c>
      <c r="CT77" s="2299" t="s">
        <v>6550</v>
      </c>
      <c r="DA77" s="2558"/>
      <c r="DB77" s="2153" t="s">
        <v>7238</v>
      </c>
      <c r="DK77" s="2576" t="s">
        <v>2837</v>
      </c>
      <c r="DL77" s="2178" t="s">
        <v>4089</v>
      </c>
      <c r="DM77" s="2575" t="s">
        <v>7496</v>
      </c>
      <c r="DO77" s="1892" t="s">
        <v>8258</v>
      </c>
      <c r="DP77" s="1892">
        <v>118157</v>
      </c>
      <c r="DT77" s="3157" t="s">
        <v>9885</v>
      </c>
      <c r="DW77" s="1511" t="s">
        <v>8837</v>
      </c>
      <c r="EI77" s="2689" t="s">
        <v>10396</v>
      </c>
    </row>
    <row r="78" spans="1:139" ht="38.5">
      <c r="A78" s="532"/>
      <c r="D78" s="2539"/>
      <c r="H78" s="3442" t="s">
        <v>3172</v>
      </c>
      <c r="I78" s="3442" t="s">
        <v>3161</v>
      </c>
      <c r="J78" s="3442" t="s">
        <v>3172</v>
      </c>
      <c r="K78" s="3437" t="s">
        <v>14424</v>
      </c>
      <c r="L78" s="3437" t="s">
        <v>2309</v>
      </c>
      <c r="M78" s="3437" t="s">
        <v>3578</v>
      </c>
      <c r="N78" s="2263"/>
      <c r="AE78" s="2153" t="s">
        <v>5645</v>
      </c>
      <c r="AN78" s="3283" t="s">
        <v>2123</v>
      </c>
      <c r="AO78" s="3283" t="s">
        <v>2123</v>
      </c>
      <c r="AP78" s="3437" t="s">
        <v>2123</v>
      </c>
      <c r="AQ78" s="3283" t="s">
        <v>2123</v>
      </c>
      <c r="AR78" s="101" t="s">
        <v>8957</v>
      </c>
      <c r="AU78" s="2154" t="s">
        <v>8081</v>
      </c>
      <c r="AV78" s="2154"/>
      <c r="AW78" s="531" t="s">
        <v>1347</v>
      </c>
      <c r="AX78" s="531" t="s">
        <v>8081</v>
      </c>
      <c r="AY78" s="2744" t="s">
        <v>8085</v>
      </c>
      <c r="BB78" s="3438" t="s">
        <v>14473</v>
      </c>
      <c r="BC78" s="1892" t="s">
        <v>6865</v>
      </c>
      <c r="BH78" s="2406">
        <v>2453001969</v>
      </c>
      <c r="BI78" s="2409" t="s">
        <v>3551</v>
      </c>
      <c r="BJ78" s="2466">
        <v>104431</v>
      </c>
      <c r="BK78" s="530"/>
      <c r="BQ78" s="2744"/>
      <c r="BR78" s="2744"/>
      <c r="BU78" s="3126" t="s">
        <v>236</v>
      </c>
      <c r="BV78" s="3082" t="str">
        <f t="shared" si="1"/>
        <v>{1211030ледования</v>
      </c>
      <c r="BW78" s="101"/>
      <c r="BZ78" s="3112" t="s">
        <v>7025</v>
      </c>
      <c r="CA78" s="3113" t="s">
        <v>3821</v>
      </c>
      <c r="CS78" s="3437" t="s">
        <v>3541</v>
      </c>
      <c r="CT78" s="2299" t="s">
        <v>6551</v>
      </c>
      <c r="DA78" s="2558"/>
      <c r="DB78" s="2153" t="s">
        <v>7239</v>
      </c>
      <c r="DK78" s="2576" t="s">
        <v>2838</v>
      </c>
      <c r="DL78" s="2178" t="s">
        <v>1795</v>
      </c>
      <c r="DM78" s="2575" t="s">
        <v>7496</v>
      </c>
      <c r="DO78" s="1892" t="s">
        <v>8259</v>
      </c>
      <c r="DP78" s="1892">
        <v>209764</v>
      </c>
      <c r="DT78" s="2515" t="s">
        <v>10050</v>
      </c>
      <c r="DW78" s="1511" t="s">
        <v>8838</v>
      </c>
      <c r="EI78" s="2689" t="s">
        <v>10397</v>
      </c>
    </row>
    <row r="79" spans="1:139" ht="51">
      <c r="A79" s="532"/>
      <c r="D79" s="2539"/>
      <c r="H79" s="3442" t="s">
        <v>5468</v>
      </c>
      <c r="I79" s="3442" t="s">
        <v>3161</v>
      </c>
      <c r="J79" s="3442" t="s">
        <v>5468</v>
      </c>
      <c r="K79" s="3437" t="s">
        <v>7138</v>
      </c>
      <c r="L79" s="3437" t="s">
        <v>2312</v>
      </c>
      <c r="M79" s="3437" t="s">
        <v>3579</v>
      </c>
      <c r="N79" s="2263"/>
      <c r="AE79" s="2153" t="s">
        <v>6041</v>
      </c>
      <c r="AN79" s="3283" t="s">
        <v>2124</v>
      </c>
      <c r="AO79" s="3283" t="s">
        <v>2124</v>
      </c>
      <c r="AP79" s="3437" t="s">
        <v>2124</v>
      </c>
      <c r="AQ79" s="3283" t="s">
        <v>2124</v>
      </c>
      <c r="AR79" s="3618" t="s">
        <v>15360</v>
      </c>
      <c r="AU79" s="2154" t="s">
        <v>8083</v>
      </c>
      <c r="AV79" s="2154"/>
      <c r="AW79" s="531" t="s">
        <v>5870</v>
      </c>
      <c r="AX79" s="531" t="s">
        <v>8083</v>
      </c>
      <c r="AY79" s="2744" t="s">
        <v>8086</v>
      </c>
      <c r="BB79" s="3438" t="s">
        <v>14474</v>
      </c>
      <c r="BC79" s="1892" t="s">
        <v>9885</v>
      </c>
      <c r="BH79" s="2406">
        <v>2453002850</v>
      </c>
      <c r="BI79" s="2409" t="s">
        <v>465</v>
      </c>
      <c r="BJ79" s="2466">
        <v>104437</v>
      </c>
      <c r="BK79" s="530"/>
      <c r="BQ79" s="2744"/>
      <c r="BR79" s="2744"/>
      <c r="BU79" s="3126" t="s">
        <v>5776</v>
      </c>
      <c r="BV79" s="3082" t="str">
        <f t="shared" si="1"/>
        <v>{1211100е расходы</v>
      </c>
      <c r="BW79" s="101"/>
      <c r="BZ79" s="3112" t="s">
        <v>7077</v>
      </c>
      <c r="CA79" s="3113" t="s">
        <v>3885</v>
      </c>
      <c r="CP79" s="3083"/>
      <c r="CS79" s="3437" t="s">
        <v>3542</v>
      </c>
      <c r="CT79" s="2299" t="s">
        <v>6552</v>
      </c>
      <c r="CV79" s="3083"/>
      <c r="DA79" s="2558"/>
      <c r="DB79" s="2153" t="s">
        <v>7240</v>
      </c>
      <c r="DK79" s="2576" t="s">
        <v>2839</v>
      </c>
      <c r="DL79" s="2178" t="s">
        <v>1796</v>
      </c>
      <c r="DM79" s="2575" t="s">
        <v>7496</v>
      </c>
      <c r="DO79" s="1892" t="s">
        <v>8260</v>
      </c>
      <c r="DP79" s="1892">
        <v>350673</v>
      </c>
      <c r="DT79" s="3438" t="s">
        <v>14472</v>
      </c>
      <c r="DW79" s="1511" t="s">
        <v>8839</v>
      </c>
      <c r="EI79" s="2689" t="s">
        <v>10398</v>
      </c>
    </row>
    <row r="80" spans="1:139" ht="29">
      <c r="A80" s="532"/>
      <c r="D80" s="2539"/>
      <c r="H80" s="3442" t="s">
        <v>3175</v>
      </c>
      <c r="I80" s="3442" t="s">
        <v>3161</v>
      </c>
      <c r="J80" s="3442" t="s">
        <v>3175</v>
      </c>
      <c r="K80" s="3437" t="s">
        <v>5679</v>
      </c>
      <c r="L80" s="3437" t="s">
        <v>9803</v>
      </c>
      <c r="M80" s="3437" t="s">
        <v>3581</v>
      </c>
      <c r="N80" s="2263"/>
      <c r="AE80" s="2153" t="s">
        <v>5646</v>
      </c>
      <c r="AN80" s="3283" t="s">
        <v>2125</v>
      </c>
      <c r="AO80" s="3283" t="s">
        <v>2125</v>
      </c>
      <c r="AP80" s="3437" t="s">
        <v>2125</v>
      </c>
      <c r="AQ80" s="3283" t="s">
        <v>2125</v>
      </c>
      <c r="AR80" s="3618" t="s">
        <v>15361</v>
      </c>
      <c r="AU80" s="2154" t="s">
        <v>8084</v>
      </c>
      <c r="AV80" s="2154"/>
      <c r="AW80" s="2091" t="s">
        <v>6153</v>
      </c>
      <c r="AX80" s="531" t="s">
        <v>8084</v>
      </c>
      <c r="AY80" s="2744" t="s">
        <v>8087</v>
      </c>
      <c r="BB80" s="3438" t="s">
        <v>14475</v>
      </c>
      <c r="BC80" s="3157" t="s">
        <v>10050</v>
      </c>
      <c r="BH80" s="2406">
        <v>2453003042</v>
      </c>
      <c r="BI80" s="2409" t="s">
        <v>184</v>
      </c>
      <c r="BJ80" s="2466">
        <v>104443</v>
      </c>
      <c r="BK80" s="530"/>
      <c r="BQ80" s="2744"/>
      <c r="BR80" s="2744"/>
      <c r="BU80" s="3126" t="s">
        <v>5777</v>
      </c>
      <c r="BV80" s="3082" t="str">
        <f t="shared" si="1"/>
        <v>{1211200е расходы</v>
      </c>
      <c r="BW80" s="101"/>
      <c r="BZ80" s="3112" t="s">
        <v>7086</v>
      </c>
      <c r="CA80" s="3113" t="s">
        <v>3871</v>
      </c>
      <c r="CP80" s="2448"/>
      <c r="CS80" s="3437" t="s">
        <v>4723</v>
      </c>
      <c r="CT80" s="2299" t="s">
        <v>6553</v>
      </c>
      <c r="CV80" s="2448"/>
      <c r="DA80" s="2558"/>
      <c r="DB80" s="2153" t="s">
        <v>7241</v>
      </c>
      <c r="DK80" s="2576" t="s">
        <v>5268</v>
      </c>
      <c r="DL80" s="2178" t="s">
        <v>1797</v>
      </c>
      <c r="DM80" s="2575" t="s">
        <v>7496</v>
      </c>
      <c r="DO80" s="1892" t="s">
        <v>8261</v>
      </c>
      <c r="DP80" s="1892">
        <v>350676</v>
      </c>
      <c r="DT80" s="3438" t="s">
        <v>14473</v>
      </c>
      <c r="DW80" s="1511" t="s">
        <v>8840</v>
      </c>
      <c r="EI80" s="2689" t="s">
        <v>10399</v>
      </c>
    </row>
    <row r="81" spans="1:139" ht="43.5">
      <c r="A81" s="532"/>
      <c r="D81" s="2539"/>
      <c r="H81" s="3442" t="s">
        <v>2102</v>
      </c>
      <c r="I81" s="3442" t="s">
        <v>3161</v>
      </c>
      <c r="J81" s="3442" t="s">
        <v>2102</v>
      </c>
      <c r="K81" s="3437" t="s">
        <v>3293</v>
      </c>
      <c r="L81" s="3437" t="s">
        <v>9805</v>
      </c>
      <c r="M81" s="3437" t="s">
        <v>3583</v>
      </c>
      <c r="N81" s="2263"/>
      <c r="AE81" s="2153" t="s">
        <v>6042</v>
      </c>
      <c r="AN81" s="3283" t="s">
        <v>2126</v>
      </c>
      <c r="AO81" s="3283" t="s">
        <v>2126</v>
      </c>
      <c r="AP81" s="3437" t="s">
        <v>2126</v>
      </c>
      <c r="AQ81" s="3283" t="s">
        <v>2126</v>
      </c>
      <c r="AR81" s="101" t="s">
        <v>8958</v>
      </c>
      <c r="AU81" s="2154" t="s">
        <v>8085</v>
      </c>
      <c r="AV81" s="2154"/>
      <c r="AW81" s="2091" t="s">
        <v>6154</v>
      </c>
      <c r="AX81" s="531" t="s">
        <v>8085</v>
      </c>
      <c r="AY81" s="2744" t="s">
        <v>5335</v>
      </c>
      <c r="BB81" s="2744"/>
      <c r="BC81" s="3438" t="s">
        <v>14472</v>
      </c>
      <c r="BH81" s="2406">
        <v>2453007696</v>
      </c>
      <c r="BI81" s="2409" t="s">
        <v>2026</v>
      </c>
      <c r="BJ81" s="2466">
        <v>104505</v>
      </c>
      <c r="BK81" s="530"/>
      <c r="BQ81" s="2744"/>
      <c r="BR81" s="2744"/>
      <c r="BU81" s="3126" t="s">
        <v>5778</v>
      </c>
      <c r="BV81" s="3082" t="str">
        <f t="shared" si="1"/>
        <v>{1211300ые услуги</v>
      </c>
      <c r="BW81" s="101"/>
      <c r="BZ81" s="3112" t="s">
        <v>6995</v>
      </c>
      <c r="CA81" s="3113" t="s">
        <v>3902</v>
      </c>
      <c r="CS81" s="3437" t="s">
        <v>3543</v>
      </c>
      <c r="CT81" s="2299" t="s">
        <v>6554</v>
      </c>
      <c r="DA81" s="2558"/>
      <c r="DB81" s="2153" t="s">
        <v>7242</v>
      </c>
      <c r="DK81" s="2576" t="s">
        <v>8379</v>
      </c>
      <c r="DL81" s="2178" t="s">
        <v>9690</v>
      </c>
      <c r="DM81" s="2575" t="s">
        <v>7496</v>
      </c>
      <c r="DO81" s="1892" t="s">
        <v>8262</v>
      </c>
      <c r="DP81" s="1892">
        <v>361685</v>
      </c>
      <c r="DT81" s="3438" t="s">
        <v>14474</v>
      </c>
      <c r="DW81" s="1511" t="s">
        <v>8841</v>
      </c>
      <c r="EI81" s="2689" t="s">
        <v>10400</v>
      </c>
    </row>
    <row r="82" spans="1:139" ht="29">
      <c r="A82" s="532"/>
      <c r="D82" s="2539"/>
      <c r="H82" s="3442" t="s">
        <v>2104</v>
      </c>
      <c r="I82" s="3442" t="s">
        <v>3161</v>
      </c>
      <c r="J82" s="3442" t="s">
        <v>2104</v>
      </c>
      <c r="K82" s="3437" t="s">
        <v>3537</v>
      </c>
      <c r="L82" s="3437" t="s">
        <v>9807</v>
      </c>
      <c r="M82" s="3437" t="s">
        <v>3585</v>
      </c>
      <c r="N82" s="2263"/>
      <c r="AE82" s="2153" t="s">
        <v>6043</v>
      </c>
      <c r="AN82" s="3283" t="s">
        <v>7515</v>
      </c>
      <c r="AO82" s="3283" t="s">
        <v>7515</v>
      </c>
      <c r="AP82" s="3437" t="s">
        <v>7515</v>
      </c>
      <c r="AQ82" s="3283" t="s">
        <v>7515</v>
      </c>
      <c r="AR82" s="101" t="s">
        <v>8959</v>
      </c>
      <c r="AU82" s="2154" t="s">
        <v>8086</v>
      </c>
      <c r="AV82" s="2154"/>
      <c r="AW82" s="2091" t="s">
        <v>6155</v>
      </c>
      <c r="AX82" s="531" t="s">
        <v>8086</v>
      </c>
      <c r="AY82" s="2744" t="s">
        <v>1343</v>
      </c>
      <c r="BC82" s="3438" t="s">
        <v>14473</v>
      </c>
      <c r="BH82" s="2406">
        <v>2453008227</v>
      </c>
      <c r="BI82" s="2409" t="s">
        <v>462</v>
      </c>
      <c r="BJ82" s="2466">
        <v>104511</v>
      </c>
      <c r="BK82" s="530"/>
      <c r="BQ82" s="511"/>
      <c r="BR82" s="511"/>
      <c r="BT82" s="3083"/>
      <c r="BU82" s="3126" t="s">
        <v>5779</v>
      </c>
      <c r="BV82" s="3082" t="str">
        <f t="shared" si="1"/>
        <v>{1211400ие услуги</v>
      </c>
      <c r="BW82" s="101"/>
      <c r="BZ82" s="3112" t="s">
        <v>7093</v>
      </c>
      <c r="CA82" s="3113" t="s">
        <v>3878</v>
      </c>
      <c r="CS82" s="3437" t="s">
        <v>1462</v>
      </c>
      <c r="CT82" s="2299" t="s">
        <v>6555</v>
      </c>
      <c r="DA82" s="2558"/>
      <c r="DB82" s="2153" t="s">
        <v>7243</v>
      </c>
      <c r="DD82" s="3083"/>
      <c r="DK82" s="2576">
        <v>63</v>
      </c>
      <c r="DL82" s="2178" t="s">
        <v>2214</v>
      </c>
      <c r="DM82" s="2575" t="s">
        <v>7496</v>
      </c>
      <c r="DO82" s="1892" t="s">
        <v>8263</v>
      </c>
      <c r="DP82" s="1892">
        <v>386105</v>
      </c>
      <c r="DT82" s="3438" t="s">
        <v>14475</v>
      </c>
      <c r="DW82" s="1511">
        <v>69</v>
      </c>
      <c r="EI82" s="2689" t="s">
        <v>10401</v>
      </c>
    </row>
    <row r="83" spans="1:139" ht="43.5">
      <c r="A83" s="532"/>
      <c r="D83" s="2539"/>
      <c r="H83" s="3442" t="s">
        <v>2105</v>
      </c>
      <c r="I83" s="3442" t="s">
        <v>3161</v>
      </c>
      <c r="J83" s="3442" t="s">
        <v>2105</v>
      </c>
      <c r="K83" s="3437" t="s">
        <v>3538</v>
      </c>
      <c r="L83" s="3437" t="s">
        <v>1258</v>
      </c>
      <c r="M83" s="3437" t="s">
        <v>3586</v>
      </c>
      <c r="N83" s="2263"/>
      <c r="AE83" s="2153" t="s">
        <v>6044</v>
      </c>
      <c r="AN83" s="3283" t="s">
        <v>7516</v>
      </c>
      <c r="AO83" s="3283" t="s">
        <v>7516</v>
      </c>
      <c r="AP83" s="3437" t="s">
        <v>7516</v>
      </c>
      <c r="AQ83" s="3283" t="s">
        <v>7516</v>
      </c>
      <c r="AR83" s="101" t="s">
        <v>8960</v>
      </c>
      <c r="AU83" s="2154" t="s">
        <v>8087</v>
      </c>
      <c r="AV83" s="2154"/>
      <c r="AW83" s="2091" t="s">
        <v>8666</v>
      </c>
      <c r="AX83" s="531" t="s">
        <v>8087</v>
      </c>
      <c r="AY83" s="2744" t="s">
        <v>5866</v>
      </c>
      <c r="BC83" s="3438" t="s">
        <v>14474</v>
      </c>
      <c r="BH83" s="2406">
        <v>2460041930</v>
      </c>
      <c r="BI83" s="2409" t="s">
        <v>2043</v>
      </c>
      <c r="BJ83" s="2466">
        <v>177847</v>
      </c>
      <c r="BK83" s="530"/>
      <c r="BQ83" s="511"/>
      <c r="BR83" s="511"/>
      <c r="BU83" s="3126" t="s">
        <v>5780</v>
      </c>
      <c r="BV83" s="3082" t="str">
        <f t="shared" si="1"/>
        <v>{1211500ета (ОЦО)</v>
      </c>
      <c r="BW83" s="101"/>
      <c r="BZ83" s="3112" t="s">
        <v>6967</v>
      </c>
      <c r="CA83" s="3113" t="s">
        <v>3781</v>
      </c>
      <c r="CS83" s="3437" t="s">
        <v>3546</v>
      </c>
      <c r="CT83" s="2299" t="s">
        <v>6556</v>
      </c>
      <c r="DA83" s="2558"/>
      <c r="DB83" s="2153" t="s">
        <v>7244</v>
      </c>
      <c r="DK83" s="2576">
        <v>66</v>
      </c>
      <c r="DL83" s="2178" t="s">
        <v>4411</v>
      </c>
      <c r="DM83" s="2575" t="s">
        <v>9611</v>
      </c>
      <c r="DO83" s="1892" t="s">
        <v>8264</v>
      </c>
      <c r="DP83" s="1892">
        <v>229230</v>
      </c>
      <c r="DT83" s="2091" t="s">
        <v>3018</v>
      </c>
      <c r="DW83" s="1511">
        <v>70</v>
      </c>
      <c r="EI83" s="2689" t="s">
        <v>10402</v>
      </c>
    </row>
    <row r="84" spans="1:139" ht="51">
      <c r="A84" s="532"/>
      <c r="D84" s="2539"/>
      <c r="H84" s="3442" t="s">
        <v>2106</v>
      </c>
      <c r="I84" s="3442" t="s">
        <v>3161</v>
      </c>
      <c r="J84" s="3442" t="s">
        <v>2106</v>
      </c>
      <c r="K84" s="3437" t="s">
        <v>3539</v>
      </c>
      <c r="L84" s="3437" t="s">
        <v>9809</v>
      </c>
      <c r="M84" s="3437" t="s">
        <v>3587</v>
      </c>
      <c r="N84" s="2263"/>
      <c r="AC84" s="2744"/>
      <c r="AE84" s="2153" t="s">
        <v>5647</v>
      </c>
      <c r="AN84" s="3283" t="s">
        <v>2127</v>
      </c>
      <c r="AO84" s="3283" t="s">
        <v>2127</v>
      </c>
      <c r="AP84" s="3437" t="s">
        <v>2127</v>
      </c>
      <c r="AQ84" s="3283" t="s">
        <v>2127</v>
      </c>
      <c r="AR84" s="101" t="s">
        <v>8961</v>
      </c>
      <c r="AU84" s="2154" t="s">
        <v>5335</v>
      </c>
      <c r="AV84" s="2154"/>
      <c r="AW84" s="2091" t="s">
        <v>9824</v>
      </c>
      <c r="AX84" s="531" t="s">
        <v>5335</v>
      </c>
      <c r="AY84" s="2091" t="s">
        <v>6138</v>
      </c>
      <c r="BC84" s="3438" t="s">
        <v>14475</v>
      </c>
      <c r="BH84" s="2406">
        <v>2460062553</v>
      </c>
      <c r="BI84" s="2409" t="s">
        <v>3136</v>
      </c>
      <c r="BJ84" s="2466">
        <v>201831</v>
      </c>
      <c r="BK84" s="530"/>
      <c r="BQ84" s="511"/>
      <c r="BR84" s="511"/>
      <c r="BU84" s="3126" t="s">
        <v>5781</v>
      </c>
      <c r="BV84" s="3082" t="str">
        <f t="shared" si="1"/>
        <v>{1211600е расходы</v>
      </c>
      <c r="BW84" s="101"/>
      <c r="BZ84" s="3112" t="s">
        <v>7037</v>
      </c>
      <c r="CA84" s="3113" t="s">
        <v>3833</v>
      </c>
      <c r="CS84" s="3437" t="s">
        <v>4724</v>
      </c>
      <c r="CT84" s="2299" t="s">
        <v>6557</v>
      </c>
      <c r="DA84" s="2558"/>
      <c r="DB84" s="2153" t="s">
        <v>7245</v>
      </c>
      <c r="DK84" s="2576">
        <v>67</v>
      </c>
      <c r="DL84" s="2178" t="s">
        <v>4414</v>
      </c>
      <c r="DM84" s="2575" t="s">
        <v>9611</v>
      </c>
      <c r="DO84" s="1892" t="s">
        <v>8265</v>
      </c>
      <c r="DP84" s="1892">
        <v>301443</v>
      </c>
      <c r="DT84" s="2091" t="s">
        <v>3019</v>
      </c>
      <c r="DW84" s="1511">
        <v>71</v>
      </c>
      <c r="EI84" s="2689" t="s">
        <v>10403</v>
      </c>
    </row>
    <row r="85" spans="1:139" ht="51">
      <c r="A85" s="532"/>
      <c r="D85" s="2539"/>
      <c r="H85" s="3442" t="s">
        <v>3373</v>
      </c>
      <c r="I85" s="3442" t="s">
        <v>3161</v>
      </c>
      <c r="J85" s="3442" t="s">
        <v>3373</v>
      </c>
      <c r="K85" s="3437" t="s">
        <v>3540</v>
      </c>
      <c r="L85" s="3437" t="s">
        <v>1259</v>
      </c>
      <c r="M85" s="3437" t="s">
        <v>3589</v>
      </c>
      <c r="N85" s="2514"/>
      <c r="AE85" s="2153" t="s">
        <v>6046</v>
      </c>
      <c r="AF85" s="2744"/>
      <c r="AN85" s="3283" t="s">
        <v>7127</v>
      </c>
      <c r="AO85" s="3283" t="s">
        <v>7127</v>
      </c>
      <c r="AP85" s="3437" t="s">
        <v>7127</v>
      </c>
      <c r="AQ85" s="3283" t="s">
        <v>7127</v>
      </c>
      <c r="AR85" s="101" t="s">
        <v>8962</v>
      </c>
      <c r="AU85" s="2154" t="s">
        <v>1343</v>
      </c>
      <c r="AV85" s="2154"/>
      <c r="AW85" s="2091" t="s">
        <v>10066</v>
      </c>
      <c r="AX85" s="531" t="s">
        <v>1343</v>
      </c>
      <c r="AY85" s="2091" t="s">
        <v>6139</v>
      </c>
      <c r="BC85" s="2514"/>
      <c r="BH85" s="2406">
        <v>2460066195</v>
      </c>
      <c r="BI85" s="2409" t="s">
        <v>2465</v>
      </c>
      <c r="BJ85" s="2466">
        <v>117768</v>
      </c>
      <c r="BK85" s="530"/>
      <c r="BP85" s="3083"/>
      <c r="BQ85" s="511"/>
      <c r="BR85" s="511"/>
      <c r="BT85" s="3083"/>
      <c r="BU85" s="3126" t="s">
        <v>5782</v>
      </c>
      <c r="BV85" s="3082" t="str">
        <f t="shared" si="1"/>
        <v>{1211700ледования</v>
      </c>
      <c r="BW85" s="101"/>
      <c r="BZ85" s="3112" t="s">
        <v>6982</v>
      </c>
      <c r="CA85" s="3113" t="s">
        <v>2872</v>
      </c>
      <c r="CP85" s="3083"/>
      <c r="CS85" s="3437" t="s">
        <v>5932</v>
      </c>
      <c r="CT85" s="2299" t="s">
        <v>6558</v>
      </c>
      <c r="CV85" s="3083"/>
      <c r="DA85" s="2558"/>
      <c r="DB85" s="2153" t="s">
        <v>7246</v>
      </c>
      <c r="DK85" s="2576">
        <v>68</v>
      </c>
      <c r="DL85" s="2178" t="s">
        <v>4930</v>
      </c>
      <c r="DM85" s="2575" t="s">
        <v>7887</v>
      </c>
      <c r="DO85" s="1892" t="s">
        <v>8266</v>
      </c>
      <c r="DP85" s="1892">
        <v>125914</v>
      </c>
      <c r="DT85" s="2091" t="s">
        <v>3020</v>
      </c>
      <c r="DW85" s="1511">
        <v>73</v>
      </c>
      <c r="EI85" s="2689" t="s">
        <v>10404</v>
      </c>
    </row>
    <row r="86" spans="1:139" ht="51">
      <c r="A86" s="532"/>
      <c r="D86" s="2539"/>
      <c r="H86" s="3442" t="s">
        <v>3374</v>
      </c>
      <c r="I86" s="3442" t="s">
        <v>3104</v>
      </c>
      <c r="J86" s="3442" t="s">
        <v>3374</v>
      </c>
      <c r="K86" s="3437" t="s">
        <v>3541</v>
      </c>
      <c r="L86" s="3437" t="s">
        <v>1261</v>
      </c>
      <c r="M86" s="3437" t="s">
        <v>3590</v>
      </c>
      <c r="N86" s="2263"/>
      <c r="AE86" s="2153" t="s">
        <v>5648</v>
      </c>
      <c r="AN86" s="3283" t="s">
        <v>7642</v>
      </c>
      <c r="AO86" s="3283" t="s">
        <v>7642</v>
      </c>
      <c r="AP86" s="3437" t="s">
        <v>7642</v>
      </c>
      <c r="AQ86" s="3283" t="s">
        <v>7642</v>
      </c>
      <c r="AR86" s="101" t="s">
        <v>8963</v>
      </c>
      <c r="AU86" s="2154" t="s">
        <v>5866</v>
      </c>
      <c r="AV86" s="2154"/>
      <c r="AW86" s="2091" t="s">
        <v>14531</v>
      </c>
      <c r="AX86" s="531" t="s">
        <v>5866</v>
      </c>
      <c r="AY86" s="2091" t="s">
        <v>6140</v>
      </c>
      <c r="BH86" s="2406">
        <v>2460073530</v>
      </c>
      <c r="BI86" s="2409" t="s">
        <v>3623</v>
      </c>
      <c r="BJ86" s="2466">
        <v>283245</v>
      </c>
      <c r="BK86" s="530"/>
      <c r="BQ86" s="511"/>
      <c r="BR86" s="511"/>
      <c r="BU86" s="3126" t="s">
        <v>5783</v>
      </c>
      <c r="BV86" s="3082" t="str">
        <f t="shared" si="1"/>
        <v>{1211800ипографий</v>
      </c>
      <c r="BW86" s="101"/>
      <c r="BZ86" s="3112" t="s">
        <v>6935</v>
      </c>
      <c r="CA86" s="3113" t="s">
        <v>3749</v>
      </c>
      <c r="CP86" s="2448"/>
      <c r="CS86" s="3437" t="s">
        <v>4725</v>
      </c>
      <c r="CT86" s="2299" t="s">
        <v>6560</v>
      </c>
      <c r="CV86" s="2448"/>
      <c r="DA86" s="2558"/>
      <c r="DB86" s="2153" t="s">
        <v>7247</v>
      </c>
      <c r="DK86" s="2576" t="s">
        <v>420</v>
      </c>
      <c r="DL86" s="2178" t="s">
        <v>419</v>
      </c>
      <c r="DM86" s="2575" t="s">
        <v>7887</v>
      </c>
      <c r="DO86" s="1892" t="s">
        <v>8267</v>
      </c>
      <c r="DP86" s="1892">
        <v>223628</v>
      </c>
      <c r="DT86" s="2091" t="s">
        <v>3021</v>
      </c>
      <c r="DW86" s="1511">
        <v>75</v>
      </c>
      <c r="EI86" s="2689" t="s">
        <v>10405</v>
      </c>
    </row>
    <row r="87" spans="1:139" ht="51">
      <c r="A87" s="532"/>
      <c r="D87" s="2539"/>
      <c r="H87" s="3633" t="s">
        <v>3375</v>
      </c>
      <c r="I87" s="3139"/>
      <c r="J87" s="3442" t="s">
        <v>3375</v>
      </c>
      <c r="K87" s="3437" t="s">
        <v>14425</v>
      </c>
      <c r="L87" s="3437" t="s">
        <v>1262</v>
      </c>
      <c r="M87" s="3437" t="s">
        <v>7139</v>
      </c>
      <c r="N87" s="2263"/>
      <c r="AE87" s="2153" t="s">
        <v>6047</v>
      </c>
      <c r="AN87" s="3283" t="s">
        <v>2128</v>
      </c>
      <c r="AO87" s="3283" t="s">
        <v>2128</v>
      </c>
      <c r="AP87" s="3437" t="s">
        <v>2128</v>
      </c>
      <c r="AQ87" s="3283" t="s">
        <v>2128</v>
      </c>
      <c r="AR87" s="101" t="s">
        <v>8964</v>
      </c>
      <c r="AU87" s="2290" t="s">
        <v>6138</v>
      </c>
      <c r="AV87" s="2154"/>
      <c r="AW87" s="531" t="s">
        <v>5341</v>
      </c>
      <c r="AX87" s="2091" t="s">
        <v>6138</v>
      </c>
      <c r="AY87" s="2091" t="s">
        <v>8662</v>
      </c>
      <c r="AZ87" s="2744"/>
      <c r="BH87" s="2406">
        <v>2460220440</v>
      </c>
      <c r="BI87" s="2409" t="s">
        <v>2257</v>
      </c>
      <c r="BJ87" s="2466">
        <v>211060</v>
      </c>
      <c r="BK87" s="530"/>
      <c r="BQ87" s="511"/>
      <c r="BR87" s="511"/>
      <c r="BU87" s="3126" t="s">
        <v>5784</v>
      </c>
      <c r="BV87" s="3082" t="str">
        <f t="shared" si="1"/>
        <v>{1211900 отправка</v>
      </c>
      <c r="BW87" s="101"/>
      <c r="BZ87" s="3112" t="s">
        <v>7028</v>
      </c>
      <c r="CA87" s="3113" t="s">
        <v>3824</v>
      </c>
      <c r="CP87" s="2448"/>
      <c r="CS87" s="3437" t="s">
        <v>5802</v>
      </c>
      <c r="CT87" s="2299" t="s">
        <v>6562</v>
      </c>
      <c r="CV87" s="2448"/>
      <c r="DA87" s="2558"/>
      <c r="DB87" s="2153" t="s">
        <v>7248</v>
      </c>
      <c r="DK87" s="2576" t="s">
        <v>223</v>
      </c>
      <c r="DL87" s="2178" t="s">
        <v>4388</v>
      </c>
      <c r="DM87" s="2575" t="s">
        <v>7887</v>
      </c>
      <c r="DO87" s="1892" t="s">
        <v>8268</v>
      </c>
      <c r="DP87" s="1892">
        <v>284285</v>
      </c>
      <c r="DT87" s="2091" t="s">
        <v>3022</v>
      </c>
      <c r="DW87" s="1511">
        <v>76</v>
      </c>
      <c r="EI87" s="2689" t="s">
        <v>10406</v>
      </c>
    </row>
    <row r="88" spans="1:139" ht="58">
      <c r="A88" s="532"/>
      <c r="D88" s="2539"/>
      <c r="H88" s="3442" t="s">
        <v>2313</v>
      </c>
      <c r="I88" s="3442" t="s">
        <v>3104</v>
      </c>
      <c r="J88" s="3442" t="s">
        <v>2313</v>
      </c>
      <c r="K88" s="3437" t="s">
        <v>14426</v>
      </c>
      <c r="L88" s="3437" t="s">
        <v>1264</v>
      </c>
      <c r="M88" s="3437" t="s">
        <v>7140</v>
      </c>
      <c r="N88" s="2263"/>
      <c r="AE88" s="2153" t="s">
        <v>5649</v>
      </c>
      <c r="AN88" s="3283" t="s">
        <v>2129</v>
      </c>
      <c r="AO88" s="3283" t="s">
        <v>2129</v>
      </c>
      <c r="AP88" s="3437" t="s">
        <v>2129</v>
      </c>
      <c r="AQ88" s="3283" t="s">
        <v>2129</v>
      </c>
      <c r="AR88" s="101" t="s">
        <v>8965</v>
      </c>
      <c r="AU88" s="2290" t="s">
        <v>6139</v>
      </c>
      <c r="AV88" s="2154"/>
      <c r="AW88" s="531" t="s">
        <v>5342</v>
      </c>
      <c r="AX88" s="2091" t="s">
        <v>6139</v>
      </c>
      <c r="AY88" s="2091" t="s">
        <v>9817</v>
      </c>
      <c r="BH88" s="2406">
        <v>2462003962</v>
      </c>
      <c r="BI88" s="2409" t="s">
        <v>2025</v>
      </c>
      <c r="BJ88" s="2466">
        <v>104788</v>
      </c>
      <c r="BK88" s="530"/>
      <c r="BQ88" s="2744"/>
      <c r="BR88" s="2744"/>
      <c r="BU88" s="3126" t="s">
        <v>5785</v>
      </c>
      <c r="BV88" s="3082" t="str">
        <f t="shared" si="1"/>
        <v>{1212100оручениям</v>
      </c>
      <c r="BW88" s="101"/>
      <c r="BZ88" s="3112" t="s">
        <v>7044</v>
      </c>
      <c r="CA88" s="3113" t="s">
        <v>3840</v>
      </c>
      <c r="CP88" s="2448"/>
      <c r="CS88" s="3437" t="s">
        <v>10088</v>
      </c>
      <c r="CT88" s="2299" t="s">
        <v>6563</v>
      </c>
      <c r="CV88" s="2448"/>
      <c r="DA88" s="2558"/>
      <c r="DB88" s="2153" t="s">
        <v>7249</v>
      </c>
      <c r="DK88" s="2576" t="s">
        <v>5038</v>
      </c>
      <c r="DL88" s="2178" t="s">
        <v>5037</v>
      </c>
      <c r="DM88" s="2575" t="s">
        <v>7887</v>
      </c>
      <c r="DO88" s="1892" t="s">
        <v>8269</v>
      </c>
      <c r="DP88" s="1892">
        <v>189956</v>
      </c>
      <c r="DT88" s="2091" t="s">
        <v>3023</v>
      </c>
      <c r="DW88" s="1511">
        <v>77</v>
      </c>
      <c r="EI88" s="2689" t="s">
        <v>10407</v>
      </c>
    </row>
    <row r="89" spans="1:139" ht="76">
      <c r="A89" s="532"/>
      <c r="D89" s="2539"/>
      <c r="H89" s="3442" t="s">
        <v>90</v>
      </c>
      <c r="I89" s="3442" t="s">
        <v>3104</v>
      </c>
      <c r="J89" s="3442" t="s">
        <v>90</v>
      </c>
      <c r="K89" s="3437" t="s">
        <v>3542</v>
      </c>
      <c r="L89" s="3437" t="s">
        <v>5474</v>
      </c>
      <c r="M89" s="3437" t="s">
        <v>8498</v>
      </c>
      <c r="N89" s="2263"/>
      <c r="AE89" s="2153" t="s">
        <v>5650</v>
      </c>
      <c r="AN89" s="3283" t="s">
        <v>6888</v>
      </c>
      <c r="AO89" s="3283" t="s">
        <v>6888</v>
      </c>
      <c r="AP89" s="3437" t="s">
        <v>6888</v>
      </c>
      <c r="AQ89" s="3283" t="s">
        <v>6888</v>
      </c>
      <c r="AR89" s="101" t="s">
        <v>8966</v>
      </c>
      <c r="AU89" s="2091" t="s">
        <v>6140</v>
      </c>
      <c r="AV89" s="2154"/>
      <c r="AW89" s="531" t="s">
        <v>5343</v>
      </c>
      <c r="AX89" s="2091" t="s">
        <v>6140</v>
      </c>
      <c r="AY89" s="2091" t="s">
        <v>10044</v>
      </c>
      <c r="BH89" s="2406">
        <v>2463032691</v>
      </c>
      <c r="BI89" s="2409" t="s">
        <v>2619</v>
      </c>
      <c r="BJ89" s="2466">
        <v>104840</v>
      </c>
      <c r="BK89" s="530"/>
      <c r="BQ89" s="511"/>
      <c r="BR89" s="511"/>
      <c r="BU89" s="3126" t="s">
        <v>5786</v>
      </c>
      <c r="BV89" s="3082" t="str">
        <f t="shared" si="1"/>
        <v>{1212200ые услуги</v>
      </c>
      <c r="BW89" s="101"/>
      <c r="BZ89" s="3112" t="s">
        <v>6986</v>
      </c>
      <c r="CA89" s="3113" t="s">
        <v>3911</v>
      </c>
      <c r="CP89" s="2448"/>
      <c r="CS89" s="3437" t="s">
        <v>10089</v>
      </c>
      <c r="CT89" s="2299" t="s">
        <v>6564</v>
      </c>
      <c r="CV89" s="2448"/>
      <c r="DA89" s="2558"/>
      <c r="DB89" s="2153" t="s">
        <v>7250</v>
      </c>
      <c r="DK89" s="2576" t="s">
        <v>5036</v>
      </c>
      <c r="DL89" s="2178" t="s">
        <v>5035</v>
      </c>
      <c r="DM89" s="2575" t="s">
        <v>7887</v>
      </c>
      <c r="DO89" s="1892" t="s">
        <v>8270</v>
      </c>
      <c r="DP89" s="1892">
        <v>151521</v>
      </c>
      <c r="DT89" s="2091" t="s">
        <v>3024</v>
      </c>
      <c r="DW89" s="1511">
        <v>78</v>
      </c>
      <c r="EI89" s="2689" t="s">
        <v>10408</v>
      </c>
    </row>
    <row r="90" spans="1:139" ht="58">
      <c r="A90" s="532"/>
      <c r="D90" s="2539"/>
      <c r="H90" s="3442" t="s">
        <v>5469</v>
      </c>
      <c r="I90" s="3442" t="s">
        <v>3152</v>
      </c>
      <c r="J90" s="3442" t="s">
        <v>5469</v>
      </c>
      <c r="K90" s="3437" t="s">
        <v>14427</v>
      </c>
      <c r="L90" s="3437" t="s">
        <v>5475</v>
      </c>
      <c r="M90" s="3437" t="s">
        <v>8531</v>
      </c>
      <c r="N90" s="2263"/>
      <c r="AE90" s="2153" t="s">
        <v>5651</v>
      </c>
      <c r="AN90" s="3283" t="s">
        <v>14364</v>
      </c>
      <c r="AO90" s="3283" t="s">
        <v>14364</v>
      </c>
      <c r="AP90" s="3437" t="s">
        <v>14364</v>
      </c>
      <c r="AQ90" s="3283" t="s">
        <v>14364</v>
      </c>
      <c r="AR90" s="101" t="s">
        <v>8967</v>
      </c>
      <c r="AU90" s="2091" t="s">
        <v>8662</v>
      </c>
      <c r="AV90" s="2154"/>
      <c r="AW90" s="531" t="s">
        <v>5344</v>
      </c>
      <c r="AX90" s="2091" t="s">
        <v>8662</v>
      </c>
      <c r="AY90" s="2091" t="s">
        <v>14526</v>
      </c>
      <c r="BB90" s="2744"/>
      <c r="BH90" s="2406">
        <v>2464049948</v>
      </c>
      <c r="BI90" s="2409" t="s">
        <v>3619</v>
      </c>
      <c r="BJ90" s="2466">
        <v>203893</v>
      </c>
      <c r="BK90" s="530"/>
      <c r="BQ90" s="511"/>
      <c r="BR90" s="511"/>
      <c r="BU90" s="3126" t="s">
        <v>5787</v>
      </c>
      <c r="BV90" s="3082" t="str">
        <f t="shared" si="1"/>
        <v>{1212400итературу</v>
      </c>
      <c r="BW90" s="101"/>
      <c r="BZ90" s="3112" t="s">
        <v>7043</v>
      </c>
      <c r="CA90" s="3113" t="s">
        <v>3839</v>
      </c>
      <c r="CP90" s="2448"/>
      <c r="CS90" s="3437" t="s">
        <v>3556</v>
      </c>
      <c r="CT90" s="2299" t="s">
        <v>6565</v>
      </c>
      <c r="CV90" s="2448"/>
      <c r="DA90" s="2558"/>
      <c r="DB90" s="2153" t="s">
        <v>7251</v>
      </c>
      <c r="DK90" s="2576" t="s">
        <v>5034</v>
      </c>
      <c r="DL90" s="2178" t="s">
        <v>263</v>
      </c>
      <c r="DM90" s="2575" t="s">
        <v>7887</v>
      </c>
      <c r="DO90" s="1892" t="s">
        <v>8271</v>
      </c>
      <c r="DP90" s="1892">
        <v>205735</v>
      </c>
      <c r="DT90" s="2091" t="s">
        <v>3025</v>
      </c>
      <c r="DW90" s="1511">
        <v>80</v>
      </c>
      <c r="EI90" s="2689" t="s">
        <v>10409</v>
      </c>
    </row>
    <row r="91" spans="1:139" ht="58">
      <c r="A91" s="532"/>
      <c r="D91" s="2539"/>
      <c r="H91" s="3442" t="s">
        <v>5470</v>
      </c>
      <c r="I91" s="3442" t="s">
        <v>3152</v>
      </c>
      <c r="J91" s="3442" t="s">
        <v>5470</v>
      </c>
      <c r="K91" s="3437" t="s">
        <v>4723</v>
      </c>
      <c r="L91" s="3437" t="s">
        <v>5476</v>
      </c>
      <c r="M91" s="3437" t="s">
        <v>8532</v>
      </c>
      <c r="N91" s="2263"/>
      <c r="AE91" s="2153" t="s">
        <v>5652</v>
      </c>
      <c r="AN91" s="3283" t="s">
        <v>2130</v>
      </c>
      <c r="AO91" s="3283" t="s">
        <v>2130</v>
      </c>
      <c r="AP91" s="3437" t="s">
        <v>2130</v>
      </c>
      <c r="AQ91" s="3283" t="s">
        <v>2130</v>
      </c>
      <c r="AR91" s="101" t="s">
        <v>8968</v>
      </c>
      <c r="AU91" s="2091" t="s">
        <v>9817</v>
      </c>
      <c r="AV91" s="2154"/>
      <c r="AW91" s="531" t="s">
        <v>5339</v>
      </c>
      <c r="AX91" s="2091" t="s">
        <v>9817</v>
      </c>
      <c r="AY91" s="2744" t="s">
        <v>8093</v>
      </c>
      <c r="BH91" s="2406">
        <v>2465029422</v>
      </c>
      <c r="BI91" s="2409" t="s">
        <v>3582</v>
      </c>
      <c r="BJ91" s="2466">
        <v>105025</v>
      </c>
      <c r="BK91" s="530"/>
      <c r="BQ91" s="511"/>
      <c r="BR91" s="511"/>
      <c r="BU91" s="3126" t="s">
        <v>5788</v>
      </c>
      <c r="BV91" s="3082" t="str">
        <f t="shared" si="1"/>
        <v>{1212500формление</v>
      </c>
      <c r="BW91" s="101"/>
      <c r="BZ91" s="3112" t="s">
        <v>7048</v>
      </c>
      <c r="CA91" s="3113" t="s">
        <v>3844</v>
      </c>
      <c r="CP91" s="2448"/>
      <c r="CS91" s="3437" t="s">
        <v>3558</v>
      </c>
      <c r="CT91" s="2299" t="s">
        <v>6566</v>
      </c>
      <c r="CV91" s="2448"/>
      <c r="DA91" s="2558"/>
      <c r="DB91" s="2153" t="s">
        <v>7252</v>
      </c>
      <c r="DK91" s="2576">
        <v>69</v>
      </c>
      <c r="DL91" s="2178" t="s">
        <v>3670</v>
      </c>
      <c r="DM91" s="2575" t="s">
        <v>7887</v>
      </c>
      <c r="DO91" s="1892" t="s">
        <v>8272</v>
      </c>
      <c r="DP91" s="1892">
        <v>151521</v>
      </c>
      <c r="DT91" s="2091" t="s">
        <v>14466</v>
      </c>
      <c r="DW91" s="1511">
        <v>81</v>
      </c>
      <c r="EI91" s="2689" t="s">
        <v>10410</v>
      </c>
    </row>
    <row r="92" spans="1:139" ht="58">
      <c r="A92" s="532"/>
      <c r="D92" s="2539"/>
      <c r="H92" s="3442" t="s">
        <v>5471</v>
      </c>
      <c r="I92" s="3442" t="s">
        <v>3152</v>
      </c>
      <c r="J92" s="3442" t="s">
        <v>5471</v>
      </c>
      <c r="K92" s="3437" t="s">
        <v>3543</v>
      </c>
      <c r="L92" s="3437" t="s">
        <v>5479</v>
      </c>
      <c r="M92" s="3437" t="s">
        <v>1466</v>
      </c>
      <c r="N92" s="2263"/>
      <c r="AE92" s="2153" t="s">
        <v>5653</v>
      </c>
      <c r="AN92" s="3283" t="s">
        <v>2131</v>
      </c>
      <c r="AO92" s="3283" t="s">
        <v>2131</v>
      </c>
      <c r="AP92" s="3437" t="s">
        <v>2131</v>
      </c>
      <c r="AQ92" s="3283" t="s">
        <v>2131</v>
      </c>
      <c r="AR92" s="101" t="s">
        <v>8969</v>
      </c>
      <c r="AU92" s="2091" t="s">
        <v>10044</v>
      </c>
      <c r="AV92" s="2154"/>
      <c r="AW92" s="531" t="s">
        <v>5345</v>
      </c>
      <c r="AX92" s="2091" t="s">
        <v>10044</v>
      </c>
      <c r="AY92" s="2744" t="s">
        <v>8095</v>
      </c>
      <c r="BH92" s="2406">
        <v>2465213735</v>
      </c>
      <c r="BI92" s="2409" t="s">
        <v>2758</v>
      </c>
      <c r="BJ92" s="2466">
        <v>105098</v>
      </c>
      <c r="BK92" s="530"/>
      <c r="BQ92" s="511"/>
      <c r="BR92" s="511"/>
      <c r="BU92" s="3126" t="s">
        <v>5789</v>
      </c>
      <c r="BV92" s="3082" t="str">
        <f t="shared" si="1"/>
        <v>{1212600(платежи)</v>
      </c>
      <c r="BW92" s="101"/>
      <c r="BZ92" s="3112" t="s">
        <v>7047</v>
      </c>
      <c r="CA92" s="3113" t="s">
        <v>3843</v>
      </c>
      <c r="CP92" s="2448"/>
      <c r="CS92" s="3437" t="s">
        <v>3559</v>
      </c>
      <c r="CT92" s="2299" t="s">
        <v>6567</v>
      </c>
      <c r="CV92" s="2448"/>
      <c r="DA92" s="2558"/>
      <c r="DB92" s="2153" t="s">
        <v>7253</v>
      </c>
      <c r="DK92" s="2576">
        <v>73</v>
      </c>
      <c r="DL92" s="2178" t="s">
        <v>1798</v>
      </c>
      <c r="DM92" s="2575" t="s">
        <v>7497</v>
      </c>
      <c r="DO92" s="1892" t="s">
        <v>8273</v>
      </c>
      <c r="DP92" s="1892">
        <v>205737</v>
      </c>
      <c r="DT92" s="2091" t="s">
        <v>3026</v>
      </c>
      <c r="DW92" s="1511">
        <v>82</v>
      </c>
      <c r="EI92" s="2689" t="s">
        <v>10411</v>
      </c>
    </row>
    <row r="93" spans="1:139" ht="72.5">
      <c r="A93" s="532"/>
      <c r="D93" s="2539"/>
      <c r="H93" s="3442" t="s">
        <v>5472</v>
      </c>
      <c r="I93" s="3442" t="s">
        <v>3104</v>
      </c>
      <c r="J93" s="3442" t="s">
        <v>5472</v>
      </c>
      <c r="K93" s="3437" t="s">
        <v>1462</v>
      </c>
      <c r="L93" s="3437" t="s">
        <v>1266</v>
      </c>
      <c r="M93" s="3437" t="s">
        <v>8499</v>
      </c>
      <c r="N93" s="2263"/>
      <c r="AE93" s="2153" t="s">
        <v>5654</v>
      </c>
      <c r="AN93" s="3283" t="s">
        <v>10084</v>
      </c>
      <c r="AO93" s="3283" t="s">
        <v>10084</v>
      </c>
      <c r="AP93" s="3437" t="s">
        <v>10084</v>
      </c>
      <c r="AQ93" s="3283" t="s">
        <v>10084</v>
      </c>
      <c r="AR93" s="101" t="s">
        <v>8970</v>
      </c>
      <c r="AU93" s="2091" t="s">
        <v>14526</v>
      </c>
      <c r="AV93" s="2154"/>
      <c r="AW93" s="531" t="s">
        <v>5346</v>
      </c>
      <c r="AX93" s="2091" t="s">
        <v>14526</v>
      </c>
      <c r="AY93" s="2744" t="s">
        <v>8096</v>
      </c>
      <c r="BH93" s="2406">
        <v>2466022684</v>
      </c>
      <c r="BI93" s="2409" t="s">
        <v>288</v>
      </c>
      <c r="BJ93" s="2466">
        <v>105127</v>
      </c>
      <c r="BK93" s="530"/>
      <c r="BQ93" s="511"/>
      <c r="BR93" s="511"/>
      <c r="BU93" s="3126" t="s">
        <v>5790</v>
      </c>
      <c r="BV93" s="3082" t="str">
        <f t="shared" si="1"/>
        <v>{1212700зирование</v>
      </c>
      <c r="BW93" s="101"/>
      <c r="BZ93" s="3112" t="s">
        <v>7040</v>
      </c>
      <c r="CA93" s="3113" t="s">
        <v>3836</v>
      </c>
      <c r="CP93" s="2448"/>
      <c r="CS93" s="3437" t="s">
        <v>1407</v>
      </c>
      <c r="CT93" s="2299" t="s">
        <v>6568</v>
      </c>
      <c r="CV93" s="2448"/>
      <c r="DA93" s="2558"/>
      <c r="DB93" s="2153" t="s">
        <v>7254</v>
      </c>
      <c r="DK93" s="2576" t="s">
        <v>224</v>
      </c>
      <c r="DL93" s="2178" t="s">
        <v>5165</v>
      </c>
      <c r="DM93" s="2575" t="s">
        <v>7500</v>
      </c>
      <c r="DO93" s="1892" t="s">
        <v>8400</v>
      </c>
      <c r="DP93" s="1892">
        <v>531125</v>
      </c>
      <c r="DT93" s="2091" t="s">
        <v>14467</v>
      </c>
      <c r="DW93" s="1511">
        <v>83</v>
      </c>
      <c r="EI93" s="2689" t="s">
        <v>10412</v>
      </c>
    </row>
    <row r="94" spans="1:139" ht="51">
      <c r="A94" s="532"/>
      <c r="D94" s="2539"/>
      <c r="H94" s="3442" t="s">
        <v>10086</v>
      </c>
      <c r="I94" s="3442" t="s">
        <v>3152</v>
      </c>
      <c r="J94" s="3442" t="s">
        <v>10086</v>
      </c>
      <c r="K94" s="3437" t="s">
        <v>3546</v>
      </c>
      <c r="L94" s="3437" t="s">
        <v>5477</v>
      </c>
      <c r="M94" s="3437" t="s">
        <v>4493</v>
      </c>
      <c r="N94" s="2263"/>
      <c r="AE94" s="2153" t="s">
        <v>5655</v>
      </c>
      <c r="AN94" s="3283" t="s">
        <v>2132</v>
      </c>
      <c r="AO94" s="3283" t="s">
        <v>2132</v>
      </c>
      <c r="AP94" s="3437" t="s">
        <v>2132</v>
      </c>
      <c r="AQ94" s="3283" t="s">
        <v>2132</v>
      </c>
      <c r="AR94" s="101" t="s">
        <v>8971</v>
      </c>
      <c r="AU94" s="2154" t="s">
        <v>8093</v>
      </c>
      <c r="AV94" s="2154"/>
      <c r="AW94" s="531" t="s">
        <v>5871</v>
      </c>
      <c r="AX94" s="531" t="s">
        <v>8093</v>
      </c>
      <c r="AY94" s="2744" t="s">
        <v>8097</v>
      </c>
      <c r="BH94" s="2406">
        <v>2466132221</v>
      </c>
      <c r="BI94" s="2409" t="s">
        <v>2258</v>
      </c>
      <c r="BJ94" s="2466">
        <v>105207</v>
      </c>
      <c r="BK94" s="530"/>
      <c r="BQ94" s="511"/>
      <c r="BR94" s="511"/>
      <c r="BU94" s="3126" t="s">
        <v>5791</v>
      </c>
      <c r="BV94" s="3082" t="str">
        <f t="shared" si="1"/>
        <v>{1212800ию торгов</v>
      </c>
      <c r="BW94" s="101"/>
      <c r="BZ94" s="3112" t="s">
        <v>7045</v>
      </c>
      <c r="CA94" s="3113" t="s">
        <v>3841</v>
      </c>
      <c r="CS94" s="3437" t="s">
        <v>1409</v>
      </c>
      <c r="CT94" s="2299" t="s">
        <v>6569</v>
      </c>
      <c r="DA94" s="2558"/>
      <c r="DB94" s="2153" t="s">
        <v>7255</v>
      </c>
      <c r="DK94" s="2576" t="s">
        <v>1799</v>
      </c>
      <c r="DL94" s="2178" t="s">
        <v>5166</v>
      </c>
      <c r="DM94" s="2575" t="s">
        <v>7500</v>
      </c>
      <c r="DO94" s="1892" t="s">
        <v>8401</v>
      </c>
      <c r="DP94" s="1892">
        <v>550764</v>
      </c>
      <c r="DT94" s="2091" t="s">
        <v>14468</v>
      </c>
      <c r="DW94" s="1511">
        <v>86</v>
      </c>
      <c r="EI94" s="2689" t="s">
        <v>10413</v>
      </c>
    </row>
    <row r="95" spans="1:139" ht="63.5">
      <c r="A95" s="532"/>
      <c r="D95" s="2539"/>
      <c r="H95" s="3442" t="s">
        <v>10087</v>
      </c>
      <c r="I95" s="3442" t="s">
        <v>3152</v>
      </c>
      <c r="J95" s="3442" t="s">
        <v>10087</v>
      </c>
      <c r="K95" s="3437" t="s">
        <v>4724</v>
      </c>
      <c r="L95" s="3437" t="s">
        <v>1268</v>
      </c>
      <c r="M95" s="3437" t="s">
        <v>8500</v>
      </c>
      <c r="N95" s="2263"/>
      <c r="AC95" s="2744"/>
      <c r="AE95" s="2153" t="s">
        <v>5656</v>
      </c>
      <c r="AN95" s="3283" t="s">
        <v>7517</v>
      </c>
      <c r="AO95" s="3283" t="s">
        <v>7517</v>
      </c>
      <c r="AP95" s="3437" t="s">
        <v>7517</v>
      </c>
      <c r="AQ95" s="3283" t="s">
        <v>7517</v>
      </c>
      <c r="AR95" s="101" t="s">
        <v>8972</v>
      </c>
      <c r="AU95" s="2154" t="s">
        <v>8095</v>
      </c>
      <c r="AV95" s="2290"/>
      <c r="AW95" s="531" t="s">
        <v>5872</v>
      </c>
      <c r="AX95" s="531" t="s">
        <v>8095</v>
      </c>
      <c r="AY95" s="2744" t="s">
        <v>8098</v>
      </c>
      <c r="BH95" s="2406">
        <v>2466144107</v>
      </c>
      <c r="BI95" s="2409" t="s">
        <v>1992</v>
      </c>
      <c r="BJ95" s="2466">
        <v>321400</v>
      </c>
      <c r="BK95" s="530"/>
      <c r="BQ95" s="2514"/>
      <c r="BR95" s="2744"/>
      <c r="BU95" s="3126" t="s">
        <v>1489</v>
      </c>
      <c r="BV95" s="3082" t="str">
        <f t="shared" si="1"/>
        <v>{1212900ерсоналом</v>
      </c>
      <c r="BW95" s="101"/>
      <c r="BZ95" s="3112" t="s">
        <v>7054</v>
      </c>
      <c r="CA95" s="3113" t="s">
        <v>3850</v>
      </c>
      <c r="CE95" s="2448"/>
      <c r="CS95" s="3437" t="s">
        <v>1410</v>
      </c>
      <c r="CT95" s="2299" t="s">
        <v>6570</v>
      </c>
      <c r="CX95" s="2718"/>
      <c r="DA95" s="2558"/>
      <c r="DB95" s="2153" t="s">
        <v>7256</v>
      </c>
      <c r="DK95" s="2576" t="s">
        <v>2840</v>
      </c>
      <c r="DL95" s="2178" t="s">
        <v>5171</v>
      </c>
      <c r="DM95" s="2575" t="s">
        <v>7500</v>
      </c>
      <c r="DO95" s="1892" t="s">
        <v>8274</v>
      </c>
      <c r="DP95" s="1892">
        <v>187847</v>
      </c>
      <c r="DT95" s="2091" t="s">
        <v>3027</v>
      </c>
      <c r="DW95" s="1511">
        <v>94</v>
      </c>
      <c r="EI95" s="2689" t="s">
        <v>10414</v>
      </c>
    </row>
    <row r="96" spans="1:139" ht="72.5">
      <c r="A96" s="532"/>
      <c r="D96" s="2539"/>
      <c r="H96" s="3442" t="s">
        <v>2294</v>
      </c>
      <c r="I96" s="3442" t="s">
        <v>3152</v>
      </c>
      <c r="J96" s="3442" t="s">
        <v>2294</v>
      </c>
      <c r="K96" s="3437" t="s">
        <v>5932</v>
      </c>
      <c r="L96" s="3437" t="s">
        <v>1269</v>
      </c>
      <c r="M96" s="3437" t="s">
        <v>8501</v>
      </c>
      <c r="N96" s="2263"/>
      <c r="AE96" s="2153" t="s">
        <v>5657</v>
      </c>
      <c r="AN96" s="3283" t="s">
        <v>2133</v>
      </c>
      <c r="AO96" s="3283" t="s">
        <v>2133</v>
      </c>
      <c r="AP96" s="3437" t="s">
        <v>2133</v>
      </c>
      <c r="AQ96" s="3283" t="s">
        <v>2133</v>
      </c>
      <c r="AR96" s="101" t="s">
        <v>8973</v>
      </c>
      <c r="AU96" s="2154" t="s">
        <v>8096</v>
      </c>
      <c r="AV96" s="2290"/>
      <c r="AW96" s="531" t="s">
        <v>5873</v>
      </c>
      <c r="AX96" s="531" t="s">
        <v>8096</v>
      </c>
      <c r="AY96" s="2744" t="s">
        <v>8099</v>
      </c>
      <c r="BH96" s="2406">
        <v>2466146143</v>
      </c>
      <c r="BI96" s="2409" t="s">
        <v>446</v>
      </c>
      <c r="BJ96" s="2466">
        <v>105219</v>
      </c>
      <c r="BK96" s="530"/>
      <c r="BQ96" s="511"/>
      <c r="BR96" s="511"/>
      <c r="BU96" s="3126" t="s">
        <v>5704</v>
      </c>
      <c r="BV96" s="3082" t="str">
        <f t="shared" si="1"/>
        <v>{1213201 по МСФО)</v>
      </c>
      <c r="BW96" s="101"/>
      <c r="BZ96" s="3112" t="s">
        <v>7057</v>
      </c>
      <c r="CA96" s="3113" t="s">
        <v>3853</v>
      </c>
      <c r="CS96" s="3437" t="s">
        <v>1411</v>
      </c>
      <c r="CT96" s="2299" t="s">
        <v>6571</v>
      </c>
      <c r="DA96" s="2558"/>
      <c r="DB96" s="2153" t="s">
        <v>7257</v>
      </c>
      <c r="DK96" s="2576">
        <v>76</v>
      </c>
      <c r="DL96" s="2178" t="s">
        <v>5181</v>
      </c>
      <c r="DM96" s="2575" t="s">
        <v>7496</v>
      </c>
      <c r="DO96" s="1892" t="s">
        <v>8275</v>
      </c>
      <c r="DP96" s="1892">
        <v>367714</v>
      </c>
      <c r="DT96" s="2091" t="s">
        <v>3028</v>
      </c>
      <c r="DW96" s="1511" t="s">
        <v>8842</v>
      </c>
      <c r="EI96" s="2689" t="s">
        <v>10415</v>
      </c>
    </row>
    <row r="97" spans="1:139" ht="93" customHeight="1">
      <c r="A97" s="532"/>
      <c r="D97" s="2539"/>
      <c r="H97" s="3442" t="s">
        <v>2296</v>
      </c>
      <c r="I97" s="3442" t="s">
        <v>3152</v>
      </c>
      <c r="J97" s="3442" t="s">
        <v>2296</v>
      </c>
      <c r="K97" s="3437" t="s">
        <v>4725</v>
      </c>
      <c r="L97" s="3437" t="s">
        <v>6844</v>
      </c>
      <c r="M97" s="3437" t="s">
        <v>4817</v>
      </c>
      <c r="N97" s="2263"/>
      <c r="AE97" s="2153" t="s">
        <v>7161</v>
      </c>
      <c r="AN97" s="3283" t="s">
        <v>2134</v>
      </c>
      <c r="AO97" s="3283" t="s">
        <v>2134</v>
      </c>
      <c r="AP97" s="3437" t="s">
        <v>2134</v>
      </c>
      <c r="AQ97" s="3283" t="s">
        <v>2134</v>
      </c>
      <c r="AR97" s="101" t="s">
        <v>8974</v>
      </c>
      <c r="AU97" s="2154" t="s">
        <v>8097</v>
      </c>
      <c r="AV97" s="2091"/>
      <c r="AW97" s="531" t="s">
        <v>5874</v>
      </c>
      <c r="AX97" s="531" t="s">
        <v>8097</v>
      </c>
      <c r="AY97" s="2744" t="s">
        <v>5336</v>
      </c>
      <c r="BH97" s="2406">
        <v>2466210039</v>
      </c>
      <c r="BI97" s="2409" t="s">
        <v>3134</v>
      </c>
      <c r="BJ97" s="2466">
        <v>151029</v>
      </c>
      <c r="BK97" s="530"/>
      <c r="BQ97" s="511"/>
      <c r="BR97" s="511"/>
      <c r="BU97" s="3126" t="s">
        <v>5705</v>
      </c>
      <c r="BV97" s="3082" t="str">
        <f t="shared" si="1"/>
        <v>{1213202ых целей)</v>
      </c>
      <c r="BW97" s="101"/>
      <c r="BZ97" s="3112" t="s">
        <v>7050</v>
      </c>
      <c r="CA97" s="3113" t="s">
        <v>3846</v>
      </c>
      <c r="CS97" s="3437" t="s">
        <v>1412</v>
      </c>
      <c r="CT97" s="2299" t="s">
        <v>6572</v>
      </c>
      <c r="DA97" s="2558"/>
      <c r="DB97" s="2153" t="s">
        <v>7258</v>
      </c>
      <c r="DD97" s="3083"/>
      <c r="DK97" s="2576" t="s">
        <v>2841</v>
      </c>
      <c r="DL97" s="2178" t="s">
        <v>1800</v>
      </c>
      <c r="DM97" s="2575" t="s">
        <v>7498</v>
      </c>
      <c r="DO97" s="1892" t="s">
        <v>8276</v>
      </c>
      <c r="DP97" s="1892">
        <v>369022</v>
      </c>
      <c r="DT97" s="2091" t="s">
        <v>10095</v>
      </c>
      <c r="DW97" s="1511" t="s">
        <v>8843</v>
      </c>
      <c r="EI97" s="2689" t="s">
        <v>10416</v>
      </c>
    </row>
    <row r="98" spans="1:139" ht="58">
      <c r="A98" s="532"/>
      <c r="D98" s="2539"/>
      <c r="H98" s="3442" t="s">
        <v>2297</v>
      </c>
      <c r="I98" s="3442" t="s">
        <v>3152</v>
      </c>
      <c r="J98" s="3442" t="s">
        <v>2297</v>
      </c>
      <c r="K98" s="3437" t="s">
        <v>5801</v>
      </c>
      <c r="L98" s="3437" t="s">
        <v>6845</v>
      </c>
      <c r="M98" s="3437" t="s">
        <v>1467</v>
      </c>
      <c r="N98" s="2263"/>
      <c r="AE98" s="2153" t="s">
        <v>5658</v>
      </c>
      <c r="AN98" s="3283" t="s">
        <v>2135</v>
      </c>
      <c r="AO98" s="3283" t="s">
        <v>2135</v>
      </c>
      <c r="AP98" s="3437" t="s">
        <v>2135</v>
      </c>
      <c r="AQ98" s="3283" t="s">
        <v>2135</v>
      </c>
      <c r="AR98" s="101" t="s">
        <v>8975</v>
      </c>
      <c r="AU98" s="2154" t="s">
        <v>8098</v>
      </c>
      <c r="AV98" s="2154"/>
      <c r="AW98" s="531" t="s">
        <v>5875</v>
      </c>
      <c r="AX98" s="531" t="s">
        <v>8098</v>
      </c>
      <c r="AY98" s="2744" t="s">
        <v>1344</v>
      </c>
      <c r="BH98" s="2406">
        <v>2466222997</v>
      </c>
      <c r="BI98" s="2409" t="s">
        <v>2732</v>
      </c>
      <c r="BJ98" s="2466">
        <v>178099</v>
      </c>
      <c r="BK98" s="530"/>
      <c r="BQ98" s="511"/>
      <c r="BR98" s="511"/>
      <c r="BU98" s="3126" t="s">
        <v>5792</v>
      </c>
      <c r="BV98" s="3082" t="str">
        <f t="shared" si="1"/>
        <v>{1219999х активов</v>
      </c>
      <c r="BW98" s="101"/>
      <c r="BZ98" s="3112" t="s">
        <v>6976</v>
      </c>
      <c r="CA98" s="3113" t="s">
        <v>2866</v>
      </c>
      <c r="CP98" s="2448"/>
      <c r="CS98" s="3437" t="s">
        <v>1413</v>
      </c>
      <c r="CT98" s="2299" t="s">
        <v>6573</v>
      </c>
      <c r="CV98" s="2448"/>
      <c r="CZ98" s="2448"/>
      <c r="DA98" s="2558"/>
      <c r="DB98" s="2153" t="s">
        <v>7259</v>
      </c>
      <c r="DK98" s="2576">
        <v>77</v>
      </c>
      <c r="DL98" s="2178" t="s">
        <v>3695</v>
      </c>
      <c r="DM98" s="2575" t="s">
        <v>7887</v>
      </c>
      <c r="DO98" s="1892" t="s">
        <v>8277</v>
      </c>
      <c r="DP98" s="1892">
        <v>369534</v>
      </c>
      <c r="DT98" s="2091" t="s">
        <v>3029</v>
      </c>
      <c r="DW98" s="1511" t="s">
        <v>8844</v>
      </c>
      <c r="EI98" s="2689" t="s">
        <v>10417</v>
      </c>
    </row>
    <row r="99" spans="1:139" ht="43.5">
      <c r="A99" s="532"/>
      <c r="D99" s="2539"/>
      <c r="H99" s="3442" t="s">
        <v>14402</v>
      </c>
      <c r="I99" s="3442" t="s">
        <v>3152</v>
      </c>
      <c r="J99" s="3442" t="s">
        <v>14402</v>
      </c>
      <c r="K99" s="3437" t="s">
        <v>5802</v>
      </c>
      <c r="L99" s="3437" t="s">
        <v>1272</v>
      </c>
      <c r="M99" s="3437" t="s">
        <v>4495</v>
      </c>
      <c r="N99" s="2263"/>
      <c r="AE99" s="2153" t="s">
        <v>5659</v>
      </c>
      <c r="AN99" s="3283" t="s">
        <v>2136</v>
      </c>
      <c r="AO99" s="3283" t="s">
        <v>2136</v>
      </c>
      <c r="AP99" s="3437" t="s">
        <v>2136</v>
      </c>
      <c r="AQ99" s="3283" t="s">
        <v>2136</v>
      </c>
      <c r="AR99" s="101" t="s">
        <v>8976</v>
      </c>
      <c r="AU99" s="2154" t="s">
        <v>8099</v>
      </c>
      <c r="AV99" s="2154"/>
      <c r="AW99" s="531" t="s">
        <v>5876</v>
      </c>
      <c r="AX99" s="531" t="s">
        <v>8099</v>
      </c>
      <c r="AY99" s="2744" t="s">
        <v>5867</v>
      </c>
      <c r="BH99" s="2406">
        <v>2466253723</v>
      </c>
      <c r="BI99" s="2409" t="s">
        <v>463</v>
      </c>
      <c r="BJ99" s="2466">
        <v>294855</v>
      </c>
      <c r="BK99" s="530"/>
      <c r="BQ99" s="2744"/>
      <c r="BR99" s="2744"/>
      <c r="BU99" s="3126" t="s">
        <v>5795</v>
      </c>
      <c r="BV99" s="3082" t="str">
        <f t="shared" si="1"/>
        <v>{1220000ной форме</v>
      </c>
      <c r="BW99" s="101"/>
      <c r="BZ99" s="3112" t="s">
        <v>7038</v>
      </c>
      <c r="CA99" s="3113" t="s">
        <v>3834</v>
      </c>
      <c r="CS99" s="3437" t="s">
        <v>1414</v>
      </c>
      <c r="CT99" s="2299" t="s">
        <v>6574</v>
      </c>
      <c r="DA99" s="2558"/>
      <c r="DB99" s="2153" t="s">
        <v>7260</v>
      </c>
      <c r="DK99" s="2576">
        <v>78</v>
      </c>
      <c r="DL99" s="2178" t="s">
        <v>3679</v>
      </c>
      <c r="DM99" s="2575" t="s">
        <v>7887</v>
      </c>
      <c r="DO99" s="1892" t="s">
        <v>8278</v>
      </c>
      <c r="DP99" s="1892">
        <v>371765</v>
      </c>
      <c r="DT99" s="2091" t="s">
        <v>3030</v>
      </c>
      <c r="DW99" s="1511" t="s">
        <v>8845</v>
      </c>
      <c r="EI99" s="2689" t="s">
        <v>10418</v>
      </c>
    </row>
    <row r="100" spans="1:139" ht="38.5">
      <c r="A100" s="532"/>
      <c r="D100" s="2539"/>
      <c r="H100" s="3442" t="s">
        <v>9899</v>
      </c>
      <c r="I100" s="3442" t="s">
        <v>3152</v>
      </c>
      <c r="J100" s="3442" t="s">
        <v>9899</v>
      </c>
      <c r="K100" s="3437" t="s">
        <v>5803</v>
      </c>
      <c r="L100" s="3437" t="s">
        <v>1273</v>
      </c>
      <c r="M100" s="3437" t="s">
        <v>4497</v>
      </c>
      <c r="N100" s="2263"/>
      <c r="AE100" s="2153" t="s">
        <v>6048</v>
      </c>
      <c r="AN100" s="3283" t="s">
        <v>4510</v>
      </c>
      <c r="AO100" s="3283" t="s">
        <v>4510</v>
      </c>
      <c r="AP100" s="3437" t="s">
        <v>4510</v>
      </c>
      <c r="AQ100" s="3283" t="s">
        <v>4510</v>
      </c>
      <c r="AR100" s="101" t="s">
        <v>8977</v>
      </c>
      <c r="AU100" s="2154" t="s">
        <v>5336</v>
      </c>
      <c r="AV100" s="2154"/>
      <c r="AW100" s="531" t="s">
        <v>5877</v>
      </c>
      <c r="AX100" s="531" t="s">
        <v>5336</v>
      </c>
      <c r="AY100" s="2091" t="s">
        <v>6141</v>
      </c>
      <c r="BH100" s="2406">
        <v>2539007698</v>
      </c>
      <c r="BI100" s="2409" t="s">
        <v>3652</v>
      </c>
      <c r="BJ100" s="2466">
        <v>209583</v>
      </c>
      <c r="BK100" s="530"/>
      <c r="BQ100" s="2744"/>
      <c r="BR100" s="2744"/>
      <c r="BU100" s="3126" t="s">
        <v>5797</v>
      </c>
      <c r="BV100" s="3082" t="str">
        <f t="shared" si="1"/>
        <v>{1230000тельствам</v>
      </c>
      <c r="BW100" s="101"/>
      <c r="BZ100" s="3112" t="s">
        <v>7005</v>
      </c>
      <c r="CA100" s="3113" t="s">
        <v>3893</v>
      </c>
      <c r="CS100" s="3437" t="s">
        <v>1463</v>
      </c>
      <c r="CT100" s="2299" t="s">
        <v>6575</v>
      </c>
      <c r="DA100" s="2558"/>
      <c r="DB100" s="2153" t="s">
        <v>7261</v>
      </c>
      <c r="DK100" s="2576">
        <v>80</v>
      </c>
      <c r="DL100" s="2178" t="s">
        <v>3460</v>
      </c>
      <c r="DM100" s="2575" t="s">
        <v>7500</v>
      </c>
      <c r="DO100" s="1892" t="s">
        <v>8402</v>
      </c>
      <c r="DP100" s="1892">
        <v>537296</v>
      </c>
      <c r="DW100" s="1511" t="s">
        <v>8846</v>
      </c>
      <c r="EI100" s="2689" t="s">
        <v>10419</v>
      </c>
    </row>
    <row r="101" spans="1:139" ht="43.5">
      <c r="A101" s="532"/>
      <c r="D101" s="2539"/>
      <c r="H101" s="3442" t="s">
        <v>14403</v>
      </c>
      <c r="I101" s="3442" t="s">
        <v>3152</v>
      </c>
      <c r="J101" s="3442" t="s">
        <v>14403</v>
      </c>
      <c r="K101" s="3437" t="s">
        <v>10088</v>
      </c>
      <c r="L101" s="3437" t="s">
        <v>1216</v>
      </c>
      <c r="M101" s="3437" t="s">
        <v>4499</v>
      </c>
      <c r="N101" s="2514"/>
      <c r="AE101" s="2153" t="s">
        <v>5660</v>
      </c>
      <c r="AN101" s="3283" t="s">
        <v>2137</v>
      </c>
      <c r="AO101" s="3283" t="s">
        <v>2137</v>
      </c>
      <c r="AP101" s="3437" t="s">
        <v>2137</v>
      </c>
      <c r="AQ101" s="3283" t="s">
        <v>2137</v>
      </c>
      <c r="AR101" s="101" t="s">
        <v>8978</v>
      </c>
      <c r="AU101" s="2154" t="s">
        <v>1344</v>
      </c>
      <c r="AV101" s="2154"/>
      <c r="AW101" s="531" t="s">
        <v>5878</v>
      </c>
      <c r="AX101" s="531" t="s">
        <v>1344</v>
      </c>
      <c r="AY101" s="2091" t="s">
        <v>6142</v>
      </c>
      <c r="BH101" s="2406">
        <v>2607018122</v>
      </c>
      <c r="BI101" s="2409" t="s">
        <v>2429</v>
      </c>
      <c r="BJ101" s="2466">
        <v>117559</v>
      </c>
      <c r="BK101" s="530"/>
      <c r="BQ101" s="2744"/>
      <c r="BR101" s="2744"/>
      <c r="BU101" s="3126" t="s">
        <v>5799</v>
      </c>
      <c r="BV101" s="3082" t="str">
        <f t="shared" si="1"/>
        <v>{1241010стоимость</v>
      </c>
      <c r="BW101" s="101"/>
      <c r="BZ101" s="3112" t="s">
        <v>7083</v>
      </c>
      <c r="CA101" s="3113" t="s">
        <v>3868</v>
      </c>
      <c r="CS101" s="3437" t="s">
        <v>6262</v>
      </c>
      <c r="CT101" s="2299" t="s">
        <v>6576</v>
      </c>
      <c r="DA101" s="2558"/>
      <c r="DB101" s="2153" t="s">
        <v>7262</v>
      </c>
      <c r="DK101" s="2576">
        <v>83</v>
      </c>
      <c r="DL101" s="2178" t="s">
        <v>3475</v>
      </c>
      <c r="DM101" s="2575" t="s">
        <v>7500</v>
      </c>
      <c r="DO101" s="1892" t="s">
        <v>8403</v>
      </c>
      <c r="DP101" s="1892">
        <v>537298</v>
      </c>
      <c r="DW101" s="1511" t="s">
        <v>8847</v>
      </c>
      <c r="EI101" s="2689" t="s">
        <v>10420</v>
      </c>
    </row>
    <row r="102" spans="1:139" ht="43.5">
      <c r="A102" s="532"/>
      <c r="D102" s="2539"/>
      <c r="H102" s="3442" t="s">
        <v>14404</v>
      </c>
      <c r="I102" s="3442" t="s">
        <v>3152</v>
      </c>
      <c r="J102" s="3442" t="s">
        <v>14404</v>
      </c>
      <c r="K102" s="3437" t="s">
        <v>10089</v>
      </c>
      <c r="L102" s="3519" t="s">
        <v>14407</v>
      </c>
      <c r="M102" s="3437" t="s">
        <v>1468</v>
      </c>
      <c r="N102" s="2263"/>
      <c r="AE102" s="2153" t="s">
        <v>5661</v>
      </c>
      <c r="AN102" s="3283" t="s">
        <v>7681</v>
      </c>
      <c r="AO102" s="3283" t="s">
        <v>7681</v>
      </c>
      <c r="AP102" s="3437" t="s">
        <v>7681</v>
      </c>
      <c r="AQ102" s="3283" t="s">
        <v>7681</v>
      </c>
      <c r="AR102" s="101" t="s">
        <v>8979</v>
      </c>
      <c r="AU102" s="2154" t="s">
        <v>5867</v>
      </c>
      <c r="AV102" s="2154"/>
      <c r="AW102" s="531" t="s">
        <v>5879</v>
      </c>
      <c r="AX102" s="531" t="s">
        <v>5867</v>
      </c>
      <c r="AY102" s="2091" t="s">
        <v>6143</v>
      </c>
      <c r="BH102" s="2406">
        <v>2631031117</v>
      </c>
      <c r="BI102" s="2409" t="s">
        <v>2318</v>
      </c>
      <c r="BJ102" s="2466">
        <v>213770</v>
      </c>
      <c r="BK102" s="530"/>
      <c r="BQ102" s="511"/>
      <c r="BR102" s="511"/>
      <c r="BU102" s="3126" t="s">
        <v>5800</v>
      </c>
      <c r="BV102" s="3082" t="str">
        <f t="shared" si="1"/>
        <v>{1241020о акцизам</v>
      </c>
      <c r="BW102" s="101"/>
      <c r="BZ102" s="3112" t="s">
        <v>7002</v>
      </c>
      <c r="CA102" s="3113" t="s">
        <v>3896</v>
      </c>
      <c r="CS102" s="3437" t="s">
        <v>6263</v>
      </c>
      <c r="CT102" s="2299" t="s">
        <v>6577</v>
      </c>
      <c r="DA102" s="2558"/>
      <c r="DB102" s="2153" t="s">
        <v>7263</v>
      </c>
      <c r="DK102" s="2576" t="s">
        <v>2842</v>
      </c>
      <c r="DL102" s="2178" t="s">
        <v>3511</v>
      </c>
      <c r="DM102" s="2575" t="s">
        <v>7500</v>
      </c>
      <c r="DO102" s="1892" t="s">
        <v>8404</v>
      </c>
      <c r="DP102" s="1892">
        <v>547113</v>
      </c>
      <c r="DW102" s="1511" t="s">
        <v>8848</v>
      </c>
      <c r="EI102" s="2689" t="s">
        <v>10421</v>
      </c>
    </row>
    <row r="103" spans="1:139" ht="43.5">
      <c r="A103" s="532"/>
      <c r="D103" s="2539"/>
      <c r="H103" s="3442" t="s">
        <v>769</v>
      </c>
      <c r="I103" s="3442" t="s">
        <v>3152</v>
      </c>
      <c r="J103" s="3442" t="s">
        <v>769</v>
      </c>
      <c r="K103" s="3437" t="s">
        <v>3556</v>
      </c>
      <c r="L103" s="3437" t="s">
        <v>5478</v>
      </c>
      <c r="M103" s="3437" t="s">
        <v>4502</v>
      </c>
      <c r="N103" s="2263"/>
      <c r="AE103" s="2153" t="s">
        <v>5662</v>
      </c>
      <c r="AN103" s="3283" t="s">
        <v>7680</v>
      </c>
      <c r="AO103" s="3283" t="s">
        <v>7680</v>
      </c>
      <c r="AP103" s="3437" t="s">
        <v>7680</v>
      </c>
      <c r="AQ103" s="3283" t="s">
        <v>7680</v>
      </c>
      <c r="AR103" s="101" t="s">
        <v>8980</v>
      </c>
      <c r="AU103" s="2290" t="s">
        <v>6141</v>
      </c>
      <c r="AV103" s="2154"/>
      <c r="AW103" s="2091" t="s">
        <v>6150</v>
      </c>
      <c r="AX103" s="2091" t="s">
        <v>6141</v>
      </c>
      <c r="AY103" s="2091" t="s">
        <v>8663</v>
      </c>
      <c r="BH103" s="2406">
        <v>2721113043</v>
      </c>
      <c r="BI103" s="2409" t="s">
        <v>3595</v>
      </c>
      <c r="BJ103" s="2466">
        <v>117021</v>
      </c>
      <c r="BK103" s="530"/>
      <c r="BQ103" s="511"/>
      <c r="BR103" s="511"/>
      <c r="BU103" s="3126" t="s">
        <v>4813</v>
      </c>
      <c r="BV103" s="3082" t="str">
        <f t="shared" si="1"/>
        <v>{1241030еских лиц</v>
      </c>
      <c r="BW103" s="101"/>
      <c r="BZ103" s="3112" t="s">
        <v>7052</v>
      </c>
      <c r="CA103" s="3113" t="s">
        <v>3848</v>
      </c>
      <c r="CS103" s="3437" t="s">
        <v>1417</v>
      </c>
      <c r="CT103" s="2299" t="s">
        <v>6578</v>
      </c>
      <c r="DA103" s="2558"/>
      <c r="DB103" s="2153" t="s">
        <v>7264</v>
      </c>
      <c r="DK103" s="2576">
        <v>84</v>
      </c>
      <c r="DL103" s="2178" t="s">
        <v>3515</v>
      </c>
      <c r="DM103" s="2575" t="s">
        <v>8625</v>
      </c>
      <c r="DO103" s="1892" t="s">
        <v>8405</v>
      </c>
      <c r="DP103" s="1892">
        <v>547108</v>
      </c>
      <c r="DW103" s="1511" t="s">
        <v>8849</v>
      </c>
      <c r="EI103" s="2689" t="s">
        <v>10422</v>
      </c>
    </row>
    <row r="104" spans="1:139" ht="58">
      <c r="A104" s="532"/>
      <c r="D104" s="2539"/>
      <c r="H104" s="3442" t="s">
        <v>770</v>
      </c>
      <c r="I104" s="3442" t="s">
        <v>3152</v>
      </c>
      <c r="J104" s="3442" t="s">
        <v>770</v>
      </c>
      <c r="K104" s="3437" t="s">
        <v>3558</v>
      </c>
      <c r="L104" s="3437" t="s">
        <v>4715</v>
      </c>
      <c r="M104" s="3437" t="s">
        <v>3592</v>
      </c>
      <c r="N104" s="2263"/>
      <c r="AE104" s="2153" t="s">
        <v>5663</v>
      </c>
      <c r="AN104" s="3283" t="s">
        <v>2138</v>
      </c>
      <c r="AO104" s="3283" t="s">
        <v>2138</v>
      </c>
      <c r="AP104" s="3437" t="s">
        <v>2138</v>
      </c>
      <c r="AQ104" s="3283" t="s">
        <v>2138</v>
      </c>
      <c r="AR104" s="101" t="s">
        <v>8981</v>
      </c>
      <c r="AU104" s="2290" t="s">
        <v>6142</v>
      </c>
      <c r="AV104" s="2154"/>
      <c r="AW104" s="2091" t="s">
        <v>6151</v>
      </c>
      <c r="AX104" s="2091" t="s">
        <v>6142</v>
      </c>
      <c r="AY104" s="2091" t="s">
        <v>9819</v>
      </c>
      <c r="BH104" s="2406">
        <v>2722011291</v>
      </c>
      <c r="BI104" s="2409" t="s">
        <v>2038</v>
      </c>
      <c r="BJ104" s="2466">
        <v>190622</v>
      </c>
      <c r="BK104" s="530"/>
      <c r="BQ104" s="2744"/>
      <c r="BR104" s="2744"/>
      <c r="BU104" s="3126" t="s">
        <v>4814</v>
      </c>
      <c r="BV104" s="3082" t="str">
        <f t="shared" si="1"/>
        <v>{1241040ганизаций</v>
      </c>
      <c r="BW104" s="101"/>
      <c r="BZ104" s="3112" t="s">
        <v>7049</v>
      </c>
      <c r="CA104" s="3113" t="s">
        <v>3845</v>
      </c>
      <c r="CS104" s="3437" t="s">
        <v>1415</v>
      </c>
      <c r="CT104" s="2299" t="s">
        <v>6579</v>
      </c>
      <c r="DA104" s="2558"/>
      <c r="DB104" s="2153" t="s">
        <v>7265</v>
      </c>
      <c r="DK104" s="2576" t="s">
        <v>2843</v>
      </c>
      <c r="DL104" s="2178" t="s">
        <v>1801</v>
      </c>
      <c r="DM104" s="2575" t="s">
        <v>8625</v>
      </c>
      <c r="DO104" s="1892" t="s">
        <v>8279</v>
      </c>
      <c r="DP104" s="1892">
        <v>207764</v>
      </c>
      <c r="DW104" s="1511" t="s">
        <v>8850</v>
      </c>
      <c r="EI104" s="2689" t="s">
        <v>10423</v>
      </c>
    </row>
    <row r="105" spans="1:139" ht="67.400000000000006" customHeight="1">
      <c r="A105" s="532"/>
      <c r="D105" s="2539"/>
      <c r="H105" s="3442" t="s">
        <v>771</v>
      </c>
      <c r="I105" s="3442" t="s">
        <v>3104</v>
      </c>
      <c r="J105" s="3442" t="s">
        <v>771</v>
      </c>
      <c r="K105" s="3437" t="s">
        <v>3559</v>
      </c>
      <c r="M105" s="3437" t="s">
        <v>3594</v>
      </c>
      <c r="N105" s="2263"/>
      <c r="AE105" s="2153" t="s">
        <v>5664</v>
      </c>
      <c r="AN105" s="3283" t="s">
        <v>278</v>
      </c>
      <c r="AO105" s="3283" t="s">
        <v>278</v>
      </c>
      <c r="AP105" s="3437" t="s">
        <v>278</v>
      </c>
      <c r="AQ105" s="3283" t="s">
        <v>278</v>
      </c>
      <c r="AR105" s="101" t="s">
        <v>8982</v>
      </c>
      <c r="AU105" s="2290" t="s">
        <v>6143</v>
      </c>
      <c r="AV105" s="2154"/>
      <c r="AW105" s="2091" t="s">
        <v>6152</v>
      </c>
      <c r="AX105" s="2091" t="s">
        <v>8669</v>
      </c>
      <c r="AY105" s="2091" t="s">
        <v>10063</v>
      </c>
      <c r="BH105" s="2406">
        <v>2723015482</v>
      </c>
      <c r="BI105" s="2409" t="s">
        <v>2244</v>
      </c>
      <c r="BJ105" s="2466">
        <v>241289</v>
      </c>
      <c r="BK105" s="530"/>
      <c r="BQ105" s="511"/>
      <c r="BR105" s="511"/>
      <c r="BU105" s="3126" t="s">
        <v>3785</v>
      </c>
      <c r="BV105" s="3082" t="str">
        <f t="shared" si="1"/>
        <v>{1241050 ресурсов</v>
      </c>
      <c r="BW105" s="101"/>
      <c r="BZ105" s="3112" t="s">
        <v>7088</v>
      </c>
      <c r="CA105" s="3113" t="s">
        <v>3873</v>
      </c>
      <c r="CS105" s="3437" t="s">
        <v>1416</v>
      </c>
      <c r="CT105" s="2299" t="s">
        <v>6580</v>
      </c>
      <c r="DA105" s="2558"/>
      <c r="DB105" s="2153" t="s">
        <v>7266</v>
      </c>
      <c r="DK105" s="2576">
        <v>86</v>
      </c>
      <c r="DL105" s="2178" t="s">
        <v>5538</v>
      </c>
      <c r="DM105" s="2575" t="s">
        <v>7499</v>
      </c>
      <c r="DO105" s="1892" t="s">
        <v>8280</v>
      </c>
      <c r="DP105" s="1892">
        <v>212847</v>
      </c>
      <c r="DW105" s="1511" t="s">
        <v>8851</v>
      </c>
      <c r="EI105" s="2689" t="s">
        <v>10424</v>
      </c>
    </row>
    <row r="106" spans="1:139" ht="55.5" customHeight="1">
      <c r="A106" s="532"/>
      <c r="D106" s="2539"/>
      <c r="H106" s="3442" t="s">
        <v>772</v>
      </c>
      <c r="I106" s="3442" t="s">
        <v>3104</v>
      </c>
      <c r="J106" s="3442" t="s">
        <v>772</v>
      </c>
      <c r="K106" s="3437" t="s">
        <v>14428</v>
      </c>
      <c r="M106" s="3437" t="s">
        <v>4818</v>
      </c>
      <c r="N106" s="2263"/>
      <c r="AE106" s="2153" t="s">
        <v>6050</v>
      </c>
      <c r="AN106" s="3283" t="s">
        <v>6045</v>
      </c>
      <c r="AO106" s="3283" t="s">
        <v>6045</v>
      </c>
      <c r="AP106" s="3437" t="s">
        <v>6045</v>
      </c>
      <c r="AQ106" s="3283" t="s">
        <v>6045</v>
      </c>
      <c r="AR106" s="101" t="s">
        <v>8983</v>
      </c>
      <c r="AU106" s="2290" t="s">
        <v>8663</v>
      </c>
      <c r="AV106" s="2154"/>
      <c r="AW106" s="2091" t="s">
        <v>8667</v>
      </c>
      <c r="AX106" s="2091" t="s">
        <v>8663</v>
      </c>
      <c r="AY106" s="2091" t="s">
        <v>14527</v>
      </c>
      <c r="BH106" s="2406">
        <v>2901144562</v>
      </c>
      <c r="BI106" s="2409" t="s">
        <v>2731</v>
      </c>
      <c r="BJ106" s="2466">
        <v>276786</v>
      </c>
      <c r="BK106" s="530"/>
      <c r="BQ106" s="511"/>
      <c r="BR106" s="511"/>
      <c r="BU106" s="3126" t="s">
        <v>3786</v>
      </c>
      <c r="BV106" s="3082" t="str">
        <f t="shared" si="1"/>
        <v>{1241060му налогу</v>
      </c>
      <c r="BW106" s="101"/>
      <c r="BZ106" s="3112" t="s">
        <v>7024</v>
      </c>
      <c r="CA106" s="3113" t="s">
        <v>3820</v>
      </c>
      <c r="CS106" s="3437" t="s">
        <v>1464</v>
      </c>
      <c r="CT106" s="2299" t="s">
        <v>6581</v>
      </c>
      <c r="DA106" s="2558"/>
      <c r="DB106" s="2153" t="s">
        <v>7267</v>
      </c>
      <c r="DK106" s="2576">
        <v>90</v>
      </c>
      <c r="DL106" s="2178" t="s">
        <v>6312</v>
      </c>
      <c r="DM106" s="2575" t="s">
        <v>7494</v>
      </c>
      <c r="DO106" s="1892" t="s">
        <v>8281</v>
      </c>
      <c r="DP106" s="1892">
        <v>138907</v>
      </c>
      <c r="DW106" s="1511" t="s">
        <v>8852</v>
      </c>
      <c r="EI106" s="2689" t="s">
        <v>10425</v>
      </c>
    </row>
    <row r="107" spans="1:139" ht="38.5">
      <c r="A107" s="532"/>
      <c r="D107" s="2539"/>
      <c r="H107" s="3442" t="s">
        <v>773</v>
      </c>
      <c r="I107" s="3442" t="s">
        <v>3152</v>
      </c>
      <c r="J107" s="3442" t="s">
        <v>773</v>
      </c>
      <c r="K107" s="3437" t="s">
        <v>9900</v>
      </c>
      <c r="M107" s="3437" t="s">
        <v>4839</v>
      </c>
      <c r="N107" s="2263"/>
      <c r="AE107" s="2153" t="s">
        <v>5665</v>
      </c>
      <c r="AN107" s="3283" t="s">
        <v>6224</v>
      </c>
      <c r="AO107" s="3283" t="s">
        <v>6224</v>
      </c>
      <c r="AP107" s="3437" t="s">
        <v>6224</v>
      </c>
      <c r="AQ107" s="3283" t="s">
        <v>6224</v>
      </c>
      <c r="AR107" s="101" t="s">
        <v>8984</v>
      </c>
      <c r="AU107" s="2290" t="s">
        <v>9819</v>
      </c>
      <c r="AV107" s="2290"/>
      <c r="AW107" s="2091" t="s">
        <v>9825</v>
      </c>
      <c r="AX107" s="2091" t="s">
        <v>9819</v>
      </c>
      <c r="AY107" s="2744" t="s">
        <v>8105</v>
      </c>
      <c r="BH107" s="2406">
        <v>2983001700</v>
      </c>
      <c r="BI107" s="2409" t="s">
        <v>3607</v>
      </c>
      <c r="BJ107" s="2466">
        <v>192118</v>
      </c>
      <c r="BK107" s="530"/>
      <c r="BQ107" s="511"/>
      <c r="BR107" s="511"/>
      <c r="BU107" s="3126" t="s">
        <v>3787</v>
      </c>
      <c r="BV107" s="3082" t="str">
        <f t="shared" si="1"/>
        <v>{1241070я пошлина</v>
      </c>
      <c r="BW107" s="101"/>
      <c r="BZ107" s="3112" t="s">
        <v>7055</v>
      </c>
      <c r="CA107" s="3113" t="s">
        <v>3851</v>
      </c>
      <c r="CS107" s="3437" t="s">
        <v>1465</v>
      </c>
      <c r="CT107" s="2299" t="s">
        <v>6582</v>
      </c>
      <c r="DA107" s="2558"/>
      <c r="DB107" s="2153" t="s">
        <v>7268</v>
      </c>
      <c r="DK107" s="2576" t="s">
        <v>951</v>
      </c>
      <c r="DL107" s="2178" t="s">
        <v>3197</v>
      </c>
      <c r="DM107" s="2575" t="s">
        <v>7494</v>
      </c>
      <c r="DO107" s="1892" t="s">
        <v>8282</v>
      </c>
      <c r="DP107" s="1892">
        <v>273143</v>
      </c>
      <c r="DW107" s="1511" t="s">
        <v>8853</v>
      </c>
      <c r="EI107" s="2689" t="s">
        <v>10426</v>
      </c>
    </row>
    <row r="108" spans="1:139" ht="38.5">
      <c r="A108" s="532"/>
      <c r="D108" s="2539"/>
      <c r="H108" s="3442" t="s">
        <v>774</v>
      </c>
      <c r="I108" s="3442" t="s">
        <v>3104</v>
      </c>
      <c r="J108" s="3442" t="s">
        <v>774</v>
      </c>
      <c r="K108" s="3519" t="s">
        <v>14789</v>
      </c>
      <c r="M108" s="3437" t="s">
        <v>1418</v>
      </c>
      <c r="N108" s="2263"/>
      <c r="AE108" s="2153" t="s">
        <v>5666</v>
      </c>
      <c r="AN108" s="3283" t="s">
        <v>4511</v>
      </c>
      <c r="AO108" s="3283" t="s">
        <v>4511</v>
      </c>
      <c r="AP108" s="3437" t="s">
        <v>4511</v>
      </c>
      <c r="AQ108" s="3283" t="s">
        <v>4511</v>
      </c>
      <c r="AR108" s="101" t="s">
        <v>8985</v>
      </c>
      <c r="AU108" s="2290" t="s">
        <v>10063</v>
      </c>
      <c r="AV108" s="2290"/>
      <c r="AW108" s="2091" t="s">
        <v>10067</v>
      </c>
      <c r="AX108" s="2091" t="s">
        <v>10063</v>
      </c>
      <c r="AY108" s="2744" t="s">
        <v>8107</v>
      </c>
      <c r="BH108" s="2406">
        <v>3006006420</v>
      </c>
      <c r="BI108" s="2409" t="s">
        <v>2626</v>
      </c>
      <c r="BJ108" s="2466">
        <v>116936</v>
      </c>
      <c r="BK108" s="530"/>
      <c r="BQ108" s="2744"/>
      <c r="BR108" s="2744"/>
      <c r="BU108" s="3126" t="s">
        <v>3788</v>
      </c>
      <c r="BV108" s="3082" t="str">
        <f t="shared" si="1"/>
        <v>{1241080скопаемых</v>
      </c>
      <c r="BW108" s="101"/>
      <c r="BZ108" s="3112" t="s">
        <v>7051</v>
      </c>
      <c r="CA108" s="3113" t="s">
        <v>3847</v>
      </c>
      <c r="CS108" s="3437" t="s">
        <v>3568</v>
      </c>
      <c r="CT108" s="2299" t="s">
        <v>6583</v>
      </c>
      <c r="DA108" s="2558"/>
      <c r="DB108" s="2153" t="s">
        <v>7269</v>
      </c>
      <c r="DK108" s="2576" t="s">
        <v>5266</v>
      </c>
      <c r="DL108" s="2178" t="s">
        <v>5265</v>
      </c>
      <c r="DM108" s="2575" t="s">
        <v>7494</v>
      </c>
      <c r="DO108" s="1892" t="s">
        <v>8283</v>
      </c>
      <c r="DP108" s="1892">
        <v>150462</v>
      </c>
      <c r="DW108" s="1511" t="s">
        <v>8854</v>
      </c>
      <c r="EI108" s="2689" t="s">
        <v>10427</v>
      </c>
    </row>
    <row r="109" spans="1:139" ht="38.5">
      <c r="A109" s="532"/>
      <c r="D109" s="2539"/>
      <c r="H109" s="3442" t="s">
        <v>775</v>
      </c>
      <c r="I109" s="3442" t="s">
        <v>3104</v>
      </c>
      <c r="J109" s="3442" t="s">
        <v>775</v>
      </c>
      <c r="K109" s="3437" t="s">
        <v>14429</v>
      </c>
      <c r="M109" s="3437" t="s">
        <v>1419</v>
      </c>
      <c r="N109" s="2263"/>
      <c r="AE109" s="2153" t="s">
        <v>5667</v>
      </c>
      <c r="AN109" s="3283" t="s">
        <v>1206</v>
      </c>
      <c r="AO109" s="3283" t="s">
        <v>1206</v>
      </c>
      <c r="AP109" s="3437" t="s">
        <v>1206</v>
      </c>
      <c r="AQ109" s="3283" t="s">
        <v>1206</v>
      </c>
      <c r="AR109" s="101" t="s">
        <v>8986</v>
      </c>
      <c r="AU109" s="2290" t="s">
        <v>14527</v>
      </c>
      <c r="AV109" s="2290"/>
      <c r="AW109" s="2091" t="s">
        <v>14532</v>
      </c>
      <c r="AX109" s="2091" t="s">
        <v>14527</v>
      </c>
      <c r="AY109" s="2744" t="s">
        <v>8108</v>
      </c>
      <c r="BH109" s="2406">
        <v>3123054114</v>
      </c>
      <c r="BI109" s="2409" t="s">
        <v>4500</v>
      </c>
      <c r="BJ109" s="2466">
        <v>198586</v>
      </c>
      <c r="BK109" s="530"/>
      <c r="BQ109" s="511"/>
      <c r="BR109" s="511"/>
      <c r="BU109" s="3126" t="s">
        <v>3789</v>
      </c>
      <c r="BV109" s="3082" t="str">
        <f t="shared" si="1"/>
        <v>{1241090му налогу</v>
      </c>
      <c r="BW109" s="101"/>
      <c r="BZ109" s="3112" t="s">
        <v>7056</v>
      </c>
      <c r="CA109" s="3113" t="s">
        <v>3852</v>
      </c>
      <c r="CS109" s="3437" t="s">
        <v>3570</v>
      </c>
      <c r="CT109" s="2299" t="s">
        <v>6584</v>
      </c>
      <c r="DA109" s="2558"/>
      <c r="DB109" s="2153" t="s">
        <v>7270</v>
      </c>
      <c r="DK109" s="2576" t="s">
        <v>3525</v>
      </c>
      <c r="DL109" s="2178" t="s">
        <v>3202</v>
      </c>
      <c r="DM109" s="2575" t="s">
        <v>8625</v>
      </c>
      <c r="DO109" s="1892" t="s">
        <v>8284</v>
      </c>
      <c r="DP109" s="1892">
        <v>150676</v>
      </c>
      <c r="DW109" s="1511" t="s">
        <v>8855</v>
      </c>
      <c r="EI109" s="2689" t="s">
        <v>10428</v>
      </c>
    </row>
    <row r="110" spans="1:139" ht="43.5">
      <c r="A110" s="532"/>
      <c r="D110" s="2539"/>
      <c r="H110" s="3442" t="s">
        <v>776</v>
      </c>
      <c r="I110" s="3442" t="s">
        <v>3152</v>
      </c>
      <c r="J110" s="3442" t="s">
        <v>776</v>
      </c>
      <c r="K110" s="3437" t="s">
        <v>1407</v>
      </c>
      <c r="M110" s="3437" t="s">
        <v>1420</v>
      </c>
      <c r="N110" s="2263"/>
      <c r="AE110" s="2153" t="s">
        <v>5668</v>
      </c>
      <c r="AN110" s="3283" t="s">
        <v>1207</v>
      </c>
      <c r="AO110" s="3283" t="s">
        <v>1207</v>
      </c>
      <c r="AP110" s="3437" t="s">
        <v>1207</v>
      </c>
      <c r="AQ110" s="3283" t="s">
        <v>1207</v>
      </c>
      <c r="AR110" s="101" t="s">
        <v>8987</v>
      </c>
      <c r="AU110" s="2154" t="s">
        <v>8105</v>
      </c>
      <c r="AV110" s="2154"/>
      <c r="AW110" s="531" t="s">
        <v>5347</v>
      </c>
      <c r="AX110" s="531" t="s">
        <v>8105</v>
      </c>
      <c r="AY110" s="2744" t="s">
        <v>8109</v>
      </c>
      <c r="BH110" s="2406">
        <v>3124006280</v>
      </c>
      <c r="BI110" s="2409" t="s">
        <v>2940</v>
      </c>
      <c r="BJ110" s="2466">
        <v>152530</v>
      </c>
      <c r="BK110" s="530"/>
      <c r="BQ110" s="2544"/>
      <c r="BR110" s="2544"/>
      <c r="BU110" s="3126" t="s">
        <v>3790</v>
      </c>
      <c r="BV110" s="3082" t="str">
        <f t="shared" si="1"/>
        <v>{1241100обложения</v>
      </c>
      <c r="BW110" s="101"/>
      <c r="BZ110" s="3112" t="s">
        <v>6981</v>
      </c>
      <c r="CA110" s="3113" t="s">
        <v>2871</v>
      </c>
      <c r="CS110" s="3437" t="s">
        <v>4815</v>
      </c>
      <c r="CT110" s="2299" t="s">
        <v>6585</v>
      </c>
      <c r="DA110" s="2558"/>
      <c r="DB110" s="2153" t="s">
        <v>7271</v>
      </c>
      <c r="DK110" s="2576" t="s">
        <v>5436</v>
      </c>
      <c r="DL110" s="2178" t="s">
        <v>1366</v>
      </c>
      <c r="DM110" s="2575" t="s">
        <v>8625</v>
      </c>
      <c r="DO110" s="1892" t="s">
        <v>8285</v>
      </c>
      <c r="DP110" s="1892">
        <v>112466</v>
      </c>
      <c r="DW110" s="1511" t="s">
        <v>8856</v>
      </c>
      <c r="EI110" s="2689" t="s">
        <v>10429</v>
      </c>
    </row>
    <row r="111" spans="1:139" ht="58">
      <c r="A111" s="532"/>
      <c r="D111" s="2539"/>
      <c r="H111" s="3442" t="s">
        <v>777</v>
      </c>
      <c r="I111" s="3442" t="s">
        <v>3152</v>
      </c>
      <c r="J111" s="3442" t="s">
        <v>777</v>
      </c>
      <c r="K111" s="3437" t="s">
        <v>1408</v>
      </c>
      <c r="M111" s="3437" t="s">
        <v>1421</v>
      </c>
      <c r="N111" s="2263"/>
      <c r="AC111" s="2514"/>
      <c r="AE111" s="2153" t="s">
        <v>5669</v>
      </c>
      <c r="AN111" s="3283" t="s">
        <v>1208</v>
      </c>
      <c r="AO111" s="3283" t="s">
        <v>1208</v>
      </c>
      <c r="AP111" s="3437" t="s">
        <v>1208</v>
      </c>
      <c r="AQ111" s="3283" t="s">
        <v>1208</v>
      </c>
      <c r="AR111" s="101" t="s">
        <v>8988</v>
      </c>
      <c r="AU111" s="2154" t="s">
        <v>8107</v>
      </c>
      <c r="AV111" s="2154"/>
      <c r="AW111" s="531" t="s">
        <v>5348</v>
      </c>
      <c r="AX111" s="531" t="s">
        <v>8107</v>
      </c>
      <c r="AY111" s="2744" t="s">
        <v>8110</v>
      </c>
      <c r="BC111" s="2744"/>
      <c r="BH111" s="2406">
        <v>3234050732</v>
      </c>
      <c r="BI111" s="2409" t="s">
        <v>1922</v>
      </c>
      <c r="BJ111" s="2466">
        <v>222802</v>
      </c>
      <c r="BK111" s="530"/>
      <c r="BQ111" s="3083"/>
      <c r="BR111" s="3083"/>
      <c r="BU111" s="3126" t="s">
        <v>3791</v>
      </c>
      <c r="BV111" s="3082" t="str">
        <f t="shared" si="1"/>
        <v>{1241110ный доход</v>
      </c>
      <c r="BW111" s="101"/>
      <c r="BZ111" s="3112" t="s">
        <v>7058</v>
      </c>
      <c r="CA111" s="3113" t="s">
        <v>3854</v>
      </c>
      <c r="CS111" s="3437" t="s">
        <v>4838</v>
      </c>
      <c r="CT111" s="2299" t="s">
        <v>6586</v>
      </c>
      <c r="DA111" s="2558"/>
      <c r="DB111" s="2153" t="s">
        <v>7272</v>
      </c>
      <c r="DK111" s="2576" t="s">
        <v>3526</v>
      </c>
      <c r="DL111" s="2178" t="s">
        <v>3210</v>
      </c>
      <c r="DM111" s="2575" t="s">
        <v>8625</v>
      </c>
      <c r="DO111" s="1892" t="s">
        <v>8286</v>
      </c>
      <c r="DP111" s="1892">
        <v>161571</v>
      </c>
      <c r="DW111" s="1511" t="s">
        <v>8857</v>
      </c>
      <c r="EI111" s="2689" t="s">
        <v>10430</v>
      </c>
    </row>
    <row r="112" spans="1:139" ht="38.5">
      <c r="A112" s="532"/>
      <c r="D112" s="2539"/>
      <c r="H112" s="3442" t="s">
        <v>1211</v>
      </c>
      <c r="I112" s="3442" t="s">
        <v>3104</v>
      </c>
      <c r="J112" s="3442" t="s">
        <v>1211</v>
      </c>
      <c r="K112" s="3437" t="s">
        <v>1409</v>
      </c>
      <c r="M112" s="3437" t="s">
        <v>1422</v>
      </c>
      <c r="N112" s="2263"/>
      <c r="AE112" s="2153" t="s">
        <v>3196</v>
      </c>
      <c r="AF112" s="2744"/>
      <c r="AN112" s="3283" t="s">
        <v>1209</v>
      </c>
      <c r="AO112" s="3283" t="s">
        <v>1209</v>
      </c>
      <c r="AP112" s="3437" t="s">
        <v>1209</v>
      </c>
      <c r="AQ112" s="3283" t="s">
        <v>1209</v>
      </c>
      <c r="AR112" s="101" t="s">
        <v>8989</v>
      </c>
      <c r="AU112" s="2154" t="s">
        <v>8108</v>
      </c>
      <c r="AV112" s="2154"/>
      <c r="AW112" s="531" t="s">
        <v>5349</v>
      </c>
      <c r="AX112" s="531" t="s">
        <v>8108</v>
      </c>
      <c r="AY112" s="2744" t="s">
        <v>8111</v>
      </c>
      <c r="BH112" s="2406">
        <v>3250523954</v>
      </c>
      <c r="BI112" s="2409" t="s">
        <v>2727</v>
      </c>
      <c r="BJ112" s="2466">
        <v>298753</v>
      </c>
      <c r="BK112" s="530"/>
      <c r="BP112" s="3083"/>
      <c r="BQ112" s="3083"/>
      <c r="BR112" s="3083"/>
      <c r="BT112" s="3083"/>
      <c r="BU112" s="3126" t="s">
        <v>3792</v>
      </c>
      <c r="BV112" s="3082" t="str">
        <f t="shared" si="1"/>
        <v>{1241120му налогу</v>
      </c>
      <c r="BW112" s="101"/>
      <c r="BZ112" s="3112" t="s">
        <v>7016</v>
      </c>
      <c r="CA112" s="3113" t="s">
        <v>2880</v>
      </c>
      <c r="CP112" s="2198"/>
      <c r="CS112" s="3437" t="s">
        <v>14430</v>
      </c>
      <c r="CT112" s="2299" t="s">
        <v>6587</v>
      </c>
      <c r="DA112" s="2558"/>
      <c r="DB112" s="2153" t="s">
        <v>7273</v>
      </c>
      <c r="DD112" s="3083"/>
      <c r="DK112" s="2576" t="s">
        <v>5437</v>
      </c>
      <c r="DL112" s="2178" t="s">
        <v>1367</v>
      </c>
      <c r="DM112" s="2575" t="s">
        <v>8625</v>
      </c>
      <c r="DO112" s="1892" t="s">
        <v>8287</v>
      </c>
      <c r="DP112" s="1892">
        <v>150691</v>
      </c>
      <c r="DW112" s="1511" t="s">
        <v>8858</v>
      </c>
      <c r="EI112" s="2689" t="s">
        <v>10431</v>
      </c>
    </row>
    <row r="113" spans="1:139" ht="38.5">
      <c r="A113" s="532"/>
      <c r="D113" s="2539"/>
      <c r="H113" s="3442" t="s">
        <v>1212</v>
      </c>
      <c r="I113" s="3442" t="s">
        <v>3104</v>
      </c>
      <c r="J113" s="3442" t="s">
        <v>1212</v>
      </c>
      <c r="K113" s="3437" t="s">
        <v>1410</v>
      </c>
      <c r="M113" s="3437" t="s">
        <v>1423</v>
      </c>
      <c r="N113" s="2263"/>
      <c r="AN113" s="3283" t="s">
        <v>1210</v>
      </c>
      <c r="AO113" s="3283" t="s">
        <v>1210</v>
      </c>
      <c r="AP113" s="3437" t="s">
        <v>1210</v>
      </c>
      <c r="AQ113" s="3283" t="s">
        <v>1210</v>
      </c>
      <c r="AR113" s="101" t="s">
        <v>8990</v>
      </c>
      <c r="AU113" s="2154" t="s">
        <v>8109</v>
      </c>
      <c r="AV113" s="2154"/>
      <c r="AW113" s="531" t="s">
        <v>5350</v>
      </c>
      <c r="AX113" s="531" t="s">
        <v>8109</v>
      </c>
      <c r="AY113" s="2744" t="s">
        <v>5337</v>
      </c>
      <c r="BH113" s="2406">
        <v>3302006519</v>
      </c>
      <c r="BI113" s="2409" t="s">
        <v>1953</v>
      </c>
      <c r="BJ113" s="2466">
        <v>241267</v>
      </c>
      <c r="BK113" s="530"/>
      <c r="BQ113" s="2446"/>
      <c r="BR113" s="2446"/>
      <c r="BU113" s="3126" t="s">
        <v>3793</v>
      </c>
      <c r="BV113" s="3082" t="str">
        <f t="shared" si="1"/>
        <v>{1241130ганизаций</v>
      </c>
      <c r="BW113" s="101"/>
      <c r="BZ113" s="3112" t="s">
        <v>6938</v>
      </c>
      <c r="CA113" s="3113" t="s">
        <v>3752</v>
      </c>
      <c r="CP113" s="2198"/>
      <c r="CS113" s="3437" t="s">
        <v>14431</v>
      </c>
      <c r="CT113" s="2299" t="s">
        <v>6588</v>
      </c>
      <c r="DA113" s="2558"/>
      <c r="DB113" s="2153" t="s">
        <v>7274</v>
      </c>
      <c r="DK113" s="2578" t="s">
        <v>5919</v>
      </c>
      <c r="DL113" s="2178" t="s">
        <v>5910</v>
      </c>
      <c r="DM113" s="2575" t="s">
        <v>7494</v>
      </c>
      <c r="DO113" s="1892" t="s">
        <v>8288</v>
      </c>
      <c r="DP113" s="1892">
        <v>198840</v>
      </c>
      <c r="DW113" s="1511">
        <v>97</v>
      </c>
      <c r="EI113" s="2689" t="s">
        <v>10432</v>
      </c>
    </row>
    <row r="114" spans="1:139" ht="51">
      <c r="A114" s="532"/>
      <c r="D114" s="2539"/>
      <c r="H114" s="3442" t="s">
        <v>887</v>
      </c>
      <c r="I114" s="3442" t="s">
        <v>3152</v>
      </c>
      <c r="J114" s="3442" t="s">
        <v>887</v>
      </c>
      <c r="K114" s="3437" t="s">
        <v>1411</v>
      </c>
      <c r="M114" s="3437" t="s">
        <v>1424</v>
      </c>
      <c r="N114" s="2263"/>
      <c r="AN114" s="3283" t="s">
        <v>5929</v>
      </c>
      <c r="AO114" s="3283" t="s">
        <v>5929</v>
      </c>
      <c r="AP114" s="3437" t="s">
        <v>5929</v>
      </c>
      <c r="AQ114" s="3283" t="s">
        <v>5929</v>
      </c>
      <c r="AR114" s="101" t="s">
        <v>10111</v>
      </c>
      <c r="AU114" s="2154" t="s">
        <v>8110</v>
      </c>
      <c r="AV114" s="2154"/>
      <c r="AW114" s="531" t="s">
        <v>5351</v>
      </c>
      <c r="AX114" s="531" t="s">
        <v>8110</v>
      </c>
      <c r="AY114" s="2744" t="s">
        <v>1345</v>
      </c>
      <c r="BH114" s="2406">
        <v>3305009927</v>
      </c>
      <c r="BI114" s="2409" t="s">
        <v>2522</v>
      </c>
      <c r="BJ114" s="2466">
        <v>270445</v>
      </c>
      <c r="BK114" s="530"/>
      <c r="BQ114" s="2446"/>
      <c r="BR114" s="2446"/>
      <c r="BU114" s="3126" t="s">
        <v>3794</v>
      </c>
      <c r="BV114" s="3082" t="str">
        <f t="shared" si="1"/>
        <v>{1241140му налогу</v>
      </c>
      <c r="BW114" s="101"/>
      <c r="BZ114" s="3112" t="s">
        <v>7061</v>
      </c>
      <c r="CA114" s="3113" t="s">
        <v>3857</v>
      </c>
      <c r="CP114" s="2198"/>
      <c r="CS114" s="3437" t="s">
        <v>3574</v>
      </c>
      <c r="CT114" s="2299" t="s">
        <v>6589</v>
      </c>
      <c r="DA114" s="2558"/>
      <c r="DB114" s="2153" t="s">
        <v>7275</v>
      </c>
      <c r="DK114" s="2576" t="s">
        <v>5269</v>
      </c>
      <c r="DL114" s="2178" t="s">
        <v>3334</v>
      </c>
      <c r="DM114" s="2575" t="s">
        <v>7495</v>
      </c>
      <c r="DO114" s="1892" t="s">
        <v>8289</v>
      </c>
      <c r="DP114" s="1892">
        <v>205503</v>
      </c>
      <c r="DW114" s="1511" t="s">
        <v>4644</v>
      </c>
      <c r="EI114" s="2689" t="s">
        <v>10433</v>
      </c>
    </row>
    <row r="115" spans="1:139" ht="43.5">
      <c r="A115" s="532"/>
      <c r="D115" s="2539"/>
      <c r="H115" s="3442" t="s">
        <v>6843</v>
      </c>
      <c r="I115" s="3442" t="s">
        <v>3104</v>
      </c>
      <c r="J115" s="3442" t="s">
        <v>6843</v>
      </c>
      <c r="K115" s="3437" t="s">
        <v>1412</v>
      </c>
      <c r="M115" s="3437" t="s">
        <v>1425</v>
      </c>
      <c r="N115" s="2263"/>
      <c r="AN115" s="3283" t="s">
        <v>6834</v>
      </c>
      <c r="AO115" s="3283" t="s">
        <v>6834</v>
      </c>
      <c r="AP115" s="3437" t="s">
        <v>6834</v>
      </c>
      <c r="AQ115" s="3283" t="s">
        <v>6834</v>
      </c>
      <c r="AR115" s="101" t="s">
        <v>8991</v>
      </c>
      <c r="AU115" s="2154" t="s">
        <v>8111</v>
      </c>
      <c r="AV115" s="2154"/>
      <c r="AW115" s="531" t="s">
        <v>5352</v>
      </c>
      <c r="AX115" s="531" t="s">
        <v>8111</v>
      </c>
      <c r="AY115" s="2744" t="s">
        <v>5868</v>
      </c>
      <c r="BH115" s="2406">
        <v>3305015705</v>
      </c>
      <c r="BI115" s="2409" t="s">
        <v>2462</v>
      </c>
      <c r="BJ115" s="2466">
        <v>238783</v>
      </c>
      <c r="BK115" s="530"/>
      <c r="BQ115" s="2446"/>
      <c r="BR115" s="2446"/>
      <c r="BU115" s="3126" t="s">
        <v>3795</v>
      </c>
      <c r="BV115" s="3082" t="str">
        <f t="shared" si="1"/>
        <v>{1241150ибыль КГН</v>
      </c>
      <c r="BW115" s="101"/>
      <c r="BZ115" s="3112" t="s">
        <v>7063</v>
      </c>
      <c r="CA115" s="3113" t="s">
        <v>3859</v>
      </c>
      <c r="CP115" s="3083"/>
      <c r="CS115" s="3437" t="s">
        <v>3576</v>
      </c>
      <c r="CT115" s="2299" t="s">
        <v>6590</v>
      </c>
      <c r="CV115" s="3083"/>
      <c r="DA115" s="2558"/>
      <c r="DB115" s="2153" t="s">
        <v>7276</v>
      </c>
      <c r="DK115" s="2576">
        <v>96</v>
      </c>
      <c r="DL115" s="2178" t="s">
        <v>5185</v>
      </c>
      <c r="DM115" s="2575" t="s">
        <v>7501</v>
      </c>
      <c r="DO115" s="1892" t="s">
        <v>8290</v>
      </c>
      <c r="DP115" s="1892">
        <v>398413</v>
      </c>
      <c r="DW115" s="1511" t="s">
        <v>8706</v>
      </c>
      <c r="EI115" s="2689" t="s">
        <v>10434</v>
      </c>
    </row>
    <row r="116" spans="1:139" ht="63.5">
      <c r="A116" s="532"/>
      <c r="D116" s="2539"/>
      <c r="H116" s="3442" t="s">
        <v>7647</v>
      </c>
      <c r="I116" s="3442" t="s">
        <v>3104</v>
      </c>
      <c r="J116" s="3442" t="s">
        <v>7647</v>
      </c>
      <c r="K116" s="3437" t="s">
        <v>1413</v>
      </c>
      <c r="M116" s="3437" t="s">
        <v>1426</v>
      </c>
      <c r="N116" s="2263"/>
      <c r="AN116" s="3283" t="s">
        <v>7679</v>
      </c>
      <c r="AO116" s="3283" t="s">
        <v>7679</v>
      </c>
      <c r="AP116" s="3437" t="s">
        <v>7679</v>
      </c>
      <c r="AQ116" s="3283" t="s">
        <v>7679</v>
      </c>
      <c r="AR116" s="101" t="s">
        <v>8992</v>
      </c>
      <c r="AU116" s="2154" t="s">
        <v>5337</v>
      </c>
      <c r="AV116" s="2154"/>
      <c r="AW116" s="531" t="s">
        <v>5353</v>
      </c>
      <c r="AX116" s="531" t="s">
        <v>5337</v>
      </c>
      <c r="AY116" s="2091" t="s">
        <v>6144</v>
      </c>
      <c r="BH116" s="2406">
        <v>3305016071</v>
      </c>
      <c r="BI116" s="2409" t="s">
        <v>2526</v>
      </c>
      <c r="BJ116" s="2466">
        <v>270442</v>
      </c>
      <c r="BK116" s="530"/>
      <c r="BQ116" s="2448"/>
      <c r="BR116" s="3083"/>
      <c r="BT116" s="3083"/>
      <c r="BU116" s="3126" t="s">
        <v>6743</v>
      </c>
      <c r="BV116" s="3082" t="str">
        <f t="shared" si="1"/>
        <v>{1241161е объекты</v>
      </c>
      <c r="BW116" s="101"/>
      <c r="BZ116" s="3112" t="s">
        <v>7069</v>
      </c>
      <c r="CA116" s="3113" t="s">
        <v>3865</v>
      </c>
      <c r="CP116" s="2448"/>
      <c r="CS116" s="3437" t="s">
        <v>3578</v>
      </c>
      <c r="CT116" s="2299" t="s">
        <v>6591</v>
      </c>
      <c r="CV116" s="2448"/>
      <c r="DA116" s="2558"/>
      <c r="DB116" s="2153" t="s">
        <v>7277</v>
      </c>
      <c r="DK116" s="2576" t="s">
        <v>5264</v>
      </c>
      <c r="DL116" s="2178" t="s">
        <v>6166</v>
      </c>
      <c r="DM116" s="2575" t="s">
        <v>7501</v>
      </c>
      <c r="DO116" s="1892" t="s">
        <v>8291</v>
      </c>
      <c r="DP116" s="1892">
        <v>105425</v>
      </c>
      <c r="DW116" s="1511" t="s">
        <v>8861</v>
      </c>
      <c r="EI116" s="2689" t="s">
        <v>10435</v>
      </c>
    </row>
    <row r="117" spans="1:139" ht="38.5">
      <c r="A117" s="532"/>
      <c r="D117" s="2539"/>
      <c r="H117" s="3442" t="s">
        <v>10092</v>
      </c>
      <c r="I117" s="3442" t="s">
        <v>3152</v>
      </c>
      <c r="J117" s="3442" t="s">
        <v>10092</v>
      </c>
      <c r="K117" s="3437" t="s">
        <v>1414</v>
      </c>
      <c r="M117" s="3437" t="s">
        <v>8734</v>
      </c>
      <c r="N117" s="2263"/>
      <c r="AN117" s="3283" t="s">
        <v>1310</v>
      </c>
      <c r="AO117" s="3283" t="s">
        <v>1310</v>
      </c>
      <c r="AP117" s="3437" t="s">
        <v>1310</v>
      </c>
      <c r="AQ117" s="3283" t="s">
        <v>1310</v>
      </c>
      <c r="AR117" s="101" t="s">
        <v>8993</v>
      </c>
      <c r="AU117" s="2154" t="s">
        <v>1345</v>
      </c>
      <c r="AV117" s="2154"/>
      <c r="AW117" s="531" t="s">
        <v>5354</v>
      </c>
      <c r="AX117" s="531" t="s">
        <v>1345</v>
      </c>
      <c r="AY117" s="2091" t="s">
        <v>6145</v>
      </c>
      <c r="BH117" s="2406">
        <v>3305039287</v>
      </c>
      <c r="BI117" s="2409" t="s">
        <v>1864</v>
      </c>
      <c r="BJ117" s="2466">
        <v>270774</v>
      </c>
      <c r="BK117" s="530"/>
      <c r="BQ117" s="2446"/>
      <c r="BR117" s="2446"/>
      <c r="BU117" s="3126" t="s">
        <v>6744</v>
      </c>
      <c r="BV117" s="3082" t="str">
        <f t="shared" si="1"/>
        <v>{1241162ый воздух</v>
      </c>
      <c r="BW117" s="101"/>
      <c r="BZ117" s="3112" t="s">
        <v>6953</v>
      </c>
      <c r="CA117" s="3113" t="s">
        <v>3767</v>
      </c>
      <c r="CP117" s="2448"/>
      <c r="CS117" s="3437" t="s">
        <v>4816</v>
      </c>
      <c r="CT117" s="2299" t="s">
        <v>6592</v>
      </c>
      <c r="CV117" s="2448"/>
      <c r="DA117" s="2558"/>
      <c r="DB117" s="2153" t="s">
        <v>7278</v>
      </c>
      <c r="DK117" s="2576">
        <v>97</v>
      </c>
      <c r="DL117" s="2178" t="s">
        <v>2234</v>
      </c>
      <c r="DM117" s="2575" t="s">
        <v>14512</v>
      </c>
      <c r="DO117" s="1892" t="s">
        <v>8292</v>
      </c>
      <c r="DP117" s="1892">
        <v>306466</v>
      </c>
      <c r="EI117" s="2689" t="s">
        <v>10436</v>
      </c>
    </row>
    <row r="118" spans="1:139" ht="38.5">
      <c r="A118" s="532"/>
      <c r="D118" s="2540"/>
      <c r="H118" s="3442" t="s">
        <v>1213</v>
      </c>
      <c r="I118" s="3442" t="s">
        <v>3104</v>
      </c>
      <c r="J118" s="3442" t="s">
        <v>1213</v>
      </c>
      <c r="K118" s="3437" t="s">
        <v>1463</v>
      </c>
      <c r="M118" s="3437" t="s">
        <v>8735</v>
      </c>
      <c r="N118" s="2263"/>
      <c r="AN118" s="3283" t="s">
        <v>6889</v>
      </c>
      <c r="AO118" s="3283" t="s">
        <v>6889</v>
      </c>
      <c r="AP118" s="3437" t="s">
        <v>6889</v>
      </c>
      <c r="AQ118" s="3283" t="s">
        <v>6889</v>
      </c>
      <c r="AR118" s="101" t="s">
        <v>8994</v>
      </c>
      <c r="AU118" s="2154" t="s">
        <v>5868</v>
      </c>
      <c r="AV118" s="2154"/>
      <c r="AW118" s="562" t="s">
        <v>5355</v>
      </c>
      <c r="AX118" s="531" t="s">
        <v>5868</v>
      </c>
      <c r="AY118" s="2091" t="s">
        <v>6146</v>
      </c>
      <c r="BH118" s="2405">
        <v>3305709037</v>
      </c>
      <c r="BI118" s="2405" t="s">
        <v>415</v>
      </c>
      <c r="BJ118" s="2466">
        <v>172959</v>
      </c>
      <c r="BK118" s="530"/>
      <c r="BQ118" s="3083"/>
      <c r="BR118" s="3083"/>
      <c r="BU118" s="3126" t="s">
        <v>6745</v>
      </c>
      <c r="BV118" s="3082" t="str">
        <f t="shared" si="1"/>
        <v>{1241163требления</v>
      </c>
      <c r="BW118" s="101"/>
      <c r="BZ118" s="3112" t="s">
        <v>7067</v>
      </c>
      <c r="CA118" s="3113" t="s">
        <v>3863</v>
      </c>
      <c r="CP118" s="2198"/>
      <c r="CS118" s="3437" t="s">
        <v>3583</v>
      </c>
      <c r="CT118" s="2299" t="s">
        <v>6593</v>
      </c>
      <c r="DA118" s="2558"/>
      <c r="DB118" s="2153" t="s">
        <v>7279</v>
      </c>
      <c r="DK118" s="2576" t="s">
        <v>2845</v>
      </c>
      <c r="DL118" s="2178" t="s">
        <v>5190</v>
      </c>
      <c r="DM118" s="2575" t="s">
        <v>7501</v>
      </c>
      <c r="DO118" s="1892" t="s">
        <v>8293</v>
      </c>
      <c r="DP118" s="1892">
        <v>304844</v>
      </c>
      <c r="EI118" s="2689" t="s">
        <v>10437</v>
      </c>
    </row>
    <row r="119" spans="1:139" ht="101.5">
      <c r="A119" s="532"/>
      <c r="D119" s="2540"/>
      <c r="H119" s="3442" t="s">
        <v>2304</v>
      </c>
      <c r="I119" s="3442" t="s">
        <v>3104</v>
      </c>
      <c r="J119" s="3442" t="s">
        <v>2304</v>
      </c>
      <c r="K119" s="3437" t="s">
        <v>6262</v>
      </c>
      <c r="M119" s="3437" t="s">
        <v>8736</v>
      </c>
      <c r="N119" s="2263"/>
      <c r="AN119" s="3283" t="s">
        <v>1311</v>
      </c>
      <c r="AO119" s="3283" t="s">
        <v>1311</v>
      </c>
      <c r="AP119" s="3437" t="s">
        <v>1311</v>
      </c>
      <c r="AQ119" s="3283" t="s">
        <v>1311</v>
      </c>
      <c r="AR119" s="101" t="s">
        <v>8995</v>
      </c>
      <c r="AU119" s="2290" t="s">
        <v>6144</v>
      </c>
      <c r="AV119" s="2290"/>
      <c r="AW119" s="562" t="s">
        <v>5356</v>
      </c>
      <c r="AX119" s="2091" t="s">
        <v>6144</v>
      </c>
      <c r="AY119" s="2091" t="s">
        <v>8664</v>
      </c>
      <c r="BH119" s="2405">
        <v>3305709196</v>
      </c>
      <c r="BI119" s="2405" t="s">
        <v>1618</v>
      </c>
      <c r="BJ119" s="2466">
        <v>199315</v>
      </c>
      <c r="BK119" s="530"/>
      <c r="BQ119" s="2446"/>
      <c r="BR119" s="2446"/>
      <c r="BU119" s="3126" t="s">
        <v>6746</v>
      </c>
      <c r="BV119" s="3082" t="str">
        <f t="shared" si="1"/>
        <v>{1241164горизонты</v>
      </c>
      <c r="BW119" s="101"/>
      <c r="BZ119" s="3112" t="s">
        <v>7027</v>
      </c>
      <c r="CA119" s="3113" t="s">
        <v>3823</v>
      </c>
      <c r="CP119" s="2448"/>
      <c r="CS119" s="3437" t="s">
        <v>7139</v>
      </c>
      <c r="CT119" s="2299" t="s">
        <v>6594</v>
      </c>
      <c r="CV119" s="2448"/>
      <c r="DA119" s="2558"/>
      <c r="DB119" s="2153" t="s">
        <v>7280</v>
      </c>
      <c r="DK119" s="2576" t="s">
        <v>2846</v>
      </c>
      <c r="DL119" s="2178" t="s">
        <v>5208</v>
      </c>
      <c r="DM119" s="2575" t="s">
        <v>7501</v>
      </c>
      <c r="DO119" s="1892" t="s">
        <v>8294</v>
      </c>
      <c r="DP119" s="1892">
        <v>304843</v>
      </c>
      <c r="EI119" s="2689" t="s">
        <v>10438</v>
      </c>
    </row>
    <row r="120" spans="1:139" ht="63.5">
      <c r="A120" s="532"/>
      <c r="D120" s="2540"/>
      <c r="H120" s="3442" t="s">
        <v>1214</v>
      </c>
      <c r="I120" s="3442" t="s">
        <v>3152</v>
      </c>
      <c r="J120" s="3442" t="s">
        <v>1214</v>
      </c>
      <c r="K120" s="3437" t="s">
        <v>6263</v>
      </c>
      <c r="M120" s="3437" t="s">
        <v>14433</v>
      </c>
      <c r="N120" s="2263"/>
      <c r="AN120" s="3283" t="s">
        <v>1312</v>
      </c>
      <c r="AO120" s="3283" t="s">
        <v>1312</v>
      </c>
      <c r="AP120" s="3437" t="s">
        <v>1312</v>
      </c>
      <c r="AQ120" s="3283" t="s">
        <v>1312</v>
      </c>
      <c r="AR120" s="101" t="s">
        <v>8996</v>
      </c>
      <c r="AU120" s="2290" t="s">
        <v>6145</v>
      </c>
      <c r="AV120" s="2290"/>
      <c r="AW120" s="562" t="s">
        <v>5882</v>
      </c>
      <c r="AX120" s="2091" t="s">
        <v>6145</v>
      </c>
      <c r="AY120" s="2091" t="s">
        <v>9821</v>
      </c>
      <c r="BH120" s="2406">
        <v>3315010777</v>
      </c>
      <c r="BI120" s="2409" t="s">
        <v>2706</v>
      </c>
      <c r="BJ120" s="2466">
        <v>292461</v>
      </c>
      <c r="BK120" s="530"/>
      <c r="BQ120" s="3083"/>
      <c r="BR120" s="3083"/>
      <c r="BU120" s="3126" t="s">
        <v>6747</v>
      </c>
      <c r="BV120" s="3082" t="str">
        <f t="shared" si="1"/>
        <v>{1241171е объекты</v>
      </c>
      <c r="BW120" s="101"/>
      <c r="BZ120" s="3112" t="s">
        <v>7071</v>
      </c>
      <c r="CA120" s="3113" t="s">
        <v>3867</v>
      </c>
      <c r="CP120" s="2198"/>
      <c r="CS120" s="3437" t="s">
        <v>7140</v>
      </c>
      <c r="CT120" s="2299" t="s">
        <v>6595</v>
      </c>
      <c r="DA120" s="2558"/>
      <c r="DB120" s="2153" t="s">
        <v>7281</v>
      </c>
      <c r="DK120" s="2576" t="s">
        <v>2848</v>
      </c>
      <c r="DL120" s="2178" t="s">
        <v>5210</v>
      </c>
      <c r="DM120" s="2575" t="s">
        <v>7501</v>
      </c>
      <c r="DO120" s="1892" t="s">
        <v>8406</v>
      </c>
      <c r="DP120" s="1892">
        <v>429360</v>
      </c>
      <c r="EI120" s="2689" t="s">
        <v>10439</v>
      </c>
    </row>
    <row r="121" spans="1:139" ht="58">
      <c r="A121" s="532"/>
      <c r="D121" s="2540"/>
      <c r="H121" s="3442" t="s">
        <v>1215</v>
      </c>
      <c r="I121" s="3442" t="s">
        <v>3152</v>
      </c>
      <c r="J121" s="3442" t="s">
        <v>1215</v>
      </c>
      <c r="K121" s="3437" t="s">
        <v>1417</v>
      </c>
      <c r="M121" s="3437" t="s">
        <v>1427</v>
      </c>
      <c r="N121" s="2263"/>
      <c r="AC121" s="2744"/>
      <c r="AN121" s="3283" t="s">
        <v>6835</v>
      </c>
      <c r="AO121" s="3283" t="s">
        <v>6835</v>
      </c>
      <c r="AP121" s="3437" t="s">
        <v>6835</v>
      </c>
      <c r="AQ121" s="3283" t="s">
        <v>6835</v>
      </c>
      <c r="AR121" s="101" t="s">
        <v>8997</v>
      </c>
      <c r="AU121" s="2290" t="s">
        <v>6146</v>
      </c>
      <c r="AV121" s="2290"/>
      <c r="AW121" s="562" t="s">
        <v>5358</v>
      </c>
      <c r="AX121" s="2091" t="s">
        <v>6146</v>
      </c>
      <c r="AY121" s="2091" t="s">
        <v>10064</v>
      </c>
      <c r="BH121" s="2406">
        <v>3327101059</v>
      </c>
      <c r="BI121" s="2409" t="s">
        <v>2010</v>
      </c>
      <c r="BJ121" s="2466">
        <v>202952</v>
      </c>
      <c r="BK121" s="530"/>
      <c r="BQ121" s="3083"/>
      <c r="BR121" s="3083"/>
      <c r="BU121" s="3126" t="s">
        <v>6748</v>
      </c>
      <c r="BV121" s="3082" t="str">
        <f t="shared" si="1"/>
        <v>{1241172ый воздух</v>
      </c>
      <c r="BW121" s="101"/>
      <c r="BZ121" s="3112" t="s">
        <v>7015</v>
      </c>
      <c r="CA121" s="3113" t="s">
        <v>2879</v>
      </c>
      <c r="CP121" s="2198"/>
      <c r="CS121" s="3437" t="s">
        <v>8498</v>
      </c>
      <c r="CT121" s="2299" t="s">
        <v>6596</v>
      </c>
      <c r="DA121" s="2558"/>
      <c r="DB121" s="2153" t="s">
        <v>7282</v>
      </c>
      <c r="DK121" s="2579">
        <v>99</v>
      </c>
      <c r="DL121" s="2580" t="s">
        <v>3522</v>
      </c>
      <c r="DM121" s="2575" t="s">
        <v>8625</v>
      </c>
      <c r="DO121" s="1892" t="s">
        <v>8407</v>
      </c>
      <c r="DP121" s="1892">
        <v>339761</v>
      </c>
      <c r="EI121" s="2689" t="s">
        <v>10440</v>
      </c>
    </row>
    <row r="122" spans="1:139" ht="38.5">
      <c r="A122" s="532"/>
      <c r="D122" s="2540"/>
      <c r="H122" s="3442" t="s">
        <v>2306</v>
      </c>
      <c r="I122" s="3442" t="s">
        <v>3104</v>
      </c>
      <c r="J122" s="3442" t="s">
        <v>2306</v>
      </c>
      <c r="K122" s="3437" t="s">
        <v>1415</v>
      </c>
      <c r="L122" s="2514"/>
      <c r="M122" s="3437" t="s">
        <v>259</v>
      </c>
      <c r="N122" s="2263"/>
      <c r="AC122" s="2744"/>
      <c r="AN122" s="3283" t="s">
        <v>1313</v>
      </c>
      <c r="AO122" s="3283" t="s">
        <v>1313</v>
      </c>
      <c r="AP122" s="3437" t="s">
        <v>1313</v>
      </c>
      <c r="AQ122" s="3283" t="s">
        <v>1313</v>
      </c>
      <c r="AR122" s="101" t="s">
        <v>8998</v>
      </c>
      <c r="AU122" s="2290" t="s">
        <v>8664</v>
      </c>
      <c r="AV122" s="2154"/>
      <c r="AX122" s="2091" t="s">
        <v>8664</v>
      </c>
      <c r="AY122" s="2091" t="s">
        <v>14529</v>
      </c>
      <c r="BH122" s="2406">
        <v>3327325644</v>
      </c>
      <c r="BI122" s="2409" t="s">
        <v>3158</v>
      </c>
      <c r="BJ122" s="2466">
        <v>255259</v>
      </c>
      <c r="BK122" s="530"/>
      <c r="BU122" s="3126" t="s">
        <v>6749</v>
      </c>
      <c r="BV122" s="3082" t="str">
        <f t="shared" si="1"/>
        <v>{1241173требления</v>
      </c>
      <c r="BW122" s="101"/>
      <c r="BZ122" s="3112" t="s">
        <v>6973</v>
      </c>
      <c r="CA122" s="3113" t="s">
        <v>2863</v>
      </c>
      <c r="CP122" s="2544"/>
      <c r="CS122" s="3437" t="s">
        <v>8531</v>
      </c>
      <c r="CT122" s="2299" t="s">
        <v>6597</v>
      </c>
      <c r="DA122" s="2558"/>
      <c r="DB122" s="2153" t="s">
        <v>7283</v>
      </c>
      <c r="DK122" s="3394" t="s">
        <v>10300</v>
      </c>
      <c r="DL122" s="2180" t="s">
        <v>10294</v>
      </c>
      <c r="DM122" s="3151" t="s">
        <v>10317</v>
      </c>
      <c r="DO122" s="1892" t="s">
        <v>8408</v>
      </c>
      <c r="DP122" s="1892">
        <v>515908</v>
      </c>
      <c r="EI122" s="2689" t="s">
        <v>10441</v>
      </c>
    </row>
    <row r="123" spans="1:139" ht="38.5">
      <c r="A123" s="532"/>
      <c r="D123" s="2541"/>
      <c r="H123" s="3442" t="s">
        <v>10091</v>
      </c>
      <c r="I123" s="3442" t="s">
        <v>3104</v>
      </c>
      <c r="J123" s="3442" t="s">
        <v>10091</v>
      </c>
      <c r="K123" s="3437" t="s">
        <v>7646</v>
      </c>
      <c r="M123" s="3437" t="s">
        <v>7109</v>
      </c>
      <c r="N123" s="2263"/>
      <c r="AN123" s="3283" t="s">
        <v>1314</v>
      </c>
      <c r="AO123" s="3283" t="s">
        <v>1314</v>
      </c>
      <c r="AP123" s="3437" t="s">
        <v>1314</v>
      </c>
      <c r="AQ123" s="3283" t="s">
        <v>1314</v>
      </c>
      <c r="AR123" s="101" t="s">
        <v>8999</v>
      </c>
      <c r="AU123" s="2290" t="s">
        <v>9821</v>
      </c>
      <c r="AV123" s="2154"/>
      <c r="AW123" s="562"/>
      <c r="AX123" s="2091" t="s">
        <v>9821</v>
      </c>
      <c r="AY123" s="2744" t="s">
        <v>8117</v>
      </c>
      <c r="BH123" s="2406">
        <v>3327819890</v>
      </c>
      <c r="BI123" s="2409" t="s">
        <v>2018</v>
      </c>
      <c r="BJ123" s="2466">
        <v>199838</v>
      </c>
      <c r="BK123" s="530"/>
      <c r="BQ123" s="3083"/>
      <c r="BR123" s="3083"/>
      <c r="BU123" s="3126" t="s">
        <v>6750</v>
      </c>
      <c r="BV123" s="3082" t="str">
        <f t="shared" si="1"/>
        <v>{1241174горизонты</v>
      </c>
      <c r="BW123" s="101"/>
      <c r="BZ123" s="3112" t="s">
        <v>6998</v>
      </c>
      <c r="CA123" s="3113" t="s">
        <v>3900</v>
      </c>
      <c r="CP123" s="2544"/>
      <c r="CS123" s="3437" t="s">
        <v>8532</v>
      </c>
      <c r="CT123" s="2299" t="s">
        <v>6598</v>
      </c>
      <c r="DA123" s="2558"/>
      <c r="DB123" s="2153" t="s">
        <v>7284</v>
      </c>
      <c r="DK123" s="2448" t="s">
        <v>7502</v>
      </c>
      <c r="DL123" s="2448"/>
      <c r="DM123" s="2575" t="s">
        <v>7493</v>
      </c>
      <c r="DO123" s="1892" t="s">
        <v>8409</v>
      </c>
      <c r="DP123" s="1892">
        <v>522608</v>
      </c>
      <c r="EI123" s="2689" t="s">
        <v>10442</v>
      </c>
    </row>
    <row r="124" spans="1:139" ht="38.5">
      <c r="A124" s="532"/>
      <c r="D124" s="2541"/>
      <c r="H124" s="3442" t="s">
        <v>10090</v>
      </c>
      <c r="I124" s="3442" t="s">
        <v>3104</v>
      </c>
      <c r="J124" s="3442" t="s">
        <v>10090</v>
      </c>
      <c r="K124" s="3437" t="s">
        <v>10093</v>
      </c>
      <c r="M124" s="3437" t="s">
        <v>8731</v>
      </c>
      <c r="N124" s="2263"/>
      <c r="AN124" s="3283" t="s">
        <v>1315</v>
      </c>
      <c r="AO124" s="3283" t="s">
        <v>1315</v>
      </c>
      <c r="AP124" s="3437" t="s">
        <v>1315</v>
      </c>
      <c r="AQ124" s="3283" t="s">
        <v>1315</v>
      </c>
      <c r="AR124" s="101" t="s">
        <v>9000</v>
      </c>
      <c r="AU124" s="2290" t="s">
        <v>10064</v>
      </c>
      <c r="AV124" s="2154"/>
      <c r="AW124" s="562"/>
      <c r="AX124" s="2091" t="s">
        <v>14533</v>
      </c>
      <c r="AY124" s="2744" t="s">
        <v>8119</v>
      </c>
      <c r="BH124" s="2406">
        <v>3327836230</v>
      </c>
      <c r="BI124" s="2409" t="s">
        <v>2611</v>
      </c>
      <c r="BJ124" s="2466">
        <v>219231</v>
      </c>
      <c r="BK124" s="530"/>
      <c r="BU124" s="3126" t="s">
        <v>3796</v>
      </c>
      <c r="BV124" s="3082" t="str">
        <f t="shared" si="1"/>
        <v>{1241990 и сборам</v>
      </c>
      <c r="BW124" s="101"/>
      <c r="BZ124" s="3112" t="s">
        <v>7022</v>
      </c>
      <c r="CA124" s="3113" t="s">
        <v>3818</v>
      </c>
      <c r="CS124" s="3437" t="s">
        <v>10235</v>
      </c>
      <c r="CT124" s="2299" t="s">
        <v>6599</v>
      </c>
      <c r="DA124" s="2558"/>
      <c r="DB124" s="2153" t="s">
        <v>7285</v>
      </c>
      <c r="DK124" s="2574" t="s">
        <v>1850</v>
      </c>
      <c r="DL124" s="2574"/>
      <c r="DM124" s="2575" t="s">
        <v>7495</v>
      </c>
      <c r="DO124" s="1892" t="s">
        <v>8410</v>
      </c>
      <c r="DP124" s="1892">
        <v>522620</v>
      </c>
      <c r="EI124" s="2689" t="s">
        <v>10443</v>
      </c>
    </row>
    <row r="125" spans="1:139" ht="43.5">
      <c r="A125" s="532"/>
      <c r="D125" s="2541"/>
      <c r="H125" s="3442" t="s">
        <v>14405</v>
      </c>
      <c r="I125" s="3442" t="s">
        <v>3104</v>
      </c>
      <c r="J125" s="3442" t="s">
        <v>14405</v>
      </c>
      <c r="K125" s="3437" t="s">
        <v>1416</v>
      </c>
      <c r="M125" s="3437" t="s">
        <v>746</v>
      </c>
      <c r="N125" s="2263"/>
      <c r="AN125" s="3283" t="s">
        <v>277</v>
      </c>
      <c r="AO125" s="3283" t="s">
        <v>277</v>
      </c>
      <c r="AP125" s="3437" t="s">
        <v>277</v>
      </c>
      <c r="AQ125" s="3283" t="s">
        <v>277</v>
      </c>
      <c r="AR125" s="101" t="s">
        <v>9001</v>
      </c>
      <c r="AU125" s="2290" t="s">
        <v>14529</v>
      </c>
      <c r="AV125" s="2154"/>
      <c r="AW125" s="562"/>
      <c r="AX125" s="2091" t="s">
        <v>14528</v>
      </c>
      <c r="AY125" s="2744" t="s">
        <v>8121</v>
      </c>
      <c r="BH125" s="2406">
        <v>3327847087</v>
      </c>
      <c r="BI125" s="2409" t="s">
        <v>1866</v>
      </c>
      <c r="BJ125" s="2466">
        <v>256388</v>
      </c>
      <c r="BK125" s="530"/>
      <c r="BU125" s="3126" t="s">
        <v>279</v>
      </c>
      <c r="BV125" s="3082" t="str">
        <f t="shared" si="1"/>
        <v>{1242000ные фонды</v>
      </c>
      <c r="BW125" s="101"/>
      <c r="BZ125" s="3112" t="s">
        <v>7065</v>
      </c>
      <c r="CA125" s="3113" t="s">
        <v>3861</v>
      </c>
      <c r="CP125" s="2446"/>
      <c r="CS125" s="3437" t="s">
        <v>10236</v>
      </c>
      <c r="CT125" s="2299" t="s">
        <v>6600</v>
      </c>
      <c r="DA125" s="2558"/>
      <c r="DB125" s="2153" t="s">
        <v>7286</v>
      </c>
      <c r="DK125" s="3458" t="s">
        <v>14520</v>
      </c>
      <c r="DL125" s="2178" t="s">
        <v>14518</v>
      </c>
      <c r="DM125" s="2575" t="s">
        <v>7495</v>
      </c>
      <c r="DO125" s="1892" t="s">
        <v>8411</v>
      </c>
      <c r="DP125" s="1892">
        <v>522617</v>
      </c>
      <c r="EI125" s="2689" t="s">
        <v>10444</v>
      </c>
    </row>
    <row r="126" spans="1:139" ht="58">
      <c r="A126" s="532"/>
      <c r="D126" s="2541"/>
      <c r="H126" s="3442" t="s">
        <v>5473</v>
      </c>
      <c r="I126" s="3442" t="s">
        <v>3104</v>
      </c>
      <c r="J126" s="3442" t="s">
        <v>5473</v>
      </c>
      <c r="K126" s="3437" t="s">
        <v>1464</v>
      </c>
      <c r="M126" s="3437" t="s">
        <v>6079</v>
      </c>
      <c r="N126" s="2263"/>
      <c r="AN126" s="3283" t="s">
        <v>6049</v>
      </c>
      <c r="AO126" s="3283" t="s">
        <v>6049</v>
      </c>
      <c r="AP126" s="3437" t="s">
        <v>6049</v>
      </c>
      <c r="AQ126" s="3283" t="s">
        <v>6049</v>
      </c>
      <c r="AR126" s="101" t="s">
        <v>9002</v>
      </c>
      <c r="AU126" s="2154" t="s">
        <v>8117</v>
      </c>
      <c r="AV126" s="2154"/>
      <c r="AX126" s="531" t="s">
        <v>8117</v>
      </c>
      <c r="AY126" s="2744" t="s">
        <v>8122</v>
      </c>
      <c r="BC126" s="2744"/>
      <c r="BH126" s="2406">
        <v>3328101380</v>
      </c>
      <c r="BI126" s="2409" t="s">
        <v>2303</v>
      </c>
      <c r="BJ126" s="2466">
        <v>255988</v>
      </c>
      <c r="BK126" s="530"/>
      <c r="BU126" s="3126" t="s">
        <v>3799</v>
      </c>
      <c r="BV126" s="3082" t="str">
        <f t="shared" si="1"/>
        <v>{1290100зательств</v>
      </c>
      <c r="BW126" s="101"/>
      <c r="BZ126" s="3112" t="s">
        <v>7080</v>
      </c>
      <c r="CA126" s="3113" t="s">
        <v>3882</v>
      </c>
      <c r="CP126" s="2446"/>
      <c r="CS126" s="3437" t="s">
        <v>1466</v>
      </c>
      <c r="CT126" s="2299" t="s">
        <v>6601</v>
      </c>
      <c r="DA126" s="2558"/>
      <c r="DB126" s="2153" t="s">
        <v>7287</v>
      </c>
      <c r="DK126" s="3458" t="s">
        <v>14521</v>
      </c>
      <c r="DL126" s="2178" t="s">
        <v>14519</v>
      </c>
      <c r="DM126" s="2575" t="s">
        <v>7495</v>
      </c>
      <c r="DO126" s="1892" t="s">
        <v>8412</v>
      </c>
      <c r="DP126" s="1892">
        <v>553839</v>
      </c>
      <c r="EI126" s="2689" t="s">
        <v>10445</v>
      </c>
    </row>
    <row r="127" spans="1:139" ht="63.5">
      <c r="A127" s="532"/>
      <c r="D127" s="2541"/>
      <c r="H127" s="3442" t="s">
        <v>2309</v>
      </c>
      <c r="I127" s="3442" t="s">
        <v>2310</v>
      </c>
      <c r="J127" s="3442" t="s">
        <v>2309</v>
      </c>
      <c r="K127" s="3437" t="s">
        <v>1465</v>
      </c>
      <c r="M127" s="3437" t="s">
        <v>4821</v>
      </c>
      <c r="N127" s="2263"/>
      <c r="AN127" s="3283" t="s">
        <v>6075</v>
      </c>
      <c r="AO127" s="3283" t="s">
        <v>6075</v>
      </c>
      <c r="AP127" s="3437" t="s">
        <v>6075</v>
      </c>
      <c r="AQ127" s="3283" t="s">
        <v>6075</v>
      </c>
      <c r="AR127" s="101" t="s">
        <v>9003</v>
      </c>
      <c r="AU127" s="2154" t="s">
        <v>8119</v>
      </c>
      <c r="AV127" s="2154"/>
      <c r="AX127" s="531" t="s">
        <v>8119</v>
      </c>
      <c r="AY127" s="2744" t="s">
        <v>8123</v>
      </c>
      <c r="BH127" s="2406">
        <v>3328103098</v>
      </c>
      <c r="BI127" s="2409" t="s">
        <v>2179</v>
      </c>
      <c r="BJ127" s="2466">
        <v>222585</v>
      </c>
      <c r="BK127" s="530"/>
      <c r="BU127" s="3126" t="s">
        <v>3801</v>
      </c>
      <c r="BV127" s="3082" t="str">
        <f t="shared" ref="BV127:BV184" si="2">CONCATENATE(LEFT(BU127,8),RIGHT(BU127,9))</f>
        <v>{1290300 комиссия</v>
      </c>
      <c r="BW127" s="101"/>
      <c r="BZ127" s="3112" t="s">
        <v>6991</v>
      </c>
      <c r="CA127" s="3113" t="s">
        <v>3906</v>
      </c>
      <c r="CP127" s="2446"/>
      <c r="CS127" s="3437" t="s">
        <v>8499</v>
      </c>
      <c r="CT127" s="2299" t="s">
        <v>6602</v>
      </c>
      <c r="DA127" s="2558"/>
      <c r="DB127" s="2153" t="s">
        <v>7288</v>
      </c>
      <c r="DO127" s="1892" t="s">
        <v>8413</v>
      </c>
      <c r="DP127" s="1892">
        <v>522623</v>
      </c>
      <c r="EI127" s="2689" t="s">
        <v>10446</v>
      </c>
    </row>
    <row r="128" spans="1:139" ht="76">
      <c r="A128" s="532"/>
      <c r="D128" s="2539"/>
      <c r="H128" s="3442" t="s">
        <v>2312</v>
      </c>
      <c r="I128" s="3442" t="s">
        <v>1256</v>
      </c>
      <c r="J128" s="3442" t="s">
        <v>2312</v>
      </c>
      <c r="K128" s="3437" t="s">
        <v>3568</v>
      </c>
      <c r="M128" s="3437" t="s">
        <v>8732</v>
      </c>
      <c r="N128" s="2263"/>
      <c r="AN128" s="3283" t="s">
        <v>6890</v>
      </c>
      <c r="AO128" s="3283" t="s">
        <v>6890</v>
      </c>
      <c r="AP128" s="3437" t="s">
        <v>6890</v>
      </c>
      <c r="AQ128" s="3283" t="s">
        <v>6890</v>
      </c>
      <c r="AR128" s="101" t="s">
        <v>9004</v>
      </c>
      <c r="AU128" s="2154" t="s">
        <v>8120</v>
      </c>
      <c r="AV128" s="2154"/>
      <c r="AX128" s="531" t="s">
        <v>8120</v>
      </c>
      <c r="AY128" s="2744" t="s">
        <v>5338</v>
      </c>
      <c r="BH128" s="2406">
        <v>3328415442</v>
      </c>
      <c r="BI128" s="2409" t="s">
        <v>2632</v>
      </c>
      <c r="BJ128" s="2466">
        <v>255252</v>
      </c>
      <c r="BK128" s="530"/>
      <c r="BQ128" s="3083"/>
      <c r="BR128" s="3083"/>
      <c r="BU128" s="3126" t="s">
        <v>3802</v>
      </c>
      <c r="BV128" s="3082" t="str">
        <f t="shared" si="2"/>
        <v>{1290400ные сборы</v>
      </c>
      <c r="BW128" s="101"/>
      <c r="BZ128" s="3112" t="s">
        <v>7091</v>
      </c>
      <c r="CA128" s="3113" t="s">
        <v>3876</v>
      </c>
      <c r="CP128" s="2446"/>
      <c r="CS128" s="3437" t="s">
        <v>4817</v>
      </c>
      <c r="CT128" s="2299" t="s">
        <v>6603</v>
      </c>
      <c r="DA128" s="2558"/>
      <c r="DB128" s="2153" t="s">
        <v>7289</v>
      </c>
      <c r="DK128" s="2448"/>
      <c r="DL128" s="2448"/>
      <c r="DM128" s="2448"/>
      <c r="DO128" s="1892" t="s">
        <v>8295</v>
      </c>
      <c r="DP128" s="1892">
        <v>150610</v>
      </c>
      <c r="EI128" s="2689" t="s">
        <v>10447</v>
      </c>
    </row>
    <row r="129" spans="1:139" ht="63.5">
      <c r="A129" s="532"/>
      <c r="D129" s="2539"/>
      <c r="H129" s="3442" t="s">
        <v>9803</v>
      </c>
      <c r="I129" s="3442" t="s">
        <v>1256</v>
      </c>
      <c r="J129" s="3442" t="s">
        <v>9803</v>
      </c>
      <c r="K129" s="3437" t="s">
        <v>3570</v>
      </c>
      <c r="M129" s="3437" t="s">
        <v>8733</v>
      </c>
      <c r="N129" s="2263"/>
      <c r="AN129" s="3283" t="s">
        <v>6891</v>
      </c>
      <c r="AO129" s="3283" t="s">
        <v>6891</v>
      </c>
      <c r="AP129" s="3437" t="s">
        <v>6891</v>
      </c>
      <c r="AQ129" s="3283" t="s">
        <v>6891</v>
      </c>
      <c r="AR129" s="101" t="s">
        <v>9005</v>
      </c>
      <c r="AU129" s="2154" t="s">
        <v>8121</v>
      </c>
      <c r="AV129" s="2154"/>
      <c r="AX129" s="531" t="s">
        <v>8121</v>
      </c>
      <c r="AY129" s="2744" t="s">
        <v>1346</v>
      </c>
      <c r="BC129" s="2744"/>
      <c r="BH129" s="2406">
        <v>3328450020</v>
      </c>
      <c r="BI129" s="2409" t="s">
        <v>2504</v>
      </c>
      <c r="BJ129" s="2466">
        <v>255229</v>
      </c>
      <c r="BK129" s="530"/>
      <c r="BU129" s="3126" t="s">
        <v>3803</v>
      </c>
      <c r="BV129" s="3082" t="str">
        <f t="shared" si="2"/>
        <v>{1290500роприятия</v>
      </c>
      <c r="BW129" s="101"/>
      <c r="BZ129" s="3112" t="s">
        <v>7008</v>
      </c>
      <c r="CA129" s="3113" t="s">
        <v>2873</v>
      </c>
      <c r="CP129" s="2446"/>
      <c r="CS129" s="3437" t="s">
        <v>1467</v>
      </c>
      <c r="CT129" s="2299" t="s">
        <v>6605</v>
      </c>
      <c r="DA129" s="2558"/>
      <c r="DB129" s="2153" t="s">
        <v>7290</v>
      </c>
      <c r="DM129" s="3083"/>
      <c r="DO129" s="1892" t="s">
        <v>8296</v>
      </c>
      <c r="DP129" s="1892">
        <v>339727</v>
      </c>
      <c r="EI129" s="2689" t="s">
        <v>10448</v>
      </c>
    </row>
    <row r="130" spans="1:139" ht="63.5">
      <c r="A130" s="532"/>
      <c r="D130" s="2539"/>
      <c r="H130" s="3442" t="s">
        <v>9804</v>
      </c>
      <c r="I130" s="3442" t="s">
        <v>1256</v>
      </c>
      <c r="J130" s="3442" t="s">
        <v>9804</v>
      </c>
      <c r="K130" s="3437" t="s">
        <v>4815</v>
      </c>
      <c r="M130" s="3437" t="s">
        <v>4822</v>
      </c>
      <c r="N130" s="2263"/>
      <c r="AN130" s="3283" t="s">
        <v>6892</v>
      </c>
      <c r="AO130" s="3283" t="s">
        <v>6892</v>
      </c>
      <c r="AP130" s="3437" t="s">
        <v>6892</v>
      </c>
      <c r="AQ130" s="3283" t="s">
        <v>6892</v>
      </c>
      <c r="AR130" s="101" t="s">
        <v>9006</v>
      </c>
      <c r="AU130" s="2154" t="s">
        <v>8122</v>
      </c>
      <c r="AV130" s="2154"/>
      <c r="AX130" s="531" t="s">
        <v>8122</v>
      </c>
      <c r="AY130" s="2744" t="s">
        <v>5869</v>
      </c>
      <c r="BH130" s="2406">
        <v>3329030727</v>
      </c>
      <c r="BI130" s="2409" t="s">
        <v>2610</v>
      </c>
      <c r="BJ130" s="2466">
        <v>123116</v>
      </c>
      <c r="BK130" s="530"/>
      <c r="BU130" s="3126" t="s">
        <v>3804</v>
      </c>
      <c r="BV130" s="3082" t="str">
        <f t="shared" si="2"/>
        <v>{1290600ые взносы</v>
      </c>
      <c r="BW130" s="101"/>
      <c r="BZ130" s="3112" t="s">
        <v>7081</v>
      </c>
      <c r="CA130" s="3113" t="s">
        <v>3881</v>
      </c>
      <c r="CP130" s="2446"/>
      <c r="CS130" s="3437" t="s">
        <v>4495</v>
      </c>
      <c r="CT130" s="2299" t="s">
        <v>6606</v>
      </c>
      <c r="DA130" s="2558"/>
      <c r="DB130" s="2153" t="s">
        <v>7291</v>
      </c>
      <c r="DM130" s="2448"/>
      <c r="DO130" s="1892" t="s">
        <v>8297</v>
      </c>
      <c r="DP130" s="1892">
        <v>178451</v>
      </c>
      <c r="EI130" s="2689" t="s">
        <v>10449</v>
      </c>
    </row>
    <row r="131" spans="1:139" ht="63.5">
      <c r="A131" s="532"/>
      <c r="D131" s="2538"/>
      <c r="H131" s="3442" t="s">
        <v>9805</v>
      </c>
      <c r="I131" s="3442" t="s">
        <v>1256</v>
      </c>
      <c r="J131" s="3442" t="s">
        <v>9805</v>
      </c>
      <c r="K131" s="3437" t="s">
        <v>4838</v>
      </c>
      <c r="M131" s="3437" t="s">
        <v>4823</v>
      </c>
      <c r="N131" s="2263"/>
      <c r="AN131" s="3283" t="s">
        <v>6893</v>
      </c>
      <c r="AO131" s="3283" t="s">
        <v>6893</v>
      </c>
      <c r="AP131" s="3437" t="s">
        <v>6893</v>
      </c>
      <c r="AQ131" s="3283" t="s">
        <v>6893</v>
      </c>
      <c r="AR131" s="101" t="s">
        <v>9007</v>
      </c>
      <c r="AU131" s="2154" t="s">
        <v>8123</v>
      </c>
      <c r="AV131" s="2290"/>
      <c r="AX131" s="531" t="s">
        <v>8123</v>
      </c>
      <c r="AY131" s="2091" t="s">
        <v>6147</v>
      </c>
      <c r="BH131" s="2405">
        <v>3329032065</v>
      </c>
      <c r="BI131" s="2405" t="s">
        <v>1370</v>
      </c>
      <c r="BJ131" s="2466">
        <v>317836</v>
      </c>
      <c r="BK131" s="530"/>
      <c r="BL131" s="3083"/>
      <c r="BM131" s="3083"/>
      <c r="BN131" s="3083"/>
      <c r="BP131" s="3083"/>
      <c r="BQ131" s="3083"/>
      <c r="BR131" s="3083"/>
      <c r="BT131" s="3083"/>
      <c r="BU131" s="3126" t="s">
        <v>3805</v>
      </c>
      <c r="BV131" s="3082" t="str">
        <f t="shared" si="2"/>
        <v>{1290700анизациям</v>
      </c>
      <c r="BW131" s="101"/>
      <c r="BZ131" s="3112" t="s">
        <v>7074</v>
      </c>
      <c r="CA131" s="3113" t="s">
        <v>3888</v>
      </c>
      <c r="CP131" s="2448"/>
      <c r="CS131" s="3437" t="s">
        <v>4497</v>
      </c>
      <c r="CT131" s="2299" t="s">
        <v>6607</v>
      </c>
      <c r="CV131" s="2448"/>
      <c r="DA131" s="2558"/>
      <c r="DB131" s="2153" t="s">
        <v>7292</v>
      </c>
      <c r="DK131" s="2448"/>
      <c r="DL131" s="2448"/>
      <c r="DM131" s="2448"/>
      <c r="DO131" s="1892" t="s">
        <v>8298</v>
      </c>
      <c r="DP131" s="1892">
        <v>205704</v>
      </c>
      <c r="EI131" s="2689" t="s">
        <v>10450</v>
      </c>
    </row>
    <row r="132" spans="1:139" ht="76">
      <c r="A132" s="532"/>
      <c r="D132" s="2538"/>
      <c r="H132" s="3442" t="s">
        <v>9806</v>
      </c>
      <c r="I132" s="3442" t="s">
        <v>1256</v>
      </c>
      <c r="J132" s="3442" t="s">
        <v>9806</v>
      </c>
      <c r="K132" s="3437" t="s">
        <v>14430</v>
      </c>
      <c r="M132" s="3437" t="s">
        <v>3637</v>
      </c>
      <c r="N132" s="2263"/>
      <c r="AN132" s="3283" t="s">
        <v>7514</v>
      </c>
      <c r="AO132" s="3283" t="s">
        <v>7514</v>
      </c>
      <c r="AP132" s="3437" t="s">
        <v>7514</v>
      </c>
      <c r="AQ132" s="3283" t="s">
        <v>7514</v>
      </c>
      <c r="AR132" s="101" t="s">
        <v>9008</v>
      </c>
      <c r="AU132" s="2154" t="s">
        <v>5338</v>
      </c>
      <c r="AV132" s="2290"/>
      <c r="AX132" s="531" t="s">
        <v>5338</v>
      </c>
      <c r="AY132" s="2091" t="s">
        <v>6148</v>
      </c>
      <c r="BH132" s="2406">
        <v>3329033132</v>
      </c>
      <c r="BI132" s="2409" t="s">
        <v>2302</v>
      </c>
      <c r="BJ132" s="2466">
        <v>182819</v>
      </c>
      <c r="BK132" s="530"/>
      <c r="BP132" s="3083"/>
      <c r="BQ132" s="3083"/>
      <c r="BR132" s="3083"/>
      <c r="BT132" s="3083"/>
      <c r="BU132" s="3126" t="s">
        <v>3806</v>
      </c>
      <c r="BV132" s="3082" t="str">
        <f t="shared" si="2"/>
        <v>{1290800рограммам</v>
      </c>
      <c r="BW132" s="101"/>
      <c r="BZ132" s="3112" t="s">
        <v>6943</v>
      </c>
      <c r="CA132" s="3113" t="s">
        <v>3757</v>
      </c>
      <c r="CP132" s="2446"/>
      <c r="CS132" s="3437" t="s">
        <v>1468</v>
      </c>
      <c r="CT132" s="2299" t="s">
        <v>6608</v>
      </c>
      <c r="DA132" s="2558"/>
      <c r="DB132" s="2153" t="s">
        <v>7293</v>
      </c>
      <c r="DK132" s="2448"/>
      <c r="DL132" s="2448"/>
      <c r="DM132" s="2448"/>
      <c r="DO132" s="1892" t="s">
        <v>8299</v>
      </c>
      <c r="DP132" s="1892">
        <v>152349</v>
      </c>
      <c r="EI132" s="2689" t="s">
        <v>10451</v>
      </c>
    </row>
    <row r="133" spans="1:139" ht="63.5">
      <c r="A133" s="532"/>
      <c r="D133" s="2538"/>
      <c r="H133" s="3442" t="s">
        <v>9807</v>
      </c>
      <c r="I133" s="3442" t="s">
        <v>1256</v>
      </c>
      <c r="J133" s="3442" t="s">
        <v>9807</v>
      </c>
      <c r="K133" s="3437" t="s">
        <v>14431</v>
      </c>
      <c r="M133" s="3437" t="s">
        <v>1134</v>
      </c>
      <c r="N133" s="2263"/>
      <c r="AN133" s="3283" t="s">
        <v>9842</v>
      </c>
      <c r="AO133" s="3283" t="s">
        <v>9842</v>
      </c>
      <c r="AP133" s="3437" t="s">
        <v>9842</v>
      </c>
      <c r="AQ133" s="3283" t="s">
        <v>9842</v>
      </c>
      <c r="AR133" s="101" t="s">
        <v>9009</v>
      </c>
      <c r="AU133" s="2154" t="s">
        <v>1346</v>
      </c>
      <c r="AV133" s="2290"/>
      <c r="AX133" s="531" t="s">
        <v>1346</v>
      </c>
      <c r="AY133" s="2091" t="s">
        <v>6149</v>
      </c>
      <c r="BH133" s="2408">
        <v>3329061556</v>
      </c>
      <c r="BI133" s="2409" t="s">
        <v>1963</v>
      </c>
      <c r="BJ133" s="2466">
        <v>279543</v>
      </c>
      <c r="BK133" s="530"/>
      <c r="BU133" s="3126" t="s">
        <v>3807</v>
      </c>
      <c r="BV133" s="3082" t="str">
        <f t="shared" si="2"/>
        <v>{1290900 резервов</v>
      </c>
      <c r="BW133" s="101"/>
      <c r="BZ133" s="3112" t="s">
        <v>6939</v>
      </c>
      <c r="CA133" s="3113" t="s">
        <v>3753</v>
      </c>
      <c r="CP133" s="2446"/>
      <c r="CS133" s="3437" t="s">
        <v>4502</v>
      </c>
      <c r="CT133" s="2299" t="s">
        <v>6609</v>
      </c>
      <c r="DA133" s="2558"/>
      <c r="DB133" s="2153" t="s">
        <v>7294</v>
      </c>
      <c r="DK133" s="2448"/>
      <c r="DL133" s="2448"/>
      <c r="DM133" s="2448"/>
      <c r="DO133" s="1892" t="s">
        <v>8300</v>
      </c>
      <c r="DP133" s="1892">
        <v>205506</v>
      </c>
      <c r="EI133" s="2689" t="s">
        <v>10452</v>
      </c>
    </row>
    <row r="134" spans="1:139" ht="63.5">
      <c r="A134" s="532"/>
      <c r="D134" s="2538"/>
      <c r="H134" s="3442" t="s">
        <v>9808</v>
      </c>
      <c r="I134" s="3442" t="s">
        <v>1256</v>
      </c>
      <c r="J134" s="3442" t="s">
        <v>9808</v>
      </c>
      <c r="K134" s="3437" t="s">
        <v>3574</v>
      </c>
      <c r="M134" s="3437" t="s">
        <v>3639</v>
      </c>
      <c r="N134" s="2263"/>
      <c r="AC134" s="2514"/>
      <c r="AN134" s="3283" t="s">
        <v>10083</v>
      </c>
      <c r="AO134" s="3283" t="s">
        <v>10083</v>
      </c>
      <c r="AP134" s="3437" t="s">
        <v>10083</v>
      </c>
      <c r="AQ134" s="3283" t="s">
        <v>10083</v>
      </c>
      <c r="AR134" s="101" t="s">
        <v>9010</v>
      </c>
      <c r="AU134" s="2154" t="s">
        <v>5869</v>
      </c>
      <c r="AV134" s="2154"/>
      <c r="AX134" s="531" t="s">
        <v>5869</v>
      </c>
      <c r="AY134" s="2091" t="s">
        <v>8665</v>
      </c>
      <c r="BB134" s="2744"/>
      <c r="BH134" s="2405">
        <v>3329064081</v>
      </c>
      <c r="BI134" s="2405" t="s">
        <v>1614</v>
      </c>
      <c r="BJ134" s="2466">
        <v>199121</v>
      </c>
      <c r="BK134" s="530"/>
      <c r="BU134" s="3126" t="s">
        <v>3809</v>
      </c>
      <c r="BV134" s="3082" t="str">
        <f t="shared" si="2"/>
        <v>{1291100 объектов</v>
      </c>
      <c r="BW134" s="101"/>
      <c r="BZ134" s="3112" t="s">
        <v>6990</v>
      </c>
      <c r="CA134" s="3113" t="s">
        <v>3907</v>
      </c>
      <c r="CP134" s="3083"/>
      <c r="CS134" s="3437" t="s">
        <v>3592</v>
      </c>
      <c r="CT134" s="2299" t="s">
        <v>6610</v>
      </c>
      <c r="CV134" s="3083"/>
      <c r="DA134" s="2558"/>
      <c r="DB134" s="2153" t="s">
        <v>7295</v>
      </c>
      <c r="DK134" s="2448"/>
      <c r="DL134" s="2448"/>
      <c r="DM134" s="2448"/>
      <c r="DO134" s="1892" t="s">
        <v>8301</v>
      </c>
      <c r="DP134" s="1892">
        <v>205530</v>
      </c>
      <c r="EI134" s="2689" t="s">
        <v>10453</v>
      </c>
    </row>
    <row r="135" spans="1:139" ht="43.5">
      <c r="A135" s="532"/>
      <c r="D135" s="2538"/>
      <c r="H135" s="3442" t="s">
        <v>1258</v>
      </c>
      <c r="I135" s="3442" t="s">
        <v>1256</v>
      </c>
      <c r="J135" s="3442" t="s">
        <v>1258</v>
      </c>
      <c r="K135" s="3437" t="s">
        <v>3576</v>
      </c>
      <c r="M135" s="3437" t="s">
        <v>4824</v>
      </c>
      <c r="N135" s="2263"/>
      <c r="AC135" s="2514"/>
      <c r="AN135" s="3592" t="s">
        <v>15014</v>
      </c>
      <c r="AO135" s="3592" t="s">
        <v>15014</v>
      </c>
      <c r="AP135" s="3592" t="s">
        <v>15014</v>
      </c>
      <c r="AQ135" s="3592" t="s">
        <v>15014</v>
      </c>
      <c r="AR135" s="101" t="s">
        <v>9011</v>
      </c>
      <c r="AU135" s="2290" t="s">
        <v>6147</v>
      </c>
      <c r="AV135" s="2154"/>
      <c r="AX135" s="2091" t="s">
        <v>6147</v>
      </c>
      <c r="AY135" s="2091" t="s">
        <v>9823</v>
      </c>
      <c r="BH135" s="2405">
        <v>3329064290</v>
      </c>
      <c r="BI135" s="2405" t="s">
        <v>43</v>
      </c>
      <c r="BJ135" s="2466">
        <v>201365</v>
      </c>
      <c r="BK135" s="530"/>
      <c r="BQ135" s="3083"/>
      <c r="BR135" s="3083"/>
      <c r="BU135" s="3126" t="s">
        <v>3810</v>
      </c>
      <c r="BV135" s="3082" t="str">
        <f t="shared" si="2"/>
        <v>{1291200ии земель</v>
      </c>
      <c r="BW135" s="101"/>
      <c r="BZ135" s="3112" t="s">
        <v>7078</v>
      </c>
      <c r="CA135" s="3113" t="s">
        <v>3884</v>
      </c>
      <c r="CP135" s="3083"/>
      <c r="CS135" s="3437" t="s">
        <v>3594</v>
      </c>
      <c r="CT135" s="2299" t="s">
        <v>6611</v>
      </c>
      <c r="CV135" s="3083"/>
      <c r="DA135" s="2558"/>
      <c r="DB135" s="2153" t="s">
        <v>7296</v>
      </c>
      <c r="DK135" s="2448"/>
      <c r="DL135" s="2448"/>
      <c r="DM135" s="2448"/>
      <c r="DO135" s="1892" t="s">
        <v>8302</v>
      </c>
      <c r="DP135" s="1892">
        <v>135465</v>
      </c>
      <c r="EI135" s="2689" t="s">
        <v>10454</v>
      </c>
    </row>
    <row r="136" spans="1:139" ht="51">
      <c r="A136" s="532"/>
      <c r="D136" s="2538"/>
      <c r="H136" s="3442" t="s">
        <v>9809</v>
      </c>
      <c r="I136" s="3442" t="s">
        <v>1256</v>
      </c>
      <c r="J136" s="3442" t="s">
        <v>9809</v>
      </c>
      <c r="K136" s="3437" t="s">
        <v>3578</v>
      </c>
      <c r="M136" s="3437" t="s">
        <v>3642</v>
      </c>
      <c r="N136" s="2263"/>
      <c r="AN136" s="3592" t="s">
        <v>15015</v>
      </c>
      <c r="AO136" s="3592" t="s">
        <v>15015</v>
      </c>
      <c r="AP136" s="3592" t="s">
        <v>15015</v>
      </c>
      <c r="AQ136" s="3592" t="s">
        <v>15015</v>
      </c>
      <c r="AR136" s="101" t="s">
        <v>9012</v>
      </c>
      <c r="AU136" s="2290" t="s">
        <v>6148</v>
      </c>
      <c r="AV136" s="2154"/>
      <c r="AX136" s="2091" t="s">
        <v>6148</v>
      </c>
      <c r="AY136" s="2091" t="s">
        <v>10065</v>
      </c>
      <c r="BH136" s="2405">
        <v>3329065342</v>
      </c>
      <c r="BI136" s="2405" t="s">
        <v>31</v>
      </c>
      <c r="BJ136" s="2466">
        <v>202477</v>
      </c>
      <c r="BK136" s="530"/>
      <c r="BU136" s="3126" t="s">
        <v>3811</v>
      </c>
      <c r="BV136" s="3082" t="str">
        <f t="shared" si="2"/>
        <v>{1291300а грантов</v>
      </c>
      <c r="BW136" s="101"/>
      <c r="BZ136" s="3112" t="s">
        <v>7042</v>
      </c>
      <c r="CA136" s="3113" t="s">
        <v>3838</v>
      </c>
      <c r="CS136" s="3437" t="s">
        <v>4818</v>
      </c>
      <c r="CT136" s="2299" t="s">
        <v>6612</v>
      </c>
      <c r="DA136" s="2558"/>
      <c r="DB136" s="2153" t="s">
        <v>7297</v>
      </c>
      <c r="DK136" s="2448"/>
      <c r="DL136" s="2448"/>
      <c r="DM136" s="2448"/>
      <c r="DO136" s="1892" t="s">
        <v>8303</v>
      </c>
      <c r="DP136" s="1892">
        <v>135466</v>
      </c>
      <c r="EI136" s="2689" t="s">
        <v>10455</v>
      </c>
    </row>
    <row r="137" spans="1:139" ht="51">
      <c r="A137" s="532"/>
      <c r="D137" s="2538"/>
      <c r="H137" s="3442" t="s">
        <v>9810</v>
      </c>
      <c r="I137" s="3442" t="s">
        <v>1256</v>
      </c>
      <c r="J137" s="3442" t="s">
        <v>9810</v>
      </c>
      <c r="K137" s="3437" t="s">
        <v>3579</v>
      </c>
      <c r="M137" s="3437" t="s">
        <v>4825</v>
      </c>
      <c r="N137" s="2263"/>
      <c r="AN137" s="3592" t="s">
        <v>15016</v>
      </c>
      <c r="AO137" s="3592" t="s">
        <v>15016</v>
      </c>
      <c r="AP137" s="3592" t="s">
        <v>15016</v>
      </c>
      <c r="AQ137" s="3592" t="s">
        <v>15016</v>
      </c>
      <c r="AR137" s="101" t="s">
        <v>9013</v>
      </c>
      <c r="AU137" s="2290" t="s">
        <v>6149</v>
      </c>
      <c r="AV137" s="2154"/>
      <c r="AX137" s="2091" t="s">
        <v>6149</v>
      </c>
      <c r="AY137" s="2091" t="s">
        <v>14530</v>
      </c>
      <c r="BH137" s="2406">
        <v>3445910987</v>
      </c>
      <c r="BI137" s="2409" t="s">
        <v>2407</v>
      </c>
      <c r="BJ137" s="2466">
        <v>123252</v>
      </c>
      <c r="BK137" s="530"/>
      <c r="BU137" s="3126" t="s">
        <v>3812</v>
      </c>
      <c r="BV137" s="3082" t="str">
        <f t="shared" si="2"/>
        <v>{1299901ганизации</v>
      </c>
      <c r="BW137" s="101"/>
      <c r="BZ137" s="3112" t="s">
        <v>7076</v>
      </c>
      <c r="CA137" s="3113" t="s">
        <v>3886</v>
      </c>
      <c r="CS137" s="3437" t="s">
        <v>4819</v>
      </c>
      <c r="CT137" s="2299" t="s">
        <v>6613</v>
      </c>
      <c r="DA137" s="2558"/>
      <c r="DB137" s="2153" t="s">
        <v>7298</v>
      </c>
      <c r="DK137" s="3083"/>
      <c r="DL137" s="3083"/>
      <c r="DM137" s="3083"/>
      <c r="DO137" s="1892" t="s">
        <v>8304</v>
      </c>
      <c r="DP137" s="1892">
        <v>179888</v>
      </c>
      <c r="EI137" s="2689" t="s">
        <v>10456</v>
      </c>
    </row>
    <row r="138" spans="1:139" ht="51">
      <c r="A138" s="532"/>
      <c r="D138" s="2538"/>
      <c r="H138" s="3442" t="s">
        <v>1259</v>
      </c>
      <c r="I138" s="3442" t="s">
        <v>3152</v>
      </c>
      <c r="J138" s="3442" t="s">
        <v>1259</v>
      </c>
      <c r="K138" s="3437" t="s">
        <v>3581</v>
      </c>
      <c r="M138" s="3437" t="s">
        <v>10202</v>
      </c>
      <c r="N138" s="2263"/>
      <c r="AN138" s="3592" t="s">
        <v>15017</v>
      </c>
      <c r="AO138" s="3592" t="s">
        <v>15017</v>
      </c>
      <c r="AP138" s="3592" t="s">
        <v>15017</v>
      </c>
      <c r="AQ138" s="3592" t="s">
        <v>15017</v>
      </c>
      <c r="AR138" s="101" t="s">
        <v>9014</v>
      </c>
      <c r="AU138" s="2290" t="s">
        <v>8665</v>
      </c>
      <c r="AV138" s="2154"/>
      <c r="AX138" s="2091" t="s">
        <v>8665</v>
      </c>
      <c r="AY138" s="2744" t="s">
        <v>915</v>
      </c>
      <c r="BH138" s="2406">
        <v>3613001418</v>
      </c>
      <c r="BI138" s="2409" t="s">
        <v>183</v>
      </c>
      <c r="BJ138" s="2466">
        <v>147119</v>
      </c>
      <c r="BK138" s="530"/>
      <c r="BQ138" s="3083"/>
      <c r="BR138" s="3083"/>
      <c r="BU138" s="3126" t="s">
        <v>6751</v>
      </c>
      <c r="BV138" s="3082" t="str">
        <f t="shared" si="2"/>
        <v>{1299902ательства</v>
      </c>
      <c r="BW138" s="101"/>
      <c r="BZ138" s="3112" t="s">
        <v>7073</v>
      </c>
      <c r="CA138" s="3113" t="s">
        <v>3889</v>
      </c>
      <c r="CS138" s="3437" t="s">
        <v>7682</v>
      </c>
      <c r="CT138" s="2299" t="s">
        <v>6614</v>
      </c>
      <c r="DA138" s="2558"/>
      <c r="DB138" s="2153" t="s">
        <v>7299</v>
      </c>
      <c r="DO138" s="1892" t="s">
        <v>8305</v>
      </c>
      <c r="DP138" s="1892">
        <v>202440</v>
      </c>
      <c r="EI138" s="2689" t="s">
        <v>10457</v>
      </c>
    </row>
    <row r="139" spans="1:139" ht="58">
      <c r="A139" s="532"/>
      <c r="D139" s="2062"/>
      <c r="H139" s="3442" t="s">
        <v>1261</v>
      </c>
      <c r="I139" s="3442" t="s">
        <v>3152</v>
      </c>
      <c r="J139" s="3442" t="s">
        <v>1261</v>
      </c>
      <c r="K139" s="3437" t="s">
        <v>4816</v>
      </c>
      <c r="M139" s="3437" t="s">
        <v>4826</v>
      </c>
      <c r="N139" s="2263"/>
      <c r="AN139" s="3592" t="s">
        <v>15018</v>
      </c>
      <c r="AO139" s="3592" t="s">
        <v>15018</v>
      </c>
      <c r="AP139" s="3592" t="s">
        <v>15018</v>
      </c>
      <c r="AQ139" s="3592" t="s">
        <v>15018</v>
      </c>
      <c r="AR139" s="101" t="s">
        <v>9015</v>
      </c>
      <c r="AU139" s="2290" t="s">
        <v>9823</v>
      </c>
      <c r="AV139" s="2154"/>
      <c r="AX139" s="2091" t="s">
        <v>9823</v>
      </c>
      <c r="AY139" s="2744" t="s">
        <v>8124</v>
      </c>
      <c r="BH139" s="2406">
        <v>3650004897</v>
      </c>
      <c r="BI139" s="2409" t="s">
        <v>2633</v>
      </c>
      <c r="BJ139" s="2466">
        <v>123335</v>
      </c>
      <c r="BK139" s="530"/>
      <c r="BU139" s="3126" t="s">
        <v>5115</v>
      </c>
      <c r="BV139" s="3082" t="str">
        <f t="shared" si="2"/>
        <v>{1299999тельности</v>
      </c>
      <c r="BW139" s="101"/>
      <c r="BZ139" s="3112" t="s">
        <v>6978</v>
      </c>
      <c r="CA139" s="3113" t="s">
        <v>2868</v>
      </c>
      <c r="CS139" s="3437" t="s">
        <v>4820</v>
      </c>
      <c r="CT139" s="2299" t="s">
        <v>6615</v>
      </c>
      <c r="DA139" s="2558"/>
      <c r="DB139" s="2153" t="s">
        <v>7300</v>
      </c>
      <c r="DO139" s="1892" t="s">
        <v>8306</v>
      </c>
      <c r="DP139" s="1892">
        <v>204409</v>
      </c>
      <c r="EI139" s="2689" t="s">
        <v>10458</v>
      </c>
    </row>
    <row r="140" spans="1:139" ht="51">
      <c r="A140" s="532"/>
      <c r="D140" s="2062"/>
      <c r="H140" s="3442" t="s">
        <v>1262</v>
      </c>
      <c r="I140" s="3442" t="s">
        <v>3152</v>
      </c>
      <c r="J140" s="3442" t="s">
        <v>1262</v>
      </c>
      <c r="K140" s="3437" t="s">
        <v>3583</v>
      </c>
      <c r="M140" s="3437" t="s">
        <v>6904</v>
      </c>
      <c r="N140" s="2263"/>
      <c r="AN140" s="3592" t="s">
        <v>15019</v>
      </c>
      <c r="AO140" s="3592" t="s">
        <v>15019</v>
      </c>
      <c r="AP140" s="3592" t="s">
        <v>15019</v>
      </c>
      <c r="AQ140" s="3592" t="s">
        <v>15019</v>
      </c>
      <c r="AR140" s="101" t="s">
        <v>9016</v>
      </c>
      <c r="AU140" s="2290" t="s">
        <v>10065</v>
      </c>
      <c r="AV140" s="2154"/>
      <c r="AX140" s="2091" t="s">
        <v>10065</v>
      </c>
      <c r="AY140" s="2744" t="s">
        <v>8125</v>
      </c>
      <c r="BH140" s="2406">
        <v>3651000870</v>
      </c>
      <c r="BI140" s="2409" t="s">
        <v>1381</v>
      </c>
      <c r="BJ140" s="2466">
        <v>145996</v>
      </c>
      <c r="BK140" s="530"/>
      <c r="BU140" s="3126" t="s">
        <v>5121</v>
      </c>
      <c r="BV140" s="3082" t="str">
        <f t="shared" si="2"/>
        <v>{2111000х средств</v>
      </c>
      <c r="BW140" s="101"/>
      <c r="BZ140" s="3112" t="s">
        <v>7090</v>
      </c>
      <c r="CA140" s="3113" t="s">
        <v>3875</v>
      </c>
      <c r="CS140" s="3437" t="s">
        <v>3598</v>
      </c>
      <c r="CT140" s="2299" t="s">
        <v>6616</v>
      </c>
      <c r="DA140" s="2558"/>
      <c r="DB140" s="2153" t="s">
        <v>7301</v>
      </c>
      <c r="DK140" s="3083"/>
      <c r="DL140" s="3083"/>
      <c r="DM140" s="3083"/>
      <c r="DO140" s="1892" t="s">
        <v>8307</v>
      </c>
      <c r="DP140" s="1892">
        <v>209015</v>
      </c>
      <c r="EI140" s="2689" t="s">
        <v>10459</v>
      </c>
    </row>
    <row r="141" spans="1:139" ht="51">
      <c r="A141" s="532"/>
      <c r="D141" s="2062"/>
      <c r="H141" s="3442" t="s">
        <v>1264</v>
      </c>
      <c r="I141" s="3442" t="s">
        <v>3152</v>
      </c>
      <c r="J141" s="3442" t="s">
        <v>1264</v>
      </c>
      <c r="K141" s="3437" t="s">
        <v>14432</v>
      </c>
      <c r="M141" s="3437" t="s">
        <v>4827</v>
      </c>
      <c r="N141" s="2263"/>
      <c r="AN141" s="3592" t="s">
        <v>15020</v>
      </c>
      <c r="AO141" s="3592" t="s">
        <v>15020</v>
      </c>
      <c r="AP141" s="3592" t="s">
        <v>15020</v>
      </c>
      <c r="AQ141" s="3592" t="s">
        <v>15020</v>
      </c>
      <c r="AR141" s="101" t="s">
        <v>9017</v>
      </c>
      <c r="AU141" s="2290" t="s">
        <v>14530</v>
      </c>
      <c r="AV141" s="2290"/>
      <c r="AX141" s="2091" t="s">
        <v>14530</v>
      </c>
      <c r="AY141" s="2744" t="s">
        <v>8126</v>
      </c>
      <c r="BH141" s="2406">
        <v>3651001578</v>
      </c>
      <c r="BI141" s="2409" t="s">
        <v>2029</v>
      </c>
      <c r="BJ141" s="2466">
        <v>123341</v>
      </c>
      <c r="BK141" s="530"/>
      <c r="BQ141" s="3083"/>
      <c r="BR141" s="3083"/>
      <c r="BU141" s="3126" t="s">
        <v>4681</v>
      </c>
      <c r="BV141" s="3082" t="str">
        <f t="shared" si="2"/>
        <v>{2112000зации НМА</v>
      </c>
      <c r="BW141" s="101"/>
      <c r="BZ141" s="3112" t="s">
        <v>7079</v>
      </c>
      <c r="CA141" s="3113" t="s">
        <v>3883</v>
      </c>
      <c r="CS141" s="3437" t="s">
        <v>3600</v>
      </c>
      <c r="CT141" s="2299" t="s">
        <v>6617</v>
      </c>
      <c r="DA141" s="2558"/>
      <c r="DB141" s="2153" t="s">
        <v>7302</v>
      </c>
      <c r="DK141" s="2448"/>
      <c r="DL141" s="2448"/>
      <c r="DM141" s="2448"/>
      <c r="DO141" s="1892" t="s">
        <v>8308</v>
      </c>
      <c r="DP141" s="1892">
        <v>232193</v>
      </c>
      <c r="EI141" s="2689" t="s">
        <v>10460</v>
      </c>
    </row>
    <row r="142" spans="1:139" ht="43.5">
      <c r="A142" s="532"/>
      <c r="D142" s="2062"/>
      <c r="H142" s="3442" t="s">
        <v>5474</v>
      </c>
      <c r="I142" s="3442" t="s">
        <v>3152</v>
      </c>
      <c r="J142" s="3442" t="s">
        <v>5474</v>
      </c>
      <c r="K142" s="3437" t="s">
        <v>3585</v>
      </c>
      <c r="M142" s="3437" t="s">
        <v>4828</v>
      </c>
      <c r="N142" s="2263"/>
      <c r="AN142" s="3592" t="s">
        <v>15021</v>
      </c>
      <c r="AO142" s="3592" t="s">
        <v>15021</v>
      </c>
      <c r="AP142" s="3592" t="s">
        <v>15021</v>
      </c>
      <c r="AQ142" s="3592" t="s">
        <v>15021</v>
      </c>
      <c r="AR142" s="101" t="s">
        <v>9018</v>
      </c>
      <c r="AU142" s="2154" t="s">
        <v>915</v>
      </c>
      <c r="AV142" s="2290"/>
      <c r="AX142" s="531" t="s">
        <v>915</v>
      </c>
      <c r="AY142" s="2744" t="s">
        <v>5340</v>
      </c>
      <c r="BH142" s="2406">
        <v>3651001909</v>
      </c>
      <c r="BI142" s="2409" t="s">
        <v>1380</v>
      </c>
      <c r="BJ142" s="2466">
        <v>146453</v>
      </c>
      <c r="BK142" s="530"/>
      <c r="BQ142" s="3083"/>
      <c r="BR142" s="3083"/>
      <c r="BT142" s="3083"/>
      <c r="BU142" s="3126" t="s">
        <v>4682</v>
      </c>
      <c r="BV142" s="3082" t="str">
        <f t="shared" si="2"/>
        <v>{2113000ительства</v>
      </c>
      <c r="BW142" s="101"/>
      <c r="BZ142" s="3112" t="s">
        <v>7046</v>
      </c>
      <c r="CA142" s="3113" t="s">
        <v>3842</v>
      </c>
      <c r="CS142" s="3437" t="s">
        <v>3601</v>
      </c>
      <c r="CT142" s="2299" t="s">
        <v>6618</v>
      </c>
      <c r="DA142" s="2558"/>
      <c r="DB142" s="2153" t="s">
        <v>7303</v>
      </c>
      <c r="DK142" s="2448"/>
      <c r="DL142" s="2448"/>
      <c r="DM142" s="2448"/>
      <c r="DO142" s="1892" t="s">
        <v>8309</v>
      </c>
      <c r="DP142" s="1892">
        <v>266148</v>
      </c>
      <c r="EI142" s="2689" t="s">
        <v>10461</v>
      </c>
    </row>
    <row r="143" spans="1:139" ht="29">
      <c r="A143" s="532"/>
      <c r="D143" s="2062"/>
      <c r="H143" s="3442" t="s">
        <v>5475</v>
      </c>
      <c r="I143" s="3442" t="s">
        <v>3104</v>
      </c>
      <c r="J143" s="3442" t="s">
        <v>5475</v>
      </c>
      <c r="K143" s="3437" t="s">
        <v>3586</v>
      </c>
      <c r="M143" s="3437" t="s">
        <v>7141</v>
      </c>
      <c r="N143" s="2263"/>
      <c r="AN143" s="3592" t="s">
        <v>15022</v>
      </c>
      <c r="AO143" s="3592" t="s">
        <v>15022</v>
      </c>
      <c r="AP143" s="3592" t="s">
        <v>15022</v>
      </c>
      <c r="AQ143" s="3592" t="s">
        <v>15022</v>
      </c>
      <c r="AR143" s="101" t="s">
        <v>9019</v>
      </c>
      <c r="AU143" s="2154" t="s">
        <v>8124</v>
      </c>
      <c r="AV143" s="2290"/>
      <c r="AX143" s="531" t="s">
        <v>8124</v>
      </c>
      <c r="AY143" s="2744" t="s">
        <v>1347</v>
      </c>
      <c r="BH143" s="2406">
        <v>3651002846</v>
      </c>
      <c r="BI143" s="2409" t="s">
        <v>3159</v>
      </c>
      <c r="BJ143" s="2466">
        <v>123348</v>
      </c>
      <c r="BK143" s="530"/>
      <c r="BU143" s="3126" t="s">
        <v>5122</v>
      </c>
      <c r="BV143" s="3082" t="str">
        <f t="shared" si="2"/>
        <v>{2114000х активов</v>
      </c>
      <c r="BW143" s="101"/>
      <c r="BZ143" s="3112" t="s">
        <v>6955</v>
      </c>
      <c r="CA143" s="3113" t="s">
        <v>3769</v>
      </c>
      <c r="CS143" s="3437" t="s">
        <v>4839</v>
      </c>
      <c r="CT143" s="2299" t="s">
        <v>6619</v>
      </c>
      <c r="DA143" s="2558"/>
      <c r="DB143" s="2153" t="s">
        <v>7304</v>
      </c>
      <c r="DK143" s="2448"/>
      <c r="DL143" s="2448"/>
      <c r="DM143" s="2448"/>
      <c r="DO143" s="1892" t="s">
        <v>8310</v>
      </c>
      <c r="DP143" s="1892">
        <v>215981</v>
      </c>
      <c r="EI143" s="2689" t="s">
        <v>10462</v>
      </c>
    </row>
    <row r="144" spans="1:139" ht="43.5">
      <c r="A144" s="532"/>
      <c r="D144" s="2062"/>
      <c r="H144" s="3442" t="s">
        <v>5476</v>
      </c>
      <c r="I144" s="3442" t="s">
        <v>3104</v>
      </c>
      <c r="J144" s="3442" t="s">
        <v>5476</v>
      </c>
      <c r="K144" s="3437" t="s">
        <v>3587</v>
      </c>
      <c r="M144" s="3437" t="s">
        <v>7142</v>
      </c>
      <c r="N144" s="2263"/>
      <c r="AN144" s="3592" t="s">
        <v>15023</v>
      </c>
      <c r="AO144" s="3592" t="s">
        <v>15023</v>
      </c>
      <c r="AP144" s="3592" t="s">
        <v>15023</v>
      </c>
      <c r="AQ144" s="3592" t="s">
        <v>15023</v>
      </c>
      <c r="AR144" s="101" t="s">
        <v>9020</v>
      </c>
      <c r="AU144" s="2154" t="s">
        <v>8125</v>
      </c>
      <c r="AV144" s="2154"/>
      <c r="AX144" s="531" t="s">
        <v>8125</v>
      </c>
      <c r="AY144" s="2744" t="s">
        <v>5870</v>
      </c>
      <c r="AZ144" s="2744"/>
      <c r="BH144" s="2406">
        <v>3651003335</v>
      </c>
      <c r="BI144" s="2409" t="s">
        <v>1894</v>
      </c>
      <c r="BJ144" s="2466">
        <v>255989</v>
      </c>
      <c r="BK144" s="530"/>
      <c r="BQ144" s="3083"/>
      <c r="BR144" s="3083"/>
      <c r="BU144" s="3126" t="s">
        <v>8503</v>
      </c>
      <c r="BV144" s="3082" t="str">
        <f t="shared" si="2"/>
        <v>{2115000мущества)</v>
      </c>
      <c r="BW144" s="101"/>
      <c r="BZ144" s="3112" t="s">
        <v>7075</v>
      </c>
      <c r="CA144" s="3113" t="s">
        <v>3887</v>
      </c>
      <c r="CS144" s="3437" t="s">
        <v>3604</v>
      </c>
      <c r="CT144" s="2299" t="s">
        <v>6620</v>
      </c>
      <c r="DA144" s="2558"/>
      <c r="DB144" s="2153" t="s">
        <v>7305</v>
      </c>
      <c r="DO144" s="1892" t="s">
        <v>8311</v>
      </c>
      <c r="DP144" s="1892">
        <v>294027</v>
      </c>
      <c r="EI144" s="2689" t="s">
        <v>10463</v>
      </c>
    </row>
    <row r="145" spans="1:139" ht="43.5">
      <c r="A145" s="532"/>
      <c r="D145" s="2062"/>
      <c r="H145" s="3633" t="s">
        <v>5479</v>
      </c>
      <c r="I145" s="3139"/>
      <c r="J145" s="3442" t="s">
        <v>5479</v>
      </c>
      <c r="K145" s="3437" t="s">
        <v>3589</v>
      </c>
      <c r="M145" s="3437" t="s">
        <v>3646</v>
      </c>
      <c r="N145" s="2263"/>
      <c r="AN145" s="3592" t="s">
        <v>15024</v>
      </c>
      <c r="AO145" s="3592" t="s">
        <v>15024</v>
      </c>
      <c r="AP145" s="3592" t="s">
        <v>15024</v>
      </c>
      <c r="AQ145" s="3592" t="s">
        <v>15024</v>
      </c>
      <c r="AR145" s="101" t="s">
        <v>9021</v>
      </c>
      <c r="AU145" s="2154" t="s">
        <v>8126</v>
      </c>
      <c r="AV145" s="2154"/>
      <c r="AX145" s="531" t="s">
        <v>8126</v>
      </c>
      <c r="AY145" s="2091" t="s">
        <v>6153</v>
      </c>
      <c r="BH145" s="2406">
        <v>3651005766</v>
      </c>
      <c r="BI145" s="2409" t="s">
        <v>2508</v>
      </c>
      <c r="BJ145" s="2466">
        <v>217840</v>
      </c>
      <c r="BK145" s="530"/>
      <c r="BU145" s="3126" t="s">
        <v>5125</v>
      </c>
      <c r="BV145" s="3082" t="str">
        <f t="shared" si="2"/>
        <v>{2121100анизациях</v>
      </c>
      <c r="BW145" s="101"/>
      <c r="BZ145" s="3112" t="s">
        <v>7053</v>
      </c>
      <c r="CA145" s="3113" t="s">
        <v>3849</v>
      </c>
      <c r="CP145" s="3083"/>
      <c r="CS145" s="3437" t="s">
        <v>1418</v>
      </c>
      <c r="CT145" s="2299" t="s">
        <v>6621</v>
      </c>
      <c r="CV145" s="3083"/>
      <c r="DA145" s="2558"/>
      <c r="DB145" s="2153" t="s">
        <v>7306</v>
      </c>
      <c r="DO145" s="1892" t="s">
        <v>8312</v>
      </c>
      <c r="DP145" s="1892">
        <v>297797</v>
      </c>
      <c r="EI145" s="2689" t="s">
        <v>10464</v>
      </c>
    </row>
    <row r="146" spans="1:139" ht="29">
      <c r="A146" s="532"/>
      <c r="D146" s="2062"/>
      <c r="H146" s="3442" t="s">
        <v>1266</v>
      </c>
      <c r="I146" s="3442" t="s">
        <v>3104</v>
      </c>
      <c r="J146" s="3442" t="s">
        <v>1266</v>
      </c>
      <c r="K146" s="3437" t="s">
        <v>3590</v>
      </c>
      <c r="M146" s="3437" t="s">
        <v>4829</v>
      </c>
      <c r="N146" s="2263"/>
      <c r="AN146" s="3592" t="s">
        <v>15025</v>
      </c>
      <c r="AO146" s="3592" t="s">
        <v>15025</v>
      </c>
      <c r="AP146" s="3592" t="s">
        <v>15025</v>
      </c>
      <c r="AQ146" s="3592" t="s">
        <v>15025</v>
      </c>
      <c r="AR146" s="101" t="s">
        <v>9022</v>
      </c>
      <c r="AU146" s="2154" t="s">
        <v>5340</v>
      </c>
      <c r="AV146" s="2154"/>
      <c r="AX146" s="531" t="s">
        <v>5340</v>
      </c>
      <c r="AY146" s="2091" t="s">
        <v>6154</v>
      </c>
      <c r="BH146" s="2406">
        <v>3651006819</v>
      </c>
      <c r="BI146" s="2409" t="s">
        <v>2386</v>
      </c>
      <c r="BJ146" s="2466">
        <v>146371</v>
      </c>
      <c r="BK146" s="530"/>
      <c r="BU146" s="3126" t="s">
        <v>5126</v>
      </c>
      <c r="BV146" s="3082" t="str">
        <f t="shared" si="2"/>
        <v>{2121200правлении</v>
      </c>
      <c r="BW146" s="101"/>
      <c r="BZ146" s="3112" t="s">
        <v>7066</v>
      </c>
      <c r="CA146" s="3113" t="s">
        <v>3862</v>
      </c>
      <c r="CS146" s="3437" t="s">
        <v>1419</v>
      </c>
      <c r="CT146" s="2299" t="s">
        <v>6622</v>
      </c>
      <c r="DA146" s="2558"/>
      <c r="DB146" s="2153" t="s">
        <v>7307</v>
      </c>
      <c r="DK146" s="3083"/>
      <c r="DL146" s="3083"/>
      <c r="DM146" s="3083"/>
      <c r="DO146" s="1892" t="s">
        <v>8313</v>
      </c>
      <c r="DP146" s="1892">
        <v>183559</v>
      </c>
      <c r="EI146" s="2689" t="s">
        <v>10465</v>
      </c>
    </row>
    <row r="147" spans="1:139" ht="29">
      <c r="A147" s="532"/>
      <c r="D147" s="2062"/>
      <c r="H147" s="3442" t="s">
        <v>5477</v>
      </c>
      <c r="I147" s="3442" t="s">
        <v>3104</v>
      </c>
      <c r="J147" s="3442" t="s">
        <v>5477</v>
      </c>
      <c r="K147" s="3437" t="s">
        <v>7139</v>
      </c>
      <c r="M147" s="3437" t="s">
        <v>3649</v>
      </c>
      <c r="N147" s="2263"/>
      <c r="AN147" s="3592" t="s">
        <v>15026</v>
      </c>
      <c r="AO147" s="3592" t="s">
        <v>15026</v>
      </c>
      <c r="AP147" s="3592" t="s">
        <v>15026</v>
      </c>
      <c r="AQ147" s="3592" t="s">
        <v>15026</v>
      </c>
      <c r="AR147" s="101" t="s">
        <v>9023</v>
      </c>
      <c r="AU147" s="2154" t="s">
        <v>1347</v>
      </c>
      <c r="AV147" s="2154"/>
      <c r="AX147" s="531" t="s">
        <v>1347</v>
      </c>
      <c r="AY147" s="2091" t="s">
        <v>6155</v>
      </c>
      <c r="BH147" s="2405">
        <v>3651008478</v>
      </c>
      <c r="BI147" s="2405" t="s">
        <v>3923</v>
      </c>
      <c r="BJ147" s="2466">
        <v>293</v>
      </c>
      <c r="BK147" s="530"/>
      <c r="BU147" s="3126" t="s">
        <v>5127</v>
      </c>
      <c r="BV147" s="3082" t="str">
        <f t="shared" si="2"/>
        <v>{2122000вложениям</v>
      </c>
      <c r="BW147" s="101"/>
      <c r="BZ147" s="3112" t="s">
        <v>7004</v>
      </c>
      <c r="CA147" s="3113" t="s">
        <v>3894</v>
      </c>
      <c r="CS147" s="3437" t="s">
        <v>1420</v>
      </c>
      <c r="CT147" s="2299" t="s">
        <v>6623</v>
      </c>
      <c r="DA147" s="2558"/>
      <c r="DB147" s="2153" t="s">
        <v>7308</v>
      </c>
      <c r="DK147" s="3083"/>
      <c r="DL147" s="3083"/>
      <c r="DM147" s="3083"/>
      <c r="DO147" s="1892" t="s">
        <v>8314</v>
      </c>
      <c r="DP147" s="1892">
        <v>364780</v>
      </c>
      <c r="EI147" s="2689" t="s">
        <v>10466</v>
      </c>
    </row>
    <row r="148" spans="1:139" ht="29">
      <c r="A148" s="532"/>
      <c r="D148" s="2062"/>
      <c r="H148" s="3442" t="s">
        <v>1268</v>
      </c>
      <c r="I148" s="3442" t="s">
        <v>3104</v>
      </c>
      <c r="J148" s="3442" t="s">
        <v>1268</v>
      </c>
      <c r="K148" s="3437" t="s">
        <v>7140</v>
      </c>
      <c r="M148" s="3437" t="s">
        <v>3651</v>
      </c>
      <c r="N148" s="2263"/>
      <c r="AN148" s="3592" t="s">
        <v>15027</v>
      </c>
      <c r="AO148" s="3592" t="s">
        <v>15027</v>
      </c>
      <c r="AP148" s="3592" t="s">
        <v>15027</v>
      </c>
      <c r="AQ148" s="3592" t="s">
        <v>15027</v>
      </c>
      <c r="AR148" s="101" t="s">
        <v>9024</v>
      </c>
      <c r="AU148" s="2154" t="s">
        <v>5870</v>
      </c>
      <c r="AV148" s="2154"/>
      <c r="AX148" s="531" t="s">
        <v>5870</v>
      </c>
      <c r="AY148" s="2091" t="s">
        <v>8666</v>
      </c>
      <c r="BH148" s="2405">
        <v>3651008608</v>
      </c>
      <c r="BI148" s="2405" t="s">
        <v>1632</v>
      </c>
      <c r="BJ148" s="2466">
        <v>123380</v>
      </c>
      <c r="BK148" s="530"/>
      <c r="BP148" s="3083"/>
      <c r="BQ148" s="3083"/>
      <c r="BR148" s="3083"/>
      <c r="BT148" s="3083"/>
      <c r="BU148" s="3126" t="s">
        <v>5129</v>
      </c>
      <c r="BV148" s="3082" t="str">
        <f t="shared" si="2"/>
        <v>{2191100й и долей</v>
      </c>
      <c r="BW148" s="101"/>
      <c r="BZ148" s="3112" t="s">
        <v>7070</v>
      </c>
      <c r="CA148" s="3113" t="s">
        <v>3866</v>
      </c>
      <c r="CS148" s="3437" t="s">
        <v>1421</v>
      </c>
      <c r="CT148" s="2299" t="s">
        <v>6624</v>
      </c>
      <c r="DA148" s="2558"/>
      <c r="DB148" s="2153" t="s">
        <v>7309</v>
      </c>
      <c r="DK148" s="2448"/>
      <c r="DL148" s="2448"/>
      <c r="DM148" s="2448"/>
      <c r="DO148" s="1892" t="s">
        <v>8315</v>
      </c>
      <c r="DP148" s="1892">
        <v>320748</v>
      </c>
      <c r="EI148" s="2689" t="s">
        <v>10467</v>
      </c>
    </row>
    <row r="149" spans="1:139" ht="43.5">
      <c r="A149" s="532"/>
      <c r="D149" s="2062"/>
      <c r="H149" s="3442" t="s">
        <v>1269</v>
      </c>
      <c r="I149" s="3442" t="s">
        <v>3104</v>
      </c>
      <c r="J149" s="3442" t="s">
        <v>1269</v>
      </c>
      <c r="K149" s="3437" t="s">
        <v>8498</v>
      </c>
      <c r="M149" s="3437" t="s">
        <v>4840</v>
      </c>
      <c r="N149" s="2263"/>
      <c r="AN149" s="3283" t="s">
        <v>9801</v>
      </c>
      <c r="AO149" s="3283" t="s">
        <v>9801</v>
      </c>
      <c r="AP149" s="3437" t="s">
        <v>9801</v>
      </c>
      <c r="AQ149" s="3283" t="s">
        <v>9801</v>
      </c>
      <c r="AR149" s="101" t="s">
        <v>9025</v>
      </c>
      <c r="AU149" s="2290" t="s">
        <v>6153</v>
      </c>
      <c r="AV149" s="2154"/>
      <c r="AX149" s="2091" t="s">
        <v>6153</v>
      </c>
      <c r="AY149" s="2091" t="s">
        <v>9824</v>
      </c>
      <c r="BC149" s="2514"/>
      <c r="BH149" s="2406">
        <v>3661001457</v>
      </c>
      <c r="BI149" s="2409" t="s">
        <v>2485</v>
      </c>
      <c r="BJ149" s="2466">
        <v>403867</v>
      </c>
      <c r="BK149" s="530"/>
      <c r="BQ149" s="3083"/>
      <c r="BR149" s="3083"/>
      <c r="BU149" s="3126" t="s">
        <v>8504</v>
      </c>
      <c r="BV149" s="3082" t="str">
        <f t="shared" si="2"/>
        <v>{2191110капитала)</v>
      </c>
      <c r="BW149" s="101"/>
      <c r="BZ149" s="3112" t="s">
        <v>6940</v>
      </c>
      <c r="CA149" s="3113" t="s">
        <v>3754</v>
      </c>
      <c r="CS149" s="3437" t="s">
        <v>1422</v>
      </c>
      <c r="CT149" s="2299" t="s">
        <v>6625</v>
      </c>
      <c r="DA149" s="2558"/>
      <c r="DB149" s="2153" t="s">
        <v>7310</v>
      </c>
      <c r="DD149" s="3083"/>
      <c r="DK149" s="3083"/>
      <c r="DL149" s="3083"/>
      <c r="DM149" s="3083"/>
      <c r="DO149" s="1892" t="s">
        <v>8316</v>
      </c>
      <c r="DP149" s="1892">
        <v>284947</v>
      </c>
      <c r="EI149" s="2689" t="s">
        <v>10468</v>
      </c>
    </row>
    <row r="150" spans="1:139" ht="29">
      <c r="A150" s="532"/>
      <c r="D150" s="2062"/>
      <c r="H150" s="3442" t="s">
        <v>6844</v>
      </c>
      <c r="I150" s="3442" t="s">
        <v>3152</v>
      </c>
      <c r="J150" s="3442" t="s">
        <v>6844</v>
      </c>
      <c r="K150" s="3437" t="s">
        <v>8531</v>
      </c>
      <c r="M150" s="3437" t="s">
        <v>2315</v>
      </c>
      <c r="N150" s="2263"/>
      <c r="AN150" s="3283" t="s">
        <v>2139</v>
      </c>
      <c r="AO150" s="3283" t="s">
        <v>2139</v>
      </c>
      <c r="AP150" s="3437" t="s">
        <v>2139</v>
      </c>
      <c r="AQ150" s="3283" t="s">
        <v>2139</v>
      </c>
      <c r="AR150" s="101" t="s">
        <v>9026</v>
      </c>
      <c r="AU150" s="2290" t="s">
        <v>6154</v>
      </c>
      <c r="AV150" s="2154"/>
      <c r="AX150" s="2091" t="s">
        <v>6154</v>
      </c>
      <c r="AY150" s="2091" t="s">
        <v>10066</v>
      </c>
      <c r="BH150" s="2406">
        <v>3661006222</v>
      </c>
      <c r="BI150" s="2409" t="s">
        <v>2613</v>
      </c>
      <c r="BJ150" s="2466">
        <v>146375</v>
      </c>
      <c r="BK150" s="530"/>
      <c r="BU150" s="3126" t="s">
        <v>5130</v>
      </c>
      <c r="BV150" s="3082" t="str">
        <f t="shared" si="2"/>
        <v>{2191200валентов)</v>
      </c>
      <c r="BW150" s="101"/>
      <c r="BZ150" s="3112" t="s">
        <v>7009</v>
      </c>
      <c r="CA150" s="3113" t="s">
        <v>2874</v>
      </c>
      <c r="CS150" s="3437" t="s">
        <v>1423</v>
      </c>
      <c r="CT150" s="2299" t="s">
        <v>6626</v>
      </c>
      <c r="DA150" s="2558"/>
      <c r="DB150" s="2153" t="s">
        <v>7311</v>
      </c>
      <c r="DO150" s="1892" t="s">
        <v>8317</v>
      </c>
      <c r="DP150" s="1892">
        <v>328748</v>
      </c>
      <c r="EI150" s="2689" t="s">
        <v>10469</v>
      </c>
    </row>
    <row r="151" spans="1:139" ht="29">
      <c r="A151" s="532"/>
      <c r="D151" s="2062"/>
      <c r="H151" s="3442" t="s">
        <v>6845</v>
      </c>
      <c r="I151" s="3442" t="s">
        <v>3152</v>
      </c>
      <c r="J151" s="3442" t="s">
        <v>6845</v>
      </c>
      <c r="K151" s="3437" t="s">
        <v>8532</v>
      </c>
      <c r="M151" s="3437" t="s">
        <v>2317</v>
      </c>
      <c r="N151" s="2263"/>
      <c r="AN151" s="3283" t="s">
        <v>2140</v>
      </c>
      <c r="AO151" s="3283" t="s">
        <v>2140</v>
      </c>
      <c r="AP151" s="3437" t="s">
        <v>2140</v>
      </c>
      <c r="AQ151" s="3283" t="s">
        <v>2140</v>
      </c>
      <c r="AR151" s="101" t="s">
        <v>9027</v>
      </c>
      <c r="AU151" s="2290" t="s">
        <v>6155</v>
      </c>
      <c r="AV151" s="2154"/>
      <c r="AX151" s="2091" t="s">
        <v>6155</v>
      </c>
      <c r="AY151" s="2091" t="s">
        <v>14531</v>
      </c>
      <c r="BH151" s="2406">
        <v>3661015428</v>
      </c>
      <c r="BI151" s="2409" t="s">
        <v>4501</v>
      </c>
      <c r="BJ151" s="2466">
        <v>123398</v>
      </c>
      <c r="BK151" s="530"/>
      <c r="BU151" s="3126" t="s">
        <v>5131</v>
      </c>
      <c r="BV151" s="3082" t="str">
        <f t="shared" si="2"/>
        <v>{2191400валентов)</v>
      </c>
      <c r="BW151" s="101"/>
      <c r="BZ151" s="3112" t="s">
        <v>7068</v>
      </c>
      <c r="CA151" s="3113" t="s">
        <v>3864</v>
      </c>
      <c r="CP151" s="2448"/>
      <c r="CS151" s="3437" t="s">
        <v>1424</v>
      </c>
      <c r="CT151" s="2299" t="s">
        <v>6627</v>
      </c>
      <c r="CV151" s="2448"/>
      <c r="DA151" s="2558"/>
      <c r="DB151" s="2153" t="s">
        <v>7312</v>
      </c>
      <c r="DO151" s="1892" t="s">
        <v>8318</v>
      </c>
      <c r="DP151" s="1892">
        <v>106073</v>
      </c>
      <c r="EI151" s="2689" t="s">
        <v>10470</v>
      </c>
    </row>
    <row r="152" spans="1:139" ht="43.5">
      <c r="A152" s="532"/>
      <c r="D152" s="2062"/>
      <c r="H152" s="3442" t="s">
        <v>1272</v>
      </c>
      <c r="I152" s="3442" t="s">
        <v>3104</v>
      </c>
      <c r="J152" s="3442" t="s">
        <v>1272</v>
      </c>
      <c r="K152" s="3437" t="s">
        <v>10235</v>
      </c>
      <c r="M152" s="3437" t="s">
        <v>4830</v>
      </c>
      <c r="N152" s="2263"/>
      <c r="AN152" s="3283" t="s">
        <v>2141</v>
      </c>
      <c r="AO152" s="3283" t="s">
        <v>2141</v>
      </c>
      <c r="AP152" s="3437" t="s">
        <v>2141</v>
      </c>
      <c r="AQ152" s="3283" t="s">
        <v>2141</v>
      </c>
      <c r="AR152" s="101" t="s">
        <v>9028</v>
      </c>
      <c r="AU152" s="2290" t="s">
        <v>8666</v>
      </c>
      <c r="AV152" s="2154"/>
      <c r="AX152" s="2091" t="s">
        <v>8666</v>
      </c>
      <c r="AY152" s="2744" t="s">
        <v>5341</v>
      </c>
      <c r="BH152" s="2406">
        <v>3662011722</v>
      </c>
      <c r="BI152" s="2409" t="s">
        <v>2719</v>
      </c>
      <c r="BJ152" s="2466">
        <v>123416</v>
      </c>
      <c r="BK152" s="530"/>
      <c r="BL152" s="3083"/>
      <c r="BM152" s="3083"/>
      <c r="BN152" s="3083"/>
      <c r="BP152" s="3083"/>
      <c r="BQ152" s="3083"/>
      <c r="BR152" s="3083"/>
      <c r="BT152" s="3083"/>
      <c r="BU152" s="3126" t="s">
        <v>8505</v>
      </c>
      <c r="BV152" s="3082" t="str">
        <f t="shared" si="2"/>
        <v>{2191500кредитора</v>
      </c>
      <c r="BW152" s="101"/>
      <c r="BZ152" s="3112" t="s">
        <v>7006</v>
      </c>
      <c r="CA152" s="3113" t="s">
        <v>3892</v>
      </c>
      <c r="CS152" s="3437" t="s">
        <v>1425</v>
      </c>
      <c r="CT152" s="2299" t="s">
        <v>6628</v>
      </c>
      <c r="DA152" s="2558"/>
      <c r="DB152" s="2153" t="s">
        <v>7313</v>
      </c>
      <c r="DO152" s="1892" t="s">
        <v>8319</v>
      </c>
      <c r="DP152" s="1892">
        <v>113437</v>
      </c>
      <c r="EI152" s="2689" t="s">
        <v>10471</v>
      </c>
    </row>
    <row r="153" spans="1:139" ht="43.5">
      <c r="A153" s="532"/>
      <c r="D153" s="2062"/>
      <c r="H153" s="3442" t="s">
        <v>1273</v>
      </c>
      <c r="I153" s="3442" t="s">
        <v>3104</v>
      </c>
      <c r="J153" s="3442" t="s">
        <v>1273</v>
      </c>
      <c r="K153" s="3437" t="s">
        <v>10236</v>
      </c>
      <c r="M153" s="3437" t="s">
        <v>1135</v>
      </c>
      <c r="N153" s="2263"/>
      <c r="AN153" s="3283" t="s">
        <v>1316</v>
      </c>
      <c r="AO153" s="3283" t="s">
        <v>1316</v>
      </c>
      <c r="AP153" s="3437" t="s">
        <v>1316</v>
      </c>
      <c r="AQ153" s="3283" t="s">
        <v>1316</v>
      </c>
      <c r="AR153" s="101" t="s">
        <v>9029</v>
      </c>
      <c r="AU153" s="2290" t="s">
        <v>9824</v>
      </c>
      <c r="AV153" s="2154"/>
      <c r="AX153" s="2091" t="s">
        <v>9824</v>
      </c>
      <c r="AY153" s="2744" t="s">
        <v>5342</v>
      </c>
      <c r="BH153" s="2406">
        <v>3662081744</v>
      </c>
      <c r="BI153" s="2409" t="s">
        <v>2673</v>
      </c>
      <c r="BJ153" s="2466">
        <v>147486</v>
      </c>
      <c r="BK153" s="530"/>
      <c r="BU153" s="3126" t="s">
        <v>5132</v>
      </c>
      <c r="BV153" s="3082" t="str">
        <f t="shared" si="2"/>
        <v>{2191900 вложений</v>
      </c>
      <c r="BW153" s="101"/>
      <c r="BZ153" s="3112" t="s">
        <v>6941</v>
      </c>
      <c r="CA153" s="3113" t="s">
        <v>3755</v>
      </c>
      <c r="CS153" s="3437" t="s">
        <v>1426</v>
      </c>
      <c r="CT153" s="2299" t="s">
        <v>6629</v>
      </c>
      <c r="DA153" s="2558"/>
      <c r="DB153" s="2153" t="s">
        <v>7314</v>
      </c>
      <c r="DK153" s="2448"/>
      <c r="DL153" s="2448"/>
      <c r="DM153" s="2448"/>
      <c r="DO153" s="1892" t="s">
        <v>8320</v>
      </c>
      <c r="DP153" s="1892">
        <v>195133</v>
      </c>
      <c r="EI153" s="2689" t="s">
        <v>10472</v>
      </c>
    </row>
    <row r="154" spans="1:139" ht="43.5">
      <c r="A154" s="2447"/>
      <c r="D154" s="2062"/>
      <c r="H154" s="3442" t="s">
        <v>1216</v>
      </c>
      <c r="I154" s="3442" t="s">
        <v>3104</v>
      </c>
      <c r="J154" s="3442" t="s">
        <v>1216</v>
      </c>
      <c r="K154" s="3437" t="s">
        <v>1466</v>
      </c>
      <c r="M154" s="3437" t="s">
        <v>2321</v>
      </c>
      <c r="N154" s="2514"/>
      <c r="AF154" s="2744"/>
      <c r="AH154" s="2744"/>
      <c r="AN154" s="3283" t="s">
        <v>14365</v>
      </c>
      <c r="AO154" s="3283" t="s">
        <v>14365</v>
      </c>
      <c r="AP154" s="3437" t="s">
        <v>14365</v>
      </c>
      <c r="AQ154" s="3283" t="s">
        <v>14365</v>
      </c>
      <c r="AR154" s="101" t="s">
        <v>9030</v>
      </c>
      <c r="AT154" s="2744"/>
      <c r="AU154" s="2290" t="s">
        <v>10066</v>
      </c>
      <c r="AV154" s="2154"/>
      <c r="AX154" s="2091" t="s">
        <v>10066</v>
      </c>
      <c r="AY154" s="2744" t="s">
        <v>5351</v>
      </c>
      <c r="BH154" s="2406">
        <v>3662106678</v>
      </c>
      <c r="BI154" s="2409" t="s">
        <v>3155</v>
      </c>
      <c r="BJ154" s="2466">
        <v>123462</v>
      </c>
      <c r="BK154" s="530"/>
      <c r="BL154" s="3083"/>
      <c r="BM154" s="3083"/>
      <c r="BN154" s="3083"/>
      <c r="BP154" s="3083"/>
      <c r="BQ154" s="3083"/>
      <c r="BR154" s="3083"/>
      <c r="BS154" s="3083"/>
      <c r="BT154" s="3083"/>
      <c r="BU154" s="3126" t="s">
        <v>5133</v>
      </c>
      <c r="BV154" s="3082" t="str">
        <f t="shared" si="2"/>
        <v>{2192000анизациям</v>
      </c>
      <c r="BW154" s="101"/>
      <c r="BX154" s="3083"/>
      <c r="BY154" s="3083"/>
      <c r="BZ154" s="3112" t="s">
        <v>7003</v>
      </c>
      <c r="CA154" s="3113" t="s">
        <v>3895</v>
      </c>
      <c r="CB154" s="3083"/>
      <c r="CC154" s="3083"/>
      <c r="CE154" s="3083"/>
      <c r="CF154" s="3083"/>
      <c r="CG154" s="3083"/>
      <c r="CH154" s="3083"/>
      <c r="CI154" s="3083"/>
      <c r="CJ154" s="3083"/>
      <c r="CS154" s="3437" t="s">
        <v>8734</v>
      </c>
      <c r="CT154" s="2299" t="s">
        <v>6630</v>
      </c>
      <c r="DA154" s="2558"/>
      <c r="DB154" s="2153" t="s">
        <v>7315</v>
      </c>
      <c r="DD154" s="3083"/>
      <c r="DE154" s="3083"/>
      <c r="DF154" s="3083"/>
      <c r="DK154" s="3083"/>
      <c r="DL154" s="3083"/>
      <c r="DM154" s="3083"/>
      <c r="DO154" s="1892" t="s">
        <v>8321</v>
      </c>
      <c r="DP154" s="1892">
        <v>203608</v>
      </c>
      <c r="EI154" s="2689" t="s">
        <v>10473</v>
      </c>
    </row>
    <row r="155" spans="1:139" ht="38.5">
      <c r="A155" s="532"/>
      <c r="D155" s="2062"/>
      <c r="H155" s="3442" t="s">
        <v>6161</v>
      </c>
      <c r="I155" s="3442" t="s">
        <v>3152</v>
      </c>
      <c r="J155" s="3442" t="s">
        <v>6161</v>
      </c>
      <c r="K155" s="3437" t="s">
        <v>8499</v>
      </c>
      <c r="M155" s="3437" t="s">
        <v>2323</v>
      </c>
      <c r="N155" s="2514"/>
      <c r="AN155" s="3283" t="s">
        <v>2142</v>
      </c>
      <c r="AO155" s="3283" t="s">
        <v>2142</v>
      </c>
      <c r="AP155" s="3437" t="s">
        <v>2142</v>
      </c>
      <c r="AQ155" s="3283" t="s">
        <v>2142</v>
      </c>
      <c r="AR155" s="101" t="s">
        <v>9031</v>
      </c>
      <c r="AU155" s="2290" t="s">
        <v>14531</v>
      </c>
      <c r="AV155" s="2154"/>
      <c r="AX155" s="2091" t="s">
        <v>14531</v>
      </c>
      <c r="AY155" s="2744" t="s">
        <v>3336</v>
      </c>
      <c r="BF155" s="2744"/>
      <c r="BG155" s="2744"/>
      <c r="BH155" s="2406">
        <v>3663006443</v>
      </c>
      <c r="BI155" s="2409" t="s">
        <v>2390</v>
      </c>
      <c r="BJ155" s="2466">
        <v>206051</v>
      </c>
      <c r="BK155" s="530"/>
      <c r="BU155" s="3127" t="s">
        <v>5134</v>
      </c>
      <c r="BV155" s="3082" t="str">
        <f t="shared" si="2"/>
        <v>{2193000валентов)</v>
      </c>
      <c r="BW155" s="101"/>
      <c r="BZ155" s="3112" t="s">
        <v>8518</v>
      </c>
      <c r="CA155" s="3113" t="s">
        <v>8517</v>
      </c>
      <c r="CP155" s="3083"/>
      <c r="CS155" s="3437" t="s">
        <v>8735</v>
      </c>
      <c r="CT155" s="2299" t="s">
        <v>6631</v>
      </c>
      <c r="CV155" s="3083"/>
      <c r="DA155" s="2558"/>
      <c r="DB155" s="2153" t="s">
        <v>7316</v>
      </c>
      <c r="DO155" s="1892" t="s">
        <v>8322</v>
      </c>
      <c r="DP155" s="1892">
        <v>279943</v>
      </c>
      <c r="EI155" s="2689" t="s">
        <v>10474</v>
      </c>
    </row>
    <row r="156" spans="1:139" ht="116">
      <c r="A156" s="532"/>
      <c r="D156" s="2062"/>
      <c r="H156" s="3518" t="s">
        <v>14787</v>
      </c>
      <c r="I156" s="3442" t="s">
        <v>3104</v>
      </c>
      <c r="J156" s="3518" t="s">
        <v>14787</v>
      </c>
      <c r="K156" s="3437" t="s">
        <v>4493</v>
      </c>
      <c r="M156" s="3437" t="s">
        <v>2325</v>
      </c>
      <c r="N156" s="2514"/>
      <c r="AN156" s="3283" t="s">
        <v>2143</v>
      </c>
      <c r="AO156" s="3283" t="s">
        <v>2143</v>
      </c>
      <c r="AP156" s="3437" t="s">
        <v>2143</v>
      </c>
      <c r="AQ156" s="3283" t="s">
        <v>2143</v>
      </c>
      <c r="AR156" s="101" t="s">
        <v>9032</v>
      </c>
      <c r="AU156" s="2154" t="s">
        <v>5341</v>
      </c>
      <c r="AV156" s="2154"/>
      <c r="AX156" s="531" t="s">
        <v>5341</v>
      </c>
      <c r="AY156" s="2744"/>
      <c r="BH156" s="2406">
        <v>3663019523</v>
      </c>
      <c r="BI156" s="2409" t="s">
        <v>1873</v>
      </c>
      <c r="BJ156" s="2466">
        <v>147089</v>
      </c>
      <c r="BK156" s="530"/>
      <c r="BU156" s="3126" t="s">
        <v>5135</v>
      </c>
      <c r="BV156" s="3082" t="str">
        <f t="shared" si="2"/>
        <v>{2199999тельности</v>
      </c>
      <c r="BW156" s="101"/>
      <c r="BZ156" s="3112" t="s">
        <v>6999</v>
      </c>
      <c r="CA156" s="3113" t="s">
        <v>3899</v>
      </c>
      <c r="CS156" s="3437" t="s">
        <v>8736</v>
      </c>
      <c r="CT156" s="2299" t="s">
        <v>6632</v>
      </c>
      <c r="DA156" s="2558"/>
      <c r="DB156" s="2153" t="s">
        <v>7317</v>
      </c>
      <c r="DK156" s="2448"/>
      <c r="DL156" s="2448"/>
      <c r="DM156" s="2448"/>
      <c r="DO156" s="1892" t="s">
        <v>8323</v>
      </c>
      <c r="DP156" s="1892">
        <v>226051</v>
      </c>
      <c r="EI156" s="2689" t="s">
        <v>10475</v>
      </c>
    </row>
    <row r="157" spans="1:139" ht="72.5">
      <c r="A157" s="532"/>
      <c r="D157" s="2062"/>
      <c r="H157" s="3518" t="s">
        <v>14788</v>
      </c>
      <c r="I157" s="3442" t="s">
        <v>3104</v>
      </c>
      <c r="J157" s="3518" t="s">
        <v>14788</v>
      </c>
      <c r="K157" s="3437" t="s">
        <v>8500</v>
      </c>
      <c r="M157" s="3437" t="s">
        <v>4832</v>
      </c>
      <c r="N157" s="2514"/>
      <c r="AN157" s="3283" t="s">
        <v>2144</v>
      </c>
      <c r="AO157" s="3283" t="s">
        <v>2144</v>
      </c>
      <c r="AP157" s="3437" t="s">
        <v>2144</v>
      </c>
      <c r="AQ157" s="3283" t="s">
        <v>2144</v>
      </c>
      <c r="AR157" s="101" t="s">
        <v>9033</v>
      </c>
      <c r="AU157" s="2154" t="s">
        <v>5342</v>
      </c>
      <c r="AV157" s="2154"/>
      <c r="AX157" s="531" t="s">
        <v>5342</v>
      </c>
      <c r="AY157" s="2744"/>
      <c r="BH157" s="2406">
        <v>3663076708</v>
      </c>
      <c r="BI157" s="2409" t="s">
        <v>2681</v>
      </c>
      <c r="BJ157" s="2466">
        <v>179118</v>
      </c>
      <c r="BK157" s="530"/>
      <c r="BU157" s="3126" t="s">
        <v>5706</v>
      </c>
      <c r="BV157" s="3082" t="str">
        <f t="shared" si="2"/>
        <v>{2211010ние земли</v>
      </c>
      <c r="BW157" s="101"/>
      <c r="BZ157" s="3112" t="s">
        <v>7000</v>
      </c>
      <c r="CA157" s="3113" t="s">
        <v>3898</v>
      </c>
      <c r="CP157" s="3083"/>
      <c r="CS157" s="3437" t="s">
        <v>14433</v>
      </c>
      <c r="CT157" s="2299" t="s">
        <v>6633</v>
      </c>
      <c r="CV157" s="3083"/>
      <c r="CZ157" s="3083"/>
      <c r="DA157" s="2558"/>
      <c r="DB157" s="2153" t="s">
        <v>7318</v>
      </c>
      <c r="DK157" s="3083"/>
      <c r="DL157" s="3083"/>
      <c r="DM157" s="3083"/>
      <c r="DO157" s="1892" t="s">
        <v>8324</v>
      </c>
      <c r="DP157" s="1892">
        <v>135463</v>
      </c>
      <c r="EI157" s="2689" t="s">
        <v>10476</v>
      </c>
    </row>
    <row r="158" spans="1:139" ht="72.5">
      <c r="A158" s="532"/>
      <c r="D158" s="2062"/>
      <c r="H158" s="3442" t="s">
        <v>9811</v>
      </c>
      <c r="I158" s="3442" t="s">
        <v>3152</v>
      </c>
      <c r="J158" s="3442" t="s">
        <v>9811</v>
      </c>
      <c r="K158" s="3437" t="s">
        <v>8501</v>
      </c>
      <c r="M158" s="3437" t="s">
        <v>2326</v>
      </c>
      <c r="N158" s="2514"/>
      <c r="AN158" s="3283" t="s">
        <v>7128</v>
      </c>
      <c r="AO158" s="3283" t="s">
        <v>7128</v>
      </c>
      <c r="AP158" s="3437" t="s">
        <v>7128</v>
      </c>
      <c r="AQ158" s="3283" t="s">
        <v>7128</v>
      </c>
      <c r="AR158" s="101" t="s">
        <v>9034</v>
      </c>
      <c r="AU158" s="2154" t="s">
        <v>5343</v>
      </c>
      <c r="AV158" s="2154"/>
      <c r="AX158" s="531" t="s">
        <v>5343</v>
      </c>
      <c r="BH158" s="2406">
        <v>3664009359</v>
      </c>
      <c r="BI158" s="2409" t="s">
        <v>2011</v>
      </c>
      <c r="BJ158" s="2466">
        <v>123539</v>
      </c>
      <c r="BK158" s="530"/>
      <c r="BQ158" s="3083"/>
      <c r="BR158" s="3083"/>
      <c r="BT158" s="3083"/>
      <c r="BU158" s="3126" t="s">
        <v>5707</v>
      </c>
      <c r="BV158" s="3082" t="str">
        <f t="shared" si="2"/>
        <v>{2211020ооружений</v>
      </c>
      <c r="BW158" s="101"/>
      <c r="BZ158" s="3112" t="s">
        <v>7001</v>
      </c>
      <c r="CA158" s="3113" t="s">
        <v>3897</v>
      </c>
      <c r="CS158" s="3437" t="s">
        <v>1427</v>
      </c>
      <c r="CT158" s="2299" t="s">
        <v>6634</v>
      </c>
      <c r="DA158" s="2558"/>
      <c r="DB158" s="2153" t="s">
        <v>7319</v>
      </c>
      <c r="DO158" s="1892" t="s">
        <v>8414</v>
      </c>
      <c r="DP158" s="1892">
        <v>531867</v>
      </c>
      <c r="EI158" s="2689" t="s">
        <v>10477</v>
      </c>
    </row>
    <row r="159" spans="1:139" ht="101.5">
      <c r="A159" s="532"/>
      <c r="D159" s="2062"/>
      <c r="H159" s="3442" t="s">
        <v>14406</v>
      </c>
      <c r="I159" s="3442" t="s">
        <v>3152</v>
      </c>
      <c r="J159" s="3442" t="s">
        <v>14406</v>
      </c>
      <c r="K159" s="3437" t="s">
        <v>4817</v>
      </c>
      <c r="M159" s="3437" t="s">
        <v>2327</v>
      </c>
      <c r="N159" s="2514"/>
      <c r="AN159" s="3283" t="s">
        <v>7129</v>
      </c>
      <c r="AO159" s="3283" t="s">
        <v>7129</v>
      </c>
      <c r="AP159" s="3437" t="s">
        <v>7129</v>
      </c>
      <c r="AQ159" s="3283" t="s">
        <v>7129</v>
      </c>
      <c r="AR159" s="101" t="s">
        <v>9035</v>
      </c>
      <c r="AU159" s="2154" t="s">
        <v>5344</v>
      </c>
      <c r="AV159" s="2154"/>
      <c r="AX159" s="531" t="s">
        <v>5344</v>
      </c>
      <c r="BH159" s="2406">
        <v>3664039378</v>
      </c>
      <c r="BI159" s="2409" t="s">
        <v>2045</v>
      </c>
      <c r="BJ159" s="2466">
        <v>222334</v>
      </c>
      <c r="BK159" s="530"/>
      <c r="BQ159" s="3083"/>
      <c r="BR159" s="3083"/>
      <c r="BT159" s="3083"/>
      <c r="BU159" s="3126" t="s">
        <v>5708</v>
      </c>
      <c r="BV159" s="3082" t="str">
        <f t="shared" si="2"/>
        <v>{2211030рудования</v>
      </c>
      <c r="BW159" s="101"/>
      <c r="BZ159" s="3112" t="s">
        <v>6960</v>
      </c>
      <c r="CA159" s="3113" t="s">
        <v>3774</v>
      </c>
      <c r="CS159" s="3437" t="s">
        <v>259</v>
      </c>
      <c r="CT159" s="2299" t="s">
        <v>6635</v>
      </c>
      <c r="DA159" s="2558"/>
      <c r="DB159" s="2153" t="s">
        <v>7320</v>
      </c>
      <c r="DK159" s="2448"/>
      <c r="DL159" s="2448"/>
      <c r="DM159" s="2448"/>
      <c r="DO159" s="1892" t="s">
        <v>4184</v>
      </c>
      <c r="DP159" s="1892" t="s">
        <v>7156</v>
      </c>
      <c r="EI159" s="2689" t="s">
        <v>10478</v>
      </c>
    </row>
    <row r="160" spans="1:139" ht="43.5">
      <c r="A160" s="532"/>
      <c r="D160" s="2062"/>
      <c r="H160" s="3442" t="s">
        <v>14407</v>
      </c>
      <c r="I160" s="3442" t="s">
        <v>3152</v>
      </c>
      <c r="J160" s="3442" t="s">
        <v>14407</v>
      </c>
      <c r="K160" s="3437" t="s">
        <v>1467</v>
      </c>
      <c r="M160" s="3437" t="s">
        <v>1136</v>
      </c>
      <c r="N160" s="2514"/>
      <c r="AN160" s="3283" t="s">
        <v>2145</v>
      </c>
      <c r="AO160" s="3283" t="s">
        <v>2145</v>
      </c>
      <c r="AP160" s="3437" t="s">
        <v>2145</v>
      </c>
      <c r="AQ160" s="3283" t="s">
        <v>2145</v>
      </c>
      <c r="AR160" s="101" t="s">
        <v>9036</v>
      </c>
      <c r="AU160" s="2154" t="s">
        <v>5339</v>
      </c>
      <c r="AV160" s="2290"/>
      <c r="AX160" s="531" t="s">
        <v>5339</v>
      </c>
      <c r="BH160" s="2406">
        <v>3665004949</v>
      </c>
      <c r="BI160" s="2409" t="s">
        <v>1993</v>
      </c>
      <c r="BJ160" s="2466">
        <v>146168</v>
      </c>
      <c r="BK160" s="530"/>
      <c r="BQ160" s="3083"/>
      <c r="BR160" s="3083"/>
      <c r="BU160" s="3126" t="s">
        <v>5709</v>
      </c>
      <c r="BV160" s="3082" t="str">
        <f t="shared" si="2"/>
        <v>{2211040х средств</v>
      </c>
      <c r="BW160" s="101"/>
      <c r="BZ160" s="3112" t="s">
        <v>6961</v>
      </c>
      <c r="CA160" s="3113" t="s">
        <v>3775</v>
      </c>
      <c r="CS160" s="3437" t="s">
        <v>7109</v>
      </c>
      <c r="CT160" s="2299" t="s">
        <v>6636</v>
      </c>
      <c r="DA160" s="2558"/>
      <c r="DB160" s="2153" t="s">
        <v>7321</v>
      </c>
      <c r="DO160" s="1892"/>
      <c r="EI160" s="2689" t="s">
        <v>10479</v>
      </c>
    </row>
    <row r="161" spans="1:139" ht="72.5">
      <c r="A161" s="532"/>
      <c r="D161" s="2062"/>
      <c r="H161" s="3442" t="s">
        <v>5478</v>
      </c>
      <c r="I161" s="3442" t="s">
        <v>3104</v>
      </c>
      <c r="J161" s="3442" t="s">
        <v>5478</v>
      </c>
      <c r="K161" s="3437" t="s">
        <v>4495</v>
      </c>
      <c r="M161" s="3437" t="s">
        <v>2329</v>
      </c>
      <c r="N161" s="2263"/>
      <c r="AN161" s="3283" t="s">
        <v>2146</v>
      </c>
      <c r="AO161" s="3283" t="s">
        <v>2146</v>
      </c>
      <c r="AP161" s="3437" t="s">
        <v>2146</v>
      </c>
      <c r="AQ161" s="3283" t="s">
        <v>2146</v>
      </c>
      <c r="AR161" s="101" t="s">
        <v>9037</v>
      </c>
      <c r="AU161" s="2154" t="s">
        <v>5345</v>
      </c>
      <c r="AV161" s="2290"/>
      <c r="AX161" s="531" t="s">
        <v>5345</v>
      </c>
      <c r="BH161" s="2406">
        <v>3666063979</v>
      </c>
      <c r="BI161" s="2409" t="s">
        <v>2679</v>
      </c>
      <c r="BJ161" s="2466">
        <v>204404</v>
      </c>
      <c r="BK161" s="530"/>
      <c r="BQ161" s="3083"/>
      <c r="BR161" s="3083"/>
      <c r="BT161" s="3083"/>
      <c r="BU161" s="3126" t="s">
        <v>5710</v>
      </c>
      <c r="BV161" s="3082" t="str">
        <f t="shared" si="2"/>
        <v>{2211050рудования</v>
      </c>
      <c r="BW161" s="101"/>
      <c r="BZ161" s="3112" t="s">
        <v>7012</v>
      </c>
      <c r="CA161" s="3113" t="s">
        <v>2876</v>
      </c>
      <c r="CP161" s="3083"/>
      <c r="CS161" s="3437" t="s">
        <v>8731</v>
      </c>
      <c r="CT161" s="2299" t="s">
        <v>6637</v>
      </c>
      <c r="CV161" s="3083"/>
      <c r="DA161" s="2558"/>
      <c r="DB161" s="2153" t="s">
        <v>7322</v>
      </c>
      <c r="DO161" s="1892"/>
      <c r="EI161" s="2689" t="s">
        <v>10480</v>
      </c>
    </row>
    <row r="162" spans="1:139" ht="72.5">
      <c r="A162" s="532"/>
      <c r="D162" s="2062"/>
      <c r="H162" s="3633" t="s">
        <v>4715</v>
      </c>
      <c r="I162" s="3139"/>
      <c r="J162" s="3442" t="s">
        <v>4715</v>
      </c>
      <c r="K162" s="3437" t="s">
        <v>4497</v>
      </c>
      <c r="M162" s="3437" t="s">
        <v>2331</v>
      </c>
      <c r="N162" s="2263"/>
      <c r="AN162" s="3283" t="s">
        <v>2147</v>
      </c>
      <c r="AO162" s="3283" t="s">
        <v>2147</v>
      </c>
      <c r="AP162" s="3437" t="s">
        <v>2147</v>
      </c>
      <c r="AQ162" s="3283" t="s">
        <v>2147</v>
      </c>
      <c r="AR162" s="101" t="s">
        <v>9038</v>
      </c>
      <c r="AU162" s="2154" t="s">
        <v>5346</v>
      </c>
      <c r="AV162" s="2290"/>
      <c r="AX162" s="531" t="s">
        <v>5346</v>
      </c>
      <c r="BH162" s="2406">
        <v>3666075710</v>
      </c>
      <c r="BI162" s="2409" t="s">
        <v>1901</v>
      </c>
      <c r="BJ162" s="2466">
        <v>123717</v>
      </c>
      <c r="BK162" s="530"/>
      <c r="BU162" s="3126" t="s">
        <v>5711</v>
      </c>
      <c r="BV162" s="3082" t="str">
        <f t="shared" si="2"/>
        <v>{2211060х средств</v>
      </c>
      <c r="BW162" s="101"/>
      <c r="BZ162" s="3112" t="s">
        <v>6966</v>
      </c>
      <c r="CA162" s="3113" t="s">
        <v>3780</v>
      </c>
      <c r="CP162" s="3083"/>
      <c r="CS162" s="3437" t="s">
        <v>746</v>
      </c>
      <c r="CT162" s="2299" t="s">
        <v>6638</v>
      </c>
      <c r="CV162" s="3083"/>
      <c r="DA162" s="2558"/>
      <c r="DB162" s="2153" t="s">
        <v>7323</v>
      </c>
      <c r="DO162" s="1892"/>
      <c r="EI162" s="2689" t="s">
        <v>10481</v>
      </c>
    </row>
    <row r="163" spans="1:139" ht="58">
      <c r="A163" s="532"/>
      <c r="D163" s="2062"/>
      <c r="H163" s="3442" t="s">
        <v>8497</v>
      </c>
      <c r="I163" s="3442" t="s">
        <v>1851</v>
      </c>
      <c r="J163" s="3132" t="s">
        <v>8754</v>
      </c>
      <c r="K163" s="3437" t="s">
        <v>4499</v>
      </c>
      <c r="M163" s="3437" t="s">
        <v>7719</v>
      </c>
      <c r="N163" s="2263"/>
      <c r="AN163" s="3283" t="s">
        <v>2148</v>
      </c>
      <c r="AO163" s="3283" t="s">
        <v>2148</v>
      </c>
      <c r="AP163" s="3437" t="s">
        <v>2148</v>
      </c>
      <c r="AQ163" s="3283" t="s">
        <v>2148</v>
      </c>
      <c r="AR163" s="101" t="s">
        <v>9039</v>
      </c>
      <c r="AU163" s="2154" t="s">
        <v>5871</v>
      </c>
      <c r="AV163" s="2154"/>
      <c r="AX163" s="531" t="s">
        <v>5871</v>
      </c>
      <c r="BH163" s="2406">
        <v>3666088317</v>
      </c>
      <c r="BI163" s="2409" t="s">
        <v>2039</v>
      </c>
      <c r="BJ163" s="2466">
        <v>151559</v>
      </c>
      <c r="BK163" s="530"/>
      <c r="BU163" s="3126" t="s">
        <v>5140</v>
      </c>
      <c r="BV163" s="3082" t="str">
        <f t="shared" si="2"/>
        <v>{2212000х активов</v>
      </c>
      <c r="BW163" s="101"/>
      <c r="BZ163" s="3112" t="s">
        <v>7007</v>
      </c>
      <c r="CA163" s="3113" t="s">
        <v>3891</v>
      </c>
      <c r="CP163" s="2448"/>
      <c r="CS163" s="3437" t="s">
        <v>6079</v>
      </c>
      <c r="CT163" s="2299" t="s">
        <v>6639</v>
      </c>
      <c r="CV163" s="2448"/>
      <c r="DA163" s="2558"/>
      <c r="DB163" s="2153" t="s">
        <v>7324</v>
      </c>
      <c r="DK163" s="3083"/>
      <c r="DL163" s="3083"/>
      <c r="DM163" s="3083"/>
      <c r="DO163" s="1892"/>
      <c r="EI163" s="2689" t="s">
        <v>10482</v>
      </c>
    </row>
    <row r="164" spans="1:139" ht="58">
      <c r="A164" s="532"/>
      <c r="D164" s="2062"/>
      <c r="H164" s="3442" t="s">
        <v>6866</v>
      </c>
      <c r="I164" s="3442" t="s">
        <v>1851</v>
      </c>
      <c r="J164" s="3132" t="s">
        <v>8755</v>
      </c>
      <c r="K164" s="3437" t="s">
        <v>1468</v>
      </c>
      <c r="M164" s="3437" t="s">
        <v>7713</v>
      </c>
      <c r="N164" s="2263"/>
      <c r="AN164" s="3283" t="s">
        <v>2149</v>
      </c>
      <c r="AO164" s="3283" t="s">
        <v>2149</v>
      </c>
      <c r="AP164" s="3437" t="s">
        <v>2149</v>
      </c>
      <c r="AQ164" s="3283" t="s">
        <v>2149</v>
      </c>
      <c r="AR164" s="101" t="s">
        <v>9040</v>
      </c>
      <c r="AU164" s="2154" t="s">
        <v>5872</v>
      </c>
      <c r="AV164" s="2154"/>
      <c r="AX164" s="531" t="s">
        <v>5872</v>
      </c>
      <c r="BH164" s="2406">
        <v>3666092377</v>
      </c>
      <c r="BI164" s="2409" t="s">
        <v>2426</v>
      </c>
      <c r="BJ164" s="2466">
        <v>123734</v>
      </c>
      <c r="BK164" s="530"/>
      <c r="BQ164" s="3083"/>
      <c r="BR164" s="3083"/>
      <c r="BU164" s="3126" t="s">
        <v>5141</v>
      </c>
      <c r="BV164" s="3082" t="str">
        <f t="shared" si="2"/>
        <v>{2213000 ценности</v>
      </c>
      <c r="BW164" s="101"/>
      <c r="BZ164" s="3112" t="s">
        <v>6994</v>
      </c>
      <c r="CA164" s="3113" t="s">
        <v>3903</v>
      </c>
      <c r="CP164" s="3083"/>
      <c r="CS164" s="3437" t="s">
        <v>4821</v>
      </c>
      <c r="CT164" s="2299" t="s">
        <v>6640</v>
      </c>
      <c r="CV164" s="3083"/>
      <c r="DA164" s="2558"/>
      <c r="DB164" s="2153" t="s">
        <v>7325</v>
      </c>
      <c r="DK164" s="2448"/>
      <c r="DL164" s="2448"/>
      <c r="DM164" s="2448"/>
      <c r="DO164" s="1892"/>
      <c r="EI164" s="2689" t="s">
        <v>10483</v>
      </c>
    </row>
    <row r="165" spans="1:139" ht="58">
      <c r="A165" s="532"/>
      <c r="D165" s="2062"/>
      <c r="H165" s="3442" t="s">
        <v>2476</v>
      </c>
      <c r="I165" s="3442" t="s">
        <v>2477</v>
      </c>
      <c r="J165" s="3132" t="s">
        <v>8756</v>
      </c>
      <c r="K165" s="3437" t="s">
        <v>4502</v>
      </c>
      <c r="M165" s="3437" t="s">
        <v>4833</v>
      </c>
      <c r="N165" s="2263"/>
      <c r="AN165" s="3283" t="s">
        <v>2150</v>
      </c>
      <c r="AO165" s="3283" t="s">
        <v>2150</v>
      </c>
      <c r="AP165" s="3437" t="s">
        <v>2150</v>
      </c>
      <c r="AQ165" s="3283" t="s">
        <v>2150</v>
      </c>
      <c r="AR165" s="101" t="s">
        <v>9041</v>
      </c>
      <c r="AU165" s="2154" t="s">
        <v>5873</v>
      </c>
      <c r="AV165" s="2154"/>
      <c r="AX165" s="531" t="s">
        <v>5873</v>
      </c>
      <c r="BH165" s="2406">
        <v>3666128023</v>
      </c>
      <c r="BI165" s="2409" t="s">
        <v>2756</v>
      </c>
      <c r="BJ165" s="2466">
        <v>147342</v>
      </c>
      <c r="BK165" s="530"/>
      <c r="BU165" s="3126" t="s">
        <v>5144</v>
      </c>
      <c r="BV165" s="3082" t="str">
        <f t="shared" si="2"/>
        <v>{2221000рудников)</v>
      </c>
      <c r="BW165" s="101"/>
      <c r="BZ165" s="3112" t="s">
        <v>6968</v>
      </c>
      <c r="CA165" s="3113" t="s">
        <v>3782</v>
      </c>
      <c r="CS165" s="3437" t="s">
        <v>8732</v>
      </c>
      <c r="CT165" s="2299" t="s">
        <v>6641</v>
      </c>
      <c r="DA165" s="2558"/>
      <c r="DB165" s="2153" t="s">
        <v>7326</v>
      </c>
      <c r="DK165" s="2448"/>
      <c r="DL165" s="2448"/>
      <c r="DM165" s="2448"/>
      <c r="DO165" s="1892"/>
      <c r="EI165" s="2689" t="s">
        <v>10484</v>
      </c>
    </row>
    <row r="166" spans="1:139" ht="72.5">
      <c r="A166" s="532"/>
      <c r="D166" s="2062"/>
      <c r="H166" s="3442" t="s">
        <v>4718</v>
      </c>
      <c r="I166" s="3442" t="s">
        <v>2477</v>
      </c>
      <c r="J166" s="3132" t="s">
        <v>8757</v>
      </c>
      <c r="K166" s="3437" t="s">
        <v>3592</v>
      </c>
      <c r="M166" s="3437" t="s">
        <v>2332</v>
      </c>
      <c r="N166" s="2263"/>
      <c r="AN166" s="3283" t="s">
        <v>4512</v>
      </c>
      <c r="AO166" s="3283" t="s">
        <v>4512</v>
      </c>
      <c r="AP166" s="3437" t="s">
        <v>4512</v>
      </c>
      <c r="AQ166" s="3283" t="s">
        <v>4512</v>
      </c>
      <c r="AR166" s="101" t="s">
        <v>10070</v>
      </c>
      <c r="AU166" s="2154" t="s">
        <v>5874</v>
      </c>
      <c r="AV166" s="2154"/>
      <c r="AX166" s="531" t="s">
        <v>5874</v>
      </c>
      <c r="BC166" s="2744"/>
      <c r="BH166" s="2406">
        <v>3730001436</v>
      </c>
      <c r="BI166" s="2409" t="s">
        <v>2939</v>
      </c>
      <c r="BJ166" s="2466">
        <v>261886</v>
      </c>
      <c r="BK166" s="530"/>
      <c r="BU166" s="3126" t="s">
        <v>5145</v>
      </c>
      <c r="BV166" s="3082" t="str">
        <f t="shared" si="2"/>
        <v>{2222000валентов)</v>
      </c>
      <c r="BW166" s="101"/>
      <c r="BZ166" s="3112" t="s">
        <v>7092</v>
      </c>
      <c r="CA166" s="3113" t="s">
        <v>3877</v>
      </c>
      <c r="CS166" s="3437" t="s">
        <v>8733</v>
      </c>
      <c r="CT166" s="2299" t="s">
        <v>6642</v>
      </c>
      <c r="DA166" s="2558"/>
      <c r="DB166" s="2153" t="s">
        <v>7327</v>
      </c>
      <c r="DK166" s="2448"/>
      <c r="DL166" s="2448"/>
      <c r="DM166" s="2448"/>
      <c r="DO166" s="1892"/>
      <c r="EI166" s="2689" t="s">
        <v>10485</v>
      </c>
    </row>
    <row r="167" spans="1:139" ht="29">
      <c r="A167" s="532"/>
      <c r="D167" s="2062"/>
      <c r="H167" s="3442" t="s">
        <v>2480</v>
      </c>
      <c r="I167" s="3442" t="s">
        <v>2477</v>
      </c>
      <c r="K167" s="3437" t="s">
        <v>3594</v>
      </c>
      <c r="M167" s="3437" t="s">
        <v>2334</v>
      </c>
      <c r="N167" s="2263"/>
      <c r="AN167" s="3283" t="s">
        <v>426</v>
      </c>
      <c r="AO167" s="3283" t="s">
        <v>426</v>
      </c>
      <c r="AP167" s="3437" t="s">
        <v>426</v>
      </c>
      <c r="AQ167" s="3283" t="s">
        <v>426</v>
      </c>
      <c r="AR167" s="101" t="s">
        <v>9042</v>
      </c>
      <c r="AU167" s="2154" t="s">
        <v>5875</v>
      </c>
      <c r="AV167" s="2154"/>
      <c r="AX167" s="531" t="s">
        <v>5875</v>
      </c>
      <c r="BH167" s="2406">
        <v>3731000308</v>
      </c>
      <c r="BI167" s="2409" t="s">
        <v>1535</v>
      </c>
      <c r="BJ167" s="2466">
        <v>103818</v>
      </c>
      <c r="BK167" s="530"/>
      <c r="BU167" s="3126" t="s">
        <v>5148</v>
      </c>
      <c r="BV167" s="3082" t="str">
        <f t="shared" si="2"/>
        <v>{2223100торговли)</v>
      </c>
      <c r="BW167" s="101"/>
      <c r="BZ167" s="3112" t="s">
        <v>6993</v>
      </c>
      <c r="CA167" s="3113" t="s">
        <v>3904</v>
      </c>
      <c r="CP167" s="3083"/>
      <c r="CS167" s="3437" t="s">
        <v>4822</v>
      </c>
      <c r="CT167" s="2299" t="s">
        <v>6643</v>
      </c>
      <c r="CV167" s="3083"/>
      <c r="DA167" s="2558"/>
      <c r="DB167" s="2153" t="s">
        <v>7328</v>
      </c>
      <c r="DO167" s="1892"/>
      <c r="EI167" s="2689" t="s">
        <v>10486</v>
      </c>
    </row>
    <row r="168" spans="1:139" ht="113.25" customHeight="1">
      <c r="A168" s="532"/>
      <c r="D168" s="2062"/>
      <c r="H168" s="3442" t="s">
        <v>7137</v>
      </c>
      <c r="I168" s="3442" t="s">
        <v>3285</v>
      </c>
      <c r="K168" s="3437" t="s">
        <v>4818</v>
      </c>
      <c r="M168" s="3437" t="s">
        <v>2335</v>
      </c>
      <c r="N168" s="2263"/>
      <c r="AN168" s="3283" t="s">
        <v>1317</v>
      </c>
      <c r="AO168" s="3283" t="s">
        <v>1317</v>
      </c>
      <c r="AP168" s="3437" t="s">
        <v>1317</v>
      </c>
      <c r="AQ168" s="3283" t="s">
        <v>1317</v>
      </c>
      <c r="AR168" s="101" t="s">
        <v>9043</v>
      </c>
      <c r="AU168" s="2154" t="s">
        <v>5876</v>
      </c>
      <c r="AV168" s="2154"/>
      <c r="AX168" s="531" t="s">
        <v>5876</v>
      </c>
      <c r="BH168" s="2406">
        <v>3800000358</v>
      </c>
      <c r="BI168" s="2409" t="s">
        <v>3171</v>
      </c>
      <c r="BJ168" s="2466">
        <v>200400</v>
      </c>
      <c r="BK168" s="530"/>
      <c r="BQ168" s="3083"/>
      <c r="BR168" s="3083"/>
      <c r="BU168" s="3126" t="s">
        <v>5149</v>
      </c>
      <c r="BV168" s="3082" t="str">
        <f t="shared" si="2"/>
        <v>{2223200валентов)</v>
      </c>
      <c r="BW168" s="101"/>
      <c r="BZ168" s="3112" t="s">
        <v>6992</v>
      </c>
      <c r="CA168" s="3113" t="s">
        <v>3905</v>
      </c>
      <c r="CS168" s="3437" t="s">
        <v>4823</v>
      </c>
      <c r="CT168" s="2299" t="s">
        <v>6644</v>
      </c>
      <c r="DA168" s="2558"/>
      <c r="DB168" s="2153" t="s">
        <v>7329</v>
      </c>
      <c r="DO168" s="1892"/>
      <c r="EI168" s="2689" t="s">
        <v>10487</v>
      </c>
    </row>
    <row r="169" spans="1:139" ht="115.5" customHeight="1">
      <c r="A169" s="532"/>
      <c r="D169" s="2062"/>
      <c r="H169" s="3442" t="s">
        <v>14408</v>
      </c>
      <c r="I169" s="3442" t="s">
        <v>3285</v>
      </c>
      <c r="K169" s="3437" t="s">
        <v>4819</v>
      </c>
      <c r="M169" s="3437" t="s">
        <v>2336</v>
      </c>
      <c r="N169" s="2263"/>
      <c r="AN169" s="3283" t="s">
        <v>1318</v>
      </c>
      <c r="AO169" s="3283" t="s">
        <v>1318</v>
      </c>
      <c r="AP169" s="3437" t="s">
        <v>1318</v>
      </c>
      <c r="AQ169" s="3283" t="s">
        <v>1318</v>
      </c>
      <c r="AR169" s="101" t="s">
        <v>9044</v>
      </c>
      <c r="AU169" s="2154" t="s">
        <v>5877</v>
      </c>
      <c r="AV169" s="2154"/>
      <c r="AX169" s="531" t="s">
        <v>5877</v>
      </c>
      <c r="BH169" s="2406">
        <v>3800000703</v>
      </c>
      <c r="BI169" s="2409" t="s">
        <v>171</v>
      </c>
      <c r="BJ169" s="2466">
        <v>97395</v>
      </c>
      <c r="BK169" s="530"/>
      <c r="BU169" s="3126" t="s">
        <v>5150</v>
      </c>
      <c r="BV169" s="3082" t="str">
        <f t="shared" si="2"/>
        <v>{2223400валентов)</v>
      </c>
      <c r="BW169" s="101"/>
      <c r="BZ169" s="3112" t="s">
        <v>7021</v>
      </c>
      <c r="CA169" s="3113" t="s">
        <v>3817</v>
      </c>
      <c r="CS169" s="3437" t="s">
        <v>3637</v>
      </c>
      <c r="CT169" s="2299" t="s">
        <v>6645</v>
      </c>
      <c r="DA169" s="2558"/>
      <c r="DB169" s="2153" t="s">
        <v>7330</v>
      </c>
      <c r="DK169" s="3083"/>
      <c r="DL169" s="3083"/>
      <c r="DM169" s="3083"/>
      <c r="DO169" s="2777"/>
      <c r="EI169" s="2689" t="s">
        <v>10488</v>
      </c>
    </row>
    <row r="170" spans="1:139" ht="72.75" customHeight="1">
      <c r="A170" s="532"/>
      <c r="D170" s="2062"/>
      <c r="H170" s="3442" t="s">
        <v>2482</v>
      </c>
      <c r="I170" s="3442" t="s">
        <v>2477</v>
      </c>
      <c r="J170" s="2514"/>
      <c r="K170" s="3437" t="s">
        <v>7682</v>
      </c>
      <c r="M170" s="3437" t="s">
        <v>7143</v>
      </c>
      <c r="N170" s="2263"/>
      <c r="AN170" s="3283" t="s">
        <v>1319</v>
      </c>
      <c r="AO170" s="3283" t="s">
        <v>1319</v>
      </c>
      <c r="AP170" s="3437" t="s">
        <v>1319</v>
      </c>
      <c r="AQ170" s="3283" t="s">
        <v>1319</v>
      </c>
      <c r="AR170" s="101" t="s">
        <v>9045</v>
      </c>
      <c r="AU170" s="2154" t="s">
        <v>5878</v>
      </c>
      <c r="AV170" s="2154"/>
      <c r="AX170" s="531" t="s">
        <v>5878</v>
      </c>
      <c r="BH170" s="2406">
        <v>3801009466</v>
      </c>
      <c r="BI170" s="2409" t="s">
        <v>2425</v>
      </c>
      <c r="BJ170" s="2466">
        <v>152849</v>
      </c>
      <c r="BK170" s="530"/>
      <c r="BQ170" s="3083"/>
      <c r="BR170" s="3083"/>
      <c r="BU170" s="3126" t="s">
        <v>8502</v>
      </c>
      <c r="BV170" s="3082" t="str">
        <f t="shared" si="2"/>
        <v>{2223500кредитора</v>
      </c>
      <c r="BW170" s="101"/>
      <c r="BZ170" s="3112" t="s">
        <v>7089</v>
      </c>
      <c r="CA170" s="3113" t="s">
        <v>3874</v>
      </c>
      <c r="CS170" s="3437" t="s">
        <v>1134</v>
      </c>
      <c r="CT170" s="2299" t="s">
        <v>6646</v>
      </c>
      <c r="DA170" s="2558"/>
      <c r="DB170" s="2153" t="s">
        <v>7331</v>
      </c>
      <c r="EI170" s="2689" t="s">
        <v>10489</v>
      </c>
    </row>
    <row r="171" spans="1:139" ht="74.25" customHeight="1">
      <c r="A171" s="532"/>
      <c r="D171" s="2062"/>
      <c r="H171" s="3442" t="s">
        <v>2484</v>
      </c>
      <c r="I171" s="3442" t="s">
        <v>2477</v>
      </c>
      <c r="J171" s="2514"/>
      <c r="K171" s="3437" t="s">
        <v>4820</v>
      </c>
      <c r="M171" s="3437" t="s">
        <v>6846</v>
      </c>
      <c r="N171" s="2263"/>
      <c r="AN171" s="3283" t="s">
        <v>955</v>
      </c>
      <c r="AO171" s="3283" t="s">
        <v>955</v>
      </c>
      <c r="AP171" s="3437" t="s">
        <v>955</v>
      </c>
      <c r="AQ171" s="3283" t="s">
        <v>955</v>
      </c>
      <c r="AR171" s="101" t="s">
        <v>9046</v>
      </c>
      <c r="AU171" s="2154" t="s">
        <v>5879</v>
      </c>
      <c r="AV171" s="2154"/>
      <c r="AX171" s="531" t="s">
        <v>5879</v>
      </c>
      <c r="BH171" s="2406">
        <v>3801009642</v>
      </c>
      <c r="BI171" s="2409" t="s">
        <v>2032</v>
      </c>
      <c r="BJ171" s="2466">
        <v>97459</v>
      </c>
      <c r="BK171" s="530"/>
      <c r="BQ171" s="3083"/>
      <c r="BR171" s="3083"/>
      <c r="BU171" s="3126" t="s">
        <v>5151</v>
      </c>
      <c r="BV171" s="3082" t="str">
        <f t="shared" si="2"/>
        <v>{2223900 вложений</v>
      </c>
      <c r="BW171" s="101"/>
      <c r="BZ171" s="3112" t="s">
        <v>7014</v>
      </c>
      <c r="CA171" s="3113" t="s">
        <v>2878</v>
      </c>
      <c r="CS171" s="3437" t="s">
        <v>3639</v>
      </c>
      <c r="CT171" s="2299" t="s">
        <v>6647</v>
      </c>
      <c r="DA171" s="2558"/>
      <c r="DB171" s="2153" t="s">
        <v>7332</v>
      </c>
      <c r="EI171" s="2689" t="s">
        <v>10490</v>
      </c>
    </row>
    <row r="172" spans="1:139" ht="43.5">
      <c r="A172" s="532"/>
      <c r="D172" s="2062"/>
      <c r="H172" s="3442" t="s">
        <v>14409</v>
      </c>
      <c r="I172" s="3442" t="s">
        <v>2477</v>
      </c>
      <c r="J172" s="2514"/>
      <c r="K172" s="3437" t="s">
        <v>3598</v>
      </c>
      <c r="M172" s="3437" t="s">
        <v>2340</v>
      </c>
      <c r="N172" s="2263"/>
      <c r="AN172" s="3283" t="s">
        <v>14366</v>
      </c>
      <c r="AO172" s="3283" t="s">
        <v>14366</v>
      </c>
      <c r="AP172" s="3437" t="s">
        <v>14366</v>
      </c>
      <c r="AQ172" s="3283" t="s">
        <v>14366</v>
      </c>
      <c r="AR172" s="101" t="s">
        <v>9047</v>
      </c>
      <c r="AU172" s="2290" t="s">
        <v>6150</v>
      </c>
      <c r="AV172" s="2154"/>
      <c r="AX172" s="2091" t="s">
        <v>6150</v>
      </c>
      <c r="BH172" s="2406">
        <v>3801017724</v>
      </c>
      <c r="BI172" s="2409" t="s">
        <v>461</v>
      </c>
      <c r="BJ172" s="2466">
        <v>97548</v>
      </c>
      <c r="BK172" s="530"/>
      <c r="BQ172" s="3083"/>
      <c r="BR172" s="3083"/>
      <c r="BU172" s="3126" t="s">
        <v>5712</v>
      </c>
      <c r="BV172" s="3082" t="str">
        <f t="shared" si="2"/>
        <v>{2291010ые работы</v>
      </c>
      <c r="BW172" s="101"/>
      <c r="BZ172" s="3112" t="s">
        <v>6979</v>
      </c>
      <c r="CA172" s="3113" t="s">
        <v>2869</v>
      </c>
      <c r="CS172" s="3437" t="s">
        <v>4824</v>
      </c>
      <c r="CT172" s="2299" t="s">
        <v>6648</v>
      </c>
      <c r="CV172" s="2448"/>
      <c r="DA172" s="2558"/>
      <c r="DB172" s="2153" t="s">
        <v>7333</v>
      </c>
      <c r="DD172" s="3083"/>
      <c r="DK172" s="2448"/>
      <c r="DL172" s="2448"/>
      <c r="DM172" s="2448"/>
      <c r="EI172" s="2689" t="s">
        <v>10491</v>
      </c>
    </row>
    <row r="173" spans="1:139" ht="29">
      <c r="A173" s="2447"/>
      <c r="D173" s="2062"/>
      <c r="H173" s="3442" t="s">
        <v>14410</v>
      </c>
      <c r="I173" s="3442" t="s">
        <v>2477</v>
      </c>
      <c r="J173" s="2514"/>
      <c r="K173" s="3437" t="s">
        <v>3600</v>
      </c>
      <c r="M173" s="3437" t="s">
        <v>2341</v>
      </c>
      <c r="N173" s="2514"/>
      <c r="AF173" s="2744"/>
      <c r="AH173" s="2744"/>
      <c r="AN173" s="3283" t="s">
        <v>10081</v>
      </c>
      <c r="AO173" s="3283" t="s">
        <v>10081</v>
      </c>
      <c r="AP173" s="3437" t="s">
        <v>10081</v>
      </c>
      <c r="AQ173" s="3283" t="s">
        <v>10081</v>
      </c>
      <c r="AR173" s="101" t="s">
        <v>9048</v>
      </c>
      <c r="AT173" s="2744"/>
      <c r="AU173" s="2290" t="s">
        <v>6151</v>
      </c>
      <c r="AV173" s="2154"/>
      <c r="AX173" s="2091" t="s">
        <v>6151</v>
      </c>
      <c r="BH173" s="2406">
        <v>3801019961</v>
      </c>
      <c r="BI173" s="2409" t="s">
        <v>1887</v>
      </c>
      <c r="BJ173" s="2466">
        <v>238745</v>
      </c>
      <c r="BK173" s="530"/>
      <c r="BL173" s="3083"/>
      <c r="BM173" s="3083"/>
      <c r="BN173" s="3083"/>
      <c r="BP173" s="3083"/>
      <c r="BQ173" s="3083"/>
      <c r="BR173" s="3083"/>
      <c r="BS173" s="3083"/>
      <c r="BT173" s="3083"/>
      <c r="BU173" s="3126" t="s">
        <v>5713</v>
      </c>
      <c r="BV173" s="3082" t="str">
        <f t="shared" si="2"/>
        <v>{2291020тельство)</v>
      </c>
      <c r="BW173" s="101"/>
      <c r="BX173" s="3083"/>
      <c r="BY173" s="3083"/>
      <c r="BZ173" s="3112" t="s">
        <v>6980</v>
      </c>
      <c r="CA173" s="3113" t="s">
        <v>2870</v>
      </c>
      <c r="CB173" s="3083"/>
      <c r="CC173" s="3083"/>
      <c r="CE173" s="3083"/>
      <c r="CF173" s="3083"/>
      <c r="CG173" s="3083"/>
      <c r="CH173" s="3083"/>
      <c r="CI173" s="3083"/>
      <c r="CJ173" s="3083"/>
      <c r="CL173" s="3083"/>
      <c r="CQ173" s="3083"/>
      <c r="CS173" s="3437" t="s">
        <v>3642</v>
      </c>
      <c r="CT173" s="2299" t="s">
        <v>6649</v>
      </c>
      <c r="DA173" s="2558"/>
      <c r="DB173" s="2153" t="s">
        <v>7334</v>
      </c>
      <c r="DD173" s="3083"/>
      <c r="DE173" s="3083"/>
      <c r="DF173" s="3083"/>
      <c r="DK173" s="2448"/>
      <c r="DL173" s="2448"/>
      <c r="DM173" s="2448"/>
      <c r="EI173" s="2689" t="s">
        <v>10492</v>
      </c>
    </row>
    <row r="174" spans="1:139" ht="72.5">
      <c r="A174" s="532"/>
      <c r="D174" s="2062"/>
      <c r="H174" s="3442" t="s">
        <v>4719</v>
      </c>
      <c r="I174" s="3442" t="s">
        <v>2477</v>
      </c>
      <c r="K174" s="3437" t="s">
        <v>3601</v>
      </c>
      <c r="M174" s="3437" t="s">
        <v>1137</v>
      </c>
      <c r="N174" s="2263"/>
      <c r="AB174" s="2744"/>
      <c r="AN174" s="3283" t="s">
        <v>6836</v>
      </c>
      <c r="AO174" s="3283" t="s">
        <v>6836</v>
      </c>
      <c r="AP174" s="3437" t="s">
        <v>6836</v>
      </c>
      <c r="AQ174" s="3283" t="s">
        <v>6836</v>
      </c>
      <c r="AR174" s="101" t="s">
        <v>9049</v>
      </c>
      <c r="AU174" s="2290" t="s">
        <v>6152</v>
      </c>
      <c r="AV174" s="2154"/>
      <c r="AX174" s="2091" t="s">
        <v>6152</v>
      </c>
      <c r="BC174" s="2744"/>
      <c r="BF174" s="2744"/>
      <c r="BG174" s="2744"/>
      <c r="BH174" s="2406">
        <v>3801020533</v>
      </c>
      <c r="BI174" s="2409" t="s">
        <v>1968</v>
      </c>
      <c r="BJ174" s="2466">
        <v>97434</v>
      </c>
      <c r="BK174" s="530"/>
      <c r="BU174" s="3126" t="s">
        <v>5714</v>
      </c>
      <c r="BV174" s="3082" t="str">
        <f t="shared" si="2"/>
        <v>{2291030роме ПИР)</v>
      </c>
      <c r="BW174" s="101"/>
      <c r="CP174" s="2448"/>
      <c r="CS174" s="3437" t="s">
        <v>4825</v>
      </c>
      <c r="CT174" s="2299" t="s">
        <v>6650</v>
      </c>
      <c r="CV174" s="2448"/>
      <c r="DA174" s="2558"/>
      <c r="DB174" s="2153" t="s">
        <v>7335</v>
      </c>
      <c r="DK174" s="2448"/>
      <c r="DL174" s="2448"/>
      <c r="DM174" s="2448"/>
      <c r="EI174" s="2689" t="s">
        <v>10493</v>
      </c>
    </row>
    <row r="175" spans="1:139" ht="43.5">
      <c r="A175" s="532"/>
      <c r="D175" s="2062"/>
      <c r="H175" s="3442" t="s">
        <v>4837</v>
      </c>
      <c r="I175" s="3442" t="s">
        <v>2477</v>
      </c>
      <c r="K175" s="3437" t="s">
        <v>4839</v>
      </c>
      <c r="M175" s="3437" t="s">
        <v>956</v>
      </c>
      <c r="N175" s="2263"/>
      <c r="AN175" s="3324" t="s">
        <v>7715</v>
      </c>
      <c r="AO175" s="3324" t="s">
        <v>7715</v>
      </c>
      <c r="AP175" s="3437" t="s">
        <v>7715</v>
      </c>
      <c r="AQ175" s="3324" t="s">
        <v>7715</v>
      </c>
      <c r="AR175" s="101" t="s">
        <v>9050</v>
      </c>
      <c r="AU175" s="2290" t="s">
        <v>8667</v>
      </c>
      <c r="AV175" s="2154"/>
      <c r="AX175" s="2091" t="s">
        <v>8667</v>
      </c>
      <c r="BH175" s="2406">
        <v>3801041438</v>
      </c>
      <c r="BI175" s="2409" t="s">
        <v>3547</v>
      </c>
      <c r="BJ175" s="2466">
        <v>97494</v>
      </c>
      <c r="BK175" s="530"/>
      <c r="BU175" s="3126" t="s">
        <v>5715</v>
      </c>
      <c r="BV175" s="3082" t="str">
        <f t="shared" si="2"/>
        <v>{2291040ие работы</v>
      </c>
      <c r="BW175" s="101"/>
      <c r="CS175" s="3437" t="s">
        <v>10202</v>
      </c>
      <c r="CT175" s="2299" t="s">
        <v>6559</v>
      </c>
      <c r="DA175" s="2558"/>
      <c r="DB175" s="2153" t="s">
        <v>7336</v>
      </c>
      <c r="DK175" s="2448"/>
      <c r="DL175" s="2448"/>
      <c r="DM175" s="2448"/>
      <c r="EI175" s="2689" t="s">
        <v>10494</v>
      </c>
    </row>
    <row r="176" spans="1:139" ht="58">
      <c r="A176" s="532"/>
      <c r="D176" s="2062"/>
      <c r="H176" s="3442" t="s">
        <v>4720</v>
      </c>
      <c r="I176" s="3442" t="s">
        <v>2477</v>
      </c>
      <c r="J176" s="2744"/>
      <c r="K176" s="3437" t="s">
        <v>3604</v>
      </c>
      <c r="M176" s="3437" t="s">
        <v>7144</v>
      </c>
      <c r="N176" s="2263"/>
      <c r="AN176" s="3283" t="s">
        <v>14367</v>
      </c>
      <c r="AO176" s="3283" t="s">
        <v>14367</v>
      </c>
      <c r="AP176" s="3437" t="s">
        <v>14367</v>
      </c>
      <c r="AQ176" s="3283" t="s">
        <v>14367</v>
      </c>
      <c r="AR176" s="101" t="s">
        <v>9051</v>
      </c>
      <c r="AU176" s="2290" t="s">
        <v>9825</v>
      </c>
      <c r="AV176" s="2154"/>
      <c r="AX176" s="2091" t="s">
        <v>9825</v>
      </c>
      <c r="BC176" s="2744"/>
      <c r="BH176" s="2406">
        <v>3801055180</v>
      </c>
      <c r="BI176" s="2409" t="s">
        <v>2031</v>
      </c>
      <c r="BJ176" s="2466">
        <v>97651</v>
      </c>
      <c r="BK176" s="530"/>
      <c r="BU176" s="3126" t="s">
        <v>5154</v>
      </c>
      <c r="BV176" s="3082" t="str">
        <f t="shared" si="2"/>
        <v>{2292000ата НИОКР</v>
      </c>
      <c r="BW176" s="101"/>
      <c r="CP176" s="3083"/>
      <c r="CS176" s="3437" t="s">
        <v>4826</v>
      </c>
      <c r="CT176" s="2299" t="s">
        <v>6561</v>
      </c>
      <c r="CV176" s="3083"/>
      <c r="CZ176" s="3083"/>
      <c r="DA176" s="2558"/>
      <c r="DB176" s="2153" t="s">
        <v>7337</v>
      </c>
      <c r="DK176" s="2448"/>
      <c r="DL176" s="2448"/>
      <c r="DM176" s="2448"/>
      <c r="EI176" s="2689" t="s">
        <v>10495</v>
      </c>
    </row>
    <row r="177" spans="1:139" ht="58">
      <c r="A177" s="532"/>
      <c r="D177" s="2062"/>
      <c r="H177" s="3442" t="s">
        <v>4721</v>
      </c>
      <c r="I177" s="3442" t="s">
        <v>2477</v>
      </c>
      <c r="J177" s="2514"/>
      <c r="K177" s="3437" t="s">
        <v>1418</v>
      </c>
      <c r="M177" s="3437" t="s">
        <v>6847</v>
      </c>
      <c r="N177" s="2263"/>
      <c r="AN177" s="3283" t="s">
        <v>2151</v>
      </c>
      <c r="AO177" s="3283" t="s">
        <v>2151</v>
      </c>
      <c r="AP177" s="3437" t="s">
        <v>2151</v>
      </c>
      <c r="AQ177" s="3283" t="s">
        <v>2151</v>
      </c>
      <c r="AR177" s="101" t="s">
        <v>9052</v>
      </c>
      <c r="AU177" s="2290" t="s">
        <v>10067</v>
      </c>
      <c r="AV177" s="2154"/>
      <c r="AX177" s="2091" t="s">
        <v>10067</v>
      </c>
      <c r="BH177" s="2405">
        <v>3801069786</v>
      </c>
      <c r="BI177" s="2405" t="s">
        <v>3926</v>
      </c>
      <c r="BJ177" s="2466">
        <v>40</v>
      </c>
      <c r="BK177" s="530"/>
      <c r="BU177" s="3126" t="s">
        <v>5155</v>
      </c>
      <c r="BV177" s="3082" t="str">
        <f t="shared" si="2"/>
        <v>{2293000ельностью</v>
      </c>
      <c r="BW177" s="101"/>
      <c r="CS177" s="3437" t="s">
        <v>6904</v>
      </c>
      <c r="CT177" s="2299" t="s">
        <v>6604</v>
      </c>
      <c r="DA177" s="2558"/>
      <c r="DB177" s="2153" t="s">
        <v>7338</v>
      </c>
      <c r="DK177" s="2448"/>
      <c r="DL177" s="2448"/>
      <c r="DM177" s="2448"/>
      <c r="EI177" s="2689" t="s">
        <v>10496</v>
      </c>
    </row>
    <row r="178" spans="1:139" ht="38.5">
      <c r="A178" s="532"/>
      <c r="D178" s="2062"/>
      <c r="H178" s="3442" t="s">
        <v>4722</v>
      </c>
      <c r="I178" s="3442" t="s">
        <v>2477</v>
      </c>
      <c r="K178" s="3437" t="s">
        <v>1419</v>
      </c>
      <c r="M178" s="3437" t="s">
        <v>7643</v>
      </c>
      <c r="N178" s="2263"/>
      <c r="AN178" s="3283" t="s">
        <v>1320</v>
      </c>
      <c r="AO178" s="3283" t="s">
        <v>1320</v>
      </c>
      <c r="AP178" s="3437" t="s">
        <v>1320</v>
      </c>
      <c r="AQ178" s="3283" t="s">
        <v>1320</v>
      </c>
      <c r="AR178" s="101" t="s">
        <v>9053</v>
      </c>
      <c r="AU178" s="2290" t="s">
        <v>14532</v>
      </c>
      <c r="AV178" s="562"/>
      <c r="AX178" s="2091" t="s">
        <v>14532</v>
      </c>
      <c r="BH178" s="2406">
        <v>3801079311</v>
      </c>
      <c r="BI178" s="2409" t="s">
        <v>1906</v>
      </c>
      <c r="BJ178" s="2466">
        <v>97802</v>
      </c>
      <c r="BK178" s="530"/>
      <c r="BU178" s="3126" t="s">
        <v>5156</v>
      </c>
      <c r="BV178" s="3082" t="str">
        <f t="shared" si="2"/>
        <v>{2294000тельности</v>
      </c>
      <c r="BW178" s="101"/>
      <c r="CS178" s="3437" t="s">
        <v>4827</v>
      </c>
      <c r="CT178" s="2299" t="s">
        <v>6653</v>
      </c>
      <c r="DA178" s="2558"/>
      <c r="DB178" s="2153" t="s">
        <v>7339</v>
      </c>
      <c r="DK178" s="2448"/>
      <c r="DL178" s="2448"/>
      <c r="DM178" s="2448"/>
      <c r="EI178" s="2689" t="s">
        <v>10497</v>
      </c>
    </row>
    <row r="179" spans="1:139" ht="38.5">
      <c r="A179" s="532"/>
      <c r="D179" s="2062"/>
      <c r="H179" s="3442" t="s">
        <v>2491</v>
      </c>
      <c r="I179" s="3442" t="s">
        <v>2477</v>
      </c>
      <c r="J179" s="2514"/>
      <c r="K179" s="3437" t="s">
        <v>1420</v>
      </c>
      <c r="M179" s="3437" t="s">
        <v>7520</v>
      </c>
      <c r="N179" s="2263"/>
      <c r="AN179" s="3283" t="s">
        <v>10216</v>
      </c>
      <c r="AO179" s="3283" t="s">
        <v>10216</v>
      </c>
      <c r="AP179" s="3437" t="s">
        <v>10216</v>
      </c>
      <c r="AQ179" s="3283" t="s">
        <v>10216</v>
      </c>
      <c r="AR179" s="101" t="s">
        <v>9054</v>
      </c>
      <c r="AU179" s="2154" t="s">
        <v>5880</v>
      </c>
      <c r="AV179" s="531"/>
      <c r="AX179" s="531" t="s">
        <v>5881</v>
      </c>
      <c r="BB179" s="2514"/>
      <c r="BH179" s="2407">
        <v>3801091245</v>
      </c>
      <c r="BI179" s="2405" t="s">
        <v>3921</v>
      </c>
      <c r="BJ179" s="2466">
        <v>128</v>
      </c>
      <c r="BK179" s="530"/>
      <c r="BU179" s="3126" t="s">
        <v>5157</v>
      </c>
      <c r="BV179" s="3082" t="str">
        <f t="shared" si="2"/>
        <v>{2295000х активов</v>
      </c>
      <c r="BW179" s="101"/>
      <c r="CS179" s="3437" t="s">
        <v>4828</v>
      </c>
      <c r="CT179" s="2299" t="s">
        <v>6651</v>
      </c>
      <c r="DA179" s="2558"/>
      <c r="DB179" s="2153" t="s">
        <v>7340</v>
      </c>
      <c r="EI179" s="2689" t="s">
        <v>10498</v>
      </c>
    </row>
    <row r="180" spans="1:139" ht="43.5">
      <c r="A180" s="532"/>
      <c r="D180" s="2062"/>
      <c r="H180" s="3442" t="s">
        <v>1217</v>
      </c>
      <c r="I180" s="3442" t="s">
        <v>3285</v>
      </c>
      <c r="J180" s="2514"/>
      <c r="K180" s="3437" t="s">
        <v>1421</v>
      </c>
      <c r="M180" s="3437" t="s">
        <v>9946</v>
      </c>
      <c r="N180" s="2263"/>
      <c r="AN180" s="3283" t="s">
        <v>1321</v>
      </c>
      <c r="AO180" s="3283" t="s">
        <v>1321</v>
      </c>
      <c r="AP180" s="3437" t="s">
        <v>1321</v>
      </c>
      <c r="AQ180" s="3283" t="s">
        <v>1321</v>
      </c>
      <c r="AR180" s="101" t="s">
        <v>9055</v>
      </c>
      <c r="AU180" s="2154" t="s">
        <v>5881</v>
      </c>
      <c r="AV180" s="562"/>
      <c r="AX180" s="531" t="s">
        <v>5347</v>
      </c>
      <c r="BH180" s="2406">
        <v>3801112054</v>
      </c>
      <c r="BI180" s="2409" t="s">
        <v>2757</v>
      </c>
      <c r="BJ180" s="2466">
        <v>199833</v>
      </c>
      <c r="BK180" s="530"/>
      <c r="BU180" s="3126" t="s">
        <v>5158</v>
      </c>
      <c r="BV180" s="3082" t="str">
        <f t="shared" si="2"/>
        <v>{2299999тельности</v>
      </c>
      <c r="BW180" s="101"/>
      <c r="CS180" s="3437" t="s">
        <v>7141</v>
      </c>
      <c r="CT180" s="2299" t="s">
        <v>6652</v>
      </c>
      <c r="DA180" s="2558"/>
      <c r="DB180" s="2153" t="s">
        <v>7341</v>
      </c>
      <c r="EI180" s="2689" t="s">
        <v>10499</v>
      </c>
    </row>
    <row r="181" spans="1:139" ht="38.5">
      <c r="A181" s="532"/>
      <c r="D181" s="2062"/>
      <c r="H181" s="3442" t="s">
        <v>1218</v>
      </c>
      <c r="I181" s="3442" t="s">
        <v>3285</v>
      </c>
      <c r="J181" s="2514"/>
      <c r="K181" s="3437" t="s">
        <v>1422</v>
      </c>
      <c r="M181" s="3437" t="s">
        <v>9947</v>
      </c>
      <c r="N181" s="2263"/>
      <c r="AN181" s="3283" t="s">
        <v>4514</v>
      </c>
      <c r="AO181" s="3283" t="s">
        <v>4514</v>
      </c>
      <c r="AP181" s="3437" t="s">
        <v>4514</v>
      </c>
      <c r="AQ181" s="3283" t="s">
        <v>4514</v>
      </c>
      <c r="AR181" s="101" t="s">
        <v>9056</v>
      </c>
      <c r="AU181" s="2154" t="s">
        <v>5347</v>
      </c>
      <c r="AV181" s="562"/>
      <c r="AX181" s="531" t="s">
        <v>5348</v>
      </c>
      <c r="BH181" s="2406">
        <v>3801116362</v>
      </c>
      <c r="BI181" s="2409" t="s">
        <v>2616</v>
      </c>
      <c r="BJ181" s="2466">
        <v>270964</v>
      </c>
      <c r="BK181" s="530"/>
      <c r="BU181" s="3126" t="s">
        <v>4009</v>
      </c>
      <c r="BV181" s="3082" t="str">
        <f t="shared" si="2"/>
        <v>{3111000маг и пр.</v>
      </c>
      <c r="BW181" s="101"/>
      <c r="CS181" s="3437" t="s">
        <v>7142</v>
      </c>
      <c r="CT181" s="2299" t="s">
        <v>6654</v>
      </c>
      <c r="DA181" s="2558"/>
      <c r="DB181" s="2153" t="s">
        <v>7342</v>
      </c>
      <c r="EI181" s="2689" t="s">
        <v>10500</v>
      </c>
    </row>
    <row r="182" spans="1:139" ht="26">
      <c r="A182" s="532"/>
      <c r="D182" s="2062"/>
      <c r="H182" s="3442" t="s">
        <v>219</v>
      </c>
      <c r="I182" s="3442" t="s">
        <v>3285</v>
      </c>
      <c r="J182" s="2514"/>
      <c r="K182" s="3437" t="s">
        <v>10194</v>
      </c>
      <c r="M182" s="3525" t="s">
        <v>14435</v>
      </c>
      <c r="N182" s="2263"/>
      <c r="AN182" s="3283" t="s">
        <v>6837</v>
      </c>
      <c r="AO182" s="3283" t="s">
        <v>6837</v>
      </c>
      <c r="AP182" s="3437" t="s">
        <v>6837</v>
      </c>
      <c r="AQ182" s="3283" t="s">
        <v>6837</v>
      </c>
      <c r="AR182" s="101" t="s">
        <v>9057</v>
      </c>
      <c r="AU182" s="2154" t="s">
        <v>5348</v>
      </c>
      <c r="AV182" s="562"/>
      <c r="AX182" s="531" t="s">
        <v>5349</v>
      </c>
      <c r="BH182" s="2405">
        <v>3801120337</v>
      </c>
      <c r="BI182" s="2405" t="s">
        <v>45</v>
      </c>
      <c r="BJ182" s="2466">
        <v>284648</v>
      </c>
      <c r="BK182" s="530"/>
      <c r="BU182" s="3126" t="s">
        <v>4010</v>
      </c>
      <c r="BV182" s="3082" t="str">
        <f t="shared" si="2"/>
        <v>{3112300ых займов</v>
      </c>
      <c r="BW182" s="101"/>
      <c r="CS182" s="3437" t="s">
        <v>10237</v>
      </c>
      <c r="CT182" s="2299" t="s">
        <v>6655</v>
      </c>
      <c r="DA182" s="2558"/>
      <c r="DB182" s="2153" t="s">
        <v>7343</v>
      </c>
      <c r="EI182" s="2689" t="s">
        <v>10501</v>
      </c>
    </row>
    <row r="183" spans="1:139" ht="38.5">
      <c r="A183" s="532"/>
      <c r="D183" s="2062"/>
      <c r="H183" s="3442" t="s">
        <v>1219</v>
      </c>
      <c r="I183" s="3442" t="s">
        <v>3285</v>
      </c>
      <c r="J183" s="2514"/>
      <c r="K183" s="3437" t="s">
        <v>1423</v>
      </c>
      <c r="M183" s="3554" t="s">
        <v>14635</v>
      </c>
      <c r="N183" s="2263"/>
      <c r="AN183" s="3283" t="s">
        <v>7645</v>
      </c>
      <c r="AO183" s="3283" t="s">
        <v>7645</v>
      </c>
      <c r="AP183" s="3437" t="s">
        <v>7645</v>
      </c>
      <c r="AQ183" s="3283" t="s">
        <v>7645</v>
      </c>
      <c r="AR183" s="101" t="s">
        <v>9058</v>
      </c>
      <c r="AU183" s="2154" t="s">
        <v>5349</v>
      </c>
      <c r="AV183" s="562"/>
      <c r="AX183" s="531" t="s">
        <v>5350</v>
      </c>
      <c r="BH183" s="2406">
        <v>3808001762</v>
      </c>
      <c r="BI183" s="2409" t="s">
        <v>2012</v>
      </c>
      <c r="BJ183" s="2466">
        <v>97492</v>
      </c>
      <c r="BK183" s="530"/>
      <c r="BU183" s="3126" t="s">
        <v>4011</v>
      </c>
      <c r="BV183" s="3082" t="str">
        <f t="shared" si="2"/>
        <v>{3112400бщие цели</v>
      </c>
      <c r="BW183" s="101"/>
      <c r="CS183" s="3437" t="s">
        <v>10238</v>
      </c>
      <c r="CT183" s="2299" t="s">
        <v>6656</v>
      </c>
      <c r="DA183" s="2558"/>
      <c r="DB183" s="2153" t="s">
        <v>7344</v>
      </c>
      <c r="EI183" s="2689" t="s">
        <v>10502</v>
      </c>
    </row>
    <row r="184" spans="1:139" ht="38.5">
      <c r="A184" s="532"/>
      <c r="D184" s="2062"/>
      <c r="H184" s="3442" t="s">
        <v>1220</v>
      </c>
      <c r="I184" s="3442" t="s">
        <v>3285</v>
      </c>
      <c r="J184" s="2514"/>
      <c r="K184" s="3437" t="s">
        <v>1424</v>
      </c>
      <c r="M184" s="3437" t="s">
        <v>4834</v>
      </c>
      <c r="N184" s="2263"/>
      <c r="AN184" s="3283" t="s">
        <v>9993</v>
      </c>
      <c r="AO184" s="3283" t="s">
        <v>9993</v>
      </c>
      <c r="AP184" s="3437" t="s">
        <v>9993</v>
      </c>
      <c r="AQ184" s="3283" t="s">
        <v>9993</v>
      </c>
      <c r="AR184" s="101" t="s">
        <v>9059</v>
      </c>
      <c r="AU184" s="2154" t="s">
        <v>5350</v>
      </c>
      <c r="AV184" s="562"/>
      <c r="AX184" s="531" t="s">
        <v>5351</v>
      </c>
      <c r="BH184" s="2406">
        <v>3808011721</v>
      </c>
      <c r="BI184" s="2409" t="s">
        <v>1888</v>
      </c>
      <c r="BJ184" s="2466">
        <v>97421</v>
      </c>
      <c r="BK184" s="530"/>
      <c r="BU184" s="3126" t="s">
        <v>4012</v>
      </c>
      <c r="BV184" s="3082" t="str">
        <f t="shared" si="2"/>
        <v>{3112500 кредитов</v>
      </c>
      <c r="BW184" s="101"/>
      <c r="CS184" s="3437" t="s">
        <v>3646</v>
      </c>
      <c r="CT184" s="2299" t="s">
        <v>6657</v>
      </c>
      <c r="DA184" s="2558"/>
      <c r="DB184" s="2153" t="s">
        <v>7345</v>
      </c>
      <c r="EI184" s="2689" t="s">
        <v>10503</v>
      </c>
    </row>
    <row r="185" spans="1:139" ht="29">
      <c r="A185" s="532"/>
      <c r="D185" s="2062"/>
      <c r="H185" s="3442" t="s">
        <v>2495</v>
      </c>
      <c r="I185" s="3442" t="s">
        <v>3285</v>
      </c>
      <c r="J185" s="2514"/>
      <c r="K185" s="3437" t="s">
        <v>1425</v>
      </c>
      <c r="M185" s="3437" t="s">
        <v>4835</v>
      </c>
      <c r="N185" s="2263"/>
      <c r="AN185" s="3283" t="s">
        <v>7872</v>
      </c>
      <c r="AO185" s="3283" t="s">
        <v>7872</v>
      </c>
      <c r="AP185" s="3437" t="s">
        <v>7872</v>
      </c>
      <c r="AQ185" s="3283" t="s">
        <v>7872</v>
      </c>
      <c r="AR185" s="101" t="s">
        <v>9060</v>
      </c>
      <c r="AU185" s="2154" t="s">
        <v>5351</v>
      </c>
      <c r="AV185" s="562"/>
      <c r="AX185" s="531" t="s">
        <v>5352</v>
      </c>
      <c r="BH185" s="2406">
        <v>3808014899</v>
      </c>
      <c r="BI185" s="2409" t="s">
        <v>3562</v>
      </c>
      <c r="BJ185" s="2466">
        <v>97483</v>
      </c>
      <c r="BK185" s="530"/>
      <c r="BU185" s="3126" t="s">
        <v>4013</v>
      </c>
      <c r="BV185" s="3082" t="str">
        <f t="shared" ref="BV185:BV241" si="3">CONCATENATE(LEFT(BU185,8),RIGHT(BU185,9))</f>
        <v>{3112600бщие цели</v>
      </c>
      <c r="BW185" s="101"/>
      <c r="CS185" s="3437" t="s">
        <v>5801</v>
      </c>
      <c r="CT185" s="2299" t="s">
        <v>6658</v>
      </c>
      <c r="DA185" s="2558"/>
      <c r="DB185" s="2153" t="s">
        <v>7346</v>
      </c>
      <c r="EI185" s="2689" t="s">
        <v>10504</v>
      </c>
    </row>
    <row r="186" spans="1:139" ht="38.5">
      <c r="A186" s="532"/>
      <c r="D186" s="2062"/>
      <c r="H186" s="3442" t="s">
        <v>1221</v>
      </c>
      <c r="I186" s="3442" t="s">
        <v>3285</v>
      </c>
      <c r="J186" s="2263"/>
      <c r="K186" s="3437" t="s">
        <v>1426</v>
      </c>
      <c r="M186" s="3437" t="s">
        <v>2344</v>
      </c>
      <c r="N186" s="2263"/>
      <c r="AN186" s="3283" t="s">
        <v>7518</v>
      </c>
      <c r="AO186" s="3283" t="s">
        <v>7518</v>
      </c>
      <c r="AP186" s="3437" t="s">
        <v>7518</v>
      </c>
      <c r="AQ186" s="3283" t="s">
        <v>7518</v>
      </c>
      <c r="AR186" s="101" t="s">
        <v>9061</v>
      </c>
      <c r="AU186" s="2154" t="s">
        <v>5352</v>
      </c>
      <c r="AV186" s="562"/>
      <c r="AX186" s="531" t="s">
        <v>5353</v>
      </c>
      <c r="BH186" s="2406">
        <v>3808015973</v>
      </c>
      <c r="BI186" s="2409" t="s">
        <v>1886</v>
      </c>
      <c r="BJ186" s="2466">
        <v>174438</v>
      </c>
      <c r="BK186" s="530"/>
      <c r="BU186" s="3126" t="s">
        <v>6752</v>
      </c>
      <c r="BV186" s="3082" t="str">
        <f t="shared" si="3"/>
        <v>{3121000ехнологии</v>
      </c>
      <c r="BW186" s="101"/>
      <c r="CS186" s="3437" t="s">
        <v>5803</v>
      </c>
      <c r="CT186" s="2299" t="s">
        <v>6659</v>
      </c>
      <c r="DA186" s="2558"/>
      <c r="DB186" s="2153" t="s">
        <v>7347</v>
      </c>
      <c r="EI186" s="2689" t="s">
        <v>10505</v>
      </c>
    </row>
    <row r="187" spans="1:139" ht="38.5">
      <c r="A187" s="532"/>
      <c r="D187" s="2062"/>
      <c r="H187" s="3442" t="s">
        <v>1222</v>
      </c>
      <c r="I187" s="3442" t="s">
        <v>3285</v>
      </c>
      <c r="J187" s="2515"/>
      <c r="K187" s="3437" t="s">
        <v>8734</v>
      </c>
      <c r="M187" s="3437" t="s">
        <v>2346</v>
      </c>
      <c r="N187" s="2263"/>
      <c r="AN187" s="3283" t="s">
        <v>1404</v>
      </c>
      <c r="AO187" s="3283" t="s">
        <v>1404</v>
      </c>
      <c r="AP187" s="3437" t="s">
        <v>1404</v>
      </c>
      <c r="AQ187" s="3283" t="s">
        <v>1404</v>
      </c>
      <c r="AR187" s="101" t="s">
        <v>9062</v>
      </c>
      <c r="AU187" s="2154" t="s">
        <v>5353</v>
      </c>
      <c r="AV187" s="562"/>
      <c r="AX187" s="531" t="s">
        <v>5354</v>
      </c>
      <c r="BH187" s="2406">
        <v>3808110930</v>
      </c>
      <c r="BI187" s="2409" t="s">
        <v>1970</v>
      </c>
      <c r="BJ187" s="2466">
        <v>216473</v>
      </c>
      <c r="BK187" s="530"/>
      <c r="BU187" s="3126" t="s">
        <v>6753</v>
      </c>
      <c r="BV187" s="3082" t="str">
        <f t="shared" si="3"/>
        <v>{3121000 2015 гг.</v>
      </c>
      <c r="BW187" s="101"/>
      <c r="CS187" s="3437" t="s">
        <v>4499</v>
      </c>
      <c r="CT187" s="2299" t="s">
        <v>6660</v>
      </c>
      <c r="DA187" s="2558"/>
      <c r="DB187" s="2153" t="s">
        <v>7348</v>
      </c>
      <c r="EI187" s="2689" t="s">
        <v>10506</v>
      </c>
    </row>
    <row r="188" spans="1:139" ht="29">
      <c r="A188" s="532"/>
      <c r="D188" s="2062"/>
      <c r="H188" s="3442" t="s">
        <v>2496</v>
      </c>
      <c r="I188" s="3442" t="s">
        <v>3285</v>
      </c>
      <c r="K188" s="3437" t="s">
        <v>8735</v>
      </c>
      <c r="M188" s="3437" t="s">
        <v>4836</v>
      </c>
      <c r="N188" s="2263"/>
      <c r="AN188" s="3283" t="s">
        <v>1405</v>
      </c>
      <c r="AO188" s="3283" t="s">
        <v>1405</v>
      </c>
      <c r="AP188" s="3437" t="s">
        <v>1405</v>
      </c>
      <c r="AQ188" s="3283" t="s">
        <v>1405</v>
      </c>
      <c r="AR188" s="101" t="s">
        <v>9063</v>
      </c>
      <c r="AU188" s="2154" t="s">
        <v>5354</v>
      </c>
      <c r="AV188" s="531"/>
      <c r="AX188" s="562" t="s">
        <v>5355</v>
      </c>
      <c r="BH188" s="2406">
        <v>3808161406</v>
      </c>
      <c r="BI188" s="2409" t="s">
        <v>2360</v>
      </c>
      <c r="BJ188" s="2466">
        <v>97767</v>
      </c>
      <c r="BK188" s="530"/>
      <c r="BU188" s="3126" t="s">
        <v>6754</v>
      </c>
      <c r="BV188" s="3082" t="str">
        <f t="shared" si="3"/>
        <v>{3121000019 года.</v>
      </c>
      <c r="BW188" s="101"/>
      <c r="CS188" s="3437" t="s">
        <v>3651</v>
      </c>
      <c r="CT188" s="2299" t="s">
        <v>6661</v>
      </c>
      <c r="DA188" s="2558"/>
      <c r="DB188" s="2153" t="s">
        <v>7349</v>
      </c>
      <c r="EI188" s="2689" t="s">
        <v>10507</v>
      </c>
    </row>
    <row r="189" spans="1:139" ht="38.5">
      <c r="A189" s="532"/>
      <c r="D189" s="2062"/>
      <c r="H189" s="3442" t="s">
        <v>22</v>
      </c>
      <c r="I189" s="3442" t="s">
        <v>3285</v>
      </c>
      <c r="K189" s="3437" t="s">
        <v>8736</v>
      </c>
      <c r="M189" s="3437" t="s">
        <v>2347</v>
      </c>
      <c r="N189" s="2263"/>
      <c r="AN189" s="3283" t="s">
        <v>8345</v>
      </c>
      <c r="AO189" s="3283" t="s">
        <v>8345</v>
      </c>
      <c r="AP189" s="3437" t="s">
        <v>8345</v>
      </c>
      <c r="AQ189" s="3283" t="s">
        <v>8345</v>
      </c>
      <c r="AR189" s="101" t="s">
        <v>9064</v>
      </c>
      <c r="AU189" s="2154" t="s">
        <v>5355</v>
      </c>
      <c r="AV189" s="531"/>
      <c r="AX189" s="562" t="s">
        <v>5357</v>
      </c>
      <c r="BH189" s="2406">
        <v>3808171041</v>
      </c>
      <c r="BI189" s="2409" t="s">
        <v>3549</v>
      </c>
      <c r="BJ189" s="2466">
        <v>98006</v>
      </c>
      <c r="BK189" s="530"/>
      <c r="BU189" s="3126" t="s">
        <v>6755</v>
      </c>
      <c r="BV189" s="3082" t="str">
        <f t="shared" si="3"/>
        <v>{3121000 ФЦП и ПП</v>
      </c>
      <c r="BW189" s="101"/>
      <c r="CS189" s="3437" t="s">
        <v>4829</v>
      </c>
      <c r="CT189" s="2299" t="s">
        <v>6662</v>
      </c>
      <c r="DA189" s="2558"/>
      <c r="DB189" s="2153" t="s">
        <v>7350</v>
      </c>
      <c r="EI189" s="2689" t="s">
        <v>10508</v>
      </c>
    </row>
    <row r="190" spans="1:139" ht="38.5">
      <c r="A190" s="532"/>
      <c r="D190" s="2062"/>
      <c r="H190" s="3442" t="s">
        <v>23</v>
      </c>
      <c r="I190" s="3442" t="s">
        <v>3285</v>
      </c>
      <c r="K190" s="3437" t="s">
        <v>14433</v>
      </c>
      <c r="M190" s="3437" t="s">
        <v>14436</v>
      </c>
      <c r="N190" s="2263"/>
      <c r="AN190" s="3283" t="s">
        <v>2152</v>
      </c>
      <c r="AO190" s="3283" t="s">
        <v>2152</v>
      </c>
      <c r="AP190" s="3437" t="s">
        <v>2152</v>
      </c>
      <c r="AQ190" s="3283" t="s">
        <v>2152</v>
      </c>
      <c r="AR190" s="101" t="s">
        <v>9065</v>
      </c>
      <c r="AU190" s="2154" t="s">
        <v>5356</v>
      </c>
      <c r="AX190" s="562" t="s">
        <v>5882</v>
      </c>
      <c r="BH190" s="2406">
        <v>3849008830</v>
      </c>
      <c r="BI190" s="2409" t="s">
        <v>2581</v>
      </c>
      <c r="BJ190" s="2466">
        <v>220417</v>
      </c>
      <c r="BK190" s="530"/>
      <c r="BU190" s="3126" t="s">
        <v>5717</v>
      </c>
      <c r="BV190" s="3082" t="str">
        <f t="shared" si="3"/>
        <v>{3121000 проектов</v>
      </c>
      <c r="BW190" s="101"/>
      <c r="CS190" s="3437" t="s">
        <v>3649</v>
      </c>
      <c r="CT190" s="2299" t="s">
        <v>6663</v>
      </c>
      <c r="DA190" s="2558"/>
      <c r="DB190" s="2153" t="s">
        <v>7351</v>
      </c>
      <c r="EI190" s="2689" t="s">
        <v>10509</v>
      </c>
    </row>
    <row r="191" spans="1:139" ht="38.5">
      <c r="A191" s="532"/>
      <c r="D191" s="2062"/>
      <c r="H191" s="3442" t="s">
        <v>2498</v>
      </c>
      <c r="I191" s="3442" t="s">
        <v>3285</v>
      </c>
      <c r="K191" s="3437" t="s">
        <v>1427</v>
      </c>
      <c r="M191" s="3437" t="s">
        <v>14237</v>
      </c>
      <c r="N191" s="2263"/>
      <c r="AN191" s="3283" t="s">
        <v>2153</v>
      </c>
      <c r="AO191" s="3283" t="s">
        <v>2153</v>
      </c>
      <c r="AP191" s="3437" t="s">
        <v>2153</v>
      </c>
      <c r="AQ191" s="3283" t="s">
        <v>2153</v>
      </c>
      <c r="AR191" s="101" t="s">
        <v>9066</v>
      </c>
      <c r="AU191" s="2154" t="s">
        <v>5357</v>
      </c>
      <c r="AX191" s="562" t="s">
        <v>5358</v>
      </c>
      <c r="BH191" s="2406">
        <v>3849008990</v>
      </c>
      <c r="BI191" s="2409" t="s">
        <v>3584</v>
      </c>
      <c r="BJ191" s="2466">
        <v>277255</v>
      </c>
      <c r="BK191" s="530"/>
      <c r="BU191" s="3126" t="s">
        <v>4016</v>
      </c>
      <c r="BV191" s="3082" t="str">
        <f t="shared" si="3"/>
        <v>{3121000ъектов РФ</v>
      </c>
      <c r="BW191" s="101"/>
      <c r="CS191" s="3437" t="s">
        <v>4840</v>
      </c>
      <c r="CT191" s="2299" t="s">
        <v>6664</v>
      </c>
      <c r="DA191" s="2558"/>
      <c r="DB191" s="2153" t="s">
        <v>7352</v>
      </c>
      <c r="EI191" s="2689" t="s">
        <v>10510</v>
      </c>
    </row>
    <row r="192" spans="1:139" ht="43.5">
      <c r="A192" s="532"/>
      <c r="D192" s="2062"/>
      <c r="H192" s="3442" t="s">
        <v>24</v>
      </c>
      <c r="I192" s="3442" t="s">
        <v>3285</v>
      </c>
      <c r="K192" s="3437" t="s">
        <v>259</v>
      </c>
      <c r="M192" s="3437" t="s">
        <v>14437</v>
      </c>
      <c r="N192" s="2263"/>
      <c r="AN192" s="3324" t="s">
        <v>2154</v>
      </c>
      <c r="AO192" s="3324" t="s">
        <v>2154</v>
      </c>
      <c r="AP192" s="3437" t="s">
        <v>2154</v>
      </c>
      <c r="AQ192" s="3324" t="s">
        <v>2154</v>
      </c>
      <c r="AR192" s="101" t="s">
        <v>9067</v>
      </c>
      <c r="AU192" s="562" t="s">
        <v>5882</v>
      </c>
      <c r="AX192" s="562" t="s">
        <v>3336</v>
      </c>
      <c r="BH192" s="2406">
        <v>3900000136</v>
      </c>
      <c r="BI192" s="2409" t="s">
        <v>150</v>
      </c>
      <c r="BJ192" s="2466">
        <v>271483</v>
      </c>
      <c r="BK192" s="530"/>
      <c r="BU192" s="3126" t="s">
        <v>4017</v>
      </c>
      <c r="BV192" s="3082" t="str">
        <f t="shared" si="3"/>
        <v>{3121000о бюджета</v>
      </c>
      <c r="BW192" s="101"/>
      <c r="CS192" s="3437" t="s">
        <v>2315</v>
      </c>
      <c r="CT192" s="2299" t="s">
        <v>6665</v>
      </c>
      <c r="DA192" s="2558"/>
      <c r="DB192" s="2153" t="s">
        <v>7353</v>
      </c>
      <c r="EI192" s="2689" t="s">
        <v>10511</v>
      </c>
    </row>
    <row r="193" spans="1:139" ht="38.5">
      <c r="A193" s="532"/>
      <c r="D193" s="2062"/>
      <c r="H193" s="3442" t="s">
        <v>25</v>
      </c>
      <c r="I193" s="3442" t="s">
        <v>3285</v>
      </c>
      <c r="K193" s="3437" t="s">
        <v>7109</v>
      </c>
      <c r="M193" s="3437" t="s">
        <v>14438</v>
      </c>
      <c r="N193" s="2263"/>
      <c r="AN193" s="3283" t="s">
        <v>2155</v>
      </c>
      <c r="AO193" s="3283" t="s">
        <v>2155</v>
      </c>
      <c r="AP193" s="3437" t="s">
        <v>2155</v>
      </c>
      <c r="AQ193" s="3283" t="s">
        <v>2155</v>
      </c>
      <c r="AR193" s="101" t="s">
        <v>9068</v>
      </c>
      <c r="AU193" s="562" t="s">
        <v>5358</v>
      </c>
      <c r="BH193" s="2406">
        <v>3903007130</v>
      </c>
      <c r="BI193" s="2409" t="s">
        <v>2452</v>
      </c>
      <c r="BJ193" s="2466">
        <v>123868</v>
      </c>
      <c r="BK193" s="530"/>
      <c r="BU193" s="3126" t="s">
        <v>4018</v>
      </c>
      <c r="BV193" s="3082" t="str">
        <f t="shared" si="3"/>
        <v>{3122000ая помощь</v>
      </c>
      <c r="BW193" s="101"/>
      <c r="CS193" s="3437" t="s">
        <v>2317</v>
      </c>
      <c r="CT193" s="2299" t="s">
        <v>6666</v>
      </c>
      <c r="DA193" s="2558"/>
      <c r="DB193" s="2153" t="s">
        <v>7354</v>
      </c>
      <c r="EI193" s="2689" t="s">
        <v>10512</v>
      </c>
    </row>
    <row r="194" spans="1:139" ht="38.5">
      <c r="A194" s="532"/>
      <c r="D194" s="2062"/>
      <c r="H194" s="3442" t="s">
        <v>2499</v>
      </c>
      <c r="I194" s="3442" t="s">
        <v>3285</v>
      </c>
      <c r="K194" s="3437" t="s">
        <v>8731</v>
      </c>
      <c r="M194" s="3437" t="s">
        <v>14439</v>
      </c>
      <c r="N194" s="2263"/>
      <c r="AN194" s="3283" t="s">
        <v>2156</v>
      </c>
      <c r="AO194" s="3283" t="s">
        <v>2156</v>
      </c>
      <c r="AP194" s="3437" t="s">
        <v>2156</v>
      </c>
      <c r="AQ194" s="3283" t="s">
        <v>2156</v>
      </c>
      <c r="AR194" s="101" t="s">
        <v>9069</v>
      </c>
      <c r="AU194" s="562"/>
      <c r="BH194" s="2406">
        <v>3904014891</v>
      </c>
      <c r="BI194" s="2409" t="s">
        <v>146</v>
      </c>
      <c r="BJ194" s="2466">
        <v>123872</v>
      </c>
      <c r="BK194" s="530"/>
      <c r="BU194" s="3126" t="s">
        <v>4019</v>
      </c>
      <c r="BV194" s="3082" t="str">
        <f t="shared" si="3"/>
        <v>{3123000 резервов</v>
      </c>
      <c r="BW194" s="101"/>
      <c r="CS194" s="3437" t="s">
        <v>4830</v>
      </c>
      <c r="CT194" s="2299" t="s">
        <v>6667</v>
      </c>
      <c r="DA194" s="2558"/>
      <c r="DB194" s="2153" t="s">
        <v>7355</v>
      </c>
      <c r="EI194" s="2689" t="s">
        <v>10513</v>
      </c>
    </row>
    <row r="195" spans="1:139" ht="43.5">
      <c r="A195" s="532"/>
      <c r="D195" s="2062"/>
      <c r="H195" s="3442" t="s">
        <v>26</v>
      </c>
      <c r="I195" s="3442" t="s">
        <v>3285</v>
      </c>
      <c r="K195" s="3437" t="s">
        <v>746</v>
      </c>
      <c r="M195" s="3437" t="s">
        <v>14442</v>
      </c>
      <c r="N195" s="2263"/>
      <c r="AN195" s="3283" t="s">
        <v>1322</v>
      </c>
      <c r="AO195" s="3283" t="s">
        <v>1322</v>
      </c>
      <c r="AP195" s="3437" t="s">
        <v>1322</v>
      </c>
      <c r="AQ195" s="3283" t="s">
        <v>1322</v>
      </c>
      <c r="AR195" s="101" t="s">
        <v>9070</v>
      </c>
      <c r="AU195" s="531"/>
      <c r="BH195" s="2406">
        <v>3904020630</v>
      </c>
      <c r="BI195" s="2409" t="s">
        <v>156</v>
      </c>
      <c r="BJ195" s="2466">
        <v>238713</v>
      </c>
      <c r="BK195" s="530"/>
      <c r="BU195" s="3126" t="s">
        <v>4020</v>
      </c>
      <c r="BV195" s="3082" t="str">
        <f t="shared" si="3"/>
        <v>{3124000ых фондов</v>
      </c>
      <c r="BW195" s="101"/>
      <c r="CS195" s="3437" t="s">
        <v>4831</v>
      </c>
      <c r="CT195" s="2299" t="s">
        <v>6668</v>
      </c>
      <c r="DA195" s="2558"/>
      <c r="DB195" s="2153" t="s">
        <v>7356</v>
      </c>
      <c r="EI195" s="2689" t="s">
        <v>10514</v>
      </c>
    </row>
    <row r="196" spans="1:139" ht="43.5">
      <c r="A196" s="532"/>
      <c r="D196" s="2062"/>
      <c r="H196" s="3442" t="s">
        <v>27</v>
      </c>
      <c r="I196" s="3442" t="s">
        <v>3285</v>
      </c>
      <c r="K196" s="3437" t="s">
        <v>14434</v>
      </c>
      <c r="M196" s="3437" t="s">
        <v>2352</v>
      </c>
      <c r="N196" s="2263"/>
      <c r="AN196" s="3283" t="s">
        <v>14368</v>
      </c>
      <c r="AO196" s="3283" t="s">
        <v>14368</v>
      </c>
      <c r="AP196" s="3437" t="s">
        <v>14368</v>
      </c>
      <c r="AQ196" s="3283" t="s">
        <v>14368</v>
      </c>
      <c r="AR196" s="101" t="s">
        <v>9071</v>
      </c>
      <c r="AU196" s="531"/>
      <c r="BH196" s="2406">
        <v>3905030014</v>
      </c>
      <c r="BI196" s="2409" t="s">
        <v>143</v>
      </c>
      <c r="BJ196" s="2466">
        <v>247329</v>
      </c>
      <c r="BK196" s="530"/>
      <c r="BU196" s="3126" t="s">
        <v>4021</v>
      </c>
      <c r="BV196" s="3082" t="str">
        <f t="shared" si="3"/>
        <v>{3125000сирования</v>
      </c>
      <c r="BW196" s="101"/>
      <c r="CS196" s="3437" t="s">
        <v>2319</v>
      </c>
      <c r="CT196" s="2299" t="s">
        <v>6669</v>
      </c>
      <c r="DA196" s="2558"/>
      <c r="DB196" s="2153" t="s">
        <v>7357</v>
      </c>
      <c r="EI196" s="2689" t="s">
        <v>10515</v>
      </c>
    </row>
    <row r="197" spans="1:139" ht="38.5">
      <c r="A197" s="532"/>
      <c r="D197" s="2062"/>
      <c r="H197" s="3442" t="s">
        <v>2500</v>
      </c>
      <c r="I197" s="3442" t="s">
        <v>3285</v>
      </c>
      <c r="K197" s="3437" t="s">
        <v>6079</v>
      </c>
      <c r="M197" s="3437" t="s">
        <v>2353</v>
      </c>
      <c r="N197" s="2263"/>
      <c r="AN197" s="3283" t="s">
        <v>1323</v>
      </c>
      <c r="AO197" s="3283" t="s">
        <v>1323</v>
      </c>
      <c r="AP197" s="3437" t="s">
        <v>1323</v>
      </c>
      <c r="AQ197" s="3283" t="s">
        <v>1323</v>
      </c>
      <c r="AR197" s="101" t="s">
        <v>9072</v>
      </c>
      <c r="BH197" s="2406">
        <v>3906003045</v>
      </c>
      <c r="BI197" s="2409" t="s">
        <v>147</v>
      </c>
      <c r="BJ197" s="2466">
        <v>272834</v>
      </c>
      <c r="BK197" s="530"/>
      <c r="BU197" s="3126" t="s">
        <v>4022</v>
      </c>
      <c r="BV197" s="3082" t="str">
        <f t="shared" si="3"/>
        <v>{3126000е грантов</v>
      </c>
      <c r="BW197" s="101"/>
      <c r="CS197" s="3437" t="s">
        <v>1135</v>
      </c>
      <c r="CT197" s="2299" t="s">
        <v>6670</v>
      </c>
      <c r="DA197" s="2558"/>
      <c r="DB197" s="2153" t="s">
        <v>7358</v>
      </c>
      <c r="EI197" s="2689" t="s">
        <v>10516</v>
      </c>
    </row>
    <row r="198" spans="1:139" ht="26">
      <c r="A198" s="532"/>
      <c r="H198" s="3442" t="s">
        <v>1461</v>
      </c>
      <c r="I198" s="3442" t="s">
        <v>3285</v>
      </c>
      <c r="K198" s="3437" t="s">
        <v>4821</v>
      </c>
      <c r="M198" s="3437" t="s">
        <v>91</v>
      </c>
      <c r="N198" s="2263"/>
      <c r="AN198" s="3283" t="s">
        <v>4515</v>
      </c>
      <c r="AO198" s="3283" t="s">
        <v>4515</v>
      </c>
      <c r="AP198" s="3437" t="s">
        <v>4515</v>
      </c>
      <c r="AQ198" s="3283" t="s">
        <v>4515</v>
      </c>
      <c r="AR198" s="101" t="s">
        <v>9073</v>
      </c>
      <c r="BH198" s="2406">
        <v>3906076861</v>
      </c>
      <c r="BI198" s="2409" t="s">
        <v>161</v>
      </c>
      <c r="BJ198" s="2466">
        <v>187117</v>
      </c>
      <c r="BK198" s="530"/>
      <c r="BU198" s="3126" t="s">
        <v>4024</v>
      </c>
      <c r="BV198" s="3082" t="str">
        <f t="shared" si="3"/>
        <v>{3130000вых бумаг</v>
      </c>
      <c r="BW198" s="101"/>
      <c r="CS198" s="3437" t="s">
        <v>2321</v>
      </c>
      <c r="CT198" s="2299" t="s">
        <v>6671</v>
      </c>
      <c r="DA198" s="2558"/>
      <c r="DB198" s="2153" t="s">
        <v>7359</v>
      </c>
      <c r="EI198" s="2689" t="s">
        <v>10517</v>
      </c>
    </row>
    <row r="199" spans="1:139" ht="38.5">
      <c r="A199" s="532"/>
      <c r="H199" s="3442" t="s">
        <v>2503</v>
      </c>
      <c r="I199" s="3442" t="s">
        <v>3285</v>
      </c>
      <c r="K199" s="3437" t="s">
        <v>8732</v>
      </c>
      <c r="M199" s="3437" t="s">
        <v>4841</v>
      </c>
      <c r="N199" s="2263"/>
      <c r="AN199" s="3283" t="s">
        <v>6838</v>
      </c>
      <c r="AO199" s="3283" t="s">
        <v>6838</v>
      </c>
      <c r="AP199" s="3437" t="s">
        <v>6838</v>
      </c>
      <c r="AQ199" s="3283" t="s">
        <v>6838</v>
      </c>
      <c r="AR199" s="101" t="s">
        <v>9074</v>
      </c>
      <c r="BH199" s="2406">
        <v>3906110008</v>
      </c>
      <c r="BI199" s="2409" t="s">
        <v>160</v>
      </c>
      <c r="BJ199" s="2466">
        <v>123900</v>
      </c>
      <c r="BK199" s="530"/>
      <c r="BU199" s="3126" t="s">
        <v>4026</v>
      </c>
      <c r="BV199" s="3082" t="str">
        <f t="shared" si="3"/>
        <v>{3191000астников)</v>
      </c>
      <c r="BW199" s="101"/>
      <c r="CS199" s="3437" t="s">
        <v>2323</v>
      </c>
      <c r="CT199" s="2299" t="s">
        <v>6672</v>
      </c>
      <c r="DA199" s="2558"/>
      <c r="DB199" s="2153" t="s">
        <v>7360</v>
      </c>
      <c r="EI199" s="2689" t="s">
        <v>10518</v>
      </c>
    </row>
    <row r="200" spans="1:139" ht="58">
      <c r="A200" s="532"/>
      <c r="H200" s="3442" t="s">
        <v>2505</v>
      </c>
      <c r="I200" s="3442" t="s">
        <v>3285</v>
      </c>
      <c r="K200" s="3437" t="s">
        <v>8733</v>
      </c>
      <c r="N200" s="2263"/>
      <c r="AN200" s="3283" t="s">
        <v>7644</v>
      </c>
      <c r="AO200" s="3283" t="s">
        <v>7644</v>
      </c>
      <c r="AP200" s="3437" t="s">
        <v>7644</v>
      </c>
      <c r="AQ200" s="3283" t="s">
        <v>7644</v>
      </c>
      <c r="AR200" s="101" t="s">
        <v>9075</v>
      </c>
      <c r="BH200" s="2406">
        <v>3906119089</v>
      </c>
      <c r="BI200" s="2409" t="s">
        <v>1966</v>
      </c>
      <c r="BJ200" s="2466">
        <v>259674</v>
      </c>
      <c r="BK200" s="530"/>
      <c r="BU200" s="3126" t="s">
        <v>4027</v>
      </c>
      <c r="BV200" s="3082" t="str">
        <f t="shared" si="3"/>
        <v>{3199999тельности</v>
      </c>
      <c r="BW200" s="101"/>
      <c r="CS200" s="3437" t="s">
        <v>2325</v>
      </c>
      <c r="CT200" s="2299" t="s">
        <v>6673</v>
      </c>
      <c r="DA200" s="2558"/>
      <c r="DB200" s="2153" t="s">
        <v>7361</v>
      </c>
      <c r="EI200" s="2689" t="s">
        <v>10519</v>
      </c>
    </row>
    <row r="201" spans="1:139" ht="43.5">
      <c r="A201" s="532"/>
      <c r="H201" s="3442" t="s">
        <v>2507</v>
      </c>
      <c r="I201" s="3442" t="s">
        <v>3285</v>
      </c>
      <c r="K201" s="3437" t="s">
        <v>4822</v>
      </c>
      <c r="N201" s="2263"/>
      <c r="AN201" s="3283" t="s">
        <v>9992</v>
      </c>
      <c r="AO201" s="3283" t="s">
        <v>9992</v>
      </c>
      <c r="AP201" s="3437" t="s">
        <v>9992</v>
      </c>
      <c r="AQ201" s="3283" t="s">
        <v>9992</v>
      </c>
      <c r="AR201" s="101" t="s">
        <v>9076</v>
      </c>
      <c r="BH201" s="2406">
        <v>3906134513</v>
      </c>
      <c r="BI201" s="2409" t="s">
        <v>163</v>
      </c>
      <c r="BJ201" s="2466">
        <v>179354</v>
      </c>
      <c r="BK201" s="530"/>
      <c r="BU201" s="3126" t="s">
        <v>4032</v>
      </c>
      <c r="BV201" s="3082" t="str">
        <f t="shared" si="3"/>
        <v>{3211000ых займов</v>
      </c>
      <c r="BW201" s="101"/>
      <c r="CS201" s="3437" t="s">
        <v>4832</v>
      </c>
      <c r="CT201" s="2299" t="s">
        <v>6674</v>
      </c>
      <c r="DA201" s="2558"/>
      <c r="DB201" s="2153" t="s">
        <v>7362</v>
      </c>
      <c r="EI201" s="2689" t="s">
        <v>10520</v>
      </c>
    </row>
    <row r="202" spans="1:139" ht="43.5">
      <c r="A202" s="532"/>
      <c r="H202" s="3442" t="s">
        <v>2509</v>
      </c>
      <c r="I202" s="3442" t="s">
        <v>3285</v>
      </c>
      <c r="K202" s="3437" t="s">
        <v>4823</v>
      </c>
      <c r="N202" s="2263"/>
      <c r="AN202" s="3283" t="s">
        <v>2157</v>
      </c>
      <c r="AO202" s="3283" t="s">
        <v>2157</v>
      </c>
      <c r="AP202" s="3437" t="s">
        <v>2157</v>
      </c>
      <c r="AQ202" s="3283" t="s">
        <v>2157</v>
      </c>
      <c r="AR202" s="101" t="s">
        <v>9077</v>
      </c>
      <c r="BH202" s="2406">
        <v>3906136790</v>
      </c>
      <c r="BI202" s="2409" t="s">
        <v>1936</v>
      </c>
      <c r="BJ202" s="2466">
        <v>224434</v>
      </c>
      <c r="BK202" s="530"/>
      <c r="BU202" s="3126" t="s">
        <v>4033</v>
      </c>
      <c r="BV202" s="3082" t="str">
        <f t="shared" si="3"/>
        <v>{3212300ых займов</v>
      </c>
      <c r="BW202" s="101"/>
      <c r="CS202" s="3437" t="s">
        <v>2326</v>
      </c>
      <c r="CT202" s="2299" t="s">
        <v>6675</v>
      </c>
      <c r="DA202" s="2558"/>
      <c r="DB202" s="2153" t="s">
        <v>7363</v>
      </c>
      <c r="EI202" s="2689" t="s">
        <v>10521</v>
      </c>
    </row>
    <row r="203" spans="1:139" ht="43.5">
      <c r="A203" s="532"/>
      <c r="H203" s="3442" t="s">
        <v>2511</v>
      </c>
      <c r="I203" s="3442" t="s">
        <v>3285</v>
      </c>
      <c r="K203" s="3437" t="s">
        <v>3637</v>
      </c>
      <c r="N203" s="2263"/>
      <c r="AN203" s="3283" t="s">
        <v>14674</v>
      </c>
      <c r="AO203" s="3283" t="s">
        <v>14674</v>
      </c>
      <c r="AP203" s="3283" t="s">
        <v>14674</v>
      </c>
      <c r="AQ203" s="3283" t="s">
        <v>14674</v>
      </c>
      <c r="AR203" s="101" t="s">
        <v>10071</v>
      </c>
      <c r="BH203" s="2406">
        <v>3906167621</v>
      </c>
      <c r="BI203" s="2409" t="s">
        <v>148</v>
      </c>
      <c r="BJ203" s="2466">
        <v>179440</v>
      </c>
      <c r="BK203" s="530"/>
      <c r="BU203" s="3126" t="s">
        <v>4034</v>
      </c>
      <c r="BV203" s="3082" t="str">
        <f t="shared" si="3"/>
        <v>{3212400бщие цели</v>
      </c>
      <c r="BW203" s="101"/>
      <c r="CS203" s="3437" t="s">
        <v>2327</v>
      </c>
      <c r="CT203" s="2299" t="s">
        <v>6676</v>
      </c>
      <c r="DA203" s="2558"/>
      <c r="DB203" s="2153" t="s">
        <v>7364</v>
      </c>
      <c r="EI203" s="2689" t="s">
        <v>10522</v>
      </c>
    </row>
    <row r="204" spans="1:139" ht="43.5">
      <c r="A204" s="532"/>
      <c r="H204" s="3442" t="s">
        <v>2512</v>
      </c>
      <c r="I204" s="3442" t="s">
        <v>3285</v>
      </c>
      <c r="K204" s="3437" t="s">
        <v>1134</v>
      </c>
      <c r="N204" s="2263"/>
      <c r="AN204" s="3283" t="s">
        <v>2158</v>
      </c>
      <c r="AO204" s="3283" t="s">
        <v>2158</v>
      </c>
      <c r="AP204" s="3437" t="s">
        <v>2158</v>
      </c>
      <c r="AQ204" s="3283" t="s">
        <v>2158</v>
      </c>
      <c r="AR204" s="101" t="s">
        <v>9078</v>
      </c>
      <c r="BH204" s="2406">
        <v>3906272898</v>
      </c>
      <c r="BI204" s="2409" t="s">
        <v>145</v>
      </c>
      <c r="BJ204" s="2466">
        <v>293320</v>
      </c>
      <c r="BK204" s="530"/>
      <c r="BU204" s="3126" t="s">
        <v>4035</v>
      </c>
      <c r="BV204" s="3082" t="str">
        <f t="shared" si="3"/>
        <v>{3212500 кредитов</v>
      </c>
      <c r="BW204" s="101"/>
      <c r="CS204" s="3437" t="s">
        <v>2329</v>
      </c>
      <c r="CT204" s="2299" t="s">
        <v>6677</v>
      </c>
      <c r="DA204" s="2558"/>
      <c r="DB204" s="2153" t="s">
        <v>7365</v>
      </c>
      <c r="EI204" s="2689" t="s">
        <v>10523</v>
      </c>
    </row>
    <row r="205" spans="1:139" ht="72.5">
      <c r="A205" s="532"/>
      <c r="H205" s="3442" t="s">
        <v>14411</v>
      </c>
      <c r="I205" s="3442" t="s">
        <v>3285</v>
      </c>
      <c r="K205" s="3437" t="s">
        <v>3639</v>
      </c>
      <c r="N205" s="2263"/>
      <c r="AN205" s="3283" t="s">
        <v>2159</v>
      </c>
      <c r="AO205" s="3283" t="s">
        <v>2159</v>
      </c>
      <c r="AP205" s="3437" t="s">
        <v>2159</v>
      </c>
      <c r="AQ205" s="3283" t="s">
        <v>2159</v>
      </c>
      <c r="AR205" s="101" t="s">
        <v>9079</v>
      </c>
      <c r="BH205" s="2406">
        <v>3908036487</v>
      </c>
      <c r="BI205" s="2409" t="s">
        <v>2736</v>
      </c>
      <c r="BJ205" s="2466">
        <v>258604</v>
      </c>
      <c r="BK205" s="530"/>
      <c r="BU205" s="3126" t="s">
        <v>4036</v>
      </c>
      <c r="BV205" s="3082" t="str">
        <f t="shared" si="3"/>
        <v>{3212600бщие цели</v>
      </c>
      <c r="BW205" s="101"/>
      <c r="CS205" s="3437" t="s">
        <v>2331</v>
      </c>
      <c r="CT205" s="2299" t="s">
        <v>6678</v>
      </c>
      <c r="DA205" s="2558"/>
      <c r="DB205" s="2153" t="s">
        <v>7366</v>
      </c>
      <c r="EI205" s="2689" t="s">
        <v>10524</v>
      </c>
    </row>
    <row r="206" spans="1:139" ht="43.5">
      <c r="A206" s="532"/>
      <c r="H206" s="3442" t="s">
        <v>2513</v>
      </c>
      <c r="I206" s="3442" t="s">
        <v>3285</v>
      </c>
      <c r="K206" s="3437" t="s">
        <v>4824</v>
      </c>
      <c r="N206" s="2263"/>
      <c r="AN206" s="3283" t="s">
        <v>7130</v>
      </c>
      <c r="AO206" s="3283" t="s">
        <v>7130</v>
      </c>
      <c r="AP206" s="3437" t="s">
        <v>7130</v>
      </c>
      <c r="AQ206" s="3283" t="s">
        <v>7130</v>
      </c>
      <c r="AR206" s="101" t="s">
        <v>9080</v>
      </c>
      <c r="BH206" s="2406">
        <v>3908600865</v>
      </c>
      <c r="BI206" s="2409" t="s">
        <v>2453</v>
      </c>
      <c r="BJ206" s="2466">
        <v>262405</v>
      </c>
      <c r="BK206" s="530"/>
      <c r="BU206" s="3126" t="s">
        <v>4038</v>
      </c>
      <c r="BV206" s="3082" t="str">
        <f t="shared" si="3"/>
        <v>{3221000ивидендов</v>
      </c>
      <c r="BW206" s="101"/>
      <c r="CS206" s="3437" t="s">
        <v>10215</v>
      </c>
      <c r="CT206" s="2299" t="s">
        <v>6679</v>
      </c>
      <c r="DA206" s="2558"/>
      <c r="DB206" s="2153" t="s">
        <v>7367</v>
      </c>
      <c r="EI206" s="2689" t="s">
        <v>10525</v>
      </c>
    </row>
    <row r="207" spans="1:139" ht="29">
      <c r="A207" s="532"/>
      <c r="H207" s="3442" t="s">
        <v>2515</v>
      </c>
      <c r="I207" s="3442" t="s">
        <v>3285</v>
      </c>
      <c r="K207" s="3437" t="s">
        <v>3642</v>
      </c>
      <c r="AN207" s="3283" t="s">
        <v>7131</v>
      </c>
      <c r="AO207" s="3283" t="s">
        <v>7131</v>
      </c>
      <c r="AP207" s="3437" t="s">
        <v>7131</v>
      </c>
      <c r="AQ207" s="3283" t="s">
        <v>7131</v>
      </c>
      <c r="AR207" s="101" t="s">
        <v>10072</v>
      </c>
      <c r="BH207" s="2406">
        <v>3909010530</v>
      </c>
      <c r="BI207" s="2409" t="s">
        <v>2368</v>
      </c>
      <c r="BJ207" s="2466">
        <v>220121</v>
      </c>
      <c r="BK207" s="530"/>
      <c r="BU207" s="3126" t="s">
        <v>5288</v>
      </c>
      <c r="BV207" s="3082" t="str">
        <f t="shared" si="3"/>
        <v>{3222000правлении</v>
      </c>
      <c r="BW207" s="101"/>
      <c r="CS207" s="3437" t="s">
        <v>7719</v>
      </c>
      <c r="CT207" s="2299" t="s">
        <v>6680</v>
      </c>
      <c r="DA207" s="2558"/>
      <c r="DB207" s="2153" t="s">
        <v>7368</v>
      </c>
      <c r="EI207" s="2689" t="s">
        <v>10526</v>
      </c>
    </row>
    <row r="208" spans="1:139" ht="43.5">
      <c r="A208" s="532"/>
      <c r="H208" s="3442" t="s">
        <v>2516</v>
      </c>
      <c r="I208" s="3442" t="s">
        <v>3285</v>
      </c>
      <c r="K208" s="3437" t="s">
        <v>4825</v>
      </c>
      <c r="L208" s="2562"/>
      <c r="AN208" s="3283" t="s">
        <v>14369</v>
      </c>
      <c r="AO208" s="3283" t="s">
        <v>14369</v>
      </c>
      <c r="AP208" s="3437" t="s">
        <v>14369</v>
      </c>
      <c r="AQ208" s="3283" t="s">
        <v>14369</v>
      </c>
      <c r="AR208" s="101" t="s">
        <v>9081</v>
      </c>
      <c r="BH208" s="2406">
        <v>3909010570</v>
      </c>
      <c r="BI208" s="2409" t="s">
        <v>158</v>
      </c>
      <c r="BJ208" s="2466">
        <v>219180</v>
      </c>
      <c r="BK208" s="530"/>
      <c r="BU208" s="3126" t="s">
        <v>5291</v>
      </c>
      <c r="BV208" s="3082" t="str">
        <f t="shared" si="3"/>
        <v>{3291000ой аренде</v>
      </c>
      <c r="BW208" s="101"/>
      <c r="CS208" s="3437" t="s">
        <v>7713</v>
      </c>
      <c r="CT208" s="2299" t="s">
        <v>6681</v>
      </c>
      <c r="DA208" s="2558"/>
      <c r="DB208" s="2153" t="s">
        <v>7369</v>
      </c>
      <c r="EI208" s="2689" t="s">
        <v>10527</v>
      </c>
    </row>
    <row r="209" spans="1:139" ht="43.5">
      <c r="A209" s="532"/>
      <c r="H209" s="3442" t="s">
        <v>2517</v>
      </c>
      <c r="I209" s="3442" t="s">
        <v>3285</v>
      </c>
      <c r="K209" s="3437" t="s">
        <v>10202</v>
      </c>
      <c r="AN209" s="3283" t="s">
        <v>2160</v>
      </c>
      <c r="AO209" s="3283" t="s">
        <v>2160</v>
      </c>
      <c r="AP209" s="3437" t="s">
        <v>2160</v>
      </c>
      <c r="AQ209" s="3283" t="s">
        <v>2160</v>
      </c>
      <c r="AR209" s="101" t="s">
        <v>9082</v>
      </c>
      <c r="BH209" s="2406">
        <v>3909010770</v>
      </c>
      <c r="BI209" s="2409" t="s">
        <v>142</v>
      </c>
      <c r="BJ209" s="2466">
        <v>203913</v>
      </c>
      <c r="BK209" s="530"/>
      <c r="BU209" s="3126" t="s">
        <v>5292</v>
      </c>
      <c r="BV209" s="3082" t="str">
        <f t="shared" si="3"/>
        <v>{3292000ных акций</v>
      </c>
      <c r="BW209" s="101"/>
      <c r="CS209" s="3437" t="s">
        <v>4833</v>
      </c>
      <c r="CT209" s="2299" t="s">
        <v>6682</v>
      </c>
      <c r="DA209" s="2558"/>
      <c r="DB209" s="2153" t="s">
        <v>7370</v>
      </c>
      <c r="EI209" s="2689" t="s">
        <v>10528</v>
      </c>
    </row>
    <row r="210" spans="1:139" ht="43.5">
      <c r="A210" s="532"/>
      <c r="H210" s="3442" t="s">
        <v>2519</v>
      </c>
      <c r="I210" s="3442" t="s">
        <v>3285</v>
      </c>
      <c r="K210" s="3437" t="s">
        <v>4826</v>
      </c>
      <c r="AN210" s="3283" t="s">
        <v>2161</v>
      </c>
      <c r="AO210" s="3283" t="s">
        <v>2161</v>
      </c>
      <c r="AP210" s="3437" t="s">
        <v>2161</v>
      </c>
      <c r="AQ210" s="3283" t="s">
        <v>2161</v>
      </c>
      <c r="AR210" s="101" t="s">
        <v>9083</v>
      </c>
      <c r="BH210" s="2406">
        <v>3909027118</v>
      </c>
      <c r="BI210" s="2409" t="s">
        <v>155</v>
      </c>
      <c r="BJ210" s="2466">
        <v>123914</v>
      </c>
      <c r="BK210" s="530"/>
      <c r="BU210" s="3126" t="s">
        <v>5293</v>
      </c>
      <c r="BV210" s="3082" t="str">
        <f t="shared" si="3"/>
        <v>{3299999тельности</v>
      </c>
      <c r="BW210" s="101"/>
      <c r="CS210" s="3437" t="s">
        <v>2334</v>
      </c>
      <c r="CT210" s="2299" t="s">
        <v>6683</v>
      </c>
      <c r="DA210" s="2558"/>
      <c r="DB210" s="2153" t="s">
        <v>7371</v>
      </c>
      <c r="EI210" s="2689" t="s">
        <v>10529</v>
      </c>
    </row>
    <row r="211" spans="1:139" ht="43.5">
      <c r="A211" s="532"/>
      <c r="H211" s="3442" t="s">
        <v>7521</v>
      </c>
      <c r="I211" s="3442" t="s">
        <v>3285</v>
      </c>
      <c r="K211" s="3437" t="s">
        <v>6904</v>
      </c>
      <c r="AN211" s="3283" t="s">
        <v>2162</v>
      </c>
      <c r="AO211" s="3283" t="s">
        <v>2162</v>
      </c>
      <c r="AP211" s="3437" t="s">
        <v>2162</v>
      </c>
      <c r="AQ211" s="3283" t="s">
        <v>2162</v>
      </c>
      <c r="AR211" s="101" t="s">
        <v>9084</v>
      </c>
      <c r="BH211" s="2406">
        <v>3909027284</v>
      </c>
      <c r="BI211" s="2409" t="s">
        <v>144</v>
      </c>
      <c r="BJ211" s="2466">
        <v>243689</v>
      </c>
      <c r="BK211" s="530"/>
      <c r="BU211" s="3126" t="s">
        <v>5300</v>
      </c>
      <c r="BV211" s="3082" t="str">
        <f t="shared" si="3"/>
        <v>{4000000 разницы)</v>
      </c>
      <c r="BW211" s="101"/>
      <c r="CS211" s="3437" t="s">
        <v>2335</v>
      </c>
      <c r="CT211" s="2299" t="s">
        <v>6684</v>
      </c>
      <c r="DA211" s="2558"/>
      <c r="DB211" s="2153" t="s">
        <v>7372</v>
      </c>
      <c r="EI211" s="2689" t="s">
        <v>10530</v>
      </c>
    </row>
    <row r="212" spans="1:139" ht="29">
      <c r="A212" s="532"/>
      <c r="H212" s="3442" t="s">
        <v>7522</v>
      </c>
      <c r="I212" s="3442" t="s">
        <v>3285</v>
      </c>
      <c r="K212" s="3437" t="s">
        <v>4827</v>
      </c>
      <c r="AN212" s="3283" t="s">
        <v>2163</v>
      </c>
      <c r="AO212" s="3283" t="s">
        <v>2163</v>
      </c>
      <c r="AP212" s="3437" t="s">
        <v>2163</v>
      </c>
      <c r="AQ212" s="3283" t="s">
        <v>2163</v>
      </c>
      <c r="AR212" s="101" t="s">
        <v>9085</v>
      </c>
      <c r="BH212" s="2406">
        <v>3909027291</v>
      </c>
      <c r="BI212" s="2409" t="s">
        <v>162</v>
      </c>
      <c r="BJ212" s="2466">
        <v>179132</v>
      </c>
      <c r="BK212" s="530"/>
      <c r="BU212" s="3126" t="s">
        <v>3916</v>
      </c>
      <c r="BV212" s="3082" t="str">
        <f t="shared" si="3"/>
        <v>{5120000 в кассу)</v>
      </c>
      <c r="BW212" s="101"/>
      <c r="CS212" s="3437" t="s">
        <v>2336</v>
      </c>
      <c r="CT212" s="2299" t="s">
        <v>6685</v>
      </c>
      <c r="DA212" s="2558"/>
      <c r="DB212" s="2153" t="s">
        <v>7373</v>
      </c>
      <c r="EI212" s="2689" t="s">
        <v>10531</v>
      </c>
    </row>
    <row r="213" spans="1:139" ht="43.5">
      <c r="A213" s="532"/>
      <c r="H213" s="3442" t="s">
        <v>2521</v>
      </c>
      <c r="I213" s="3442" t="s">
        <v>3285</v>
      </c>
      <c r="K213" s="3437" t="s">
        <v>4828</v>
      </c>
      <c r="AN213" s="3283" t="s">
        <v>4516</v>
      </c>
      <c r="AO213" s="3283" t="s">
        <v>4516</v>
      </c>
      <c r="AP213" s="3437" t="s">
        <v>4516</v>
      </c>
      <c r="AQ213" s="3283" t="s">
        <v>4516</v>
      </c>
      <c r="AR213" s="101" t="s">
        <v>9086</v>
      </c>
      <c r="BH213" s="2406">
        <v>3911014733</v>
      </c>
      <c r="BI213" s="2409" t="s">
        <v>159</v>
      </c>
      <c r="BJ213" s="2466">
        <v>257409</v>
      </c>
      <c r="BK213" s="530"/>
      <c r="BU213" s="3126" t="s">
        <v>5731</v>
      </c>
      <c r="BV213" s="3082" t="str">
        <f t="shared" si="3"/>
        <v>{5130100ой валюты</v>
      </c>
      <c r="BW213" s="101"/>
      <c r="CS213" s="3437" t="s">
        <v>7143</v>
      </c>
      <c r="CT213" s="2299" t="s">
        <v>6686</v>
      </c>
      <c r="DA213" s="2558"/>
      <c r="DB213" s="2153" t="s">
        <v>7374</v>
      </c>
      <c r="EI213" s="2689" t="s">
        <v>10532</v>
      </c>
    </row>
    <row r="214" spans="1:139" ht="58">
      <c r="A214" s="532"/>
      <c r="H214" s="3442" t="s">
        <v>2523</v>
      </c>
      <c r="I214" s="3442" t="s">
        <v>3285</v>
      </c>
      <c r="K214" s="3437" t="s">
        <v>7141</v>
      </c>
      <c r="M214" s="2562"/>
      <c r="AN214" s="3283" t="s">
        <v>2164</v>
      </c>
      <c r="AO214" s="3283" t="s">
        <v>2164</v>
      </c>
      <c r="AP214" s="3437" t="s">
        <v>2164</v>
      </c>
      <c r="AQ214" s="3283" t="s">
        <v>2164</v>
      </c>
      <c r="AR214" s="101" t="s">
        <v>9087</v>
      </c>
      <c r="BH214" s="2406">
        <v>3917507051</v>
      </c>
      <c r="BI214" s="2409" t="s">
        <v>1959</v>
      </c>
      <c r="BJ214" s="2466">
        <v>209532</v>
      </c>
      <c r="BK214" s="530"/>
      <c r="BU214" s="3126" t="s">
        <v>5736</v>
      </c>
      <c r="BV214" s="3082" t="str">
        <f t="shared" si="3"/>
        <v>{5130200ы покупки</v>
      </c>
      <c r="BW214" s="101"/>
      <c r="CS214" s="3437" t="s">
        <v>6846</v>
      </c>
      <c r="CT214" s="2299" t="s">
        <v>6687</v>
      </c>
      <c r="DA214" s="2558"/>
      <c r="DB214" s="2153" t="s">
        <v>7375</v>
      </c>
      <c r="EI214" s="2689" t="s">
        <v>10533</v>
      </c>
    </row>
    <row r="215" spans="1:139" ht="43.5">
      <c r="A215" s="532"/>
      <c r="H215" s="3442" t="s">
        <v>2525</v>
      </c>
      <c r="I215" s="3442" t="s">
        <v>3285</v>
      </c>
      <c r="K215" s="3437" t="s">
        <v>7142</v>
      </c>
      <c r="AN215" s="3283" t="s">
        <v>3243</v>
      </c>
      <c r="AO215" s="3283" t="s">
        <v>3243</v>
      </c>
      <c r="AP215" s="3437" t="s">
        <v>3243</v>
      </c>
      <c r="AQ215" s="3283" t="s">
        <v>3243</v>
      </c>
      <c r="AR215" s="101" t="s">
        <v>9088</v>
      </c>
      <c r="BH215" s="2406">
        <v>4007001184</v>
      </c>
      <c r="BI215" s="2409" t="s">
        <v>3636</v>
      </c>
      <c r="BJ215" s="2466">
        <v>241158</v>
      </c>
      <c r="BK215" s="530"/>
      <c r="BU215" s="3126" t="s">
        <v>5146</v>
      </c>
      <c r="BV215" s="3082" t="str">
        <f t="shared" si="3"/>
        <v>{5130300х месяцев</v>
      </c>
      <c r="BW215" s="101"/>
      <c r="CS215" s="3437" t="s">
        <v>2340</v>
      </c>
      <c r="CT215" s="2299" t="s">
        <v>6688</v>
      </c>
      <c r="DA215" s="2558"/>
      <c r="DB215" s="2153" t="s">
        <v>7376</v>
      </c>
      <c r="EI215" s="2689" t="s">
        <v>10534</v>
      </c>
    </row>
    <row r="216" spans="1:139" ht="60.75" customHeight="1">
      <c r="A216" s="532"/>
      <c r="H216" s="3442" t="s">
        <v>2527</v>
      </c>
      <c r="I216" s="3442" t="s">
        <v>3285</v>
      </c>
      <c r="K216" s="3437" t="s">
        <v>10237</v>
      </c>
      <c r="AN216" s="3283" t="s">
        <v>3244</v>
      </c>
      <c r="AO216" s="3283" t="s">
        <v>3244</v>
      </c>
      <c r="AP216" s="3437" t="s">
        <v>3244</v>
      </c>
      <c r="AQ216" s="3283" t="s">
        <v>3244</v>
      </c>
      <c r="AR216" s="101" t="s">
        <v>9089</v>
      </c>
      <c r="BH216" s="2405">
        <v>4007017120</v>
      </c>
      <c r="BI216" s="2405" t="s">
        <v>1624</v>
      </c>
      <c r="BJ216" s="2466">
        <v>284547</v>
      </c>
      <c r="BK216" s="530"/>
      <c r="BU216" s="3126" t="s">
        <v>5737</v>
      </c>
      <c r="BV216" s="3082" t="str">
        <f t="shared" si="3"/>
        <v>{5130400верителя)</v>
      </c>
      <c r="BW216" s="101"/>
      <c r="CS216" s="3437" t="s">
        <v>2341</v>
      </c>
      <c r="CT216" s="2299" t="s">
        <v>6689</v>
      </c>
      <c r="DA216" s="2558"/>
      <c r="DB216" s="2153" t="s">
        <v>7377</v>
      </c>
      <c r="EI216" s="2689" t="s">
        <v>10535</v>
      </c>
    </row>
    <row r="217" spans="1:139" ht="43.5">
      <c r="A217" s="532"/>
      <c r="H217" s="3442" t="s">
        <v>2529</v>
      </c>
      <c r="I217" s="3442" t="s">
        <v>3285</v>
      </c>
      <c r="K217" s="3437" t="s">
        <v>10238</v>
      </c>
      <c r="AN217" s="3283" t="s">
        <v>3245</v>
      </c>
      <c r="AO217" s="3283" t="s">
        <v>3245</v>
      </c>
      <c r="AP217" s="3437" t="s">
        <v>3245</v>
      </c>
      <c r="AQ217" s="3283" t="s">
        <v>3245</v>
      </c>
      <c r="AR217" s="101" t="s">
        <v>9090</v>
      </c>
      <c r="BH217" s="2406">
        <v>4011003730</v>
      </c>
      <c r="BI217" s="2409" t="s">
        <v>2592</v>
      </c>
      <c r="BJ217" s="2466">
        <v>145859</v>
      </c>
      <c r="BK217" s="530"/>
      <c r="BU217" s="3126" t="s">
        <v>5738</v>
      </c>
      <c r="BV217" s="3082" t="str">
        <f t="shared" si="3"/>
        <v>{5130500верителю)</v>
      </c>
      <c r="BW217" s="101"/>
      <c r="CS217" s="3437" t="s">
        <v>1137</v>
      </c>
      <c r="CT217" s="2299" t="s">
        <v>6690</v>
      </c>
      <c r="DA217" s="2558"/>
      <c r="DB217" s="2153" t="s">
        <v>7378</v>
      </c>
      <c r="EI217" s="2689" t="s">
        <v>10536</v>
      </c>
    </row>
    <row r="218" spans="1:139" ht="38.5">
      <c r="A218" s="532"/>
      <c r="H218" s="3442" t="s">
        <v>2531</v>
      </c>
      <c r="I218" s="3442" t="s">
        <v>3285</v>
      </c>
      <c r="K218" s="3437" t="s">
        <v>3646</v>
      </c>
      <c r="AN218" s="3283" t="s">
        <v>3246</v>
      </c>
      <c r="AO218" s="3283" t="s">
        <v>3246</v>
      </c>
      <c r="AP218" s="3437" t="s">
        <v>3246</v>
      </c>
      <c r="AQ218" s="3283" t="s">
        <v>3246</v>
      </c>
      <c r="AR218" s="101" t="s">
        <v>9091</v>
      </c>
      <c r="BH218" s="2406">
        <v>4025000320</v>
      </c>
      <c r="BI218" s="2409" t="s">
        <v>2721</v>
      </c>
      <c r="BJ218" s="2466">
        <v>272489</v>
      </c>
      <c r="BK218" s="530"/>
      <c r="BU218" s="3126" t="s">
        <v>5739</v>
      </c>
      <c r="BV218" s="3082" t="str">
        <f t="shared" si="3"/>
        <v>{5130600 расходов</v>
      </c>
      <c r="BW218" s="101"/>
      <c r="CS218" s="3437" t="s">
        <v>956</v>
      </c>
      <c r="CT218" s="2299" t="s">
        <v>6691</v>
      </c>
      <c r="DA218" s="2558"/>
      <c r="DB218" s="2153" t="s">
        <v>7379</v>
      </c>
      <c r="EI218" s="2689" t="s">
        <v>10537</v>
      </c>
    </row>
    <row r="219" spans="1:139" ht="29">
      <c r="A219" s="532"/>
      <c r="H219" s="3442" t="s">
        <v>2533</v>
      </c>
      <c r="I219" s="3442" t="s">
        <v>3285</v>
      </c>
      <c r="K219" s="3437" t="s">
        <v>4829</v>
      </c>
      <c r="AN219" s="3283" t="s">
        <v>3247</v>
      </c>
      <c r="AO219" s="3283" t="s">
        <v>3247</v>
      </c>
      <c r="AP219" s="3437" t="s">
        <v>3247</v>
      </c>
      <c r="AQ219" s="3283" t="s">
        <v>3247</v>
      </c>
      <c r="AR219" s="101" t="s">
        <v>9092</v>
      </c>
      <c r="BH219" s="2406">
        <v>4025001613</v>
      </c>
      <c r="BI219" s="2409" t="s">
        <v>2274</v>
      </c>
      <c r="BJ219" s="2466">
        <v>204826</v>
      </c>
      <c r="BK219" s="530"/>
      <c r="BU219" s="3126" t="s">
        <v>5740</v>
      </c>
      <c r="BV219" s="3082" t="str">
        <f t="shared" si="3"/>
        <v>{5130700е закупки</v>
      </c>
      <c r="BW219" s="101"/>
      <c r="CS219" s="3437" t="s">
        <v>7144</v>
      </c>
      <c r="CT219" s="2299" t="s">
        <v>6692</v>
      </c>
      <c r="DA219" s="2558"/>
      <c r="DB219" s="2153" t="s">
        <v>7380</v>
      </c>
      <c r="EI219" s="2689" t="s">
        <v>10538</v>
      </c>
    </row>
    <row r="220" spans="1:139" ht="29">
      <c r="A220" s="532"/>
      <c r="H220" s="3442" t="s">
        <v>2535</v>
      </c>
      <c r="I220" s="3442" t="s">
        <v>2477</v>
      </c>
      <c r="K220" s="3437" t="s">
        <v>3649</v>
      </c>
      <c r="AN220" s="3283" t="s">
        <v>3248</v>
      </c>
      <c r="AO220" s="3283" t="s">
        <v>3248</v>
      </c>
      <c r="AP220" s="3437" t="s">
        <v>3248</v>
      </c>
      <c r="AQ220" s="3283" t="s">
        <v>3248</v>
      </c>
      <c r="AR220" s="101" t="s">
        <v>9093</v>
      </c>
      <c r="BH220" s="2406">
        <v>4025008866</v>
      </c>
      <c r="BI220" s="2409" t="s">
        <v>3544</v>
      </c>
      <c r="BJ220" s="2466">
        <v>123946</v>
      </c>
      <c r="BK220" s="530"/>
      <c r="BU220" s="3126" t="s">
        <v>5741</v>
      </c>
      <c r="BV220" s="3082" t="str">
        <f t="shared" si="3"/>
        <v>{5130800е закупки</v>
      </c>
      <c r="BW220" s="101"/>
      <c r="CS220" s="3437" t="s">
        <v>6162</v>
      </c>
      <c r="CT220" s="2299" t="s">
        <v>6693</v>
      </c>
      <c r="DA220" s="2558"/>
      <c r="DB220" s="2153" t="s">
        <v>7381</v>
      </c>
      <c r="EI220" s="2689" t="s">
        <v>10539</v>
      </c>
    </row>
    <row r="221" spans="1:139" ht="43.5">
      <c r="A221" s="532"/>
      <c r="H221" s="3442" t="s">
        <v>2536</v>
      </c>
      <c r="I221" s="3442" t="s">
        <v>2477</v>
      </c>
      <c r="K221" s="3437" t="s">
        <v>3651</v>
      </c>
      <c r="AN221" s="3283" t="s">
        <v>4517</v>
      </c>
      <c r="AO221" s="3283" t="s">
        <v>4517</v>
      </c>
      <c r="AP221" s="3437" t="s">
        <v>4517</v>
      </c>
      <c r="AQ221" s="3283" t="s">
        <v>4517</v>
      </c>
      <c r="AR221" s="101" t="s">
        <v>9094</v>
      </c>
      <c r="BH221" s="2406">
        <v>4025021112</v>
      </c>
      <c r="BI221" s="2409" t="s">
        <v>5054</v>
      </c>
      <c r="BJ221" s="2466">
        <v>98976</v>
      </c>
      <c r="BK221" s="530"/>
      <c r="BU221" s="3126" t="s">
        <v>5732</v>
      </c>
      <c r="BV221" s="3082" t="str">
        <f t="shared" si="3"/>
        <v>{5130900окументов</v>
      </c>
      <c r="BW221" s="101"/>
      <c r="CS221" s="3437" t="s">
        <v>4835</v>
      </c>
      <c r="CT221" s="2299" t="s">
        <v>6694</v>
      </c>
      <c r="DA221" s="2558"/>
      <c r="DB221" s="2153" t="s">
        <v>7382</v>
      </c>
      <c r="EI221" s="2689" t="s">
        <v>10540</v>
      </c>
    </row>
    <row r="222" spans="1:139" ht="43.5">
      <c r="A222" s="532"/>
      <c r="H222" s="3442" t="s">
        <v>14412</v>
      </c>
      <c r="I222" s="3442" t="s">
        <v>2477</v>
      </c>
      <c r="K222" s="3437" t="s">
        <v>4840</v>
      </c>
      <c r="AN222" s="3283" t="s">
        <v>3249</v>
      </c>
      <c r="AO222" s="3283" t="s">
        <v>3249</v>
      </c>
      <c r="AP222" s="3437" t="s">
        <v>3249</v>
      </c>
      <c r="AQ222" s="3283" t="s">
        <v>3249</v>
      </c>
      <c r="AR222" s="101" t="s">
        <v>9849</v>
      </c>
      <c r="BH222" s="2406">
        <v>4025040355</v>
      </c>
      <c r="BI222" s="2409" t="s">
        <v>123</v>
      </c>
      <c r="BJ222" s="2466">
        <v>123957</v>
      </c>
      <c r="BK222" s="530"/>
      <c r="BU222" s="3126" t="s">
        <v>7423</v>
      </c>
      <c r="BV222" s="3082" t="str">
        <f t="shared" si="3"/>
        <v>{5131000тника КГН</v>
      </c>
      <c r="BW222" s="101"/>
      <c r="CS222" s="3437" t="s">
        <v>2344</v>
      </c>
      <c r="CT222" s="2299" t="s">
        <v>6695</v>
      </c>
      <c r="DA222" s="2558"/>
      <c r="DB222" s="2153" t="s">
        <v>7383</v>
      </c>
      <c r="EI222" s="2689" t="s">
        <v>10541</v>
      </c>
    </row>
    <row r="223" spans="1:139" ht="43.5">
      <c r="A223" s="532"/>
      <c r="H223" s="3442" t="s">
        <v>14413</v>
      </c>
      <c r="I223" s="3442" t="s">
        <v>2477</v>
      </c>
      <c r="K223" s="3437" t="s">
        <v>2315</v>
      </c>
      <c r="AN223" s="3283" t="s">
        <v>3250</v>
      </c>
      <c r="AO223" s="3283" t="s">
        <v>3250</v>
      </c>
      <c r="AP223" s="3437" t="s">
        <v>3250</v>
      </c>
      <c r="AQ223" s="3283" t="s">
        <v>3250</v>
      </c>
      <c r="AR223" s="101" t="s">
        <v>9095</v>
      </c>
      <c r="BH223" s="2406">
        <v>4025409113</v>
      </c>
      <c r="BI223" s="2409" t="s">
        <v>1908</v>
      </c>
      <c r="BJ223" s="2466">
        <v>275153</v>
      </c>
      <c r="BK223" s="530"/>
      <c r="BU223" s="3126" t="s">
        <v>5947</v>
      </c>
      <c r="BV223" s="3082" t="str">
        <f t="shared" si="3"/>
        <v>{5131100зательств</v>
      </c>
      <c r="BW223" s="101"/>
      <c r="CS223" s="3437" t="s">
        <v>2346</v>
      </c>
      <c r="CT223" s="2299" t="s">
        <v>6696</v>
      </c>
      <c r="DA223" s="2558"/>
      <c r="DB223" s="2153" t="s">
        <v>7384</v>
      </c>
      <c r="EI223" s="2689" t="s">
        <v>10542</v>
      </c>
    </row>
    <row r="224" spans="1:139" ht="51">
      <c r="A224" s="532"/>
      <c r="H224" s="3442" t="s">
        <v>9696</v>
      </c>
      <c r="I224" s="3442" t="s">
        <v>2477</v>
      </c>
      <c r="K224" s="3437" t="s">
        <v>2317</v>
      </c>
      <c r="AN224" s="3283" t="s">
        <v>3251</v>
      </c>
      <c r="AO224" s="3283" t="s">
        <v>3251</v>
      </c>
      <c r="AP224" s="3437" t="s">
        <v>3251</v>
      </c>
      <c r="AQ224" s="3283" t="s">
        <v>3251</v>
      </c>
      <c r="AR224" s="101" t="s">
        <v>9096</v>
      </c>
      <c r="BH224" s="2406">
        <v>4025409836</v>
      </c>
      <c r="BI224" s="2409" t="s">
        <v>2591</v>
      </c>
      <c r="BJ224" s="2466">
        <v>182246</v>
      </c>
      <c r="BK224" s="530"/>
      <c r="BU224" s="3126" t="s">
        <v>5948</v>
      </c>
      <c r="BV224" s="3082" t="str">
        <f t="shared" si="3"/>
        <v>{5131200зательств</v>
      </c>
      <c r="BW224" s="101"/>
      <c r="CS224" s="3437" t="s">
        <v>4836</v>
      </c>
      <c r="CT224" s="2299" t="s">
        <v>6697</v>
      </c>
      <c r="DA224" s="2558"/>
      <c r="DB224" s="2153" t="s">
        <v>7385</v>
      </c>
      <c r="EI224" s="2689" t="s">
        <v>10543</v>
      </c>
    </row>
    <row r="225" spans="1:139" ht="51">
      <c r="A225" s="532"/>
      <c r="H225" s="3442" t="s">
        <v>9812</v>
      </c>
      <c r="I225" s="3442" t="s">
        <v>2477</v>
      </c>
      <c r="K225" s="3437" t="s">
        <v>4830</v>
      </c>
      <c r="AN225" s="3283" t="s">
        <v>3252</v>
      </c>
      <c r="AO225" s="3283" t="s">
        <v>3252</v>
      </c>
      <c r="AP225" s="3437" t="s">
        <v>3252</v>
      </c>
      <c r="AQ225" s="3283" t="s">
        <v>3252</v>
      </c>
      <c r="AR225" s="101" t="s">
        <v>9097</v>
      </c>
      <c r="BH225" s="2406">
        <v>4025422957</v>
      </c>
      <c r="BI225" s="2409" t="s">
        <v>3605</v>
      </c>
      <c r="BJ225" s="2466">
        <v>210885</v>
      </c>
      <c r="BK225" s="530"/>
      <c r="BU225" s="3126" t="s">
        <v>7869</v>
      </c>
      <c r="BV225" s="3082" t="str">
        <f t="shared" si="3"/>
        <v>{5131300ул-лидера</v>
      </c>
      <c r="BW225" s="101"/>
      <c r="CS225" s="3437" t="s">
        <v>2347</v>
      </c>
      <c r="CT225" s="2299" t="s">
        <v>6698</v>
      </c>
      <c r="DA225" s="2558"/>
      <c r="DB225" s="2153" t="s">
        <v>7386</v>
      </c>
      <c r="EI225" s="2689" t="s">
        <v>10544</v>
      </c>
    </row>
    <row r="226" spans="1:139" ht="38.5">
      <c r="A226" s="532"/>
      <c r="H226" s="3442" t="s">
        <v>3284</v>
      </c>
      <c r="I226" s="3442" t="s">
        <v>3285</v>
      </c>
      <c r="K226" s="3437" t="s">
        <v>4831</v>
      </c>
      <c r="AN226" s="3283" t="s">
        <v>3253</v>
      </c>
      <c r="AO226" s="3283" t="s">
        <v>3253</v>
      </c>
      <c r="AP226" s="3437" t="s">
        <v>3253</v>
      </c>
      <c r="AQ226" s="3283" t="s">
        <v>3253</v>
      </c>
      <c r="AR226" s="101" t="s">
        <v>9098</v>
      </c>
      <c r="BH226" s="2406">
        <v>4026006420</v>
      </c>
      <c r="BI226" s="2409" t="s">
        <v>3638</v>
      </c>
      <c r="BJ226" s="2466">
        <v>275568</v>
      </c>
      <c r="BK226" s="530"/>
      <c r="BU226" s="3126" t="s">
        <v>7425</v>
      </c>
      <c r="BV226" s="3082" t="str">
        <f t="shared" si="3"/>
        <v>{5131500ников КГН</v>
      </c>
      <c r="BW226" s="101"/>
      <c r="CS226" s="3437" t="s">
        <v>14436</v>
      </c>
      <c r="CT226" s="2299" t="s">
        <v>6699</v>
      </c>
      <c r="DA226" s="2558"/>
      <c r="DB226" s="2153" t="s">
        <v>7387</v>
      </c>
      <c r="EI226" s="2689" t="s">
        <v>10545</v>
      </c>
    </row>
    <row r="227" spans="1:139" ht="43.5">
      <c r="A227" s="532"/>
      <c r="H227" s="3442" t="s">
        <v>14414</v>
      </c>
      <c r="I227" s="3442" t="s">
        <v>3285</v>
      </c>
      <c r="K227" s="3437" t="s">
        <v>2319</v>
      </c>
      <c r="AN227" s="3283" t="s">
        <v>3254</v>
      </c>
      <c r="AO227" s="3283" t="s">
        <v>3254</v>
      </c>
      <c r="AP227" s="3437" t="s">
        <v>3254</v>
      </c>
      <c r="AQ227" s="3283" t="s">
        <v>3254</v>
      </c>
      <c r="AR227" s="101" t="s">
        <v>10112</v>
      </c>
      <c r="BH227" s="2406">
        <v>4027051994</v>
      </c>
      <c r="BI227" s="2409" t="s">
        <v>1881</v>
      </c>
      <c r="BJ227" s="2466">
        <v>195597</v>
      </c>
      <c r="BK227" s="530"/>
      <c r="BU227" s="3126" t="s">
        <v>3917</v>
      </c>
      <c r="BV227" s="3082" t="str">
        <f t="shared" si="3"/>
        <v>{5220000 в кассу)</v>
      </c>
      <c r="BW227" s="101"/>
      <c r="CS227" s="3437" t="s">
        <v>14237</v>
      </c>
      <c r="CT227" s="2299" t="s">
        <v>6700</v>
      </c>
      <c r="DA227" s="2558"/>
      <c r="DB227" s="2153" t="s">
        <v>7388</v>
      </c>
      <c r="EI227" s="2689" t="s">
        <v>10546</v>
      </c>
    </row>
    <row r="228" spans="1:139" ht="43.5">
      <c r="A228" s="532"/>
      <c r="H228" s="3442" t="s">
        <v>14415</v>
      </c>
      <c r="I228" s="3442" t="s">
        <v>3285</v>
      </c>
      <c r="K228" s="3437" t="s">
        <v>1135</v>
      </c>
      <c r="AN228" s="3283" t="s">
        <v>258</v>
      </c>
      <c r="AO228" s="3283" t="s">
        <v>258</v>
      </c>
      <c r="AP228" s="3437" t="s">
        <v>258</v>
      </c>
      <c r="AQ228" s="3283" t="s">
        <v>258</v>
      </c>
      <c r="AR228" s="101" t="s">
        <v>9099</v>
      </c>
      <c r="BH228" s="2405">
        <v>4027055893</v>
      </c>
      <c r="BI228" s="2405" t="s">
        <v>4951</v>
      </c>
      <c r="BJ228" s="2466">
        <v>169</v>
      </c>
      <c r="BK228" s="530"/>
      <c r="BU228" s="3126" t="s">
        <v>3800</v>
      </c>
      <c r="BV228" s="3082" t="str">
        <f t="shared" si="3"/>
        <v>{5230100ой валюты</v>
      </c>
      <c r="BW228" s="2717"/>
      <c r="CS228" s="3437" t="s">
        <v>14438</v>
      </c>
      <c r="CT228" s="2299" t="s">
        <v>6701</v>
      </c>
      <c r="DA228" s="2558"/>
      <c r="DB228" s="2153" t="s">
        <v>7389</v>
      </c>
      <c r="EI228" s="2689" t="s">
        <v>10547</v>
      </c>
    </row>
    <row r="229" spans="1:139" ht="58">
      <c r="A229" s="532"/>
      <c r="H229" s="3442" t="s">
        <v>14416</v>
      </c>
      <c r="I229" s="3442" t="s">
        <v>3285</v>
      </c>
      <c r="K229" s="3437" t="s">
        <v>2321</v>
      </c>
      <c r="AN229" s="3283" t="s">
        <v>7132</v>
      </c>
      <c r="AO229" s="3283" t="s">
        <v>7132</v>
      </c>
      <c r="AP229" s="3437" t="s">
        <v>7132</v>
      </c>
      <c r="AQ229" s="3283" t="s">
        <v>7132</v>
      </c>
      <c r="AR229" s="101" t="s">
        <v>9100</v>
      </c>
      <c r="BH229" s="2406">
        <v>4028031140</v>
      </c>
      <c r="BI229" s="2409" t="s">
        <v>2692</v>
      </c>
      <c r="BJ229" s="2466">
        <v>148025</v>
      </c>
      <c r="BK229" s="530"/>
      <c r="BU229" s="3126" t="s">
        <v>5109</v>
      </c>
      <c r="BV229" s="3082" t="str">
        <f t="shared" si="3"/>
        <v>{5230200ы покупки</v>
      </c>
      <c r="BW229" s="2446"/>
      <c r="CS229" s="3437" t="s">
        <v>14439</v>
      </c>
      <c r="CT229" s="2299" t="s">
        <v>6702</v>
      </c>
      <c r="DA229" s="2558"/>
      <c r="DB229" s="2153" t="s">
        <v>7390</v>
      </c>
      <c r="EI229" s="2689" t="s">
        <v>10548</v>
      </c>
    </row>
    <row r="230" spans="1:139" ht="58">
      <c r="A230" s="532"/>
      <c r="H230" s="3442" t="s">
        <v>14417</v>
      </c>
      <c r="I230" s="3442" t="s">
        <v>3285</v>
      </c>
      <c r="K230" s="3437" t="s">
        <v>2323</v>
      </c>
      <c r="AN230" s="3283" t="s">
        <v>7133</v>
      </c>
      <c r="AO230" s="3283" t="s">
        <v>7133</v>
      </c>
      <c r="AP230" s="3437" t="s">
        <v>7133</v>
      </c>
      <c r="AQ230" s="3283" t="s">
        <v>7133</v>
      </c>
      <c r="AR230" s="101" t="s">
        <v>9101</v>
      </c>
      <c r="BH230" s="2406">
        <v>4029015984</v>
      </c>
      <c r="BI230" s="2409" t="s">
        <v>2320</v>
      </c>
      <c r="BJ230" s="2466">
        <v>212011</v>
      </c>
      <c r="BK230" s="530"/>
      <c r="BU230" s="3126" t="s">
        <v>5147</v>
      </c>
      <c r="BV230" s="3082" t="str">
        <f t="shared" si="3"/>
        <v>{5230300х месяцев</v>
      </c>
      <c r="BW230" s="2446"/>
      <c r="CS230" s="3437" t="s">
        <v>14442</v>
      </c>
      <c r="CT230" s="2299" t="s">
        <v>6703</v>
      </c>
      <c r="DA230" s="2558"/>
      <c r="DB230" s="2153" t="s">
        <v>7391</v>
      </c>
      <c r="EI230" s="2689" t="s">
        <v>10549</v>
      </c>
    </row>
    <row r="231" spans="1:139" ht="43.5">
      <c r="A231" s="532"/>
      <c r="H231" s="3442" t="s">
        <v>14418</v>
      </c>
      <c r="I231" s="3442" t="s">
        <v>3285</v>
      </c>
      <c r="K231" s="3437" t="s">
        <v>2325</v>
      </c>
      <c r="AN231" s="3283" t="s">
        <v>3255</v>
      </c>
      <c r="AO231" s="3283" t="s">
        <v>3255</v>
      </c>
      <c r="AP231" s="3437" t="s">
        <v>3255</v>
      </c>
      <c r="AQ231" s="3283" t="s">
        <v>3255</v>
      </c>
      <c r="AR231" s="101" t="s">
        <v>9102</v>
      </c>
      <c r="BH231" s="2406">
        <v>4029019805</v>
      </c>
      <c r="BI231" s="2409" t="s">
        <v>2486</v>
      </c>
      <c r="BJ231" s="2466">
        <v>231905</v>
      </c>
      <c r="BK231" s="530"/>
      <c r="BU231" s="3126" t="s">
        <v>5110</v>
      </c>
      <c r="BV231" s="3082" t="str">
        <f t="shared" si="3"/>
        <v>{52304003-м лицам</v>
      </c>
      <c r="BW231" s="2446"/>
      <c r="CS231" s="3437" t="s">
        <v>2352</v>
      </c>
      <c r="CT231" s="2299" t="s">
        <v>6704</v>
      </c>
      <c r="DA231" s="2558"/>
      <c r="DB231" s="2153" t="s">
        <v>7392</v>
      </c>
      <c r="EI231" s="2689" t="s">
        <v>10550</v>
      </c>
    </row>
    <row r="232" spans="1:139" ht="38.5">
      <c r="A232" s="532"/>
      <c r="H232" s="3442" t="s">
        <v>14419</v>
      </c>
      <c r="I232" s="3442" t="s">
        <v>3285</v>
      </c>
      <c r="K232" s="3437" t="s">
        <v>4832</v>
      </c>
      <c r="AN232" s="3283" t="s">
        <v>7683</v>
      </c>
      <c r="AO232" s="3283" t="s">
        <v>7683</v>
      </c>
      <c r="AP232" s="3437" t="s">
        <v>7683</v>
      </c>
      <c r="AQ232" s="3283" t="s">
        <v>7683</v>
      </c>
      <c r="AR232" s="101" t="s">
        <v>9103</v>
      </c>
      <c r="BH232" s="2406">
        <v>4102003181</v>
      </c>
      <c r="BI232" s="2409" t="s">
        <v>459</v>
      </c>
      <c r="BJ232" s="2466">
        <v>249158</v>
      </c>
      <c r="BK232" s="530"/>
      <c r="BU232" s="3126" t="s">
        <v>5111</v>
      </c>
      <c r="BV232" s="3082" t="str">
        <f t="shared" si="3"/>
        <v>{5230500верителю)</v>
      </c>
      <c r="BW232" s="2446"/>
      <c r="CS232" s="3437" t="s">
        <v>2353</v>
      </c>
      <c r="CT232" s="2299" t="s">
        <v>6705</v>
      </c>
      <c r="DA232" s="2558"/>
      <c r="DB232" s="2153" t="s">
        <v>7393</v>
      </c>
      <c r="EI232" s="2689" t="s">
        <v>10551</v>
      </c>
    </row>
    <row r="233" spans="1:139" ht="38.5">
      <c r="A233" s="532"/>
      <c r="H233" s="3442" t="s">
        <v>14420</v>
      </c>
      <c r="I233" s="3442" t="s">
        <v>3285</v>
      </c>
      <c r="K233" s="3437" t="s">
        <v>2326</v>
      </c>
      <c r="AN233" s="3283" t="s">
        <v>1324</v>
      </c>
      <c r="AO233" s="3283" t="s">
        <v>1324</v>
      </c>
      <c r="AP233" s="3437" t="s">
        <v>1324</v>
      </c>
      <c r="AQ233" s="3283" t="s">
        <v>1324</v>
      </c>
      <c r="AR233" s="101" t="s">
        <v>9104</v>
      </c>
      <c r="BH233" s="2406">
        <v>4217035133</v>
      </c>
      <c r="BI233" s="2409" t="s">
        <v>4494</v>
      </c>
      <c r="BJ233" s="2466">
        <v>258342</v>
      </c>
      <c r="BK233" s="530"/>
      <c r="BU233" s="3126" t="s">
        <v>5112</v>
      </c>
      <c r="BV233" s="3082" t="str">
        <f t="shared" si="3"/>
        <v>{5230600трагентов</v>
      </c>
      <c r="BW233" s="2446"/>
      <c r="CS233" s="3437" t="s">
        <v>91</v>
      </c>
      <c r="CT233" s="2299" t="s">
        <v>6706</v>
      </c>
      <c r="DA233" s="2558"/>
      <c r="DB233" s="2153" t="s">
        <v>7394</v>
      </c>
      <c r="EI233" s="2689" t="s">
        <v>10552</v>
      </c>
    </row>
    <row r="234" spans="1:139" ht="38.5">
      <c r="A234" s="532"/>
      <c r="H234" s="3442" t="s">
        <v>14421</v>
      </c>
      <c r="I234" s="3442" t="s">
        <v>3285</v>
      </c>
      <c r="K234" s="3437" t="s">
        <v>2327</v>
      </c>
      <c r="AN234" s="3283" t="s">
        <v>3256</v>
      </c>
      <c r="AO234" s="3283" t="s">
        <v>3256</v>
      </c>
      <c r="AP234" s="3437" t="s">
        <v>3256</v>
      </c>
      <c r="AQ234" s="3283" t="s">
        <v>3256</v>
      </c>
      <c r="AR234" s="101" t="s">
        <v>9105</v>
      </c>
      <c r="BH234" s="2406">
        <v>4220035359</v>
      </c>
      <c r="BI234" s="2409" t="s">
        <v>2701</v>
      </c>
      <c r="BJ234" s="2466">
        <v>203506</v>
      </c>
      <c r="BK234" s="530"/>
      <c r="BU234" s="3126" t="s">
        <v>5113</v>
      </c>
      <c r="BV234" s="3082" t="str">
        <f t="shared" si="3"/>
        <v>{5230700е закупки</v>
      </c>
      <c r="BW234" s="2446"/>
      <c r="CS234" s="3437" t="s">
        <v>4841</v>
      </c>
      <c r="CT234" s="2299" t="s">
        <v>6707</v>
      </c>
      <c r="DA234" s="2558"/>
      <c r="DB234" s="2153" t="s">
        <v>7395</v>
      </c>
      <c r="EI234" s="2689" t="s">
        <v>10553</v>
      </c>
    </row>
    <row r="235" spans="1:139" ht="38.5">
      <c r="A235" s="532"/>
      <c r="H235" s="3442" t="s">
        <v>14422</v>
      </c>
      <c r="I235" s="3442" t="s">
        <v>3285</v>
      </c>
      <c r="K235" s="3437" t="s">
        <v>1136</v>
      </c>
      <c r="AN235" s="3283" t="s">
        <v>1406</v>
      </c>
      <c r="AO235" s="3283" t="s">
        <v>1406</v>
      </c>
      <c r="AP235" s="3437" t="s">
        <v>1406</v>
      </c>
      <c r="AQ235" s="3283" t="s">
        <v>1406</v>
      </c>
      <c r="AR235" s="101" t="s">
        <v>9106</v>
      </c>
      <c r="BH235" s="2406">
        <v>4345207860</v>
      </c>
      <c r="BI235" s="2409" t="s">
        <v>2514</v>
      </c>
      <c r="BJ235" s="2466">
        <v>255296</v>
      </c>
      <c r="BK235" s="530"/>
      <c r="BU235" s="3126" t="s">
        <v>5114</v>
      </c>
      <c r="BV235" s="3082" t="str">
        <f t="shared" si="3"/>
        <v>{5230800е закупки</v>
      </c>
      <c r="BW235" s="2446"/>
      <c r="CT235" s="2299" t="s">
        <v>6708</v>
      </c>
      <c r="DA235" s="2558"/>
      <c r="DB235" s="2153" t="s">
        <v>7396</v>
      </c>
      <c r="EI235" s="2689" t="s">
        <v>10554</v>
      </c>
    </row>
    <row r="236" spans="1:139" ht="43.5">
      <c r="A236" s="532"/>
      <c r="H236" s="3442" t="s">
        <v>14423</v>
      </c>
      <c r="I236" s="3442" t="s">
        <v>3285</v>
      </c>
      <c r="K236" s="3437" t="s">
        <v>2329</v>
      </c>
      <c r="AN236" s="3283" t="s">
        <v>7720</v>
      </c>
      <c r="AO236" s="3283" t="s">
        <v>7720</v>
      </c>
      <c r="AP236" s="3437" t="s">
        <v>7720</v>
      </c>
      <c r="AQ236" s="3283" t="s">
        <v>7720</v>
      </c>
      <c r="AR236" s="101" t="s">
        <v>9107</v>
      </c>
      <c r="BH236" s="2406">
        <v>4401012353</v>
      </c>
      <c r="BI236" s="2409" t="s">
        <v>128</v>
      </c>
      <c r="BJ236" s="2466">
        <v>262056</v>
      </c>
      <c r="BK236" s="530"/>
      <c r="BU236" s="3126" t="s">
        <v>3808</v>
      </c>
      <c r="BV236" s="3082" t="str">
        <f t="shared" si="3"/>
        <v>{5230900окументов</v>
      </c>
      <c r="BW236" s="2446"/>
      <c r="CT236" s="2299" t="s">
        <v>6709</v>
      </c>
      <c r="DA236" s="2558"/>
      <c r="DB236" s="2153" t="s">
        <v>7397</v>
      </c>
      <c r="EI236" s="2689" t="s">
        <v>10555</v>
      </c>
    </row>
    <row r="237" spans="1:139" ht="38.5">
      <c r="A237" s="532"/>
      <c r="H237" s="3442" t="s">
        <v>14424</v>
      </c>
      <c r="I237" s="3442" t="s">
        <v>3285</v>
      </c>
      <c r="K237" s="3437" t="s">
        <v>2331</v>
      </c>
      <c r="AN237" s="3283" t="s">
        <v>7721</v>
      </c>
      <c r="AO237" s="3283" t="s">
        <v>7721</v>
      </c>
      <c r="AP237" s="3437" t="s">
        <v>7721</v>
      </c>
      <c r="AQ237" s="3283" t="s">
        <v>7721</v>
      </c>
      <c r="AR237" s="101" t="s">
        <v>9108</v>
      </c>
      <c r="BH237" s="2406">
        <v>4401053021</v>
      </c>
      <c r="BI237" s="2409" t="s">
        <v>130</v>
      </c>
      <c r="BJ237" s="2466">
        <v>124156</v>
      </c>
      <c r="BK237" s="530"/>
      <c r="BU237" s="3126" t="s">
        <v>7422</v>
      </c>
      <c r="BV237" s="3082" t="str">
        <f t="shared" si="3"/>
        <v>{5231000тнику КГН</v>
      </c>
      <c r="BW237" s="2446"/>
      <c r="CT237" s="2299" t="s">
        <v>6710</v>
      </c>
      <c r="DA237" s="2558"/>
      <c r="DB237" s="2153" t="s">
        <v>7398</v>
      </c>
      <c r="EI237" s="2689" t="s">
        <v>10556</v>
      </c>
    </row>
    <row r="238" spans="1:139" ht="51">
      <c r="A238" s="532"/>
      <c r="H238" s="3442" t="s">
        <v>7138</v>
      </c>
      <c r="I238" s="3442" t="s">
        <v>3290</v>
      </c>
      <c r="K238" s="3437" t="s">
        <v>10215</v>
      </c>
      <c r="AN238" s="3283" t="s">
        <v>6078</v>
      </c>
      <c r="AO238" s="3283" t="s">
        <v>6078</v>
      </c>
      <c r="AP238" s="3437" t="s">
        <v>6078</v>
      </c>
      <c r="AQ238" s="3283" t="s">
        <v>6078</v>
      </c>
      <c r="AR238" s="101" t="s">
        <v>9109</v>
      </c>
      <c r="BH238" s="2406">
        <v>4501122913</v>
      </c>
      <c r="BI238" s="2409" t="s">
        <v>2260</v>
      </c>
      <c r="BJ238" s="2466">
        <v>204819</v>
      </c>
      <c r="BK238" s="530"/>
      <c r="BU238" s="3126" t="s">
        <v>5949</v>
      </c>
      <c r="BV238" s="3082" t="str">
        <f t="shared" si="3"/>
        <v>{5231100зательств</v>
      </c>
      <c r="BW238" s="2446"/>
      <c r="CT238" s="2299" t="s">
        <v>6711</v>
      </c>
      <c r="DA238" s="2558"/>
      <c r="DB238" s="2153" t="s">
        <v>7399</v>
      </c>
      <c r="EI238" s="2689" t="s">
        <v>10557</v>
      </c>
    </row>
    <row r="239" spans="1:139" ht="43.5">
      <c r="A239" s="532"/>
      <c r="H239" s="3442" t="s">
        <v>5679</v>
      </c>
      <c r="I239" s="3442" t="s">
        <v>3290</v>
      </c>
      <c r="K239" s="3437" t="s">
        <v>7719</v>
      </c>
      <c r="AN239" s="3283" t="s">
        <v>3257</v>
      </c>
      <c r="AO239" s="3283" t="s">
        <v>3257</v>
      </c>
      <c r="AP239" s="3437" t="s">
        <v>3257</v>
      </c>
      <c r="AQ239" s="3283" t="s">
        <v>3257</v>
      </c>
      <c r="AR239" s="101" t="s">
        <v>9110</v>
      </c>
      <c r="BH239" s="2405">
        <v>4506009051</v>
      </c>
      <c r="BI239" s="2405" t="s">
        <v>1608</v>
      </c>
      <c r="BJ239" s="2466">
        <v>153118</v>
      </c>
      <c r="BK239" s="530"/>
      <c r="BU239" s="3126" t="s">
        <v>5950</v>
      </c>
      <c r="BV239" s="3082" t="str">
        <f t="shared" si="3"/>
        <v>{5231200зательств</v>
      </c>
      <c r="CT239" s="2299" t="s">
        <v>6712</v>
      </c>
      <c r="DA239" s="2558"/>
      <c r="DB239" s="2153" t="s">
        <v>7400</v>
      </c>
      <c r="EI239" s="2689" t="s">
        <v>10558</v>
      </c>
    </row>
    <row r="240" spans="1:139" ht="38.5">
      <c r="A240" s="532"/>
      <c r="H240" s="3442" t="s">
        <v>3293</v>
      </c>
      <c r="I240" s="3442" t="s">
        <v>3294</v>
      </c>
      <c r="K240" s="3437" t="s">
        <v>7713</v>
      </c>
      <c r="AN240" s="3283" t="s">
        <v>741</v>
      </c>
      <c r="AO240" s="3283" t="s">
        <v>741</v>
      </c>
      <c r="AP240" s="3437" t="s">
        <v>741</v>
      </c>
      <c r="AQ240" s="3283" t="s">
        <v>741</v>
      </c>
      <c r="AR240" s="101" t="s">
        <v>9111</v>
      </c>
      <c r="BH240" s="2406">
        <v>4509005739</v>
      </c>
      <c r="BI240" s="2409" t="s">
        <v>2322</v>
      </c>
      <c r="BJ240" s="2466">
        <v>153380</v>
      </c>
      <c r="BK240" s="530"/>
      <c r="BU240" s="3126" t="s">
        <v>7153</v>
      </c>
      <c r="BV240" s="3082" t="str">
        <f t="shared" si="3"/>
        <v>{5231400ш пулинга</v>
      </c>
      <c r="CT240" s="2299" t="s">
        <v>6713</v>
      </c>
      <c r="DA240" s="2558"/>
      <c r="DB240" s="2153" t="s">
        <v>7401</v>
      </c>
      <c r="EI240" s="2689" t="s">
        <v>10559</v>
      </c>
    </row>
    <row r="241" spans="1:139" ht="58">
      <c r="A241" s="532"/>
      <c r="H241" s="3442" t="s">
        <v>3537</v>
      </c>
      <c r="I241" s="3442" t="s">
        <v>3294</v>
      </c>
      <c r="K241" s="3437" t="s">
        <v>4833</v>
      </c>
      <c r="AN241" s="3283" t="s">
        <v>3258</v>
      </c>
      <c r="AO241" s="3283" t="s">
        <v>3258</v>
      </c>
      <c r="AP241" s="3437" t="s">
        <v>3258</v>
      </c>
      <c r="AQ241" s="3283" t="s">
        <v>3258</v>
      </c>
      <c r="AR241" s="101" t="s">
        <v>9112</v>
      </c>
      <c r="BH241" s="2406">
        <v>4611001559</v>
      </c>
      <c r="BI241" s="2409" t="s">
        <v>108</v>
      </c>
      <c r="BJ241" s="2466">
        <v>201878</v>
      </c>
      <c r="BK241" s="530"/>
      <c r="BU241" s="3126" t="s">
        <v>7424</v>
      </c>
      <c r="BV241" s="3082" t="str">
        <f t="shared" si="3"/>
        <v>{5231500никам КГН</v>
      </c>
      <c r="CT241" s="2299" t="s">
        <v>6714</v>
      </c>
      <c r="DA241" s="2558"/>
      <c r="DB241" s="2153" t="s">
        <v>7402</v>
      </c>
      <c r="EI241" s="2689" t="s">
        <v>10560</v>
      </c>
    </row>
    <row r="242" spans="1:139" ht="29">
      <c r="A242" s="532"/>
      <c r="H242" s="3442" t="s">
        <v>3538</v>
      </c>
      <c r="I242" s="3442" t="s">
        <v>3294</v>
      </c>
      <c r="K242" s="3437" t="s">
        <v>2332</v>
      </c>
      <c r="AN242" s="3283" t="s">
        <v>3259</v>
      </c>
      <c r="AO242" s="3283" t="s">
        <v>3259</v>
      </c>
      <c r="AP242" s="3437" t="s">
        <v>3259</v>
      </c>
      <c r="AQ242" s="3283" t="s">
        <v>3259</v>
      </c>
      <c r="AR242" s="101" t="s">
        <v>9113</v>
      </c>
      <c r="BH242" s="2406">
        <v>4612001015</v>
      </c>
      <c r="BI242" s="2409" t="s">
        <v>2293</v>
      </c>
      <c r="BJ242" s="2466">
        <v>124229</v>
      </c>
      <c r="BK242" s="530"/>
      <c r="BU242" s="2446"/>
      <c r="BV242" s="3082" t="str">
        <f t="shared" ref="BV242:BV298" si="4">CONCATENATE(LEFT(BU242,8),RIGHT(BU242,9))</f>
        <v/>
      </c>
      <c r="CT242" s="2299" t="s">
        <v>6715</v>
      </c>
      <c r="DA242" s="2558"/>
      <c r="DB242" s="2153" t="s">
        <v>7403</v>
      </c>
      <c r="EI242" s="2689" t="s">
        <v>10561</v>
      </c>
    </row>
    <row r="243" spans="1:139" ht="58">
      <c r="A243" s="532"/>
      <c r="H243" s="3442" t="s">
        <v>3539</v>
      </c>
      <c r="I243" s="3442" t="s">
        <v>3294</v>
      </c>
      <c r="K243" s="3437" t="s">
        <v>2334</v>
      </c>
      <c r="AN243" s="3283" t="s">
        <v>3260</v>
      </c>
      <c r="AO243" s="3283" t="s">
        <v>3260</v>
      </c>
      <c r="AP243" s="3437" t="s">
        <v>3260</v>
      </c>
      <c r="AQ243" s="3283" t="s">
        <v>3260</v>
      </c>
      <c r="AR243" s="101" t="s">
        <v>9114</v>
      </c>
      <c r="BH243" s="2405">
        <v>4617004958</v>
      </c>
      <c r="BI243" s="2405" t="s">
        <v>1621</v>
      </c>
      <c r="BJ243" s="2466">
        <v>124235</v>
      </c>
      <c r="BK243" s="530"/>
      <c r="BU243" s="2446"/>
      <c r="BV243" s="3082" t="str">
        <f t="shared" si="4"/>
        <v/>
      </c>
      <c r="CT243" s="2299" t="s">
        <v>6716</v>
      </c>
      <c r="DA243" s="2558"/>
      <c r="DB243" s="2153" t="s">
        <v>7404</v>
      </c>
      <c r="EI243" s="2689" t="s">
        <v>10562</v>
      </c>
    </row>
    <row r="244" spans="1:139" ht="43.5">
      <c r="A244" s="532"/>
      <c r="H244" s="3442" t="s">
        <v>3540</v>
      </c>
      <c r="I244" s="3442" t="s">
        <v>3294</v>
      </c>
      <c r="K244" s="3437" t="s">
        <v>2335</v>
      </c>
      <c r="AN244" s="3283" t="s">
        <v>3261</v>
      </c>
      <c r="AO244" s="3283" t="s">
        <v>3261</v>
      </c>
      <c r="AP244" s="3437" t="s">
        <v>3261</v>
      </c>
      <c r="AQ244" s="3283" t="s">
        <v>3261</v>
      </c>
      <c r="AR244" s="101" t="s">
        <v>9115</v>
      </c>
      <c r="BH244" s="2406">
        <v>4629018151</v>
      </c>
      <c r="BI244" s="2409" t="s">
        <v>2338</v>
      </c>
      <c r="BJ244" s="2466">
        <v>124257</v>
      </c>
      <c r="BK244" s="530"/>
      <c r="BU244" s="2446"/>
      <c r="BV244" s="3082" t="str">
        <f t="shared" si="4"/>
        <v/>
      </c>
      <c r="CT244" s="2299" t="s">
        <v>6717</v>
      </c>
      <c r="DA244" s="2558"/>
      <c r="DB244" s="2153" t="s">
        <v>7405</v>
      </c>
      <c r="EI244" s="2689" t="s">
        <v>10563</v>
      </c>
    </row>
    <row r="245" spans="1:139" ht="43.5">
      <c r="A245" s="532"/>
      <c r="H245" s="3442" t="s">
        <v>3541</v>
      </c>
      <c r="I245" s="3442" t="s">
        <v>3294</v>
      </c>
      <c r="K245" s="3437" t="s">
        <v>2336</v>
      </c>
      <c r="AN245" s="3283" t="s">
        <v>3262</v>
      </c>
      <c r="AO245" s="3283" t="s">
        <v>3262</v>
      </c>
      <c r="AP245" s="3437" t="s">
        <v>3262</v>
      </c>
      <c r="AQ245" s="3283" t="s">
        <v>3262</v>
      </c>
      <c r="AR245" s="101" t="s">
        <v>9116</v>
      </c>
      <c r="BH245" s="2406">
        <v>4629024130</v>
      </c>
      <c r="BI245" s="2409" t="s">
        <v>109</v>
      </c>
      <c r="BJ245" s="2466">
        <v>474310</v>
      </c>
      <c r="BK245" s="530"/>
      <c r="BU245" s="2446"/>
      <c r="BV245" s="3082" t="str">
        <f t="shared" si="4"/>
        <v/>
      </c>
      <c r="CT245" s="2299" t="s">
        <v>6718</v>
      </c>
      <c r="DA245" s="2558"/>
      <c r="DB245" s="2153" t="s">
        <v>7406</v>
      </c>
      <c r="EI245" s="2689" t="s">
        <v>10564</v>
      </c>
    </row>
    <row r="246" spans="1:139" ht="43.5">
      <c r="A246" s="532"/>
      <c r="H246" s="3442" t="s">
        <v>14425</v>
      </c>
      <c r="I246" s="3442" t="s">
        <v>3294</v>
      </c>
      <c r="K246" s="3437" t="s">
        <v>7143</v>
      </c>
      <c r="AN246" s="3283" t="s">
        <v>5920</v>
      </c>
      <c r="AO246" s="3283" t="s">
        <v>5920</v>
      </c>
      <c r="AP246" s="3437" t="s">
        <v>5920</v>
      </c>
      <c r="AQ246" s="3283" t="s">
        <v>5920</v>
      </c>
      <c r="AR246" s="101" t="s">
        <v>10073</v>
      </c>
      <c r="BH246" s="2406">
        <v>4629026988</v>
      </c>
      <c r="BI246" s="2409" t="s">
        <v>175</v>
      </c>
      <c r="BJ246" s="2466">
        <v>124264</v>
      </c>
      <c r="BK246" s="530"/>
      <c r="BU246" s="2446"/>
      <c r="BV246" s="3082" t="str">
        <f t="shared" si="4"/>
        <v/>
      </c>
      <c r="CT246" s="2299" t="s">
        <v>6719</v>
      </c>
      <c r="DA246" s="2558"/>
      <c r="DB246" s="2153" t="s">
        <v>7407</v>
      </c>
      <c r="EI246" s="2689" t="s">
        <v>10565</v>
      </c>
    </row>
    <row r="247" spans="1:139" ht="43.5">
      <c r="A247" s="532"/>
      <c r="H247" s="3442" t="s">
        <v>14426</v>
      </c>
      <c r="I247" s="3442" t="s">
        <v>3294</v>
      </c>
      <c r="K247" s="3437" t="s">
        <v>6846</v>
      </c>
      <c r="AN247" s="3283" t="s">
        <v>5921</v>
      </c>
      <c r="AO247" s="3283" t="s">
        <v>5921</v>
      </c>
      <c r="AP247" s="3437" t="s">
        <v>5921</v>
      </c>
      <c r="AQ247" s="3283" t="s">
        <v>5921</v>
      </c>
      <c r="AR247" s="101" t="s">
        <v>9117</v>
      </c>
      <c r="BH247" s="2406">
        <v>4629027572</v>
      </c>
      <c r="BI247" s="2409" t="s">
        <v>110</v>
      </c>
      <c r="BJ247" s="2466">
        <v>124266</v>
      </c>
      <c r="BK247" s="530"/>
      <c r="BU247" s="2446"/>
      <c r="BV247" s="3082" t="str">
        <f t="shared" si="4"/>
        <v/>
      </c>
      <c r="CT247" s="2299" t="s">
        <v>6720</v>
      </c>
      <c r="DA247" s="2558"/>
      <c r="DB247" s="2153" t="s">
        <v>7408</v>
      </c>
      <c r="EI247" s="2689" t="s">
        <v>10566</v>
      </c>
    </row>
    <row r="248" spans="1:139" ht="29">
      <c r="A248" s="532"/>
      <c r="H248" s="3442" t="s">
        <v>3542</v>
      </c>
      <c r="I248" s="3442" t="s">
        <v>3294</v>
      </c>
      <c r="K248" s="3437" t="s">
        <v>2340</v>
      </c>
      <c r="AN248" s="3283" t="s">
        <v>5922</v>
      </c>
      <c r="AO248" s="3283" t="s">
        <v>5922</v>
      </c>
      <c r="AP248" s="3437" t="s">
        <v>5922</v>
      </c>
      <c r="AQ248" s="3283" t="s">
        <v>5922</v>
      </c>
      <c r="AR248" s="101" t="s">
        <v>9118</v>
      </c>
      <c r="BH248" s="2406">
        <v>4629027597</v>
      </c>
      <c r="BI248" s="2409" t="s">
        <v>1388</v>
      </c>
      <c r="BJ248" s="2466">
        <v>124267</v>
      </c>
      <c r="BK248" s="530"/>
      <c r="BV248" s="3082" t="str">
        <f t="shared" si="4"/>
        <v/>
      </c>
      <c r="CT248" s="2299" t="s">
        <v>6721</v>
      </c>
      <c r="DA248" s="2558"/>
      <c r="DB248" s="2153" t="s">
        <v>7409</v>
      </c>
      <c r="EI248" s="2689" t="s">
        <v>10567</v>
      </c>
    </row>
    <row r="249" spans="1:139" ht="38.5">
      <c r="A249" s="532"/>
      <c r="H249" s="3442" t="s">
        <v>14427</v>
      </c>
      <c r="I249" s="3442" t="s">
        <v>3294</v>
      </c>
      <c r="K249" s="3437" t="s">
        <v>2341</v>
      </c>
      <c r="AN249" s="3283" t="s">
        <v>5923</v>
      </c>
      <c r="AO249" s="3283" t="s">
        <v>5923</v>
      </c>
      <c r="AP249" s="3437" t="s">
        <v>5923</v>
      </c>
      <c r="AQ249" s="3283" t="s">
        <v>5923</v>
      </c>
      <c r="AR249" s="101" t="s">
        <v>9119</v>
      </c>
      <c r="BH249" s="2406">
        <v>4629028400</v>
      </c>
      <c r="BI249" s="2409" t="s">
        <v>111</v>
      </c>
      <c r="BJ249" s="2466">
        <v>147767</v>
      </c>
      <c r="BK249" s="530"/>
      <c r="BV249" s="3082" t="str">
        <f t="shared" si="4"/>
        <v/>
      </c>
      <c r="CT249" s="2299" t="s">
        <v>6722</v>
      </c>
      <c r="DA249" s="2558"/>
      <c r="DB249" s="2153" t="s">
        <v>7410</v>
      </c>
      <c r="EI249" s="2689" t="s">
        <v>10568</v>
      </c>
    </row>
    <row r="250" spans="1:139" ht="43.5">
      <c r="A250" s="532"/>
      <c r="H250" s="3442" t="s">
        <v>4723</v>
      </c>
      <c r="I250" s="3442" t="s">
        <v>2477</v>
      </c>
      <c r="K250" s="3437" t="s">
        <v>1137</v>
      </c>
      <c r="AN250" s="3283" t="s">
        <v>5924</v>
      </c>
      <c r="AO250" s="3283" t="s">
        <v>5924</v>
      </c>
      <c r="AP250" s="3437" t="s">
        <v>5924</v>
      </c>
      <c r="AQ250" s="3283" t="s">
        <v>5924</v>
      </c>
      <c r="AR250" s="3618" t="s">
        <v>15362</v>
      </c>
      <c r="BH250" s="2406">
        <v>4629029058</v>
      </c>
      <c r="BI250" s="2409" t="s">
        <v>2033</v>
      </c>
      <c r="BJ250" s="2466">
        <v>124270</v>
      </c>
      <c r="BK250" s="530"/>
      <c r="BV250" s="3082" t="str">
        <f t="shared" si="4"/>
        <v/>
      </c>
      <c r="CT250" s="2299" t="s">
        <v>6723</v>
      </c>
      <c r="DA250" s="2558"/>
      <c r="DB250" s="2153" t="s">
        <v>7411</v>
      </c>
      <c r="EI250" s="2689" t="s">
        <v>10569</v>
      </c>
    </row>
    <row r="251" spans="1:139" ht="58">
      <c r="A251" s="532"/>
      <c r="H251" s="3442" t="s">
        <v>3543</v>
      </c>
      <c r="I251" s="3442" t="s">
        <v>2477</v>
      </c>
      <c r="K251" s="3437" t="s">
        <v>956</v>
      </c>
      <c r="AN251" s="3283" t="s">
        <v>5925</v>
      </c>
      <c r="AO251" s="3283" t="s">
        <v>5925</v>
      </c>
      <c r="AP251" s="3437" t="s">
        <v>5925</v>
      </c>
      <c r="AQ251" s="3283" t="s">
        <v>5925</v>
      </c>
      <c r="AR251" s="3618" t="s">
        <v>15363</v>
      </c>
      <c r="BH251" s="2406">
        <v>4629031018</v>
      </c>
      <c r="BI251" s="2409" t="s">
        <v>112</v>
      </c>
      <c r="BJ251" s="2466">
        <v>364056</v>
      </c>
      <c r="BK251" s="530"/>
      <c r="BV251" s="3082" t="str">
        <f t="shared" si="4"/>
        <v/>
      </c>
      <c r="CT251" s="2299" t="s">
        <v>6724</v>
      </c>
      <c r="DA251" s="2558"/>
      <c r="DB251" s="2153" t="s">
        <v>7412</v>
      </c>
      <c r="EI251" s="2689" t="s">
        <v>10570</v>
      </c>
    </row>
    <row r="252" spans="1:139" ht="76">
      <c r="A252" s="532"/>
      <c r="H252" s="3442" t="s">
        <v>1462</v>
      </c>
      <c r="I252" s="3442" t="s">
        <v>2477</v>
      </c>
      <c r="K252" s="3437" t="s">
        <v>7144</v>
      </c>
      <c r="AN252" s="3283" t="s">
        <v>5926</v>
      </c>
      <c r="AO252" s="3283" t="s">
        <v>5926</v>
      </c>
      <c r="AP252" s="3437" t="s">
        <v>5926</v>
      </c>
      <c r="AQ252" s="3283" t="s">
        <v>5926</v>
      </c>
      <c r="AR252" s="3618" t="s">
        <v>15364</v>
      </c>
      <c r="BH252" s="2406">
        <v>4629031579</v>
      </c>
      <c r="BI252" s="2409" t="s">
        <v>176</v>
      </c>
      <c r="BJ252" s="2466">
        <v>124274</v>
      </c>
      <c r="BK252" s="530"/>
      <c r="BV252" s="3082" t="str">
        <f t="shared" si="4"/>
        <v/>
      </c>
      <c r="CT252" s="2299" t="s">
        <v>6725</v>
      </c>
      <c r="DA252" s="2558"/>
      <c r="DB252" s="2153" t="s">
        <v>7413</v>
      </c>
      <c r="EI252" s="2689" t="s">
        <v>10571</v>
      </c>
    </row>
    <row r="253" spans="1:139" ht="51">
      <c r="A253" s="532"/>
      <c r="H253" s="3442" t="s">
        <v>3546</v>
      </c>
      <c r="I253" s="3442" t="s">
        <v>2477</v>
      </c>
      <c r="K253" s="3437" t="s">
        <v>6162</v>
      </c>
      <c r="AN253" s="3283" t="s">
        <v>5927</v>
      </c>
      <c r="AO253" s="3283" t="s">
        <v>5927</v>
      </c>
      <c r="AP253" s="3437" t="s">
        <v>5927</v>
      </c>
      <c r="AQ253" s="3283" t="s">
        <v>5927</v>
      </c>
      <c r="AR253" s="101" t="s">
        <v>10074</v>
      </c>
      <c r="BH253" s="2406">
        <v>4632006205</v>
      </c>
      <c r="BI253" s="2409" t="s">
        <v>177</v>
      </c>
      <c r="BJ253" s="2466">
        <v>179625</v>
      </c>
      <c r="BK253" s="530"/>
      <c r="BV253" s="3082" t="str">
        <f t="shared" si="4"/>
        <v/>
      </c>
      <c r="CT253" s="2299" t="s">
        <v>6726</v>
      </c>
      <c r="DA253" s="2558"/>
      <c r="DB253" s="2153" t="s">
        <v>7414</v>
      </c>
      <c r="EI253" s="2689" t="s">
        <v>10572</v>
      </c>
    </row>
    <row r="254" spans="1:139" ht="43.5">
      <c r="A254" s="532"/>
      <c r="H254" s="3442" t="s">
        <v>4724</v>
      </c>
      <c r="I254" s="3442" t="s">
        <v>2477</v>
      </c>
      <c r="K254" s="3437" t="s">
        <v>6847</v>
      </c>
      <c r="AN254" s="3283" t="s">
        <v>3263</v>
      </c>
      <c r="AO254" s="3283" t="s">
        <v>3263</v>
      </c>
      <c r="AP254" s="3437" t="s">
        <v>3263</v>
      </c>
      <c r="AQ254" s="3283" t="s">
        <v>3263</v>
      </c>
      <c r="AR254" s="101" t="s">
        <v>10075</v>
      </c>
      <c r="BH254" s="2406">
        <v>4632028671</v>
      </c>
      <c r="BI254" s="2409" t="s">
        <v>2337</v>
      </c>
      <c r="BJ254" s="2466">
        <v>124361</v>
      </c>
      <c r="BK254" s="530"/>
      <c r="BV254" s="3082" t="str">
        <f t="shared" si="4"/>
        <v/>
      </c>
      <c r="CT254" s="531"/>
      <c r="DA254" s="2558"/>
      <c r="DB254" s="2153" t="s">
        <v>7415</v>
      </c>
      <c r="EI254" s="2689" t="s">
        <v>10573</v>
      </c>
    </row>
    <row r="255" spans="1:139" ht="51">
      <c r="A255" s="532"/>
      <c r="H255" s="3442" t="s">
        <v>5932</v>
      </c>
      <c r="I255" s="3442" t="s">
        <v>2477</v>
      </c>
      <c r="K255" s="3437" t="s">
        <v>7643</v>
      </c>
      <c r="AN255" s="3283" t="s">
        <v>3264</v>
      </c>
      <c r="AO255" s="3283" t="s">
        <v>3264</v>
      </c>
      <c r="AP255" s="3437" t="s">
        <v>3264</v>
      </c>
      <c r="AQ255" s="3283" t="s">
        <v>3264</v>
      </c>
      <c r="AR255" s="101" t="s">
        <v>9120</v>
      </c>
      <c r="BH255" s="2406">
        <v>4632036986</v>
      </c>
      <c r="BI255" s="2409" t="s">
        <v>113</v>
      </c>
      <c r="BJ255" s="2466">
        <v>213393</v>
      </c>
      <c r="BK255" s="530"/>
      <c r="BV255" s="3082" t="str">
        <f t="shared" si="4"/>
        <v/>
      </c>
      <c r="CT255" s="531"/>
      <c r="DA255" s="2558"/>
      <c r="DB255" s="2153" t="s">
        <v>7416</v>
      </c>
      <c r="EI255" s="2689" t="s">
        <v>10574</v>
      </c>
    </row>
    <row r="256" spans="1:139" ht="29">
      <c r="A256" s="532"/>
      <c r="H256" s="3442" t="s">
        <v>4725</v>
      </c>
      <c r="I256" s="3442" t="s">
        <v>3285</v>
      </c>
      <c r="K256" s="3437" t="s">
        <v>7520</v>
      </c>
      <c r="AN256" s="3283" t="s">
        <v>3265</v>
      </c>
      <c r="AO256" s="3283" t="s">
        <v>3265</v>
      </c>
      <c r="AP256" s="3437" t="s">
        <v>3265</v>
      </c>
      <c r="AQ256" s="3283" t="s">
        <v>3265</v>
      </c>
      <c r="AR256" s="101" t="s">
        <v>9121</v>
      </c>
      <c r="BH256" s="2406">
        <v>4632048621</v>
      </c>
      <c r="BI256" s="2409" t="s">
        <v>114</v>
      </c>
      <c r="BJ256" s="2466">
        <v>147206</v>
      </c>
      <c r="BK256" s="530"/>
      <c r="BV256" s="3082" t="str">
        <f t="shared" si="4"/>
        <v/>
      </c>
      <c r="CT256" s="531"/>
      <c r="DA256" s="2558"/>
      <c r="DB256" s="2153" t="s">
        <v>7417</v>
      </c>
      <c r="EI256" s="2689" t="s">
        <v>10575</v>
      </c>
    </row>
    <row r="257" spans="1:139" ht="38.5">
      <c r="A257" s="532"/>
      <c r="H257" s="3442" t="s">
        <v>5801</v>
      </c>
      <c r="I257" s="3442" t="s">
        <v>3285</v>
      </c>
      <c r="K257" s="3437" t="s">
        <v>9813</v>
      </c>
      <c r="AN257" s="3283" t="s">
        <v>3266</v>
      </c>
      <c r="AO257" s="3283" t="s">
        <v>3266</v>
      </c>
      <c r="AP257" s="3437" t="s">
        <v>3266</v>
      </c>
      <c r="AQ257" s="3283" t="s">
        <v>3266</v>
      </c>
      <c r="AR257" s="101" t="s">
        <v>9122</v>
      </c>
      <c r="BH257" s="2406">
        <v>4632058235</v>
      </c>
      <c r="BI257" s="2409" t="s">
        <v>2292</v>
      </c>
      <c r="BJ257" s="2466">
        <v>124407</v>
      </c>
      <c r="BK257" s="530"/>
      <c r="BV257" s="3082" t="str">
        <f t="shared" si="4"/>
        <v/>
      </c>
      <c r="CT257" s="531"/>
      <c r="DA257" s="2558"/>
      <c r="DB257" s="2153" t="s">
        <v>7418</v>
      </c>
      <c r="EI257" s="2689" t="s">
        <v>10576</v>
      </c>
    </row>
    <row r="258" spans="1:139" ht="29">
      <c r="A258" s="532"/>
      <c r="H258" s="3442" t="s">
        <v>5802</v>
      </c>
      <c r="I258" s="3442" t="s">
        <v>3285</v>
      </c>
      <c r="K258" s="3437" t="s">
        <v>9946</v>
      </c>
      <c r="AN258" s="3283" t="s">
        <v>3267</v>
      </c>
      <c r="AO258" s="3283" t="s">
        <v>3267</v>
      </c>
      <c r="AP258" s="3437" t="s">
        <v>3267</v>
      </c>
      <c r="AQ258" s="3283" t="s">
        <v>3267</v>
      </c>
      <c r="AR258" s="101" t="s">
        <v>9123</v>
      </c>
      <c r="BH258" s="2406">
        <v>4632076668</v>
      </c>
      <c r="BI258" s="2409" t="s">
        <v>115</v>
      </c>
      <c r="BJ258" s="2466">
        <v>124429</v>
      </c>
      <c r="BK258" s="530"/>
      <c r="BV258" s="3082" t="str">
        <f t="shared" si="4"/>
        <v/>
      </c>
      <c r="CT258" s="531"/>
      <c r="DA258" s="2558"/>
      <c r="DB258" s="2153" t="s">
        <v>7419</v>
      </c>
      <c r="EI258" s="2689" t="s">
        <v>10577</v>
      </c>
    </row>
    <row r="259" spans="1:139" ht="29">
      <c r="A259" s="532"/>
      <c r="H259" s="3442" t="s">
        <v>5803</v>
      </c>
      <c r="I259" s="3442" t="s">
        <v>2477</v>
      </c>
      <c r="K259" s="3437" t="s">
        <v>9947</v>
      </c>
      <c r="AN259" s="3283" t="s">
        <v>3268</v>
      </c>
      <c r="AO259" s="3283" t="s">
        <v>3268</v>
      </c>
      <c r="AP259" s="3437" t="s">
        <v>3268</v>
      </c>
      <c r="AQ259" s="3283" t="s">
        <v>3268</v>
      </c>
      <c r="AR259" s="101" t="s">
        <v>9124</v>
      </c>
      <c r="BH259" s="2406">
        <v>4632109899</v>
      </c>
      <c r="BI259" s="2409" t="s">
        <v>178</v>
      </c>
      <c r="BJ259" s="2466">
        <v>476916</v>
      </c>
      <c r="BK259" s="530"/>
      <c r="BV259" s="3082" t="str">
        <f t="shared" si="4"/>
        <v/>
      </c>
      <c r="CT259" s="531"/>
      <c r="DA259" s="2558"/>
      <c r="EI259" s="2689" t="s">
        <v>10578</v>
      </c>
    </row>
    <row r="260" spans="1:139" ht="43.5">
      <c r="A260" s="532"/>
      <c r="H260" s="3442" t="s">
        <v>10088</v>
      </c>
      <c r="I260" s="3442" t="s">
        <v>3285</v>
      </c>
      <c r="K260" s="3437" t="s">
        <v>14435</v>
      </c>
      <c r="AN260" s="3283" t="s">
        <v>3269</v>
      </c>
      <c r="AO260" s="3283" t="s">
        <v>3269</v>
      </c>
      <c r="AP260" s="3437" t="s">
        <v>3269</v>
      </c>
      <c r="AQ260" s="3283" t="s">
        <v>3269</v>
      </c>
      <c r="AR260" s="101" t="s">
        <v>9125</v>
      </c>
      <c r="BH260" s="2406">
        <v>4632167820</v>
      </c>
      <c r="BI260" s="2409" t="s">
        <v>116</v>
      </c>
      <c r="BJ260" s="2466">
        <v>294657</v>
      </c>
      <c r="BK260" s="530"/>
      <c r="BV260" s="3082" t="str">
        <f t="shared" si="4"/>
        <v/>
      </c>
      <c r="CT260" s="531"/>
      <c r="DA260" s="2558"/>
      <c r="EI260" s="2689" t="s">
        <v>10579</v>
      </c>
    </row>
    <row r="261" spans="1:139" ht="51">
      <c r="A261" s="532"/>
      <c r="H261" s="3442" t="s">
        <v>10089</v>
      </c>
      <c r="I261" s="3442" t="s">
        <v>3285</v>
      </c>
      <c r="K261" s="3437" t="s">
        <v>14635</v>
      </c>
      <c r="AN261" s="3283" t="s">
        <v>6123</v>
      </c>
      <c r="AO261" s="3283" t="s">
        <v>6123</v>
      </c>
      <c r="AP261" s="3437" t="s">
        <v>6123</v>
      </c>
      <c r="AQ261" s="3283" t="s">
        <v>6123</v>
      </c>
      <c r="AR261" s="101" t="s">
        <v>9126</v>
      </c>
      <c r="BH261" s="2406">
        <v>4633021439</v>
      </c>
      <c r="BI261" s="2409" t="s">
        <v>2933</v>
      </c>
      <c r="BJ261" s="2466">
        <v>305077</v>
      </c>
      <c r="BK261" s="530"/>
      <c r="BV261" s="3082" t="str">
        <f t="shared" si="4"/>
        <v/>
      </c>
      <c r="CT261" s="531"/>
      <c r="DA261" s="2558"/>
      <c r="EI261" s="2689" t="s">
        <v>10580</v>
      </c>
    </row>
    <row r="262" spans="1:139" ht="38.5">
      <c r="A262" s="532"/>
      <c r="H262" s="3442" t="s">
        <v>3556</v>
      </c>
      <c r="I262" s="3442" t="s">
        <v>3285</v>
      </c>
      <c r="K262" s="3437" t="s">
        <v>4834</v>
      </c>
      <c r="AN262" s="3283" t="s">
        <v>6124</v>
      </c>
      <c r="AO262" s="3283" t="s">
        <v>6124</v>
      </c>
      <c r="AP262" s="3437" t="s">
        <v>6124</v>
      </c>
      <c r="AQ262" s="3283" t="s">
        <v>6124</v>
      </c>
      <c r="AR262" s="101" t="s">
        <v>9127</v>
      </c>
      <c r="BH262" s="2406">
        <v>4634000625</v>
      </c>
      <c r="BI262" s="2409" t="s">
        <v>179</v>
      </c>
      <c r="BJ262" s="2466">
        <v>172992</v>
      </c>
      <c r="BK262" s="530"/>
      <c r="BV262" s="3082" t="str">
        <f t="shared" si="4"/>
        <v/>
      </c>
      <c r="CT262" s="531"/>
      <c r="DA262" s="2558"/>
      <c r="EI262" s="2689" t="s">
        <v>10581</v>
      </c>
    </row>
    <row r="263" spans="1:139" ht="72.5">
      <c r="A263" s="532"/>
      <c r="H263" s="3442" t="s">
        <v>3558</v>
      </c>
      <c r="I263" s="3442" t="s">
        <v>3285</v>
      </c>
      <c r="K263" s="3437" t="s">
        <v>4835</v>
      </c>
      <c r="AN263" s="3283" t="s">
        <v>3270</v>
      </c>
      <c r="AO263" s="3283" t="s">
        <v>3270</v>
      </c>
      <c r="AP263" s="3437" t="s">
        <v>3270</v>
      </c>
      <c r="AQ263" s="3283" t="s">
        <v>3270</v>
      </c>
      <c r="AR263" s="101" t="s">
        <v>9128</v>
      </c>
      <c r="BH263" s="2406">
        <v>4634001040</v>
      </c>
      <c r="BI263" s="2409" t="s">
        <v>2008</v>
      </c>
      <c r="BJ263" s="2466">
        <v>124485</v>
      </c>
      <c r="BK263" s="530"/>
      <c r="BV263" s="3082" t="str">
        <f t="shared" si="4"/>
        <v/>
      </c>
      <c r="CT263" s="531"/>
      <c r="DA263" s="2558"/>
      <c r="EI263" s="2689" t="s">
        <v>10582</v>
      </c>
    </row>
    <row r="264" spans="1:139" ht="43.5">
      <c r="A264" s="532"/>
      <c r="H264" s="3442" t="s">
        <v>3559</v>
      </c>
      <c r="I264" s="3442" t="s">
        <v>3285</v>
      </c>
      <c r="K264" s="3437" t="s">
        <v>2344</v>
      </c>
      <c r="AN264" s="3283" t="s">
        <v>3271</v>
      </c>
      <c r="AO264" s="3283" t="s">
        <v>3271</v>
      </c>
      <c r="AP264" s="3437" t="s">
        <v>3271</v>
      </c>
      <c r="AQ264" s="3283" t="s">
        <v>3271</v>
      </c>
      <c r="AR264" s="101" t="s">
        <v>9129</v>
      </c>
      <c r="BH264" s="2406">
        <v>4634002301</v>
      </c>
      <c r="BI264" s="2409" t="s">
        <v>180</v>
      </c>
      <c r="BJ264" s="2466">
        <v>146516</v>
      </c>
      <c r="BK264" s="530"/>
      <c r="BV264" s="3082" t="str">
        <f t="shared" si="4"/>
        <v/>
      </c>
      <c r="CT264" s="531"/>
      <c r="DA264" s="2558"/>
      <c r="EI264" s="2689" t="s">
        <v>10583</v>
      </c>
    </row>
    <row r="265" spans="1:139" ht="43.5">
      <c r="A265" s="532"/>
      <c r="H265" s="3442" t="s">
        <v>14428</v>
      </c>
      <c r="I265" s="3442" t="s">
        <v>3285</v>
      </c>
      <c r="K265" s="3437" t="s">
        <v>2346</v>
      </c>
      <c r="AN265" s="3283" t="s">
        <v>3272</v>
      </c>
      <c r="AO265" s="3283" t="s">
        <v>3272</v>
      </c>
      <c r="AP265" s="3437" t="s">
        <v>3272</v>
      </c>
      <c r="AQ265" s="3283" t="s">
        <v>3272</v>
      </c>
      <c r="AR265" s="101" t="s">
        <v>9130</v>
      </c>
      <c r="BH265" s="2406">
        <v>4634002573</v>
      </c>
      <c r="BI265" s="2409" t="s">
        <v>2384</v>
      </c>
      <c r="BJ265" s="2466">
        <v>124443</v>
      </c>
      <c r="BK265" s="530"/>
      <c r="BV265" s="3082" t="str">
        <f t="shared" si="4"/>
        <v/>
      </c>
      <c r="CT265" s="531"/>
      <c r="DA265" s="2558"/>
      <c r="EI265" s="2689" t="s">
        <v>10584</v>
      </c>
    </row>
    <row r="266" spans="1:139" ht="43.5">
      <c r="A266" s="532"/>
      <c r="H266" s="3442" t="s">
        <v>9900</v>
      </c>
      <c r="I266" s="3442" t="s">
        <v>3285</v>
      </c>
      <c r="K266" s="3437" t="s">
        <v>4836</v>
      </c>
      <c r="AN266" s="3283" t="s">
        <v>6225</v>
      </c>
      <c r="AO266" s="3283" t="s">
        <v>6225</v>
      </c>
      <c r="AP266" s="3437" t="s">
        <v>6225</v>
      </c>
      <c r="AQ266" s="3283" t="s">
        <v>6225</v>
      </c>
      <c r="AR266" s="101" t="s">
        <v>9131</v>
      </c>
      <c r="BH266" s="2406">
        <v>4634006345</v>
      </c>
      <c r="BI266" s="2409" t="s">
        <v>117</v>
      </c>
      <c r="BJ266" s="2466">
        <v>146204</v>
      </c>
      <c r="BK266" s="530"/>
      <c r="BV266" s="3082" t="str">
        <f t="shared" si="4"/>
        <v/>
      </c>
      <c r="CT266" s="531"/>
      <c r="DA266" s="2558"/>
      <c r="EI266" s="2689" t="s">
        <v>10585</v>
      </c>
    </row>
    <row r="267" spans="1:139" ht="72.5">
      <c r="A267" s="532"/>
      <c r="H267" s="3518" t="s">
        <v>14789</v>
      </c>
      <c r="I267" s="3442" t="s">
        <v>3285</v>
      </c>
      <c r="K267" s="3437" t="s">
        <v>2347</v>
      </c>
      <c r="AN267" s="3283" t="s">
        <v>3273</v>
      </c>
      <c r="AO267" s="3283" t="s">
        <v>3273</v>
      </c>
      <c r="AP267" s="3437" t="s">
        <v>3273</v>
      </c>
      <c r="AQ267" s="3283" t="s">
        <v>3273</v>
      </c>
      <c r="AR267" s="101" t="s">
        <v>9132</v>
      </c>
      <c r="BH267" s="2406">
        <v>4634008455</v>
      </c>
      <c r="BI267" s="2409" t="s">
        <v>3641</v>
      </c>
      <c r="BJ267" s="2466">
        <v>124532</v>
      </c>
      <c r="BK267" s="530"/>
      <c r="BV267" s="3082" t="str">
        <f t="shared" si="4"/>
        <v/>
      </c>
      <c r="CT267" s="531"/>
      <c r="DA267" s="2558"/>
      <c r="EI267" s="2689" t="s">
        <v>10586</v>
      </c>
    </row>
    <row r="268" spans="1:139" ht="72.5">
      <c r="A268" s="532"/>
      <c r="H268" s="3442" t="s">
        <v>14429</v>
      </c>
      <c r="I268" s="3442" t="s">
        <v>3285</v>
      </c>
      <c r="K268" s="3437" t="s">
        <v>14436</v>
      </c>
      <c r="AN268" s="3283" t="s">
        <v>3274</v>
      </c>
      <c r="AO268" s="3283" t="s">
        <v>3274</v>
      </c>
      <c r="AP268" s="3437" t="s">
        <v>3274</v>
      </c>
      <c r="AQ268" s="3283" t="s">
        <v>3274</v>
      </c>
      <c r="AR268" s="101" t="s">
        <v>9133</v>
      </c>
      <c r="BH268" s="2406">
        <v>4634008720</v>
      </c>
      <c r="BI268" s="2409" t="s">
        <v>181</v>
      </c>
      <c r="BJ268" s="2466">
        <v>124537</v>
      </c>
      <c r="BK268" s="530"/>
      <c r="BV268" s="3082" t="str">
        <f t="shared" si="4"/>
        <v/>
      </c>
      <c r="CT268" s="531"/>
      <c r="DA268" s="2558"/>
      <c r="EI268" s="2689" t="s">
        <v>10587</v>
      </c>
    </row>
    <row r="269" spans="1:139" ht="72.5">
      <c r="A269" s="532"/>
      <c r="H269" s="3442" t="s">
        <v>1407</v>
      </c>
      <c r="I269" s="3442" t="s">
        <v>3285</v>
      </c>
      <c r="K269" s="3437" t="s">
        <v>14237</v>
      </c>
      <c r="AN269" s="3283" t="s">
        <v>4518</v>
      </c>
      <c r="AO269" s="3283" t="s">
        <v>4518</v>
      </c>
      <c r="AP269" s="3437" t="s">
        <v>4518</v>
      </c>
      <c r="AQ269" s="3283" t="s">
        <v>4518</v>
      </c>
      <c r="AR269" s="101" t="s">
        <v>9134</v>
      </c>
      <c r="BH269" s="2405">
        <v>4634010454</v>
      </c>
      <c r="BI269" s="2405" t="s">
        <v>1622</v>
      </c>
      <c r="BJ269" s="2466">
        <v>291</v>
      </c>
      <c r="BK269" s="530"/>
      <c r="BV269" s="3082" t="str">
        <f t="shared" si="4"/>
        <v/>
      </c>
      <c r="CT269" s="531"/>
      <c r="DA269" s="2558"/>
      <c r="EI269" s="2689" t="s">
        <v>10588</v>
      </c>
    </row>
    <row r="270" spans="1:139" ht="38.5">
      <c r="A270" s="532"/>
      <c r="H270" s="3442" t="s">
        <v>1408</v>
      </c>
      <c r="I270" s="3442" t="s">
        <v>3285</v>
      </c>
      <c r="K270" s="3437" t="s">
        <v>14437</v>
      </c>
      <c r="AN270" s="3283" t="s">
        <v>6227</v>
      </c>
      <c r="AO270" s="3283" t="s">
        <v>6227</v>
      </c>
      <c r="AP270" s="3437" t="s">
        <v>6227</v>
      </c>
      <c r="AQ270" s="3283" t="s">
        <v>6227</v>
      </c>
      <c r="AR270" s="101" t="s">
        <v>9135</v>
      </c>
      <c r="BH270" s="2406">
        <v>4700000109</v>
      </c>
      <c r="BI270" s="2409" t="s">
        <v>2342</v>
      </c>
      <c r="BJ270" s="2466">
        <v>178559</v>
      </c>
      <c r="BK270" s="530"/>
      <c r="BV270" s="3082" t="str">
        <f t="shared" si="4"/>
        <v/>
      </c>
      <c r="CT270" s="531"/>
      <c r="DA270" s="2558"/>
      <c r="EI270" s="2689" t="s">
        <v>10589</v>
      </c>
    </row>
    <row r="271" spans="1:139" ht="72.5">
      <c r="A271" s="532"/>
      <c r="H271" s="3442" t="s">
        <v>1409</v>
      </c>
      <c r="I271" s="3442" t="s">
        <v>2477</v>
      </c>
      <c r="K271" s="3437" t="s">
        <v>14438</v>
      </c>
      <c r="AN271" s="3283" t="s">
        <v>6228</v>
      </c>
      <c r="AO271" s="3283" t="s">
        <v>6228</v>
      </c>
      <c r="AP271" s="3437" t="s">
        <v>6228</v>
      </c>
      <c r="AQ271" s="3283" t="s">
        <v>6228</v>
      </c>
      <c r="AR271" s="101" t="s">
        <v>9136</v>
      </c>
      <c r="BH271" s="2406">
        <v>4703055314</v>
      </c>
      <c r="BI271" s="2409" t="s">
        <v>2013</v>
      </c>
      <c r="BJ271" s="2466">
        <v>227701</v>
      </c>
      <c r="BK271" s="530"/>
      <c r="BV271" s="3082" t="str">
        <f t="shared" si="4"/>
        <v/>
      </c>
      <c r="CT271" s="531"/>
      <c r="DA271" s="2558"/>
      <c r="EI271" s="2689" t="s">
        <v>10590</v>
      </c>
    </row>
    <row r="272" spans="1:139" ht="43.5">
      <c r="A272" s="532"/>
      <c r="H272" s="3442" t="s">
        <v>1410</v>
      </c>
      <c r="I272" s="3442" t="s">
        <v>2477</v>
      </c>
      <c r="K272" s="3437" t="s">
        <v>14439</v>
      </c>
      <c r="AN272" s="3283" t="s">
        <v>3275</v>
      </c>
      <c r="AO272" s="3283" t="s">
        <v>3275</v>
      </c>
      <c r="AP272" s="3437" t="s">
        <v>3275</v>
      </c>
      <c r="AQ272" s="3283" t="s">
        <v>3275</v>
      </c>
      <c r="AR272" s="101" t="s">
        <v>9137</v>
      </c>
      <c r="BH272" s="2406">
        <v>4703068578</v>
      </c>
      <c r="BI272" s="2409" t="s">
        <v>3626</v>
      </c>
      <c r="BJ272" s="2466">
        <v>249065</v>
      </c>
      <c r="BK272" s="530"/>
      <c r="BV272" s="3082" t="str">
        <f t="shared" si="4"/>
        <v/>
      </c>
      <c r="CT272" s="531"/>
      <c r="DA272" s="2558"/>
      <c r="EI272" s="2689" t="s">
        <v>10591</v>
      </c>
    </row>
    <row r="273" spans="1:139" ht="43.5">
      <c r="A273" s="532"/>
      <c r="H273" s="3442" t="s">
        <v>1411</v>
      </c>
      <c r="I273" s="3442" t="s">
        <v>3285</v>
      </c>
      <c r="K273" s="3437" t="s">
        <v>14440</v>
      </c>
      <c r="AN273" s="3283" t="s">
        <v>3276</v>
      </c>
      <c r="AO273" s="3283" t="s">
        <v>3276</v>
      </c>
      <c r="AP273" s="3437" t="s">
        <v>3276</v>
      </c>
      <c r="AQ273" s="3283" t="s">
        <v>3276</v>
      </c>
      <c r="AR273" s="101" t="s">
        <v>9138</v>
      </c>
      <c r="BH273" s="2406">
        <v>4714000211</v>
      </c>
      <c r="BI273" s="2409" t="s">
        <v>964</v>
      </c>
      <c r="BJ273" s="2466">
        <v>315</v>
      </c>
      <c r="BK273" s="530"/>
      <c r="BV273" s="3082" t="str">
        <f t="shared" si="4"/>
        <v/>
      </c>
      <c r="CT273" s="531"/>
      <c r="DA273" s="2558"/>
      <c r="EI273" s="2689" t="s">
        <v>10592</v>
      </c>
    </row>
    <row r="274" spans="1:139" ht="43.5">
      <c r="A274" s="532"/>
      <c r="H274" s="3442" t="s">
        <v>1412</v>
      </c>
      <c r="I274" s="3442" t="s">
        <v>2477</v>
      </c>
      <c r="K274" s="3437" t="s">
        <v>14441</v>
      </c>
      <c r="AN274" s="3283" t="s">
        <v>6226</v>
      </c>
      <c r="AO274" s="3283" t="s">
        <v>6226</v>
      </c>
      <c r="AP274" s="3437" t="s">
        <v>6226</v>
      </c>
      <c r="AQ274" s="3283" t="s">
        <v>6226</v>
      </c>
      <c r="AR274" s="101" t="s">
        <v>9139</v>
      </c>
      <c r="BH274" s="2406">
        <v>4714004079</v>
      </c>
      <c r="BI274" s="2409" t="s">
        <v>154</v>
      </c>
      <c r="BJ274" s="2466">
        <v>113520</v>
      </c>
      <c r="BK274" s="530"/>
      <c r="BV274" s="3082" t="str">
        <f t="shared" si="4"/>
        <v/>
      </c>
      <c r="CT274" s="531"/>
      <c r="DA274" s="2558"/>
      <c r="EI274" s="2689" t="s">
        <v>10593</v>
      </c>
    </row>
    <row r="275" spans="1:139" ht="38.5">
      <c r="A275" s="532"/>
      <c r="H275" s="3442" t="s">
        <v>1413</v>
      </c>
      <c r="I275" s="3442" t="s">
        <v>2477</v>
      </c>
      <c r="K275" s="3437" t="s">
        <v>14442</v>
      </c>
      <c r="AN275" s="3283" t="s">
        <v>3277</v>
      </c>
      <c r="AO275" s="3283" t="s">
        <v>3277</v>
      </c>
      <c r="AP275" s="3437" t="s">
        <v>3277</v>
      </c>
      <c r="AQ275" s="3283" t="s">
        <v>3277</v>
      </c>
      <c r="AR275" s="101" t="s">
        <v>9140</v>
      </c>
      <c r="BH275" s="2406">
        <v>4714014863</v>
      </c>
      <c r="BI275" s="2409" t="s">
        <v>971</v>
      </c>
      <c r="BJ275" s="2466">
        <v>320</v>
      </c>
      <c r="BK275" s="530"/>
      <c r="BV275" s="3082" t="str">
        <f t="shared" si="4"/>
        <v/>
      </c>
      <c r="CT275" s="531"/>
      <c r="DA275" s="2558"/>
      <c r="EI275" s="2689" t="s">
        <v>10594</v>
      </c>
    </row>
    <row r="276" spans="1:139" ht="58">
      <c r="A276" s="532"/>
      <c r="H276" s="3442" t="s">
        <v>1414</v>
      </c>
      <c r="I276" s="3442" t="s">
        <v>3285</v>
      </c>
      <c r="K276" s="3437" t="s">
        <v>14443</v>
      </c>
      <c r="AN276" s="3283" t="s">
        <v>3278</v>
      </c>
      <c r="AO276" s="3283" t="s">
        <v>3278</v>
      </c>
      <c r="AP276" s="3437" t="s">
        <v>3278</v>
      </c>
      <c r="AQ276" s="3283" t="s">
        <v>3278</v>
      </c>
      <c r="AR276" s="101" t="s">
        <v>9141</v>
      </c>
      <c r="BH276" s="2406">
        <v>4714014888</v>
      </c>
      <c r="BI276" s="2409" t="s">
        <v>963</v>
      </c>
      <c r="BJ276" s="2466">
        <v>319</v>
      </c>
      <c r="BK276" s="530"/>
      <c r="BV276" s="3082" t="str">
        <f t="shared" si="4"/>
        <v/>
      </c>
      <c r="CT276" s="531"/>
      <c r="DA276" s="2558"/>
      <c r="EI276" s="2689" t="s">
        <v>10595</v>
      </c>
    </row>
    <row r="277" spans="1:139" ht="38.5">
      <c r="A277" s="532"/>
      <c r="H277" s="3442" t="s">
        <v>1463</v>
      </c>
      <c r="I277" s="3442" t="s">
        <v>3285</v>
      </c>
      <c r="K277" s="3437" t="s">
        <v>14444</v>
      </c>
      <c r="AN277" s="3283" t="s">
        <v>1325</v>
      </c>
      <c r="AO277" s="3283" t="s">
        <v>1325</v>
      </c>
      <c r="AP277" s="3437" t="s">
        <v>1325</v>
      </c>
      <c r="AQ277" s="3283" t="s">
        <v>1325</v>
      </c>
      <c r="AR277" s="101" t="s">
        <v>9142</v>
      </c>
      <c r="BH277" s="2406">
        <v>4714015056</v>
      </c>
      <c r="BI277" s="2409" t="s">
        <v>205</v>
      </c>
      <c r="BJ277" s="2466">
        <v>316</v>
      </c>
      <c r="BK277" s="530"/>
      <c r="BV277" s="3082" t="str">
        <f t="shared" si="4"/>
        <v/>
      </c>
      <c r="CT277" s="531"/>
      <c r="DA277" s="2558"/>
      <c r="EI277" s="2689" t="s">
        <v>10596</v>
      </c>
    </row>
    <row r="278" spans="1:139" ht="38.5">
      <c r="A278" s="532"/>
      <c r="H278" s="3442" t="s">
        <v>6262</v>
      </c>
      <c r="I278" s="3442" t="s">
        <v>2477</v>
      </c>
      <c r="K278" s="3437" t="s">
        <v>14445</v>
      </c>
      <c r="AN278" s="3283" t="s">
        <v>6229</v>
      </c>
      <c r="AO278" s="3283" t="s">
        <v>6229</v>
      </c>
      <c r="AP278" s="3437" t="s">
        <v>6229</v>
      </c>
      <c r="AQ278" s="3283" t="s">
        <v>6229</v>
      </c>
      <c r="AR278" s="101" t="s">
        <v>9143</v>
      </c>
      <c r="BH278" s="2405">
        <v>4714023385</v>
      </c>
      <c r="BI278" s="2405" t="s">
        <v>2931</v>
      </c>
      <c r="BJ278" s="2466">
        <v>292</v>
      </c>
      <c r="BK278" s="530"/>
      <c r="BV278" s="3082" t="str">
        <f t="shared" si="4"/>
        <v/>
      </c>
      <c r="CT278" s="531"/>
      <c r="DA278" s="2558"/>
      <c r="EI278" s="2689" t="s">
        <v>10597</v>
      </c>
    </row>
    <row r="279" spans="1:139" ht="38.5">
      <c r="A279" s="532"/>
      <c r="H279" s="3442" t="s">
        <v>6263</v>
      </c>
      <c r="I279" s="3442" t="s">
        <v>2477</v>
      </c>
      <c r="K279" s="3437" t="s">
        <v>14446</v>
      </c>
      <c r="AN279" s="3283" t="s">
        <v>6230</v>
      </c>
      <c r="AO279" s="3283" t="s">
        <v>6230</v>
      </c>
      <c r="AP279" s="3437" t="s">
        <v>6230</v>
      </c>
      <c r="AQ279" s="3283" t="s">
        <v>6230</v>
      </c>
      <c r="AR279" s="101" t="s">
        <v>9144</v>
      </c>
      <c r="BH279" s="2405">
        <v>4714023642</v>
      </c>
      <c r="BI279" s="2405" t="s">
        <v>2930</v>
      </c>
      <c r="BJ279" s="2466">
        <v>191</v>
      </c>
      <c r="BK279" s="530"/>
      <c r="BV279" s="3082" t="str">
        <f t="shared" si="4"/>
        <v/>
      </c>
      <c r="CT279" s="531"/>
      <c r="DA279" s="2558"/>
      <c r="EI279" s="2689" t="s">
        <v>10598</v>
      </c>
    </row>
    <row r="280" spans="1:139" ht="26">
      <c r="A280" s="532"/>
      <c r="H280" s="3442" t="s">
        <v>1417</v>
      </c>
      <c r="I280" s="3442" t="s">
        <v>2477</v>
      </c>
      <c r="K280" s="3437" t="s">
        <v>2352</v>
      </c>
      <c r="AN280" s="3283" t="s">
        <v>3279</v>
      </c>
      <c r="AO280" s="3283" t="s">
        <v>3279</v>
      </c>
      <c r="AP280" s="3437" t="s">
        <v>3279</v>
      </c>
      <c r="AQ280" s="3283" t="s">
        <v>3279</v>
      </c>
      <c r="AR280" s="101" t="s">
        <v>9145</v>
      </c>
      <c r="BH280" s="2406">
        <v>4716016979</v>
      </c>
      <c r="BI280" s="2409" t="s">
        <v>2447</v>
      </c>
      <c r="BJ280" s="2466">
        <v>105391</v>
      </c>
      <c r="BK280" s="530"/>
      <c r="BV280" s="3082" t="str">
        <f t="shared" si="4"/>
        <v/>
      </c>
      <c r="CT280" s="531"/>
      <c r="DA280" s="2558"/>
      <c r="EI280" s="2689" t="s">
        <v>10599</v>
      </c>
    </row>
    <row r="281" spans="1:139" ht="38.5">
      <c r="A281" s="532"/>
      <c r="H281" s="3442" t="s">
        <v>1415</v>
      </c>
      <c r="I281" s="3442" t="s">
        <v>3285</v>
      </c>
      <c r="K281" s="3437" t="s">
        <v>2353</v>
      </c>
      <c r="AN281" s="3283" t="s">
        <v>3280</v>
      </c>
      <c r="AO281" s="3283" t="s">
        <v>3280</v>
      </c>
      <c r="AP281" s="3437" t="s">
        <v>3280</v>
      </c>
      <c r="AQ281" s="3283" t="s">
        <v>3280</v>
      </c>
      <c r="AR281" s="101" t="s">
        <v>9146</v>
      </c>
      <c r="BH281" s="2406">
        <v>4823003043</v>
      </c>
      <c r="BI281" s="2409" t="s">
        <v>118</v>
      </c>
      <c r="BJ281" s="2466">
        <v>218280</v>
      </c>
      <c r="BK281" s="530"/>
      <c r="BV281" s="3082" t="str">
        <f t="shared" si="4"/>
        <v/>
      </c>
      <c r="CT281" s="531"/>
      <c r="DA281" s="2558"/>
      <c r="EI281" s="2689" t="s">
        <v>10600</v>
      </c>
    </row>
    <row r="282" spans="1:139" ht="63.5">
      <c r="A282" s="532"/>
      <c r="H282" s="3442" t="s">
        <v>7646</v>
      </c>
      <c r="I282" s="3442" t="s">
        <v>2477</v>
      </c>
      <c r="K282" s="3437" t="s">
        <v>91</v>
      </c>
      <c r="AN282" s="3283" t="s">
        <v>3281</v>
      </c>
      <c r="AO282" s="3283" t="s">
        <v>3281</v>
      </c>
      <c r="AP282" s="3437" t="s">
        <v>3281</v>
      </c>
      <c r="AQ282" s="3283" t="s">
        <v>3281</v>
      </c>
      <c r="AR282" s="101" t="s">
        <v>9147</v>
      </c>
      <c r="BH282" s="2406">
        <v>4823029370</v>
      </c>
      <c r="BI282" s="2409" t="s">
        <v>1274</v>
      </c>
      <c r="BJ282" s="2466">
        <v>124795</v>
      </c>
      <c r="BK282" s="530"/>
      <c r="BV282" s="3082" t="str">
        <f t="shared" si="4"/>
        <v/>
      </c>
      <c r="CT282" s="531"/>
      <c r="DA282" s="2558"/>
      <c r="EI282" s="2689" t="s">
        <v>10601</v>
      </c>
    </row>
    <row r="283" spans="1:139" ht="58">
      <c r="A283" s="532"/>
      <c r="H283" s="3442" t="s">
        <v>10093</v>
      </c>
      <c r="I283" s="3442" t="s">
        <v>3285</v>
      </c>
      <c r="K283" s="3437" t="s">
        <v>4841</v>
      </c>
      <c r="AN283" s="3283" t="s">
        <v>3282</v>
      </c>
      <c r="AO283" s="3283" t="s">
        <v>3282</v>
      </c>
      <c r="AP283" s="3437" t="s">
        <v>3282</v>
      </c>
      <c r="AQ283" s="3283" t="s">
        <v>3282</v>
      </c>
      <c r="AR283" s="101" t="s">
        <v>9148</v>
      </c>
      <c r="BH283" s="2406">
        <v>5000001317</v>
      </c>
      <c r="BI283" s="2409" t="s">
        <v>1897</v>
      </c>
      <c r="BJ283" s="2466">
        <v>100257</v>
      </c>
      <c r="BK283" s="530"/>
      <c r="BV283" s="3082" t="str">
        <f t="shared" si="4"/>
        <v/>
      </c>
      <c r="CT283" s="531"/>
      <c r="DA283" s="2558"/>
      <c r="EI283" s="2689" t="s">
        <v>10602</v>
      </c>
    </row>
    <row r="284" spans="1:139" ht="58">
      <c r="A284" s="532"/>
      <c r="H284" s="3442" t="s">
        <v>1416</v>
      </c>
      <c r="I284" s="3442" t="s">
        <v>2477</v>
      </c>
      <c r="K284" s="3132" t="s">
        <v>8758</v>
      </c>
      <c r="AN284" s="3283" t="s">
        <v>3283</v>
      </c>
      <c r="AO284" s="3283" t="s">
        <v>3283</v>
      </c>
      <c r="AP284" s="3437" t="s">
        <v>3283</v>
      </c>
      <c r="AQ284" s="3283" t="s">
        <v>3283</v>
      </c>
      <c r="AR284" s="101" t="s">
        <v>9149</v>
      </c>
      <c r="BH284" s="2406">
        <v>5000001469</v>
      </c>
      <c r="BI284" s="2409" t="s">
        <v>1995</v>
      </c>
      <c r="BJ284" s="2466">
        <v>100003</v>
      </c>
      <c r="BK284" s="530"/>
      <c r="BV284" s="3082" t="str">
        <f t="shared" si="4"/>
        <v/>
      </c>
      <c r="CT284" s="531"/>
      <c r="DA284" s="2558"/>
      <c r="EI284" s="2689" t="s">
        <v>10603</v>
      </c>
    </row>
    <row r="285" spans="1:139" ht="43.5">
      <c r="A285" s="532"/>
      <c r="H285" s="3442" t="s">
        <v>1464</v>
      </c>
      <c r="I285" s="3442" t="s">
        <v>3285</v>
      </c>
      <c r="K285" s="3132" t="s">
        <v>8759</v>
      </c>
      <c r="AN285" s="3283" t="s">
        <v>3528</v>
      </c>
      <c r="AO285" s="3283" t="s">
        <v>3528</v>
      </c>
      <c r="AP285" s="3437" t="s">
        <v>3528</v>
      </c>
      <c r="AQ285" s="3283" t="s">
        <v>3528</v>
      </c>
      <c r="AR285" s="101" t="s">
        <v>9150</v>
      </c>
      <c r="BH285" s="2406">
        <v>5001000041</v>
      </c>
      <c r="BI285" s="2409" t="s">
        <v>5056</v>
      </c>
      <c r="BJ285" s="2466">
        <v>98559</v>
      </c>
      <c r="BK285" s="530"/>
      <c r="BV285" s="3082" t="str">
        <f t="shared" si="4"/>
        <v/>
      </c>
      <c r="CT285" s="531"/>
      <c r="DA285" s="2558"/>
      <c r="EI285" s="2689" t="s">
        <v>10604</v>
      </c>
    </row>
    <row r="286" spans="1:139" ht="43.5">
      <c r="A286" s="532"/>
      <c r="H286" s="3442" t="s">
        <v>1465</v>
      </c>
      <c r="I286" s="3442" t="s">
        <v>3285</v>
      </c>
      <c r="K286" s="3132" t="s">
        <v>8760</v>
      </c>
      <c r="AN286" s="3283" t="s">
        <v>3529</v>
      </c>
      <c r="AO286" s="3283" t="s">
        <v>3529</v>
      </c>
      <c r="AP286" s="3437" t="s">
        <v>3529</v>
      </c>
      <c r="AQ286" s="3283" t="s">
        <v>3529</v>
      </c>
      <c r="AR286" s="101" t="s">
        <v>9151</v>
      </c>
      <c r="BH286" s="2406">
        <v>5001000242</v>
      </c>
      <c r="BI286" s="2409" t="s">
        <v>1386</v>
      </c>
      <c r="BJ286" s="2466">
        <v>124812</v>
      </c>
      <c r="BK286" s="530"/>
      <c r="BV286" s="3082" t="str">
        <f t="shared" si="4"/>
        <v/>
      </c>
      <c r="CT286" s="531"/>
      <c r="DA286" s="2558"/>
      <c r="EI286" s="2689" t="s">
        <v>10605</v>
      </c>
    </row>
    <row r="287" spans="1:139" ht="51">
      <c r="A287" s="532"/>
      <c r="H287" s="3442" t="s">
        <v>3568</v>
      </c>
      <c r="I287" s="3442" t="s">
        <v>2477</v>
      </c>
      <c r="K287" s="3132" t="s">
        <v>8761</v>
      </c>
      <c r="AN287" s="3283" t="s">
        <v>3530</v>
      </c>
      <c r="AO287" s="3283" t="s">
        <v>3530</v>
      </c>
      <c r="AP287" s="3437" t="s">
        <v>3530</v>
      </c>
      <c r="AQ287" s="3283" t="s">
        <v>3530</v>
      </c>
      <c r="AR287" s="101" t="s">
        <v>9152</v>
      </c>
      <c r="BH287" s="2406">
        <v>5001071638</v>
      </c>
      <c r="BI287" s="2409" t="s">
        <v>2333</v>
      </c>
      <c r="BJ287" s="2466">
        <v>235026</v>
      </c>
      <c r="BK287" s="530"/>
      <c r="BV287" s="3082" t="str">
        <f t="shared" si="4"/>
        <v/>
      </c>
      <c r="CT287" s="531"/>
      <c r="DA287" s="2558"/>
      <c r="EI287" s="2689" t="s">
        <v>10606</v>
      </c>
    </row>
    <row r="288" spans="1:139" ht="43.5">
      <c r="A288" s="532"/>
      <c r="H288" s="3442" t="s">
        <v>3570</v>
      </c>
      <c r="I288" s="3442" t="s">
        <v>2477</v>
      </c>
      <c r="AN288" s="3283" t="s">
        <v>3531</v>
      </c>
      <c r="AO288" s="3283" t="s">
        <v>3531</v>
      </c>
      <c r="AP288" s="3437" t="s">
        <v>3531</v>
      </c>
      <c r="AQ288" s="3283" t="s">
        <v>3531</v>
      </c>
      <c r="AR288" s="101" t="s">
        <v>9153</v>
      </c>
      <c r="BH288" s="2406">
        <v>5001087211</v>
      </c>
      <c r="BI288" s="2409" t="s">
        <v>2751</v>
      </c>
      <c r="BJ288" s="2466">
        <v>353348</v>
      </c>
      <c r="BK288" s="530"/>
      <c r="BV288" s="3082" t="str">
        <f t="shared" si="4"/>
        <v/>
      </c>
      <c r="CT288" s="531"/>
      <c r="DA288" s="2558"/>
      <c r="EI288" s="2689" t="s">
        <v>10607</v>
      </c>
    </row>
    <row r="289" spans="1:139" ht="43.5">
      <c r="A289" s="532"/>
      <c r="H289" s="3442" t="s">
        <v>4815</v>
      </c>
      <c r="I289" s="3518" t="s">
        <v>3285</v>
      </c>
      <c r="AN289" s="3283" t="s">
        <v>7104</v>
      </c>
      <c r="AO289" s="3283" t="s">
        <v>7104</v>
      </c>
      <c r="AP289" s="3437" t="s">
        <v>7104</v>
      </c>
      <c r="AQ289" s="3283" t="s">
        <v>7104</v>
      </c>
      <c r="AR289" s="101" t="s">
        <v>9154</v>
      </c>
      <c r="BH289" s="2406">
        <v>5003000696</v>
      </c>
      <c r="BI289" s="2409" t="s">
        <v>2276</v>
      </c>
      <c r="BJ289" s="2466">
        <v>117349</v>
      </c>
      <c r="BK289" s="530"/>
      <c r="BV289" s="3082" t="str">
        <f t="shared" si="4"/>
        <v/>
      </c>
      <c r="CT289" s="531"/>
      <c r="DA289" s="2558"/>
      <c r="EI289" s="2689" t="s">
        <v>10608</v>
      </c>
    </row>
    <row r="290" spans="1:139" ht="58">
      <c r="A290" s="532"/>
      <c r="H290" s="3442" t="s">
        <v>4838</v>
      </c>
      <c r="I290" s="3442" t="s">
        <v>2477</v>
      </c>
      <c r="AN290" s="3283" t="s">
        <v>7105</v>
      </c>
      <c r="AO290" s="3283" t="s">
        <v>7105</v>
      </c>
      <c r="AP290" s="3437" t="s">
        <v>7105</v>
      </c>
      <c r="AQ290" s="3283" t="s">
        <v>7105</v>
      </c>
      <c r="AR290" s="101" t="s">
        <v>9155</v>
      </c>
      <c r="BH290" s="2406">
        <v>5003021311</v>
      </c>
      <c r="BI290" s="2409" t="s">
        <v>2637</v>
      </c>
      <c r="BJ290" s="2466">
        <v>109047</v>
      </c>
      <c r="BK290" s="530"/>
      <c r="BV290" s="3082" t="str">
        <f t="shared" si="4"/>
        <v/>
      </c>
      <c r="CT290" s="531"/>
      <c r="DA290" s="2558"/>
      <c r="EI290" s="2689" t="s">
        <v>10609</v>
      </c>
    </row>
    <row r="291" spans="1:139" ht="43.5">
      <c r="A291" s="532"/>
      <c r="H291" s="3442" t="s">
        <v>14430</v>
      </c>
      <c r="I291" s="3518" t="s">
        <v>3285</v>
      </c>
      <c r="AN291" s="3283" t="s">
        <v>7106</v>
      </c>
      <c r="AO291" s="3283" t="s">
        <v>7106</v>
      </c>
      <c r="AP291" s="3437" t="s">
        <v>7106</v>
      </c>
      <c r="AQ291" s="3283" t="s">
        <v>7106</v>
      </c>
      <c r="AR291" s="101" t="s">
        <v>9156</v>
      </c>
      <c r="BH291" s="2406">
        <v>5003026493</v>
      </c>
      <c r="BI291" s="2409" t="s">
        <v>3628</v>
      </c>
      <c r="BJ291" s="2466">
        <v>201945</v>
      </c>
      <c r="BK291" s="530"/>
      <c r="BV291" s="3082" t="str">
        <f t="shared" si="4"/>
        <v/>
      </c>
      <c r="CT291" s="531"/>
      <c r="DA291" s="2558"/>
      <c r="EI291" s="2689" t="s">
        <v>10610</v>
      </c>
    </row>
    <row r="292" spans="1:139" ht="43.5">
      <c r="A292" s="532"/>
      <c r="H292" s="3442" t="s">
        <v>14431</v>
      </c>
      <c r="I292" s="3442" t="s">
        <v>2477</v>
      </c>
      <c r="AN292" s="3283" t="s">
        <v>8346</v>
      </c>
      <c r="AO292" s="3283" t="s">
        <v>8346</v>
      </c>
      <c r="AP292" s="3437" t="s">
        <v>8346</v>
      </c>
      <c r="AQ292" s="3283" t="s">
        <v>8346</v>
      </c>
      <c r="AR292" s="101" t="s">
        <v>9157</v>
      </c>
      <c r="BH292" s="2406">
        <v>5003027352</v>
      </c>
      <c r="BI292" s="2409" t="s">
        <v>2238</v>
      </c>
      <c r="BJ292" s="2466">
        <v>242692</v>
      </c>
      <c r="BK292" s="530"/>
      <c r="BV292" s="3082" t="str">
        <f t="shared" si="4"/>
        <v/>
      </c>
      <c r="CT292" s="531"/>
      <c r="DA292" s="2558"/>
      <c r="EI292" s="2689" t="s">
        <v>10611</v>
      </c>
    </row>
    <row r="293" spans="1:139" ht="38.5">
      <c r="A293" s="532"/>
      <c r="H293" s="3442" t="s">
        <v>3574</v>
      </c>
      <c r="I293" s="3518" t="s">
        <v>3285</v>
      </c>
      <c r="AN293" s="3324" t="s">
        <v>14897</v>
      </c>
      <c r="AO293" s="3324" t="s">
        <v>14897</v>
      </c>
      <c r="AP293" s="3324" t="s">
        <v>14897</v>
      </c>
      <c r="AQ293" s="3324" t="s">
        <v>14897</v>
      </c>
      <c r="AR293" s="101" t="s">
        <v>9158</v>
      </c>
      <c r="BH293" s="2406">
        <v>5003028028</v>
      </c>
      <c r="BI293" s="2409" t="s">
        <v>2494</v>
      </c>
      <c r="BJ293" s="2466">
        <v>116937</v>
      </c>
      <c r="BK293" s="530"/>
      <c r="BV293" s="3082" t="str">
        <f t="shared" si="4"/>
        <v/>
      </c>
      <c r="CT293" s="531"/>
      <c r="DA293" s="2558"/>
      <c r="EI293" s="2689" t="s">
        <v>10612</v>
      </c>
    </row>
    <row r="294" spans="1:139" ht="101.5">
      <c r="A294" s="532"/>
      <c r="H294" s="3442" t="s">
        <v>3576</v>
      </c>
      <c r="I294" s="3442" t="s">
        <v>2477</v>
      </c>
      <c r="AN294" s="3324" t="s">
        <v>14898</v>
      </c>
      <c r="AO294" s="3324" t="s">
        <v>14898</v>
      </c>
      <c r="AP294" s="3324" t="s">
        <v>14898</v>
      </c>
      <c r="AQ294" s="3324" t="s">
        <v>14898</v>
      </c>
      <c r="AR294" s="101" t="s">
        <v>9159</v>
      </c>
      <c r="BH294" s="2406">
        <v>5003028148</v>
      </c>
      <c r="BI294" s="2409" t="s">
        <v>2625</v>
      </c>
      <c r="BJ294" s="2466">
        <v>221321</v>
      </c>
      <c r="BK294" s="530"/>
      <c r="BV294" s="3082" t="str">
        <f t="shared" si="4"/>
        <v/>
      </c>
      <c r="CT294" s="531"/>
      <c r="DA294" s="2558"/>
      <c r="EI294" s="2689" t="s">
        <v>10613</v>
      </c>
    </row>
    <row r="295" spans="1:139" ht="58">
      <c r="A295" s="532"/>
      <c r="H295" s="3442" t="s">
        <v>3578</v>
      </c>
      <c r="I295" s="3442" t="s">
        <v>2477</v>
      </c>
      <c r="AN295" s="3324" t="s">
        <v>14909</v>
      </c>
      <c r="AO295" s="3324" t="s">
        <v>14909</v>
      </c>
      <c r="AP295" s="3324" t="s">
        <v>14909</v>
      </c>
      <c r="AQ295" s="3324" t="s">
        <v>14909</v>
      </c>
      <c r="AR295" s="101" t="s">
        <v>9160</v>
      </c>
      <c r="BH295" s="2406">
        <v>5003028155</v>
      </c>
      <c r="BI295" s="2409" t="s">
        <v>2487</v>
      </c>
      <c r="BJ295" s="2466">
        <v>112053</v>
      </c>
      <c r="BK295" s="530"/>
      <c r="BV295" s="3082" t="str">
        <f t="shared" si="4"/>
        <v/>
      </c>
      <c r="CT295" s="531"/>
      <c r="DA295" s="2558"/>
      <c r="EI295" s="2689" t="s">
        <v>10614</v>
      </c>
    </row>
    <row r="296" spans="1:139" ht="29">
      <c r="A296" s="532"/>
      <c r="H296" s="3442" t="s">
        <v>3579</v>
      </c>
      <c r="I296" s="3442" t="s">
        <v>2477</v>
      </c>
      <c r="AN296" s="3324" t="s">
        <v>14899</v>
      </c>
      <c r="AO296" s="3324" t="s">
        <v>14899</v>
      </c>
      <c r="AP296" s="3324" t="s">
        <v>14899</v>
      </c>
      <c r="AQ296" s="3324" t="s">
        <v>14899</v>
      </c>
      <c r="AR296" s="101" t="s">
        <v>9161</v>
      </c>
      <c r="BH296" s="2406">
        <v>5003083519</v>
      </c>
      <c r="BI296" s="2409" t="s">
        <v>2665</v>
      </c>
      <c r="BJ296" s="2466">
        <v>117190</v>
      </c>
      <c r="BK296" s="530"/>
      <c r="BV296" s="3082" t="str">
        <f t="shared" si="4"/>
        <v/>
      </c>
      <c r="CT296" s="531"/>
      <c r="DA296" s="2558"/>
      <c r="EI296" s="2689" t="s">
        <v>10615</v>
      </c>
    </row>
    <row r="297" spans="1:139" ht="43.5">
      <c r="A297" s="532"/>
      <c r="H297" s="3442" t="s">
        <v>3581</v>
      </c>
      <c r="I297" s="3442" t="s">
        <v>2477</v>
      </c>
      <c r="AN297" s="3324" t="s">
        <v>14900</v>
      </c>
      <c r="AO297" s="3324" t="s">
        <v>14900</v>
      </c>
      <c r="AP297" s="3324" t="s">
        <v>14900</v>
      </c>
      <c r="AQ297" s="3324" t="s">
        <v>14900</v>
      </c>
      <c r="AR297" s="101" t="s">
        <v>9162</v>
      </c>
      <c r="BH297" s="2406">
        <v>5003083893</v>
      </c>
      <c r="BI297" s="2409" t="s">
        <v>2695</v>
      </c>
      <c r="BJ297" s="2466">
        <v>258277</v>
      </c>
      <c r="BK297" s="530"/>
      <c r="BV297" s="3082" t="str">
        <f t="shared" si="4"/>
        <v/>
      </c>
      <c r="CT297" s="531"/>
      <c r="DA297" s="2558"/>
      <c r="EI297" s="2689" t="s">
        <v>10616</v>
      </c>
    </row>
    <row r="298" spans="1:139" ht="43.5">
      <c r="A298" s="532"/>
      <c r="H298" s="3442" t="s">
        <v>4816</v>
      </c>
      <c r="I298" s="3442" t="s">
        <v>2477</v>
      </c>
      <c r="AN298" s="3324" t="s">
        <v>14901</v>
      </c>
      <c r="AO298" s="3324" t="s">
        <v>14901</v>
      </c>
      <c r="AP298" s="3324" t="s">
        <v>14901</v>
      </c>
      <c r="AQ298" s="3324" t="s">
        <v>14901</v>
      </c>
      <c r="AR298" s="101" t="s">
        <v>9163</v>
      </c>
      <c r="BH298" s="2406">
        <v>5004023569</v>
      </c>
      <c r="BI298" s="2409" t="s">
        <v>2744</v>
      </c>
      <c r="BJ298" s="2466">
        <v>244808</v>
      </c>
      <c r="BK298" s="530"/>
      <c r="BV298" s="3082" t="str">
        <f t="shared" si="4"/>
        <v/>
      </c>
      <c r="CT298" s="531"/>
      <c r="DA298" s="2558"/>
      <c r="EI298" s="2689" t="s">
        <v>10617</v>
      </c>
    </row>
    <row r="299" spans="1:139" ht="29">
      <c r="A299" s="532"/>
      <c r="H299" s="3442" t="s">
        <v>3583</v>
      </c>
      <c r="I299" s="3442" t="s">
        <v>2477</v>
      </c>
      <c r="AN299" s="3283" t="s">
        <v>3532</v>
      </c>
      <c r="AO299" s="3283" t="s">
        <v>3532</v>
      </c>
      <c r="AP299" s="3437" t="s">
        <v>3532</v>
      </c>
      <c r="AQ299" s="3283" t="s">
        <v>3532</v>
      </c>
      <c r="AR299" s="101" t="s">
        <v>9164</v>
      </c>
      <c r="BH299" s="2406">
        <v>5007004074</v>
      </c>
      <c r="BI299" s="2409" t="s">
        <v>182</v>
      </c>
      <c r="BJ299" s="2466">
        <v>124854</v>
      </c>
      <c r="BK299" s="530"/>
      <c r="BV299" s="3082" t="str">
        <f t="shared" ref="BV299:BV362" si="5">CONCATENATE(LEFT(BU299,8),RIGHT(BU299,9))</f>
        <v/>
      </c>
      <c r="CT299" s="531"/>
      <c r="DA299" s="2558"/>
      <c r="EI299" s="2689" t="s">
        <v>10618</v>
      </c>
    </row>
    <row r="300" spans="1:139" ht="58">
      <c r="A300" s="532"/>
      <c r="H300" s="3442" t="s">
        <v>14432</v>
      </c>
      <c r="I300" s="3442" t="s">
        <v>3285</v>
      </c>
      <c r="AN300" s="3283" t="s">
        <v>3533</v>
      </c>
      <c r="AO300" s="3283" t="s">
        <v>3533</v>
      </c>
      <c r="AP300" s="3437" t="s">
        <v>3533</v>
      </c>
      <c r="AQ300" s="3283" t="s">
        <v>3533</v>
      </c>
      <c r="AR300" s="101" t="s">
        <v>9165</v>
      </c>
      <c r="BH300" s="2406">
        <v>5009033419</v>
      </c>
      <c r="BI300" s="2409" t="s">
        <v>2351</v>
      </c>
      <c r="BJ300" s="2466">
        <v>112155</v>
      </c>
      <c r="BK300" s="530"/>
      <c r="BV300" s="3082" t="str">
        <f t="shared" si="5"/>
        <v/>
      </c>
      <c r="CT300" s="531"/>
      <c r="DA300" s="2558"/>
      <c r="EI300" s="2689" t="s">
        <v>10619</v>
      </c>
    </row>
    <row r="301" spans="1:139" ht="51">
      <c r="A301" s="532"/>
      <c r="H301" s="3442" t="s">
        <v>3585</v>
      </c>
      <c r="I301" s="3442" t="s">
        <v>2477</v>
      </c>
      <c r="AN301" s="3283" t="s">
        <v>3534</v>
      </c>
      <c r="AO301" s="3283" t="s">
        <v>3534</v>
      </c>
      <c r="AP301" s="3437" t="s">
        <v>3534</v>
      </c>
      <c r="AQ301" s="3283" t="s">
        <v>3534</v>
      </c>
      <c r="AR301" s="101" t="s">
        <v>9166</v>
      </c>
      <c r="BH301" s="2406">
        <v>5009043819</v>
      </c>
      <c r="BI301" s="2409" t="s">
        <v>201</v>
      </c>
      <c r="BJ301" s="2466">
        <v>358</v>
      </c>
      <c r="BK301" s="530"/>
      <c r="BV301" s="3082" t="str">
        <f t="shared" si="5"/>
        <v/>
      </c>
      <c r="CT301" s="531"/>
      <c r="DA301" s="2558"/>
      <c r="EI301" s="2689" t="s">
        <v>10620</v>
      </c>
    </row>
    <row r="302" spans="1:139" ht="63.5">
      <c r="A302" s="532"/>
      <c r="H302" s="3442" t="s">
        <v>3586</v>
      </c>
      <c r="I302" s="3442" t="s">
        <v>2477</v>
      </c>
      <c r="AN302" s="3283" t="s">
        <v>3535</v>
      </c>
      <c r="AO302" s="3283" t="s">
        <v>3535</v>
      </c>
      <c r="AP302" s="3437" t="s">
        <v>3535</v>
      </c>
      <c r="AQ302" s="3283" t="s">
        <v>3535</v>
      </c>
      <c r="AR302" s="101" t="s">
        <v>9167</v>
      </c>
      <c r="BH302" s="2406">
        <v>5012031637</v>
      </c>
      <c r="BI302" s="2409" t="s">
        <v>2725</v>
      </c>
      <c r="BJ302" s="2466">
        <v>124875</v>
      </c>
      <c r="BK302" s="530"/>
      <c r="BV302" s="3082" t="str">
        <f t="shared" si="5"/>
        <v/>
      </c>
      <c r="CT302" s="531"/>
      <c r="DA302" s="2558"/>
      <c r="EI302" s="2689" t="s">
        <v>10621</v>
      </c>
    </row>
    <row r="303" spans="1:139" ht="38.5">
      <c r="A303" s="532"/>
      <c r="H303" s="3442" t="s">
        <v>3587</v>
      </c>
      <c r="I303" s="3442" t="s">
        <v>2477</v>
      </c>
      <c r="AN303" s="3283" t="s">
        <v>3536</v>
      </c>
      <c r="AO303" s="3283" t="s">
        <v>3536</v>
      </c>
      <c r="AP303" s="3437" t="s">
        <v>3536</v>
      </c>
      <c r="AQ303" s="3283" t="s">
        <v>3536</v>
      </c>
      <c r="AR303" s="101" t="s">
        <v>9168</v>
      </c>
      <c r="BH303" s="2406">
        <v>5016008854</v>
      </c>
      <c r="BI303" s="2409" t="s">
        <v>1856</v>
      </c>
      <c r="BJ303" s="2466">
        <v>258419</v>
      </c>
      <c r="BK303" s="530"/>
      <c r="BV303" s="3082" t="str">
        <f t="shared" si="5"/>
        <v/>
      </c>
      <c r="CT303" s="531"/>
      <c r="DA303" s="2558"/>
      <c r="EI303" s="2689" t="s">
        <v>10622</v>
      </c>
    </row>
    <row r="304" spans="1:139" ht="72.5">
      <c r="A304" s="532"/>
      <c r="H304" s="3442" t="s">
        <v>3589</v>
      </c>
      <c r="I304" s="3442" t="s">
        <v>2477</v>
      </c>
      <c r="AN304" s="3283" t="s">
        <v>1326</v>
      </c>
      <c r="AO304" s="3283" t="s">
        <v>1326</v>
      </c>
      <c r="AP304" s="3437" t="s">
        <v>1326</v>
      </c>
      <c r="AQ304" s="3283" t="s">
        <v>1326</v>
      </c>
      <c r="AR304" s="101" t="s">
        <v>9169</v>
      </c>
      <c r="BH304" s="2406">
        <v>5017071263</v>
      </c>
      <c r="BI304" s="2409" t="s">
        <v>2743</v>
      </c>
      <c r="BJ304" s="2466">
        <v>379412</v>
      </c>
      <c r="BK304" s="530"/>
      <c r="BV304" s="3082" t="str">
        <f t="shared" si="5"/>
        <v/>
      </c>
      <c r="CT304" s="531"/>
      <c r="DA304" s="2558"/>
      <c r="EI304" s="2689" t="s">
        <v>10623</v>
      </c>
    </row>
    <row r="305" spans="1:139" ht="43.5">
      <c r="A305" s="532"/>
      <c r="H305" s="3442" t="s">
        <v>3590</v>
      </c>
      <c r="I305" s="3442" t="s">
        <v>2477</v>
      </c>
      <c r="AN305" s="3283" t="s">
        <v>1327</v>
      </c>
      <c r="AO305" s="3283" t="s">
        <v>1327</v>
      </c>
      <c r="AP305" s="3437" t="s">
        <v>1327</v>
      </c>
      <c r="AQ305" s="3283" t="s">
        <v>1327</v>
      </c>
      <c r="AR305" s="101" t="s">
        <v>9170</v>
      </c>
      <c r="BH305" s="2408">
        <v>5017095994</v>
      </c>
      <c r="BI305" s="2409" t="s">
        <v>2747</v>
      </c>
      <c r="BJ305" s="2466">
        <v>309726</v>
      </c>
      <c r="BK305" s="530"/>
      <c r="BV305" s="3082" t="str">
        <f t="shared" si="5"/>
        <v/>
      </c>
      <c r="CT305" s="531"/>
      <c r="DA305" s="2558"/>
      <c r="EI305" s="2689" t="s">
        <v>10624</v>
      </c>
    </row>
    <row r="306" spans="1:139" ht="51">
      <c r="A306" s="532"/>
      <c r="H306" s="3442" t="s">
        <v>7139</v>
      </c>
      <c r="I306" s="3518" t="s">
        <v>3285</v>
      </c>
      <c r="AN306" s="3283" t="s">
        <v>1328</v>
      </c>
      <c r="AO306" s="3283" t="s">
        <v>1328</v>
      </c>
      <c r="AP306" s="3437" t="s">
        <v>1328</v>
      </c>
      <c r="AQ306" s="3283" t="s">
        <v>1328</v>
      </c>
      <c r="AR306" s="101" t="s">
        <v>9171</v>
      </c>
      <c r="BH306" s="2406">
        <v>5018120072</v>
      </c>
      <c r="BI306" s="2409" t="s">
        <v>2663</v>
      </c>
      <c r="BJ306" s="2466">
        <v>233041</v>
      </c>
      <c r="BK306" s="530"/>
      <c r="BV306" s="3082" t="str">
        <f t="shared" si="5"/>
        <v/>
      </c>
      <c r="CT306" s="531"/>
      <c r="DA306" s="2558"/>
      <c r="EI306" s="2689" t="s">
        <v>10625</v>
      </c>
    </row>
    <row r="307" spans="1:139" ht="76">
      <c r="A307" s="532"/>
      <c r="H307" s="3442" t="s">
        <v>7140</v>
      </c>
      <c r="I307" s="3518" t="s">
        <v>3285</v>
      </c>
      <c r="AN307" s="3283" t="s">
        <v>6298</v>
      </c>
      <c r="AO307" s="3283" t="s">
        <v>6298</v>
      </c>
      <c r="AP307" s="3437" t="s">
        <v>6298</v>
      </c>
      <c r="AQ307" s="3283" t="s">
        <v>6298</v>
      </c>
      <c r="AR307" s="101" t="s">
        <v>9172</v>
      </c>
      <c r="BH307" s="2405">
        <v>5019021966</v>
      </c>
      <c r="BI307" s="2405" t="s">
        <v>1631</v>
      </c>
      <c r="BJ307" s="2466">
        <v>314</v>
      </c>
      <c r="BK307" s="530"/>
      <c r="BV307" s="3082" t="str">
        <f t="shared" si="5"/>
        <v/>
      </c>
      <c r="CT307" s="531"/>
      <c r="DA307" s="2558"/>
      <c r="EI307" s="2689" t="s">
        <v>10626</v>
      </c>
    </row>
    <row r="308" spans="1:139" ht="74.25" customHeight="1">
      <c r="A308" s="532"/>
      <c r="H308" s="3442" t="s">
        <v>8498</v>
      </c>
      <c r="I308" s="3518" t="s">
        <v>3285</v>
      </c>
      <c r="AN308" s="3283" t="s">
        <v>6839</v>
      </c>
      <c r="AO308" s="3283" t="s">
        <v>6839</v>
      </c>
      <c r="AP308" s="3437" t="s">
        <v>6839</v>
      </c>
      <c r="AQ308" s="3283" t="s">
        <v>6839</v>
      </c>
      <c r="AR308" s="101" t="s">
        <v>9173</v>
      </c>
      <c r="BH308" s="2406">
        <v>5020034631</v>
      </c>
      <c r="BI308" s="2409" t="s">
        <v>157</v>
      </c>
      <c r="BJ308" s="2466">
        <v>124983</v>
      </c>
      <c r="BK308" s="530"/>
      <c r="BV308" s="3082" t="str">
        <f t="shared" si="5"/>
        <v/>
      </c>
      <c r="CT308" s="531"/>
      <c r="DA308" s="2558"/>
      <c r="EI308" s="2689" t="s">
        <v>10627</v>
      </c>
    </row>
    <row r="309" spans="1:139" ht="43.5">
      <c r="A309" s="532"/>
      <c r="H309" s="3442" t="s">
        <v>8531</v>
      </c>
      <c r="I309" s="3442" t="s">
        <v>2477</v>
      </c>
      <c r="AN309" s="3283" t="s">
        <v>6840</v>
      </c>
      <c r="AO309" s="3283" t="s">
        <v>6840</v>
      </c>
      <c r="AP309" s="3437" t="s">
        <v>6840</v>
      </c>
      <c r="AQ309" s="3283" t="s">
        <v>6840</v>
      </c>
      <c r="AR309" s="101" t="s">
        <v>9174</v>
      </c>
      <c r="BH309" s="2406">
        <v>5024000030</v>
      </c>
      <c r="BI309" s="2409" t="s">
        <v>2009</v>
      </c>
      <c r="BJ309" s="2466">
        <v>125006</v>
      </c>
      <c r="BK309" s="530"/>
      <c r="BV309" s="3082" t="str">
        <f t="shared" si="5"/>
        <v/>
      </c>
      <c r="CT309" s="531"/>
      <c r="DA309" s="2558"/>
      <c r="EI309" s="2689" t="s">
        <v>10628</v>
      </c>
    </row>
    <row r="310" spans="1:139" ht="58">
      <c r="A310" s="532"/>
      <c r="H310" s="3442" t="s">
        <v>8532</v>
      </c>
      <c r="I310" s="3518" t="s">
        <v>3285</v>
      </c>
      <c r="AN310" s="3283" t="s">
        <v>4445</v>
      </c>
      <c r="AO310" s="3283" t="s">
        <v>4445</v>
      </c>
      <c r="AP310" s="3437" t="s">
        <v>4445</v>
      </c>
      <c r="AQ310" s="3283" t="s">
        <v>4445</v>
      </c>
      <c r="AR310" s="101" t="s">
        <v>9175</v>
      </c>
      <c r="BH310" s="2406">
        <v>5024002119</v>
      </c>
      <c r="BI310" s="2409" t="s">
        <v>1999</v>
      </c>
      <c r="BJ310" s="2466">
        <v>275741</v>
      </c>
      <c r="BK310" s="530"/>
      <c r="BV310" s="3082" t="str">
        <f t="shared" si="5"/>
        <v/>
      </c>
      <c r="CT310" s="531"/>
      <c r="DA310" s="2558"/>
      <c r="EI310" s="2689" t="s">
        <v>10629</v>
      </c>
    </row>
    <row r="311" spans="1:139" ht="51">
      <c r="A311" s="532"/>
      <c r="H311" s="3442" t="s">
        <v>10235</v>
      </c>
      <c r="I311" s="3518" t="s">
        <v>3285</v>
      </c>
      <c r="AN311" s="3283" t="s">
        <v>6841</v>
      </c>
      <c r="AO311" s="3283" t="s">
        <v>6841</v>
      </c>
      <c r="AP311" s="3437" t="s">
        <v>6841</v>
      </c>
      <c r="AQ311" s="3283" t="s">
        <v>6841</v>
      </c>
      <c r="AR311" s="101" t="s">
        <v>9176</v>
      </c>
      <c r="BH311" s="2406">
        <v>5024058560</v>
      </c>
      <c r="BI311" s="2409" t="s">
        <v>1996</v>
      </c>
      <c r="BJ311" s="2466">
        <v>102874</v>
      </c>
      <c r="BK311" s="530"/>
      <c r="BV311" s="3082" t="str">
        <f t="shared" si="5"/>
        <v/>
      </c>
      <c r="CT311" s="531"/>
      <c r="DA311" s="2558"/>
      <c r="EI311" s="2689" t="s">
        <v>10630</v>
      </c>
    </row>
    <row r="312" spans="1:139" ht="51">
      <c r="A312" s="532"/>
      <c r="H312" s="3442" t="s">
        <v>10236</v>
      </c>
      <c r="I312" s="3518" t="s">
        <v>3285</v>
      </c>
      <c r="AN312" s="3283" t="s">
        <v>4446</v>
      </c>
      <c r="AO312" s="3283" t="s">
        <v>4446</v>
      </c>
      <c r="AP312" s="3437" t="s">
        <v>4446</v>
      </c>
      <c r="AQ312" s="3283" t="s">
        <v>4446</v>
      </c>
      <c r="AR312" s="101" t="s">
        <v>9177</v>
      </c>
      <c r="BH312" s="2406">
        <v>5027034655</v>
      </c>
      <c r="BI312" s="2409" t="s">
        <v>1536</v>
      </c>
      <c r="BJ312" s="2466">
        <v>109080</v>
      </c>
      <c r="BK312" s="530"/>
      <c r="BV312" s="3082" t="str">
        <f t="shared" si="5"/>
        <v/>
      </c>
      <c r="CT312" s="531"/>
      <c r="DA312" s="2558"/>
      <c r="EI312" s="2689" t="s">
        <v>10631</v>
      </c>
    </row>
    <row r="313" spans="1:139" ht="29">
      <c r="A313" s="532"/>
      <c r="H313" s="3442" t="s">
        <v>1466</v>
      </c>
      <c r="I313" s="3442" t="s">
        <v>2477</v>
      </c>
      <c r="AN313" s="3283" t="s">
        <v>4447</v>
      </c>
      <c r="AO313" s="3283" t="s">
        <v>4447</v>
      </c>
      <c r="AP313" s="3437" t="s">
        <v>4447</v>
      </c>
      <c r="AQ313" s="3283" t="s">
        <v>4447</v>
      </c>
      <c r="AR313" s="101" t="s">
        <v>9178</v>
      </c>
      <c r="BH313" s="2406">
        <v>5027084046</v>
      </c>
      <c r="BI313" s="2409" t="s">
        <v>5055</v>
      </c>
      <c r="BJ313" s="2466">
        <v>203372</v>
      </c>
      <c r="BK313" s="530"/>
      <c r="BV313" s="3082" t="str">
        <f t="shared" si="5"/>
        <v/>
      </c>
      <c r="CT313" s="531"/>
      <c r="DA313" s="2558"/>
      <c r="EI313" s="2689" t="s">
        <v>10632</v>
      </c>
    </row>
    <row r="314" spans="1:139" ht="101.5">
      <c r="A314" s="532"/>
      <c r="H314" s="3442" t="s">
        <v>8499</v>
      </c>
      <c r="I314" s="3442" t="s">
        <v>2477</v>
      </c>
      <c r="AN314" s="3283" t="s">
        <v>6299</v>
      </c>
      <c r="AO314" s="3283" t="s">
        <v>6299</v>
      </c>
      <c r="AP314" s="3437" t="s">
        <v>6299</v>
      </c>
      <c r="AQ314" s="3283" t="s">
        <v>6299</v>
      </c>
      <c r="AR314" s="101" t="s">
        <v>9179</v>
      </c>
      <c r="BH314" s="2406" t="s">
        <v>8539</v>
      </c>
      <c r="BI314" s="2409" t="s">
        <v>8540</v>
      </c>
      <c r="BJ314" s="2466">
        <v>134305</v>
      </c>
      <c r="BK314" s="530"/>
      <c r="BV314" s="3082" t="str">
        <f t="shared" si="5"/>
        <v/>
      </c>
      <c r="CT314" s="531"/>
      <c r="DA314" s="2558"/>
      <c r="EI314" s="2689" t="s">
        <v>10633</v>
      </c>
    </row>
    <row r="315" spans="1:139" ht="43.5">
      <c r="A315" s="532"/>
      <c r="H315" s="3442" t="s">
        <v>4493</v>
      </c>
      <c r="I315" s="3139"/>
      <c r="AN315" s="3283" t="s">
        <v>6300</v>
      </c>
      <c r="AO315" s="3283" t="s">
        <v>6300</v>
      </c>
      <c r="AP315" s="3437" t="s">
        <v>6300</v>
      </c>
      <c r="AQ315" s="3283" t="s">
        <v>6300</v>
      </c>
      <c r="AR315" s="101" t="s">
        <v>9180</v>
      </c>
      <c r="BH315" s="2406">
        <v>5027106405</v>
      </c>
      <c r="BI315" s="2409" t="s">
        <v>5051</v>
      </c>
      <c r="BJ315" s="2466">
        <v>100922</v>
      </c>
      <c r="BK315" s="530"/>
      <c r="BV315" s="3082" t="str">
        <f t="shared" si="5"/>
        <v/>
      </c>
      <c r="CT315" s="531"/>
      <c r="DA315" s="2558"/>
      <c r="EI315" s="2689" t="s">
        <v>10634</v>
      </c>
    </row>
    <row r="316" spans="1:139" ht="58">
      <c r="A316" s="532"/>
      <c r="H316" s="3442" t="s">
        <v>8500</v>
      </c>
      <c r="I316" s="3442" t="s">
        <v>2477</v>
      </c>
      <c r="AN316" s="3283" t="s">
        <v>4448</v>
      </c>
      <c r="AO316" s="3283" t="s">
        <v>4448</v>
      </c>
      <c r="AP316" s="3437" t="s">
        <v>4448</v>
      </c>
      <c r="AQ316" s="3283" t="s">
        <v>4448</v>
      </c>
      <c r="AR316" s="101" t="s">
        <v>9181</v>
      </c>
      <c r="BH316" s="2406">
        <v>5027148701</v>
      </c>
      <c r="BI316" s="2409" t="s">
        <v>2691</v>
      </c>
      <c r="BJ316" s="2466">
        <v>413777</v>
      </c>
      <c r="BK316" s="530"/>
      <c r="BV316" s="3082" t="str">
        <f t="shared" si="5"/>
        <v/>
      </c>
      <c r="CT316" s="531"/>
      <c r="DA316" s="2558"/>
      <c r="EI316" s="2689" t="s">
        <v>10635</v>
      </c>
    </row>
    <row r="317" spans="1:139" ht="58">
      <c r="A317" s="532"/>
      <c r="H317" s="3442" t="s">
        <v>8501</v>
      </c>
      <c r="I317" s="3442" t="s">
        <v>2477</v>
      </c>
      <c r="AN317" s="3283" t="s">
        <v>4449</v>
      </c>
      <c r="AO317" s="3283" t="s">
        <v>4449</v>
      </c>
      <c r="AP317" s="3437" t="s">
        <v>4449</v>
      </c>
      <c r="AQ317" s="3283" t="s">
        <v>4449</v>
      </c>
      <c r="AR317" s="101" t="s">
        <v>9182</v>
      </c>
      <c r="BH317" s="2406">
        <v>5029036866</v>
      </c>
      <c r="BI317" s="2409" t="s">
        <v>2005</v>
      </c>
      <c r="BJ317" s="2466">
        <v>222894</v>
      </c>
      <c r="BK317" s="530"/>
      <c r="BV317" s="3082" t="str">
        <f t="shared" si="5"/>
        <v/>
      </c>
      <c r="CT317" s="531"/>
      <c r="DA317" s="2558"/>
      <c r="EI317" s="2689" t="s">
        <v>10636</v>
      </c>
    </row>
    <row r="318" spans="1:139" ht="72.5">
      <c r="A318" s="532"/>
      <c r="H318" s="3442" t="s">
        <v>4817</v>
      </c>
      <c r="I318" s="3442" t="s">
        <v>2477</v>
      </c>
      <c r="AN318" s="3283" t="s">
        <v>4450</v>
      </c>
      <c r="AO318" s="3283" t="s">
        <v>4450</v>
      </c>
      <c r="AP318" s="3437" t="s">
        <v>4450</v>
      </c>
      <c r="AQ318" s="3283" t="s">
        <v>4450</v>
      </c>
      <c r="AR318" s="101" t="s">
        <v>9183</v>
      </c>
      <c r="BH318" s="2406">
        <v>5029081629</v>
      </c>
      <c r="BI318" s="2409" t="s">
        <v>2020</v>
      </c>
      <c r="BJ318" s="2466">
        <v>102832</v>
      </c>
      <c r="BK318" s="530"/>
      <c r="BV318" s="3082" t="str">
        <f t="shared" si="5"/>
        <v/>
      </c>
      <c r="CT318" s="531"/>
      <c r="DA318" s="2558"/>
      <c r="EI318" s="2689" t="s">
        <v>10637</v>
      </c>
    </row>
    <row r="319" spans="1:139" ht="38.5">
      <c r="A319" s="532"/>
      <c r="H319" s="3442" t="s">
        <v>1467</v>
      </c>
      <c r="I319" s="3442" t="s">
        <v>2477</v>
      </c>
      <c r="AN319" s="3283" t="s">
        <v>4451</v>
      </c>
      <c r="AO319" s="3283" t="s">
        <v>4451</v>
      </c>
      <c r="AP319" s="3437" t="s">
        <v>4451</v>
      </c>
      <c r="AQ319" s="3283" t="s">
        <v>4451</v>
      </c>
      <c r="AR319" s="101" t="s">
        <v>9184</v>
      </c>
      <c r="BH319" s="2406">
        <v>5029101963</v>
      </c>
      <c r="BI319" s="2409" t="s">
        <v>2042</v>
      </c>
      <c r="BJ319" s="2466">
        <v>203161</v>
      </c>
      <c r="BK319" s="530"/>
      <c r="BV319" s="3082" t="str">
        <f t="shared" si="5"/>
        <v/>
      </c>
      <c r="CT319" s="531"/>
      <c r="DA319" s="2558"/>
      <c r="EI319" s="2689" t="s">
        <v>10638</v>
      </c>
    </row>
    <row r="320" spans="1:139" ht="38.5">
      <c r="A320" s="532"/>
      <c r="H320" s="3442" t="s">
        <v>4495</v>
      </c>
      <c r="I320" s="3442" t="s">
        <v>2477</v>
      </c>
      <c r="AN320" s="3283" t="s">
        <v>5846</v>
      </c>
      <c r="AO320" s="3283" t="s">
        <v>5846</v>
      </c>
      <c r="AP320" s="3437" t="s">
        <v>5846</v>
      </c>
      <c r="AQ320" s="3283" t="s">
        <v>5846</v>
      </c>
      <c r="AR320" s="101" t="s">
        <v>9185</v>
      </c>
      <c r="BH320" s="2406">
        <v>5030053538</v>
      </c>
      <c r="BI320" s="2409" t="s">
        <v>2697</v>
      </c>
      <c r="BJ320" s="2466">
        <v>242415</v>
      </c>
      <c r="BK320" s="530"/>
      <c r="BV320" s="3082" t="str">
        <f t="shared" si="5"/>
        <v/>
      </c>
      <c r="CT320" s="531"/>
      <c r="DA320" s="2558"/>
      <c r="EI320" s="2689" t="s">
        <v>10639</v>
      </c>
    </row>
    <row r="321" spans="1:139" ht="63.5">
      <c r="A321" s="532"/>
      <c r="H321" s="3442" t="s">
        <v>4497</v>
      </c>
      <c r="I321" s="3442" t="s">
        <v>2477</v>
      </c>
      <c r="AN321" s="3283" t="s">
        <v>5847</v>
      </c>
      <c r="AO321" s="3283" t="s">
        <v>5847</v>
      </c>
      <c r="AP321" s="3437" t="s">
        <v>5847</v>
      </c>
      <c r="AQ321" s="3283" t="s">
        <v>5847</v>
      </c>
      <c r="AR321" s="101" t="s">
        <v>9186</v>
      </c>
      <c r="BH321" s="2406">
        <v>5031005368</v>
      </c>
      <c r="BI321" s="2409" t="s">
        <v>2044</v>
      </c>
      <c r="BJ321" s="2466">
        <v>117177</v>
      </c>
      <c r="BK321" s="530"/>
      <c r="BV321" s="3082" t="str">
        <f t="shared" si="5"/>
        <v/>
      </c>
      <c r="CT321" s="531"/>
      <c r="DA321" s="2558"/>
      <c r="EI321" s="2689" t="s">
        <v>10640</v>
      </c>
    </row>
    <row r="322" spans="1:139" ht="38.5">
      <c r="A322" s="532"/>
      <c r="H322" s="3442" t="s">
        <v>4499</v>
      </c>
      <c r="I322" s="3442" t="s">
        <v>3285</v>
      </c>
      <c r="AN322" s="3283" t="s">
        <v>5848</v>
      </c>
      <c r="AO322" s="3283" t="s">
        <v>5848</v>
      </c>
      <c r="AP322" s="3437" t="s">
        <v>5848</v>
      </c>
      <c r="AQ322" s="3283" t="s">
        <v>5848</v>
      </c>
      <c r="AR322" s="101" t="s">
        <v>9187</v>
      </c>
      <c r="BH322" s="2406">
        <v>5031007340</v>
      </c>
      <c r="BI322" s="2409" t="s">
        <v>5046</v>
      </c>
      <c r="BJ322" s="2466">
        <v>115987</v>
      </c>
      <c r="BK322" s="530"/>
      <c r="BV322" s="3082" t="str">
        <f t="shared" si="5"/>
        <v/>
      </c>
      <c r="CT322" s="531"/>
      <c r="DA322" s="2558"/>
      <c r="EI322" s="2689" t="s">
        <v>10641</v>
      </c>
    </row>
    <row r="323" spans="1:139" ht="43.5">
      <c r="A323" s="532"/>
      <c r="H323" s="3442" t="s">
        <v>1468</v>
      </c>
      <c r="I323" s="3442" t="s">
        <v>2477</v>
      </c>
      <c r="AN323" s="3283" t="s">
        <v>5849</v>
      </c>
      <c r="AO323" s="3283" t="s">
        <v>5849</v>
      </c>
      <c r="AP323" s="3437" t="s">
        <v>5849</v>
      </c>
      <c r="AQ323" s="3283" t="s">
        <v>5849</v>
      </c>
      <c r="AR323" s="101" t="s">
        <v>9188</v>
      </c>
      <c r="BH323" s="2405">
        <v>5031009115</v>
      </c>
      <c r="BI323" s="2405" t="s">
        <v>3919</v>
      </c>
      <c r="BJ323" s="2466">
        <v>47</v>
      </c>
      <c r="BK323" s="530"/>
      <c r="BV323" s="3082" t="str">
        <f t="shared" si="5"/>
        <v/>
      </c>
      <c r="CT323" s="531"/>
      <c r="DA323" s="2558"/>
      <c r="EI323" s="2689" t="s">
        <v>10642</v>
      </c>
    </row>
    <row r="324" spans="1:139" ht="43.5">
      <c r="A324" s="532"/>
      <c r="H324" s="3442" t="s">
        <v>4502</v>
      </c>
      <c r="I324" s="3442" t="s">
        <v>2477</v>
      </c>
      <c r="AN324" s="3283" t="s">
        <v>4452</v>
      </c>
      <c r="AO324" s="3283" t="s">
        <v>4452</v>
      </c>
      <c r="AP324" s="3437" t="s">
        <v>4452</v>
      </c>
      <c r="AQ324" s="3283" t="s">
        <v>4452</v>
      </c>
      <c r="AR324" s="101" t="s">
        <v>9189</v>
      </c>
      <c r="BH324" s="2406">
        <v>5032000203</v>
      </c>
      <c r="BI324" s="2409" t="s">
        <v>1994</v>
      </c>
      <c r="BJ324" s="2466">
        <v>222117</v>
      </c>
      <c r="BK324" s="530"/>
      <c r="BV324" s="3082" t="str">
        <f t="shared" si="5"/>
        <v/>
      </c>
      <c r="CT324" s="531"/>
      <c r="DA324" s="2558"/>
      <c r="EI324" s="2689" t="s">
        <v>10643</v>
      </c>
    </row>
    <row r="325" spans="1:139" ht="51">
      <c r="A325" s="532"/>
      <c r="H325" s="3442" t="s">
        <v>3592</v>
      </c>
      <c r="I325" s="3442" t="s">
        <v>2477</v>
      </c>
      <c r="AN325" s="3283" t="s">
        <v>4453</v>
      </c>
      <c r="AO325" s="3283" t="s">
        <v>4453</v>
      </c>
      <c r="AP325" s="3437" t="s">
        <v>4453</v>
      </c>
      <c r="AQ325" s="3283" t="s">
        <v>4453</v>
      </c>
      <c r="AR325" s="101" t="s">
        <v>9190</v>
      </c>
      <c r="BH325" s="2406">
        <v>5032229441</v>
      </c>
      <c r="BI325" s="2409" t="s">
        <v>2730</v>
      </c>
      <c r="BJ325" s="2466">
        <v>206624</v>
      </c>
      <c r="BK325" s="530"/>
      <c r="BV325" s="3082" t="str">
        <f t="shared" si="5"/>
        <v/>
      </c>
      <c r="CT325" s="531"/>
      <c r="DA325" s="2558"/>
      <c r="EI325" s="2689" t="s">
        <v>10644</v>
      </c>
    </row>
    <row r="326" spans="1:139" ht="43.5">
      <c r="A326" s="532"/>
      <c r="H326" s="3442" t="s">
        <v>3594</v>
      </c>
      <c r="I326" s="3442" t="s">
        <v>2477</v>
      </c>
      <c r="AN326" s="3283" t="s">
        <v>4454</v>
      </c>
      <c r="AO326" s="3283" t="s">
        <v>4454</v>
      </c>
      <c r="AP326" s="3437" t="s">
        <v>4454</v>
      </c>
      <c r="AQ326" s="3283" t="s">
        <v>4454</v>
      </c>
      <c r="AR326" s="101" t="s">
        <v>9191</v>
      </c>
      <c r="BH326" s="2406">
        <v>5032241671</v>
      </c>
      <c r="BI326" s="2409" t="s">
        <v>2747</v>
      </c>
      <c r="BJ326" s="2466">
        <v>175578</v>
      </c>
      <c r="BK326" s="530"/>
      <c r="BU326" s="2349"/>
      <c r="BV326" s="3082" t="str">
        <f t="shared" si="5"/>
        <v/>
      </c>
      <c r="CT326" s="531"/>
      <c r="DA326" s="2558"/>
      <c r="EI326" s="2689" t="s">
        <v>10645</v>
      </c>
    </row>
    <row r="327" spans="1:139" ht="38.5">
      <c r="A327" s="532"/>
      <c r="H327" s="3442" t="s">
        <v>4818</v>
      </c>
      <c r="I327" s="3442" t="s">
        <v>2477</v>
      </c>
      <c r="AN327" s="3283" t="s">
        <v>4455</v>
      </c>
      <c r="AO327" s="3283" t="s">
        <v>4455</v>
      </c>
      <c r="AP327" s="3437" t="s">
        <v>4455</v>
      </c>
      <c r="AQ327" s="3283" t="s">
        <v>4455</v>
      </c>
      <c r="AR327" s="101" t="s">
        <v>9192</v>
      </c>
      <c r="BH327" s="2406">
        <v>5035022734</v>
      </c>
      <c r="BI327" s="2409" t="s">
        <v>965</v>
      </c>
      <c r="BJ327" s="2466">
        <v>199</v>
      </c>
      <c r="BK327" s="530"/>
      <c r="BU327" s="2349"/>
      <c r="BV327" s="3082" t="str">
        <f t="shared" si="5"/>
        <v/>
      </c>
      <c r="CT327" s="531"/>
      <c r="DA327" s="2558"/>
      <c r="EI327" s="2689" t="s">
        <v>10646</v>
      </c>
    </row>
    <row r="328" spans="1:139" ht="29">
      <c r="A328" s="532"/>
      <c r="H328" s="3442" t="s">
        <v>4819</v>
      </c>
      <c r="I328" s="3442" t="s">
        <v>2477</v>
      </c>
      <c r="AN328" s="3283" t="s">
        <v>5850</v>
      </c>
      <c r="AO328" s="3283" t="s">
        <v>5850</v>
      </c>
      <c r="AP328" s="3437" t="s">
        <v>5850</v>
      </c>
      <c r="AQ328" s="3283" t="s">
        <v>5850</v>
      </c>
      <c r="AR328" s="101" t="s">
        <v>9193</v>
      </c>
      <c r="BH328" s="2406">
        <v>5036000589</v>
      </c>
      <c r="BI328" s="2409" t="s">
        <v>1937</v>
      </c>
      <c r="BJ328" s="2466">
        <v>241035</v>
      </c>
      <c r="BK328" s="530"/>
      <c r="BU328" s="2349"/>
      <c r="BV328" s="3082" t="str">
        <f t="shared" si="5"/>
        <v/>
      </c>
      <c r="CT328" s="531"/>
      <c r="DA328" s="2558"/>
      <c r="EI328" s="2689" t="s">
        <v>10647</v>
      </c>
    </row>
    <row r="329" spans="1:139" ht="101.5">
      <c r="A329" s="532"/>
      <c r="H329" s="3442" t="s">
        <v>7682</v>
      </c>
      <c r="I329" s="3442" t="s">
        <v>2477</v>
      </c>
      <c r="AN329" s="3283" t="s">
        <v>5851</v>
      </c>
      <c r="AO329" s="3283" t="s">
        <v>5851</v>
      </c>
      <c r="AP329" s="3437" t="s">
        <v>5851</v>
      </c>
      <c r="AQ329" s="3283" t="s">
        <v>5851</v>
      </c>
      <c r="AR329" s="101" t="s">
        <v>9194</v>
      </c>
      <c r="BH329" s="2406">
        <v>5036002427</v>
      </c>
      <c r="BI329" s="2409" t="s">
        <v>2328</v>
      </c>
      <c r="BJ329" s="2466">
        <v>173007</v>
      </c>
      <c r="BK329" s="530"/>
      <c r="BU329" s="2349"/>
      <c r="BV329" s="3082" t="str">
        <f t="shared" si="5"/>
        <v/>
      </c>
      <c r="CT329" s="531"/>
      <c r="DA329" s="2558"/>
      <c r="EI329" s="2689" t="s">
        <v>10648</v>
      </c>
    </row>
    <row r="330" spans="1:139" ht="58">
      <c r="A330" s="532"/>
      <c r="H330" s="3442" t="s">
        <v>4820</v>
      </c>
      <c r="I330" s="3442" t="s">
        <v>2477</v>
      </c>
      <c r="AN330" s="3283" t="s">
        <v>5852</v>
      </c>
      <c r="AO330" s="3283" t="s">
        <v>5852</v>
      </c>
      <c r="AP330" s="3437" t="s">
        <v>5852</v>
      </c>
      <c r="AQ330" s="3283" t="s">
        <v>5852</v>
      </c>
      <c r="AR330" s="101" t="s">
        <v>9195</v>
      </c>
      <c r="BH330" s="2406">
        <v>5036007954</v>
      </c>
      <c r="BI330" s="2409" t="s">
        <v>1896</v>
      </c>
      <c r="BJ330" s="2466">
        <v>247303</v>
      </c>
      <c r="BK330" s="530"/>
      <c r="BV330" s="3082" t="str">
        <f t="shared" si="5"/>
        <v/>
      </c>
      <c r="CT330" s="531"/>
      <c r="DA330" s="2558"/>
      <c r="EI330" s="2689" t="s">
        <v>10649</v>
      </c>
    </row>
    <row r="331" spans="1:139" ht="29">
      <c r="A331" s="532"/>
      <c r="H331" s="3442" t="s">
        <v>3598</v>
      </c>
      <c r="I331" s="3442" t="s">
        <v>2477</v>
      </c>
      <c r="AN331" s="3283" t="s">
        <v>5853</v>
      </c>
      <c r="AO331" s="3283" t="s">
        <v>5853</v>
      </c>
      <c r="AP331" s="3437" t="s">
        <v>5853</v>
      </c>
      <c r="AQ331" s="3283" t="s">
        <v>5853</v>
      </c>
      <c r="AR331" s="101" t="s">
        <v>9852</v>
      </c>
      <c r="BH331" s="2406">
        <v>5036008490</v>
      </c>
      <c r="BI331" s="2409" t="s">
        <v>1902</v>
      </c>
      <c r="BJ331" s="2466">
        <v>228626</v>
      </c>
      <c r="BK331" s="530"/>
      <c r="BV331" s="3082" t="str">
        <f t="shared" si="5"/>
        <v/>
      </c>
      <c r="CT331" s="531"/>
      <c r="DA331" s="2558"/>
      <c r="EI331" s="2689" t="s">
        <v>10650</v>
      </c>
    </row>
    <row r="332" spans="1:139" ht="38.5">
      <c r="A332" s="532"/>
      <c r="H332" s="3442" t="s">
        <v>3600</v>
      </c>
      <c r="I332" s="3442" t="s">
        <v>2477</v>
      </c>
      <c r="AN332" s="3283" t="s">
        <v>4456</v>
      </c>
      <c r="AO332" s="3283" t="s">
        <v>4456</v>
      </c>
      <c r="AP332" s="3437" t="s">
        <v>4456</v>
      </c>
      <c r="AQ332" s="3283" t="s">
        <v>4456</v>
      </c>
      <c r="AR332" s="101" t="s">
        <v>9196</v>
      </c>
      <c r="BH332" s="2406">
        <v>5036008524</v>
      </c>
      <c r="BI332" s="2409" t="s">
        <v>3566</v>
      </c>
      <c r="BJ332" s="2466">
        <v>295798</v>
      </c>
      <c r="BK332" s="530"/>
      <c r="BV332" s="3082" t="str">
        <f t="shared" si="5"/>
        <v/>
      </c>
      <c r="CT332" s="531"/>
      <c r="DA332" s="2558"/>
      <c r="EI332" s="2689" t="s">
        <v>10651</v>
      </c>
    </row>
    <row r="333" spans="1:139" ht="87">
      <c r="A333" s="532"/>
      <c r="H333" s="3442" t="s">
        <v>3601</v>
      </c>
      <c r="I333" s="3442" t="s">
        <v>2477</v>
      </c>
      <c r="AN333" s="3283" t="s">
        <v>4457</v>
      </c>
      <c r="AO333" s="3283" t="s">
        <v>4457</v>
      </c>
      <c r="AP333" s="3437" t="s">
        <v>4457</v>
      </c>
      <c r="AQ333" s="3283" t="s">
        <v>4457</v>
      </c>
      <c r="AR333" s="101" t="s">
        <v>9197</v>
      </c>
      <c r="BH333" s="2406">
        <v>5036010280</v>
      </c>
      <c r="BI333" s="2409" t="s">
        <v>1998</v>
      </c>
      <c r="BJ333" s="2466">
        <v>327169</v>
      </c>
      <c r="BK333" s="530"/>
      <c r="BV333" s="3082" t="str">
        <f t="shared" si="5"/>
        <v/>
      </c>
      <c r="CT333" s="531"/>
      <c r="DA333" s="2558"/>
      <c r="EI333" s="2689" t="s">
        <v>10652</v>
      </c>
    </row>
    <row r="334" spans="1:139" ht="29">
      <c r="A334" s="532"/>
      <c r="H334" s="3442" t="s">
        <v>4839</v>
      </c>
      <c r="I334" s="3442" t="s">
        <v>2477</v>
      </c>
      <c r="AN334" s="3283" t="s">
        <v>4458</v>
      </c>
      <c r="AO334" s="3283" t="s">
        <v>4458</v>
      </c>
      <c r="AP334" s="3437" t="s">
        <v>4458</v>
      </c>
      <c r="AQ334" s="3283" t="s">
        <v>4458</v>
      </c>
      <c r="AR334" s="101" t="s">
        <v>9198</v>
      </c>
      <c r="BH334" s="2406">
        <v>5036010996</v>
      </c>
      <c r="BI334" s="2409" t="s">
        <v>1997</v>
      </c>
      <c r="BJ334" s="2466">
        <v>149713</v>
      </c>
      <c r="BK334" s="530"/>
      <c r="BV334" s="3082" t="str">
        <f t="shared" si="5"/>
        <v/>
      </c>
      <c r="CT334" s="531"/>
      <c r="DA334" s="2558"/>
      <c r="EI334" s="2689" t="s">
        <v>10653</v>
      </c>
    </row>
    <row r="335" spans="1:139" ht="25.5" customHeight="1">
      <c r="A335" s="532"/>
      <c r="H335" s="3442" t="s">
        <v>3604</v>
      </c>
      <c r="I335" s="3442" t="s">
        <v>2477</v>
      </c>
      <c r="AN335" s="3283" t="s">
        <v>4459</v>
      </c>
      <c r="AO335" s="3283" t="s">
        <v>4459</v>
      </c>
      <c r="AP335" s="3437" t="s">
        <v>4459</v>
      </c>
      <c r="AQ335" s="3283" t="s">
        <v>4459</v>
      </c>
      <c r="AR335" s="101" t="s">
        <v>9199</v>
      </c>
      <c r="BH335" s="2406">
        <v>5036028023</v>
      </c>
      <c r="BI335" s="2409" t="s">
        <v>3286</v>
      </c>
      <c r="BJ335" s="2466">
        <v>222415</v>
      </c>
      <c r="BK335" s="530"/>
      <c r="BV335" s="3082" t="str">
        <f t="shared" si="5"/>
        <v/>
      </c>
      <c r="CT335" s="531"/>
      <c r="DA335" s="2558"/>
      <c r="EI335" s="2689" t="s">
        <v>10654</v>
      </c>
    </row>
    <row r="336" spans="1:139" ht="43.5">
      <c r="A336" s="532"/>
      <c r="H336" s="3442" t="s">
        <v>1418</v>
      </c>
      <c r="I336" s="3442" t="s">
        <v>3290</v>
      </c>
      <c r="AN336" s="3283" t="s">
        <v>4460</v>
      </c>
      <c r="AO336" s="3283" t="s">
        <v>4460</v>
      </c>
      <c r="AP336" s="3437" t="s">
        <v>4460</v>
      </c>
      <c r="AQ336" s="3283" t="s">
        <v>4460</v>
      </c>
      <c r="AR336" s="101" t="s">
        <v>9200</v>
      </c>
      <c r="BH336" s="2406">
        <v>5036029203</v>
      </c>
      <c r="BI336" s="2409" t="s">
        <v>1898</v>
      </c>
      <c r="BJ336" s="2466">
        <v>220086</v>
      </c>
      <c r="BK336" s="530"/>
      <c r="BV336" s="3082" t="str">
        <f t="shared" si="5"/>
        <v/>
      </c>
      <c r="CT336" s="531"/>
      <c r="DA336" s="2558"/>
      <c r="EI336" s="2689" t="s">
        <v>10655</v>
      </c>
    </row>
    <row r="337" spans="1:143" ht="51">
      <c r="A337" s="532"/>
      <c r="H337" s="3442" t="s">
        <v>1419</v>
      </c>
      <c r="I337" s="3442" t="s">
        <v>3290</v>
      </c>
      <c r="AN337" s="3283" t="s">
        <v>4461</v>
      </c>
      <c r="AO337" s="3283" t="s">
        <v>4461</v>
      </c>
      <c r="AP337" s="3437" t="s">
        <v>4461</v>
      </c>
      <c r="AQ337" s="3283" t="s">
        <v>4461</v>
      </c>
      <c r="AR337" s="101" t="s">
        <v>9201</v>
      </c>
      <c r="BH337" s="2406">
        <v>5036032044</v>
      </c>
      <c r="BI337" s="2409" t="s">
        <v>1954</v>
      </c>
      <c r="BJ337" s="2466">
        <v>233778</v>
      </c>
      <c r="BK337" s="530"/>
      <c r="BV337" s="3082" t="str">
        <f t="shared" si="5"/>
        <v/>
      </c>
      <c r="CT337" s="531"/>
      <c r="DA337" s="2558"/>
      <c r="EI337" s="2689" t="s">
        <v>10656</v>
      </c>
    </row>
    <row r="338" spans="1:143" ht="43.5">
      <c r="A338" s="532"/>
      <c r="H338" s="3442" t="s">
        <v>1420</v>
      </c>
      <c r="I338" s="3442" t="s">
        <v>3290</v>
      </c>
      <c r="AN338" s="3283" t="s">
        <v>7107</v>
      </c>
      <c r="AO338" s="3283" t="s">
        <v>7107</v>
      </c>
      <c r="AP338" s="3437" t="s">
        <v>7107</v>
      </c>
      <c r="AQ338" s="3283" t="s">
        <v>7107</v>
      </c>
      <c r="AR338" s="101" t="s">
        <v>9202</v>
      </c>
      <c r="BH338" s="2406">
        <v>5036032654</v>
      </c>
      <c r="BI338" s="2409" t="s">
        <v>1270</v>
      </c>
      <c r="BJ338" s="2466">
        <v>277013</v>
      </c>
      <c r="BK338" s="530"/>
      <c r="BV338" s="3082" t="str">
        <f t="shared" si="5"/>
        <v/>
      </c>
      <c r="CT338" s="531"/>
      <c r="DA338" s="2558"/>
      <c r="EI338" s="2689" t="s">
        <v>10657</v>
      </c>
    </row>
    <row r="339" spans="1:143" ht="43.5">
      <c r="A339" s="532"/>
      <c r="H339" s="3442" t="s">
        <v>1421</v>
      </c>
      <c r="I339" s="3442" t="s">
        <v>3290</v>
      </c>
      <c r="AN339" s="3283" t="s">
        <v>6894</v>
      </c>
      <c r="AO339" s="3283" t="s">
        <v>6894</v>
      </c>
      <c r="AP339" s="3437" t="s">
        <v>6894</v>
      </c>
      <c r="AQ339" s="3283" t="s">
        <v>6894</v>
      </c>
      <c r="AR339" s="101" t="s">
        <v>9203</v>
      </c>
      <c r="BH339" s="2406">
        <v>5036035447</v>
      </c>
      <c r="BI339" s="2409" t="s">
        <v>204</v>
      </c>
      <c r="BJ339" s="2466">
        <v>149639</v>
      </c>
      <c r="BK339" s="530"/>
      <c r="BV339" s="3082" t="str">
        <f t="shared" si="5"/>
        <v/>
      </c>
      <c r="CE339" s="2349"/>
      <c r="CF339" s="2349"/>
      <c r="CG339" s="2349"/>
      <c r="CT339" s="531"/>
      <c r="DA339" s="2558"/>
      <c r="EI339" s="2689" t="s">
        <v>10658</v>
      </c>
    </row>
    <row r="340" spans="1:143" ht="43.5">
      <c r="A340" s="532"/>
      <c r="H340" s="3442" t="s">
        <v>1422</v>
      </c>
      <c r="I340" s="3442" t="s">
        <v>3290</v>
      </c>
      <c r="AN340" s="3283" t="s">
        <v>7108</v>
      </c>
      <c r="AO340" s="3283" t="s">
        <v>7108</v>
      </c>
      <c r="AP340" s="3437" t="s">
        <v>7108</v>
      </c>
      <c r="AQ340" s="3283" t="s">
        <v>7108</v>
      </c>
      <c r="AR340" s="101" t="s">
        <v>9204</v>
      </c>
      <c r="BH340" s="2406">
        <v>5036048728</v>
      </c>
      <c r="BI340" s="2409" t="s">
        <v>168</v>
      </c>
      <c r="BJ340" s="2466">
        <v>208790</v>
      </c>
      <c r="BK340" s="530"/>
      <c r="BV340" s="3082" t="str">
        <f t="shared" si="5"/>
        <v/>
      </c>
      <c r="CE340" s="2349"/>
      <c r="CF340" s="2349"/>
      <c r="CG340" s="2349"/>
      <c r="CT340" s="531"/>
      <c r="DA340" s="2558"/>
      <c r="EI340" s="2689" t="s">
        <v>10659</v>
      </c>
    </row>
    <row r="341" spans="1:143" ht="66" customHeight="1">
      <c r="A341" s="532"/>
      <c r="H341" s="3442" t="s">
        <v>10194</v>
      </c>
      <c r="I341" s="3442" t="s">
        <v>3290</v>
      </c>
      <c r="AN341" s="3283" t="s">
        <v>6927</v>
      </c>
      <c r="AO341" s="3283" t="s">
        <v>6927</v>
      </c>
      <c r="AP341" s="3437" t="s">
        <v>6927</v>
      </c>
      <c r="AQ341" s="3283" t="s">
        <v>6927</v>
      </c>
      <c r="AR341" s="101" t="s">
        <v>9205</v>
      </c>
      <c r="BH341" s="2406">
        <v>5036063878</v>
      </c>
      <c r="BI341" s="2409" t="s">
        <v>2371</v>
      </c>
      <c r="BJ341" s="2466">
        <v>317615</v>
      </c>
      <c r="BK341" s="530"/>
      <c r="BV341" s="3082" t="str">
        <f t="shared" si="5"/>
        <v/>
      </c>
      <c r="CE341" s="2349"/>
      <c r="CF341" s="2349"/>
      <c r="CG341" s="2349"/>
      <c r="CT341" s="531"/>
      <c r="DA341" s="2558"/>
      <c r="EI341" s="2689" t="s">
        <v>10660</v>
      </c>
    </row>
    <row r="342" spans="1:143" ht="38.5">
      <c r="A342" s="532"/>
      <c r="H342" s="3442" t="s">
        <v>1423</v>
      </c>
      <c r="I342" s="3442" t="s">
        <v>3290</v>
      </c>
      <c r="AN342" s="3283" t="s">
        <v>7519</v>
      </c>
      <c r="AO342" s="3283" t="s">
        <v>7519</v>
      </c>
      <c r="AP342" s="3437" t="s">
        <v>7519</v>
      </c>
      <c r="AQ342" s="3283" t="s">
        <v>7519</v>
      </c>
      <c r="AR342" s="101" t="s">
        <v>9206</v>
      </c>
      <c r="BH342" s="2406">
        <v>5036063934</v>
      </c>
      <c r="BI342" s="2409" t="s">
        <v>1876</v>
      </c>
      <c r="BJ342" s="2466">
        <v>259598</v>
      </c>
      <c r="BK342" s="530"/>
      <c r="BV342" s="3082" t="str">
        <f t="shared" si="5"/>
        <v/>
      </c>
      <c r="CE342" s="2349"/>
      <c r="CF342" s="2349"/>
      <c r="CG342" s="2349"/>
      <c r="CT342" s="531"/>
      <c r="DA342" s="2558"/>
      <c r="EI342" s="2689" t="s">
        <v>10661</v>
      </c>
    </row>
    <row r="343" spans="1:143" ht="51">
      <c r="A343" s="532"/>
      <c r="H343" s="3442" t="s">
        <v>1424</v>
      </c>
      <c r="I343" s="3442" t="s">
        <v>3290</v>
      </c>
      <c r="AN343" s="3283" t="s">
        <v>4462</v>
      </c>
      <c r="AO343" s="3283" t="s">
        <v>4462</v>
      </c>
      <c r="AP343" s="3437" t="s">
        <v>4462</v>
      </c>
      <c r="AQ343" s="3283" t="s">
        <v>4462</v>
      </c>
      <c r="AR343" s="101" t="s">
        <v>9207</v>
      </c>
      <c r="BH343" s="2408">
        <v>5036083578</v>
      </c>
      <c r="BI343" s="2409" t="s">
        <v>976</v>
      </c>
      <c r="BJ343" s="2466">
        <v>258</v>
      </c>
      <c r="BK343" s="530"/>
      <c r="BV343" s="3082" t="str">
        <f t="shared" si="5"/>
        <v/>
      </c>
      <c r="CT343" s="531"/>
      <c r="DA343" s="2558"/>
      <c r="EI343" s="2689" t="s">
        <v>10662</v>
      </c>
    </row>
    <row r="344" spans="1:143" ht="43.5">
      <c r="A344" s="532"/>
      <c r="H344" s="3442" t="s">
        <v>1425</v>
      </c>
      <c r="I344" s="3442" t="s">
        <v>3290</v>
      </c>
      <c r="AN344" s="3283" t="s">
        <v>4463</v>
      </c>
      <c r="AO344" s="3283" t="s">
        <v>4463</v>
      </c>
      <c r="AP344" s="3437" t="s">
        <v>4463</v>
      </c>
      <c r="AQ344" s="3283" t="s">
        <v>4463</v>
      </c>
      <c r="AR344" s="101" t="s">
        <v>9208</v>
      </c>
      <c r="BH344" s="2406">
        <v>5036088248</v>
      </c>
      <c r="BI344" s="2409" t="s">
        <v>724</v>
      </c>
      <c r="BJ344" s="2466">
        <v>215209</v>
      </c>
      <c r="BK344" s="530"/>
      <c r="BV344" s="3082" t="str">
        <f t="shared" si="5"/>
        <v/>
      </c>
      <c r="CT344" s="531"/>
      <c r="DA344" s="2558"/>
      <c r="DZ344" s="2349"/>
      <c r="EA344" s="2349"/>
      <c r="EI344" s="2689" t="s">
        <v>10663</v>
      </c>
    </row>
    <row r="345" spans="1:143" ht="58">
      <c r="A345" s="532"/>
      <c r="H345" s="3442" t="s">
        <v>1426</v>
      </c>
      <c r="I345" s="3442" t="s">
        <v>3290</v>
      </c>
      <c r="AN345" s="3283" t="s">
        <v>4519</v>
      </c>
      <c r="AO345" s="3283" t="s">
        <v>4519</v>
      </c>
      <c r="AP345" s="3437" t="s">
        <v>4519</v>
      </c>
      <c r="AQ345" s="3283" t="s">
        <v>4519</v>
      </c>
      <c r="AR345" s="101" t="s">
        <v>9209</v>
      </c>
      <c r="BH345" s="2406">
        <v>5036090409</v>
      </c>
      <c r="BI345" s="2409" t="s">
        <v>1390</v>
      </c>
      <c r="BJ345" s="2466">
        <v>276986</v>
      </c>
      <c r="BK345" s="530"/>
      <c r="BV345" s="3082" t="str">
        <f t="shared" si="5"/>
        <v/>
      </c>
      <c r="CT345" s="531"/>
      <c r="DA345" s="2558"/>
      <c r="DZ345" s="2349"/>
      <c r="EA345" s="2349"/>
      <c r="EI345" s="2689" t="s">
        <v>10664</v>
      </c>
      <c r="EM345" s="2349"/>
    </row>
    <row r="346" spans="1:143" ht="51">
      <c r="A346" s="532"/>
      <c r="H346" s="3442" t="s">
        <v>8734</v>
      </c>
      <c r="I346" s="3442" t="s">
        <v>3290</v>
      </c>
      <c r="AN346" s="3283" t="s">
        <v>4464</v>
      </c>
      <c r="AO346" s="3283" t="s">
        <v>4464</v>
      </c>
      <c r="AP346" s="3437" t="s">
        <v>4464</v>
      </c>
      <c r="AQ346" s="3283" t="s">
        <v>4464</v>
      </c>
      <c r="AR346" s="101" t="s">
        <v>9210</v>
      </c>
      <c r="BH346" s="2406">
        <v>5040036718</v>
      </c>
      <c r="BI346" s="2409" t="s">
        <v>2024</v>
      </c>
      <c r="BJ346" s="2466">
        <v>103506</v>
      </c>
      <c r="BK346" s="530"/>
      <c r="BV346" s="3082" t="str">
        <f t="shared" si="5"/>
        <v/>
      </c>
      <c r="CT346" s="531"/>
      <c r="DA346" s="2558"/>
      <c r="DZ346" s="2349"/>
      <c r="EA346" s="2349"/>
      <c r="EI346" s="2689" t="s">
        <v>10665</v>
      </c>
      <c r="EM346" s="2349"/>
    </row>
    <row r="347" spans="1:143" s="2349" customFormat="1" ht="51">
      <c r="A347" s="532"/>
      <c r="B347" s="511"/>
      <c r="C347" s="511"/>
      <c r="D347" s="511"/>
      <c r="E347" s="2091"/>
      <c r="F347" s="2091"/>
      <c r="G347" s="511"/>
      <c r="H347" s="3442" t="s">
        <v>8735</v>
      </c>
      <c r="I347" s="3442" t="s">
        <v>3290</v>
      </c>
      <c r="J347" s="511"/>
      <c r="K347" s="511"/>
      <c r="L347" s="511"/>
      <c r="M347" s="511"/>
      <c r="N347" s="511"/>
      <c r="O347" s="511"/>
      <c r="P347" s="511"/>
      <c r="Q347" s="511"/>
      <c r="R347" s="511"/>
      <c r="S347" s="511"/>
      <c r="T347" s="511"/>
      <c r="U347" s="511"/>
      <c r="V347" s="511"/>
      <c r="W347" s="511"/>
      <c r="X347" s="511"/>
      <c r="Y347" s="511"/>
      <c r="Z347" s="511"/>
      <c r="AA347" s="511"/>
      <c r="AB347" s="511"/>
      <c r="AC347" s="511"/>
      <c r="AD347" s="511"/>
      <c r="AE347" s="2153"/>
      <c r="AF347" s="511"/>
      <c r="AG347" s="511"/>
      <c r="AH347" s="511"/>
      <c r="AI347" s="511"/>
      <c r="AJ347" s="511"/>
      <c r="AK347" s="511"/>
      <c r="AL347" s="511"/>
      <c r="AM347" s="511"/>
      <c r="AN347" s="3283" t="s">
        <v>7134</v>
      </c>
      <c r="AO347" s="3283" t="s">
        <v>7134</v>
      </c>
      <c r="AP347" s="3437" t="s">
        <v>7134</v>
      </c>
      <c r="AQ347" s="3283" t="s">
        <v>7134</v>
      </c>
      <c r="AR347" s="101" t="s">
        <v>9211</v>
      </c>
      <c r="AS347" s="511"/>
      <c r="AT347" s="511"/>
      <c r="AU347" s="2744"/>
      <c r="AV347" s="2744"/>
      <c r="AW347" s="2744"/>
      <c r="AX347" s="2744"/>
      <c r="AY347" s="531"/>
      <c r="AZ347" s="511"/>
      <c r="BA347" s="511"/>
      <c r="BB347" s="511"/>
      <c r="BC347" s="511"/>
      <c r="BD347" s="511"/>
      <c r="BE347" s="511"/>
      <c r="BF347" s="511"/>
      <c r="BG347" s="511"/>
      <c r="BH347" s="2406">
        <v>5042060410</v>
      </c>
      <c r="BI347" s="2409" t="s">
        <v>1265</v>
      </c>
      <c r="BJ347" s="2466">
        <v>98730</v>
      </c>
      <c r="BK347" s="530"/>
      <c r="BO347" s="2535"/>
      <c r="BU347"/>
      <c r="BV347" s="3082" t="str">
        <f t="shared" si="5"/>
        <v/>
      </c>
      <c r="CA347" s="2744"/>
      <c r="CD347" s="101"/>
      <c r="CE347"/>
      <c r="CF347"/>
      <c r="CG347"/>
      <c r="CP347"/>
      <c r="CS347" s="511"/>
      <c r="CT347" s="531"/>
      <c r="CV347"/>
      <c r="CX347" s="166"/>
      <c r="CZ347" s="2321"/>
      <c r="DA347" s="2558"/>
      <c r="DB347" s="2153"/>
      <c r="DC347" s="2535"/>
      <c r="DD347" s="2530"/>
      <c r="DE347" s="2764"/>
      <c r="DF347" s="2764"/>
      <c r="DG347" s="2535"/>
      <c r="DK347"/>
      <c r="DL347"/>
      <c r="DM347"/>
      <c r="DO347"/>
      <c r="DP347"/>
      <c r="DT347"/>
      <c r="DW347"/>
      <c r="DY347"/>
      <c r="EC347" s="101"/>
      <c r="EG347" s="101"/>
      <c r="EI347" s="2689" t="s">
        <v>10666</v>
      </c>
    </row>
    <row r="348" spans="1:143" s="2349" customFormat="1" ht="51">
      <c r="A348" s="532"/>
      <c r="B348" s="511"/>
      <c r="C348" s="511"/>
      <c r="D348" s="511"/>
      <c r="E348" s="2091"/>
      <c r="F348" s="2091"/>
      <c r="G348" s="511"/>
      <c r="H348" s="3442" t="s">
        <v>8736</v>
      </c>
      <c r="I348" s="3442" t="s">
        <v>3290</v>
      </c>
      <c r="J348" s="511"/>
      <c r="K348" s="511"/>
      <c r="L348" s="511"/>
      <c r="M348" s="511"/>
      <c r="N348" s="511"/>
      <c r="O348" s="511"/>
      <c r="P348" s="511"/>
      <c r="Q348" s="511"/>
      <c r="R348" s="511"/>
      <c r="S348" s="511"/>
      <c r="T348" s="511"/>
      <c r="U348" s="511"/>
      <c r="V348" s="511"/>
      <c r="W348" s="511"/>
      <c r="X348" s="511"/>
      <c r="Y348" s="511"/>
      <c r="Z348" s="511"/>
      <c r="AA348" s="511"/>
      <c r="AB348" s="511"/>
      <c r="AC348" s="511"/>
      <c r="AD348" s="511"/>
      <c r="AE348" s="2153"/>
      <c r="AF348" s="511"/>
      <c r="AG348" s="511"/>
      <c r="AH348" s="511"/>
      <c r="AI348" s="511"/>
      <c r="AJ348" s="511"/>
      <c r="AK348" s="511"/>
      <c r="AL348" s="511"/>
      <c r="AM348" s="511"/>
      <c r="AN348" s="3283" t="s">
        <v>7135</v>
      </c>
      <c r="AO348" s="3283" t="s">
        <v>7135</v>
      </c>
      <c r="AP348" s="3437" t="s">
        <v>7135</v>
      </c>
      <c r="AQ348" s="3283" t="s">
        <v>7135</v>
      </c>
      <c r="AR348" s="101" t="s">
        <v>9212</v>
      </c>
      <c r="AS348" s="511"/>
      <c r="AT348" s="511"/>
      <c r="AU348" s="2744"/>
      <c r="AV348" s="2744"/>
      <c r="AW348" s="2744"/>
      <c r="AX348" s="2744"/>
      <c r="AY348" s="531"/>
      <c r="AZ348" s="511"/>
      <c r="BA348" s="511"/>
      <c r="BB348" s="511"/>
      <c r="BC348" s="511"/>
      <c r="BD348" s="511"/>
      <c r="BE348" s="511"/>
      <c r="BF348" s="511"/>
      <c r="BG348" s="511"/>
      <c r="BH348" s="2406">
        <v>5044000102</v>
      </c>
      <c r="BI348" s="2409" t="s">
        <v>2308</v>
      </c>
      <c r="BJ348" s="2466">
        <v>97537</v>
      </c>
      <c r="BK348" s="530"/>
      <c r="BO348" s="2535"/>
      <c r="BU348"/>
      <c r="BV348" s="3082" t="str">
        <f t="shared" si="5"/>
        <v/>
      </c>
      <c r="CA348" s="2744"/>
      <c r="CD348" s="101"/>
      <c r="CE348"/>
      <c r="CF348"/>
      <c r="CG348"/>
      <c r="CP348"/>
      <c r="CS348" s="511"/>
      <c r="CT348" s="531"/>
      <c r="CV348"/>
      <c r="CX348" s="166"/>
      <c r="CZ348" s="2321"/>
      <c r="DA348" s="2558"/>
      <c r="DB348" s="2153"/>
      <c r="DC348" s="2535"/>
      <c r="DD348" s="2530"/>
      <c r="DE348" s="2764"/>
      <c r="DF348" s="2764"/>
      <c r="DG348" s="2535"/>
      <c r="DK348"/>
      <c r="DL348"/>
      <c r="DM348"/>
      <c r="DT348"/>
      <c r="DW348"/>
      <c r="DZ348"/>
      <c r="EA348"/>
      <c r="EC348" s="101"/>
      <c r="EG348" s="101"/>
      <c r="EI348" s="2689" t="s">
        <v>10667</v>
      </c>
    </row>
    <row r="349" spans="1:143" s="2349" customFormat="1" ht="43.5">
      <c r="A349" s="532"/>
      <c r="B349" s="511"/>
      <c r="C349" s="511"/>
      <c r="D349" s="511"/>
      <c r="E349" s="2091"/>
      <c r="F349" s="2091"/>
      <c r="G349" s="511"/>
      <c r="H349" s="3442" t="s">
        <v>14433</v>
      </c>
      <c r="I349" s="3442" t="s">
        <v>3290</v>
      </c>
      <c r="J349" s="511"/>
      <c r="K349" s="511"/>
      <c r="L349" s="511"/>
      <c r="M349" s="511"/>
      <c r="N349" s="511"/>
      <c r="O349" s="511"/>
      <c r="P349" s="511"/>
      <c r="Q349" s="511"/>
      <c r="R349" s="511"/>
      <c r="S349" s="511"/>
      <c r="T349" s="511"/>
      <c r="U349" s="511"/>
      <c r="V349" s="511"/>
      <c r="W349" s="511"/>
      <c r="X349" s="511"/>
      <c r="Y349" s="511"/>
      <c r="Z349" s="511"/>
      <c r="AA349" s="511"/>
      <c r="AB349" s="511"/>
      <c r="AC349" s="511"/>
      <c r="AD349" s="511"/>
      <c r="AE349" s="2153"/>
      <c r="AF349" s="511"/>
      <c r="AG349" s="511"/>
      <c r="AH349" s="511"/>
      <c r="AI349" s="511"/>
      <c r="AJ349" s="511"/>
      <c r="AK349" s="511"/>
      <c r="AL349" s="511"/>
      <c r="AM349" s="511"/>
      <c r="AN349" s="3283" t="s">
        <v>4520</v>
      </c>
      <c r="AO349" s="3283" t="s">
        <v>4520</v>
      </c>
      <c r="AP349" s="3437" t="s">
        <v>4520</v>
      </c>
      <c r="AQ349" s="3283" t="s">
        <v>4520</v>
      </c>
      <c r="AR349" s="101" t="s">
        <v>9213</v>
      </c>
      <c r="AS349" s="511"/>
      <c r="AT349" s="511"/>
      <c r="AU349" s="2744"/>
      <c r="AV349" s="2744"/>
      <c r="AW349" s="2744"/>
      <c r="AX349" s="2744"/>
      <c r="AY349" s="531"/>
      <c r="AZ349" s="511"/>
      <c r="BA349" s="511"/>
      <c r="BB349" s="511"/>
      <c r="BC349" s="511"/>
      <c r="BD349" s="511"/>
      <c r="BE349" s="511"/>
      <c r="BF349" s="511"/>
      <c r="BG349" s="511"/>
      <c r="BH349" s="2406">
        <v>5044000470</v>
      </c>
      <c r="BI349" s="2409" t="s">
        <v>5060</v>
      </c>
      <c r="BJ349" s="2466">
        <v>99399</v>
      </c>
      <c r="BK349" s="530"/>
      <c r="BO349" s="2535"/>
      <c r="BU349"/>
      <c r="BV349" s="3082" t="str">
        <f t="shared" si="5"/>
        <v/>
      </c>
      <c r="CA349" s="2744"/>
      <c r="CD349" s="101"/>
      <c r="CE349"/>
      <c r="CF349"/>
      <c r="CG349"/>
      <c r="CP349"/>
      <c r="CS349" s="511"/>
      <c r="CT349" s="531"/>
      <c r="CV349"/>
      <c r="CX349" s="166"/>
      <c r="CZ349" s="2321"/>
      <c r="DA349" s="2558"/>
      <c r="DB349" s="2153"/>
      <c r="DC349" s="2535"/>
      <c r="DD349" s="2530"/>
      <c r="DE349" s="2764"/>
      <c r="DF349" s="2764"/>
      <c r="DG349" s="2535"/>
      <c r="DK349"/>
      <c r="DL349"/>
      <c r="DM349"/>
      <c r="DT349"/>
      <c r="DW349"/>
      <c r="DZ349"/>
      <c r="EA349"/>
      <c r="EC349" s="101"/>
      <c r="EG349" s="101"/>
      <c r="EI349" s="2689" t="s">
        <v>10668</v>
      </c>
      <c r="EM349"/>
    </row>
    <row r="350" spans="1:143" s="2349" customFormat="1" ht="101.5">
      <c r="A350" s="532"/>
      <c r="B350" s="511"/>
      <c r="C350" s="511"/>
      <c r="D350" s="511"/>
      <c r="E350" s="2091"/>
      <c r="F350" s="2091"/>
      <c r="G350" s="511"/>
      <c r="H350" s="3442" t="s">
        <v>1427</v>
      </c>
      <c r="I350" s="3442" t="s">
        <v>3290</v>
      </c>
      <c r="J350" s="511"/>
      <c r="K350" s="511"/>
      <c r="L350" s="511"/>
      <c r="M350" s="511"/>
      <c r="N350" s="511"/>
      <c r="O350" s="511"/>
      <c r="P350" s="511"/>
      <c r="Q350" s="511"/>
      <c r="R350" s="511"/>
      <c r="S350" s="511"/>
      <c r="T350" s="511"/>
      <c r="U350" s="511"/>
      <c r="V350" s="511"/>
      <c r="W350" s="511"/>
      <c r="X350" s="511"/>
      <c r="Y350" s="511"/>
      <c r="Z350" s="511"/>
      <c r="AA350" s="511"/>
      <c r="AB350" s="511"/>
      <c r="AC350" s="511"/>
      <c r="AD350" s="511"/>
      <c r="AE350" s="2153"/>
      <c r="AF350" s="511"/>
      <c r="AG350" s="511"/>
      <c r="AH350" s="511"/>
      <c r="AI350" s="511"/>
      <c r="AJ350" s="511"/>
      <c r="AK350" s="511"/>
      <c r="AL350" s="511"/>
      <c r="AM350" s="511"/>
      <c r="AN350" s="3283" t="s">
        <v>4465</v>
      </c>
      <c r="AO350" s="3283" t="s">
        <v>4465</v>
      </c>
      <c r="AP350" s="3437" t="s">
        <v>4465</v>
      </c>
      <c r="AQ350" s="3283" t="s">
        <v>4465</v>
      </c>
      <c r="AR350" s="101" t="s">
        <v>9214</v>
      </c>
      <c r="AS350" s="511"/>
      <c r="AT350" s="511"/>
      <c r="AU350" s="2744"/>
      <c r="AV350" s="2744"/>
      <c r="AW350" s="2744"/>
      <c r="AX350" s="2744"/>
      <c r="AY350" s="531"/>
      <c r="AZ350" s="511"/>
      <c r="BA350" s="511"/>
      <c r="BB350" s="511"/>
      <c r="BC350" s="511"/>
      <c r="BD350" s="511"/>
      <c r="BE350" s="511"/>
      <c r="BF350" s="511"/>
      <c r="BG350" s="511"/>
      <c r="BH350" s="2406">
        <v>5045001571</v>
      </c>
      <c r="BI350" s="2409" t="s">
        <v>2618</v>
      </c>
      <c r="BJ350" s="2466">
        <v>357000</v>
      </c>
      <c r="BK350" s="530"/>
      <c r="BO350" s="2535"/>
      <c r="BU350"/>
      <c r="BV350" s="3082" t="str">
        <f t="shared" si="5"/>
        <v/>
      </c>
      <c r="CA350" s="2744"/>
      <c r="CD350" s="101"/>
      <c r="CE350"/>
      <c r="CF350"/>
      <c r="CG350"/>
      <c r="CP350"/>
      <c r="CS350" s="511"/>
      <c r="CT350" s="531"/>
      <c r="CV350"/>
      <c r="CX350" s="166"/>
      <c r="DA350" s="2558"/>
      <c r="DB350" s="2153"/>
      <c r="DC350" s="2535"/>
      <c r="DD350" s="2530"/>
      <c r="DE350" s="2764"/>
      <c r="DF350" s="2764"/>
      <c r="DG350" s="2535"/>
      <c r="DK350"/>
      <c r="DL350"/>
      <c r="DM350"/>
      <c r="DT350"/>
      <c r="DW350"/>
      <c r="DZ350"/>
      <c r="EA350"/>
      <c r="EC350" s="101"/>
      <c r="EG350" s="101"/>
      <c r="EI350" s="2689" t="s">
        <v>10669</v>
      </c>
      <c r="EM350"/>
    </row>
    <row r="351" spans="1:143" ht="29">
      <c r="A351" s="532"/>
      <c r="H351" s="3442" t="s">
        <v>259</v>
      </c>
      <c r="I351" s="3442" t="s">
        <v>3290</v>
      </c>
      <c r="AN351" s="3283" t="s">
        <v>4466</v>
      </c>
      <c r="AO351" s="3283" t="s">
        <v>4466</v>
      </c>
      <c r="AP351" s="3437" t="s">
        <v>4466</v>
      </c>
      <c r="AQ351" s="3283" t="s">
        <v>4466</v>
      </c>
      <c r="AR351" s="101" t="s">
        <v>9215</v>
      </c>
      <c r="BH351" s="2406">
        <v>5047009329</v>
      </c>
      <c r="BI351" s="2409" t="s">
        <v>5059</v>
      </c>
      <c r="BJ351" s="2466">
        <v>105436</v>
      </c>
      <c r="BK351" s="530"/>
      <c r="BV351" s="3082" t="str">
        <f t="shared" si="5"/>
        <v/>
      </c>
      <c r="CT351" s="531"/>
      <c r="CZ351" s="2349"/>
      <c r="DA351" s="2558"/>
      <c r="DO351" s="2349"/>
      <c r="DP351" s="2349"/>
      <c r="DY351" s="2349"/>
      <c r="EI351" s="2689" t="s">
        <v>10670</v>
      </c>
    </row>
    <row r="352" spans="1:143" ht="26">
      <c r="A352" s="532"/>
      <c r="H352" s="3442" t="s">
        <v>7109</v>
      </c>
      <c r="I352" s="3442" t="s">
        <v>3290</v>
      </c>
      <c r="AN352" s="3283" t="s">
        <v>4467</v>
      </c>
      <c r="AO352" s="3283" t="s">
        <v>4467</v>
      </c>
      <c r="AP352" s="3437" t="s">
        <v>4467</v>
      </c>
      <c r="AQ352" s="3283" t="s">
        <v>4467</v>
      </c>
      <c r="AR352" s="101" t="s">
        <v>9216</v>
      </c>
      <c r="BH352" s="2406">
        <v>5047042929</v>
      </c>
      <c r="BI352" s="2409" t="s">
        <v>3629</v>
      </c>
      <c r="BJ352" s="2466">
        <v>280709</v>
      </c>
      <c r="BK352" s="530"/>
      <c r="BV352" s="3082" t="str">
        <f t="shared" si="5"/>
        <v/>
      </c>
      <c r="CT352" s="531"/>
      <c r="CZ352" s="2349"/>
      <c r="DA352" s="2558"/>
      <c r="EI352" s="2689" t="s">
        <v>10671</v>
      </c>
    </row>
    <row r="353" spans="1:139" ht="38.5">
      <c r="A353" s="532"/>
      <c r="H353" s="3442" t="s">
        <v>8731</v>
      </c>
      <c r="I353" s="3442" t="s">
        <v>3290</v>
      </c>
      <c r="AN353" s="3283" t="s">
        <v>4521</v>
      </c>
      <c r="AO353" s="3283" t="s">
        <v>4521</v>
      </c>
      <c r="AP353" s="3437" t="s">
        <v>4521</v>
      </c>
      <c r="AQ353" s="3283" t="s">
        <v>4521</v>
      </c>
      <c r="AR353" s="101" t="s">
        <v>9217</v>
      </c>
      <c r="BH353" s="2405">
        <v>5047125572</v>
      </c>
      <c r="BI353" s="2405" t="s">
        <v>3925</v>
      </c>
      <c r="BJ353" s="2466">
        <v>215147</v>
      </c>
      <c r="BK353" s="530"/>
      <c r="BV353" s="3082" t="str">
        <f t="shared" si="5"/>
        <v/>
      </c>
      <c r="CT353" s="531"/>
      <c r="CZ353" s="2349"/>
      <c r="DA353" s="2558"/>
      <c r="EI353" s="2689" t="s">
        <v>10672</v>
      </c>
    </row>
    <row r="354" spans="1:139" ht="43.5">
      <c r="A354" s="532"/>
      <c r="H354" s="3442" t="s">
        <v>746</v>
      </c>
      <c r="I354" s="3442" t="s">
        <v>3290</v>
      </c>
      <c r="AN354" s="3283" t="s">
        <v>4468</v>
      </c>
      <c r="AO354" s="3283" t="s">
        <v>4468</v>
      </c>
      <c r="AP354" s="3437" t="s">
        <v>4468</v>
      </c>
      <c r="AQ354" s="3283" t="s">
        <v>4468</v>
      </c>
      <c r="AR354" s="101" t="s">
        <v>9218</v>
      </c>
      <c r="BH354" s="2406">
        <v>5049017660</v>
      </c>
      <c r="BI354" s="2409" t="s">
        <v>1923</v>
      </c>
      <c r="BJ354" s="2466">
        <v>141553</v>
      </c>
      <c r="BK354" s="530"/>
      <c r="BV354" s="3082" t="str">
        <f t="shared" si="5"/>
        <v/>
      </c>
      <c r="CT354" s="531"/>
      <c r="DA354" s="2558"/>
      <c r="EI354" s="2689" t="s">
        <v>10673</v>
      </c>
    </row>
    <row r="355" spans="1:139" ht="38.5">
      <c r="A355" s="532"/>
      <c r="H355" s="3442" t="s">
        <v>14434</v>
      </c>
      <c r="I355" s="3442" t="s">
        <v>3290</v>
      </c>
      <c r="AN355" s="3283" t="s">
        <v>4469</v>
      </c>
      <c r="AO355" s="3283" t="s">
        <v>4469</v>
      </c>
      <c r="AP355" s="3437" t="s">
        <v>4469</v>
      </c>
      <c r="AQ355" s="3283" t="s">
        <v>4469</v>
      </c>
      <c r="AR355" s="101" t="s">
        <v>9219</v>
      </c>
      <c r="BH355" s="2406">
        <v>5050002450</v>
      </c>
      <c r="BI355" s="2409" t="s">
        <v>3565</v>
      </c>
      <c r="BJ355" s="2466">
        <v>118164</v>
      </c>
      <c r="BK355" s="530"/>
      <c r="BV355" s="3082" t="str">
        <f t="shared" si="5"/>
        <v/>
      </c>
      <c r="CT355" s="531"/>
      <c r="DA355" s="2558"/>
      <c r="DW355" s="2349"/>
      <c r="EI355" s="2689" t="s">
        <v>10674</v>
      </c>
    </row>
    <row r="356" spans="1:139" ht="90.75" customHeight="1">
      <c r="A356" s="532"/>
      <c r="H356" s="3442" t="s">
        <v>6079</v>
      </c>
      <c r="I356" s="3442" t="s">
        <v>3290</v>
      </c>
      <c r="AN356" s="3283" t="s">
        <v>4470</v>
      </c>
      <c r="AO356" s="3283" t="s">
        <v>4470</v>
      </c>
      <c r="AP356" s="3437" t="s">
        <v>4470</v>
      </c>
      <c r="AQ356" s="3283" t="s">
        <v>4470</v>
      </c>
      <c r="AR356" s="101" t="s">
        <v>9858</v>
      </c>
      <c r="BH356" s="2406">
        <v>5050066976</v>
      </c>
      <c r="BI356" s="2409" t="s">
        <v>2506</v>
      </c>
      <c r="BJ356" s="2466">
        <v>116258</v>
      </c>
      <c r="BK356" s="530"/>
      <c r="BV356" s="3082" t="str">
        <f t="shared" si="5"/>
        <v/>
      </c>
      <c r="CP356" s="2349"/>
      <c r="CT356" s="531"/>
      <c r="DA356" s="2558"/>
      <c r="DW356" s="2349"/>
      <c r="EI356" s="2689" t="s">
        <v>10675</v>
      </c>
    </row>
    <row r="357" spans="1:139" ht="72.5">
      <c r="A357" s="532"/>
      <c r="H357" s="3442" t="s">
        <v>4821</v>
      </c>
      <c r="I357" s="3442" t="s">
        <v>3290</v>
      </c>
      <c r="AN357" s="3283" t="s">
        <v>4471</v>
      </c>
      <c r="AO357" s="3283" t="s">
        <v>4471</v>
      </c>
      <c r="AP357" s="3437" t="s">
        <v>4471</v>
      </c>
      <c r="AQ357" s="3283" t="s">
        <v>4471</v>
      </c>
      <c r="AR357" s="101" t="s">
        <v>9220</v>
      </c>
      <c r="BH357" s="2406">
        <v>5053011196</v>
      </c>
      <c r="BI357" s="2409" t="s">
        <v>2765</v>
      </c>
      <c r="BJ357" s="2466">
        <v>145676</v>
      </c>
      <c r="BK357" s="530"/>
      <c r="BV357" s="3082" t="str">
        <f t="shared" si="5"/>
        <v/>
      </c>
      <c r="CP357" s="2349"/>
      <c r="CT357" s="531"/>
      <c r="DA357" s="2558"/>
      <c r="DT357" s="2349"/>
      <c r="DW357" s="2349"/>
      <c r="EI357" s="2689" t="s">
        <v>10676</v>
      </c>
    </row>
    <row r="358" spans="1:139" ht="87">
      <c r="A358" s="532"/>
      <c r="H358" s="3442" t="s">
        <v>8732</v>
      </c>
      <c r="I358" s="3442" t="s">
        <v>3290</v>
      </c>
      <c r="AN358" s="3283" t="s">
        <v>206</v>
      </c>
      <c r="AO358" s="3283" t="s">
        <v>206</v>
      </c>
      <c r="AP358" s="3437" t="s">
        <v>9802</v>
      </c>
      <c r="AQ358" s="3283" t="s">
        <v>206</v>
      </c>
      <c r="AR358" s="101" t="s">
        <v>9221</v>
      </c>
      <c r="BH358" s="2406">
        <v>5053013676</v>
      </c>
      <c r="BI358" s="2409" t="s">
        <v>2720</v>
      </c>
      <c r="BJ358" s="2466">
        <v>125379</v>
      </c>
      <c r="BK358" s="530"/>
      <c r="BV358" s="3082" t="str">
        <f t="shared" si="5"/>
        <v/>
      </c>
      <c r="CP358" s="2349"/>
      <c r="CT358" s="531"/>
      <c r="DA358" s="2558"/>
      <c r="DT358" s="2349"/>
      <c r="DW358" s="2349"/>
      <c r="EI358" s="2689" t="s">
        <v>10677</v>
      </c>
    </row>
    <row r="359" spans="1:139" ht="51">
      <c r="A359" s="532"/>
      <c r="H359" s="3442" t="s">
        <v>8733</v>
      </c>
      <c r="I359" s="3442" t="s">
        <v>3290</v>
      </c>
      <c r="AN359" s="3283" t="s">
        <v>9802</v>
      </c>
      <c r="AO359" s="3283" t="s">
        <v>9802</v>
      </c>
      <c r="AP359" s="3437" t="s">
        <v>207</v>
      </c>
      <c r="AQ359" s="3283" t="s">
        <v>9802</v>
      </c>
      <c r="AR359" s="101" t="s">
        <v>9222</v>
      </c>
      <c r="BH359" s="2406">
        <v>5053026668</v>
      </c>
      <c r="BI359" s="2409" t="s">
        <v>2471</v>
      </c>
      <c r="BJ359" s="2466">
        <v>145446</v>
      </c>
      <c r="BK359" s="530"/>
      <c r="BV359" s="3082" t="str">
        <f t="shared" si="5"/>
        <v/>
      </c>
      <c r="CP359" s="2349"/>
      <c r="CT359" s="531"/>
      <c r="DA359" s="2558"/>
      <c r="DT359" s="2349"/>
      <c r="EI359" s="2689" t="s">
        <v>10678</v>
      </c>
    </row>
    <row r="360" spans="1:139" ht="29">
      <c r="A360" s="532"/>
      <c r="H360" s="3442" t="s">
        <v>4822</v>
      </c>
      <c r="I360" s="3442" t="s">
        <v>3290</v>
      </c>
      <c r="AN360" s="3283" t="s">
        <v>207</v>
      </c>
      <c r="AO360" s="3283" t="s">
        <v>207</v>
      </c>
      <c r="AP360" s="3437" t="s">
        <v>4472</v>
      </c>
      <c r="AQ360" s="3283" t="s">
        <v>207</v>
      </c>
      <c r="AR360" s="101" t="s">
        <v>9223</v>
      </c>
      <c r="BH360" s="2406">
        <v>5053029997</v>
      </c>
      <c r="BI360" s="2409" t="s">
        <v>975</v>
      </c>
      <c r="BJ360" s="2466">
        <v>49</v>
      </c>
      <c r="BK360" s="530"/>
      <c r="BV360" s="3082" t="str">
        <f t="shared" si="5"/>
        <v/>
      </c>
      <c r="CT360" s="531"/>
      <c r="DA360" s="2558"/>
      <c r="DT360" s="2349"/>
      <c r="EI360" s="2689" t="s">
        <v>10679</v>
      </c>
    </row>
    <row r="361" spans="1:139" ht="43.5">
      <c r="A361" s="532"/>
      <c r="H361" s="3442" t="s">
        <v>4823</v>
      </c>
      <c r="I361" s="3442" t="s">
        <v>3290</v>
      </c>
      <c r="AN361" s="3283" t="s">
        <v>4472</v>
      </c>
      <c r="AO361" s="3283" t="s">
        <v>4472</v>
      </c>
      <c r="AP361" s="3437" t="s">
        <v>6172</v>
      </c>
      <c r="AQ361" s="3283" t="s">
        <v>4472</v>
      </c>
      <c r="AR361" s="101" t="s">
        <v>9224</v>
      </c>
      <c r="BH361" s="2406">
        <v>5053040285</v>
      </c>
      <c r="BI361" s="2409" t="s">
        <v>1860</v>
      </c>
      <c r="BJ361" s="2466">
        <v>214372</v>
      </c>
      <c r="BK361" s="530"/>
      <c r="BV361" s="3082" t="str">
        <f t="shared" si="5"/>
        <v/>
      </c>
      <c r="CT361" s="531"/>
      <c r="DA361" s="2558"/>
      <c r="DK361" s="2349"/>
      <c r="DL361" s="2349"/>
      <c r="DM361" s="2349"/>
      <c r="EI361" s="2689" t="s">
        <v>10680</v>
      </c>
    </row>
    <row r="362" spans="1:139" ht="63.5">
      <c r="A362" s="532"/>
      <c r="H362" s="3442" t="s">
        <v>3637</v>
      </c>
      <c r="I362" s="3442" t="s">
        <v>3290</v>
      </c>
      <c r="AN362" s="3283" t="s">
        <v>6172</v>
      </c>
      <c r="AO362" s="3327" t="s">
        <v>6172</v>
      </c>
      <c r="AP362" s="3437" t="s">
        <v>9652</v>
      </c>
      <c r="AQ362" s="3327" t="s">
        <v>6172</v>
      </c>
      <c r="AR362" s="101" t="s">
        <v>9225</v>
      </c>
      <c r="BH362" s="2406">
        <v>5053052114</v>
      </c>
      <c r="BI362" s="2409" t="s">
        <v>2737</v>
      </c>
      <c r="BJ362" s="2466">
        <v>216195</v>
      </c>
      <c r="BK362" s="530"/>
      <c r="BV362" s="3082" t="str">
        <f t="shared" si="5"/>
        <v/>
      </c>
      <c r="CT362" s="531"/>
      <c r="DA362" s="2558"/>
      <c r="DK362" s="2349"/>
      <c r="DL362" s="2349"/>
      <c r="DM362" s="2349"/>
      <c r="EI362" s="2689" t="s">
        <v>10681</v>
      </c>
    </row>
    <row r="363" spans="1:139" ht="51">
      <c r="A363" s="532"/>
      <c r="H363" s="3442" t="s">
        <v>1134</v>
      </c>
      <c r="I363" s="3442" t="s">
        <v>3290</v>
      </c>
      <c r="AN363" s="3283" t="s">
        <v>9652</v>
      </c>
      <c r="AO363" s="3283" t="s">
        <v>9652</v>
      </c>
      <c r="AP363" s="3437" t="s">
        <v>9653</v>
      </c>
      <c r="AQ363" s="3283" t="s">
        <v>9652</v>
      </c>
      <c r="AR363" s="101" t="s">
        <v>9226</v>
      </c>
      <c r="BH363" s="2405">
        <v>5053054802</v>
      </c>
      <c r="BI363" s="2405" t="s">
        <v>4948</v>
      </c>
      <c r="BJ363" s="2466">
        <v>51</v>
      </c>
      <c r="BK363" s="530"/>
      <c r="BV363" s="3082" t="str">
        <f t="shared" ref="BV363:BV426" si="6">CONCATENATE(LEFT(BU363,8),RIGHT(BU363,9))</f>
        <v/>
      </c>
      <c r="CT363" s="531"/>
      <c r="DA363" s="2558"/>
      <c r="DK363" s="2349"/>
      <c r="DL363" s="2349"/>
      <c r="DM363" s="2349"/>
      <c r="EI363" s="2689" t="s">
        <v>10682</v>
      </c>
    </row>
    <row r="364" spans="1:139" ht="38.5">
      <c r="A364" s="532"/>
      <c r="H364" s="3442" t="s">
        <v>3639</v>
      </c>
      <c r="I364" s="3442" t="s">
        <v>3290</v>
      </c>
      <c r="AN364" s="3283" t="s">
        <v>9653</v>
      </c>
      <c r="AO364" s="3283" t="s">
        <v>9653</v>
      </c>
      <c r="AP364" s="3437" t="s">
        <v>9654</v>
      </c>
      <c r="AQ364" s="3283" t="s">
        <v>9653</v>
      </c>
      <c r="AR364" s="101" t="s">
        <v>9859</v>
      </c>
      <c r="BH364" s="2405">
        <v>5053054810</v>
      </c>
      <c r="BI364" s="2405" t="s">
        <v>3948</v>
      </c>
      <c r="BJ364" s="2466">
        <v>53</v>
      </c>
      <c r="BK364" s="530"/>
      <c r="BV364" s="3082" t="str">
        <f t="shared" si="6"/>
        <v/>
      </c>
      <c r="CT364" s="531"/>
      <c r="DA364" s="2558"/>
      <c r="DK364" s="2349"/>
      <c r="DL364" s="2349"/>
      <c r="DM364" s="2349"/>
      <c r="EI364" s="2689" t="s">
        <v>10683</v>
      </c>
    </row>
    <row r="365" spans="1:139" ht="51">
      <c r="A365" s="532"/>
      <c r="H365" s="3442" t="s">
        <v>4824</v>
      </c>
      <c r="I365" s="3442" t="s">
        <v>3290</v>
      </c>
      <c r="AN365" s="3283" t="s">
        <v>9654</v>
      </c>
      <c r="AO365" s="3283" t="s">
        <v>9654</v>
      </c>
      <c r="AP365" s="3437" t="s">
        <v>9869</v>
      </c>
      <c r="AQ365" s="3283" t="s">
        <v>9654</v>
      </c>
      <c r="AR365" s="101" t="s">
        <v>9227</v>
      </c>
      <c r="BH365" s="2405">
        <v>5053054827</v>
      </c>
      <c r="BI365" s="2405" t="s">
        <v>3947</v>
      </c>
      <c r="BJ365" s="2466">
        <v>52</v>
      </c>
      <c r="BK365" s="530"/>
      <c r="BV365" s="3082" t="str">
        <f t="shared" si="6"/>
        <v/>
      </c>
      <c r="CT365" s="531"/>
      <c r="DA365" s="2558"/>
      <c r="EI365" s="2689" t="s">
        <v>10684</v>
      </c>
    </row>
    <row r="366" spans="1:139" ht="101.5">
      <c r="A366" s="532"/>
      <c r="H366" s="3442" t="s">
        <v>3642</v>
      </c>
      <c r="I366" s="3442" t="s">
        <v>3290</v>
      </c>
      <c r="AN366" s="3283" t="s">
        <v>9869</v>
      </c>
      <c r="AO366" s="3283" t="s">
        <v>9869</v>
      </c>
      <c r="AP366" s="3437" t="s">
        <v>9991</v>
      </c>
      <c r="AQ366" s="3283" t="s">
        <v>9869</v>
      </c>
      <c r="AR366" s="101" t="s">
        <v>9228</v>
      </c>
      <c r="BH366" s="2405">
        <v>5053066854</v>
      </c>
      <c r="BI366" s="2405" t="s">
        <v>4947</v>
      </c>
      <c r="BJ366" s="2466">
        <v>58</v>
      </c>
      <c r="BK366" s="530"/>
      <c r="BV366" s="3082" t="str">
        <f t="shared" si="6"/>
        <v/>
      </c>
      <c r="CT366" s="531"/>
      <c r="DA366" s="2558"/>
      <c r="EI366" s="2689" t="s">
        <v>10685</v>
      </c>
    </row>
    <row r="367" spans="1:139" ht="43.5">
      <c r="A367" s="532"/>
      <c r="H367" s="3442" t="s">
        <v>4825</v>
      </c>
      <c r="I367" s="3442" t="s">
        <v>3290</v>
      </c>
      <c r="AN367" s="3283" t="s">
        <v>9991</v>
      </c>
      <c r="AO367" s="3283" t="s">
        <v>9991</v>
      </c>
      <c r="AP367" s="3437" t="s">
        <v>14370</v>
      </c>
      <c r="AQ367" s="3283" t="s">
        <v>9991</v>
      </c>
      <c r="AR367" s="101" t="s">
        <v>9229</v>
      </c>
      <c r="BH367" s="2406">
        <v>5053067544</v>
      </c>
      <c r="BI367" s="2409" t="s">
        <v>2373</v>
      </c>
      <c r="BJ367" s="2466">
        <v>101170</v>
      </c>
      <c r="BK367" s="530"/>
      <c r="BV367" s="3082" t="str">
        <f t="shared" si="6"/>
        <v/>
      </c>
      <c r="CT367" s="531"/>
      <c r="DA367" s="2558"/>
      <c r="EI367" s="2689" t="s">
        <v>10686</v>
      </c>
    </row>
    <row r="368" spans="1:139" ht="43.5">
      <c r="A368" s="532"/>
      <c r="H368" s="3442" t="s">
        <v>10202</v>
      </c>
      <c r="I368" s="3442" t="s">
        <v>3290</v>
      </c>
      <c r="AN368" s="3283" t="s">
        <v>14370</v>
      </c>
      <c r="AO368" s="3283" t="s">
        <v>14370</v>
      </c>
      <c r="AP368" s="3437" t="s">
        <v>208</v>
      </c>
      <c r="AQ368" s="3283" t="s">
        <v>14370</v>
      </c>
      <c r="AR368" s="101" t="s">
        <v>9230</v>
      </c>
      <c r="BH368" s="2406">
        <v>5072726721</v>
      </c>
      <c r="BI368" s="2409" t="s">
        <v>2705</v>
      </c>
      <c r="BJ368" s="2466">
        <v>244814</v>
      </c>
      <c r="BK368" s="530"/>
      <c r="BV368" s="3082" t="str">
        <f t="shared" si="6"/>
        <v/>
      </c>
      <c r="CT368" s="531"/>
      <c r="DA368" s="2558"/>
      <c r="EI368" s="2689" t="s">
        <v>10687</v>
      </c>
    </row>
    <row r="369" spans="1:139" ht="29">
      <c r="A369" s="532"/>
      <c r="H369" s="3442" t="s">
        <v>4826</v>
      </c>
      <c r="I369" s="3442" t="s">
        <v>3290</v>
      </c>
      <c r="AN369" s="3283" t="s">
        <v>208</v>
      </c>
      <c r="AO369" s="3283" t="s">
        <v>208</v>
      </c>
      <c r="AP369" s="3437" t="s">
        <v>209</v>
      </c>
      <c r="AQ369" s="3283" t="s">
        <v>208</v>
      </c>
      <c r="AR369" s="101" t="s">
        <v>9231</v>
      </c>
      <c r="BH369" s="2406">
        <v>5101700865</v>
      </c>
      <c r="BI369" s="2409" t="s">
        <v>107</v>
      </c>
      <c r="BJ369" s="2466">
        <v>468407</v>
      </c>
      <c r="BK369" s="530"/>
      <c r="BV369" s="3082" t="str">
        <f t="shared" si="6"/>
        <v/>
      </c>
      <c r="CT369" s="531"/>
      <c r="DA369" s="2558"/>
      <c r="EI369" s="2689" t="s">
        <v>10688</v>
      </c>
    </row>
    <row r="370" spans="1:139" ht="29">
      <c r="A370" s="532"/>
      <c r="H370" s="3442" t="s">
        <v>6904</v>
      </c>
      <c r="I370" s="3442" t="s">
        <v>3290</v>
      </c>
      <c r="AN370" s="3283" t="s">
        <v>209</v>
      </c>
      <c r="AO370" s="3283" t="s">
        <v>209</v>
      </c>
      <c r="AP370" s="3437" t="s">
        <v>210</v>
      </c>
      <c r="AQ370" s="3283" t="s">
        <v>209</v>
      </c>
      <c r="AR370" s="101" t="s">
        <v>9232</v>
      </c>
      <c r="BH370" s="2406">
        <v>5102006040</v>
      </c>
      <c r="BI370" s="2409" t="s">
        <v>1552</v>
      </c>
      <c r="BJ370" s="2466">
        <v>218310</v>
      </c>
      <c r="BK370" s="530"/>
      <c r="BV370" s="3082" t="str">
        <f t="shared" si="6"/>
        <v/>
      </c>
      <c r="CT370" s="531"/>
      <c r="DA370" s="2558"/>
      <c r="EI370" s="2689" t="s">
        <v>10689</v>
      </c>
    </row>
    <row r="371" spans="1:139" ht="58">
      <c r="A371" s="532"/>
      <c r="H371" s="3442" t="s">
        <v>4827</v>
      </c>
      <c r="I371" s="3442" t="s">
        <v>3290</v>
      </c>
      <c r="AN371" s="3283" t="s">
        <v>210</v>
      </c>
      <c r="AO371" s="3283" t="s">
        <v>210</v>
      </c>
      <c r="AP371" s="3437" t="s">
        <v>211</v>
      </c>
      <c r="AQ371" s="3283" t="s">
        <v>210</v>
      </c>
      <c r="AR371" s="101" t="s">
        <v>9233</v>
      </c>
      <c r="BH371" s="2406">
        <v>5102006177</v>
      </c>
      <c r="BI371" s="2409" t="s">
        <v>2349</v>
      </c>
      <c r="BJ371" s="2466">
        <v>218311</v>
      </c>
      <c r="BK371" s="530"/>
      <c r="BV371" s="3082" t="str">
        <f t="shared" si="6"/>
        <v/>
      </c>
      <c r="CT371" s="531"/>
      <c r="DA371" s="2558"/>
      <c r="EI371" s="2689" t="s">
        <v>10690</v>
      </c>
    </row>
    <row r="372" spans="1:139" ht="38.5">
      <c r="A372" s="532"/>
      <c r="H372" s="3442" t="s">
        <v>4828</v>
      </c>
      <c r="I372" s="3442" t="s">
        <v>3290</v>
      </c>
      <c r="AN372" s="3283" t="s">
        <v>211</v>
      </c>
      <c r="AO372" s="3283" t="s">
        <v>211</v>
      </c>
      <c r="AP372" s="3437" t="s">
        <v>212</v>
      </c>
      <c r="AQ372" s="3283" t="s">
        <v>211</v>
      </c>
      <c r="AR372" s="101" t="s">
        <v>9234</v>
      </c>
      <c r="BH372" s="2406">
        <v>5103021259</v>
      </c>
      <c r="BI372" s="2409" t="s">
        <v>2379</v>
      </c>
      <c r="BJ372" s="2466">
        <v>125459</v>
      </c>
      <c r="BK372" s="530"/>
      <c r="BV372" s="3082" t="str">
        <f t="shared" si="6"/>
        <v/>
      </c>
      <c r="CT372" s="531"/>
      <c r="DA372" s="2558"/>
      <c r="EI372" s="2689" t="s">
        <v>10691</v>
      </c>
    </row>
    <row r="373" spans="1:139" ht="101">
      <c r="A373" s="532"/>
      <c r="H373" s="3442" t="s">
        <v>7141</v>
      </c>
      <c r="I373" s="3442" t="s">
        <v>3290</v>
      </c>
      <c r="AN373" s="3283" t="s">
        <v>212</v>
      </c>
      <c r="AO373" s="3283" t="s">
        <v>212</v>
      </c>
      <c r="AP373" s="3437" t="s">
        <v>213</v>
      </c>
      <c r="AQ373" s="3283" t="s">
        <v>212</v>
      </c>
      <c r="AR373" s="101" t="s">
        <v>9235</v>
      </c>
      <c r="BH373" s="2406">
        <v>5107912619</v>
      </c>
      <c r="BI373" s="2409" t="s">
        <v>2672</v>
      </c>
      <c r="BJ373" s="2466">
        <v>276544</v>
      </c>
      <c r="BK373" s="530"/>
      <c r="BV373" s="3082" t="str">
        <f t="shared" si="6"/>
        <v/>
      </c>
      <c r="CT373" s="531"/>
      <c r="DA373" s="2558"/>
      <c r="EI373" s="2689" t="s">
        <v>10692</v>
      </c>
    </row>
    <row r="374" spans="1:139" ht="43.5">
      <c r="A374" s="532"/>
      <c r="H374" s="3442" t="s">
        <v>7142</v>
      </c>
      <c r="I374" s="3442" t="s">
        <v>3290</v>
      </c>
      <c r="AN374" s="3283" t="s">
        <v>213</v>
      </c>
      <c r="AO374" s="3283" t="s">
        <v>213</v>
      </c>
      <c r="AP374" s="3437" t="s">
        <v>214</v>
      </c>
      <c r="AQ374" s="3283" t="s">
        <v>213</v>
      </c>
      <c r="AR374" s="101" t="s">
        <v>9236</v>
      </c>
      <c r="BH374" s="2406">
        <v>5112000128</v>
      </c>
      <c r="BI374" s="2409" t="s">
        <v>454</v>
      </c>
      <c r="BJ374" s="2466">
        <v>173747</v>
      </c>
      <c r="BK374" s="530"/>
      <c r="BV374" s="3082" t="str">
        <f t="shared" si="6"/>
        <v/>
      </c>
      <c r="CT374" s="531"/>
      <c r="DA374" s="2558"/>
      <c r="EI374" s="2689" t="s">
        <v>10693</v>
      </c>
    </row>
    <row r="375" spans="1:139" ht="51">
      <c r="A375" s="532"/>
      <c r="H375" s="3442" t="s">
        <v>10237</v>
      </c>
      <c r="I375" s="3442" t="s">
        <v>3290</v>
      </c>
      <c r="AN375" s="3283" t="s">
        <v>214</v>
      </c>
      <c r="AO375" s="3283" t="s">
        <v>214</v>
      </c>
      <c r="AP375" s="3437" t="s">
        <v>215</v>
      </c>
      <c r="AQ375" s="3283" t="s">
        <v>214</v>
      </c>
      <c r="AR375" s="101" t="s">
        <v>9237</v>
      </c>
      <c r="BH375" s="2405">
        <v>5112000417</v>
      </c>
      <c r="BI375" s="2405" t="s">
        <v>6782</v>
      </c>
      <c r="BJ375" s="2466">
        <v>173035</v>
      </c>
      <c r="BK375" s="530"/>
      <c r="BV375" s="3082" t="str">
        <f t="shared" si="6"/>
        <v/>
      </c>
      <c r="CT375" s="531"/>
      <c r="DA375" s="2558"/>
      <c r="EI375" s="2689" t="s">
        <v>10694</v>
      </c>
    </row>
    <row r="376" spans="1:139" ht="51">
      <c r="A376" s="532"/>
      <c r="H376" s="3442" t="s">
        <v>10238</v>
      </c>
      <c r="I376" s="3442" t="s">
        <v>3290</v>
      </c>
      <c r="AN376" s="3283" t="s">
        <v>215</v>
      </c>
      <c r="AO376" s="3283" t="s">
        <v>215</v>
      </c>
      <c r="AP376" s="3437" t="s">
        <v>216</v>
      </c>
      <c r="AQ376" s="3283" t="s">
        <v>215</v>
      </c>
      <c r="AR376" s="101" t="s">
        <v>9238</v>
      </c>
      <c r="BH376" s="2406">
        <v>5114020024</v>
      </c>
      <c r="BI376" s="2409" t="s">
        <v>460</v>
      </c>
      <c r="BJ376" s="2466">
        <v>209131</v>
      </c>
      <c r="BK376" s="530"/>
      <c r="BV376" s="3082" t="str">
        <f t="shared" si="6"/>
        <v/>
      </c>
      <c r="CT376" s="531"/>
      <c r="DA376" s="2558"/>
      <c r="EI376" s="2689" t="s">
        <v>10695</v>
      </c>
    </row>
    <row r="377" spans="1:139" ht="43.5">
      <c r="A377" s="532"/>
      <c r="H377" s="3442" t="s">
        <v>3646</v>
      </c>
      <c r="I377" s="3442" t="s">
        <v>3290</v>
      </c>
      <c r="AN377" s="3283" t="s">
        <v>216</v>
      </c>
      <c r="AO377" s="3283" t="s">
        <v>216</v>
      </c>
      <c r="AP377" s="3437" t="s">
        <v>6842</v>
      </c>
      <c r="AQ377" s="3283" t="s">
        <v>216</v>
      </c>
      <c r="AR377" s="101" t="s">
        <v>9239</v>
      </c>
      <c r="BH377" s="2405">
        <v>5117065288</v>
      </c>
      <c r="BI377" s="2405" t="s">
        <v>1619</v>
      </c>
      <c r="BJ377" s="2466">
        <v>290</v>
      </c>
      <c r="BK377" s="530"/>
      <c r="BV377" s="3082" t="str">
        <f t="shared" si="6"/>
        <v/>
      </c>
      <c r="CT377" s="531"/>
      <c r="DA377" s="2558"/>
      <c r="EI377" s="2689" t="s">
        <v>10696</v>
      </c>
    </row>
    <row r="378" spans="1:139" ht="72.5">
      <c r="A378" s="532"/>
      <c r="H378" s="3442" t="s">
        <v>4829</v>
      </c>
      <c r="I378" s="3442" t="s">
        <v>2477</v>
      </c>
      <c r="AN378" s="101" t="s">
        <v>6842</v>
      </c>
      <c r="AO378" s="101" t="s">
        <v>6842</v>
      </c>
      <c r="AP378" s="3437" t="s">
        <v>733</v>
      </c>
      <c r="AQ378" s="101" t="s">
        <v>6842</v>
      </c>
      <c r="AR378" s="101" t="s">
        <v>9240</v>
      </c>
      <c r="BH378" s="2406">
        <v>5117100091</v>
      </c>
      <c r="BI378" s="2409" t="s">
        <v>2378</v>
      </c>
      <c r="BJ378" s="2466">
        <v>191556</v>
      </c>
      <c r="BK378" s="530"/>
      <c r="BV378" s="3082" t="str">
        <f t="shared" si="6"/>
        <v/>
      </c>
      <c r="CT378" s="531"/>
      <c r="DA378" s="2558"/>
      <c r="EI378" s="2689" t="s">
        <v>10697</v>
      </c>
    </row>
    <row r="379" spans="1:139" ht="58">
      <c r="A379" s="532"/>
      <c r="H379" s="3442" t="s">
        <v>3649</v>
      </c>
      <c r="I379" s="3442" t="s">
        <v>2477</v>
      </c>
      <c r="AN379" s="3283" t="s">
        <v>733</v>
      </c>
      <c r="AO379" s="3283" t="s">
        <v>733</v>
      </c>
      <c r="AP379" s="3437" t="s">
        <v>8496</v>
      </c>
      <c r="AQ379" s="3283" t="s">
        <v>733</v>
      </c>
      <c r="AR379" s="101" t="s">
        <v>9241</v>
      </c>
      <c r="BH379" s="2406">
        <v>5117101000</v>
      </c>
      <c r="BI379" s="2409" t="s">
        <v>2528</v>
      </c>
      <c r="BJ379" s="2466">
        <v>125542</v>
      </c>
      <c r="BK379" s="530"/>
      <c r="BV379" s="3082" t="str">
        <f t="shared" si="6"/>
        <v/>
      </c>
      <c r="CT379" s="531"/>
      <c r="DA379" s="2558"/>
      <c r="EI379" s="2689" t="s">
        <v>10698</v>
      </c>
    </row>
    <row r="380" spans="1:139" ht="29">
      <c r="A380" s="532"/>
      <c r="H380" s="3442" t="s">
        <v>3651</v>
      </c>
      <c r="I380" s="3442" t="s">
        <v>2477</v>
      </c>
      <c r="AN380" s="3283" t="s">
        <v>8496</v>
      </c>
      <c r="AO380" s="3283" t="s">
        <v>8496</v>
      </c>
      <c r="AP380" s="3437" t="s">
        <v>5928</v>
      </c>
      <c r="AQ380" s="3283" t="s">
        <v>8496</v>
      </c>
      <c r="AR380" s="101" t="s">
        <v>9242</v>
      </c>
      <c r="BH380" s="2405">
        <v>5190009939</v>
      </c>
      <c r="BI380" s="2405" t="s">
        <v>6781</v>
      </c>
      <c r="BJ380" s="2466">
        <v>301791</v>
      </c>
      <c r="BK380" s="530"/>
      <c r="BV380" s="3082" t="str">
        <f t="shared" si="6"/>
        <v/>
      </c>
      <c r="CT380" s="531"/>
      <c r="DA380" s="2558"/>
      <c r="EI380" s="2689" t="s">
        <v>10699</v>
      </c>
    </row>
    <row r="381" spans="1:139" ht="43.5">
      <c r="A381" s="532"/>
      <c r="H381" s="3442" t="s">
        <v>4840</v>
      </c>
      <c r="I381" s="3442" t="s">
        <v>2477</v>
      </c>
      <c r="AN381" s="3283" t="s">
        <v>5928</v>
      </c>
      <c r="AO381" s="3283" t="s">
        <v>5928</v>
      </c>
      <c r="AP381" s="3437" t="s">
        <v>7714</v>
      </c>
      <c r="AQ381" s="3283" t="s">
        <v>5928</v>
      </c>
      <c r="AR381" s="101" t="s">
        <v>9243</v>
      </c>
      <c r="BH381" s="2405">
        <v>5190023651</v>
      </c>
      <c r="BI381" s="2405" t="s">
        <v>6771</v>
      </c>
      <c r="BJ381" s="2466">
        <v>469978</v>
      </c>
      <c r="BK381" s="530"/>
      <c r="BV381" s="3082" t="str">
        <f t="shared" si="6"/>
        <v/>
      </c>
      <c r="CT381" s="531"/>
      <c r="CV381" s="2349"/>
      <c r="DA381" s="2558"/>
      <c r="EI381" s="2689" t="s">
        <v>10700</v>
      </c>
    </row>
    <row r="382" spans="1:139" ht="43.5">
      <c r="A382" s="532"/>
      <c r="H382" s="3442" t="s">
        <v>2315</v>
      </c>
      <c r="I382" s="3442" t="s">
        <v>2477</v>
      </c>
      <c r="AN382" s="3283" t="s">
        <v>7714</v>
      </c>
      <c r="AO382" s="3283" t="s">
        <v>7714</v>
      </c>
      <c r="AP382" s="3437" t="s">
        <v>7716</v>
      </c>
      <c r="AQ382" s="3283" t="s">
        <v>7714</v>
      </c>
      <c r="AR382" s="101" t="s">
        <v>9244</v>
      </c>
      <c r="BH382" s="2405">
        <v>5190053159</v>
      </c>
      <c r="BI382" s="2405" t="s">
        <v>6769</v>
      </c>
      <c r="BJ382" s="2466">
        <v>453202</v>
      </c>
      <c r="BK382" s="530"/>
      <c r="BV382" s="3082" t="str">
        <f t="shared" si="6"/>
        <v/>
      </c>
      <c r="CT382" s="531"/>
      <c r="CV382" s="2349"/>
      <c r="DA382" s="2558"/>
      <c r="EI382" s="2689" t="s">
        <v>10701</v>
      </c>
    </row>
    <row r="383" spans="1:139" ht="101.5">
      <c r="A383" s="532"/>
      <c r="H383" s="3442" t="s">
        <v>2317</v>
      </c>
      <c r="I383" s="3442" t="s">
        <v>2477</v>
      </c>
      <c r="AN383" s="3283" t="s">
        <v>7716</v>
      </c>
      <c r="AO383" s="3283" t="s">
        <v>7716</v>
      </c>
      <c r="AP383" s="3437" t="s">
        <v>10082</v>
      </c>
      <c r="AQ383" s="3283" t="s">
        <v>7716</v>
      </c>
      <c r="AR383" s="101" t="s">
        <v>9245</v>
      </c>
      <c r="BH383" s="2406">
        <v>5190100176</v>
      </c>
      <c r="BI383" s="2409" t="s">
        <v>1395</v>
      </c>
      <c r="BJ383" s="2466">
        <v>337735</v>
      </c>
      <c r="BK383" s="530"/>
      <c r="BV383" s="3082" t="str">
        <f t="shared" si="6"/>
        <v/>
      </c>
      <c r="CT383" s="531"/>
      <c r="CV383" s="2349"/>
      <c r="DA383" s="2558"/>
      <c r="EI383" s="2689" t="s">
        <v>10702</v>
      </c>
    </row>
    <row r="384" spans="1:139" ht="29">
      <c r="A384" s="532"/>
      <c r="H384" s="3442" t="s">
        <v>4830</v>
      </c>
      <c r="I384" s="3442" t="s">
        <v>2477</v>
      </c>
      <c r="AN384" s="3283" t="s">
        <v>10082</v>
      </c>
      <c r="AO384" s="3283" t="s">
        <v>10082</v>
      </c>
      <c r="AP384" s="3437" t="s">
        <v>10195</v>
      </c>
      <c r="AQ384" s="3283" t="s">
        <v>10082</v>
      </c>
      <c r="AR384" s="101" t="s">
        <v>9246</v>
      </c>
      <c r="BH384" s="2406">
        <v>5190100352</v>
      </c>
      <c r="BI384" s="2409" t="s">
        <v>1550</v>
      </c>
      <c r="BJ384" s="2466">
        <v>125568</v>
      </c>
      <c r="BK384" s="530"/>
      <c r="BV384" s="3082" t="str">
        <f t="shared" si="6"/>
        <v/>
      </c>
      <c r="CT384" s="531"/>
      <c r="CV384" s="2349"/>
      <c r="DA384" s="2558"/>
      <c r="EI384" s="2689" t="s">
        <v>10703</v>
      </c>
    </row>
    <row r="385" spans="1:139" ht="29">
      <c r="A385" s="532"/>
      <c r="H385" s="3442" t="s">
        <v>4831</v>
      </c>
      <c r="I385" s="3442" t="s">
        <v>3285</v>
      </c>
      <c r="AN385" s="3283" t="s">
        <v>10195</v>
      </c>
      <c r="AO385" s="3283" t="s">
        <v>10195</v>
      </c>
      <c r="AP385" s="3437" t="s">
        <v>14371</v>
      </c>
      <c r="AQ385" s="3283" t="s">
        <v>10195</v>
      </c>
      <c r="AR385" s="101" t="s">
        <v>9247</v>
      </c>
      <c r="BH385" s="2405">
        <v>5190111315</v>
      </c>
      <c r="BI385" s="2405" t="s">
        <v>6770</v>
      </c>
      <c r="BJ385" s="2466">
        <v>363571</v>
      </c>
      <c r="BK385" s="530"/>
      <c r="BV385" s="3082" t="str">
        <f t="shared" si="6"/>
        <v/>
      </c>
      <c r="CT385" s="531"/>
      <c r="DA385" s="2558"/>
      <c r="EI385" s="2689" t="s">
        <v>10704</v>
      </c>
    </row>
    <row r="386" spans="1:139" ht="72.5">
      <c r="A386" s="532"/>
      <c r="H386" s="3442" t="s">
        <v>2319</v>
      </c>
      <c r="I386" s="3442" t="s">
        <v>3285</v>
      </c>
      <c r="AN386" s="3283" t="s">
        <v>14371</v>
      </c>
      <c r="AO386" s="3283" t="s">
        <v>14371</v>
      </c>
      <c r="AP386" s="3437" t="s">
        <v>14372</v>
      </c>
      <c r="AQ386" s="3283" t="s">
        <v>14371</v>
      </c>
      <c r="AR386" s="101" t="s">
        <v>9248</v>
      </c>
      <c r="BH386" s="2406">
        <v>5190114443</v>
      </c>
      <c r="BI386" s="2409" t="s">
        <v>2676</v>
      </c>
      <c r="BJ386" s="2466">
        <v>125578</v>
      </c>
      <c r="BK386" s="530"/>
      <c r="BV386" s="3082" t="str">
        <f t="shared" si="6"/>
        <v/>
      </c>
      <c r="CT386" s="531"/>
      <c r="DA386" s="2558"/>
      <c r="EI386" s="2689" t="s">
        <v>10705</v>
      </c>
    </row>
    <row r="387" spans="1:139" ht="26">
      <c r="A387" s="532"/>
      <c r="H387" s="3442" t="s">
        <v>1135</v>
      </c>
      <c r="I387" s="3442" t="s">
        <v>2477</v>
      </c>
      <c r="AN387" s="3283" t="s">
        <v>14372</v>
      </c>
      <c r="AO387" s="3283" t="s">
        <v>14372</v>
      </c>
      <c r="AP387" s="3437" t="s">
        <v>4473</v>
      </c>
      <c r="AQ387" s="3283" t="s">
        <v>14372</v>
      </c>
      <c r="AR387" s="101" t="s">
        <v>9249</v>
      </c>
      <c r="BH387" s="2406">
        <v>5190120239</v>
      </c>
      <c r="BI387" s="2409" t="s">
        <v>1551</v>
      </c>
      <c r="BJ387" s="2466">
        <v>125582</v>
      </c>
      <c r="BK387" s="530"/>
      <c r="BV387" s="3082" t="str">
        <f t="shared" si="6"/>
        <v/>
      </c>
      <c r="CT387" s="531"/>
      <c r="DA387" s="2558"/>
      <c r="EI387" s="2689" t="s">
        <v>10706</v>
      </c>
    </row>
    <row r="388" spans="1:139" ht="51">
      <c r="A388" s="532"/>
      <c r="H388" s="3442" t="s">
        <v>2321</v>
      </c>
      <c r="I388" s="3442" t="s">
        <v>2477</v>
      </c>
      <c r="AN388" s="3283" t="s">
        <v>4473</v>
      </c>
      <c r="AO388" s="3283" t="s">
        <v>4473</v>
      </c>
      <c r="AP388" s="3284" t="s">
        <v>3389</v>
      </c>
      <c r="AQ388" s="3283" t="s">
        <v>4473</v>
      </c>
      <c r="AR388" s="101" t="s">
        <v>9250</v>
      </c>
      <c r="BH388" s="2406">
        <v>5190129538</v>
      </c>
      <c r="BI388" s="2409" t="s">
        <v>174</v>
      </c>
      <c r="BJ388" s="2466">
        <v>179823</v>
      </c>
      <c r="BK388" s="530"/>
      <c r="BV388" s="3082" t="str">
        <f t="shared" si="6"/>
        <v/>
      </c>
      <c r="CT388" s="531"/>
      <c r="DA388" s="2558"/>
      <c r="EI388" s="2689" t="s">
        <v>10707</v>
      </c>
    </row>
    <row r="389" spans="1:139" ht="72.5">
      <c r="A389" s="532"/>
      <c r="H389" s="3442" t="s">
        <v>2323</v>
      </c>
      <c r="I389" s="3442" t="s">
        <v>2477</v>
      </c>
      <c r="AN389" s="3284"/>
      <c r="AO389" s="3284" t="s">
        <v>3389</v>
      </c>
      <c r="AP389" s="3284"/>
      <c r="AQ389" s="3285" t="s">
        <v>4522</v>
      </c>
      <c r="AR389" s="101" t="s">
        <v>9251</v>
      </c>
      <c r="BH389" s="2406">
        <v>5190135771</v>
      </c>
      <c r="BI389" s="2409" t="s">
        <v>105</v>
      </c>
      <c r="BJ389" s="2466">
        <v>280729</v>
      </c>
      <c r="BK389" s="530"/>
      <c r="BV389" s="3082" t="str">
        <f t="shared" si="6"/>
        <v/>
      </c>
      <c r="CT389" s="531"/>
      <c r="DA389" s="2558"/>
      <c r="EI389" s="2689" t="s">
        <v>10708</v>
      </c>
    </row>
    <row r="390" spans="1:139" ht="29">
      <c r="A390" s="532"/>
      <c r="H390" s="3442" t="s">
        <v>2325</v>
      </c>
      <c r="I390" s="3442" t="s">
        <v>2477</v>
      </c>
      <c r="AN390" s="3284"/>
      <c r="AO390" s="3284"/>
      <c r="AP390" s="3284"/>
      <c r="AQ390" s="3285" t="s">
        <v>3340</v>
      </c>
      <c r="AR390" s="101" t="s">
        <v>9252</v>
      </c>
      <c r="BH390" s="2405">
        <v>5190137610</v>
      </c>
      <c r="BI390" s="2405" t="s">
        <v>6773</v>
      </c>
      <c r="BJ390" s="2466">
        <v>199763</v>
      </c>
      <c r="BK390" s="530"/>
      <c r="BV390" s="3082" t="str">
        <f t="shared" si="6"/>
        <v/>
      </c>
      <c r="CT390" s="531"/>
      <c r="DA390" s="2558"/>
      <c r="EI390" s="2689" t="s">
        <v>10709</v>
      </c>
    </row>
    <row r="391" spans="1:139" ht="43.5">
      <c r="A391" s="532"/>
      <c r="H391" s="3442" t="s">
        <v>4832</v>
      </c>
      <c r="I391" s="3442" t="s">
        <v>2477</v>
      </c>
      <c r="AN391" s="3284"/>
      <c r="AO391" s="3284"/>
      <c r="AP391" s="3284"/>
      <c r="AQ391" s="3285" t="s">
        <v>3341</v>
      </c>
      <c r="AR391" s="101" t="s">
        <v>9253</v>
      </c>
      <c r="BH391" s="2406">
        <v>5190168199</v>
      </c>
      <c r="BI391" s="2409" t="s">
        <v>721</v>
      </c>
      <c r="BJ391" s="2466">
        <v>202783</v>
      </c>
      <c r="BK391" s="530"/>
      <c r="BV391" s="3082" t="str">
        <f t="shared" si="6"/>
        <v/>
      </c>
      <c r="CT391" s="531"/>
      <c r="DA391" s="2558"/>
      <c r="EI391" s="2689" t="s">
        <v>10710</v>
      </c>
    </row>
    <row r="392" spans="1:139" ht="26">
      <c r="A392" s="532"/>
      <c r="H392" s="3442" t="s">
        <v>2326</v>
      </c>
      <c r="I392" s="3442" t="s">
        <v>2477</v>
      </c>
      <c r="AR392" s="101" t="s">
        <v>9254</v>
      </c>
      <c r="BH392" s="2406">
        <v>5190168390</v>
      </c>
      <c r="BI392" s="2409" t="s">
        <v>3151</v>
      </c>
      <c r="BJ392" s="2466">
        <v>256689</v>
      </c>
      <c r="BK392" s="530"/>
      <c r="BV392" s="3082" t="str">
        <f t="shared" si="6"/>
        <v/>
      </c>
      <c r="CT392" s="531"/>
      <c r="DA392" s="2558"/>
      <c r="EI392" s="2689" t="s">
        <v>10711</v>
      </c>
    </row>
    <row r="393" spans="1:139" ht="43.5">
      <c r="A393" s="532"/>
      <c r="H393" s="3442" t="s">
        <v>2327</v>
      </c>
      <c r="I393" s="3442" t="s">
        <v>2477</v>
      </c>
      <c r="AR393" s="101" t="s">
        <v>9255</v>
      </c>
      <c r="BH393" s="2406">
        <v>5190800026</v>
      </c>
      <c r="BI393" s="2409" t="s">
        <v>723</v>
      </c>
      <c r="BJ393" s="2466">
        <v>240983</v>
      </c>
      <c r="BK393" s="530"/>
      <c r="BV393" s="3082" t="str">
        <f t="shared" si="6"/>
        <v/>
      </c>
      <c r="CT393" s="531"/>
      <c r="DA393" s="2558"/>
      <c r="EI393" s="2689" t="s">
        <v>10712</v>
      </c>
    </row>
    <row r="394" spans="1:139" ht="29">
      <c r="A394" s="532"/>
      <c r="H394" s="3442" t="s">
        <v>1136</v>
      </c>
      <c r="I394" s="3442" t="s">
        <v>2477</v>
      </c>
      <c r="AR394" s="101" t="s">
        <v>9256</v>
      </c>
      <c r="BH394" s="2405">
        <v>5190800121</v>
      </c>
      <c r="BI394" s="2405" t="s">
        <v>6764</v>
      </c>
      <c r="BJ394" s="2466">
        <v>452804</v>
      </c>
      <c r="BK394" s="530"/>
      <c r="BV394" s="3082" t="str">
        <f t="shared" si="6"/>
        <v/>
      </c>
      <c r="CT394" s="531"/>
      <c r="DA394" s="2558"/>
      <c r="EI394" s="2689" t="s">
        <v>10713</v>
      </c>
    </row>
    <row r="395" spans="1:139" ht="29">
      <c r="A395" s="532"/>
      <c r="H395" s="3442" t="s">
        <v>2329</v>
      </c>
      <c r="I395" s="3442" t="s">
        <v>2477</v>
      </c>
      <c r="AR395" s="101" t="s">
        <v>9257</v>
      </c>
      <c r="BH395" s="2406">
        <v>5190915348</v>
      </c>
      <c r="BI395" s="2409" t="s">
        <v>1497</v>
      </c>
      <c r="BJ395" s="2466">
        <v>168319</v>
      </c>
      <c r="BK395" s="530"/>
      <c r="BV395" s="3082" t="str">
        <f t="shared" si="6"/>
        <v/>
      </c>
      <c r="CT395" s="531"/>
      <c r="DA395" s="2558"/>
      <c r="EI395" s="2689" t="s">
        <v>10714</v>
      </c>
    </row>
    <row r="396" spans="1:139" ht="26">
      <c r="A396" s="532"/>
      <c r="H396" s="3442" t="s">
        <v>2331</v>
      </c>
      <c r="I396" s="3442" t="s">
        <v>2477</v>
      </c>
      <c r="AR396" s="101" t="s">
        <v>9258</v>
      </c>
      <c r="BH396" s="2405">
        <v>5190918941</v>
      </c>
      <c r="BI396" s="2405" t="s">
        <v>6768</v>
      </c>
      <c r="BJ396" s="2466">
        <v>389171</v>
      </c>
      <c r="BK396" s="530"/>
      <c r="BV396" s="3082" t="str">
        <f t="shared" si="6"/>
        <v/>
      </c>
      <c r="CT396" s="531"/>
      <c r="DA396" s="2558"/>
      <c r="EI396" s="2689" t="s">
        <v>10715</v>
      </c>
    </row>
    <row r="397" spans="1:139" ht="87">
      <c r="A397" s="532"/>
      <c r="H397" s="3442" t="s">
        <v>10215</v>
      </c>
      <c r="I397" s="3442" t="s">
        <v>2477</v>
      </c>
      <c r="AR397" s="101" t="s">
        <v>9259</v>
      </c>
      <c r="BH397" s="2406">
        <v>5190920394</v>
      </c>
      <c r="BI397" s="2409" t="s">
        <v>1932</v>
      </c>
      <c r="BJ397" s="2466">
        <v>209157</v>
      </c>
      <c r="BK397" s="530"/>
      <c r="BV397" s="3082" t="str">
        <f t="shared" si="6"/>
        <v/>
      </c>
      <c r="CT397" s="531"/>
      <c r="DA397" s="2558"/>
      <c r="EI397" s="2689" t="s">
        <v>10716</v>
      </c>
    </row>
    <row r="398" spans="1:139" ht="43.5">
      <c r="A398" s="532"/>
      <c r="H398" s="3442" t="s">
        <v>7719</v>
      </c>
      <c r="I398" s="3442" t="s">
        <v>2477</v>
      </c>
      <c r="AR398" s="101" t="s">
        <v>9260</v>
      </c>
      <c r="BH398" s="2406">
        <v>5191120400</v>
      </c>
      <c r="BI398" s="2409" t="s">
        <v>1910</v>
      </c>
      <c r="BJ398" s="2466">
        <v>125508</v>
      </c>
      <c r="BK398" s="530"/>
      <c r="BV398" s="3082" t="str">
        <f t="shared" si="6"/>
        <v/>
      </c>
      <c r="CT398" s="531"/>
      <c r="DA398" s="2558"/>
      <c r="EI398" s="2689" t="s">
        <v>10717</v>
      </c>
    </row>
    <row r="399" spans="1:139" ht="26">
      <c r="A399" s="532"/>
      <c r="H399" s="3442" t="s">
        <v>7713</v>
      </c>
      <c r="I399" s="3442" t="s">
        <v>2477</v>
      </c>
      <c r="AR399" s="101" t="s">
        <v>9261</v>
      </c>
      <c r="BH399" s="2406">
        <v>5191501188</v>
      </c>
      <c r="BI399" s="2409" t="s">
        <v>1393</v>
      </c>
      <c r="BJ399" s="2466">
        <v>202772</v>
      </c>
      <c r="BK399" s="530"/>
      <c r="BV399" s="3082" t="str">
        <f t="shared" si="6"/>
        <v/>
      </c>
      <c r="CT399" s="531"/>
      <c r="DA399" s="2558"/>
      <c r="EI399" s="2689" t="s">
        <v>10718</v>
      </c>
    </row>
    <row r="400" spans="1:139" ht="43.5">
      <c r="A400" s="532"/>
      <c r="H400" s="3442" t="s">
        <v>4833</v>
      </c>
      <c r="I400" s="3442" t="s">
        <v>2477</v>
      </c>
      <c r="AR400" s="101" t="s">
        <v>9262</v>
      </c>
      <c r="BH400" s="2406">
        <v>5191501741</v>
      </c>
      <c r="BI400" s="2409" t="s">
        <v>1549</v>
      </c>
      <c r="BJ400" s="2466">
        <v>125650</v>
      </c>
      <c r="BK400" s="530"/>
      <c r="BV400" s="3082" t="str">
        <f t="shared" si="6"/>
        <v/>
      </c>
      <c r="CT400" s="531"/>
      <c r="DA400" s="2558"/>
      <c r="EI400" s="2689" t="s">
        <v>10719</v>
      </c>
    </row>
    <row r="401" spans="1:139" ht="29">
      <c r="A401" s="532"/>
      <c r="H401" s="3442" t="s">
        <v>2332</v>
      </c>
      <c r="I401" s="3442" t="s">
        <v>2477</v>
      </c>
      <c r="AR401" s="101" t="s">
        <v>9263</v>
      </c>
      <c r="BH401" s="2405">
        <v>5191501935</v>
      </c>
      <c r="BI401" s="2405" t="s">
        <v>6772</v>
      </c>
      <c r="BJ401" s="2466">
        <v>125652</v>
      </c>
      <c r="BK401" s="530"/>
      <c r="BV401" s="3082" t="str">
        <f t="shared" si="6"/>
        <v/>
      </c>
      <c r="CT401" s="531"/>
      <c r="DA401" s="2558"/>
      <c r="EI401" s="2689" t="s">
        <v>10720</v>
      </c>
    </row>
    <row r="402" spans="1:139" ht="51">
      <c r="A402" s="532"/>
      <c r="H402" s="3442" t="s">
        <v>2334</v>
      </c>
      <c r="I402" s="3442" t="s">
        <v>2477</v>
      </c>
      <c r="AR402" s="101" t="s">
        <v>9264</v>
      </c>
      <c r="BH402" s="2406">
        <v>5191601175</v>
      </c>
      <c r="BI402" s="2409" t="s">
        <v>1394</v>
      </c>
      <c r="BJ402" s="2466">
        <v>201073</v>
      </c>
      <c r="BK402" s="530"/>
      <c r="BV402" s="3082" t="str">
        <f t="shared" si="6"/>
        <v/>
      </c>
      <c r="CT402" s="531"/>
      <c r="DA402" s="2558"/>
      <c r="EI402" s="2689" t="s">
        <v>10721</v>
      </c>
    </row>
    <row r="403" spans="1:139" ht="29">
      <c r="A403" s="532"/>
      <c r="H403" s="3442" t="s">
        <v>2335</v>
      </c>
      <c r="I403" s="3442" t="s">
        <v>2477</v>
      </c>
      <c r="AR403" s="101" t="s">
        <v>9265</v>
      </c>
      <c r="BH403" s="2406">
        <v>5193101033</v>
      </c>
      <c r="BI403" s="2409" t="s">
        <v>2394</v>
      </c>
      <c r="BJ403" s="2466">
        <v>125659</v>
      </c>
      <c r="BK403" s="530"/>
      <c r="BV403" s="3082" t="str">
        <f t="shared" si="6"/>
        <v/>
      </c>
      <c r="CT403" s="531"/>
      <c r="DA403" s="2558"/>
      <c r="EI403" s="2689" t="s">
        <v>10722</v>
      </c>
    </row>
    <row r="404" spans="1:139" ht="58">
      <c r="A404" s="532"/>
      <c r="H404" s="3442" t="s">
        <v>2336</v>
      </c>
      <c r="I404" s="3442" t="s">
        <v>2477</v>
      </c>
      <c r="AR404" s="101" t="s">
        <v>9266</v>
      </c>
      <c r="BH404" s="2406">
        <v>5193600138</v>
      </c>
      <c r="BI404" s="2409" t="s">
        <v>2014</v>
      </c>
      <c r="BJ404" s="2466">
        <v>125663</v>
      </c>
      <c r="BK404" s="530"/>
      <c r="BV404" s="3082" t="str">
        <f t="shared" si="6"/>
        <v/>
      </c>
      <c r="CT404" s="531"/>
      <c r="DA404" s="2558"/>
      <c r="EI404" s="2689" t="s">
        <v>10723</v>
      </c>
    </row>
    <row r="405" spans="1:139" ht="43.5">
      <c r="A405" s="532"/>
      <c r="H405" s="3442" t="s">
        <v>7143</v>
      </c>
      <c r="I405" s="3442" t="s">
        <v>3285</v>
      </c>
      <c r="AR405" s="101" t="s">
        <v>9267</v>
      </c>
      <c r="BH405" s="2405">
        <v>5193600346</v>
      </c>
      <c r="BI405" s="2405" t="s">
        <v>6777</v>
      </c>
      <c r="BJ405" s="2466">
        <v>199768</v>
      </c>
      <c r="BK405" s="530"/>
      <c r="BV405" s="3082" t="str">
        <f t="shared" si="6"/>
        <v/>
      </c>
      <c r="CT405" s="531"/>
      <c r="DA405" s="2558"/>
      <c r="EI405" s="2689" t="s">
        <v>10724</v>
      </c>
    </row>
    <row r="406" spans="1:139" ht="29">
      <c r="A406" s="532"/>
      <c r="H406" s="3442" t="s">
        <v>6846</v>
      </c>
      <c r="I406" s="3442" t="s">
        <v>3285</v>
      </c>
      <c r="AR406" s="101" t="s">
        <v>9268</v>
      </c>
      <c r="BH406" s="2406">
        <v>5200000046</v>
      </c>
      <c r="BI406" s="2409" t="s">
        <v>2497</v>
      </c>
      <c r="BJ406" s="2466">
        <v>149392</v>
      </c>
      <c r="BK406" s="530"/>
      <c r="BV406" s="3082" t="str">
        <f t="shared" si="6"/>
        <v/>
      </c>
      <c r="CT406" s="531"/>
      <c r="DA406" s="2558"/>
      <c r="EI406" s="2689" t="s">
        <v>10725</v>
      </c>
    </row>
    <row r="407" spans="1:139" ht="29">
      <c r="A407" s="532"/>
      <c r="H407" s="3442" t="s">
        <v>2340</v>
      </c>
      <c r="I407" s="3442" t="s">
        <v>2477</v>
      </c>
      <c r="AR407" s="101" t="s">
        <v>9269</v>
      </c>
      <c r="BH407" s="2406">
        <v>5200000102</v>
      </c>
      <c r="BI407" s="2409" t="s">
        <v>2406</v>
      </c>
      <c r="BJ407" s="2466">
        <v>115803</v>
      </c>
      <c r="BK407" s="530"/>
      <c r="BV407" s="3082" t="str">
        <f t="shared" si="6"/>
        <v/>
      </c>
      <c r="CT407" s="531"/>
      <c r="DA407" s="2558"/>
      <c r="EI407" s="2689" t="s">
        <v>10726</v>
      </c>
    </row>
    <row r="408" spans="1:139" ht="26">
      <c r="A408" s="532"/>
      <c r="H408" s="3442" t="s">
        <v>2341</v>
      </c>
      <c r="I408" s="3442" t="s">
        <v>2477</v>
      </c>
      <c r="AR408" s="101" t="s">
        <v>9270</v>
      </c>
      <c r="BH408" s="2405">
        <v>5213000558</v>
      </c>
      <c r="BI408" s="2405" t="s">
        <v>8859</v>
      </c>
      <c r="BJ408" s="2466">
        <v>253</v>
      </c>
      <c r="BK408" s="530"/>
      <c r="BV408" s="3082" t="str">
        <f t="shared" si="6"/>
        <v/>
      </c>
      <c r="CT408" s="531"/>
      <c r="DA408" s="2558"/>
      <c r="EI408" s="2689" t="s">
        <v>10727</v>
      </c>
    </row>
    <row r="409" spans="1:139" ht="43.5">
      <c r="A409" s="532"/>
      <c r="H409" s="3442" t="s">
        <v>1137</v>
      </c>
      <c r="I409" s="3442" t="s">
        <v>2477</v>
      </c>
      <c r="AR409" s="101" t="s">
        <v>9271</v>
      </c>
      <c r="BH409" s="2405">
        <v>5213004023</v>
      </c>
      <c r="BI409" s="2405" t="s">
        <v>2923</v>
      </c>
      <c r="BJ409" s="2466">
        <v>25</v>
      </c>
      <c r="BK409" s="530"/>
      <c r="BV409" s="3082" t="str">
        <f t="shared" si="6"/>
        <v/>
      </c>
      <c r="CT409" s="531"/>
      <c r="DA409" s="2558"/>
      <c r="EI409" s="2689" t="s">
        <v>10728</v>
      </c>
    </row>
    <row r="410" spans="1:139" ht="43.5">
      <c r="A410" s="532"/>
      <c r="H410" s="3442" t="s">
        <v>956</v>
      </c>
      <c r="I410" s="3442" t="s">
        <v>2477</v>
      </c>
      <c r="AR410" s="101" t="s">
        <v>9272</v>
      </c>
      <c r="BH410" s="2406">
        <v>5245024086</v>
      </c>
      <c r="BI410" s="2409" t="s">
        <v>2290</v>
      </c>
      <c r="BJ410" s="2466">
        <v>297405</v>
      </c>
      <c r="BK410" s="530"/>
      <c r="BV410" s="3082" t="str">
        <f t="shared" si="6"/>
        <v/>
      </c>
      <c r="CT410" s="531"/>
      <c r="DA410" s="2558"/>
      <c r="EI410" s="2689" t="s">
        <v>10729</v>
      </c>
    </row>
    <row r="411" spans="1:139" ht="101.5">
      <c r="A411" s="532"/>
      <c r="H411" s="3442" t="s">
        <v>7144</v>
      </c>
      <c r="I411" s="3442" t="s">
        <v>2477</v>
      </c>
      <c r="AR411" s="101" t="s">
        <v>9273</v>
      </c>
      <c r="BH411" s="2406">
        <v>5249007028</v>
      </c>
      <c r="BI411" s="2409" t="s">
        <v>2052</v>
      </c>
      <c r="BJ411" s="2466">
        <v>125727</v>
      </c>
      <c r="BK411" s="530"/>
      <c r="BV411" s="3082" t="str">
        <f t="shared" si="6"/>
        <v/>
      </c>
      <c r="CT411" s="531"/>
      <c r="DA411" s="2558"/>
      <c r="EI411" s="2689" t="s">
        <v>10730</v>
      </c>
    </row>
    <row r="412" spans="1:139" ht="58">
      <c r="A412" s="532"/>
      <c r="H412" s="3442" t="s">
        <v>6162</v>
      </c>
      <c r="I412" s="3442" t="s">
        <v>3285</v>
      </c>
      <c r="AR412" s="101" t="s">
        <v>9274</v>
      </c>
      <c r="BH412" s="2406">
        <v>5250018433</v>
      </c>
      <c r="BI412" s="2409" t="s">
        <v>1267</v>
      </c>
      <c r="BJ412" s="2466">
        <v>259931</v>
      </c>
      <c r="BK412" s="530"/>
      <c r="BV412" s="3082" t="str">
        <f t="shared" si="6"/>
        <v/>
      </c>
      <c r="CT412" s="531"/>
      <c r="DA412" s="2558"/>
      <c r="EI412" s="2689" t="s">
        <v>10731</v>
      </c>
    </row>
    <row r="413" spans="1:139" ht="58">
      <c r="A413" s="532"/>
      <c r="H413" s="3442" t="s">
        <v>6847</v>
      </c>
      <c r="I413" s="3442" t="s">
        <v>2477</v>
      </c>
      <c r="AR413" s="101" t="s">
        <v>9275</v>
      </c>
      <c r="BH413" s="2406">
        <v>5254021677</v>
      </c>
      <c r="BI413" s="2409" t="s">
        <v>1275</v>
      </c>
      <c r="BJ413" s="2466">
        <v>203910</v>
      </c>
      <c r="BK413" s="530"/>
      <c r="BV413" s="3082" t="str">
        <f t="shared" si="6"/>
        <v/>
      </c>
      <c r="CT413" s="531"/>
      <c r="DA413" s="2558"/>
      <c r="EI413" s="2689" t="s">
        <v>10732</v>
      </c>
    </row>
    <row r="414" spans="1:139" ht="63.5">
      <c r="A414" s="532"/>
      <c r="H414" s="3442" t="s">
        <v>7643</v>
      </c>
      <c r="I414" s="3442" t="s">
        <v>2477</v>
      </c>
      <c r="AR414" s="101" t="s">
        <v>9276</v>
      </c>
      <c r="BH414" s="2406">
        <v>5254021740</v>
      </c>
      <c r="BI414" s="2409" t="s">
        <v>2949</v>
      </c>
      <c r="BJ414" s="2466">
        <v>215583</v>
      </c>
      <c r="BK414" s="530"/>
      <c r="BV414" s="3082" t="str">
        <f t="shared" si="6"/>
        <v/>
      </c>
      <c r="CT414" s="531"/>
      <c r="DA414" s="2558"/>
      <c r="EI414" s="2689" t="s">
        <v>10733</v>
      </c>
    </row>
    <row r="415" spans="1:139" ht="58">
      <c r="A415" s="532"/>
      <c r="H415" s="3442" t="s">
        <v>7520</v>
      </c>
      <c r="I415" s="3442" t="s">
        <v>2477</v>
      </c>
      <c r="AR415" s="101" t="s">
        <v>9277</v>
      </c>
      <c r="BH415" s="2406">
        <v>5254022656</v>
      </c>
      <c r="BI415" s="2409" t="s">
        <v>1945</v>
      </c>
      <c r="BJ415" s="2466">
        <v>274879</v>
      </c>
      <c r="BK415" s="530"/>
      <c r="BV415" s="3082" t="str">
        <f t="shared" si="6"/>
        <v/>
      </c>
      <c r="CT415" s="531"/>
      <c r="DA415" s="2558"/>
      <c r="EI415" s="2689" t="s">
        <v>10734</v>
      </c>
    </row>
    <row r="416" spans="1:139" ht="101.5">
      <c r="A416" s="532"/>
      <c r="H416" s="3442" t="s">
        <v>9813</v>
      </c>
      <c r="I416" s="3442" t="s">
        <v>3285</v>
      </c>
      <c r="AR416" s="101" t="s">
        <v>9278</v>
      </c>
      <c r="BH416" s="2406">
        <v>5254024580</v>
      </c>
      <c r="BI416" s="2409" t="s">
        <v>2590</v>
      </c>
      <c r="BJ416" s="2466">
        <v>263152</v>
      </c>
      <c r="BK416" s="530"/>
      <c r="BV416" s="3082" t="str">
        <f t="shared" si="6"/>
        <v/>
      </c>
      <c r="CT416" s="531"/>
      <c r="DA416" s="2558"/>
      <c r="EI416" s="2689" t="s">
        <v>10735</v>
      </c>
    </row>
    <row r="417" spans="1:139" ht="43.5">
      <c r="A417" s="532"/>
      <c r="H417" s="3442" t="s">
        <v>9946</v>
      </c>
      <c r="I417" s="3442" t="s">
        <v>2477</v>
      </c>
      <c r="AR417" s="101" t="s">
        <v>9279</v>
      </c>
      <c r="BH417" s="2406">
        <v>5254026273</v>
      </c>
      <c r="BI417" s="2409" t="s">
        <v>2612</v>
      </c>
      <c r="BJ417" s="2466">
        <v>125783</v>
      </c>
      <c r="BK417" s="530"/>
      <c r="BV417" s="3082" t="str">
        <f t="shared" si="6"/>
        <v/>
      </c>
      <c r="CT417" s="531"/>
      <c r="DA417" s="2558"/>
      <c r="EI417" s="2689" t="s">
        <v>10736</v>
      </c>
    </row>
    <row r="418" spans="1:139" ht="58">
      <c r="A418" s="532"/>
      <c r="H418" s="3442" t="s">
        <v>9947</v>
      </c>
      <c r="I418" s="3442" t="s">
        <v>2477</v>
      </c>
      <c r="AR418" s="101" t="s">
        <v>9280</v>
      </c>
      <c r="BH418" s="2406">
        <v>5254027260</v>
      </c>
      <c r="BI418" s="2409" t="s">
        <v>2388</v>
      </c>
      <c r="BJ418" s="2466">
        <v>240934</v>
      </c>
      <c r="BK418" s="530"/>
      <c r="BV418" s="3082" t="str">
        <f t="shared" si="6"/>
        <v/>
      </c>
      <c r="CT418" s="531"/>
      <c r="DA418" s="2558"/>
      <c r="EI418" s="2689" t="s">
        <v>10737</v>
      </c>
    </row>
    <row r="419" spans="1:139" ht="43.5">
      <c r="A419" s="532"/>
      <c r="H419" s="3442" t="s">
        <v>14435</v>
      </c>
      <c r="I419" s="3442" t="s">
        <v>3285</v>
      </c>
      <c r="AR419" s="101" t="s">
        <v>10076</v>
      </c>
      <c r="BH419" s="2405">
        <v>5254082542</v>
      </c>
      <c r="BI419" s="2405" t="s">
        <v>2463</v>
      </c>
      <c r="BJ419" s="2466">
        <v>36</v>
      </c>
      <c r="BK419" s="530"/>
      <c r="BV419" s="3082" t="str">
        <f t="shared" si="6"/>
        <v/>
      </c>
      <c r="CT419" s="531"/>
      <c r="DA419" s="2558"/>
      <c r="EI419" s="2689" t="s">
        <v>10738</v>
      </c>
    </row>
    <row r="420" spans="1:139" ht="58">
      <c r="A420" s="532"/>
      <c r="H420" s="3442" t="s">
        <v>14635</v>
      </c>
      <c r="I420" s="3442" t="s">
        <v>2477</v>
      </c>
      <c r="AR420" s="101" t="s">
        <v>9281</v>
      </c>
      <c r="BH420" s="2405">
        <v>5254082616</v>
      </c>
      <c r="BI420" s="2405" t="s">
        <v>2929</v>
      </c>
      <c r="BJ420" s="2466">
        <v>39</v>
      </c>
      <c r="BK420" s="530"/>
      <c r="BV420" s="3082" t="str">
        <f t="shared" si="6"/>
        <v/>
      </c>
      <c r="CT420" s="531"/>
      <c r="DA420" s="2558"/>
      <c r="EI420" s="2689" t="s">
        <v>10739</v>
      </c>
    </row>
    <row r="421" spans="1:139" ht="29">
      <c r="A421" s="532"/>
      <c r="H421" s="3442" t="s">
        <v>4834</v>
      </c>
      <c r="I421" s="3442" t="s">
        <v>2477</v>
      </c>
      <c r="AR421" s="101" t="s">
        <v>9282</v>
      </c>
      <c r="BH421" s="2405">
        <v>5254082648</v>
      </c>
      <c r="BI421" s="2405" t="s">
        <v>4949</v>
      </c>
      <c r="BJ421" s="2466">
        <v>173052</v>
      </c>
      <c r="BK421" s="530"/>
      <c r="BV421" s="3082" t="str">
        <f t="shared" si="6"/>
        <v/>
      </c>
      <c r="CT421" s="531"/>
      <c r="DA421" s="2558"/>
      <c r="EI421" s="2689" t="s">
        <v>10740</v>
      </c>
    </row>
    <row r="422" spans="1:139" ht="43.5">
      <c r="A422" s="532"/>
      <c r="H422" s="3442" t="s">
        <v>4835</v>
      </c>
      <c r="I422" s="3442" t="s">
        <v>2477</v>
      </c>
      <c r="AR422" s="101" t="s">
        <v>9283</v>
      </c>
      <c r="BH422" s="2406">
        <v>5254481787</v>
      </c>
      <c r="BI422" s="2409" t="s">
        <v>1960</v>
      </c>
      <c r="BJ422" s="2466">
        <v>186679</v>
      </c>
      <c r="BK422" s="530"/>
      <c r="BV422" s="3082" t="str">
        <f t="shared" si="6"/>
        <v/>
      </c>
      <c r="CT422" s="531"/>
      <c r="DA422" s="2558"/>
      <c r="EI422" s="2689" t="s">
        <v>10741</v>
      </c>
    </row>
    <row r="423" spans="1:139" ht="58">
      <c r="A423" s="532"/>
      <c r="H423" s="3442" t="s">
        <v>2344</v>
      </c>
      <c r="I423" s="3442" t="s">
        <v>2477</v>
      </c>
      <c r="AR423" s="101" t="s">
        <v>9284</v>
      </c>
      <c r="BH423" s="2406">
        <v>5254484643</v>
      </c>
      <c r="BI423" s="2409" t="s">
        <v>2383</v>
      </c>
      <c r="BJ423" s="2466">
        <v>288349</v>
      </c>
      <c r="BK423" s="530"/>
      <c r="BV423" s="3082" t="str">
        <f t="shared" si="6"/>
        <v/>
      </c>
      <c r="CT423" s="531"/>
      <c r="DA423" s="2558"/>
      <c r="EI423" s="2689" t="s">
        <v>10742</v>
      </c>
    </row>
    <row r="424" spans="1:139" ht="26">
      <c r="A424" s="532"/>
      <c r="H424" s="3442" t="s">
        <v>2346</v>
      </c>
      <c r="I424" s="3442" t="s">
        <v>2477</v>
      </c>
      <c r="AR424" s="101" t="s">
        <v>9285</v>
      </c>
      <c r="BH424" s="2406">
        <v>5256037915</v>
      </c>
      <c r="BI424" s="2409" t="s">
        <v>1951</v>
      </c>
      <c r="BJ424" s="2466">
        <v>109156</v>
      </c>
      <c r="BK424" s="530"/>
      <c r="BV424" s="3082" t="str">
        <f t="shared" si="6"/>
        <v/>
      </c>
      <c r="CT424" s="531"/>
      <c r="DA424" s="2558"/>
      <c r="EI424" s="2689" t="s">
        <v>10743</v>
      </c>
    </row>
    <row r="425" spans="1:139" ht="43.5">
      <c r="A425" s="532"/>
      <c r="H425" s="3442" t="s">
        <v>4836</v>
      </c>
      <c r="I425" s="3442" t="s">
        <v>2477</v>
      </c>
      <c r="AR425" s="101" t="s">
        <v>9286</v>
      </c>
      <c r="BH425" s="2406">
        <v>5256042739</v>
      </c>
      <c r="BI425" s="2409" t="s">
        <v>2348</v>
      </c>
      <c r="BJ425" s="2466">
        <v>207026</v>
      </c>
      <c r="BK425" s="530"/>
      <c r="BV425" s="3082" t="str">
        <f t="shared" si="6"/>
        <v/>
      </c>
      <c r="CT425" s="531"/>
      <c r="DA425" s="2558"/>
      <c r="EI425" s="2689" t="s">
        <v>10744</v>
      </c>
    </row>
    <row r="426" spans="1:139" ht="29">
      <c r="A426" s="532"/>
      <c r="H426" s="3442" t="s">
        <v>2347</v>
      </c>
      <c r="I426" s="3442" t="s">
        <v>2477</v>
      </c>
      <c r="AR426" s="101" t="s">
        <v>9287</v>
      </c>
      <c r="BH426" s="2406">
        <v>5256049950</v>
      </c>
      <c r="BI426" s="2409" t="s">
        <v>1948</v>
      </c>
      <c r="BJ426" s="2466">
        <v>182389</v>
      </c>
      <c r="BK426" s="530"/>
      <c r="BV426" s="3082" t="str">
        <f t="shared" si="6"/>
        <v/>
      </c>
      <c r="CT426" s="531"/>
      <c r="DA426" s="2558"/>
      <c r="EI426" s="2689" t="s">
        <v>10745</v>
      </c>
    </row>
    <row r="427" spans="1:139" ht="29">
      <c r="A427" s="532"/>
      <c r="H427" s="3442" t="s">
        <v>14436</v>
      </c>
      <c r="I427" s="3442" t="s">
        <v>2477</v>
      </c>
      <c r="AR427" s="101" t="s">
        <v>9288</v>
      </c>
      <c r="BH427" s="2406">
        <v>5256075678</v>
      </c>
      <c r="BI427" s="2409" t="s">
        <v>1905</v>
      </c>
      <c r="BJ427" s="2466">
        <v>201787</v>
      </c>
      <c r="BK427" s="530"/>
      <c r="BV427" s="3082" t="str">
        <f t="shared" ref="BV427:BV490" si="7">CONCATENATE(LEFT(BU427,8),RIGHT(BU427,9))</f>
        <v/>
      </c>
      <c r="CT427" s="531"/>
      <c r="DA427" s="2558"/>
      <c r="EI427" s="2689" t="s">
        <v>10746</v>
      </c>
    </row>
    <row r="428" spans="1:139" ht="38.5">
      <c r="A428" s="532"/>
      <c r="H428" s="3442" t="s">
        <v>14237</v>
      </c>
      <c r="I428" s="3442" t="s">
        <v>2477</v>
      </c>
      <c r="AR428" s="101" t="s">
        <v>9289</v>
      </c>
      <c r="BH428" s="2406">
        <v>5256098971</v>
      </c>
      <c r="BI428" s="2409" t="s">
        <v>3140</v>
      </c>
      <c r="BJ428" s="2466">
        <v>225578</v>
      </c>
      <c r="BK428" s="530"/>
      <c r="BV428" s="3082" t="str">
        <f t="shared" si="7"/>
        <v/>
      </c>
      <c r="CT428" s="531"/>
      <c r="DA428" s="2558"/>
      <c r="EI428" s="2689" t="s">
        <v>10747</v>
      </c>
    </row>
    <row r="429" spans="1:139" ht="58">
      <c r="A429" s="532"/>
      <c r="H429" s="3442" t="s">
        <v>14437</v>
      </c>
      <c r="I429" s="3442" t="s">
        <v>2477</v>
      </c>
      <c r="AR429" s="101" t="s">
        <v>9290</v>
      </c>
      <c r="BH429" s="2406">
        <v>5257062840</v>
      </c>
      <c r="BI429" s="2409" t="s">
        <v>3613</v>
      </c>
      <c r="BJ429" s="2466">
        <v>109165</v>
      </c>
      <c r="BK429" s="530"/>
      <c r="BV429" s="3082" t="str">
        <f t="shared" si="7"/>
        <v/>
      </c>
      <c r="CT429" s="531"/>
      <c r="DA429" s="2558"/>
      <c r="EI429" s="2689" t="s">
        <v>10748</v>
      </c>
    </row>
    <row r="430" spans="1:139" ht="43.5">
      <c r="A430" s="532"/>
      <c r="H430" s="3442" t="s">
        <v>14438</v>
      </c>
      <c r="I430" s="3442" t="s">
        <v>3285</v>
      </c>
      <c r="AR430" s="101" t="s">
        <v>9291</v>
      </c>
      <c r="BH430" s="2406">
        <v>5257084700</v>
      </c>
      <c r="BI430" s="2409" t="s">
        <v>2356</v>
      </c>
      <c r="BJ430" s="2466">
        <v>125818</v>
      </c>
      <c r="BK430" s="530"/>
      <c r="BV430" s="3082" t="str">
        <f t="shared" si="7"/>
        <v/>
      </c>
      <c r="CT430" s="531"/>
      <c r="DA430" s="2558"/>
      <c r="EI430" s="2689" t="s">
        <v>10749</v>
      </c>
    </row>
    <row r="431" spans="1:139" ht="38.5">
      <c r="A431" s="532"/>
      <c r="H431" s="3442" t="s">
        <v>14439</v>
      </c>
      <c r="I431" s="3442" t="s">
        <v>3285</v>
      </c>
      <c r="AR431" s="101" t="s">
        <v>9292</v>
      </c>
      <c r="BH431" s="2406">
        <v>5257108703</v>
      </c>
      <c r="BI431" s="2409" t="s">
        <v>2699</v>
      </c>
      <c r="BJ431" s="2466">
        <v>285546</v>
      </c>
      <c r="BK431" s="530"/>
      <c r="BV431" s="3082" t="str">
        <f t="shared" si="7"/>
        <v/>
      </c>
      <c r="CT431" s="531"/>
      <c r="DA431" s="2558"/>
      <c r="EI431" s="2689" t="s">
        <v>10750</v>
      </c>
    </row>
    <row r="432" spans="1:139" ht="43.5">
      <c r="A432" s="532"/>
      <c r="H432" s="3442" t="s">
        <v>14440</v>
      </c>
      <c r="I432" s="3442" t="s">
        <v>3152</v>
      </c>
      <c r="AR432" s="101" t="s">
        <v>9293</v>
      </c>
      <c r="BH432" s="2406">
        <v>5258060846</v>
      </c>
      <c r="BI432" s="2409" t="s">
        <v>1907</v>
      </c>
      <c r="BJ432" s="2466">
        <v>267716</v>
      </c>
      <c r="BK432" s="530"/>
      <c r="BV432" s="3082" t="str">
        <f t="shared" si="7"/>
        <v/>
      </c>
      <c r="CT432" s="531"/>
      <c r="DA432" s="2558"/>
      <c r="EI432" s="2689" t="s">
        <v>10751</v>
      </c>
    </row>
    <row r="433" spans="1:139" ht="43.5">
      <c r="A433" s="532"/>
      <c r="H433" s="3442" t="s">
        <v>14441</v>
      </c>
      <c r="I433" s="3442" t="s">
        <v>3152</v>
      </c>
      <c r="AR433" s="101" t="s">
        <v>9294</v>
      </c>
      <c r="BH433" s="2406">
        <v>5258073965</v>
      </c>
      <c r="BI433" s="2409" t="s">
        <v>1942</v>
      </c>
      <c r="BJ433" s="2466">
        <v>267808</v>
      </c>
      <c r="BK433" s="530"/>
      <c r="BV433" s="3082" t="str">
        <f t="shared" si="7"/>
        <v/>
      </c>
      <c r="CT433" s="531"/>
      <c r="DA433" s="2558"/>
      <c r="EI433" s="2689" t="s">
        <v>10752</v>
      </c>
    </row>
    <row r="434" spans="1:139" ht="43.5">
      <c r="A434" s="532"/>
      <c r="H434" s="3442" t="s">
        <v>14442</v>
      </c>
      <c r="I434" s="3442" t="s">
        <v>3285</v>
      </c>
      <c r="AR434" s="101" t="s">
        <v>9295</v>
      </c>
      <c r="BH434" s="2406">
        <v>5258084519</v>
      </c>
      <c r="BI434" s="2409" t="s">
        <v>2196</v>
      </c>
      <c r="BJ434" s="2466">
        <v>204572</v>
      </c>
      <c r="BK434" s="530"/>
      <c r="BV434" s="3082" t="str">
        <f t="shared" si="7"/>
        <v/>
      </c>
      <c r="CT434" s="531"/>
      <c r="DA434" s="2558"/>
      <c r="EI434" s="2689" t="s">
        <v>10753</v>
      </c>
    </row>
    <row r="435" spans="1:139" ht="38.5">
      <c r="A435" s="532"/>
      <c r="H435" s="3442" t="s">
        <v>14443</v>
      </c>
      <c r="I435" s="3442" t="s">
        <v>3152</v>
      </c>
      <c r="AR435" s="101" t="s">
        <v>9296</v>
      </c>
      <c r="BH435" s="2406">
        <v>5258088520</v>
      </c>
      <c r="BI435" s="2409" t="s">
        <v>1925</v>
      </c>
      <c r="BJ435" s="2466">
        <v>206616</v>
      </c>
      <c r="BK435" s="530"/>
      <c r="BV435" s="3082" t="str">
        <f t="shared" si="7"/>
        <v/>
      </c>
      <c r="CT435" s="531"/>
      <c r="DA435" s="2558"/>
      <c r="EI435" s="2689" t="s">
        <v>10754</v>
      </c>
    </row>
    <row r="436" spans="1:139" ht="72.5">
      <c r="A436" s="532"/>
      <c r="H436" s="3442" t="s">
        <v>14444</v>
      </c>
      <c r="I436" s="3442" t="s">
        <v>3152</v>
      </c>
      <c r="AR436" s="101" t="s">
        <v>9297</v>
      </c>
      <c r="BH436" s="2406">
        <v>5259033080</v>
      </c>
      <c r="BI436" s="2409" t="s">
        <v>2501</v>
      </c>
      <c r="BJ436" s="2466">
        <v>227550</v>
      </c>
      <c r="BK436" s="530"/>
      <c r="BV436" s="3082" t="str">
        <f t="shared" si="7"/>
        <v/>
      </c>
      <c r="CT436" s="531"/>
      <c r="DA436" s="2558"/>
      <c r="EI436" s="2689" t="s">
        <v>10755</v>
      </c>
    </row>
    <row r="437" spans="1:139" ht="38.5">
      <c r="A437" s="532"/>
      <c r="H437" s="3442" t="s">
        <v>14445</v>
      </c>
      <c r="I437" s="3442" t="s">
        <v>3152</v>
      </c>
      <c r="AR437" s="101" t="s">
        <v>9298</v>
      </c>
      <c r="BH437" s="2406">
        <v>5259086854</v>
      </c>
      <c r="BI437" s="2409" t="s">
        <v>3149</v>
      </c>
      <c r="BJ437" s="2466">
        <v>268761</v>
      </c>
      <c r="BK437" s="530"/>
      <c r="BV437" s="3082" t="str">
        <f t="shared" si="7"/>
        <v/>
      </c>
      <c r="CT437" s="531"/>
      <c r="DA437" s="2558"/>
      <c r="EI437" s="2689" t="s">
        <v>10756</v>
      </c>
    </row>
    <row r="438" spans="1:139" ht="38.5">
      <c r="A438" s="532"/>
      <c r="H438" s="3442" t="s">
        <v>14446</v>
      </c>
      <c r="I438" s="3442" t="s">
        <v>3152</v>
      </c>
      <c r="AR438" s="101" t="s">
        <v>9299</v>
      </c>
      <c r="BH438" s="2406">
        <v>5260000210</v>
      </c>
      <c r="BI438" s="2409" t="s">
        <v>1257</v>
      </c>
      <c r="BJ438" s="2466">
        <v>273150</v>
      </c>
      <c r="BK438" s="530"/>
      <c r="BV438" s="3082" t="str">
        <f t="shared" si="7"/>
        <v/>
      </c>
      <c r="CT438" s="531"/>
      <c r="DA438" s="2558"/>
      <c r="EI438" s="2689" t="s">
        <v>10757</v>
      </c>
    </row>
    <row r="439" spans="1:139" ht="29">
      <c r="A439" s="532"/>
      <c r="H439" s="3442" t="s">
        <v>2352</v>
      </c>
      <c r="I439" s="3442" t="s">
        <v>2477</v>
      </c>
      <c r="AR439" s="101" t="s">
        <v>9300</v>
      </c>
      <c r="BH439" s="2406">
        <v>5260002545</v>
      </c>
      <c r="BI439" s="2409" t="s">
        <v>1952</v>
      </c>
      <c r="BJ439" s="2466">
        <v>246399</v>
      </c>
      <c r="BK439" s="530"/>
      <c r="BV439" s="3082" t="str">
        <f t="shared" si="7"/>
        <v/>
      </c>
      <c r="CT439" s="531"/>
      <c r="DA439" s="2558"/>
      <c r="EI439" s="2689" t="s">
        <v>10758</v>
      </c>
    </row>
    <row r="440" spans="1:139">
      <c r="A440" s="532"/>
      <c r="H440" s="3442" t="s">
        <v>2353</v>
      </c>
      <c r="I440" s="3139"/>
      <c r="AR440" s="101" t="s">
        <v>9301</v>
      </c>
      <c r="BH440" s="2406">
        <v>5260059044</v>
      </c>
      <c r="BI440" s="2409" t="s">
        <v>2357</v>
      </c>
      <c r="BJ440" s="2466">
        <v>125830</v>
      </c>
      <c r="BK440" s="530"/>
      <c r="BV440" s="3082" t="str">
        <f t="shared" si="7"/>
        <v/>
      </c>
      <c r="CT440" s="531"/>
      <c r="DA440" s="2558"/>
      <c r="EI440" s="2689" t="s">
        <v>10759</v>
      </c>
    </row>
    <row r="441" spans="1:139" ht="72.5">
      <c r="A441" s="532"/>
      <c r="H441" s="3442" t="s">
        <v>91</v>
      </c>
      <c r="I441" s="3442" t="s">
        <v>2477</v>
      </c>
      <c r="AR441" s="101" t="s">
        <v>9302</v>
      </c>
      <c r="BH441" s="2406">
        <v>5260070633</v>
      </c>
      <c r="BI441" s="2409" t="s">
        <v>2489</v>
      </c>
      <c r="BJ441" s="2466">
        <v>162357</v>
      </c>
      <c r="BK441" s="530"/>
      <c r="BV441" s="3082" t="str">
        <f t="shared" si="7"/>
        <v/>
      </c>
      <c r="CT441" s="531"/>
      <c r="DA441" s="2558"/>
      <c r="EI441" s="2689" t="s">
        <v>10760</v>
      </c>
    </row>
    <row r="442" spans="1:139" ht="29">
      <c r="A442" s="532"/>
      <c r="H442" s="3442" t="s">
        <v>4841</v>
      </c>
      <c r="I442" s="3442" t="s">
        <v>2477</v>
      </c>
      <c r="AR442" s="101" t="s">
        <v>9303</v>
      </c>
      <c r="BH442" s="2406">
        <v>5260080007</v>
      </c>
      <c r="BI442" s="2409" t="s">
        <v>187</v>
      </c>
      <c r="BJ442" s="2466">
        <v>228343</v>
      </c>
      <c r="BK442" s="530"/>
      <c r="BV442" s="3082" t="str">
        <f t="shared" si="7"/>
        <v/>
      </c>
      <c r="CT442" s="531"/>
      <c r="DA442" s="2558"/>
      <c r="EI442" s="2689" t="s">
        <v>10761</v>
      </c>
    </row>
    <row r="443" spans="1:139" ht="43.5">
      <c r="A443" s="532"/>
      <c r="H443" s="3442" t="s">
        <v>1138</v>
      </c>
      <c r="I443" s="3139"/>
      <c r="AR443" s="101" t="s">
        <v>9304</v>
      </c>
      <c r="BH443" s="2406">
        <v>5260120524</v>
      </c>
      <c r="BI443" s="2409" t="s">
        <v>2683</v>
      </c>
      <c r="BJ443" s="2466">
        <v>107876</v>
      </c>
      <c r="BK443" s="530"/>
      <c r="BV443" s="3082" t="str">
        <f t="shared" si="7"/>
        <v/>
      </c>
      <c r="CT443" s="531"/>
      <c r="DA443" s="2558"/>
      <c r="EI443" s="2689" t="s">
        <v>10762</v>
      </c>
    </row>
    <row r="444" spans="1:139">
      <c r="A444" s="532"/>
      <c r="H444" s="3132" t="s">
        <v>8754</v>
      </c>
      <c r="I444" s="3139" t="s">
        <v>3104</v>
      </c>
      <c r="AR444" s="101" t="s">
        <v>9305</v>
      </c>
      <c r="BH444" s="2406">
        <v>5260158510</v>
      </c>
      <c r="BI444" s="2409" t="s">
        <v>2358</v>
      </c>
      <c r="BJ444" s="2466">
        <v>115905</v>
      </c>
      <c r="BK444" s="530"/>
      <c r="BV444" s="3082" t="str">
        <f t="shared" si="7"/>
        <v/>
      </c>
      <c r="CT444" s="531"/>
      <c r="DA444" s="2558"/>
      <c r="EI444" s="2689" t="s">
        <v>10763</v>
      </c>
    </row>
    <row r="445" spans="1:139" ht="58">
      <c r="A445" s="532"/>
      <c r="H445" s="3132" t="s">
        <v>8755</v>
      </c>
      <c r="I445" s="3139" t="s">
        <v>3104</v>
      </c>
      <c r="AR445" s="101" t="s">
        <v>9306</v>
      </c>
      <c r="BH445" s="2406">
        <v>5260184574</v>
      </c>
      <c r="BI445" s="2409" t="s">
        <v>1962</v>
      </c>
      <c r="BJ445" s="2466">
        <v>206294</v>
      </c>
      <c r="BK445" s="530"/>
      <c r="BV445" s="3082" t="str">
        <f t="shared" si="7"/>
        <v/>
      </c>
      <c r="CT445" s="531"/>
      <c r="DA445" s="2558"/>
      <c r="EI445" s="2689" t="s">
        <v>10764</v>
      </c>
    </row>
    <row r="446" spans="1:139" ht="43.5">
      <c r="A446" s="532"/>
      <c r="H446" s="3132" t="s">
        <v>8756</v>
      </c>
      <c r="I446" s="3139" t="s">
        <v>3104</v>
      </c>
      <c r="AR446" s="101" t="s">
        <v>9307</v>
      </c>
      <c r="BH446" s="2406">
        <v>5260200603</v>
      </c>
      <c r="BI446" s="2409" t="s">
        <v>2376</v>
      </c>
      <c r="BJ446" s="2466">
        <v>109183</v>
      </c>
      <c r="BK446" s="530"/>
      <c r="BV446" s="3082" t="str">
        <f t="shared" si="7"/>
        <v/>
      </c>
      <c r="CT446" s="531"/>
      <c r="DA446" s="2558"/>
      <c r="EI446" s="2689" t="s">
        <v>10765</v>
      </c>
    </row>
    <row r="447" spans="1:139" ht="116">
      <c r="A447" s="532"/>
      <c r="H447" s="3132" t="s">
        <v>8757</v>
      </c>
      <c r="I447" s="3139" t="s">
        <v>3104</v>
      </c>
      <c r="AR447" s="101" t="s">
        <v>9308</v>
      </c>
      <c r="BH447" s="2406">
        <v>5260305324</v>
      </c>
      <c r="BI447" s="2409" t="s">
        <v>1912</v>
      </c>
      <c r="BJ447" s="2466">
        <v>225764</v>
      </c>
      <c r="BK447" s="530"/>
      <c r="BV447" s="3082" t="str">
        <f t="shared" si="7"/>
        <v/>
      </c>
      <c r="CT447" s="531"/>
      <c r="DA447" s="2558"/>
      <c r="EI447" s="2689" t="s">
        <v>10766</v>
      </c>
    </row>
    <row r="448" spans="1:139" ht="43.5">
      <c r="A448" s="532"/>
      <c r="H448" s="3132" t="s">
        <v>8758</v>
      </c>
      <c r="I448" s="3139" t="s">
        <v>2477</v>
      </c>
      <c r="AR448" s="101" t="s">
        <v>9309</v>
      </c>
      <c r="BH448" s="2406">
        <v>5260310765</v>
      </c>
      <c r="BI448" s="2409" t="s">
        <v>2469</v>
      </c>
      <c r="BJ448" s="2466">
        <v>262116</v>
      </c>
      <c r="BK448" s="530"/>
      <c r="BV448" s="3082" t="str">
        <f t="shared" si="7"/>
        <v/>
      </c>
      <c r="CT448" s="531"/>
      <c r="DA448" s="2558"/>
      <c r="EI448" s="2689" t="s">
        <v>10767</v>
      </c>
    </row>
    <row r="449" spans="1:139" ht="58">
      <c r="A449" s="532"/>
      <c r="H449" s="3132" t="s">
        <v>8759</v>
      </c>
      <c r="I449" s="3139" t="s">
        <v>2477</v>
      </c>
      <c r="AR449" s="101" t="s">
        <v>9310</v>
      </c>
      <c r="BH449" s="2406">
        <v>5260900490</v>
      </c>
      <c r="BI449" s="2409" t="s">
        <v>2457</v>
      </c>
      <c r="BJ449" s="2466">
        <v>184068</v>
      </c>
      <c r="BK449" s="530"/>
      <c r="BV449" s="3082" t="str">
        <f t="shared" si="7"/>
        <v/>
      </c>
      <c r="CT449" s="531"/>
      <c r="DA449" s="2558"/>
      <c r="EI449" s="2689" t="s">
        <v>10768</v>
      </c>
    </row>
    <row r="450" spans="1:139" ht="43.5">
      <c r="A450" s="532"/>
      <c r="H450" s="3132" t="s">
        <v>8760</v>
      </c>
      <c r="I450" s="3139" t="s">
        <v>2477</v>
      </c>
      <c r="AR450" s="101" t="s">
        <v>9311</v>
      </c>
      <c r="BH450" s="2406">
        <v>5261001417</v>
      </c>
      <c r="BI450" s="2409" t="s">
        <v>2656</v>
      </c>
      <c r="BJ450" s="2466">
        <v>218331</v>
      </c>
      <c r="BK450" s="530"/>
      <c r="BV450" s="3082" t="str">
        <f t="shared" si="7"/>
        <v/>
      </c>
      <c r="CT450" s="531"/>
      <c r="DA450" s="2558"/>
      <c r="EI450" s="2689" t="s">
        <v>10769</v>
      </c>
    </row>
    <row r="451" spans="1:139" ht="72.5">
      <c r="A451" s="532"/>
      <c r="H451" s="3132" t="s">
        <v>8761</v>
      </c>
      <c r="I451" s="3139" t="s">
        <v>2477</v>
      </c>
      <c r="AR451" s="101" t="s">
        <v>9312</v>
      </c>
      <c r="BH451" s="2406">
        <v>5261007105</v>
      </c>
      <c r="BI451" s="2409" t="s">
        <v>1926</v>
      </c>
      <c r="BJ451" s="2466">
        <v>206714</v>
      </c>
      <c r="BK451" s="530"/>
      <c r="BV451" s="3082" t="str">
        <f t="shared" si="7"/>
        <v/>
      </c>
      <c r="CT451" s="531"/>
      <c r="DA451" s="2558"/>
      <c r="EI451" s="2689" t="s">
        <v>10770</v>
      </c>
    </row>
    <row r="452" spans="1:139">
      <c r="A452" s="532"/>
      <c r="AR452" s="101" t="s">
        <v>9313</v>
      </c>
      <c r="BH452" s="2406">
        <v>5261037460</v>
      </c>
      <c r="BI452" s="2409" t="s">
        <v>1933</v>
      </c>
      <c r="BJ452" s="2466">
        <v>238616</v>
      </c>
      <c r="BK452" s="530"/>
      <c r="BV452" s="3082" t="str">
        <f t="shared" si="7"/>
        <v/>
      </c>
      <c r="CT452" s="531"/>
      <c r="DA452" s="2558"/>
      <c r="EI452" s="2689" t="s">
        <v>10771</v>
      </c>
    </row>
    <row r="453" spans="1:139">
      <c r="A453" s="532"/>
      <c r="AR453" s="101" t="s">
        <v>9314</v>
      </c>
      <c r="BH453" s="2406">
        <v>5261077776</v>
      </c>
      <c r="BI453" s="2409" t="s">
        <v>2478</v>
      </c>
      <c r="BJ453" s="2466">
        <v>309985</v>
      </c>
      <c r="BK453" s="530"/>
      <c r="BV453" s="3082" t="str">
        <f t="shared" si="7"/>
        <v/>
      </c>
      <c r="CT453" s="531"/>
      <c r="DA453" s="2558"/>
      <c r="EI453" s="2689" t="s">
        <v>10772</v>
      </c>
    </row>
    <row r="454" spans="1:139">
      <c r="A454" s="532"/>
      <c r="AR454" s="101" t="s">
        <v>9315</v>
      </c>
      <c r="BH454" s="2406">
        <v>5262006584</v>
      </c>
      <c r="BI454" s="2409" t="s">
        <v>2015</v>
      </c>
      <c r="BJ454" s="2466">
        <v>125935</v>
      </c>
      <c r="BK454" s="530"/>
      <c r="BV454" s="3082" t="str">
        <f t="shared" si="7"/>
        <v/>
      </c>
      <c r="CT454" s="531"/>
      <c r="DA454" s="2558"/>
      <c r="EI454" s="2689" t="s">
        <v>10773</v>
      </c>
    </row>
    <row r="455" spans="1:139" ht="29">
      <c r="A455" s="532"/>
      <c r="AR455" s="101" t="s">
        <v>9316</v>
      </c>
      <c r="BH455" s="2406">
        <v>5262007588</v>
      </c>
      <c r="BI455" s="2409" t="s">
        <v>2046</v>
      </c>
      <c r="BJ455" s="2466">
        <v>125936</v>
      </c>
      <c r="BK455" s="530"/>
      <c r="BV455" s="3082" t="str">
        <f t="shared" si="7"/>
        <v/>
      </c>
      <c r="CT455" s="531"/>
      <c r="DA455" s="2558"/>
      <c r="EI455" s="2689" t="s">
        <v>10774</v>
      </c>
    </row>
    <row r="456" spans="1:139" ht="29">
      <c r="A456" s="532"/>
      <c r="AR456" s="101" t="s">
        <v>9317</v>
      </c>
      <c r="BH456" s="2406">
        <v>5262046682</v>
      </c>
      <c r="BI456" s="2409" t="s">
        <v>3167</v>
      </c>
      <c r="BJ456" s="2466">
        <v>125944</v>
      </c>
      <c r="BK456" s="530"/>
      <c r="BV456" s="3082" t="str">
        <f t="shared" si="7"/>
        <v/>
      </c>
      <c r="CT456" s="531"/>
      <c r="DA456" s="2558"/>
      <c r="EI456" s="2689" t="s">
        <v>10775</v>
      </c>
    </row>
    <row r="457" spans="1:139" ht="29">
      <c r="A457" s="532"/>
      <c r="AR457" s="101" t="s">
        <v>9318</v>
      </c>
      <c r="BH457" s="2406">
        <v>5262233139</v>
      </c>
      <c r="BI457" s="2409" t="s">
        <v>2409</v>
      </c>
      <c r="BJ457" s="2466">
        <v>197599</v>
      </c>
      <c r="BK457" s="530"/>
      <c r="BV457" s="3082" t="str">
        <f t="shared" si="7"/>
        <v/>
      </c>
      <c r="CT457" s="531"/>
      <c r="DA457" s="2558"/>
      <c r="EI457" s="2689" t="s">
        <v>10776</v>
      </c>
    </row>
    <row r="458" spans="1:139" ht="29">
      <c r="A458" s="532"/>
      <c r="AR458" s="101" t="s">
        <v>9319</v>
      </c>
      <c r="BH458" s="2406">
        <v>5262235168</v>
      </c>
      <c r="BI458" s="2409" t="s">
        <v>3165</v>
      </c>
      <c r="BJ458" s="2466">
        <v>125963</v>
      </c>
      <c r="BK458" s="530"/>
      <c r="BV458" s="3082" t="str">
        <f t="shared" si="7"/>
        <v/>
      </c>
      <c r="CT458" s="531"/>
      <c r="DA458" s="2558"/>
      <c r="EI458" s="2689" t="s">
        <v>10777</v>
      </c>
    </row>
    <row r="459" spans="1:139" ht="29">
      <c r="A459" s="532"/>
      <c r="AR459" s="101" t="s">
        <v>9320</v>
      </c>
      <c r="BH459" s="2406">
        <v>5321039753</v>
      </c>
      <c r="BI459" s="2409" t="s">
        <v>2237</v>
      </c>
      <c r="BJ459" s="2466">
        <v>403141</v>
      </c>
      <c r="BK459" s="530"/>
      <c r="BV459" s="3082" t="str">
        <f t="shared" si="7"/>
        <v/>
      </c>
      <c r="CT459" s="531"/>
      <c r="DA459" s="2558"/>
      <c r="EI459" s="2689" t="s">
        <v>10778</v>
      </c>
    </row>
    <row r="460" spans="1:139">
      <c r="A460" s="532"/>
      <c r="AR460" s="101" t="s">
        <v>9321</v>
      </c>
      <c r="BH460" s="2406">
        <v>5321071732</v>
      </c>
      <c r="BI460" s="2409" t="s">
        <v>2738</v>
      </c>
      <c r="BJ460" s="2466">
        <v>191112</v>
      </c>
      <c r="BK460" s="530"/>
      <c r="BV460" s="3082" t="str">
        <f t="shared" si="7"/>
        <v/>
      </c>
      <c r="CT460" s="531"/>
      <c r="DA460" s="2558"/>
      <c r="EI460" s="2689" t="s">
        <v>10779</v>
      </c>
    </row>
    <row r="461" spans="1:139" ht="43.5">
      <c r="A461" s="532"/>
      <c r="AR461" s="101" t="s">
        <v>9322</v>
      </c>
      <c r="BH461" s="2406">
        <v>5401192066</v>
      </c>
      <c r="BI461" s="2409" t="s">
        <v>2945</v>
      </c>
      <c r="BJ461" s="2466">
        <v>175806</v>
      </c>
      <c r="BK461" s="530"/>
      <c r="BV461" s="3082" t="str">
        <f t="shared" si="7"/>
        <v/>
      </c>
      <c r="CT461" s="531"/>
      <c r="DA461" s="2558"/>
      <c r="EI461" s="2689" t="s">
        <v>10780</v>
      </c>
    </row>
    <row r="462" spans="1:139" ht="43.5">
      <c r="A462" s="532"/>
      <c r="AR462" s="101" t="s">
        <v>9323</v>
      </c>
      <c r="BH462" s="2406">
        <v>5402453440</v>
      </c>
      <c r="BI462" s="2409" t="s">
        <v>3138</v>
      </c>
      <c r="BJ462" s="2466">
        <v>188015</v>
      </c>
      <c r="BK462" s="530"/>
      <c r="BV462" s="3082" t="str">
        <f t="shared" si="7"/>
        <v/>
      </c>
      <c r="CT462" s="531"/>
      <c r="DA462" s="2558"/>
      <c r="EI462" s="2689" t="s">
        <v>10781</v>
      </c>
    </row>
    <row r="463" spans="1:139" ht="29">
      <c r="A463" s="532"/>
      <c r="AR463" s="101" t="s">
        <v>9324</v>
      </c>
      <c r="BH463" s="2406">
        <v>5402468888</v>
      </c>
      <c r="BI463" s="2409" t="s">
        <v>2957</v>
      </c>
      <c r="BJ463" s="2466">
        <v>144783</v>
      </c>
      <c r="BK463" s="530"/>
      <c r="BV463" s="3082" t="str">
        <f t="shared" si="7"/>
        <v/>
      </c>
      <c r="CT463" s="531"/>
      <c r="DA463" s="2558"/>
      <c r="EI463" s="2689" t="s">
        <v>10782</v>
      </c>
    </row>
    <row r="464" spans="1:139" ht="29">
      <c r="A464" s="532"/>
      <c r="AR464" s="101" t="s">
        <v>9325</v>
      </c>
      <c r="BH464" s="2406">
        <v>5403102702</v>
      </c>
      <c r="BI464" s="2409" t="s">
        <v>2195</v>
      </c>
      <c r="BJ464" s="2466">
        <v>125994</v>
      </c>
      <c r="BK464" s="530"/>
      <c r="BV464" s="3082" t="str">
        <f t="shared" si="7"/>
        <v/>
      </c>
      <c r="CT464" s="531"/>
      <c r="DA464" s="2558"/>
      <c r="EI464" s="2689" t="s">
        <v>10783</v>
      </c>
    </row>
    <row r="465" spans="1:139" ht="43.5">
      <c r="A465" s="532"/>
      <c r="AR465" s="101" t="s">
        <v>9326</v>
      </c>
      <c r="BH465" s="2406">
        <v>5403179470</v>
      </c>
      <c r="BI465" s="2409" t="s">
        <v>2520</v>
      </c>
      <c r="BJ465" s="2466">
        <v>210702</v>
      </c>
      <c r="BK465" s="530"/>
      <c r="BV465" s="3082" t="str">
        <f t="shared" si="7"/>
        <v/>
      </c>
      <c r="CT465" s="531"/>
      <c r="DA465" s="2558"/>
      <c r="EI465" s="2689" t="s">
        <v>10784</v>
      </c>
    </row>
    <row r="466" spans="1:139" ht="43.5">
      <c r="A466" s="532"/>
      <c r="AR466" s="101" t="s">
        <v>9327</v>
      </c>
      <c r="BH466" s="2406">
        <v>5404105079</v>
      </c>
      <c r="BI466" s="2409" t="s">
        <v>3289</v>
      </c>
      <c r="BJ466" s="2466">
        <v>166526</v>
      </c>
      <c r="BK466" s="530"/>
      <c r="BV466" s="3082" t="str">
        <f t="shared" si="7"/>
        <v/>
      </c>
      <c r="CT466" s="531"/>
      <c r="DA466" s="2558"/>
      <c r="EI466" s="2689" t="s">
        <v>10785</v>
      </c>
    </row>
    <row r="467" spans="1:139" ht="58">
      <c r="A467" s="532"/>
      <c r="AR467" s="101" t="s">
        <v>9328</v>
      </c>
      <c r="BH467" s="2406">
        <v>5404105174</v>
      </c>
      <c r="BI467" s="2409" t="s">
        <v>728</v>
      </c>
      <c r="BJ467" s="2466">
        <v>109215</v>
      </c>
      <c r="BK467" s="530"/>
      <c r="BV467" s="3082" t="str">
        <f t="shared" si="7"/>
        <v/>
      </c>
      <c r="CT467" s="531"/>
      <c r="DA467" s="2558"/>
      <c r="EI467" s="2689" t="s">
        <v>10786</v>
      </c>
    </row>
    <row r="468" spans="1:139" ht="29">
      <c r="A468" s="532"/>
      <c r="AR468" s="101" t="s">
        <v>9329</v>
      </c>
      <c r="BH468" s="2406">
        <v>5404142433</v>
      </c>
      <c r="BI468" s="2409" t="s">
        <v>3632</v>
      </c>
      <c r="BJ468" s="2466">
        <v>175619</v>
      </c>
      <c r="BK468" s="530"/>
      <c r="BV468" s="3082" t="str">
        <f t="shared" si="7"/>
        <v/>
      </c>
      <c r="CT468" s="531"/>
      <c r="DA468" s="2558"/>
      <c r="EI468" s="2689" t="s">
        <v>10787</v>
      </c>
    </row>
    <row r="469" spans="1:139" ht="29">
      <c r="A469" s="532"/>
      <c r="AR469" s="101" t="s">
        <v>9330</v>
      </c>
      <c r="BH469" s="2406">
        <v>5404162782</v>
      </c>
      <c r="BI469" s="2409" t="s">
        <v>2952</v>
      </c>
      <c r="BJ469" s="2466">
        <v>204920</v>
      </c>
      <c r="BK469" s="530"/>
      <c r="BV469" s="3082" t="str">
        <f t="shared" si="7"/>
        <v/>
      </c>
      <c r="CT469" s="531"/>
      <c r="DA469" s="2558"/>
      <c r="EI469" s="2689" t="s">
        <v>10788</v>
      </c>
    </row>
    <row r="470" spans="1:139">
      <c r="A470" s="532"/>
      <c r="AR470" s="101" t="s">
        <v>9331</v>
      </c>
      <c r="BH470" s="2406">
        <v>5405107128</v>
      </c>
      <c r="BI470" s="2409" t="s">
        <v>2287</v>
      </c>
      <c r="BJ470" s="2466">
        <v>112594</v>
      </c>
      <c r="BK470" s="530"/>
      <c r="BV470" s="3082" t="str">
        <f t="shared" si="7"/>
        <v/>
      </c>
      <c r="CT470" s="531"/>
      <c r="DA470" s="2558"/>
      <c r="EI470" s="2689" t="s">
        <v>10789</v>
      </c>
    </row>
    <row r="471" spans="1:139" ht="29">
      <c r="A471" s="532"/>
      <c r="AR471" s="101" t="s">
        <v>9332</v>
      </c>
      <c r="BH471" s="2406">
        <v>5405179820</v>
      </c>
      <c r="BI471" s="2409" t="s">
        <v>3142</v>
      </c>
      <c r="BJ471" s="2466">
        <v>126046</v>
      </c>
      <c r="BK471" s="530"/>
      <c r="BV471" s="3082" t="str">
        <f t="shared" si="7"/>
        <v/>
      </c>
      <c r="CT471" s="531"/>
      <c r="DA471" s="2558"/>
      <c r="EI471" s="2689" t="s">
        <v>10790</v>
      </c>
    </row>
    <row r="472" spans="1:139" ht="43.5">
      <c r="A472" s="532"/>
      <c r="AR472" s="101" t="s">
        <v>9333</v>
      </c>
      <c r="BH472" s="2406">
        <v>5406013779</v>
      </c>
      <c r="BI472" s="2409" t="s">
        <v>2502</v>
      </c>
      <c r="BJ472" s="2466">
        <v>197781</v>
      </c>
      <c r="BK472" s="530"/>
      <c r="BV472" s="3082" t="str">
        <f t="shared" si="7"/>
        <v/>
      </c>
      <c r="CT472" s="531"/>
      <c r="DA472" s="2558"/>
      <c r="EI472" s="2689" t="s">
        <v>10791</v>
      </c>
    </row>
    <row r="473" spans="1:139" ht="29">
      <c r="A473" s="532"/>
      <c r="AR473" s="101" t="s">
        <v>9334</v>
      </c>
      <c r="BH473" s="2406">
        <v>5406219515</v>
      </c>
      <c r="BI473" s="2409" t="s">
        <v>2934</v>
      </c>
      <c r="BJ473" s="2466">
        <v>112664</v>
      </c>
      <c r="BK473" s="530"/>
      <c r="BV473" s="3082" t="str">
        <f t="shared" si="7"/>
        <v/>
      </c>
      <c r="CT473" s="531"/>
      <c r="DA473" s="2558"/>
      <c r="EI473" s="2689" t="s">
        <v>10792</v>
      </c>
    </row>
    <row r="474" spans="1:139" ht="29">
      <c r="A474" s="532"/>
      <c r="AR474" s="101" t="s">
        <v>9335</v>
      </c>
      <c r="BH474" s="2406">
        <v>5406257888</v>
      </c>
      <c r="BI474" s="2409" t="s">
        <v>2716</v>
      </c>
      <c r="BJ474" s="2466">
        <v>229012</v>
      </c>
      <c r="BK474" s="530"/>
      <c r="BV474" s="3082" t="str">
        <f t="shared" si="7"/>
        <v/>
      </c>
      <c r="CT474" s="531"/>
      <c r="DA474" s="2558"/>
      <c r="EI474" s="2689" t="s">
        <v>10793</v>
      </c>
    </row>
    <row r="475" spans="1:139" ht="29">
      <c r="A475" s="532"/>
      <c r="AR475" s="101" t="s">
        <v>9336</v>
      </c>
      <c r="BH475" s="2406">
        <v>5406290571</v>
      </c>
      <c r="BI475" s="2409" t="s">
        <v>3563</v>
      </c>
      <c r="BJ475" s="2466">
        <v>176369</v>
      </c>
      <c r="BK475" s="530"/>
      <c r="BV475" s="3082" t="str">
        <f t="shared" si="7"/>
        <v/>
      </c>
      <c r="CT475" s="531"/>
      <c r="DA475" s="2558"/>
      <c r="EI475" s="2689" t="s">
        <v>10794</v>
      </c>
    </row>
    <row r="476" spans="1:139" ht="43.5">
      <c r="A476" s="532"/>
      <c r="AR476" s="101" t="s">
        <v>9337</v>
      </c>
      <c r="BH476" s="2406">
        <v>5406323202</v>
      </c>
      <c r="BI476" s="2409" t="s">
        <v>2440</v>
      </c>
      <c r="BJ476" s="2466">
        <v>177164</v>
      </c>
      <c r="BK476" s="530"/>
      <c r="BV476" s="3082" t="str">
        <f t="shared" si="7"/>
        <v/>
      </c>
      <c r="CT476" s="531"/>
      <c r="DA476" s="2558"/>
      <c r="EI476" s="2689" t="s">
        <v>10795</v>
      </c>
    </row>
    <row r="477" spans="1:139" ht="72.5">
      <c r="A477" s="532"/>
      <c r="AR477" s="101" t="s">
        <v>9338</v>
      </c>
      <c r="BH477" s="2406">
        <v>5407110983</v>
      </c>
      <c r="BI477" s="2409" t="s">
        <v>448</v>
      </c>
      <c r="BJ477" s="2466">
        <v>113106</v>
      </c>
      <c r="BK477" s="530"/>
      <c r="BV477" s="3082" t="str">
        <f t="shared" si="7"/>
        <v/>
      </c>
      <c r="CT477" s="531"/>
      <c r="DA477" s="2558"/>
      <c r="EI477" s="2689" t="s">
        <v>10796</v>
      </c>
    </row>
    <row r="478" spans="1:139" ht="43.5">
      <c r="A478" s="532"/>
      <c r="AR478" s="101" t="s">
        <v>9339</v>
      </c>
      <c r="BH478" s="2406">
        <v>5407121939</v>
      </c>
      <c r="BI478" s="2409" t="s">
        <v>2464</v>
      </c>
      <c r="BJ478" s="2466">
        <v>174988</v>
      </c>
      <c r="BK478" s="530"/>
      <c r="BV478" s="3082" t="str">
        <f t="shared" si="7"/>
        <v/>
      </c>
      <c r="CT478" s="531"/>
      <c r="DA478" s="2558"/>
      <c r="EI478" s="2689" t="s">
        <v>10797</v>
      </c>
    </row>
    <row r="479" spans="1:139" ht="29">
      <c r="A479" s="532"/>
      <c r="AR479" s="101" t="s">
        <v>9340</v>
      </c>
      <c r="BH479" s="2406">
        <v>5407203405</v>
      </c>
      <c r="BI479" s="2409" t="s">
        <v>2688</v>
      </c>
      <c r="BJ479" s="2466">
        <v>174943</v>
      </c>
      <c r="BK479" s="530"/>
      <c r="BV479" s="3082" t="str">
        <f t="shared" si="7"/>
        <v/>
      </c>
      <c r="CT479" s="531"/>
      <c r="DA479" s="2558"/>
      <c r="EI479" s="2689" t="s">
        <v>10798</v>
      </c>
    </row>
    <row r="480" spans="1:139" ht="43.5">
      <c r="A480" s="532"/>
      <c r="AR480" s="101" t="s">
        <v>9341</v>
      </c>
      <c r="BH480" s="2406">
        <v>5407208153</v>
      </c>
      <c r="BI480" s="2409" t="s">
        <v>2631</v>
      </c>
      <c r="BJ480" s="2466">
        <v>113109</v>
      </c>
      <c r="BK480" s="530"/>
      <c r="BV480" s="3082" t="str">
        <f t="shared" si="7"/>
        <v/>
      </c>
      <c r="CT480" s="531"/>
      <c r="DA480" s="2558"/>
      <c r="EI480" s="2689" t="s">
        <v>10799</v>
      </c>
    </row>
    <row r="481" spans="1:139" ht="87">
      <c r="A481" s="532"/>
      <c r="AR481" s="101" t="s">
        <v>9860</v>
      </c>
      <c r="BH481" s="2406">
        <v>5407224229</v>
      </c>
      <c r="BI481" s="2409" t="s">
        <v>2057</v>
      </c>
      <c r="BJ481" s="2466">
        <v>176131</v>
      </c>
      <c r="BK481" s="530"/>
      <c r="BV481" s="3082" t="str">
        <f t="shared" si="7"/>
        <v/>
      </c>
      <c r="CT481" s="531"/>
      <c r="DA481" s="2558"/>
      <c r="EI481" s="2689" t="s">
        <v>10800</v>
      </c>
    </row>
    <row r="482" spans="1:139" ht="58">
      <c r="A482" s="532"/>
      <c r="AR482" s="101" t="s">
        <v>14830</v>
      </c>
      <c r="BH482" s="2406">
        <v>5408105376</v>
      </c>
      <c r="BI482" s="2409" t="s">
        <v>455</v>
      </c>
      <c r="BJ482" s="2466">
        <v>150756</v>
      </c>
      <c r="BK482" s="530"/>
      <c r="BV482" s="3082" t="str">
        <f t="shared" si="7"/>
        <v/>
      </c>
      <c r="CT482" s="531"/>
      <c r="DA482" s="2558"/>
      <c r="EI482" s="2689" t="s">
        <v>10801</v>
      </c>
    </row>
    <row r="483" spans="1:139" ht="29">
      <c r="A483" s="532"/>
      <c r="AR483" s="101" t="s">
        <v>9342</v>
      </c>
      <c r="BH483" s="2406">
        <v>5408106436</v>
      </c>
      <c r="BI483" s="2409" t="s">
        <v>2253</v>
      </c>
      <c r="BJ483" s="2466">
        <v>109230</v>
      </c>
      <c r="BK483" s="530"/>
      <c r="BV483" s="3082" t="str">
        <f t="shared" si="7"/>
        <v/>
      </c>
      <c r="CT483" s="531"/>
      <c r="DA483" s="2558"/>
      <c r="EI483" s="2689" t="s">
        <v>10802</v>
      </c>
    </row>
    <row r="484" spans="1:139" ht="29">
      <c r="A484" s="532"/>
      <c r="AR484" s="101" t="s">
        <v>9343</v>
      </c>
      <c r="BH484" s="2405">
        <v>5410027319</v>
      </c>
      <c r="BI484" s="2405" t="s">
        <v>3922</v>
      </c>
      <c r="BJ484" s="2466">
        <v>69</v>
      </c>
      <c r="BK484" s="530"/>
      <c r="BV484" s="3082" t="str">
        <f t="shared" si="7"/>
        <v/>
      </c>
      <c r="CT484" s="531"/>
      <c r="DA484" s="2558"/>
      <c r="EI484" s="2689" t="s">
        <v>10803</v>
      </c>
    </row>
    <row r="485" spans="1:139" ht="43.5">
      <c r="A485" s="532"/>
      <c r="AR485" s="101" t="s">
        <v>9344</v>
      </c>
      <c r="BH485" s="2408">
        <v>5410041049</v>
      </c>
      <c r="BI485" s="2409" t="s">
        <v>1900</v>
      </c>
      <c r="BJ485" s="2466">
        <v>304010</v>
      </c>
      <c r="BK485" s="530"/>
      <c r="BV485" s="3082" t="str">
        <f t="shared" si="7"/>
        <v/>
      </c>
      <c r="CT485" s="531"/>
      <c r="DA485" s="2558"/>
      <c r="EI485" s="2689" t="s">
        <v>10804</v>
      </c>
    </row>
    <row r="486" spans="1:139" ht="29">
      <c r="A486" s="532"/>
      <c r="AR486" s="101" t="s">
        <v>9345</v>
      </c>
      <c r="BH486" s="2405">
        <v>5410043399</v>
      </c>
      <c r="BI486" s="2405" t="s">
        <v>1617</v>
      </c>
      <c r="BJ486" s="2466">
        <v>222683</v>
      </c>
      <c r="BK486" s="530"/>
      <c r="BV486" s="3082" t="str">
        <f t="shared" si="7"/>
        <v/>
      </c>
      <c r="CT486" s="531"/>
      <c r="DA486" s="2558"/>
      <c r="EI486" s="2689" t="s">
        <v>10805</v>
      </c>
    </row>
    <row r="487" spans="1:139" ht="43.5">
      <c r="A487" s="532"/>
      <c r="AR487" s="101" t="s">
        <v>9346</v>
      </c>
      <c r="BH487" s="2406">
        <v>5410120893</v>
      </c>
      <c r="BI487" s="2409" t="s">
        <v>968</v>
      </c>
      <c r="BJ487" s="2466">
        <v>68</v>
      </c>
      <c r="BK487" s="530"/>
      <c r="BV487" s="3082" t="str">
        <f t="shared" si="7"/>
        <v/>
      </c>
      <c r="CT487" s="531"/>
      <c r="DA487" s="2558"/>
      <c r="EI487" s="2689" t="s">
        <v>10806</v>
      </c>
    </row>
    <row r="488" spans="1:139" ht="43.5">
      <c r="A488" s="532"/>
      <c r="AR488" s="101" t="s">
        <v>9347</v>
      </c>
      <c r="BH488" s="2406">
        <v>5410122097</v>
      </c>
      <c r="BI488" s="2409" t="s">
        <v>967</v>
      </c>
      <c r="BJ488" s="2466">
        <v>266</v>
      </c>
      <c r="BK488" s="530"/>
      <c r="BV488" s="3082" t="str">
        <f t="shared" si="7"/>
        <v/>
      </c>
      <c r="CT488" s="531"/>
      <c r="DA488" s="2558"/>
      <c r="EI488" s="2689" t="s">
        <v>10807</v>
      </c>
    </row>
    <row r="489" spans="1:139" ht="43.5">
      <c r="A489" s="532"/>
      <c r="AR489" s="101" t="s">
        <v>9348</v>
      </c>
      <c r="BH489" s="2406">
        <v>5410128645</v>
      </c>
      <c r="BI489" s="2409" t="s">
        <v>2944</v>
      </c>
      <c r="BJ489" s="2466">
        <v>112838</v>
      </c>
      <c r="BK489" s="530"/>
      <c r="BV489" s="3082" t="str">
        <f t="shared" si="7"/>
        <v/>
      </c>
      <c r="CT489" s="531"/>
      <c r="DA489" s="2558"/>
      <c r="EI489" s="2689" t="s">
        <v>10808</v>
      </c>
    </row>
    <row r="490" spans="1:139" ht="58">
      <c r="A490" s="532"/>
      <c r="AR490" s="101" t="s">
        <v>9349</v>
      </c>
      <c r="BH490" s="2405">
        <v>5410153786</v>
      </c>
      <c r="BI490" s="2405" t="s">
        <v>3942</v>
      </c>
      <c r="BJ490" s="2466">
        <v>65</v>
      </c>
      <c r="BK490" s="530"/>
      <c r="BV490" s="3082" t="str">
        <f t="shared" si="7"/>
        <v/>
      </c>
      <c r="CT490" s="531"/>
      <c r="DA490" s="2558"/>
      <c r="EI490" s="2689" t="s">
        <v>10809</v>
      </c>
    </row>
    <row r="491" spans="1:139" ht="58">
      <c r="A491" s="532"/>
      <c r="AR491" s="101" t="s">
        <v>9350</v>
      </c>
      <c r="BH491" s="2406">
        <v>5433134331</v>
      </c>
      <c r="BI491" s="2409" t="s">
        <v>2686</v>
      </c>
      <c r="BJ491" s="2466">
        <v>265342</v>
      </c>
      <c r="BK491" s="530"/>
      <c r="BV491" s="3082" t="str">
        <f t="shared" ref="BV491:BV554" si="8">CONCATENATE(LEFT(BU491,8),RIGHT(BU491,9))</f>
        <v/>
      </c>
      <c r="CT491" s="531"/>
      <c r="DA491" s="2558"/>
      <c r="EI491" s="2689" t="s">
        <v>10810</v>
      </c>
    </row>
    <row r="492" spans="1:139" ht="58">
      <c r="A492" s="532"/>
      <c r="AR492" s="101" t="s">
        <v>9351</v>
      </c>
      <c r="BH492" s="2405">
        <v>5445101362</v>
      </c>
      <c r="BI492" s="2405" t="s">
        <v>2918</v>
      </c>
      <c r="BJ492" s="2466">
        <v>62</v>
      </c>
      <c r="BK492" s="530"/>
      <c r="BV492" s="3082" t="str">
        <f t="shared" si="8"/>
        <v/>
      </c>
      <c r="CT492" s="531"/>
      <c r="DA492" s="2558"/>
      <c r="EI492" s="2689" t="s">
        <v>10811</v>
      </c>
    </row>
    <row r="493" spans="1:139" ht="43.5">
      <c r="A493" s="532"/>
      <c r="AR493" s="101" t="s">
        <v>9352</v>
      </c>
      <c r="BH493" s="2406">
        <v>5501041254</v>
      </c>
      <c r="BI493" s="2409" t="s">
        <v>2241</v>
      </c>
      <c r="BJ493" s="2466">
        <v>112915</v>
      </c>
      <c r="BK493" s="530"/>
      <c r="BV493" s="3082" t="str">
        <f t="shared" si="8"/>
        <v/>
      </c>
      <c r="CT493" s="531"/>
      <c r="DA493" s="2558"/>
      <c r="EI493" s="2689" t="s">
        <v>10812</v>
      </c>
    </row>
    <row r="494" spans="1:139" ht="29">
      <c r="A494" s="532"/>
      <c r="AR494" s="101" t="s">
        <v>9353</v>
      </c>
      <c r="BH494" s="2406">
        <v>5502029210</v>
      </c>
      <c r="BI494" s="2409" t="s">
        <v>2023</v>
      </c>
      <c r="BJ494" s="2466">
        <v>286588</v>
      </c>
      <c r="BK494" s="530"/>
      <c r="BV494" s="3082" t="str">
        <f t="shared" si="8"/>
        <v/>
      </c>
      <c r="CT494" s="531"/>
      <c r="DA494" s="2558"/>
      <c r="EI494" s="2689" t="s">
        <v>10813</v>
      </c>
    </row>
    <row r="495" spans="1:139" ht="29">
      <c r="A495" s="532"/>
      <c r="AR495" s="101" t="s">
        <v>9354</v>
      </c>
      <c r="BH495" s="2406">
        <v>5504036333</v>
      </c>
      <c r="BI495" s="2409" t="s">
        <v>2239</v>
      </c>
      <c r="BJ495" s="2466">
        <v>174312</v>
      </c>
      <c r="BK495" s="530"/>
      <c r="BV495" s="3082" t="str">
        <f t="shared" si="8"/>
        <v/>
      </c>
      <c r="CT495" s="531"/>
      <c r="DA495" s="2558"/>
      <c r="EI495" s="2689" t="s">
        <v>10814</v>
      </c>
    </row>
    <row r="496" spans="1:139" ht="29">
      <c r="A496" s="532"/>
      <c r="AR496" s="101" t="s">
        <v>9355</v>
      </c>
      <c r="BH496" s="2406">
        <v>5610058025</v>
      </c>
      <c r="BI496" s="2409" t="s">
        <v>2628</v>
      </c>
      <c r="BJ496" s="2466">
        <v>97379</v>
      </c>
      <c r="BK496" s="530"/>
      <c r="BV496" s="3082" t="str">
        <f t="shared" si="8"/>
        <v/>
      </c>
      <c r="CT496" s="531"/>
      <c r="DA496" s="2558"/>
      <c r="EI496" s="2689" t="s">
        <v>10815</v>
      </c>
    </row>
    <row r="497" spans="1:139" ht="43.5">
      <c r="A497" s="532"/>
      <c r="AR497" s="101" t="s">
        <v>9356</v>
      </c>
      <c r="BH497" s="2408">
        <v>5612042824</v>
      </c>
      <c r="BI497" s="2409" t="s">
        <v>8164</v>
      </c>
      <c r="BJ497" s="2466">
        <v>126149</v>
      </c>
      <c r="BK497" s="530"/>
      <c r="BV497" s="3082" t="str">
        <f t="shared" si="8"/>
        <v/>
      </c>
      <c r="CT497" s="531"/>
      <c r="DA497" s="2558"/>
      <c r="EI497" s="2689" t="s">
        <v>10816</v>
      </c>
    </row>
    <row r="498" spans="1:139" ht="58">
      <c r="A498" s="532"/>
      <c r="AR498" s="101" t="s">
        <v>9357</v>
      </c>
      <c r="BH498" s="2406">
        <v>5638031217</v>
      </c>
      <c r="BI498" s="2409" t="s">
        <v>2745</v>
      </c>
      <c r="BJ498" s="2466">
        <v>219352</v>
      </c>
      <c r="BK498" s="530"/>
      <c r="BV498" s="3082" t="str">
        <f t="shared" si="8"/>
        <v/>
      </c>
      <c r="CT498" s="531"/>
      <c r="DA498" s="2558"/>
      <c r="EI498" s="2689" t="s">
        <v>10817</v>
      </c>
    </row>
    <row r="499" spans="1:139" ht="58">
      <c r="A499" s="532"/>
      <c r="AR499" s="101" t="s">
        <v>9358</v>
      </c>
      <c r="BH499" s="2408">
        <v>5700000164</v>
      </c>
      <c r="BI499" s="2409" t="s">
        <v>2432</v>
      </c>
      <c r="BJ499" s="2466">
        <v>126154</v>
      </c>
      <c r="BK499" s="530"/>
      <c r="BV499" s="3082" t="str">
        <f t="shared" si="8"/>
        <v/>
      </c>
      <c r="CT499" s="531"/>
      <c r="DA499" s="2558"/>
      <c r="EI499" s="2689" t="s">
        <v>10818</v>
      </c>
    </row>
    <row r="500" spans="1:139" ht="43.5">
      <c r="A500" s="532"/>
      <c r="AR500" s="101" t="s">
        <v>9359</v>
      </c>
      <c r="BH500" s="2406">
        <v>5752000510</v>
      </c>
      <c r="BI500" s="2409" t="s">
        <v>119</v>
      </c>
      <c r="BJ500" s="2466">
        <v>415150</v>
      </c>
      <c r="BK500" s="530"/>
      <c r="BV500" s="3082" t="str">
        <f t="shared" si="8"/>
        <v/>
      </c>
      <c r="CT500" s="531"/>
      <c r="DA500" s="2558"/>
      <c r="EI500" s="2689" t="s">
        <v>10819</v>
      </c>
    </row>
    <row r="501" spans="1:139" ht="43.5">
      <c r="A501" s="532"/>
      <c r="AR501" s="101" t="s">
        <v>9360</v>
      </c>
      <c r="BH501" s="2406">
        <v>5754020600</v>
      </c>
      <c r="BI501" s="2409" t="s">
        <v>2474</v>
      </c>
      <c r="BJ501" s="2466">
        <v>230073</v>
      </c>
      <c r="BK501" s="530"/>
      <c r="BV501" s="3082" t="str">
        <f t="shared" si="8"/>
        <v/>
      </c>
      <c r="CT501" s="531"/>
      <c r="DA501" s="2558"/>
      <c r="EI501" s="2689" t="s">
        <v>10820</v>
      </c>
    </row>
    <row r="502" spans="1:139" ht="43.5">
      <c r="A502" s="532"/>
      <c r="AR502" s="101" t="s">
        <v>9361</v>
      </c>
      <c r="BH502" s="2406">
        <v>5834019424</v>
      </c>
      <c r="BI502" s="2409" t="s">
        <v>2634</v>
      </c>
      <c r="BJ502" s="2466">
        <v>198366</v>
      </c>
      <c r="BK502" s="530"/>
      <c r="BV502" s="3082" t="str">
        <f t="shared" si="8"/>
        <v/>
      </c>
      <c r="CT502" s="531"/>
      <c r="DA502" s="2558"/>
      <c r="EI502" s="2689" t="s">
        <v>10821</v>
      </c>
    </row>
    <row r="503" spans="1:139" ht="29">
      <c r="A503" s="532"/>
      <c r="AR503" s="101" t="s">
        <v>9362</v>
      </c>
      <c r="BH503" s="2406">
        <v>5902400246</v>
      </c>
      <c r="BI503" s="2409" t="s">
        <v>727</v>
      </c>
      <c r="BJ503" s="2466">
        <v>109276</v>
      </c>
      <c r="BK503" s="530"/>
      <c r="BV503" s="3082" t="str">
        <f t="shared" si="8"/>
        <v/>
      </c>
      <c r="CT503" s="531"/>
      <c r="DA503" s="2558"/>
      <c r="EI503" s="2689" t="s">
        <v>10822</v>
      </c>
    </row>
    <row r="504" spans="1:139" ht="43.5">
      <c r="A504" s="532"/>
      <c r="AR504" s="101" t="s">
        <v>9363</v>
      </c>
      <c r="BH504" s="2406">
        <v>5904159315</v>
      </c>
      <c r="BI504" s="2409" t="s">
        <v>2459</v>
      </c>
      <c r="BJ504" s="2466">
        <v>109314</v>
      </c>
      <c r="BK504" s="530"/>
      <c r="BV504" s="3082" t="str">
        <f t="shared" si="8"/>
        <v/>
      </c>
      <c r="CT504" s="531"/>
      <c r="DA504" s="2558"/>
      <c r="EI504" s="2689" t="s">
        <v>10823</v>
      </c>
    </row>
    <row r="505" spans="1:139" ht="58">
      <c r="A505" s="532"/>
      <c r="AR505" s="101" t="s">
        <v>9364</v>
      </c>
      <c r="BH505" s="2406">
        <v>5906051980</v>
      </c>
      <c r="BI505" s="2409" t="s">
        <v>3648</v>
      </c>
      <c r="BJ505" s="2466">
        <v>246441</v>
      </c>
      <c r="BK505" s="530"/>
      <c r="BV505" s="3082" t="str">
        <f t="shared" si="8"/>
        <v/>
      </c>
      <c r="CT505" s="531"/>
      <c r="DA505" s="2558"/>
      <c r="EI505" s="2689" t="s">
        <v>10824</v>
      </c>
    </row>
    <row r="506" spans="1:139" ht="29">
      <c r="A506" s="532"/>
      <c r="AR506" s="101" t="s">
        <v>9365</v>
      </c>
      <c r="BH506" s="2406">
        <v>5920000593</v>
      </c>
      <c r="BI506" s="2409" t="s">
        <v>2700</v>
      </c>
      <c r="BJ506" s="2466">
        <v>109355</v>
      </c>
      <c r="BK506" s="530"/>
      <c r="BV506" s="3082" t="str">
        <f t="shared" si="8"/>
        <v/>
      </c>
      <c r="CT506" s="531"/>
      <c r="DA506" s="2558"/>
      <c r="EI506" s="2689" t="s">
        <v>10825</v>
      </c>
    </row>
    <row r="507" spans="1:139">
      <c r="A507" s="532"/>
      <c r="AR507" s="101" t="s">
        <v>9366</v>
      </c>
      <c r="BH507" s="2406">
        <v>6027084016</v>
      </c>
      <c r="BI507" s="2409" t="s">
        <v>2278</v>
      </c>
      <c r="BJ507" s="2466">
        <v>126556</v>
      </c>
      <c r="BK507" s="530"/>
      <c r="BV507" s="3082" t="str">
        <f t="shared" si="8"/>
        <v/>
      </c>
      <c r="CT507" s="531"/>
      <c r="DA507" s="2558"/>
      <c r="EI507" s="2689" t="s">
        <v>10826</v>
      </c>
    </row>
    <row r="508" spans="1:139" ht="58">
      <c r="A508" s="532"/>
      <c r="AR508" s="101" t="s">
        <v>9367</v>
      </c>
      <c r="BH508" s="2406">
        <v>6141005203</v>
      </c>
      <c r="BI508" s="2409" t="s">
        <v>2193</v>
      </c>
      <c r="BJ508" s="2466">
        <v>255200</v>
      </c>
      <c r="BK508" s="530"/>
      <c r="BV508" s="3082" t="str">
        <f t="shared" si="8"/>
        <v/>
      </c>
      <c r="CT508" s="531"/>
      <c r="DA508" s="2558"/>
      <c r="EI508" s="2689" t="s">
        <v>10827</v>
      </c>
    </row>
    <row r="509" spans="1:139" ht="43.5">
      <c r="A509" s="532"/>
      <c r="AR509" s="101" t="s">
        <v>9368</v>
      </c>
      <c r="BH509" s="2406">
        <v>6141018555</v>
      </c>
      <c r="BI509" s="2409" t="s">
        <v>1854</v>
      </c>
      <c r="BJ509" s="2466">
        <v>126693</v>
      </c>
      <c r="BK509" s="530"/>
      <c r="BV509" s="3082" t="str">
        <f t="shared" si="8"/>
        <v/>
      </c>
      <c r="CT509" s="531"/>
      <c r="DA509" s="2558"/>
      <c r="EI509" s="2689" t="s">
        <v>10828</v>
      </c>
    </row>
    <row r="510" spans="1:139" ht="43.5">
      <c r="A510" s="532"/>
      <c r="AR510" s="101" t="s">
        <v>9369</v>
      </c>
      <c r="BH510" s="2406">
        <v>6143001317</v>
      </c>
      <c r="BI510" s="2409" t="s">
        <v>1503</v>
      </c>
      <c r="BJ510" s="2466">
        <v>183679</v>
      </c>
      <c r="BK510" s="530"/>
      <c r="BV510" s="3082" t="str">
        <f t="shared" si="8"/>
        <v/>
      </c>
      <c r="CT510" s="531"/>
      <c r="DA510" s="2558"/>
      <c r="EI510" s="2689" t="s">
        <v>10829</v>
      </c>
    </row>
    <row r="511" spans="1:139" ht="58">
      <c r="A511" s="532"/>
      <c r="AR511" s="101" t="s">
        <v>9370</v>
      </c>
      <c r="BH511" s="2406">
        <v>6143047262</v>
      </c>
      <c r="BI511" s="2409" t="s">
        <v>2598</v>
      </c>
      <c r="BJ511" s="2466">
        <v>227439</v>
      </c>
      <c r="BK511" s="530"/>
      <c r="BV511" s="3082" t="str">
        <f t="shared" si="8"/>
        <v/>
      </c>
      <c r="CT511" s="531"/>
      <c r="DA511" s="2558"/>
      <c r="EI511" s="2689" t="s">
        <v>10830</v>
      </c>
    </row>
    <row r="512" spans="1:139" ht="43.5">
      <c r="A512" s="532"/>
      <c r="AR512" s="101" t="s">
        <v>9953</v>
      </c>
      <c r="BH512" s="2405">
        <v>6143055200</v>
      </c>
      <c r="BI512" s="2405" t="s">
        <v>3931</v>
      </c>
      <c r="BJ512" s="2466">
        <v>342</v>
      </c>
      <c r="BK512" s="530"/>
      <c r="BV512" s="3082" t="str">
        <f t="shared" si="8"/>
        <v/>
      </c>
      <c r="CT512" s="531"/>
      <c r="DA512" s="2558"/>
      <c r="EI512" s="2689" t="s">
        <v>10831</v>
      </c>
    </row>
    <row r="513" spans="1:139" ht="43.5">
      <c r="A513" s="532"/>
      <c r="AR513" s="101" t="s">
        <v>9371</v>
      </c>
      <c r="BH513" s="2405">
        <v>6143059719</v>
      </c>
      <c r="BI513" s="2405" t="s">
        <v>1607</v>
      </c>
      <c r="BJ513" s="2466">
        <v>127226</v>
      </c>
      <c r="BK513" s="530"/>
      <c r="BV513" s="3082" t="str">
        <f t="shared" si="8"/>
        <v/>
      </c>
      <c r="CT513" s="531"/>
      <c r="DA513" s="2558"/>
      <c r="EI513" s="2689" t="s">
        <v>10832</v>
      </c>
    </row>
    <row r="514" spans="1:139" ht="58">
      <c r="A514" s="532"/>
      <c r="AR514" s="101" t="s">
        <v>9372</v>
      </c>
      <c r="BH514" s="2405">
        <v>6143072318</v>
      </c>
      <c r="BI514" s="2405" t="s">
        <v>1604</v>
      </c>
      <c r="BJ514" s="2466">
        <v>127283</v>
      </c>
      <c r="BK514" s="530"/>
      <c r="BV514" s="3082" t="str">
        <f t="shared" si="8"/>
        <v/>
      </c>
      <c r="CT514" s="531"/>
      <c r="DA514" s="2558"/>
      <c r="EI514" s="2689" t="s">
        <v>10833</v>
      </c>
    </row>
    <row r="515" spans="1:139">
      <c r="A515" s="532"/>
      <c r="AR515" s="101" t="s">
        <v>9373</v>
      </c>
      <c r="BH515" s="2406">
        <v>6152001137</v>
      </c>
      <c r="BI515" s="2409" t="s">
        <v>2002</v>
      </c>
      <c r="BJ515" s="2466">
        <v>127359</v>
      </c>
      <c r="BK515" s="530"/>
      <c r="BV515" s="3082" t="str">
        <f t="shared" si="8"/>
        <v/>
      </c>
      <c r="CT515" s="531"/>
      <c r="DA515" s="2558"/>
      <c r="EI515" s="2689" t="s">
        <v>10834</v>
      </c>
    </row>
    <row r="516" spans="1:139">
      <c r="A516" s="532"/>
      <c r="AR516" s="101" t="s">
        <v>9374</v>
      </c>
      <c r="BH516" s="2406">
        <v>6154066524</v>
      </c>
      <c r="BI516" s="2409" t="s">
        <v>1392</v>
      </c>
      <c r="BJ516" s="2466">
        <v>296810</v>
      </c>
      <c r="BK516" s="530"/>
      <c r="BV516" s="3082" t="str">
        <f t="shared" si="8"/>
        <v/>
      </c>
      <c r="CT516" s="531"/>
      <c r="DA516" s="2558"/>
      <c r="EI516" s="2689" t="s">
        <v>10835</v>
      </c>
    </row>
    <row r="517" spans="1:139" ht="29">
      <c r="A517" s="532"/>
      <c r="AR517" s="101" t="s">
        <v>9375</v>
      </c>
      <c r="BH517" s="2406">
        <v>6163000368</v>
      </c>
      <c r="BI517" s="2409" t="s">
        <v>2281</v>
      </c>
      <c r="BJ517" s="2466">
        <v>225680</v>
      </c>
      <c r="BK517" s="530"/>
      <c r="BV517" s="3082" t="str">
        <f t="shared" si="8"/>
        <v/>
      </c>
      <c r="CT517" s="531"/>
      <c r="DA517" s="2558"/>
      <c r="EI517" s="2689" t="s">
        <v>10836</v>
      </c>
    </row>
    <row r="518" spans="1:139" ht="43.5">
      <c r="A518" s="532"/>
      <c r="AR518" s="101" t="s">
        <v>9376</v>
      </c>
      <c r="BH518" s="2406">
        <v>6163003802</v>
      </c>
      <c r="BI518" s="2409" t="s">
        <v>1859</v>
      </c>
      <c r="BJ518" s="2466">
        <v>127458</v>
      </c>
      <c r="BK518" s="530"/>
      <c r="BV518" s="3082" t="str">
        <f t="shared" si="8"/>
        <v/>
      </c>
      <c r="CT518" s="531"/>
      <c r="DA518" s="2558"/>
      <c r="EI518" s="2689" t="s">
        <v>10837</v>
      </c>
    </row>
    <row r="519" spans="1:139" ht="43.5">
      <c r="A519" s="532"/>
      <c r="AR519" s="101" t="s">
        <v>9377</v>
      </c>
      <c r="BH519" s="2406">
        <v>6163100002</v>
      </c>
      <c r="BI519" s="2409" t="s">
        <v>169</v>
      </c>
      <c r="BJ519" s="2466">
        <v>188016</v>
      </c>
      <c r="BK519" s="530"/>
      <c r="BV519" s="3082" t="str">
        <f t="shared" si="8"/>
        <v/>
      </c>
      <c r="CT519" s="531"/>
      <c r="DA519" s="2558"/>
      <c r="EI519" s="2689" t="s">
        <v>10838</v>
      </c>
    </row>
    <row r="520" spans="1:139" ht="58">
      <c r="A520" s="532"/>
      <c r="AR520" s="101" t="s">
        <v>9378</v>
      </c>
      <c r="BH520" s="2406">
        <v>6164012158</v>
      </c>
      <c r="BI520" s="2409" t="s">
        <v>2418</v>
      </c>
      <c r="BJ520" s="2466">
        <v>117526</v>
      </c>
      <c r="BK520" s="530"/>
      <c r="BV520" s="3082" t="str">
        <f t="shared" si="8"/>
        <v/>
      </c>
      <c r="CT520" s="531"/>
      <c r="DA520" s="2558"/>
      <c r="EI520" s="2689" t="s">
        <v>10839</v>
      </c>
    </row>
    <row r="521" spans="1:139" ht="43.5">
      <c r="A521" s="532"/>
      <c r="AR521" s="101" t="s">
        <v>9379</v>
      </c>
      <c r="BH521" s="2406">
        <v>6164049013</v>
      </c>
      <c r="BI521" s="2409" t="s">
        <v>1504</v>
      </c>
      <c r="BJ521" s="2466">
        <v>127569</v>
      </c>
      <c r="BK521" s="530"/>
      <c r="BV521" s="3082" t="str">
        <f t="shared" si="8"/>
        <v/>
      </c>
      <c r="CT521" s="531"/>
      <c r="DA521" s="2558"/>
      <c r="EI521" s="2689" t="s">
        <v>10840</v>
      </c>
    </row>
    <row r="522" spans="1:139" ht="43.5">
      <c r="A522" s="532"/>
      <c r="AR522" s="101" t="s">
        <v>9380</v>
      </c>
      <c r="BH522" s="2406">
        <v>6164084508</v>
      </c>
      <c r="BI522" s="2409" t="s">
        <v>3557</v>
      </c>
      <c r="BJ522" s="2466">
        <v>127595</v>
      </c>
      <c r="BK522" s="530"/>
      <c r="BV522" s="3082" t="str">
        <f t="shared" si="8"/>
        <v/>
      </c>
      <c r="CT522" s="531"/>
      <c r="DA522" s="2558"/>
      <c r="EI522" s="2689" t="s">
        <v>10841</v>
      </c>
    </row>
    <row r="523" spans="1:139" ht="43.5">
      <c r="A523" s="532"/>
      <c r="AR523" s="101" t="s">
        <v>9848</v>
      </c>
      <c r="BH523" s="2406">
        <v>6164226375</v>
      </c>
      <c r="BI523" s="2409" t="s">
        <v>2003</v>
      </c>
      <c r="BJ523" s="2466">
        <v>187616</v>
      </c>
      <c r="BK523" s="530"/>
      <c r="BV523" s="3082" t="str">
        <f t="shared" si="8"/>
        <v/>
      </c>
      <c r="CT523" s="531"/>
      <c r="DA523" s="2558"/>
      <c r="EI523" s="2689" t="s">
        <v>10842</v>
      </c>
    </row>
    <row r="524" spans="1:139" ht="29">
      <c r="A524" s="532"/>
      <c r="AR524" s="101" t="s">
        <v>9381</v>
      </c>
      <c r="BH524" s="2406">
        <v>6164232756</v>
      </c>
      <c r="BI524" s="2409" t="s">
        <v>2461</v>
      </c>
      <c r="BJ524" s="2466">
        <v>105659</v>
      </c>
      <c r="BK524" s="530"/>
      <c r="BV524" s="3082" t="str">
        <f t="shared" si="8"/>
        <v/>
      </c>
      <c r="CT524" s="531"/>
      <c r="DA524" s="2558"/>
      <c r="EI524" s="2689" t="s">
        <v>10843</v>
      </c>
    </row>
    <row r="525" spans="1:139" ht="29">
      <c r="A525" s="532"/>
      <c r="AR525" s="101" t="s">
        <v>9382</v>
      </c>
      <c r="BH525" s="2406">
        <v>6164266561</v>
      </c>
      <c r="BI525" s="2409" t="s">
        <v>2271</v>
      </c>
      <c r="BJ525" s="2466">
        <v>127676</v>
      </c>
      <c r="BK525" s="530"/>
      <c r="BV525" s="3082" t="str">
        <f t="shared" si="8"/>
        <v/>
      </c>
      <c r="CT525" s="531"/>
      <c r="DA525" s="2558"/>
      <c r="EI525" s="2689" t="s">
        <v>10844</v>
      </c>
    </row>
    <row r="526" spans="1:139" ht="29">
      <c r="A526" s="532"/>
      <c r="AR526" s="101" t="s">
        <v>9383</v>
      </c>
      <c r="BH526" s="2406">
        <v>6165028464</v>
      </c>
      <c r="BI526" s="2409" t="s">
        <v>2035</v>
      </c>
      <c r="BJ526" s="2466">
        <v>190618</v>
      </c>
      <c r="BK526" s="530"/>
      <c r="BV526" s="3082" t="str">
        <f t="shared" si="8"/>
        <v/>
      </c>
      <c r="CT526" s="531"/>
      <c r="DA526" s="2558"/>
      <c r="EI526" s="2689" t="s">
        <v>10845</v>
      </c>
    </row>
    <row r="527" spans="1:139" ht="58">
      <c r="A527" s="532"/>
      <c r="AR527" s="101" t="s">
        <v>9384</v>
      </c>
      <c r="BH527" s="2406">
        <v>6165177603</v>
      </c>
      <c r="BI527" s="2409" t="s">
        <v>191</v>
      </c>
      <c r="BJ527" s="2466">
        <v>304424</v>
      </c>
      <c r="BK527" s="530"/>
      <c r="BV527" s="3082" t="str">
        <f t="shared" si="8"/>
        <v/>
      </c>
      <c r="CT527" s="531"/>
      <c r="DA527" s="2558"/>
      <c r="EI527" s="2689" t="s">
        <v>10846</v>
      </c>
    </row>
    <row r="528" spans="1:139" ht="43.5">
      <c r="A528" s="532"/>
      <c r="AR528" s="101" t="s">
        <v>9385</v>
      </c>
      <c r="BH528" s="2406">
        <v>6166045374</v>
      </c>
      <c r="BI528" s="2409" t="s">
        <v>2354</v>
      </c>
      <c r="BJ528" s="2466">
        <v>305184</v>
      </c>
      <c r="BK528" s="530"/>
      <c r="BV528" s="3082" t="str">
        <f t="shared" si="8"/>
        <v/>
      </c>
      <c r="CT528" s="531"/>
      <c r="DA528" s="2558"/>
      <c r="EI528" s="2689" t="s">
        <v>10847</v>
      </c>
    </row>
    <row r="529" spans="1:139" ht="58">
      <c r="A529" s="532"/>
      <c r="AR529" s="101" t="s">
        <v>9386</v>
      </c>
      <c r="BH529" s="2406">
        <v>6167075237</v>
      </c>
      <c r="BI529" s="2409" t="s">
        <v>3163</v>
      </c>
      <c r="BJ529" s="2466">
        <v>244044</v>
      </c>
      <c r="BK529" s="530"/>
      <c r="BV529" s="3082" t="str">
        <f t="shared" si="8"/>
        <v/>
      </c>
      <c r="CT529" s="531"/>
      <c r="DA529" s="2558"/>
      <c r="EI529" s="2689" t="s">
        <v>10848</v>
      </c>
    </row>
    <row r="530" spans="1:139" ht="29">
      <c r="A530" s="532"/>
      <c r="AR530" s="101" t="s">
        <v>9387</v>
      </c>
      <c r="BH530" s="2406">
        <v>6168000749</v>
      </c>
      <c r="BI530" s="2409" t="s">
        <v>1509</v>
      </c>
      <c r="BJ530" s="2466">
        <v>105664</v>
      </c>
      <c r="BK530" s="530"/>
      <c r="BV530" s="3082" t="str">
        <f t="shared" si="8"/>
        <v/>
      </c>
      <c r="CT530" s="531"/>
      <c r="DA530" s="2558"/>
      <c r="EI530" s="2689" t="s">
        <v>10849</v>
      </c>
    </row>
    <row r="531" spans="1:139" ht="29">
      <c r="A531" s="532"/>
      <c r="AR531" s="101" t="s">
        <v>9388</v>
      </c>
      <c r="BH531" s="2406">
        <v>6311012306</v>
      </c>
      <c r="BI531" s="2409" t="s">
        <v>2040</v>
      </c>
      <c r="BJ531" s="2466">
        <v>128042</v>
      </c>
      <c r="BK531" s="530"/>
      <c r="BV531" s="3082" t="str">
        <f t="shared" si="8"/>
        <v/>
      </c>
      <c r="CT531" s="531"/>
      <c r="DA531" s="2558"/>
      <c r="EI531" s="2689" t="s">
        <v>10850</v>
      </c>
    </row>
    <row r="532" spans="1:139" ht="29">
      <c r="A532" s="532"/>
      <c r="AR532" s="101" t="s">
        <v>9389</v>
      </c>
      <c r="BH532" s="2406">
        <v>6314006156</v>
      </c>
      <c r="BI532" s="2409" t="s">
        <v>3633</v>
      </c>
      <c r="BJ532" s="2466">
        <v>128103</v>
      </c>
      <c r="BK532" s="530"/>
      <c r="BV532" s="3082" t="str">
        <f t="shared" si="8"/>
        <v/>
      </c>
      <c r="CT532" s="531"/>
      <c r="DA532" s="2558"/>
      <c r="EI532" s="2689" t="s">
        <v>10851</v>
      </c>
    </row>
    <row r="533" spans="1:139" ht="29">
      <c r="A533" s="532"/>
      <c r="AR533" s="101" t="s">
        <v>9390</v>
      </c>
      <c r="BH533" s="2406">
        <v>6315000291</v>
      </c>
      <c r="BI533" s="2409" t="s">
        <v>2639</v>
      </c>
      <c r="BJ533" s="2466">
        <v>192087</v>
      </c>
      <c r="BK533" s="530"/>
      <c r="BV533" s="3082" t="str">
        <f t="shared" si="8"/>
        <v/>
      </c>
      <c r="CT533" s="531"/>
      <c r="DA533" s="2558"/>
      <c r="EI533" s="2689" t="s">
        <v>10852</v>
      </c>
    </row>
    <row r="534" spans="1:139" ht="43.5">
      <c r="A534" s="532"/>
      <c r="AR534" s="101" t="s">
        <v>9391</v>
      </c>
      <c r="BH534" s="2406">
        <v>6315376946</v>
      </c>
      <c r="BI534" s="2409" t="s">
        <v>2427</v>
      </c>
      <c r="BJ534" s="2466">
        <v>128111</v>
      </c>
      <c r="BK534" s="530"/>
      <c r="BV534" s="3082" t="str">
        <f t="shared" si="8"/>
        <v/>
      </c>
      <c r="CT534" s="531"/>
      <c r="DA534" s="2558"/>
      <c r="EI534" s="2689" t="s">
        <v>10853</v>
      </c>
    </row>
    <row r="535" spans="1:139" ht="58">
      <c r="A535" s="532"/>
      <c r="AR535" s="101" t="s">
        <v>9392</v>
      </c>
      <c r="BH535" s="2406">
        <v>6316105000</v>
      </c>
      <c r="BI535" s="2409" t="s">
        <v>2473</v>
      </c>
      <c r="BJ535" s="2466">
        <v>257891</v>
      </c>
      <c r="BK535" s="530"/>
      <c r="BV535" s="3082" t="str">
        <f t="shared" si="8"/>
        <v/>
      </c>
      <c r="CT535" s="531"/>
      <c r="DA535" s="2558"/>
      <c r="EI535" s="2689" t="s">
        <v>10854</v>
      </c>
    </row>
    <row r="536" spans="1:139" ht="72.5">
      <c r="A536" s="532"/>
      <c r="AR536" s="101" t="s">
        <v>9393</v>
      </c>
      <c r="BH536" s="2406">
        <v>6318171263</v>
      </c>
      <c r="BI536" s="2409" t="s">
        <v>3580</v>
      </c>
      <c r="BJ536" s="2466">
        <v>182017</v>
      </c>
      <c r="BK536" s="530"/>
      <c r="BV536" s="3082" t="str">
        <f t="shared" si="8"/>
        <v/>
      </c>
      <c r="CT536" s="531"/>
      <c r="DA536" s="2558"/>
      <c r="EI536" s="2689" t="s">
        <v>10855</v>
      </c>
    </row>
    <row r="537" spans="1:139" ht="43.5">
      <c r="A537" s="532"/>
      <c r="AR537" s="101" t="s">
        <v>9394</v>
      </c>
      <c r="BH537" s="2406">
        <v>6319079292</v>
      </c>
      <c r="BI537" s="2409" t="s">
        <v>2729</v>
      </c>
      <c r="BJ537" s="2466">
        <v>217216</v>
      </c>
      <c r="BK537" s="530"/>
      <c r="BV537" s="3082" t="str">
        <f t="shared" si="8"/>
        <v/>
      </c>
      <c r="CT537" s="531"/>
      <c r="DA537" s="2558"/>
      <c r="EI537" s="2689" t="s">
        <v>10856</v>
      </c>
    </row>
    <row r="538" spans="1:139" ht="72.5">
      <c r="A538" s="532"/>
      <c r="AR538" s="101" t="s">
        <v>9395</v>
      </c>
      <c r="BH538" s="2406">
        <v>6321211371</v>
      </c>
      <c r="BI538" s="2409" t="s">
        <v>2443</v>
      </c>
      <c r="BJ538" s="2466">
        <v>128335</v>
      </c>
      <c r="BK538" s="530"/>
      <c r="BV538" s="3082" t="str">
        <f t="shared" si="8"/>
        <v/>
      </c>
      <c r="CT538" s="531"/>
      <c r="DA538" s="2558"/>
      <c r="EI538" s="2689" t="s">
        <v>10857</v>
      </c>
    </row>
    <row r="539" spans="1:139" ht="72.5">
      <c r="A539" s="532"/>
      <c r="AR539" s="101" t="s">
        <v>9396</v>
      </c>
      <c r="BH539" s="2406">
        <v>6345006082</v>
      </c>
      <c r="BI539" s="2409" t="s">
        <v>1961</v>
      </c>
      <c r="BJ539" s="2466">
        <v>128386</v>
      </c>
      <c r="BK539" s="530"/>
      <c r="BV539" s="3082" t="str">
        <f t="shared" si="8"/>
        <v/>
      </c>
      <c r="CT539" s="531"/>
      <c r="DA539" s="2558"/>
      <c r="EI539" s="2689" t="s">
        <v>10858</v>
      </c>
    </row>
    <row r="540" spans="1:139" ht="29">
      <c r="A540" s="532"/>
      <c r="AR540" s="101" t="s">
        <v>9397</v>
      </c>
      <c r="BH540" s="2406">
        <v>6439010461</v>
      </c>
      <c r="BI540" s="2409" t="s">
        <v>1260</v>
      </c>
      <c r="BJ540" s="2466">
        <v>128866</v>
      </c>
      <c r="BK540" s="530"/>
      <c r="BV540" s="3082" t="str">
        <f t="shared" si="8"/>
        <v/>
      </c>
      <c r="CT540" s="531"/>
      <c r="DA540" s="2558"/>
      <c r="EI540" s="2689" t="s">
        <v>10859</v>
      </c>
    </row>
    <row r="541" spans="1:139">
      <c r="A541" s="532"/>
      <c r="AR541" s="101" t="s">
        <v>9398</v>
      </c>
      <c r="BH541" s="2406">
        <v>6439045947</v>
      </c>
      <c r="BI541" s="2409" t="s">
        <v>2954</v>
      </c>
      <c r="BJ541" s="2466">
        <v>129244</v>
      </c>
      <c r="BK541" s="530"/>
      <c r="BV541" s="3082" t="str">
        <f t="shared" si="8"/>
        <v/>
      </c>
      <c r="CT541" s="531"/>
      <c r="DA541" s="2558"/>
      <c r="EI541" s="2689" t="s">
        <v>10860</v>
      </c>
    </row>
    <row r="542" spans="1:139" ht="29">
      <c r="A542" s="532"/>
      <c r="AR542" s="101" t="s">
        <v>9399</v>
      </c>
      <c r="BH542" s="2406">
        <v>6439046443</v>
      </c>
      <c r="BI542" s="2409" t="s">
        <v>2355</v>
      </c>
      <c r="BJ542" s="2466">
        <v>129258</v>
      </c>
      <c r="BK542" s="530"/>
      <c r="BV542" s="3082" t="str">
        <f t="shared" si="8"/>
        <v/>
      </c>
      <c r="CT542" s="531"/>
      <c r="DA542" s="2558"/>
      <c r="EI542" s="2689" t="s">
        <v>10861</v>
      </c>
    </row>
    <row r="543" spans="1:139" ht="43.5">
      <c r="A543" s="532"/>
      <c r="AR543" s="101" t="s">
        <v>9400</v>
      </c>
      <c r="BH543" s="2406">
        <v>6439050697</v>
      </c>
      <c r="BI543" s="2409" t="s">
        <v>2295</v>
      </c>
      <c r="BJ543" s="2466">
        <v>129314</v>
      </c>
      <c r="BK543" s="530"/>
      <c r="BV543" s="3082" t="str">
        <f t="shared" si="8"/>
        <v/>
      </c>
      <c r="CT543" s="531"/>
      <c r="DA543" s="2558"/>
      <c r="EI543" s="2689" t="s">
        <v>10862</v>
      </c>
    </row>
    <row r="544" spans="1:139" ht="43.5">
      <c r="A544" s="532"/>
      <c r="AR544" s="101" t="s">
        <v>9401</v>
      </c>
      <c r="BH544" s="2406">
        <v>6439052630</v>
      </c>
      <c r="BI544" s="2409" t="s">
        <v>3125</v>
      </c>
      <c r="BJ544" s="2466">
        <v>129383</v>
      </c>
      <c r="BK544" s="530"/>
      <c r="BV544" s="3082" t="str">
        <f t="shared" si="8"/>
        <v/>
      </c>
      <c r="CT544" s="531"/>
      <c r="DA544" s="2558"/>
      <c r="EI544" s="2689" t="s">
        <v>10863</v>
      </c>
    </row>
    <row r="545" spans="1:139" ht="43.5">
      <c r="A545" s="532"/>
      <c r="AR545" s="101" t="s">
        <v>9402</v>
      </c>
      <c r="BH545" s="2406">
        <v>6439063086</v>
      </c>
      <c r="BI545" s="2409" t="s">
        <v>2398</v>
      </c>
      <c r="BJ545" s="2466">
        <v>129500</v>
      </c>
      <c r="BK545" s="530"/>
      <c r="BV545" s="3082" t="str">
        <f t="shared" si="8"/>
        <v/>
      </c>
      <c r="CT545" s="531"/>
      <c r="DA545" s="2558"/>
      <c r="EI545" s="2689" t="s">
        <v>10864</v>
      </c>
    </row>
    <row r="546" spans="1:139" ht="58">
      <c r="A546" s="532"/>
      <c r="AR546" s="101" t="s">
        <v>10113</v>
      </c>
      <c r="BH546" s="2406">
        <v>6439070090</v>
      </c>
      <c r="BI546" s="2409" t="s">
        <v>2311</v>
      </c>
      <c r="BJ546" s="2466">
        <v>129534</v>
      </c>
      <c r="BK546" s="530"/>
      <c r="BV546" s="3082" t="str">
        <f t="shared" si="8"/>
        <v/>
      </c>
      <c r="CT546" s="531"/>
      <c r="DA546" s="2558"/>
      <c r="EI546" s="2689" t="s">
        <v>10865</v>
      </c>
    </row>
    <row r="547" spans="1:139" ht="43.5">
      <c r="A547" s="532"/>
      <c r="AR547" s="101" t="s">
        <v>10114</v>
      </c>
      <c r="BH547" s="2405">
        <v>6439071143</v>
      </c>
      <c r="BI547" s="2405" t="s">
        <v>1600</v>
      </c>
      <c r="BJ547" s="2466">
        <v>287</v>
      </c>
      <c r="BK547" s="530"/>
      <c r="BV547" s="3082" t="str">
        <f t="shared" si="8"/>
        <v/>
      </c>
      <c r="CT547" s="531"/>
      <c r="DA547" s="2558"/>
      <c r="EI547" s="2689" t="s">
        <v>10866</v>
      </c>
    </row>
    <row r="548" spans="1:139" ht="58">
      <c r="A548" s="532"/>
      <c r="AR548" s="101" t="s">
        <v>9403</v>
      </c>
      <c r="BH548" s="2406">
        <v>6439073510</v>
      </c>
      <c r="BI548" s="2409" t="s">
        <v>2609</v>
      </c>
      <c r="BJ548" s="2466">
        <v>201203</v>
      </c>
      <c r="BK548" s="530"/>
      <c r="BV548" s="3082" t="str">
        <f t="shared" si="8"/>
        <v/>
      </c>
      <c r="CT548" s="531"/>
      <c r="DA548" s="2558"/>
      <c r="EI548" s="2689" t="s">
        <v>10867</v>
      </c>
    </row>
    <row r="549" spans="1:139" ht="58">
      <c r="A549" s="532"/>
      <c r="AR549" s="101" t="s">
        <v>9404</v>
      </c>
      <c r="BH549" s="2406">
        <v>6450014808</v>
      </c>
      <c r="BI549" s="2409" t="s">
        <v>2284</v>
      </c>
      <c r="BJ549" s="2466">
        <v>129878</v>
      </c>
      <c r="BK549" s="530"/>
      <c r="BV549" s="3082" t="str">
        <f t="shared" si="8"/>
        <v/>
      </c>
      <c r="CT549" s="531"/>
      <c r="DA549" s="2558"/>
      <c r="EI549" s="2689" t="s">
        <v>10868</v>
      </c>
    </row>
    <row r="550" spans="1:139" ht="29">
      <c r="A550" s="532"/>
      <c r="AR550" s="101" t="s">
        <v>9405</v>
      </c>
      <c r="BH550" s="2406">
        <v>6450027395</v>
      </c>
      <c r="BI550" s="2409" t="s">
        <v>3571</v>
      </c>
      <c r="BJ550" s="2466">
        <v>218407</v>
      </c>
      <c r="BK550" s="530"/>
      <c r="BV550" s="3082" t="str">
        <f t="shared" si="8"/>
        <v/>
      </c>
      <c r="CT550" s="531"/>
      <c r="DA550" s="2558"/>
      <c r="EI550" s="2689" t="s">
        <v>10869</v>
      </c>
    </row>
    <row r="551" spans="1:139" ht="43.5">
      <c r="A551" s="532"/>
      <c r="AR551" s="101" t="s">
        <v>9406</v>
      </c>
      <c r="BH551" s="2406">
        <v>6450068585</v>
      </c>
      <c r="BI551" s="2409" t="s">
        <v>2635</v>
      </c>
      <c r="BJ551" s="2466">
        <v>130000</v>
      </c>
      <c r="BK551" s="530"/>
      <c r="BV551" s="3082" t="str">
        <f t="shared" si="8"/>
        <v/>
      </c>
      <c r="CT551" s="531"/>
      <c r="DA551" s="2558"/>
      <c r="EI551" s="2689" t="s">
        <v>10870</v>
      </c>
    </row>
    <row r="552" spans="1:139">
      <c r="A552" s="532"/>
      <c r="AR552" s="101" t="s">
        <v>9407</v>
      </c>
      <c r="BH552" s="2406">
        <v>6450925977</v>
      </c>
      <c r="BI552" s="2409" t="s">
        <v>2268</v>
      </c>
      <c r="BJ552" s="2466">
        <v>209498</v>
      </c>
      <c r="BK552" s="530"/>
      <c r="BV552" s="3082" t="str">
        <f t="shared" si="8"/>
        <v/>
      </c>
      <c r="CT552" s="531"/>
      <c r="DA552" s="2558"/>
      <c r="EI552" s="2689" t="s">
        <v>10871</v>
      </c>
    </row>
    <row r="553" spans="1:139" ht="29">
      <c r="A553" s="532"/>
      <c r="AR553" s="101" t="s">
        <v>9408</v>
      </c>
      <c r="BH553" s="2406">
        <v>6450930744</v>
      </c>
      <c r="BI553" s="2409" t="s">
        <v>2733</v>
      </c>
      <c r="BJ553" s="2466">
        <v>312505</v>
      </c>
      <c r="BK553" s="530"/>
      <c r="BV553" s="3082" t="str">
        <f t="shared" si="8"/>
        <v/>
      </c>
      <c r="CT553" s="531"/>
      <c r="DA553" s="2558"/>
      <c r="EI553" s="2689" t="s">
        <v>10872</v>
      </c>
    </row>
    <row r="554" spans="1:139" ht="29">
      <c r="A554" s="532"/>
      <c r="AR554" s="101" t="s">
        <v>10115</v>
      </c>
      <c r="BH554" s="2406">
        <v>6451114530</v>
      </c>
      <c r="BI554" s="2409" t="s">
        <v>2283</v>
      </c>
      <c r="BJ554" s="2466">
        <v>198172</v>
      </c>
      <c r="BK554" s="530"/>
      <c r="BV554" s="3082" t="str">
        <f t="shared" si="8"/>
        <v/>
      </c>
      <c r="CT554" s="531"/>
      <c r="DA554" s="2558"/>
      <c r="EI554" s="2689" t="s">
        <v>10873</v>
      </c>
    </row>
    <row r="555" spans="1:139" ht="29">
      <c r="A555" s="532"/>
      <c r="AR555" s="101" t="s">
        <v>9409</v>
      </c>
      <c r="BH555" s="2406">
        <v>6451418480</v>
      </c>
      <c r="BI555" s="2409" t="s">
        <v>1924</v>
      </c>
      <c r="BJ555" s="2466">
        <v>201063</v>
      </c>
      <c r="BK555" s="530"/>
      <c r="BV555" s="3082" t="str">
        <f t="shared" ref="BV555:BV618" si="9">CONCATENATE(LEFT(BU555,8),RIGHT(BU555,9))</f>
        <v/>
      </c>
      <c r="CT555" s="531"/>
      <c r="DA555" s="2558"/>
      <c r="EI555" s="2689" t="s">
        <v>10874</v>
      </c>
    </row>
    <row r="556" spans="1:139" ht="29">
      <c r="A556" s="532"/>
      <c r="AR556" s="101" t="s">
        <v>9410</v>
      </c>
      <c r="BH556" s="2406">
        <v>6452056955</v>
      </c>
      <c r="BI556" s="2409" t="s">
        <v>1508</v>
      </c>
      <c r="BJ556" s="2466">
        <v>130235</v>
      </c>
      <c r="BK556" s="530"/>
      <c r="BV556" s="3082" t="str">
        <f t="shared" si="9"/>
        <v/>
      </c>
      <c r="CT556" s="531"/>
      <c r="DA556" s="2558"/>
      <c r="EI556" s="2689" t="s">
        <v>10875</v>
      </c>
    </row>
    <row r="557" spans="1:139" ht="58">
      <c r="A557" s="532"/>
      <c r="AR557" s="101" t="s">
        <v>10077</v>
      </c>
      <c r="BH557" s="2406">
        <v>6452936558</v>
      </c>
      <c r="BI557" s="2409" t="s">
        <v>2301</v>
      </c>
      <c r="BJ557" s="2466">
        <v>381719</v>
      </c>
      <c r="BK557" s="530"/>
      <c r="BV557" s="3082" t="str">
        <f t="shared" si="9"/>
        <v/>
      </c>
      <c r="CT557" s="531"/>
      <c r="DA557" s="2558"/>
      <c r="EI557" s="2689" t="s">
        <v>10876</v>
      </c>
    </row>
    <row r="558" spans="1:139" ht="130.5">
      <c r="A558" s="532"/>
      <c r="AR558" s="101" t="s">
        <v>9411</v>
      </c>
      <c r="BH558" s="2406">
        <v>6453010110</v>
      </c>
      <c r="BI558" s="2409" t="s">
        <v>2176</v>
      </c>
      <c r="BJ558" s="2466">
        <v>161933</v>
      </c>
      <c r="BK558" s="530"/>
      <c r="BV558" s="3082" t="str">
        <f t="shared" si="9"/>
        <v/>
      </c>
      <c r="CT558" s="531"/>
      <c r="DA558" s="2558"/>
      <c r="EI558" s="2689" t="s">
        <v>10877</v>
      </c>
    </row>
    <row r="559" spans="1:139" ht="29">
      <c r="A559" s="532"/>
      <c r="AR559" s="101" t="s">
        <v>9412</v>
      </c>
      <c r="BH559" s="2406">
        <v>6453010343</v>
      </c>
      <c r="BI559" s="2409" t="s">
        <v>2017</v>
      </c>
      <c r="BJ559" s="2466">
        <v>130402</v>
      </c>
      <c r="BK559" s="530"/>
      <c r="BV559" s="3082" t="str">
        <f t="shared" si="9"/>
        <v/>
      </c>
      <c r="CT559" s="531"/>
      <c r="DA559" s="2558"/>
      <c r="EI559" s="2689" t="s">
        <v>10878</v>
      </c>
    </row>
    <row r="560" spans="1:139" ht="58">
      <c r="A560" s="532"/>
      <c r="AR560" s="101" t="s">
        <v>9413</v>
      </c>
      <c r="BH560" s="2406">
        <v>6453117632</v>
      </c>
      <c r="BI560" s="2409" t="s">
        <v>1899</v>
      </c>
      <c r="BJ560" s="2466">
        <v>270158</v>
      </c>
      <c r="BK560" s="530"/>
      <c r="BV560" s="3082" t="str">
        <f t="shared" si="9"/>
        <v/>
      </c>
      <c r="CT560" s="531"/>
      <c r="DA560" s="2558"/>
      <c r="EI560" s="2689" t="s">
        <v>10879</v>
      </c>
    </row>
    <row r="561" spans="1:139" ht="58">
      <c r="A561" s="532"/>
      <c r="AR561" s="101" t="s">
        <v>9414</v>
      </c>
      <c r="BH561" s="2406">
        <v>6454002828</v>
      </c>
      <c r="BI561" s="2409" t="s">
        <v>1929</v>
      </c>
      <c r="BJ561" s="2466">
        <v>130531</v>
      </c>
      <c r="BK561" s="530"/>
      <c r="BV561" s="3082" t="str">
        <f t="shared" si="9"/>
        <v/>
      </c>
      <c r="CT561" s="531"/>
      <c r="DA561" s="2558"/>
      <c r="EI561" s="2689" t="s">
        <v>10880</v>
      </c>
    </row>
    <row r="562" spans="1:139" ht="29">
      <c r="A562" s="532"/>
      <c r="AR562" s="101" t="s">
        <v>9415</v>
      </c>
      <c r="BH562" s="2406">
        <v>6454042041</v>
      </c>
      <c r="BI562" s="2409" t="s">
        <v>1930</v>
      </c>
      <c r="BJ562" s="2466">
        <v>130609</v>
      </c>
      <c r="BK562" s="530"/>
      <c r="BV562" s="3082" t="str">
        <f t="shared" si="9"/>
        <v/>
      </c>
      <c r="CT562" s="531"/>
      <c r="DA562" s="2558"/>
      <c r="EI562" s="2689" t="s">
        <v>10881</v>
      </c>
    </row>
    <row r="563" spans="1:139" ht="43.5">
      <c r="A563" s="532"/>
      <c r="AR563" s="101" t="s">
        <v>10116</v>
      </c>
      <c r="BH563" s="2406">
        <v>6454070024</v>
      </c>
      <c r="BI563" s="2409" t="s">
        <v>2420</v>
      </c>
      <c r="BJ563" s="2466">
        <v>216076</v>
      </c>
      <c r="BK563" s="530"/>
      <c r="BV563" s="3082" t="str">
        <f t="shared" si="9"/>
        <v/>
      </c>
      <c r="CT563" s="531"/>
      <c r="DA563" s="2558"/>
      <c r="EI563" s="2689" t="s">
        <v>10882</v>
      </c>
    </row>
    <row r="564" spans="1:139" ht="58">
      <c r="A564" s="532"/>
      <c r="AR564" s="101" t="s">
        <v>10117</v>
      </c>
      <c r="BH564" s="2406">
        <v>6455000573</v>
      </c>
      <c r="BI564" s="2409" t="s">
        <v>2460</v>
      </c>
      <c r="BJ564" s="2466">
        <v>130693</v>
      </c>
      <c r="BK564" s="530"/>
      <c r="BV564" s="3082" t="str">
        <f t="shared" si="9"/>
        <v/>
      </c>
      <c r="CT564" s="531"/>
      <c r="DA564" s="2558"/>
      <c r="EI564" s="2689" t="s">
        <v>10883</v>
      </c>
    </row>
    <row r="565" spans="1:139" ht="43.5">
      <c r="A565" s="532"/>
      <c r="AR565" s="101" t="s">
        <v>10118</v>
      </c>
      <c r="BH565" s="2406">
        <v>6455026540</v>
      </c>
      <c r="BI565" s="2409" t="s">
        <v>3572</v>
      </c>
      <c r="BJ565" s="2466">
        <v>203824</v>
      </c>
      <c r="BK565" s="530"/>
      <c r="BV565" s="3082" t="str">
        <f t="shared" si="9"/>
        <v/>
      </c>
      <c r="CT565" s="531"/>
      <c r="DA565" s="2558"/>
      <c r="EI565" s="2689" t="s">
        <v>10884</v>
      </c>
    </row>
    <row r="566" spans="1:139" ht="29">
      <c r="A566" s="532"/>
      <c r="AR566" s="101" t="s">
        <v>10078</v>
      </c>
      <c r="BH566" s="2406">
        <v>6455033040</v>
      </c>
      <c r="BI566" s="2409" t="s">
        <v>2534</v>
      </c>
      <c r="BJ566" s="2466">
        <v>301797</v>
      </c>
      <c r="BK566" s="530"/>
      <c r="BV566" s="3082" t="str">
        <f t="shared" si="9"/>
        <v/>
      </c>
      <c r="CT566" s="531"/>
      <c r="DA566" s="2558"/>
      <c r="EI566" s="2689" t="s">
        <v>10885</v>
      </c>
    </row>
    <row r="567" spans="1:139" ht="43.5">
      <c r="A567" s="532"/>
      <c r="AR567" s="3619" t="s">
        <v>15365</v>
      </c>
      <c r="BH567" s="2406">
        <v>6603000467</v>
      </c>
      <c r="BI567" s="2409" t="s">
        <v>1510</v>
      </c>
      <c r="BJ567" s="2466">
        <v>130811</v>
      </c>
      <c r="BK567" s="530"/>
      <c r="BV567" s="3082" t="str">
        <f t="shared" si="9"/>
        <v/>
      </c>
      <c r="CT567" s="531"/>
      <c r="DA567" s="2558"/>
      <c r="EI567" s="2689" t="s">
        <v>10886</v>
      </c>
    </row>
    <row r="568" spans="1:139" ht="43.5">
      <c r="A568" s="532"/>
      <c r="AR568" s="101" t="s">
        <v>9416</v>
      </c>
      <c r="BH568" s="2406">
        <v>6603004790</v>
      </c>
      <c r="BI568" s="2409" t="s">
        <v>1511</v>
      </c>
      <c r="BJ568" s="2466">
        <v>228620</v>
      </c>
      <c r="BK568" s="530"/>
      <c r="BV568" s="3082" t="str">
        <f t="shared" si="9"/>
        <v/>
      </c>
      <c r="CT568" s="531"/>
      <c r="DA568" s="2558"/>
      <c r="EI568" s="2689" t="s">
        <v>10887</v>
      </c>
    </row>
    <row r="569" spans="1:139" ht="101.5">
      <c r="A569" s="532"/>
      <c r="AR569" s="101" t="s">
        <v>9417</v>
      </c>
      <c r="BH569" s="2406">
        <v>6603004800</v>
      </c>
      <c r="BI569" s="2409" t="s">
        <v>1502</v>
      </c>
      <c r="BJ569" s="2466">
        <v>198994</v>
      </c>
      <c r="BK569" s="530"/>
      <c r="BV569" s="3082" t="str">
        <f t="shared" si="9"/>
        <v/>
      </c>
      <c r="CT569" s="531"/>
      <c r="DA569" s="2558"/>
      <c r="EI569" s="2689" t="s">
        <v>10888</v>
      </c>
    </row>
    <row r="570" spans="1:139" ht="43.5">
      <c r="A570" s="532"/>
      <c r="AR570" s="101" t="s">
        <v>9418</v>
      </c>
      <c r="BH570" s="2406">
        <v>6604008860</v>
      </c>
      <c r="BI570" s="2409" t="s">
        <v>3622</v>
      </c>
      <c r="BJ570" s="2466">
        <v>106549</v>
      </c>
      <c r="BK570" s="530"/>
      <c r="BV570" s="3082" t="str">
        <f t="shared" si="9"/>
        <v/>
      </c>
      <c r="CT570" s="531"/>
      <c r="DA570" s="2558"/>
      <c r="EI570" s="2689" t="s">
        <v>10889</v>
      </c>
    </row>
    <row r="571" spans="1:139" ht="43.5">
      <c r="A571" s="532"/>
      <c r="AR571" s="101" t="s">
        <v>9419</v>
      </c>
      <c r="BH571" s="2406">
        <v>6608005130</v>
      </c>
      <c r="BI571" s="2409" t="s">
        <v>2245</v>
      </c>
      <c r="BJ571" s="2466">
        <v>239494</v>
      </c>
      <c r="BK571" s="530"/>
      <c r="BV571" s="3082" t="str">
        <f t="shared" si="9"/>
        <v/>
      </c>
      <c r="CT571" s="531"/>
      <c r="DA571" s="2558"/>
      <c r="EI571" s="2689" t="s">
        <v>10890</v>
      </c>
    </row>
    <row r="572" spans="1:139" ht="43.5">
      <c r="A572" s="532"/>
      <c r="AR572" s="101" t="s">
        <v>9420</v>
      </c>
      <c r="BH572" s="2406">
        <v>6608007434</v>
      </c>
      <c r="BI572" s="2409" t="s">
        <v>2330</v>
      </c>
      <c r="BJ572" s="2466">
        <v>106539</v>
      </c>
      <c r="BK572" s="530"/>
      <c r="BV572" s="3082" t="str">
        <f t="shared" si="9"/>
        <v/>
      </c>
      <c r="CT572" s="531"/>
      <c r="DA572" s="2558"/>
      <c r="EI572" s="2689" t="s">
        <v>10891</v>
      </c>
    </row>
    <row r="573" spans="1:139" ht="43.5">
      <c r="A573" s="532"/>
      <c r="AR573" s="101" t="s">
        <v>9421</v>
      </c>
      <c r="BH573" s="2405">
        <v>6609000583</v>
      </c>
      <c r="BI573" s="2405" t="s">
        <v>1371</v>
      </c>
      <c r="BJ573" s="2466">
        <v>99018</v>
      </c>
      <c r="BK573" s="530"/>
      <c r="BV573" s="3082" t="str">
        <f t="shared" si="9"/>
        <v/>
      </c>
      <c r="CT573" s="531"/>
      <c r="DA573" s="2558"/>
      <c r="EI573" s="2689" t="s">
        <v>10892</v>
      </c>
    </row>
    <row r="574" spans="1:139" ht="29">
      <c r="A574" s="532"/>
      <c r="AR574" s="101" t="s">
        <v>9422</v>
      </c>
      <c r="BH574" s="2406">
        <v>6609001932</v>
      </c>
      <c r="BI574" s="2409" t="s">
        <v>172</v>
      </c>
      <c r="BJ574" s="2466">
        <v>223801</v>
      </c>
      <c r="BK574" s="530"/>
      <c r="BV574" s="3082" t="str">
        <f t="shared" si="9"/>
        <v/>
      </c>
      <c r="CT574" s="531"/>
      <c r="DA574" s="2558"/>
      <c r="EI574" s="2689" t="s">
        <v>10893</v>
      </c>
    </row>
    <row r="575" spans="1:139" ht="29">
      <c r="A575" s="532"/>
      <c r="AR575" s="101" t="s">
        <v>9423</v>
      </c>
      <c r="BH575" s="2406">
        <v>6609002069</v>
      </c>
      <c r="BI575" s="2409" t="s">
        <v>1501</v>
      </c>
      <c r="BJ575" s="2466">
        <v>190583</v>
      </c>
      <c r="BK575" s="530"/>
      <c r="BV575" s="3082" t="str">
        <f t="shared" si="9"/>
        <v/>
      </c>
      <c r="CT575" s="531"/>
      <c r="DA575" s="2558"/>
      <c r="EI575" s="2689" t="s">
        <v>10894</v>
      </c>
    </row>
    <row r="576" spans="1:139" ht="29">
      <c r="A576" s="532"/>
      <c r="AR576" s="101" t="s">
        <v>9424</v>
      </c>
      <c r="BH576" s="2406">
        <v>6609002608</v>
      </c>
      <c r="BI576" s="2409" t="s">
        <v>1512</v>
      </c>
      <c r="BJ576" s="2466">
        <v>304488</v>
      </c>
      <c r="BK576" s="530"/>
      <c r="BV576" s="3082" t="str">
        <f t="shared" si="9"/>
        <v/>
      </c>
      <c r="CT576" s="531"/>
      <c r="DA576" s="2558"/>
      <c r="EI576" s="2689" t="s">
        <v>10895</v>
      </c>
    </row>
    <row r="577" spans="1:139" ht="43.5">
      <c r="A577" s="532"/>
      <c r="AR577" s="101" t="s">
        <v>9425</v>
      </c>
      <c r="BH577" s="2405">
        <v>6609007758</v>
      </c>
      <c r="BI577" s="2405" t="s">
        <v>2916</v>
      </c>
      <c r="BJ577" s="2466">
        <v>170</v>
      </c>
      <c r="BK577" s="530"/>
      <c r="BV577" s="3082" t="str">
        <f t="shared" si="9"/>
        <v/>
      </c>
      <c r="CT577" s="531"/>
      <c r="DA577" s="2558"/>
      <c r="EI577" s="2689" t="s">
        <v>10896</v>
      </c>
    </row>
    <row r="578" spans="1:139" ht="43.5">
      <c r="A578" s="532"/>
      <c r="AR578" s="101" t="s">
        <v>9426</v>
      </c>
      <c r="BH578" s="2406">
        <v>6609009642</v>
      </c>
      <c r="BI578" s="2409" t="s">
        <v>1513</v>
      </c>
      <c r="BJ578" s="2466">
        <v>240663</v>
      </c>
      <c r="BK578" s="530"/>
      <c r="BV578" s="3082" t="str">
        <f t="shared" si="9"/>
        <v/>
      </c>
      <c r="CT578" s="531"/>
      <c r="DA578" s="2558"/>
      <c r="EI578" s="2689" t="s">
        <v>10897</v>
      </c>
    </row>
    <row r="579" spans="1:139" ht="29">
      <c r="A579" s="532"/>
      <c r="AR579" s="101" t="s">
        <v>10119</v>
      </c>
      <c r="BH579" s="2406">
        <v>6609010704</v>
      </c>
      <c r="BI579" s="2409" t="s">
        <v>1514</v>
      </c>
      <c r="BJ579" s="2466">
        <v>130902</v>
      </c>
      <c r="BK579" s="530"/>
      <c r="BV579" s="3082" t="str">
        <f t="shared" si="9"/>
        <v/>
      </c>
      <c r="CT579" s="531"/>
      <c r="DA579" s="2558"/>
      <c r="EI579" s="2689" t="s">
        <v>10898</v>
      </c>
    </row>
    <row r="580" spans="1:139" ht="58">
      <c r="A580" s="532"/>
      <c r="AR580" s="101" t="s">
        <v>9850</v>
      </c>
      <c r="BH580" s="2406">
        <v>6609011095</v>
      </c>
      <c r="BI580" s="2409" t="s">
        <v>2597</v>
      </c>
      <c r="BJ580" s="2466">
        <v>295547</v>
      </c>
      <c r="BK580" s="530"/>
      <c r="BV580" s="3082" t="str">
        <f t="shared" si="9"/>
        <v/>
      </c>
      <c r="CT580" s="531"/>
      <c r="DA580" s="2558"/>
      <c r="EI580" s="2689" t="s">
        <v>10899</v>
      </c>
    </row>
    <row r="581" spans="1:139">
      <c r="A581" s="532"/>
      <c r="AR581" s="101" t="s">
        <v>9427</v>
      </c>
      <c r="BH581" s="2406">
        <v>6612001379</v>
      </c>
      <c r="BI581" s="2409" t="s">
        <v>3630</v>
      </c>
      <c r="BJ581" s="2466">
        <v>330261</v>
      </c>
      <c r="BK581" s="530"/>
      <c r="BV581" s="3082" t="str">
        <f t="shared" si="9"/>
        <v/>
      </c>
      <c r="CT581" s="531"/>
      <c r="DA581" s="2558"/>
      <c r="EI581" s="2689" t="s">
        <v>10900</v>
      </c>
    </row>
    <row r="582" spans="1:139" ht="43.5">
      <c r="A582" s="532"/>
      <c r="AR582" s="101" t="s">
        <v>9428</v>
      </c>
      <c r="BH582" s="2406">
        <v>6612001971</v>
      </c>
      <c r="BI582" s="2409" t="s">
        <v>1515</v>
      </c>
      <c r="BJ582" s="2466">
        <v>130911</v>
      </c>
      <c r="BK582" s="530"/>
      <c r="BV582" s="3082" t="str">
        <f t="shared" si="9"/>
        <v/>
      </c>
      <c r="CT582" s="531"/>
      <c r="DA582" s="2558"/>
      <c r="EI582" s="2689" t="s">
        <v>10901</v>
      </c>
    </row>
    <row r="583" spans="1:139" ht="43.5">
      <c r="A583" s="532"/>
      <c r="AR583" s="101" t="s">
        <v>9429</v>
      </c>
      <c r="BH583" s="2406">
        <v>6623010985</v>
      </c>
      <c r="BI583" s="2409" t="s">
        <v>2671</v>
      </c>
      <c r="BJ583" s="2466">
        <v>270125</v>
      </c>
      <c r="BK583" s="530"/>
      <c r="BV583" s="3082" t="str">
        <f t="shared" si="9"/>
        <v/>
      </c>
      <c r="CT583" s="531"/>
      <c r="DA583" s="2558"/>
      <c r="EI583" s="2689" t="s">
        <v>10902</v>
      </c>
    </row>
    <row r="584" spans="1:139" ht="43.5">
      <c r="A584" s="532"/>
      <c r="AR584" s="101" t="s">
        <v>9430</v>
      </c>
      <c r="BH584" s="2406">
        <v>6624000563</v>
      </c>
      <c r="BI584" s="2409" t="s">
        <v>1377</v>
      </c>
      <c r="BJ584" s="2466">
        <v>265234</v>
      </c>
      <c r="BK584" s="530"/>
      <c r="BV584" s="3082" t="str">
        <f t="shared" si="9"/>
        <v/>
      </c>
      <c r="CT584" s="531"/>
      <c r="DA584" s="2558"/>
      <c r="EI584" s="2689" t="s">
        <v>10903</v>
      </c>
    </row>
    <row r="585" spans="1:139" ht="43.5">
      <c r="A585" s="532"/>
      <c r="AR585" s="101" t="s">
        <v>9431</v>
      </c>
      <c r="BH585" s="2406">
        <v>6624001430</v>
      </c>
      <c r="BI585" s="2409" t="s">
        <v>1375</v>
      </c>
      <c r="BJ585" s="2466">
        <v>216541</v>
      </c>
      <c r="BK585" s="530"/>
      <c r="BV585" s="3082" t="str">
        <f t="shared" si="9"/>
        <v/>
      </c>
      <c r="CT585" s="531"/>
      <c r="DA585" s="2558"/>
      <c r="EI585" s="2689" t="s">
        <v>10904</v>
      </c>
    </row>
    <row r="586" spans="1:139" ht="58">
      <c r="A586" s="532"/>
      <c r="AR586" s="101" t="s">
        <v>9432</v>
      </c>
      <c r="BH586" s="2406">
        <v>6629002645</v>
      </c>
      <c r="BI586" s="2409" t="s">
        <v>2391</v>
      </c>
      <c r="BJ586" s="2466">
        <v>106509</v>
      </c>
      <c r="BK586" s="530"/>
      <c r="BV586" s="3082" t="str">
        <f t="shared" si="9"/>
        <v/>
      </c>
      <c r="CT586" s="531"/>
      <c r="DA586" s="2558"/>
      <c r="EI586" s="2689" t="s">
        <v>10905</v>
      </c>
    </row>
    <row r="587" spans="1:139" ht="43.5">
      <c r="A587" s="532"/>
      <c r="AR587" s="101" t="s">
        <v>9433</v>
      </c>
      <c r="BH587" s="2406">
        <v>6629007354</v>
      </c>
      <c r="BI587" s="2409" t="s">
        <v>725</v>
      </c>
      <c r="BJ587" s="2466">
        <v>106596</v>
      </c>
      <c r="BK587" s="530"/>
      <c r="BV587" s="3082" t="str">
        <f t="shared" si="9"/>
        <v/>
      </c>
      <c r="CT587" s="531"/>
      <c r="DA587" s="2558"/>
      <c r="EI587" s="2689" t="s">
        <v>10906</v>
      </c>
    </row>
    <row r="588" spans="1:139" ht="29">
      <c r="A588" s="532"/>
      <c r="AR588" s="101" t="s">
        <v>9434</v>
      </c>
      <c r="BH588" s="2408">
        <v>6629007749</v>
      </c>
      <c r="BI588" s="2409" t="s">
        <v>2387</v>
      </c>
      <c r="BJ588" s="2466">
        <v>106502</v>
      </c>
      <c r="BK588" s="530"/>
      <c r="BV588" s="3082" t="str">
        <f t="shared" si="9"/>
        <v/>
      </c>
      <c r="CT588" s="531"/>
      <c r="DA588" s="2558"/>
      <c r="EI588" s="2689" t="s">
        <v>10907</v>
      </c>
    </row>
    <row r="589" spans="1:139" ht="29">
      <c r="A589" s="532"/>
      <c r="AR589" s="101" t="s">
        <v>9435</v>
      </c>
      <c r="BH589" s="2406">
        <v>6629018839</v>
      </c>
      <c r="BI589" s="2409" t="s">
        <v>2475</v>
      </c>
      <c r="BJ589" s="2466">
        <v>107657</v>
      </c>
      <c r="BK589" s="530"/>
      <c r="BV589" s="3082" t="str">
        <f t="shared" si="9"/>
        <v/>
      </c>
      <c r="CT589" s="531"/>
      <c r="DA589" s="2558"/>
      <c r="EI589" s="2689" t="s">
        <v>10908</v>
      </c>
    </row>
    <row r="590" spans="1:139" ht="43.5">
      <c r="A590" s="532"/>
      <c r="AR590" s="101" t="s">
        <v>9436</v>
      </c>
      <c r="BH590" s="2406">
        <v>6629021550</v>
      </c>
      <c r="BI590" s="2409" t="s">
        <v>2653</v>
      </c>
      <c r="BJ590" s="2466">
        <v>198074</v>
      </c>
      <c r="BK590" s="530"/>
      <c r="BV590" s="3082" t="str">
        <f t="shared" si="9"/>
        <v/>
      </c>
      <c r="CT590" s="531"/>
      <c r="DA590" s="2558"/>
      <c r="EI590" s="2689" t="s">
        <v>10909</v>
      </c>
    </row>
    <row r="591" spans="1:139" ht="29">
      <c r="A591" s="532"/>
      <c r="AR591" s="101" t="s">
        <v>9437</v>
      </c>
      <c r="BH591" s="2405">
        <v>6629026340</v>
      </c>
      <c r="BI591" s="2405" t="s">
        <v>1625</v>
      </c>
      <c r="BJ591" s="2466">
        <v>193100</v>
      </c>
      <c r="BK591" s="530"/>
      <c r="BV591" s="3082" t="str">
        <f t="shared" si="9"/>
        <v/>
      </c>
      <c r="CT591" s="531"/>
      <c r="DA591" s="2558"/>
      <c r="EI591" s="2689" t="s">
        <v>10910</v>
      </c>
    </row>
    <row r="592" spans="1:139" ht="43.5">
      <c r="A592" s="532"/>
      <c r="AR592" s="101" t="s">
        <v>9438</v>
      </c>
      <c r="BH592" s="2405">
        <v>6629027216</v>
      </c>
      <c r="BI592" s="2405" t="s">
        <v>1610</v>
      </c>
      <c r="BJ592" s="2466">
        <v>213663</v>
      </c>
      <c r="BK592" s="530"/>
      <c r="BV592" s="3082" t="str">
        <f t="shared" si="9"/>
        <v/>
      </c>
      <c r="CT592" s="531"/>
      <c r="DA592" s="2558"/>
      <c r="EI592" s="2689" t="s">
        <v>10911</v>
      </c>
    </row>
    <row r="593" spans="1:139" ht="29">
      <c r="A593" s="532"/>
      <c r="AR593" s="101" t="s">
        <v>9439</v>
      </c>
      <c r="BH593" s="2406">
        <v>6630000138</v>
      </c>
      <c r="BI593" s="2409" t="s">
        <v>449</v>
      </c>
      <c r="BJ593" s="2466">
        <v>200957</v>
      </c>
      <c r="BK593" s="530"/>
      <c r="BV593" s="3082" t="str">
        <f t="shared" si="9"/>
        <v/>
      </c>
      <c r="CT593" s="531"/>
      <c r="DA593" s="2558"/>
      <c r="EI593" s="2689" t="s">
        <v>10912</v>
      </c>
    </row>
    <row r="594" spans="1:139" ht="58">
      <c r="A594" s="532"/>
      <c r="AR594" s="101" t="s">
        <v>9440</v>
      </c>
      <c r="BH594" s="2406">
        <v>6630001188</v>
      </c>
      <c r="BI594" s="2409" t="s">
        <v>1376</v>
      </c>
      <c r="BJ594" s="2466">
        <v>199436</v>
      </c>
      <c r="BK594" s="530"/>
      <c r="BV594" s="3082" t="str">
        <f t="shared" si="9"/>
        <v/>
      </c>
      <c r="CT594" s="531"/>
      <c r="DA594" s="2558"/>
      <c r="EI594" s="2689" t="s">
        <v>10913</v>
      </c>
    </row>
    <row r="595" spans="1:139" ht="43.5">
      <c r="A595" s="532"/>
      <c r="AR595" s="101" t="s">
        <v>9441</v>
      </c>
      <c r="BH595" s="2406">
        <v>6630001950</v>
      </c>
      <c r="BI595" s="2409" t="s">
        <v>447</v>
      </c>
      <c r="BJ595" s="2466">
        <v>199440</v>
      </c>
      <c r="BK595" s="530"/>
      <c r="BV595" s="3082" t="str">
        <f t="shared" si="9"/>
        <v/>
      </c>
      <c r="CT595" s="531"/>
      <c r="DA595" s="2558"/>
      <c r="EI595" s="2689" t="s">
        <v>10914</v>
      </c>
    </row>
    <row r="596" spans="1:139" ht="29">
      <c r="A596" s="532"/>
      <c r="AR596" s="101" t="s">
        <v>9442</v>
      </c>
      <c r="BH596" s="2406">
        <v>6632003053</v>
      </c>
      <c r="BI596" s="2409" t="s">
        <v>1378</v>
      </c>
      <c r="BJ596" s="2466">
        <v>300029</v>
      </c>
      <c r="BK596" s="530"/>
      <c r="BV596" s="3082" t="str">
        <f t="shared" si="9"/>
        <v/>
      </c>
      <c r="CT596" s="531"/>
      <c r="DA596" s="2558"/>
      <c r="EI596" s="2689" t="s">
        <v>10915</v>
      </c>
    </row>
    <row r="597" spans="1:139" ht="116">
      <c r="A597" s="532"/>
      <c r="AR597" s="101" t="s">
        <v>9443</v>
      </c>
      <c r="BH597" s="2406">
        <v>6632020605</v>
      </c>
      <c r="BI597" s="2409" t="s">
        <v>1874</v>
      </c>
      <c r="BJ597" s="2466">
        <v>246511</v>
      </c>
      <c r="BK597" s="530"/>
      <c r="BV597" s="3082" t="str">
        <f t="shared" si="9"/>
        <v/>
      </c>
      <c r="CT597" s="531"/>
      <c r="DA597" s="2558"/>
      <c r="EI597" s="2689" t="s">
        <v>10916</v>
      </c>
    </row>
    <row r="598" spans="1:139" ht="29">
      <c r="A598" s="532"/>
      <c r="AR598" s="101" t="s">
        <v>9444</v>
      </c>
      <c r="BH598" s="2406">
        <v>6639007843</v>
      </c>
      <c r="BI598" s="2409" t="s">
        <v>2766</v>
      </c>
      <c r="BJ598" s="2466">
        <v>240588</v>
      </c>
      <c r="BK598" s="530"/>
      <c r="BV598" s="3082" t="str">
        <f t="shared" si="9"/>
        <v/>
      </c>
      <c r="CT598" s="531"/>
      <c r="DA598" s="2558"/>
      <c r="EI598" s="2689" t="s">
        <v>10917</v>
      </c>
    </row>
    <row r="599" spans="1:139" ht="43.5">
      <c r="A599" s="532"/>
      <c r="AR599" s="101" t="s">
        <v>9445</v>
      </c>
      <c r="BH599" s="2406">
        <v>6639018852</v>
      </c>
      <c r="BI599" s="2409" t="s">
        <v>2717</v>
      </c>
      <c r="BJ599" s="2466">
        <v>244066</v>
      </c>
      <c r="BK599" s="530"/>
      <c r="BV599" s="3082" t="str">
        <f t="shared" si="9"/>
        <v/>
      </c>
      <c r="CT599" s="531"/>
      <c r="DA599" s="2558"/>
      <c r="EI599" s="2689" t="s">
        <v>10918</v>
      </c>
    </row>
    <row r="600" spans="1:139" ht="43.5">
      <c r="A600" s="532"/>
      <c r="AR600" s="101" t="s">
        <v>9446</v>
      </c>
      <c r="BH600" s="2405">
        <v>6639019528</v>
      </c>
      <c r="BI600" s="2405" t="s">
        <v>1601</v>
      </c>
      <c r="BJ600" s="2466">
        <v>288</v>
      </c>
      <c r="BK600" s="530"/>
      <c r="BV600" s="3082" t="str">
        <f t="shared" si="9"/>
        <v/>
      </c>
      <c r="CT600" s="531"/>
      <c r="DA600" s="2558"/>
      <c r="EI600" s="2689" t="s">
        <v>10919</v>
      </c>
    </row>
    <row r="601" spans="1:139" ht="43.5">
      <c r="A601" s="532"/>
      <c r="AR601" s="101" t="s">
        <v>9447</v>
      </c>
      <c r="BH601" s="2406">
        <v>6658004566</v>
      </c>
      <c r="BI601" s="2409" t="s">
        <v>1516</v>
      </c>
      <c r="BJ601" s="2466">
        <v>298904</v>
      </c>
      <c r="BK601" s="530"/>
      <c r="BV601" s="3082" t="str">
        <f t="shared" si="9"/>
        <v/>
      </c>
      <c r="CT601" s="531"/>
      <c r="DA601" s="2558"/>
      <c r="EI601" s="2689" t="s">
        <v>10920</v>
      </c>
    </row>
    <row r="602" spans="1:139" ht="72.5">
      <c r="A602" s="532"/>
      <c r="AR602" s="101" t="s">
        <v>9448</v>
      </c>
      <c r="BH602" s="2406">
        <v>6658017389</v>
      </c>
      <c r="BI602" s="2409" t="s">
        <v>1517</v>
      </c>
      <c r="BJ602" s="2466">
        <v>106789</v>
      </c>
      <c r="BK602" s="530"/>
      <c r="BV602" s="3082" t="str">
        <f t="shared" si="9"/>
        <v/>
      </c>
      <c r="CT602" s="531"/>
      <c r="DA602" s="2558"/>
      <c r="EI602" s="2689" t="s">
        <v>10921</v>
      </c>
    </row>
    <row r="603" spans="1:139" ht="58">
      <c r="A603" s="532"/>
      <c r="AR603" s="101" t="s">
        <v>9449</v>
      </c>
      <c r="BH603" s="2406">
        <v>6658023287</v>
      </c>
      <c r="BI603" s="2409" t="s">
        <v>2021</v>
      </c>
      <c r="BJ603" s="2466">
        <v>131042</v>
      </c>
      <c r="BK603" s="530"/>
      <c r="BV603" s="3082" t="str">
        <f t="shared" si="9"/>
        <v/>
      </c>
      <c r="CT603" s="531"/>
      <c r="DA603" s="2558"/>
      <c r="EI603" s="2689" t="s">
        <v>10922</v>
      </c>
    </row>
    <row r="604" spans="1:139" ht="43.5">
      <c r="A604" s="532"/>
      <c r="AR604" s="101" t="s">
        <v>9450</v>
      </c>
      <c r="BH604" s="2406">
        <v>6658023946</v>
      </c>
      <c r="BI604" s="2409" t="s">
        <v>2524</v>
      </c>
      <c r="BJ604" s="2466">
        <v>204410</v>
      </c>
      <c r="BK604" s="530"/>
      <c r="BV604" s="3082" t="str">
        <f t="shared" si="9"/>
        <v/>
      </c>
      <c r="CT604" s="531"/>
      <c r="DA604" s="2558"/>
      <c r="EI604" s="2689" t="s">
        <v>10923</v>
      </c>
    </row>
    <row r="605" spans="1:139" ht="29">
      <c r="A605" s="532"/>
      <c r="AR605" s="101" t="s">
        <v>9451</v>
      </c>
      <c r="BH605" s="2406">
        <v>6658081994</v>
      </c>
      <c r="BI605" s="2409" t="s">
        <v>1861</v>
      </c>
      <c r="BJ605" s="2466">
        <v>240565</v>
      </c>
      <c r="BK605" s="530"/>
      <c r="BV605" s="3082" t="str">
        <f t="shared" si="9"/>
        <v/>
      </c>
      <c r="CT605" s="531"/>
      <c r="DA605" s="2558"/>
      <c r="EI605" s="2689" t="s">
        <v>10924</v>
      </c>
    </row>
    <row r="606" spans="1:139" ht="43.5">
      <c r="A606" s="532"/>
      <c r="AR606" s="101" t="s">
        <v>9452</v>
      </c>
      <c r="BH606" s="2406">
        <v>6658098638</v>
      </c>
      <c r="BI606" s="2409" t="s">
        <v>3599</v>
      </c>
      <c r="BJ606" s="2466">
        <v>202108</v>
      </c>
      <c r="BK606" s="530"/>
      <c r="BV606" s="3082" t="str">
        <f t="shared" si="9"/>
        <v/>
      </c>
      <c r="CT606" s="531"/>
      <c r="DA606" s="2558"/>
      <c r="EI606" s="2689" t="s">
        <v>10925</v>
      </c>
    </row>
    <row r="607" spans="1:139" ht="29">
      <c r="A607" s="532"/>
      <c r="AR607" s="101" t="s">
        <v>9453</v>
      </c>
      <c r="BH607" s="2406">
        <v>6658170299</v>
      </c>
      <c r="BI607" s="2409" t="s">
        <v>1518</v>
      </c>
      <c r="BJ607" s="2466">
        <v>106531</v>
      </c>
      <c r="BK607" s="530"/>
      <c r="BV607" s="3082" t="str">
        <f t="shared" si="9"/>
        <v/>
      </c>
      <c r="CT607" s="531"/>
      <c r="DA607" s="2558"/>
      <c r="EI607" s="2689" t="s">
        <v>10926</v>
      </c>
    </row>
    <row r="608" spans="1:139" ht="43.5">
      <c r="A608" s="532"/>
      <c r="AR608" s="101" t="s">
        <v>9454</v>
      </c>
      <c r="BH608" s="2406">
        <v>6658184157</v>
      </c>
      <c r="BI608" s="2409" t="s">
        <v>2417</v>
      </c>
      <c r="BJ608" s="2466">
        <v>241917</v>
      </c>
      <c r="BK608" s="530"/>
      <c r="BV608" s="3082" t="str">
        <f t="shared" si="9"/>
        <v/>
      </c>
      <c r="CT608" s="531"/>
      <c r="DA608" s="2558"/>
      <c r="EI608" s="2689" t="s">
        <v>10927</v>
      </c>
    </row>
    <row r="609" spans="1:139" ht="43.5">
      <c r="A609" s="532"/>
      <c r="AR609" s="101" t="s">
        <v>9455</v>
      </c>
      <c r="BH609" s="2406">
        <v>6658192101</v>
      </c>
      <c r="BI609" s="2409" t="s">
        <v>2955</v>
      </c>
      <c r="BJ609" s="2466">
        <v>177541</v>
      </c>
      <c r="BK609" s="530"/>
      <c r="BV609" s="3082" t="str">
        <f t="shared" si="9"/>
        <v/>
      </c>
      <c r="CT609" s="531"/>
      <c r="DA609" s="2558"/>
      <c r="EI609" s="2689" t="s">
        <v>10928</v>
      </c>
    </row>
    <row r="610" spans="1:139" ht="43.5">
      <c r="A610" s="532"/>
      <c r="AR610" s="101" t="s">
        <v>9456</v>
      </c>
      <c r="BH610" s="2406">
        <v>6658300928</v>
      </c>
      <c r="BI610" s="2409" t="s">
        <v>2664</v>
      </c>
      <c r="BJ610" s="2466">
        <v>131113</v>
      </c>
      <c r="BK610" s="530"/>
      <c r="BV610" s="3082" t="str">
        <f t="shared" si="9"/>
        <v/>
      </c>
      <c r="CT610" s="531"/>
      <c r="DA610" s="2558"/>
      <c r="EI610" s="2689" t="s">
        <v>10929</v>
      </c>
    </row>
    <row r="611" spans="1:139" ht="43.5">
      <c r="A611" s="532"/>
      <c r="AR611" s="101" t="s">
        <v>9457</v>
      </c>
      <c r="BH611" s="2406">
        <v>6658318587</v>
      </c>
      <c r="BI611" s="2409" t="s">
        <v>3615</v>
      </c>
      <c r="BJ611" s="2466">
        <v>277418</v>
      </c>
      <c r="BK611" s="530"/>
      <c r="BV611" s="3082" t="str">
        <f t="shared" si="9"/>
        <v/>
      </c>
      <c r="CT611" s="531"/>
      <c r="DA611" s="2558"/>
      <c r="EI611" s="2689" t="s">
        <v>10930</v>
      </c>
    </row>
    <row r="612" spans="1:139" ht="43.5">
      <c r="A612" s="532"/>
      <c r="AR612" s="101" t="s">
        <v>9458</v>
      </c>
      <c r="BH612" s="2406">
        <v>6659010266</v>
      </c>
      <c r="BI612" s="2409" t="s">
        <v>2263</v>
      </c>
      <c r="BJ612" s="2466">
        <v>153212</v>
      </c>
      <c r="BK612" s="530"/>
      <c r="BV612" s="3082" t="str">
        <f t="shared" si="9"/>
        <v/>
      </c>
      <c r="CT612" s="531"/>
      <c r="DA612" s="2558"/>
      <c r="EI612" s="2689" t="s">
        <v>10931</v>
      </c>
    </row>
    <row r="613" spans="1:139" ht="58">
      <c r="A613" s="532"/>
      <c r="AR613" s="101" t="s">
        <v>9459</v>
      </c>
      <c r="BH613" s="2406">
        <v>6659011245</v>
      </c>
      <c r="BI613" s="2409" t="s">
        <v>1976</v>
      </c>
      <c r="BJ613" s="2466">
        <v>179912</v>
      </c>
      <c r="BK613" s="530"/>
      <c r="BV613" s="3082" t="str">
        <f t="shared" si="9"/>
        <v/>
      </c>
      <c r="CT613" s="531"/>
      <c r="DA613" s="2558"/>
      <c r="EI613" s="2689" t="s">
        <v>10932</v>
      </c>
    </row>
    <row r="614" spans="1:139" ht="58">
      <c r="A614" s="532"/>
      <c r="AR614" s="101" t="s">
        <v>9460</v>
      </c>
      <c r="BH614" s="2406">
        <v>6659014366</v>
      </c>
      <c r="BI614" s="2409" t="s">
        <v>1519</v>
      </c>
      <c r="BJ614" s="2466">
        <v>131012</v>
      </c>
      <c r="BK614" s="530"/>
      <c r="BV614" s="3082" t="str">
        <f t="shared" si="9"/>
        <v/>
      </c>
      <c r="CT614" s="531"/>
      <c r="DA614" s="2558"/>
      <c r="EI614" s="2689" t="s">
        <v>10933</v>
      </c>
    </row>
    <row r="615" spans="1:139" ht="43.5">
      <c r="A615" s="532"/>
      <c r="AR615" s="101" t="s">
        <v>9461</v>
      </c>
      <c r="BH615" s="2406">
        <v>6659058719</v>
      </c>
      <c r="BI615" s="2409" t="s">
        <v>2702</v>
      </c>
      <c r="BJ615" s="2466">
        <v>185676</v>
      </c>
      <c r="BK615" s="530"/>
      <c r="BV615" s="3082" t="str">
        <f t="shared" si="9"/>
        <v/>
      </c>
      <c r="CT615" s="531"/>
      <c r="DA615" s="2558"/>
      <c r="EI615" s="2689" t="s">
        <v>10934</v>
      </c>
    </row>
    <row r="616" spans="1:139" ht="43.5">
      <c r="A616" s="532"/>
      <c r="AR616" s="101" t="s">
        <v>9462</v>
      </c>
      <c r="BH616" s="2406">
        <v>6659075584</v>
      </c>
      <c r="BI616" s="2409" t="s">
        <v>2947</v>
      </c>
      <c r="BJ616" s="2466">
        <v>308410</v>
      </c>
      <c r="BK616" s="530"/>
      <c r="BV616" s="3082" t="str">
        <f t="shared" si="9"/>
        <v/>
      </c>
      <c r="CT616" s="531"/>
      <c r="DA616" s="2558"/>
      <c r="EI616" s="2689" t="s">
        <v>10935</v>
      </c>
    </row>
    <row r="617" spans="1:139" ht="43.5">
      <c r="A617" s="532"/>
      <c r="AR617" s="101" t="s">
        <v>9463</v>
      </c>
      <c r="BH617" s="2406">
        <v>6659077454</v>
      </c>
      <c r="BI617" s="2409" t="s">
        <v>2759</v>
      </c>
      <c r="BJ617" s="2466">
        <v>212819</v>
      </c>
      <c r="BK617" s="530"/>
      <c r="BV617" s="3082" t="str">
        <f t="shared" si="9"/>
        <v/>
      </c>
      <c r="CT617" s="531"/>
      <c r="DA617" s="2558"/>
      <c r="EI617" s="2689" t="s">
        <v>10936</v>
      </c>
    </row>
    <row r="618" spans="1:139" ht="58">
      <c r="A618" s="532"/>
      <c r="AR618" s="101" t="s">
        <v>9464</v>
      </c>
      <c r="BH618" s="2406">
        <v>6659107821</v>
      </c>
      <c r="BI618" s="2409" t="s">
        <v>1520</v>
      </c>
      <c r="BJ618" s="2466">
        <v>235258</v>
      </c>
      <c r="BK618" s="530"/>
      <c r="BV618" s="3082" t="str">
        <f t="shared" si="9"/>
        <v/>
      </c>
      <c r="CT618" s="531"/>
      <c r="DA618" s="2558"/>
      <c r="EI618" s="2689" t="s">
        <v>10937</v>
      </c>
    </row>
    <row r="619" spans="1:139" ht="58">
      <c r="A619" s="532"/>
      <c r="AR619" s="101" t="s">
        <v>9465</v>
      </c>
      <c r="BH619" s="2406">
        <v>6659206808</v>
      </c>
      <c r="BI619" s="2409" t="s">
        <v>2763</v>
      </c>
      <c r="BJ619" s="2466">
        <v>196008</v>
      </c>
      <c r="BK619" s="530"/>
      <c r="BV619" s="3082" t="str">
        <f t="shared" ref="BV619:BV682" si="10">CONCATENATE(LEFT(BU619,8),RIGHT(BU619,9))</f>
        <v/>
      </c>
      <c r="CT619" s="531"/>
      <c r="DA619" s="2558"/>
      <c r="EI619" s="2689" t="s">
        <v>10938</v>
      </c>
    </row>
    <row r="620" spans="1:139" ht="87">
      <c r="A620" s="532"/>
      <c r="AR620" s="101" t="s">
        <v>9466</v>
      </c>
      <c r="BH620" s="2406">
        <v>6660001837</v>
      </c>
      <c r="BI620" s="2409" t="s">
        <v>1382</v>
      </c>
      <c r="BJ620" s="2466">
        <v>154354</v>
      </c>
      <c r="BK620" s="530"/>
      <c r="BV620" s="3082" t="str">
        <f t="shared" si="10"/>
        <v/>
      </c>
      <c r="CT620" s="531"/>
      <c r="DA620" s="2558"/>
      <c r="EI620" s="2689" t="s">
        <v>10939</v>
      </c>
    </row>
    <row r="621" spans="1:139" ht="72.5">
      <c r="A621" s="532"/>
      <c r="AR621" s="101" t="s">
        <v>9467</v>
      </c>
      <c r="BH621" s="2406">
        <v>6660003190</v>
      </c>
      <c r="BI621" s="2409" t="s">
        <v>132</v>
      </c>
      <c r="BJ621" s="2466">
        <v>131195</v>
      </c>
      <c r="BK621" s="530"/>
      <c r="BV621" s="3082" t="str">
        <f t="shared" si="10"/>
        <v/>
      </c>
      <c r="CT621" s="531"/>
      <c r="DA621" s="2558"/>
      <c r="EI621" s="2689" t="s">
        <v>10940</v>
      </c>
    </row>
    <row r="622" spans="1:139">
      <c r="A622" s="532"/>
      <c r="AR622" s="101" t="s">
        <v>9468</v>
      </c>
      <c r="BH622" s="2406">
        <v>6660004997</v>
      </c>
      <c r="BI622" s="2409" t="s">
        <v>2286</v>
      </c>
      <c r="BJ622" s="2466">
        <v>131200</v>
      </c>
      <c r="BK622" s="530"/>
      <c r="BV622" s="3082" t="str">
        <f t="shared" si="10"/>
        <v/>
      </c>
      <c r="CT622" s="531"/>
      <c r="DA622" s="2558"/>
      <c r="EI622" s="2689" t="s">
        <v>10941</v>
      </c>
    </row>
    <row r="623" spans="1:139" ht="29">
      <c r="A623" s="532"/>
      <c r="AR623" s="101" t="s">
        <v>9469</v>
      </c>
      <c r="BH623" s="2406">
        <v>6660013462</v>
      </c>
      <c r="BI623" s="2409" t="s">
        <v>458</v>
      </c>
      <c r="BJ623" s="2466">
        <v>116451</v>
      </c>
      <c r="BK623" s="530"/>
      <c r="BV623" s="3082" t="str">
        <f t="shared" si="10"/>
        <v/>
      </c>
      <c r="CT623" s="531"/>
      <c r="DA623" s="2558"/>
      <c r="EI623" s="2689" t="s">
        <v>10942</v>
      </c>
    </row>
    <row r="624" spans="1:139" ht="72.5">
      <c r="A624" s="532"/>
      <c r="AR624" s="101" t="s">
        <v>9470</v>
      </c>
      <c r="BH624" s="2406">
        <v>6660152120</v>
      </c>
      <c r="BI624" s="2409" t="s">
        <v>1521</v>
      </c>
      <c r="BJ624" s="2466">
        <v>154519</v>
      </c>
      <c r="BK624" s="530"/>
      <c r="BV624" s="3082" t="str">
        <f t="shared" si="10"/>
        <v/>
      </c>
      <c r="CT624" s="531"/>
      <c r="DA624" s="2558"/>
      <c r="EI624" s="2689" t="s">
        <v>10943</v>
      </c>
    </row>
    <row r="625" spans="1:139" ht="43.5">
      <c r="A625" s="532"/>
      <c r="AR625" s="101" t="s">
        <v>9471</v>
      </c>
      <c r="BH625" s="2406">
        <v>6660155354</v>
      </c>
      <c r="BI625" s="2409" t="s">
        <v>1522</v>
      </c>
      <c r="BJ625" s="2466">
        <v>131257</v>
      </c>
      <c r="BK625" s="530"/>
      <c r="BV625" s="3082" t="str">
        <f t="shared" si="10"/>
        <v/>
      </c>
      <c r="CT625" s="531"/>
      <c r="DA625" s="2558"/>
      <c r="EI625" s="2689" t="s">
        <v>10944</v>
      </c>
    </row>
    <row r="626" spans="1:139" ht="58">
      <c r="A626" s="532"/>
      <c r="AR626" s="101" t="s">
        <v>9472</v>
      </c>
      <c r="BH626" s="2406">
        <v>6661002209</v>
      </c>
      <c r="BI626" s="2409" t="s">
        <v>2242</v>
      </c>
      <c r="BJ626" s="2466">
        <v>131263</v>
      </c>
      <c r="BK626" s="530"/>
      <c r="BV626" s="3082" t="str">
        <f t="shared" si="10"/>
        <v/>
      </c>
      <c r="CT626" s="531"/>
      <c r="DA626" s="2558"/>
      <c r="EI626" s="2689" t="s">
        <v>10945</v>
      </c>
    </row>
    <row r="627" spans="1:139" ht="29">
      <c r="A627" s="532"/>
      <c r="AR627" s="101" t="s">
        <v>9473</v>
      </c>
      <c r="BH627" s="2406">
        <v>6661009934</v>
      </c>
      <c r="BI627" s="2409" t="s">
        <v>1523</v>
      </c>
      <c r="BJ627" s="2466">
        <v>206384</v>
      </c>
      <c r="BK627" s="530"/>
      <c r="BV627" s="3082" t="str">
        <f t="shared" si="10"/>
        <v/>
      </c>
      <c r="CT627" s="531"/>
      <c r="DA627" s="2558"/>
      <c r="EI627" s="2689" t="s">
        <v>10946</v>
      </c>
    </row>
    <row r="628" spans="1:139" ht="43.5">
      <c r="A628" s="532"/>
      <c r="AR628" s="101" t="s">
        <v>9474</v>
      </c>
      <c r="BH628" s="2406">
        <v>6662000973</v>
      </c>
      <c r="BI628" s="2409" t="s">
        <v>1524</v>
      </c>
      <c r="BJ628" s="2466">
        <v>131306</v>
      </c>
      <c r="BK628" s="530"/>
      <c r="BV628" s="3082" t="str">
        <f t="shared" si="10"/>
        <v/>
      </c>
      <c r="CT628" s="531"/>
      <c r="DA628" s="2558"/>
      <c r="EI628" s="2689" t="s">
        <v>10947</v>
      </c>
    </row>
    <row r="629" spans="1:139" ht="43.5">
      <c r="A629" s="532"/>
      <c r="AR629" s="101" t="s">
        <v>9475</v>
      </c>
      <c r="BH629" s="2406">
        <v>6662003205</v>
      </c>
      <c r="BI629" s="2409" t="s">
        <v>1969</v>
      </c>
      <c r="BJ629" s="2466">
        <v>131309</v>
      </c>
      <c r="BK629" s="530"/>
      <c r="BV629" s="3082" t="str">
        <f t="shared" si="10"/>
        <v/>
      </c>
      <c r="CT629" s="531"/>
      <c r="DA629" s="2558"/>
      <c r="EI629" s="2689" t="s">
        <v>10948</v>
      </c>
    </row>
    <row r="630" spans="1:139" ht="43.5">
      <c r="A630" s="532"/>
      <c r="AR630" s="101" t="s">
        <v>9476</v>
      </c>
      <c r="BH630" s="2406">
        <v>6662005668</v>
      </c>
      <c r="BI630" s="2409" t="s">
        <v>726</v>
      </c>
      <c r="BJ630" s="2466">
        <v>154367</v>
      </c>
      <c r="BK630" s="530"/>
      <c r="BV630" s="3082" t="str">
        <f t="shared" si="10"/>
        <v/>
      </c>
      <c r="CT630" s="531"/>
      <c r="DA630" s="2558"/>
      <c r="EI630" s="2689" t="s">
        <v>10949</v>
      </c>
    </row>
    <row r="631" spans="1:139" ht="29">
      <c r="A631" s="532"/>
      <c r="AR631" s="101" t="s">
        <v>9477</v>
      </c>
      <c r="BH631" s="2406">
        <v>6663072868</v>
      </c>
      <c r="BI631" s="2409" t="s">
        <v>3631</v>
      </c>
      <c r="BJ631" s="2466">
        <v>216678</v>
      </c>
      <c r="BK631" s="530"/>
      <c r="BV631" s="3082" t="str">
        <f t="shared" si="10"/>
        <v/>
      </c>
      <c r="CT631" s="531"/>
      <c r="DA631" s="2558"/>
      <c r="EI631" s="2689" t="s">
        <v>10950</v>
      </c>
    </row>
    <row r="632" spans="1:139" ht="43.5">
      <c r="A632" s="532"/>
      <c r="AR632" s="101" t="s">
        <v>9478</v>
      </c>
      <c r="BH632" s="2406">
        <v>6664009900</v>
      </c>
      <c r="BI632" s="2409" t="s">
        <v>1525</v>
      </c>
      <c r="BJ632" s="2466">
        <v>131372</v>
      </c>
      <c r="BK632" s="530"/>
      <c r="BV632" s="3082" t="str">
        <f t="shared" si="10"/>
        <v/>
      </c>
      <c r="CT632" s="531"/>
      <c r="DA632" s="2558"/>
      <c r="EI632" s="2689" t="s">
        <v>10951</v>
      </c>
    </row>
    <row r="633" spans="1:139" ht="29">
      <c r="A633" s="532"/>
      <c r="AR633" s="101" t="s">
        <v>9479</v>
      </c>
      <c r="BH633" s="2406">
        <v>6670069834</v>
      </c>
      <c r="BI633" s="2409" t="s">
        <v>1974</v>
      </c>
      <c r="BJ633" s="2466">
        <v>154470</v>
      </c>
      <c r="BK633" s="530"/>
      <c r="BV633" s="3082" t="str">
        <f t="shared" si="10"/>
        <v/>
      </c>
      <c r="CT633" s="531"/>
      <c r="DA633" s="2558"/>
      <c r="EI633" s="2689" t="s">
        <v>10952</v>
      </c>
    </row>
    <row r="634" spans="1:139" ht="29">
      <c r="A634" s="532"/>
      <c r="AR634" s="101" t="s">
        <v>9480</v>
      </c>
      <c r="BH634" s="2406">
        <v>6670080362</v>
      </c>
      <c r="BI634" s="2409" t="s">
        <v>2715</v>
      </c>
      <c r="BJ634" s="2466">
        <v>247865</v>
      </c>
      <c r="BK634" s="530"/>
      <c r="BV634" s="3082" t="str">
        <f t="shared" si="10"/>
        <v/>
      </c>
      <c r="CT634" s="531"/>
      <c r="DA634" s="2558"/>
      <c r="EI634" s="2689" t="s">
        <v>10953</v>
      </c>
    </row>
    <row r="635" spans="1:139" ht="72.5">
      <c r="A635" s="532"/>
      <c r="AR635" s="101" t="s">
        <v>9481</v>
      </c>
      <c r="BH635" s="2406">
        <v>6670081969</v>
      </c>
      <c r="BI635" s="2409" t="s">
        <v>1526</v>
      </c>
      <c r="BJ635" s="2466">
        <v>199688</v>
      </c>
      <c r="BK635" s="530"/>
      <c r="BV635" s="3082" t="str">
        <f t="shared" si="10"/>
        <v/>
      </c>
      <c r="CT635" s="531"/>
      <c r="DA635" s="2558"/>
      <c r="EI635" s="2689" t="s">
        <v>10954</v>
      </c>
    </row>
    <row r="636" spans="1:139" ht="29">
      <c r="A636" s="532"/>
      <c r="AR636" s="101" t="s">
        <v>9482</v>
      </c>
      <c r="BH636" s="2406">
        <v>6670091251</v>
      </c>
      <c r="BI636" s="2409" t="s">
        <v>2647</v>
      </c>
      <c r="BJ636" s="2466">
        <v>262583</v>
      </c>
      <c r="BK636" s="530"/>
      <c r="BV636" s="3082" t="str">
        <f t="shared" si="10"/>
        <v/>
      </c>
      <c r="CT636" s="531"/>
      <c r="DA636" s="2558"/>
      <c r="EI636" s="2689" t="s">
        <v>10955</v>
      </c>
    </row>
    <row r="637" spans="1:139" ht="58">
      <c r="A637" s="532"/>
      <c r="AR637" s="101" t="s">
        <v>9483</v>
      </c>
      <c r="BH637" s="2406">
        <v>6670100259</v>
      </c>
      <c r="BI637" s="2409" t="s">
        <v>2593</v>
      </c>
      <c r="BJ637" s="2466">
        <v>131387</v>
      </c>
      <c r="BK637" s="530"/>
      <c r="BV637" s="3082" t="str">
        <f t="shared" si="10"/>
        <v/>
      </c>
      <c r="CT637" s="531"/>
      <c r="DA637" s="2558"/>
      <c r="EI637" s="2689" t="s">
        <v>10956</v>
      </c>
    </row>
    <row r="638" spans="1:139" ht="58">
      <c r="A638" s="532"/>
      <c r="AR638" s="101" t="s">
        <v>9484</v>
      </c>
      <c r="BH638" s="2406">
        <v>6670129804</v>
      </c>
      <c r="BI638" s="2409" t="s">
        <v>1892</v>
      </c>
      <c r="BJ638" s="2466">
        <v>194607</v>
      </c>
      <c r="BK638" s="530"/>
      <c r="BV638" s="3082" t="str">
        <f t="shared" si="10"/>
        <v/>
      </c>
      <c r="CT638" s="531"/>
      <c r="DA638" s="2558"/>
      <c r="EI638" s="2689" t="s">
        <v>10957</v>
      </c>
    </row>
    <row r="639" spans="1:139" ht="29">
      <c r="A639" s="532"/>
      <c r="AR639" s="101" t="s">
        <v>9485</v>
      </c>
      <c r="BH639" s="2406">
        <v>6670193920</v>
      </c>
      <c r="BI639" s="2409" t="s">
        <v>1958</v>
      </c>
      <c r="BJ639" s="2466">
        <v>183272</v>
      </c>
      <c r="BK639" s="530"/>
      <c r="BV639" s="3082" t="str">
        <f t="shared" si="10"/>
        <v/>
      </c>
      <c r="CT639" s="531"/>
      <c r="DA639" s="2558"/>
      <c r="EI639" s="2689" t="s">
        <v>10958</v>
      </c>
    </row>
    <row r="640" spans="1:139" ht="58">
      <c r="A640" s="532"/>
      <c r="AR640" s="101" t="s">
        <v>9486</v>
      </c>
      <c r="BH640" s="2406">
        <v>6670258461</v>
      </c>
      <c r="BI640" s="2409" t="s">
        <v>2750</v>
      </c>
      <c r="BJ640" s="2466">
        <v>193104</v>
      </c>
      <c r="BK640" s="530"/>
      <c r="BV640" s="3082" t="str">
        <f t="shared" si="10"/>
        <v/>
      </c>
      <c r="CT640" s="531"/>
      <c r="DA640" s="2558"/>
      <c r="EI640" s="2689" t="s">
        <v>10959</v>
      </c>
    </row>
    <row r="641" spans="1:139" ht="72.5">
      <c r="A641" s="532"/>
      <c r="AR641" s="101" t="s">
        <v>9487</v>
      </c>
      <c r="BH641" s="2406">
        <v>6670268942</v>
      </c>
      <c r="BI641" s="2409" t="s">
        <v>2754</v>
      </c>
      <c r="BJ641" s="2466">
        <v>325249</v>
      </c>
      <c r="BK641" s="530"/>
      <c r="BV641" s="3082" t="str">
        <f t="shared" si="10"/>
        <v/>
      </c>
      <c r="CT641" s="531"/>
      <c r="DA641" s="2558"/>
      <c r="EI641" s="2689" t="s">
        <v>10960</v>
      </c>
    </row>
    <row r="642" spans="1:139" ht="87">
      <c r="A642" s="532"/>
      <c r="AR642" s="101" t="s">
        <v>9488</v>
      </c>
      <c r="BH642" s="2406">
        <v>6671163413</v>
      </c>
      <c r="BI642" s="2409" t="s">
        <v>2270</v>
      </c>
      <c r="BJ642" s="2466">
        <v>131399</v>
      </c>
      <c r="BK642" s="530"/>
      <c r="BV642" s="3082" t="str">
        <f t="shared" si="10"/>
        <v/>
      </c>
      <c r="CT642" s="531"/>
      <c r="DA642" s="2558"/>
      <c r="EI642" s="2689" t="s">
        <v>10961</v>
      </c>
    </row>
    <row r="643" spans="1:139" ht="72.5">
      <c r="A643" s="532"/>
      <c r="AR643" s="101" t="s">
        <v>9489</v>
      </c>
      <c r="BH643" s="2406">
        <v>6671196546</v>
      </c>
      <c r="BI643" s="2409" t="s">
        <v>2668</v>
      </c>
      <c r="BJ643" s="2466">
        <v>106955</v>
      </c>
      <c r="BK643" s="530"/>
      <c r="BV643" s="3082" t="str">
        <f t="shared" si="10"/>
        <v/>
      </c>
      <c r="CT643" s="531"/>
      <c r="DA643" s="2558"/>
      <c r="EI643" s="2689" t="s">
        <v>10962</v>
      </c>
    </row>
    <row r="644" spans="1:139" ht="29">
      <c r="A644" s="532"/>
      <c r="AR644" s="101" t="s">
        <v>9490</v>
      </c>
      <c r="BH644" s="2406">
        <v>6671229488</v>
      </c>
      <c r="BI644" s="2409" t="s">
        <v>2708</v>
      </c>
      <c r="BJ644" s="2466">
        <v>259811</v>
      </c>
      <c r="BK644" s="530"/>
      <c r="BV644" s="3082" t="str">
        <f t="shared" si="10"/>
        <v/>
      </c>
      <c r="CT644" s="531"/>
      <c r="DA644" s="2558"/>
      <c r="EI644" s="2689" t="s">
        <v>10963</v>
      </c>
    </row>
    <row r="645" spans="1:139" ht="72.5">
      <c r="A645" s="532"/>
      <c r="AR645" s="101" t="s">
        <v>9491</v>
      </c>
      <c r="BH645" s="2406">
        <v>6671250899</v>
      </c>
      <c r="BI645" s="2409" t="s">
        <v>2246</v>
      </c>
      <c r="BJ645" s="2466">
        <v>131551</v>
      </c>
      <c r="BK645" s="530"/>
      <c r="BV645" s="3082" t="str">
        <f t="shared" si="10"/>
        <v/>
      </c>
      <c r="CT645" s="531"/>
      <c r="DA645" s="2558"/>
      <c r="EI645" s="2689" t="s">
        <v>10964</v>
      </c>
    </row>
    <row r="646" spans="1:139" ht="72.5">
      <c r="A646" s="532"/>
      <c r="AR646" s="101" t="s">
        <v>9492</v>
      </c>
      <c r="BH646" s="2406">
        <v>6671290250</v>
      </c>
      <c r="BI646" s="2409" t="s">
        <v>2004</v>
      </c>
      <c r="BJ646" s="2466">
        <v>154021</v>
      </c>
      <c r="BK646" s="530"/>
      <c r="BV646" s="3082" t="str">
        <f t="shared" si="10"/>
        <v/>
      </c>
      <c r="CT646" s="531"/>
      <c r="DA646" s="2558"/>
      <c r="EI646" s="2689" t="s">
        <v>10965</v>
      </c>
    </row>
    <row r="647" spans="1:139" ht="72.5">
      <c r="A647" s="532"/>
      <c r="AR647" s="101" t="s">
        <v>9493</v>
      </c>
      <c r="BH647" s="2406">
        <v>6671307658</v>
      </c>
      <c r="BI647" s="2409" t="s">
        <v>457</v>
      </c>
      <c r="BJ647" s="2466">
        <v>187430</v>
      </c>
      <c r="BK647" s="530"/>
      <c r="BV647" s="3082" t="str">
        <f t="shared" si="10"/>
        <v/>
      </c>
      <c r="CT647" s="531"/>
      <c r="DA647" s="2558"/>
      <c r="EI647" s="2689" t="s">
        <v>10966</v>
      </c>
    </row>
    <row r="648" spans="1:139" ht="72.5">
      <c r="A648" s="532"/>
      <c r="AR648" s="101" t="s">
        <v>9494</v>
      </c>
      <c r="BH648" s="2406">
        <v>6672143378</v>
      </c>
      <c r="BI648" s="2409" t="s">
        <v>1527</v>
      </c>
      <c r="BJ648" s="2466">
        <v>107526</v>
      </c>
      <c r="BK648" s="530"/>
      <c r="BV648" s="3082" t="str">
        <f t="shared" si="10"/>
        <v/>
      </c>
      <c r="CT648" s="531"/>
      <c r="DA648" s="2558"/>
      <c r="EI648" s="2689" t="s">
        <v>10967</v>
      </c>
    </row>
    <row r="649" spans="1:139" ht="72.5">
      <c r="A649" s="532"/>
      <c r="AR649" s="101" t="s">
        <v>9495</v>
      </c>
      <c r="BH649" s="2405">
        <v>6672219595</v>
      </c>
      <c r="BI649" s="2405" t="s">
        <v>2921</v>
      </c>
      <c r="BJ649" s="2466">
        <v>256</v>
      </c>
      <c r="BK649" s="530"/>
      <c r="BV649" s="3082" t="str">
        <f t="shared" si="10"/>
        <v/>
      </c>
      <c r="CT649" s="531"/>
      <c r="DA649" s="2558"/>
      <c r="EI649" s="2689" t="s">
        <v>10968</v>
      </c>
    </row>
    <row r="650" spans="1:139" ht="43.5">
      <c r="A650" s="532"/>
      <c r="AR650" s="101" t="s">
        <v>9496</v>
      </c>
      <c r="BH650" s="2406">
        <v>6672263629</v>
      </c>
      <c r="BI650" s="2409" t="s">
        <v>2661</v>
      </c>
      <c r="BJ650" s="2466">
        <v>131613</v>
      </c>
      <c r="BK650" s="530"/>
      <c r="BV650" s="3082" t="str">
        <f t="shared" si="10"/>
        <v/>
      </c>
      <c r="CT650" s="531"/>
      <c r="DA650" s="2558"/>
      <c r="EI650" s="2689" t="s">
        <v>10969</v>
      </c>
    </row>
    <row r="651" spans="1:139" ht="43.5">
      <c r="A651" s="532"/>
      <c r="AR651" s="101" t="s">
        <v>9497</v>
      </c>
      <c r="BH651" s="2406">
        <v>6672310646</v>
      </c>
      <c r="BI651" s="2409" t="s">
        <v>1867</v>
      </c>
      <c r="BJ651" s="2466">
        <v>216058</v>
      </c>
      <c r="BK651" s="530"/>
      <c r="BV651" s="3082" t="str">
        <f t="shared" si="10"/>
        <v/>
      </c>
      <c r="CT651" s="531"/>
      <c r="DA651" s="2558"/>
      <c r="EI651" s="2689" t="s">
        <v>10970</v>
      </c>
    </row>
    <row r="652" spans="1:139" ht="58">
      <c r="A652" s="532"/>
      <c r="AR652" s="101" t="s">
        <v>9498</v>
      </c>
      <c r="BH652" s="2406">
        <v>6673101388</v>
      </c>
      <c r="BI652" s="2409" t="s">
        <v>2678</v>
      </c>
      <c r="BJ652" s="2466">
        <v>131638</v>
      </c>
      <c r="BK652" s="530"/>
      <c r="BV652" s="3082" t="str">
        <f t="shared" si="10"/>
        <v/>
      </c>
      <c r="CT652" s="531"/>
      <c r="DA652" s="2558"/>
      <c r="EI652" s="2689" t="s">
        <v>10971</v>
      </c>
    </row>
    <row r="653" spans="1:139" ht="58">
      <c r="A653" s="532"/>
      <c r="AR653" s="101" t="s">
        <v>9499</v>
      </c>
      <c r="BH653" s="2406">
        <v>6673121120</v>
      </c>
      <c r="BI653" s="2409" t="s">
        <v>2768</v>
      </c>
      <c r="BJ653" s="2466">
        <v>279611</v>
      </c>
      <c r="BK653" s="530"/>
      <c r="BV653" s="3082" t="str">
        <f t="shared" si="10"/>
        <v/>
      </c>
      <c r="CT653" s="531"/>
      <c r="DA653" s="2558"/>
      <c r="EI653" s="2689" t="s">
        <v>10972</v>
      </c>
    </row>
    <row r="654" spans="1:139" ht="43.5">
      <c r="A654" s="532"/>
      <c r="AR654" s="101" t="s">
        <v>9500</v>
      </c>
      <c r="BH654" s="2406">
        <v>6673132668</v>
      </c>
      <c r="BI654" s="2409" t="s">
        <v>2712</v>
      </c>
      <c r="BJ654" s="2466">
        <v>202651</v>
      </c>
      <c r="BK654" s="530"/>
      <c r="BV654" s="3082" t="str">
        <f t="shared" si="10"/>
        <v/>
      </c>
      <c r="CT654" s="531"/>
      <c r="DA654" s="2558"/>
      <c r="EI654" s="2689" t="s">
        <v>10973</v>
      </c>
    </row>
    <row r="655" spans="1:139">
      <c r="A655" s="532"/>
      <c r="AR655" s="101" t="s">
        <v>9501</v>
      </c>
      <c r="BH655" s="2406">
        <v>6674103973</v>
      </c>
      <c r="BI655" s="2409" t="s">
        <v>3943</v>
      </c>
      <c r="BJ655" s="2466">
        <v>42</v>
      </c>
      <c r="BK655" s="530"/>
      <c r="BV655" s="3082" t="str">
        <f t="shared" si="10"/>
        <v/>
      </c>
      <c r="CT655" s="531"/>
      <c r="DA655" s="2558"/>
      <c r="EI655" s="2689" t="s">
        <v>10974</v>
      </c>
    </row>
    <row r="656" spans="1:139" ht="29">
      <c r="A656" s="532"/>
      <c r="AR656" s="101" t="s">
        <v>9502</v>
      </c>
      <c r="BH656" s="2406">
        <v>6674153188</v>
      </c>
      <c r="BI656" s="2409" t="s">
        <v>2764</v>
      </c>
      <c r="BJ656" s="2466">
        <v>107655</v>
      </c>
      <c r="BK656" s="530"/>
      <c r="BV656" s="3082" t="str">
        <f t="shared" si="10"/>
        <v/>
      </c>
      <c r="CT656" s="531"/>
      <c r="DA656" s="2558"/>
      <c r="EI656" s="2689" t="s">
        <v>10975</v>
      </c>
    </row>
    <row r="657" spans="1:139">
      <c r="A657" s="532"/>
      <c r="AR657" s="101" t="s">
        <v>9503</v>
      </c>
      <c r="BH657" s="2406">
        <v>6674347049</v>
      </c>
      <c r="BI657" s="2409" t="s">
        <v>2651</v>
      </c>
      <c r="BJ657" s="2466">
        <v>299369</v>
      </c>
      <c r="BK657" s="530"/>
      <c r="BV657" s="3082" t="str">
        <f t="shared" si="10"/>
        <v/>
      </c>
      <c r="CT657" s="531"/>
      <c r="DA657" s="2558"/>
      <c r="EI657" s="2689" t="s">
        <v>10976</v>
      </c>
    </row>
    <row r="658" spans="1:139" ht="58">
      <c r="A658" s="532"/>
      <c r="AR658" s="101" t="s">
        <v>9504</v>
      </c>
      <c r="BH658" s="2406">
        <v>6723008884</v>
      </c>
      <c r="BI658" s="2409" t="s">
        <v>2620</v>
      </c>
      <c r="BJ658" s="2466">
        <v>131737</v>
      </c>
      <c r="BK658" s="530"/>
      <c r="BV658" s="3082" t="str">
        <f t="shared" si="10"/>
        <v/>
      </c>
      <c r="CT658" s="531"/>
      <c r="DA658" s="2558"/>
      <c r="EI658" s="2689" t="s">
        <v>10977</v>
      </c>
    </row>
    <row r="659" spans="1:139" ht="87">
      <c r="A659" s="532"/>
      <c r="AR659" s="101" t="s">
        <v>9505</v>
      </c>
      <c r="BH659" s="2406">
        <v>6724001095</v>
      </c>
      <c r="BI659" s="2409" t="s">
        <v>3560</v>
      </c>
      <c r="BJ659" s="2466">
        <v>131745</v>
      </c>
      <c r="BK659" s="530"/>
      <c r="BV659" s="3082" t="str">
        <f t="shared" si="10"/>
        <v/>
      </c>
      <c r="CT659" s="531"/>
      <c r="DA659" s="2558"/>
      <c r="EI659" s="2689" t="s">
        <v>10978</v>
      </c>
    </row>
    <row r="660" spans="1:139" ht="29">
      <c r="A660" s="532"/>
      <c r="AR660" s="101" t="s">
        <v>9851</v>
      </c>
      <c r="BH660" s="2406">
        <v>6724001810</v>
      </c>
      <c r="BI660" s="2409" t="s">
        <v>126</v>
      </c>
      <c r="BJ660" s="2466">
        <v>204557</v>
      </c>
      <c r="BK660" s="530"/>
      <c r="BV660" s="3082" t="str">
        <f t="shared" si="10"/>
        <v/>
      </c>
      <c r="CT660" s="531"/>
      <c r="DA660" s="2558"/>
      <c r="EI660" s="2689" t="s">
        <v>10979</v>
      </c>
    </row>
    <row r="661" spans="1:139" ht="58">
      <c r="A661" s="532"/>
      <c r="AR661" s="101" t="s">
        <v>9506</v>
      </c>
      <c r="BH661" s="2406">
        <v>6724005766</v>
      </c>
      <c r="BI661" s="2409" t="s">
        <v>2027</v>
      </c>
      <c r="BJ661" s="2466">
        <v>145909</v>
      </c>
      <c r="BK661" s="530"/>
      <c r="BV661" s="3082" t="str">
        <f t="shared" si="10"/>
        <v/>
      </c>
      <c r="CT661" s="531"/>
      <c r="DA661" s="2558"/>
      <c r="EI661" s="2689" t="s">
        <v>10980</v>
      </c>
    </row>
    <row r="662" spans="1:139" ht="29">
      <c r="A662" s="532"/>
      <c r="AR662" s="101" t="s">
        <v>9507</v>
      </c>
      <c r="BH662" s="2406">
        <v>6724007210</v>
      </c>
      <c r="BI662" s="2409" t="s">
        <v>2451</v>
      </c>
      <c r="BJ662" s="2466">
        <v>131797</v>
      </c>
      <c r="BK662" s="530"/>
      <c r="BV662" s="3082" t="str">
        <f t="shared" si="10"/>
        <v/>
      </c>
      <c r="CT662" s="531"/>
      <c r="DA662" s="2558"/>
      <c r="EI662" s="2689" t="s">
        <v>10981</v>
      </c>
    </row>
    <row r="663" spans="1:139" ht="43.5">
      <c r="A663" s="532"/>
      <c r="AR663" s="101" t="s">
        <v>9508</v>
      </c>
      <c r="BH663" s="2405">
        <v>6724008446</v>
      </c>
      <c r="BI663" s="2405" t="s">
        <v>2914</v>
      </c>
      <c r="BJ663" s="2466">
        <v>297</v>
      </c>
      <c r="BK663" s="530"/>
      <c r="BV663" s="3082" t="str">
        <f t="shared" si="10"/>
        <v/>
      </c>
      <c r="CT663" s="531"/>
      <c r="DA663" s="2558"/>
      <c r="EI663" s="2689" t="s">
        <v>10982</v>
      </c>
    </row>
    <row r="664" spans="1:139" ht="43.5">
      <c r="A664" s="532"/>
      <c r="AR664" s="101" t="s">
        <v>9509</v>
      </c>
      <c r="BH664" s="2406">
        <v>6724008541</v>
      </c>
      <c r="BI664" s="2409" t="s">
        <v>1875</v>
      </c>
      <c r="BJ664" s="2466">
        <v>247339</v>
      </c>
      <c r="BK664" s="530"/>
      <c r="BV664" s="3082" t="str">
        <f t="shared" si="10"/>
        <v/>
      </c>
      <c r="CT664" s="531"/>
      <c r="DA664" s="2558"/>
      <c r="EI664" s="2689" t="s">
        <v>10983</v>
      </c>
    </row>
    <row r="665" spans="1:139" ht="43.5">
      <c r="A665" s="532"/>
      <c r="AR665" s="101" t="s">
        <v>9510</v>
      </c>
      <c r="BH665" s="2405">
        <v>6724008661</v>
      </c>
      <c r="BI665" s="2405" t="s">
        <v>39</v>
      </c>
      <c r="BJ665" s="2466">
        <v>295</v>
      </c>
      <c r="BK665" s="530"/>
      <c r="BV665" s="3082" t="str">
        <f t="shared" si="10"/>
        <v/>
      </c>
      <c r="CT665" s="531"/>
      <c r="DA665" s="2558"/>
      <c r="EI665" s="2689" t="s">
        <v>10984</v>
      </c>
    </row>
    <row r="666" spans="1:139" ht="43.5">
      <c r="A666" s="532"/>
      <c r="AR666" s="101" t="s">
        <v>9511</v>
      </c>
      <c r="BH666" s="2406">
        <v>6730013250</v>
      </c>
      <c r="BI666" s="2409" t="s">
        <v>125</v>
      </c>
      <c r="BJ666" s="2466">
        <v>197019</v>
      </c>
      <c r="BK666" s="530"/>
      <c r="BV666" s="3082" t="str">
        <f t="shared" si="10"/>
        <v/>
      </c>
      <c r="CT666" s="531"/>
      <c r="DA666" s="2558"/>
      <c r="EI666" s="2689" t="s">
        <v>10985</v>
      </c>
    </row>
    <row r="667" spans="1:139" ht="29">
      <c r="A667" s="532"/>
      <c r="AR667" s="101" t="s">
        <v>9512</v>
      </c>
      <c r="BH667" s="2406">
        <v>6730054024</v>
      </c>
      <c r="BI667" s="2409" t="s">
        <v>2178</v>
      </c>
      <c r="BJ667" s="2466">
        <v>218518</v>
      </c>
      <c r="BK667" s="530"/>
      <c r="BV667" s="3082" t="str">
        <f t="shared" si="10"/>
        <v/>
      </c>
      <c r="CT667" s="531"/>
      <c r="DA667" s="2558"/>
      <c r="EI667" s="2689" t="s">
        <v>10986</v>
      </c>
    </row>
    <row r="668" spans="1:139" ht="43.5">
      <c r="A668" s="532"/>
      <c r="AR668" s="101" t="s">
        <v>9513</v>
      </c>
      <c r="BH668" s="2406">
        <v>6731002766</v>
      </c>
      <c r="BI668" s="2409" t="s">
        <v>5047</v>
      </c>
      <c r="BJ668" s="2466">
        <v>131915</v>
      </c>
      <c r="BK668" s="530"/>
      <c r="BV668" s="3082" t="str">
        <f t="shared" si="10"/>
        <v/>
      </c>
      <c r="CT668" s="531"/>
      <c r="DA668" s="2558"/>
      <c r="EI668" s="2689" t="s">
        <v>10987</v>
      </c>
    </row>
    <row r="669" spans="1:139" ht="29">
      <c r="A669" s="532"/>
      <c r="AR669" s="101" t="s">
        <v>9514</v>
      </c>
      <c r="BH669" s="2406">
        <v>6731007059</v>
      </c>
      <c r="BI669" s="2409" t="s">
        <v>127</v>
      </c>
      <c r="BJ669" s="2466">
        <v>199996</v>
      </c>
      <c r="BK669" s="530"/>
      <c r="BV669" s="3082" t="str">
        <f t="shared" si="10"/>
        <v/>
      </c>
      <c r="CT669" s="531"/>
      <c r="DA669" s="2558"/>
      <c r="EI669" s="2689" t="s">
        <v>10988</v>
      </c>
    </row>
    <row r="670" spans="1:139">
      <c r="A670" s="532"/>
      <c r="AR670" s="101" t="s">
        <v>9853</v>
      </c>
      <c r="BH670" s="2406">
        <v>6731011930</v>
      </c>
      <c r="BI670" s="2409" t="s">
        <v>2288</v>
      </c>
      <c r="BJ670" s="2466">
        <v>131921</v>
      </c>
      <c r="BK670" s="530"/>
      <c r="BV670" s="3082" t="str">
        <f t="shared" si="10"/>
        <v/>
      </c>
      <c r="CT670" s="531"/>
      <c r="DA670" s="2558"/>
      <c r="EI670" s="2689" t="s">
        <v>10989</v>
      </c>
    </row>
    <row r="671" spans="1:139" ht="29">
      <c r="A671" s="532"/>
      <c r="AR671" s="101" t="s">
        <v>9515</v>
      </c>
      <c r="BH671" s="2406">
        <v>6731019167</v>
      </c>
      <c r="BI671" s="2409" t="s">
        <v>124</v>
      </c>
      <c r="BJ671" s="2466">
        <v>146829</v>
      </c>
      <c r="BK671" s="530"/>
      <c r="BV671" s="3082" t="str">
        <f t="shared" si="10"/>
        <v/>
      </c>
      <c r="CT671" s="531"/>
      <c r="DA671" s="2558"/>
      <c r="EI671" s="2689" t="s">
        <v>10990</v>
      </c>
    </row>
    <row r="672" spans="1:139" ht="58">
      <c r="A672" s="532"/>
      <c r="AR672" s="101" t="s">
        <v>9516</v>
      </c>
      <c r="BH672" s="2406">
        <v>6731045583</v>
      </c>
      <c r="BI672" s="2409" t="s">
        <v>2416</v>
      </c>
      <c r="BJ672" s="2466">
        <v>131945</v>
      </c>
      <c r="BK672" s="530"/>
      <c r="BV672" s="3082" t="str">
        <f t="shared" si="10"/>
        <v/>
      </c>
      <c r="CT672" s="531"/>
      <c r="DA672" s="2558"/>
      <c r="EI672" s="2689" t="s">
        <v>10991</v>
      </c>
    </row>
    <row r="673" spans="1:139" ht="29">
      <c r="A673" s="532"/>
      <c r="AR673" s="101" t="s">
        <v>9517</v>
      </c>
      <c r="BH673" s="2406">
        <v>6829010210</v>
      </c>
      <c r="BI673" s="2409" t="s">
        <v>2434</v>
      </c>
      <c r="BJ673" s="2466">
        <v>131974</v>
      </c>
      <c r="BK673" s="530"/>
      <c r="BV673" s="3082" t="str">
        <f t="shared" si="10"/>
        <v/>
      </c>
      <c r="CT673" s="531"/>
      <c r="DA673" s="2558"/>
      <c r="EI673" s="2689" t="s">
        <v>10992</v>
      </c>
    </row>
    <row r="674" spans="1:139" ht="43.5">
      <c r="A674" s="532"/>
      <c r="AR674" s="101" t="s">
        <v>9518</v>
      </c>
      <c r="BH674" s="2406">
        <v>6900000364</v>
      </c>
      <c r="BI674" s="2409" t="s">
        <v>1946</v>
      </c>
      <c r="BJ674" s="2466">
        <v>227847</v>
      </c>
      <c r="BK674" s="530"/>
      <c r="BV674" s="3082" t="str">
        <f t="shared" si="10"/>
        <v/>
      </c>
      <c r="CT674" s="531"/>
      <c r="DA674" s="2558"/>
      <c r="EI674" s="2689" t="s">
        <v>10993</v>
      </c>
    </row>
    <row r="675" spans="1:139" ht="58">
      <c r="A675" s="532"/>
      <c r="AR675" s="101" t="s">
        <v>9519</v>
      </c>
      <c r="BH675" s="2406">
        <v>6901020003</v>
      </c>
      <c r="BI675" s="2409" t="s">
        <v>2400</v>
      </c>
      <c r="BJ675" s="2466">
        <v>132001</v>
      </c>
      <c r="BK675" s="530"/>
      <c r="BV675" s="3082" t="str">
        <f t="shared" si="10"/>
        <v/>
      </c>
      <c r="CT675" s="531"/>
      <c r="DA675" s="2558"/>
      <c r="EI675" s="2689" t="s">
        <v>10994</v>
      </c>
    </row>
    <row r="676" spans="1:139" ht="43.5">
      <c r="A676" s="532"/>
      <c r="AR676" s="101" t="s">
        <v>9520</v>
      </c>
      <c r="BH676" s="2406">
        <v>6901067107</v>
      </c>
      <c r="BI676" s="2409" t="s">
        <v>2377</v>
      </c>
      <c r="BJ676" s="2466">
        <v>131904</v>
      </c>
      <c r="BK676" s="530"/>
      <c r="BV676" s="3082" t="str">
        <f t="shared" si="10"/>
        <v/>
      </c>
      <c r="CT676" s="531"/>
      <c r="DA676" s="2558"/>
      <c r="EI676" s="2689" t="s">
        <v>10995</v>
      </c>
    </row>
    <row r="677" spans="1:139" ht="72.5">
      <c r="A677" s="532"/>
      <c r="AR677" s="101" t="s">
        <v>9854</v>
      </c>
      <c r="BH677" s="2406">
        <v>6901067121</v>
      </c>
      <c r="BI677" s="2409" t="s">
        <v>1537</v>
      </c>
      <c r="BJ677" s="2466">
        <v>132016</v>
      </c>
      <c r="BK677" s="530"/>
      <c r="BV677" s="3082" t="str">
        <f t="shared" si="10"/>
        <v/>
      </c>
      <c r="CT677" s="531"/>
      <c r="DA677" s="2558"/>
      <c r="EI677" s="2689" t="s">
        <v>10996</v>
      </c>
    </row>
    <row r="678" spans="1:139" ht="43.5">
      <c r="A678" s="532"/>
      <c r="AR678" s="101" t="s">
        <v>9521</v>
      </c>
      <c r="BH678" s="2406">
        <v>6901068750</v>
      </c>
      <c r="BI678" s="2409" t="s">
        <v>1538</v>
      </c>
      <c r="BJ678" s="2466">
        <v>255320</v>
      </c>
      <c r="BK678" s="530"/>
      <c r="BV678" s="3082" t="str">
        <f t="shared" si="10"/>
        <v/>
      </c>
      <c r="CT678" s="531"/>
      <c r="DA678" s="2558"/>
      <c r="EI678" s="2689" t="s">
        <v>10997</v>
      </c>
    </row>
    <row r="679" spans="1:139" ht="43.5">
      <c r="A679" s="532"/>
      <c r="AR679" s="101" t="s">
        <v>9522</v>
      </c>
      <c r="BH679" s="2406">
        <v>6902008746</v>
      </c>
      <c r="BI679" s="2409" t="s">
        <v>1539</v>
      </c>
      <c r="BJ679" s="2466">
        <v>116201</v>
      </c>
      <c r="BK679" s="530"/>
      <c r="BV679" s="3082" t="str">
        <f t="shared" si="10"/>
        <v/>
      </c>
      <c r="CT679" s="531"/>
      <c r="DA679" s="2558"/>
      <c r="EI679" s="2689" t="s">
        <v>10998</v>
      </c>
    </row>
    <row r="680" spans="1:139" ht="58">
      <c r="A680" s="532"/>
      <c r="AR680" s="101" t="s">
        <v>9523</v>
      </c>
      <c r="BH680" s="2406">
        <v>6902016578</v>
      </c>
      <c r="BI680" s="2409" t="s">
        <v>1540</v>
      </c>
      <c r="BJ680" s="2466">
        <v>247023</v>
      </c>
      <c r="BK680" s="530"/>
      <c r="BV680" s="3082" t="str">
        <f t="shared" si="10"/>
        <v/>
      </c>
      <c r="CT680" s="531"/>
      <c r="DA680" s="2558"/>
      <c r="EI680" s="2689" t="s">
        <v>10999</v>
      </c>
    </row>
    <row r="681" spans="1:139" ht="72.5">
      <c r="A681" s="532"/>
      <c r="AR681" s="101" t="s">
        <v>9524</v>
      </c>
      <c r="BH681" s="2406">
        <v>6903040213</v>
      </c>
      <c r="BI681" s="2409" t="s">
        <v>3545</v>
      </c>
      <c r="BJ681" s="2466">
        <v>132059</v>
      </c>
      <c r="BK681" s="530"/>
      <c r="BV681" s="3082" t="str">
        <f t="shared" si="10"/>
        <v/>
      </c>
      <c r="CT681" s="531"/>
      <c r="DA681" s="2558"/>
      <c r="EI681" s="2689" t="s">
        <v>11000</v>
      </c>
    </row>
    <row r="682" spans="1:139" ht="29">
      <c r="A682" s="532"/>
      <c r="AR682" s="101" t="s">
        <v>9525</v>
      </c>
      <c r="BH682" s="2406">
        <v>6905004394</v>
      </c>
      <c r="BI682" s="2409" t="s">
        <v>120</v>
      </c>
      <c r="BJ682" s="2466">
        <v>132021</v>
      </c>
      <c r="BK682" s="530"/>
      <c r="BV682" s="3082" t="str">
        <f t="shared" si="10"/>
        <v/>
      </c>
      <c r="CT682" s="531"/>
      <c r="DA682" s="2558"/>
      <c r="EI682" s="2689" t="s">
        <v>11001</v>
      </c>
    </row>
    <row r="683" spans="1:139" ht="43.5">
      <c r="A683" s="532"/>
      <c r="AR683" s="101" t="s">
        <v>9526</v>
      </c>
      <c r="BH683" s="2406">
        <v>6905032497</v>
      </c>
      <c r="BI683" s="2409" t="s">
        <v>3548</v>
      </c>
      <c r="BJ683" s="2466">
        <v>156336</v>
      </c>
      <c r="BK683" s="530"/>
      <c r="BV683" s="3082" t="str">
        <f t="shared" ref="BV683:BV746" si="11">CONCATENATE(LEFT(BU683,8),RIGHT(BU683,9))</f>
        <v/>
      </c>
      <c r="CT683" s="531"/>
      <c r="DA683" s="2558"/>
      <c r="EI683" s="2689" t="s">
        <v>11002</v>
      </c>
    </row>
    <row r="684" spans="1:139" ht="29">
      <c r="A684" s="532"/>
      <c r="AR684" s="101" t="s">
        <v>9527</v>
      </c>
      <c r="BH684" s="2406">
        <v>6905062685</v>
      </c>
      <c r="BI684" s="2409" t="s">
        <v>2490</v>
      </c>
      <c r="BJ684" s="2466">
        <v>204349</v>
      </c>
      <c r="BK684" s="530"/>
      <c r="BV684" s="3082" t="str">
        <f t="shared" si="11"/>
        <v/>
      </c>
      <c r="CT684" s="531"/>
      <c r="DA684" s="2558"/>
      <c r="EI684" s="2689" t="s">
        <v>11003</v>
      </c>
    </row>
    <row r="685" spans="1:139" ht="29">
      <c r="A685" s="532"/>
      <c r="AR685" s="101" t="s">
        <v>9528</v>
      </c>
      <c r="BH685" s="2405">
        <v>6908004297</v>
      </c>
      <c r="BI685" s="2405" t="s">
        <v>6734</v>
      </c>
      <c r="BJ685" s="2466">
        <v>480653</v>
      </c>
      <c r="BK685" s="530"/>
      <c r="BV685" s="3082" t="str">
        <f t="shared" si="11"/>
        <v/>
      </c>
      <c r="CT685" s="531"/>
      <c r="DA685" s="2558"/>
      <c r="EI685" s="2689" t="s">
        <v>11004</v>
      </c>
    </row>
    <row r="686" spans="1:139" ht="29">
      <c r="A686" s="532"/>
      <c r="AR686" s="101" t="s">
        <v>9529</v>
      </c>
      <c r="BH686" s="2406">
        <v>6916004678</v>
      </c>
      <c r="BI686" s="2409" t="s">
        <v>1965</v>
      </c>
      <c r="BJ686" s="2466">
        <v>132126</v>
      </c>
      <c r="BK686" s="530"/>
      <c r="BV686" s="3082" t="str">
        <f t="shared" si="11"/>
        <v/>
      </c>
      <c r="CT686" s="531"/>
      <c r="DA686" s="2558"/>
      <c r="EI686" s="2689" t="s">
        <v>11005</v>
      </c>
    </row>
    <row r="687" spans="1:139" ht="43.5">
      <c r="A687" s="532"/>
      <c r="AR687" s="101" t="s">
        <v>9530</v>
      </c>
      <c r="BH687" s="2406">
        <v>6916006241</v>
      </c>
      <c r="BI687" s="2409" t="s">
        <v>2369</v>
      </c>
      <c r="BJ687" s="2466">
        <v>132128</v>
      </c>
      <c r="BK687" s="530"/>
      <c r="BV687" s="3082" t="str">
        <f t="shared" si="11"/>
        <v/>
      </c>
      <c r="CT687" s="531"/>
      <c r="DA687" s="2558"/>
      <c r="EI687" s="2689" t="s">
        <v>11006</v>
      </c>
    </row>
    <row r="688" spans="1:139" ht="43.5">
      <c r="A688" s="532"/>
      <c r="AR688" s="101" t="s">
        <v>9531</v>
      </c>
      <c r="BH688" s="2406">
        <v>6916006266</v>
      </c>
      <c r="BI688" s="2409" t="s">
        <v>1541</v>
      </c>
      <c r="BJ688" s="2466">
        <v>132129</v>
      </c>
      <c r="BK688" s="530"/>
      <c r="BV688" s="3082" t="str">
        <f t="shared" si="11"/>
        <v/>
      </c>
      <c r="CT688" s="531"/>
      <c r="DA688" s="2558"/>
      <c r="EI688" s="2689" t="s">
        <v>11007</v>
      </c>
    </row>
    <row r="689" spans="1:139">
      <c r="A689" s="532"/>
      <c r="AR689" s="101" t="s">
        <v>9532</v>
      </c>
      <c r="BH689" s="2406">
        <v>6916010505</v>
      </c>
      <c r="BI689" s="2409" t="s">
        <v>1543</v>
      </c>
      <c r="BJ689" s="2466">
        <v>197454</v>
      </c>
      <c r="BK689" s="530"/>
      <c r="BV689" s="3082" t="str">
        <f t="shared" si="11"/>
        <v/>
      </c>
      <c r="CT689" s="531"/>
      <c r="DA689" s="2558"/>
      <c r="EI689" s="2689" t="s">
        <v>11008</v>
      </c>
    </row>
    <row r="690" spans="1:139" ht="72.5">
      <c r="A690" s="532"/>
      <c r="AR690" s="101" t="s">
        <v>9533</v>
      </c>
      <c r="BH690" s="2406">
        <v>6916010752</v>
      </c>
      <c r="BI690" s="2409" t="s">
        <v>2030</v>
      </c>
      <c r="BJ690" s="2466">
        <v>132146</v>
      </c>
      <c r="BK690" s="530"/>
      <c r="BV690" s="3082" t="str">
        <f t="shared" si="11"/>
        <v/>
      </c>
      <c r="CT690" s="531"/>
      <c r="DA690" s="2558"/>
      <c r="EI690" s="2689" t="s">
        <v>11009</v>
      </c>
    </row>
    <row r="691" spans="1:139" ht="43.5">
      <c r="A691" s="532"/>
      <c r="AR691" s="101" t="s">
        <v>9534</v>
      </c>
      <c r="BH691" s="2406">
        <v>6916012238</v>
      </c>
      <c r="BI691" s="2409" t="s">
        <v>2381</v>
      </c>
      <c r="BJ691" s="2466">
        <v>132171</v>
      </c>
      <c r="BK691" s="530"/>
      <c r="BV691" s="3082" t="str">
        <f t="shared" si="11"/>
        <v/>
      </c>
      <c r="CT691" s="531"/>
      <c r="DA691" s="2558"/>
      <c r="EI691" s="2689" t="s">
        <v>11010</v>
      </c>
    </row>
    <row r="692" spans="1:139" ht="58">
      <c r="A692" s="532"/>
      <c r="AR692" s="101" t="s">
        <v>9535</v>
      </c>
      <c r="BH692" s="2406">
        <v>6916012284</v>
      </c>
      <c r="BI692" s="2409" t="s">
        <v>197</v>
      </c>
      <c r="BJ692" s="2466">
        <v>168</v>
      </c>
      <c r="BK692" s="530"/>
      <c r="BV692" s="3082" t="str">
        <f t="shared" si="11"/>
        <v/>
      </c>
      <c r="CT692" s="531"/>
      <c r="DA692" s="2558"/>
      <c r="EI692" s="2689" t="s">
        <v>11011</v>
      </c>
    </row>
    <row r="693" spans="1:139" ht="29">
      <c r="A693" s="532"/>
      <c r="AR693" s="101" t="s">
        <v>9536</v>
      </c>
      <c r="BH693" s="2406">
        <v>6916014919</v>
      </c>
      <c r="BI693" s="2409" t="s">
        <v>966</v>
      </c>
      <c r="BJ693" s="2466">
        <v>352</v>
      </c>
      <c r="BK693" s="530"/>
      <c r="BV693" s="3082" t="str">
        <f t="shared" si="11"/>
        <v/>
      </c>
      <c r="CT693" s="531"/>
      <c r="DA693" s="2558"/>
      <c r="EI693" s="2689" t="s">
        <v>11012</v>
      </c>
    </row>
    <row r="694" spans="1:139" ht="29">
      <c r="A694" s="532"/>
      <c r="AR694" s="101" t="s">
        <v>9537</v>
      </c>
      <c r="BH694" s="2405">
        <v>6916015990</v>
      </c>
      <c r="BI694" s="2405" t="s">
        <v>1615</v>
      </c>
      <c r="BJ694" s="2466">
        <v>132232</v>
      </c>
      <c r="BK694" s="530"/>
      <c r="BV694" s="3082" t="str">
        <f t="shared" si="11"/>
        <v/>
      </c>
      <c r="CT694" s="531"/>
      <c r="DA694" s="2558"/>
      <c r="EI694" s="2689" t="s">
        <v>11013</v>
      </c>
    </row>
    <row r="695" spans="1:139" ht="29">
      <c r="A695" s="532"/>
      <c r="AR695" s="101" t="s">
        <v>9538</v>
      </c>
      <c r="BH695" s="2406">
        <v>6916016225</v>
      </c>
      <c r="BI695" s="2409" t="s">
        <v>2393</v>
      </c>
      <c r="BJ695" s="2466">
        <v>179429</v>
      </c>
      <c r="BK695" s="530"/>
      <c r="BV695" s="3082" t="str">
        <f t="shared" si="11"/>
        <v/>
      </c>
      <c r="CT695" s="531"/>
      <c r="DA695" s="2558"/>
      <c r="EI695" s="2689" t="s">
        <v>11014</v>
      </c>
    </row>
    <row r="696" spans="1:139" ht="29">
      <c r="A696" s="532"/>
      <c r="AR696" s="101" t="s">
        <v>9539</v>
      </c>
      <c r="BH696" s="2406">
        <v>6920007093</v>
      </c>
      <c r="BI696" s="2409" t="s">
        <v>2103</v>
      </c>
      <c r="BJ696" s="2466">
        <v>132238</v>
      </c>
      <c r="BK696" s="530"/>
      <c r="BV696" s="3082" t="str">
        <f t="shared" si="11"/>
        <v/>
      </c>
      <c r="CT696" s="531"/>
      <c r="DA696" s="2558"/>
      <c r="EI696" s="2689" t="s">
        <v>11015</v>
      </c>
    </row>
    <row r="697" spans="1:139" ht="29">
      <c r="A697" s="532"/>
      <c r="AR697" s="101" t="s">
        <v>9540</v>
      </c>
      <c r="BH697" s="2406">
        <v>6930000033</v>
      </c>
      <c r="BI697" s="2409" t="s">
        <v>3174</v>
      </c>
      <c r="BJ697" s="2466">
        <v>132247</v>
      </c>
      <c r="BK697" s="530"/>
      <c r="BV697" s="3082" t="str">
        <f t="shared" si="11"/>
        <v/>
      </c>
      <c r="CT697" s="531"/>
      <c r="DA697" s="2558"/>
      <c r="EI697" s="2689" t="s">
        <v>11016</v>
      </c>
    </row>
    <row r="698" spans="1:139" ht="72.5">
      <c r="A698" s="532"/>
      <c r="AR698" s="101" t="s">
        <v>9541</v>
      </c>
      <c r="BH698" s="2406">
        <v>6932000303</v>
      </c>
      <c r="BI698" s="2409" t="s">
        <v>3173</v>
      </c>
      <c r="BJ698" s="2466">
        <v>132249</v>
      </c>
      <c r="BK698" s="530"/>
      <c r="BV698" s="3082" t="str">
        <f t="shared" si="11"/>
        <v/>
      </c>
      <c r="CT698" s="531"/>
      <c r="DA698" s="2558"/>
      <c r="EI698" s="2689" t="s">
        <v>11017</v>
      </c>
    </row>
    <row r="699" spans="1:139" ht="58">
      <c r="A699" s="532"/>
      <c r="AR699" s="101" t="s">
        <v>9542</v>
      </c>
      <c r="BH699" s="2406">
        <v>6932005950</v>
      </c>
      <c r="BI699" s="2409" t="s">
        <v>2675</v>
      </c>
      <c r="BJ699" s="2466">
        <v>132252</v>
      </c>
      <c r="BK699" s="530"/>
      <c r="BV699" s="3082" t="str">
        <f t="shared" si="11"/>
        <v/>
      </c>
      <c r="CT699" s="531"/>
      <c r="DA699" s="2558"/>
      <c r="EI699" s="2689" t="s">
        <v>11018</v>
      </c>
    </row>
    <row r="700" spans="1:139" ht="43.5">
      <c r="A700" s="532"/>
      <c r="AR700" s="101" t="s">
        <v>9543</v>
      </c>
      <c r="BH700" s="2406">
        <v>6932006111</v>
      </c>
      <c r="BI700" s="2409" t="s">
        <v>1545</v>
      </c>
      <c r="BJ700" s="2466">
        <v>218541</v>
      </c>
      <c r="BK700" s="530"/>
      <c r="BV700" s="3082" t="str">
        <f t="shared" si="11"/>
        <v/>
      </c>
      <c r="CT700" s="531"/>
      <c r="DA700" s="2558"/>
      <c r="EI700" s="2689" t="s">
        <v>11019</v>
      </c>
    </row>
    <row r="701" spans="1:139" ht="58">
      <c r="A701" s="532"/>
      <c r="AR701" s="101" t="s">
        <v>9544</v>
      </c>
      <c r="BH701" s="2406">
        <v>6950003219</v>
      </c>
      <c r="BI701" s="2409" t="s">
        <v>1863</v>
      </c>
      <c r="BJ701" s="2466">
        <v>132258</v>
      </c>
      <c r="BK701" s="530"/>
      <c r="BV701" s="3082" t="str">
        <f t="shared" si="11"/>
        <v/>
      </c>
      <c r="CT701" s="531"/>
      <c r="DA701" s="2558"/>
      <c r="EI701" s="2689" t="s">
        <v>11020</v>
      </c>
    </row>
    <row r="702" spans="1:139" ht="58">
      <c r="A702" s="532"/>
      <c r="AR702" s="101" t="s">
        <v>9545</v>
      </c>
      <c r="BH702" s="2406">
        <v>6950125150</v>
      </c>
      <c r="BI702" s="2409" t="s">
        <v>173</v>
      </c>
      <c r="BJ702" s="2466">
        <v>202612</v>
      </c>
      <c r="BK702" s="530"/>
      <c r="BV702" s="3082" t="str">
        <f t="shared" si="11"/>
        <v/>
      </c>
      <c r="CT702" s="531"/>
      <c r="DA702" s="2558"/>
      <c r="EI702" s="2689" t="s">
        <v>11021</v>
      </c>
    </row>
    <row r="703" spans="1:139" ht="72.5">
      <c r="A703" s="532"/>
      <c r="AR703" s="101" t="s">
        <v>9546</v>
      </c>
      <c r="BH703" s="2405">
        <v>7014041634</v>
      </c>
      <c r="BI703" s="2405" t="s">
        <v>3930</v>
      </c>
      <c r="BJ703" s="2466">
        <v>177085</v>
      </c>
      <c r="BK703" s="530"/>
      <c r="BV703" s="3082" t="str">
        <f t="shared" si="11"/>
        <v/>
      </c>
      <c r="CT703" s="531"/>
      <c r="DA703" s="2558"/>
      <c r="EI703" s="2689" t="s">
        <v>11022</v>
      </c>
    </row>
    <row r="704" spans="1:139" ht="43.5">
      <c r="A704" s="532"/>
      <c r="AR704" s="101" t="s">
        <v>9547</v>
      </c>
      <c r="BH704" s="2406">
        <v>7017005289</v>
      </c>
      <c r="BI704" s="2409" t="s">
        <v>2640</v>
      </c>
      <c r="BJ704" s="2466">
        <v>154851</v>
      </c>
      <c r="BK704" s="530"/>
      <c r="BV704" s="3082" t="str">
        <f t="shared" si="11"/>
        <v/>
      </c>
      <c r="CT704" s="531"/>
      <c r="DA704" s="2558"/>
      <c r="EI704" s="2689" t="s">
        <v>11023</v>
      </c>
    </row>
    <row r="705" spans="1:139">
      <c r="A705" s="532"/>
      <c r="AR705" s="101" t="s">
        <v>9548</v>
      </c>
      <c r="BH705" s="2406">
        <v>7017129541</v>
      </c>
      <c r="BI705" s="2409" t="s">
        <v>1891</v>
      </c>
      <c r="BJ705" s="2466">
        <v>151041</v>
      </c>
      <c r="BK705" s="530"/>
      <c r="BV705" s="3082" t="str">
        <f t="shared" si="11"/>
        <v/>
      </c>
      <c r="CT705" s="531"/>
      <c r="DA705" s="2558"/>
      <c r="EI705" s="2689" t="s">
        <v>11024</v>
      </c>
    </row>
    <row r="706" spans="1:139" ht="58">
      <c r="A706" s="532"/>
      <c r="AR706" s="101" t="s">
        <v>9549</v>
      </c>
      <c r="BH706" s="2406">
        <v>7017140143</v>
      </c>
      <c r="BI706" s="2409" t="s">
        <v>2713</v>
      </c>
      <c r="BJ706" s="2466">
        <v>258495</v>
      </c>
      <c r="BK706" s="530"/>
      <c r="BV706" s="3082" t="str">
        <f t="shared" si="11"/>
        <v/>
      </c>
      <c r="CT706" s="531"/>
      <c r="DA706" s="2558"/>
      <c r="EI706" s="2689" t="s">
        <v>11025</v>
      </c>
    </row>
    <row r="707" spans="1:139" ht="43.5">
      <c r="A707" s="532"/>
      <c r="AR707" s="101" t="s">
        <v>9550</v>
      </c>
      <c r="BH707" s="2406">
        <v>7017203428</v>
      </c>
      <c r="BI707" s="2409" t="s">
        <v>2615</v>
      </c>
      <c r="BJ707" s="2466">
        <v>168741</v>
      </c>
      <c r="BK707" s="530"/>
      <c r="BV707" s="3082" t="str">
        <f t="shared" si="11"/>
        <v/>
      </c>
      <c r="CT707" s="531"/>
      <c r="DA707" s="2558"/>
      <c r="EI707" s="2689" t="s">
        <v>11026</v>
      </c>
    </row>
    <row r="708" spans="1:139" ht="43.5">
      <c r="A708" s="532"/>
      <c r="AR708" s="101" t="s">
        <v>9551</v>
      </c>
      <c r="BH708" s="2406">
        <v>7017226993</v>
      </c>
      <c r="BI708" s="2409" t="s">
        <v>2578</v>
      </c>
      <c r="BJ708" s="2466">
        <v>201017</v>
      </c>
      <c r="BK708" s="530"/>
      <c r="BV708" s="3082" t="str">
        <f t="shared" si="11"/>
        <v/>
      </c>
      <c r="CT708" s="531"/>
      <c r="DA708" s="2558"/>
      <c r="EI708" s="2689" t="s">
        <v>11027</v>
      </c>
    </row>
    <row r="709" spans="1:139" ht="43.5">
      <c r="A709" s="532"/>
      <c r="AR709" s="101" t="s">
        <v>9552</v>
      </c>
      <c r="BH709" s="2406">
        <v>7017242314</v>
      </c>
      <c r="BI709" s="2409" t="s">
        <v>453</v>
      </c>
      <c r="BJ709" s="2466">
        <v>113209</v>
      </c>
      <c r="BK709" s="530"/>
      <c r="BV709" s="3082" t="str">
        <f t="shared" si="11"/>
        <v/>
      </c>
      <c r="CT709" s="531"/>
      <c r="DA709" s="2558"/>
      <c r="EI709" s="2689" t="s">
        <v>11028</v>
      </c>
    </row>
    <row r="710" spans="1:139">
      <c r="A710" s="532"/>
      <c r="AR710" s="101" t="s">
        <v>9553</v>
      </c>
      <c r="BH710" s="2406">
        <v>7017274965</v>
      </c>
      <c r="BI710" s="2409" t="s">
        <v>2580</v>
      </c>
      <c r="BJ710" s="2466">
        <v>198965</v>
      </c>
      <c r="BK710" s="530"/>
      <c r="BV710" s="3082" t="str">
        <f t="shared" si="11"/>
        <v/>
      </c>
      <c r="CT710" s="531"/>
      <c r="DA710" s="2558"/>
      <c r="EI710" s="2689" t="s">
        <v>11029</v>
      </c>
    </row>
    <row r="711" spans="1:139" ht="43.5">
      <c r="A711" s="532"/>
      <c r="AR711" s="101" t="s">
        <v>9554</v>
      </c>
      <c r="BH711" s="2406">
        <v>7018012970</v>
      </c>
      <c r="BI711" s="2409" t="s">
        <v>1949</v>
      </c>
      <c r="BJ711" s="2466">
        <v>143297</v>
      </c>
      <c r="BK711" s="530"/>
      <c r="BV711" s="3082" t="str">
        <f t="shared" si="11"/>
        <v/>
      </c>
      <c r="CT711" s="531"/>
      <c r="DA711" s="2558"/>
      <c r="EI711" s="2689" t="s">
        <v>11030</v>
      </c>
    </row>
    <row r="712" spans="1:139">
      <c r="A712" s="532"/>
      <c r="AR712" s="101" t="s">
        <v>9855</v>
      </c>
      <c r="BH712" s="2406">
        <v>7020008610</v>
      </c>
      <c r="BI712" s="2409" t="s">
        <v>2466</v>
      </c>
      <c r="BJ712" s="2466">
        <v>113226</v>
      </c>
      <c r="BK712" s="530"/>
      <c r="BV712" s="3082" t="str">
        <f t="shared" si="11"/>
        <v/>
      </c>
      <c r="CT712" s="531"/>
      <c r="DA712" s="2558"/>
      <c r="EI712" s="2689" t="s">
        <v>11031</v>
      </c>
    </row>
    <row r="713" spans="1:139">
      <c r="A713" s="532"/>
      <c r="AR713" s="101" t="s">
        <v>9555</v>
      </c>
      <c r="BH713" s="2406">
        <v>7020012504</v>
      </c>
      <c r="BI713" s="2409" t="s">
        <v>2740</v>
      </c>
      <c r="BJ713" s="2466">
        <v>258478</v>
      </c>
      <c r="BK713" s="530"/>
      <c r="BV713" s="3082" t="str">
        <f t="shared" si="11"/>
        <v/>
      </c>
      <c r="CT713" s="531"/>
      <c r="DA713" s="2558"/>
      <c r="EI713" s="2689" t="s">
        <v>11032</v>
      </c>
    </row>
    <row r="714" spans="1:139" ht="87">
      <c r="A714" s="532"/>
      <c r="AR714" s="101" t="s">
        <v>9556</v>
      </c>
      <c r="BH714" s="2406">
        <v>7024005427</v>
      </c>
      <c r="BI714" s="2409" t="s">
        <v>1941</v>
      </c>
      <c r="BJ714" s="2466">
        <v>132326</v>
      </c>
      <c r="BK714" s="530"/>
      <c r="BV714" s="3082" t="str">
        <f t="shared" si="11"/>
        <v/>
      </c>
      <c r="CT714" s="531"/>
      <c r="DA714" s="2558"/>
      <c r="EI714" s="2689" t="s">
        <v>11033</v>
      </c>
    </row>
    <row r="715" spans="1:139" ht="58">
      <c r="A715" s="532"/>
      <c r="AR715" s="101" t="s">
        <v>9856</v>
      </c>
      <c r="BH715" s="2406">
        <v>7024007512</v>
      </c>
      <c r="BI715" s="2409" t="s">
        <v>452</v>
      </c>
      <c r="BJ715" s="2466">
        <v>177038</v>
      </c>
      <c r="BK715" s="530"/>
      <c r="BV715" s="3082" t="str">
        <f t="shared" si="11"/>
        <v/>
      </c>
      <c r="CT715" s="531"/>
      <c r="DA715" s="2558"/>
      <c r="EI715" s="2689" t="s">
        <v>11034</v>
      </c>
    </row>
    <row r="716" spans="1:139">
      <c r="A716" s="532"/>
      <c r="AR716" s="101" t="s">
        <v>9857</v>
      </c>
      <c r="BH716" s="2406">
        <v>7024009333</v>
      </c>
      <c r="BI716" s="2409" t="s">
        <v>451</v>
      </c>
      <c r="BJ716" s="2466">
        <v>113273</v>
      </c>
      <c r="BK716" s="530"/>
      <c r="BV716" s="3082" t="str">
        <f t="shared" si="11"/>
        <v/>
      </c>
      <c r="CT716" s="531"/>
      <c r="DA716" s="2558"/>
      <c r="EI716" s="2689" t="s">
        <v>11035</v>
      </c>
    </row>
    <row r="717" spans="1:139" ht="29">
      <c r="A717" s="532"/>
      <c r="AR717" s="101" t="s">
        <v>10120</v>
      </c>
      <c r="BH717" s="2406">
        <v>7024016316</v>
      </c>
      <c r="BI717" s="2409" t="s">
        <v>2734</v>
      </c>
      <c r="BJ717" s="2466">
        <v>113290</v>
      </c>
      <c r="BK717" s="530"/>
      <c r="BV717" s="3082" t="str">
        <f t="shared" si="11"/>
        <v/>
      </c>
      <c r="CT717" s="531"/>
      <c r="DA717" s="2558"/>
      <c r="EI717" s="2689" t="s">
        <v>11036</v>
      </c>
    </row>
    <row r="718" spans="1:139" ht="43.5">
      <c r="A718" s="532"/>
      <c r="AR718" s="101" t="s">
        <v>10121</v>
      </c>
      <c r="BH718" s="2405">
        <v>7024032205</v>
      </c>
      <c r="BI718" s="2405" t="s">
        <v>28</v>
      </c>
      <c r="BJ718" s="2466">
        <v>169278</v>
      </c>
      <c r="BK718" s="530"/>
      <c r="BV718" s="3082" t="str">
        <f t="shared" si="11"/>
        <v/>
      </c>
      <c r="CT718" s="531"/>
      <c r="DA718" s="2558"/>
      <c r="EI718" s="2689" t="s">
        <v>11037</v>
      </c>
    </row>
    <row r="719" spans="1:139" ht="29">
      <c r="A719" s="532"/>
      <c r="AR719" s="101" t="s">
        <v>10122</v>
      </c>
      <c r="BH719" s="2405">
        <v>7024034001</v>
      </c>
      <c r="BI719" s="2405" t="s">
        <v>44</v>
      </c>
      <c r="BJ719" s="2466">
        <v>205297</v>
      </c>
      <c r="BK719" s="530"/>
      <c r="BV719" s="3082" t="str">
        <f t="shared" si="11"/>
        <v/>
      </c>
      <c r="CT719" s="531"/>
      <c r="DA719" s="2558"/>
      <c r="EI719" s="2689" t="s">
        <v>11038</v>
      </c>
    </row>
    <row r="720" spans="1:139" ht="43.5">
      <c r="A720" s="532"/>
      <c r="AR720" s="101" t="s">
        <v>10123</v>
      </c>
      <c r="BH720" s="2405">
        <v>7024034428</v>
      </c>
      <c r="BI720" s="2405" t="s">
        <v>47</v>
      </c>
      <c r="BJ720" s="2466">
        <v>204870</v>
      </c>
      <c r="BK720" s="530"/>
      <c r="BV720" s="3082" t="str">
        <f t="shared" si="11"/>
        <v/>
      </c>
      <c r="CT720" s="531"/>
      <c r="DA720" s="2558"/>
      <c r="EI720" s="2689" t="s">
        <v>11039</v>
      </c>
    </row>
    <row r="721" spans="1:139">
      <c r="A721" s="532"/>
      <c r="AR721" s="101" t="s">
        <v>10079</v>
      </c>
      <c r="BH721" s="2405">
        <v>7024034570</v>
      </c>
      <c r="BI721" s="2405" t="s">
        <v>41</v>
      </c>
      <c r="BJ721" s="2466">
        <v>210989</v>
      </c>
      <c r="BK721" s="530"/>
      <c r="BV721" s="3082" t="str">
        <f t="shared" si="11"/>
        <v/>
      </c>
      <c r="CT721" s="531"/>
      <c r="DA721" s="2558"/>
      <c r="EI721" s="2689" t="s">
        <v>11040</v>
      </c>
    </row>
    <row r="722" spans="1:139" ht="58">
      <c r="A722" s="532"/>
      <c r="AR722" s="101" t="s">
        <v>9557</v>
      </c>
      <c r="BH722" s="2405">
        <v>7024034587</v>
      </c>
      <c r="BI722" s="2405" t="s">
        <v>29</v>
      </c>
      <c r="BJ722" s="2466">
        <v>208961</v>
      </c>
      <c r="BK722" s="530"/>
      <c r="BV722" s="3082" t="str">
        <f t="shared" si="11"/>
        <v/>
      </c>
      <c r="CT722" s="531"/>
      <c r="DA722" s="2558"/>
      <c r="EI722" s="2689" t="s">
        <v>11041</v>
      </c>
    </row>
    <row r="723" spans="1:139">
      <c r="A723" s="532"/>
      <c r="AR723" s="101" t="s">
        <v>9558</v>
      </c>
      <c r="BH723" s="2405">
        <v>7024034594</v>
      </c>
      <c r="BI723" s="2405" t="s">
        <v>52</v>
      </c>
      <c r="BJ723" s="2466">
        <v>212643</v>
      </c>
      <c r="BK723" s="530"/>
      <c r="BV723" s="3082" t="str">
        <f t="shared" si="11"/>
        <v/>
      </c>
      <c r="CT723" s="531"/>
      <c r="DA723" s="2558"/>
      <c r="EI723" s="2689" t="s">
        <v>11042</v>
      </c>
    </row>
    <row r="724" spans="1:139" ht="29">
      <c r="A724" s="532"/>
      <c r="AR724" s="101" t="s">
        <v>9559</v>
      </c>
      <c r="BH724" s="2406">
        <v>7104002799</v>
      </c>
      <c r="BI724" s="2409" t="s">
        <v>2054</v>
      </c>
      <c r="BJ724" s="2466">
        <v>268627</v>
      </c>
      <c r="BK724" s="530"/>
      <c r="BV724" s="3082" t="str">
        <f t="shared" si="11"/>
        <v/>
      </c>
      <c r="CT724" s="531"/>
      <c r="DA724" s="2558"/>
      <c r="EI724" s="2689" t="s">
        <v>11043</v>
      </c>
    </row>
    <row r="725" spans="1:139" ht="29">
      <c r="A725" s="532"/>
      <c r="AR725" s="101" t="s">
        <v>9560</v>
      </c>
      <c r="BH725" s="2406">
        <v>7105505121</v>
      </c>
      <c r="BI725" s="2409" t="s">
        <v>2644</v>
      </c>
      <c r="BJ725" s="2466">
        <v>282358</v>
      </c>
      <c r="BK725" s="530"/>
      <c r="BV725" s="3082" t="str">
        <f t="shared" si="11"/>
        <v/>
      </c>
      <c r="CT725" s="531"/>
      <c r="DA725" s="2558"/>
      <c r="EI725" s="2689" t="s">
        <v>11044</v>
      </c>
    </row>
    <row r="726" spans="1:139" ht="43.5">
      <c r="A726" s="532"/>
      <c r="AR726" s="101" t="s">
        <v>9561</v>
      </c>
      <c r="BH726" s="2406">
        <v>7106002804</v>
      </c>
      <c r="BI726" s="2409" t="s">
        <v>1957</v>
      </c>
      <c r="BJ726" s="2466">
        <v>277018</v>
      </c>
      <c r="BK726" s="530"/>
      <c r="BV726" s="3082" t="str">
        <f t="shared" si="11"/>
        <v/>
      </c>
      <c r="CT726" s="531"/>
      <c r="DA726" s="2558"/>
      <c r="EI726" s="2689" t="s">
        <v>11045</v>
      </c>
    </row>
    <row r="727" spans="1:139" ht="29">
      <c r="A727" s="532"/>
      <c r="AR727" s="101" t="s">
        <v>9562</v>
      </c>
      <c r="BH727" s="2406">
        <v>7107002282</v>
      </c>
      <c r="BI727" s="2409" t="s">
        <v>2185</v>
      </c>
      <c r="BJ727" s="2466">
        <v>250767</v>
      </c>
      <c r="BK727" s="530"/>
      <c r="BV727" s="3082" t="str">
        <f t="shared" si="11"/>
        <v/>
      </c>
      <c r="CT727" s="531"/>
      <c r="DA727" s="2558"/>
      <c r="EI727" s="2689" t="s">
        <v>11046</v>
      </c>
    </row>
    <row r="728" spans="1:139" ht="58">
      <c r="A728" s="532"/>
      <c r="AR728" s="101" t="s">
        <v>9563</v>
      </c>
      <c r="BH728" s="2406">
        <v>7107003737</v>
      </c>
      <c r="BI728" s="2409" t="s">
        <v>2510</v>
      </c>
      <c r="BJ728" s="2466">
        <v>116942</v>
      </c>
      <c r="BK728" s="530"/>
      <c r="BV728" s="3082" t="str">
        <f t="shared" si="11"/>
        <v/>
      </c>
      <c r="CT728" s="531"/>
      <c r="DA728" s="2558"/>
      <c r="EI728" s="2689" t="s">
        <v>11047</v>
      </c>
    </row>
    <row r="729" spans="1:139" ht="58">
      <c r="A729" s="532"/>
      <c r="AR729" s="101" t="s">
        <v>9564</v>
      </c>
      <c r="BH729" s="2406">
        <v>7107057683</v>
      </c>
      <c r="BI729" s="2409" t="s">
        <v>3624</v>
      </c>
      <c r="BJ729" s="2466">
        <v>221672</v>
      </c>
      <c r="BK729" s="530"/>
      <c r="BV729" s="3082" t="str">
        <f t="shared" si="11"/>
        <v/>
      </c>
      <c r="CT729" s="531"/>
      <c r="DA729" s="2558"/>
      <c r="EI729" s="2689" t="s">
        <v>11048</v>
      </c>
    </row>
    <row r="730" spans="1:139" ht="58">
      <c r="A730" s="532"/>
      <c r="AR730" s="101" t="s">
        <v>9565</v>
      </c>
      <c r="BH730" s="2405">
        <v>7123008877</v>
      </c>
      <c r="BI730" s="2405" t="s">
        <v>1628</v>
      </c>
      <c r="BJ730" s="2466">
        <v>203976</v>
      </c>
      <c r="BK730" s="530"/>
      <c r="BV730" s="3082" t="str">
        <f t="shared" si="11"/>
        <v/>
      </c>
      <c r="CT730" s="531"/>
      <c r="DA730" s="2558"/>
      <c r="EI730" s="2689" t="s">
        <v>11049</v>
      </c>
    </row>
    <row r="731" spans="1:139" ht="43.5">
      <c r="A731" s="532"/>
      <c r="AR731" s="101" t="s">
        <v>9566</v>
      </c>
      <c r="BH731" s="2406">
        <v>7202020002</v>
      </c>
      <c r="BI731" s="2409" t="s">
        <v>170</v>
      </c>
      <c r="BJ731" s="2466">
        <v>132404</v>
      </c>
      <c r="BK731" s="530"/>
      <c r="BV731" s="3082" t="str">
        <f t="shared" si="11"/>
        <v/>
      </c>
      <c r="CT731" s="531"/>
      <c r="DA731" s="2558"/>
      <c r="EI731" s="2689" t="s">
        <v>11050</v>
      </c>
    </row>
    <row r="732" spans="1:139">
      <c r="A732" s="532"/>
      <c r="AR732" s="101" t="s">
        <v>9567</v>
      </c>
      <c r="BH732" s="2406">
        <v>7203001059</v>
      </c>
      <c r="BI732" s="2409" t="s">
        <v>1528</v>
      </c>
      <c r="BJ732" s="2466">
        <v>177388</v>
      </c>
      <c r="BK732" s="530"/>
      <c r="BV732" s="3082" t="str">
        <f t="shared" si="11"/>
        <v/>
      </c>
      <c r="CT732" s="531"/>
      <c r="DA732" s="2558"/>
      <c r="EI732" s="2689" t="s">
        <v>11051</v>
      </c>
    </row>
    <row r="733" spans="1:139" ht="43.5">
      <c r="A733" s="532"/>
      <c r="AR733" s="101" t="s">
        <v>9568</v>
      </c>
      <c r="BH733" s="2406">
        <v>7203001796</v>
      </c>
      <c r="BI733" s="2409" t="s">
        <v>2248</v>
      </c>
      <c r="BJ733" s="2466">
        <v>205032</v>
      </c>
      <c r="BK733" s="530"/>
      <c r="BV733" s="3082" t="str">
        <f t="shared" si="11"/>
        <v/>
      </c>
      <c r="CT733" s="531"/>
      <c r="DA733" s="2558"/>
      <c r="EI733" s="2689" t="s">
        <v>11052</v>
      </c>
    </row>
    <row r="734" spans="1:139" ht="29">
      <c r="A734" s="532"/>
      <c r="AR734" s="101" t="s">
        <v>9569</v>
      </c>
      <c r="BH734" s="2406">
        <v>7203078728</v>
      </c>
      <c r="BI734" s="2409" t="s">
        <v>1895</v>
      </c>
      <c r="BJ734" s="2466">
        <v>213489</v>
      </c>
      <c r="BK734" s="530"/>
      <c r="BV734" s="3082" t="str">
        <f t="shared" si="11"/>
        <v/>
      </c>
      <c r="CT734" s="531"/>
      <c r="DA734" s="2558"/>
      <c r="EI734" s="2689" t="s">
        <v>11053</v>
      </c>
    </row>
    <row r="735" spans="1:139" ht="58">
      <c r="A735" s="532"/>
      <c r="AR735" s="101" t="s">
        <v>9570</v>
      </c>
      <c r="BH735" s="2406">
        <v>7203158282</v>
      </c>
      <c r="BI735" s="2409" t="s">
        <v>2324</v>
      </c>
      <c r="BJ735" s="2466">
        <v>132409</v>
      </c>
      <c r="BK735" s="530"/>
      <c r="BV735" s="3082" t="str">
        <f t="shared" si="11"/>
        <v/>
      </c>
      <c r="CT735" s="531"/>
      <c r="DA735" s="2558"/>
      <c r="EI735" s="2689" t="s">
        <v>11054</v>
      </c>
    </row>
    <row r="736" spans="1:139" ht="29">
      <c r="A736" s="532"/>
      <c r="AR736" s="101" t="s">
        <v>9571</v>
      </c>
      <c r="BH736" s="2406">
        <v>7205011951</v>
      </c>
      <c r="BI736" s="2409" t="s">
        <v>2445</v>
      </c>
      <c r="BJ736" s="2466">
        <v>194762</v>
      </c>
      <c r="BK736" s="530"/>
      <c r="BV736" s="3082" t="str">
        <f t="shared" si="11"/>
        <v/>
      </c>
      <c r="CT736" s="531"/>
      <c r="DA736" s="2558"/>
      <c r="EI736" s="2689" t="s">
        <v>11055</v>
      </c>
    </row>
    <row r="737" spans="1:139" ht="43.5">
      <c r="A737" s="532"/>
      <c r="AR737" s="101" t="s">
        <v>9572</v>
      </c>
      <c r="BH737" s="2406">
        <v>7302030340</v>
      </c>
      <c r="BI737" s="2409" t="s">
        <v>1855</v>
      </c>
      <c r="BJ737" s="2466">
        <v>242243</v>
      </c>
      <c r="BK737" s="530"/>
      <c r="BV737" s="3082" t="str">
        <f t="shared" si="11"/>
        <v/>
      </c>
      <c r="CT737" s="531"/>
      <c r="DA737" s="2558"/>
      <c r="EI737" s="2689" t="s">
        <v>11056</v>
      </c>
    </row>
    <row r="738" spans="1:139" ht="43.5">
      <c r="A738" s="532"/>
      <c r="AR738" s="101" t="s">
        <v>9573</v>
      </c>
      <c r="BH738" s="2406">
        <v>7303022447</v>
      </c>
      <c r="BI738" s="2409" t="s">
        <v>1870</v>
      </c>
      <c r="BJ738" s="2466">
        <v>201813</v>
      </c>
      <c r="BK738" s="530"/>
      <c r="BV738" s="3082" t="str">
        <f t="shared" si="11"/>
        <v/>
      </c>
      <c r="CT738" s="531"/>
      <c r="DA738" s="2558"/>
      <c r="EI738" s="2689" t="s">
        <v>11057</v>
      </c>
    </row>
    <row r="739" spans="1:139" ht="43.5">
      <c r="A739" s="532"/>
      <c r="AR739" s="101" t="s">
        <v>9574</v>
      </c>
      <c r="BH739" s="2406">
        <v>7303026219</v>
      </c>
      <c r="BI739" s="2409" t="s">
        <v>2636</v>
      </c>
      <c r="BJ739" s="2466">
        <v>223977</v>
      </c>
      <c r="BK739" s="530"/>
      <c r="BV739" s="3082" t="str">
        <f t="shared" si="11"/>
        <v/>
      </c>
      <c r="CT739" s="531"/>
      <c r="DA739" s="2558"/>
      <c r="EI739" s="2689" t="s">
        <v>11058</v>
      </c>
    </row>
    <row r="740" spans="1:139" ht="29">
      <c r="A740" s="532"/>
      <c r="AR740" s="101" t="s">
        <v>9575</v>
      </c>
      <c r="BH740" s="2406">
        <v>7310006862</v>
      </c>
      <c r="BI740" s="2409" t="s">
        <v>2711</v>
      </c>
      <c r="BJ740" s="2466">
        <v>239299</v>
      </c>
      <c r="BK740" s="530"/>
      <c r="BV740" s="3082" t="str">
        <f t="shared" si="11"/>
        <v/>
      </c>
      <c r="CT740" s="531"/>
      <c r="DA740" s="2558"/>
      <c r="EI740" s="2689" t="s">
        <v>11059</v>
      </c>
    </row>
    <row r="741" spans="1:139" ht="43.5">
      <c r="A741" s="532"/>
      <c r="AR741" s="101" t="s">
        <v>9576</v>
      </c>
      <c r="BH741" s="2406">
        <v>7321003493</v>
      </c>
      <c r="BI741" s="2409" t="s">
        <v>2589</v>
      </c>
      <c r="BJ741" s="2466">
        <v>257795</v>
      </c>
      <c r="BK741" s="530"/>
      <c r="BV741" s="3082" t="str">
        <f t="shared" si="11"/>
        <v/>
      </c>
      <c r="CT741" s="531"/>
      <c r="DA741" s="2558"/>
      <c r="EI741" s="2689" t="s">
        <v>11060</v>
      </c>
    </row>
    <row r="742" spans="1:139" ht="58">
      <c r="A742" s="532"/>
      <c r="AR742" s="101" t="s">
        <v>9577</v>
      </c>
      <c r="BH742" s="2406">
        <v>7325018451</v>
      </c>
      <c r="BI742" s="2409" t="s">
        <v>1911</v>
      </c>
      <c r="BJ742" s="2466">
        <v>257684</v>
      </c>
      <c r="BK742" s="530"/>
      <c r="BV742" s="3082" t="str">
        <f t="shared" si="11"/>
        <v/>
      </c>
      <c r="CT742" s="531"/>
      <c r="DA742" s="2558"/>
      <c r="EI742" s="2689" t="s">
        <v>11061</v>
      </c>
    </row>
    <row r="743" spans="1:139" ht="43.5">
      <c r="A743" s="532"/>
      <c r="AR743" s="101" t="s">
        <v>9578</v>
      </c>
      <c r="BH743" s="2406">
        <v>7325019166</v>
      </c>
      <c r="BI743" s="2409" t="s">
        <v>1967</v>
      </c>
      <c r="BJ743" s="2466">
        <v>258154</v>
      </c>
      <c r="BK743" s="530"/>
      <c r="BV743" s="3082" t="str">
        <f t="shared" si="11"/>
        <v/>
      </c>
      <c r="CT743" s="531"/>
      <c r="DA743" s="2558"/>
      <c r="EI743" s="2689" t="s">
        <v>11062</v>
      </c>
    </row>
    <row r="744" spans="1:139" ht="29">
      <c r="A744" s="532"/>
      <c r="AR744" s="101" t="s">
        <v>9579</v>
      </c>
      <c r="BH744" s="2406">
        <v>7325043842</v>
      </c>
      <c r="BI744" s="2409" t="s">
        <v>2180</v>
      </c>
      <c r="BJ744" s="2466">
        <v>394323</v>
      </c>
      <c r="BK744" s="530"/>
      <c r="BV744" s="3082" t="str">
        <f t="shared" si="11"/>
        <v/>
      </c>
      <c r="CT744" s="531"/>
      <c r="DA744" s="2558"/>
      <c r="EI744" s="2689" t="s">
        <v>11063</v>
      </c>
    </row>
    <row r="745" spans="1:139" ht="58">
      <c r="A745" s="532"/>
      <c r="AR745" s="101" t="s">
        <v>9580</v>
      </c>
      <c r="BH745" s="2406">
        <v>7325067000</v>
      </c>
      <c r="BI745" s="2409" t="s">
        <v>3561</v>
      </c>
      <c r="BJ745" s="2466">
        <v>173153</v>
      </c>
      <c r="BK745" s="530"/>
      <c r="BV745" s="3082" t="str">
        <f t="shared" si="11"/>
        <v/>
      </c>
      <c r="CT745" s="531"/>
      <c r="DA745" s="2558"/>
      <c r="EI745" s="2689" t="s">
        <v>11064</v>
      </c>
    </row>
    <row r="746" spans="1:139" ht="29">
      <c r="A746" s="532"/>
      <c r="AR746" s="101" t="s">
        <v>9581</v>
      </c>
      <c r="BH746" s="2406">
        <v>7326022034</v>
      </c>
      <c r="BI746" s="2409" t="s">
        <v>3146</v>
      </c>
      <c r="BJ746" s="2466">
        <v>208825</v>
      </c>
      <c r="BK746" s="530"/>
      <c r="BV746" s="3082" t="str">
        <f t="shared" si="11"/>
        <v/>
      </c>
      <c r="CT746" s="531"/>
      <c r="DA746" s="2558"/>
      <c r="EI746" s="2689" t="s">
        <v>11065</v>
      </c>
    </row>
    <row r="747" spans="1:139">
      <c r="A747" s="532"/>
      <c r="AR747" s="101" t="s">
        <v>9582</v>
      </c>
      <c r="BH747" s="2406">
        <v>7404040548</v>
      </c>
      <c r="BI747" s="2409" t="s">
        <v>2198</v>
      </c>
      <c r="BJ747" s="2466">
        <v>199108</v>
      </c>
      <c r="BK747" s="530"/>
      <c r="BV747" s="3082" t="str">
        <f t="shared" ref="BV747:BV810" si="12">CONCATENATE(LEFT(BU747,8),RIGHT(BU747,9))</f>
        <v/>
      </c>
      <c r="CT747" s="531"/>
      <c r="DA747" s="2558"/>
      <c r="EI747" s="2689" t="s">
        <v>11066</v>
      </c>
    </row>
    <row r="748" spans="1:139" ht="58">
      <c r="A748" s="532"/>
      <c r="AR748" s="101" t="s">
        <v>10080</v>
      </c>
      <c r="BH748" s="2406">
        <v>7404056114</v>
      </c>
      <c r="BI748" s="2409" t="s">
        <v>2412</v>
      </c>
      <c r="BJ748" s="2466">
        <v>235207</v>
      </c>
      <c r="BK748" s="530"/>
      <c r="BV748" s="3082" t="str">
        <f t="shared" si="12"/>
        <v/>
      </c>
      <c r="CT748" s="531"/>
      <c r="DA748" s="2558"/>
      <c r="EI748" s="2689" t="s">
        <v>11067</v>
      </c>
    </row>
    <row r="749" spans="1:139" ht="58">
      <c r="A749" s="532"/>
      <c r="AR749" s="101" t="s">
        <v>9583</v>
      </c>
      <c r="BH749" s="2406">
        <v>7405001608</v>
      </c>
      <c r="BI749" s="2409" t="s">
        <v>1500</v>
      </c>
      <c r="BJ749" s="2466">
        <v>201415</v>
      </c>
      <c r="BK749" s="530"/>
      <c r="BV749" s="3082" t="str">
        <f t="shared" si="12"/>
        <v/>
      </c>
      <c r="CT749" s="531"/>
      <c r="DA749" s="2558"/>
      <c r="EI749" s="2689" t="s">
        <v>11068</v>
      </c>
    </row>
    <row r="750" spans="1:139" ht="43.5">
      <c r="A750" s="532"/>
      <c r="AR750" s="101" t="s">
        <v>9584</v>
      </c>
      <c r="BH750" s="2406">
        <v>7405002231</v>
      </c>
      <c r="BI750" s="2409" t="s">
        <v>1499</v>
      </c>
      <c r="BJ750" s="2466">
        <v>215801</v>
      </c>
      <c r="BK750" s="530"/>
      <c r="BV750" s="3082" t="str">
        <f t="shared" si="12"/>
        <v/>
      </c>
      <c r="CT750" s="531"/>
      <c r="DA750" s="2558"/>
      <c r="EI750" s="2689" t="s">
        <v>11069</v>
      </c>
    </row>
    <row r="751" spans="1:139" ht="43.5">
      <c r="A751" s="532"/>
      <c r="AR751" s="101" t="s">
        <v>9585</v>
      </c>
      <c r="BH751" s="2406">
        <v>7410005894</v>
      </c>
      <c r="BI751" s="2409" t="s">
        <v>2380</v>
      </c>
      <c r="BJ751" s="2466">
        <v>229195</v>
      </c>
      <c r="BK751" s="530"/>
      <c r="BV751" s="3082" t="str">
        <f t="shared" si="12"/>
        <v/>
      </c>
      <c r="CT751" s="531"/>
      <c r="DA751" s="2558"/>
      <c r="EI751" s="2689" t="s">
        <v>11070</v>
      </c>
    </row>
    <row r="752" spans="1:139" ht="29">
      <c r="A752" s="532"/>
      <c r="AR752" s="101" t="s">
        <v>9586</v>
      </c>
      <c r="BH752" s="2406">
        <v>7422000643</v>
      </c>
      <c r="BI752" s="2409" t="s">
        <v>468</v>
      </c>
      <c r="BJ752" s="2466">
        <v>219145</v>
      </c>
      <c r="BK752" s="530"/>
      <c r="BV752" s="3082" t="str">
        <f t="shared" si="12"/>
        <v/>
      </c>
      <c r="CT752" s="531"/>
      <c r="DA752" s="2558"/>
      <c r="EI752" s="2689" t="s">
        <v>11071</v>
      </c>
    </row>
    <row r="753" spans="1:139" ht="43.5">
      <c r="A753" s="532"/>
      <c r="AR753" s="101" t="s">
        <v>9587</v>
      </c>
      <c r="BH753" s="2406">
        <v>7422000690</v>
      </c>
      <c r="BI753" s="2409" t="s">
        <v>2389</v>
      </c>
      <c r="BJ753" s="2466">
        <v>270000</v>
      </c>
      <c r="BK753" s="530"/>
      <c r="BV753" s="3082" t="str">
        <f t="shared" si="12"/>
        <v/>
      </c>
      <c r="CT753" s="531"/>
      <c r="DA753" s="2558"/>
      <c r="EI753" s="2689" t="s">
        <v>11072</v>
      </c>
    </row>
    <row r="754" spans="1:139" ht="29">
      <c r="A754" s="532"/>
      <c r="AR754" s="101" t="s">
        <v>9588</v>
      </c>
      <c r="BH754" s="2406">
        <v>7422001051</v>
      </c>
      <c r="BI754" s="2409" t="s">
        <v>467</v>
      </c>
      <c r="BJ754" s="2466">
        <v>195064</v>
      </c>
      <c r="BK754" s="530"/>
      <c r="BV754" s="3082" t="str">
        <f t="shared" si="12"/>
        <v/>
      </c>
      <c r="CT754" s="531"/>
      <c r="DA754" s="2558"/>
      <c r="EI754" s="2689" t="s">
        <v>11073</v>
      </c>
    </row>
    <row r="755" spans="1:139" ht="43.5">
      <c r="A755" s="532"/>
      <c r="AR755" s="101" t="s">
        <v>9589</v>
      </c>
      <c r="BH755" s="2406">
        <v>7422001189</v>
      </c>
      <c r="BI755" s="2409" t="s">
        <v>1379</v>
      </c>
      <c r="BJ755" s="2466">
        <v>203875</v>
      </c>
      <c r="BK755" s="530"/>
      <c r="BV755" s="3082" t="str">
        <f t="shared" si="12"/>
        <v/>
      </c>
      <c r="CT755" s="531"/>
      <c r="DA755" s="2558"/>
      <c r="EI755" s="2689" t="s">
        <v>11074</v>
      </c>
    </row>
    <row r="756" spans="1:139" ht="43.5">
      <c r="A756" s="532"/>
      <c r="AR756" s="101" t="s">
        <v>9590</v>
      </c>
      <c r="BH756" s="2406">
        <v>7422001206</v>
      </c>
      <c r="BI756" s="2409" t="s">
        <v>1507</v>
      </c>
      <c r="BJ756" s="2466">
        <v>203877</v>
      </c>
      <c r="BK756" s="530"/>
      <c r="BV756" s="3082" t="str">
        <f t="shared" si="12"/>
        <v/>
      </c>
      <c r="CT756" s="531"/>
      <c r="DA756" s="2558"/>
      <c r="EI756" s="2689" t="s">
        <v>11075</v>
      </c>
    </row>
    <row r="757" spans="1:139" ht="72.5">
      <c r="A757" s="532"/>
      <c r="AR757" s="101" t="s">
        <v>9591</v>
      </c>
      <c r="BH757" s="2406">
        <v>7422025493</v>
      </c>
      <c r="BI757" s="2409" t="s">
        <v>2942</v>
      </c>
      <c r="BJ757" s="2466">
        <v>214491</v>
      </c>
      <c r="BK757" s="530"/>
      <c r="BV757" s="3082" t="str">
        <f t="shared" si="12"/>
        <v/>
      </c>
      <c r="CT757" s="531"/>
      <c r="DA757" s="2558"/>
      <c r="EI757" s="2689" t="s">
        <v>11076</v>
      </c>
    </row>
    <row r="758" spans="1:139" ht="58">
      <c r="A758" s="532"/>
      <c r="AR758" s="101" t="s">
        <v>9592</v>
      </c>
      <c r="BH758" s="2405">
        <v>7422027892</v>
      </c>
      <c r="BI758" s="2405" t="s">
        <v>6871</v>
      </c>
      <c r="BJ758" s="2466">
        <v>198880</v>
      </c>
      <c r="BK758" s="530"/>
      <c r="BV758" s="3082" t="str">
        <f t="shared" si="12"/>
        <v/>
      </c>
      <c r="CT758" s="531"/>
      <c r="DA758" s="2558"/>
      <c r="EI758" s="2689" t="s">
        <v>11077</v>
      </c>
    </row>
    <row r="759" spans="1:139" ht="43.5">
      <c r="A759" s="532"/>
      <c r="AR759" s="3591" t="s">
        <v>15013</v>
      </c>
      <c r="BH759" s="2406">
        <v>7422030574</v>
      </c>
      <c r="BI759" s="2409" t="s">
        <v>2698</v>
      </c>
      <c r="BJ759" s="2466">
        <v>229199</v>
      </c>
      <c r="BK759" s="530"/>
      <c r="BV759" s="3082" t="str">
        <f t="shared" si="12"/>
        <v/>
      </c>
      <c r="CT759" s="531"/>
      <c r="DA759" s="2558"/>
      <c r="EI759" s="2689" t="s">
        <v>11078</v>
      </c>
    </row>
    <row r="760" spans="1:139" ht="58">
      <c r="A760" s="532"/>
      <c r="AR760" s="101" t="s">
        <v>9593</v>
      </c>
      <c r="BH760" s="2405">
        <v>7422032148</v>
      </c>
      <c r="BI760" s="2405" t="s">
        <v>49</v>
      </c>
      <c r="BJ760" s="2466">
        <v>132635</v>
      </c>
      <c r="BK760" s="530"/>
      <c r="BV760" s="3082" t="str">
        <f t="shared" si="12"/>
        <v/>
      </c>
      <c r="CT760" s="531"/>
      <c r="DA760" s="2558"/>
      <c r="EI760" s="2689" t="s">
        <v>11079</v>
      </c>
    </row>
    <row r="761" spans="1:139" ht="29">
      <c r="A761" s="532"/>
      <c r="AR761" s="101" t="s">
        <v>9594</v>
      </c>
      <c r="BH761" s="2406">
        <v>7423003855</v>
      </c>
      <c r="BI761" s="2409" t="s">
        <v>189</v>
      </c>
      <c r="BJ761" s="2466">
        <v>197961</v>
      </c>
      <c r="BK761" s="530"/>
      <c r="BV761" s="3082" t="str">
        <f t="shared" si="12"/>
        <v/>
      </c>
      <c r="CT761" s="531"/>
      <c r="DA761" s="2558"/>
      <c r="EI761" s="2689" t="s">
        <v>11080</v>
      </c>
    </row>
    <row r="762" spans="1:139" ht="72.5">
      <c r="A762" s="532"/>
      <c r="AR762" s="101" t="s">
        <v>9595</v>
      </c>
      <c r="BH762" s="2406">
        <v>7444009720</v>
      </c>
      <c r="BI762" s="2409" t="s">
        <v>3577</v>
      </c>
      <c r="BJ762" s="2466">
        <v>381597</v>
      </c>
      <c r="BK762" s="530"/>
      <c r="BV762" s="3082" t="str">
        <f t="shared" si="12"/>
        <v/>
      </c>
      <c r="CT762" s="531"/>
      <c r="DA762" s="2558"/>
      <c r="EI762" s="2689" t="s">
        <v>11081</v>
      </c>
    </row>
    <row r="763" spans="1:139" ht="43.5">
      <c r="A763" s="532"/>
      <c r="AR763" s="101" t="s">
        <v>9596</v>
      </c>
      <c r="BH763" s="2406">
        <v>7447047308</v>
      </c>
      <c r="BI763" s="2409" t="s">
        <v>2188</v>
      </c>
      <c r="BJ763" s="2466">
        <v>198292</v>
      </c>
      <c r="BK763" s="530"/>
      <c r="BV763" s="3082" t="str">
        <f t="shared" si="12"/>
        <v/>
      </c>
      <c r="CT763" s="531"/>
      <c r="DA763" s="2558"/>
      <c r="EI763" s="2689" t="s">
        <v>11082</v>
      </c>
    </row>
    <row r="764" spans="1:139" ht="43.5">
      <c r="A764" s="532"/>
      <c r="AR764" s="101" t="s">
        <v>9597</v>
      </c>
      <c r="BH764" s="2406">
        <v>7449003391</v>
      </c>
      <c r="BI764" s="2409" t="s">
        <v>2948</v>
      </c>
      <c r="BJ764" s="2466">
        <v>204996</v>
      </c>
      <c r="BK764" s="530"/>
      <c r="BV764" s="3082" t="str">
        <f t="shared" si="12"/>
        <v/>
      </c>
      <c r="CT764" s="531"/>
      <c r="DA764" s="2558"/>
      <c r="EI764" s="2689" t="s">
        <v>11083</v>
      </c>
    </row>
    <row r="765" spans="1:139" ht="29">
      <c r="A765" s="532"/>
      <c r="AR765" s="101" t="s">
        <v>9598</v>
      </c>
      <c r="BH765" s="2406">
        <v>7451016239</v>
      </c>
      <c r="BI765" s="2409" t="s">
        <v>2411</v>
      </c>
      <c r="BJ765" s="2466">
        <v>239285</v>
      </c>
      <c r="BK765" s="530"/>
      <c r="BV765" s="3082" t="str">
        <f t="shared" si="12"/>
        <v/>
      </c>
      <c r="CT765" s="531"/>
      <c r="DA765" s="2558"/>
      <c r="EI765" s="2689" t="s">
        <v>11084</v>
      </c>
    </row>
    <row r="766" spans="1:139" ht="43.5">
      <c r="A766" s="532"/>
      <c r="AR766" s="101" t="s">
        <v>9599</v>
      </c>
      <c r="BH766" s="2406">
        <v>7451046106</v>
      </c>
      <c r="BI766" s="2409" t="s">
        <v>2187</v>
      </c>
      <c r="BJ766" s="2466">
        <v>215842</v>
      </c>
      <c r="BK766" s="530"/>
      <c r="BV766" s="3082" t="str">
        <f t="shared" si="12"/>
        <v/>
      </c>
      <c r="CT766" s="531"/>
      <c r="DA766" s="2558"/>
      <c r="EI766" s="2689" t="s">
        <v>11085</v>
      </c>
    </row>
    <row r="767" spans="1:139" ht="29">
      <c r="A767" s="532"/>
      <c r="AR767" s="101" t="s">
        <v>9600</v>
      </c>
      <c r="BH767" s="2406">
        <v>7451095270</v>
      </c>
      <c r="BI767" s="2409" t="s">
        <v>1975</v>
      </c>
      <c r="BJ767" s="2466">
        <v>305786</v>
      </c>
      <c r="BK767" s="530"/>
      <c r="BV767" s="3082" t="str">
        <f t="shared" si="12"/>
        <v/>
      </c>
      <c r="CT767" s="531"/>
      <c r="DA767" s="2558"/>
      <c r="EI767" s="2689" t="s">
        <v>11086</v>
      </c>
    </row>
    <row r="768" spans="1:139" ht="29">
      <c r="A768" s="532"/>
      <c r="AR768" s="101" t="s">
        <v>9601</v>
      </c>
      <c r="BH768" s="2406">
        <v>7451100000</v>
      </c>
      <c r="BI768" s="2409" t="s">
        <v>2171</v>
      </c>
      <c r="BJ768" s="2466">
        <v>282093</v>
      </c>
      <c r="BK768" s="530"/>
      <c r="BV768" s="3082" t="str">
        <f t="shared" si="12"/>
        <v/>
      </c>
      <c r="CT768" s="531"/>
      <c r="DA768" s="2558"/>
      <c r="EI768" s="2689" t="s">
        <v>11087</v>
      </c>
    </row>
    <row r="769" spans="1:139" ht="43.5">
      <c r="A769" s="532"/>
      <c r="AR769" s="101" t="s">
        <v>9602</v>
      </c>
      <c r="BH769" s="2406">
        <v>7451207988</v>
      </c>
      <c r="BI769" s="2409" t="s">
        <v>3567</v>
      </c>
      <c r="BJ769" s="2466">
        <v>190767</v>
      </c>
      <c r="BK769" s="530"/>
      <c r="BV769" s="3082" t="str">
        <f t="shared" si="12"/>
        <v/>
      </c>
      <c r="CT769" s="531"/>
      <c r="DA769" s="2558"/>
      <c r="EI769" s="2689" t="s">
        <v>11088</v>
      </c>
    </row>
    <row r="770" spans="1:139" ht="43.5">
      <c r="A770" s="532"/>
      <c r="AR770" s="101" t="s">
        <v>9603</v>
      </c>
      <c r="BH770" s="2406">
        <v>7453191300</v>
      </c>
      <c r="BI770" s="2409" t="s">
        <v>2456</v>
      </c>
      <c r="BJ770" s="2466">
        <v>197945</v>
      </c>
      <c r="BK770" s="530"/>
      <c r="BV770" s="3082" t="str">
        <f t="shared" si="12"/>
        <v/>
      </c>
      <c r="CT770" s="531"/>
      <c r="DA770" s="2558"/>
      <c r="EI770" s="2689" t="s">
        <v>11089</v>
      </c>
    </row>
    <row r="771" spans="1:139" ht="29">
      <c r="A771" s="532"/>
      <c r="AR771" s="101" t="s">
        <v>10124</v>
      </c>
      <c r="BH771" s="2406">
        <v>7453208024</v>
      </c>
      <c r="BI771" s="2409" t="s">
        <v>2667</v>
      </c>
      <c r="BJ771" s="2466">
        <v>162498</v>
      </c>
      <c r="BK771" s="530"/>
      <c r="BV771" s="3082" t="str">
        <f t="shared" si="12"/>
        <v/>
      </c>
      <c r="CT771" s="531"/>
      <c r="DA771" s="2558"/>
      <c r="EI771" s="2689" t="s">
        <v>11090</v>
      </c>
    </row>
    <row r="772" spans="1:139" ht="58">
      <c r="A772" s="532"/>
      <c r="AR772" s="101" t="s">
        <v>9861</v>
      </c>
      <c r="BH772" s="2406">
        <v>7505003447</v>
      </c>
      <c r="BI772" s="2409" t="s">
        <v>3612</v>
      </c>
      <c r="BJ772" s="2466">
        <v>239186</v>
      </c>
      <c r="BK772" s="530"/>
      <c r="BV772" s="3082" t="str">
        <f t="shared" si="12"/>
        <v/>
      </c>
      <c r="CT772" s="531"/>
      <c r="DA772" s="2558"/>
      <c r="EI772" s="2689" t="s">
        <v>11091</v>
      </c>
    </row>
    <row r="773" spans="1:139" ht="29">
      <c r="A773" s="532"/>
      <c r="AR773" s="101" t="s">
        <v>9862</v>
      </c>
      <c r="BH773" s="2405">
        <v>7530003426</v>
      </c>
      <c r="BI773" s="2405" t="s">
        <v>3938</v>
      </c>
      <c r="BJ773" s="2466">
        <v>259</v>
      </c>
      <c r="BK773" s="530"/>
      <c r="BV773" s="3082" t="str">
        <f t="shared" si="12"/>
        <v/>
      </c>
      <c r="CT773" s="531"/>
      <c r="DA773" s="2558"/>
      <c r="EI773" s="2689" t="s">
        <v>11092</v>
      </c>
    </row>
    <row r="774" spans="1:139" ht="58">
      <c r="A774" s="532"/>
      <c r="AR774" s="101" t="s">
        <v>9863</v>
      </c>
      <c r="BH774" s="2406">
        <v>7530011748</v>
      </c>
      <c r="BI774" s="2409" t="s">
        <v>1373</v>
      </c>
      <c r="BJ774" s="2466">
        <v>193389</v>
      </c>
      <c r="BK774" s="530"/>
      <c r="BV774" s="3082" t="str">
        <f t="shared" si="12"/>
        <v/>
      </c>
      <c r="CT774" s="531"/>
      <c r="DA774" s="2558"/>
      <c r="EI774" s="2689" t="s">
        <v>11093</v>
      </c>
    </row>
    <row r="775" spans="1:139" ht="29">
      <c r="A775" s="532"/>
      <c r="AR775" s="101" t="s">
        <v>9864</v>
      </c>
      <c r="BH775" s="2406">
        <v>7530012364</v>
      </c>
      <c r="BI775" s="2409" t="s">
        <v>3569</v>
      </c>
      <c r="BJ775" s="2466">
        <v>153205</v>
      </c>
      <c r="BK775" s="530"/>
      <c r="BV775" s="3082" t="str">
        <f t="shared" si="12"/>
        <v/>
      </c>
      <c r="CT775" s="531"/>
      <c r="DA775" s="2558"/>
      <c r="EI775" s="2689" t="s">
        <v>11094</v>
      </c>
    </row>
    <row r="776" spans="1:139" ht="58">
      <c r="A776" s="532"/>
      <c r="AR776" s="101" t="s">
        <v>9884</v>
      </c>
      <c r="BH776" s="2405">
        <v>7530012491</v>
      </c>
      <c r="BI776" s="2405" t="s">
        <v>3934</v>
      </c>
      <c r="BJ776" s="2466">
        <v>260</v>
      </c>
      <c r="BK776" s="530"/>
      <c r="BV776" s="3082" t="str">
        <f t="shared" si="12"/>
        <v/>
      </c>
      <c r="CT776" s="531"/>
      <c r="DA776" s="2558"/>
      <c r="EI776" s="2689" t="s">
        <v>11095</v>
      </c>
    </row>
    <row r="777" spans="1:139" ht="43.5">
      <c r="A777" s="532"/>
      <c r="AR777" s="101" t="s">
        <v>9604</v>
      </c>
      <c r="BH777" s="2405">
        <v>7530012519</v>
      </c>
      <c r="BI777" s="2405" t="s">
        <v>1369</v>
      </c>
      <c r="BJ777" s="2466">
        <v>261</v>
      </c>
      <c r="BK777" s="530"/>
      <c r="BV777" s="3082" t="str">
        <f t="shared" si="12"/>
        <v/>
      </c>
      <c r="CT777" s="531"/>
      <c r="DA777" s="2558"/>
      <c r="EI777" s="2689" t="s">
        <v>11096</v>
      </c>
    </row>
    <row r="778" spans="1:139" ht="29">
      <c r="A778" s="532"/>
      <c r="AR778" s="2962"/>
      <c r="BH778" s="2405">
        <v>7530012614</v>
      </c>
      <c r="BI778" s="2405" t="s">
        <v>1194</v>
      </c>
      <c r="BJ778" s="2466">
        <v>162226</v>
      </c>
      <c r="BK778" s="530"/>
      <c r="BV778" s="3082" t="str">
        <f t="shared" si="12"/>
        <v/>
      </c>
      <c r="CT778" s="531"/>
      <c r="DA778" s="2558"/>
      <c r="EI778" s="2689" t="s">
        <v>11097</v>
      </c>
    </row>
    <row r="779" spans="1:139" ht="43.5">
      <c r="A779" s="532"/>
      <c r="AR779" s="2962"/>
      <c r="BH779" s="2405">
        <v>7530012621</v>
      </c>
      <c r="BI779" s="2405" t="s">
        <v>1187</v>
      </c>
      <c r="BJ779" s="2466">
        <v>162559</v>
      </c>
      <c r="BK779" s="530"/>
      <c r="BV779" s="3082" t="str">
        <f t="shared" si="12"/>
        <v/>
      </c>
      <c r="CT779" s="531"/>
      <c r="DA779" s="2558"/>
      <c r="EI779" s="2689" t="s">
        <v>11098</v>
      </c>
    </row>
    <row r="780" spans="1:139" ht="58">
      <c r="A780" s="532"/>
      <c r="AR780" s="2962"/>
      <c r="BH780" s="2405">
        <v>7530012639</v>
      </c>
      <c r="BI780" s="2405" t="s">
        <v>33</v>
      </c>
      <c r="BJ780" s="2466">
        <v>168317</v>
      </c>
      <c r="BK780" s="530"/>
      <c r="BV780" s="3082" t="str">
        <f t="shared" si="12"/>
        <v/>
      </c>
      <c r="CT780" s="531"/>
      <c r="DA780" s="2558"/>
      <c r="EI780" s="2689" t="s">
        <v>11099</v>
      </c>
    </row>
    <row r="781" spans="1:139" ht="43.5">
      <c r="A781" s="532"/>
      <c r="AR781" s="2962"/>
      <c r="BH781" s="2405">
        <v>7530012660</v>
      </c>
      <c r="BI781" s="2405" t="s">
        <v>35</v>
      </c>
      <c r="BJ781" s="2466">
        <v>168307</v>
      </c>
      <c r="BK781" s="530"/>
      <c r="BV781" s="3082" t="str">
        <f t="shared" si="12"/>
        <v/>
      </c>
      <c r="CT781" s="531"/>
      <c r="DA781" s="2558"/>
      <c r="EI781" s="2689" t="s">
        <v>11100</v>
      </c>
    </row>
    <row r="782" spans="1:139" ht="116">
      <c r="A782" s="532"/>
      <c r="AR782" s="2962"/>
      <c r="BH782" s="2406">
        <v>7534018889</v>
      </c>
      <c r="BI782" s="2409" t="s">
        <v>2437</v>
      </c>
      <c r="BJ782" s="2466">
        <v>132761</v>
      </c>
      <c r="BK782" s="530"/>
      <c r="BV782" s="3082" t="str">
        <f t="shared" si="12"/>
        <v/>
      </c>
      <c r="CT782" s="531"/>
      <c r="DA782" s="2558"/>
      <c r="EI782" s="2689" t="s">
        <v>11101</v>
      </c>
    </row>
    <row r="783" spans="1:139" ht="72.5">
      <c r="A783" s="532"/>
      <c r="AR783" s="2962"/>
      <c r="BH783" s="2406">
        <v>7536019006</v>
      </c>
      <c r="BI783" s="2409" t="s">
        <v>2189</v>
      </c>
      <c r="BJ783" s="2466">
        <v>154536</v>
      </c>
      <c r="BK783" s="530"/>
      <c r="BV783" s="3082" t="str">
        <f t="shared" si="12"/>
        <v/>
      </c>
      <c r="CT783" s="531"/>
      <c r="DA783" s="2558"/>
      <c r="EI783" s="2689" t="s">
        <v>11102</v>
      </c>
    </row>
    <row r="784" spans="1:139" ht="43.5">
      <c r="A784" s="532"/>
      <c r="AR784" s="2962"/>
      <c r="BH784" s="2406">
        <v>7537010045</v>
      </c>
      <c r="BI784" s="2409" t="s">
        <v>3555</v>
      </c>
      <c r="BJ784" s="2466">
        <v>161315</v>
      </c>
      <c r="BK784" s="530"/>
      <c r="BV784" s="3082" t="str">
        <f t="shared" si="12"/>
        <v/>
      </c>
      <c r="CT784" s="531"/>
      <c r="DA784" s="2558"/>
      <c r="EI784" s="2689" t="s">
        <v>11103</v>
      </c>
    </row>
    <row r="785" spans="1:139" ht="72.5">
      <c r="A785" s="532"/>
      <c r="AR785" s="2962"/>
      <c r="BH785" s="2406">
        <v>7606023023</v>
      </c>
      <c r="BI785" s="2409" t="s">
        <v>2943</v>
      </c>
      <c r="BJ785" s="2466">
        <v>132794</v>
      </c>
      <c r="BK785" s="530"/>
      <c r="BV785" s="3082" t="str">
        <f t="shared" si="12"/>
        <v/>
      </c>
      <c r="CT785" s="531"/>
      <c r="DA785" s="2558"/>
      <c r="EI785" s="2689" t="s">
        <v>11104</v>
      </c>
    </row>
    <row r="786" spans="1:139" ht="43.5">
      <c r="A786" s="532"/>
      <c r="AR786" s="2962"/>
      <c r="BH786" s="2406">
        <v>7606053324</v>
      </c>
      <c r="BI786" s="2409" t="s">
        <v>2439</v>
      </c>
      <c r="BJ786" s="2466">
        <v>132807</v>
      </c>
      <c r="BK786" s="530"/>
      <c r="BV786" s="3082" t="str">
        <f t="shared" si="12"/>
        <v/>
      </c>
      <c r="CT786" s="531"/>
      <c r="DA786" s="2558"/>
      <c r="EI786" s="2689" t="s">
        <v>11105</v>
      </c>
    </row>
    <row r="787" spans="1:139" ht="43.5">
      <c r="A787" s="532"/>
      <c r="AR787" s="2962"/>
      <c r="BH787" s="2406">
        <v>7610081229</v>
      </c>
      <c r="BI787" s="2409" t="s">
        <v>2481</v>
      </c>
      <c r="BJ787" s="2466">
        <v>140347</v>
      </c>
      <c r="BK787" s="530"/>
      <c r="BV787" s="3082" t="str">
        <f t="shared" si="12"/>
        <v/>
      </c>
      <c r="CT787" s="531"/>
      <c r="DA787" s="2558"/>
      <c r="EI787" s="2689" t="s">
        <v>11106</v>
      </c>
    </row>
    <row r="788" spans="1:139" ht="43.5">
      <c r="A788" s="532"/>
      <c r="AR788" s="2962"/>
      <c r="BH788" s="2406">
        <v>7701002520</v>
      </c>
      <c r="BI788" s="2409" t="s">
        <v>1391</v>
      </c>
      <c r="BJ788" s="2466">
        <v>98809</v>
      </c>
      <c r="BK788" s="530"/>
      <c r="BV788" s="3082" t="str">
        <f t="shared" si="12"/>
        <v/>
      </c>
      <c r="CT788" s="531"/>
      <c r="DA788" s="2558"/>
      <c r="EI788" s="2689" t="s">
        <v>11107</v>
      </c>
    </row>
    <row r="789" spans="1:139" ht="29">
      <c r="A789" s="532"/>
      <c r="AR789" s="2962"/>
      <c r="BH789" s="2406">
        <v>7701010810</v>
      </c>
      <c r="BI789" s="2409" t="s">
        <v>5050</v>
      </c>
      <c r="BJ789" s="2466">
        <v>132863</v>
      </c>
      <c r="BK789" s="530"/>
      <c r="BV789" s="3082" t="str">
        <f t="shared" si="12"/>
        <v/>
      </c>
      <c r="CT789" s="531"/>
      <c r="DA789" s="2558"/>
      <c r="EI789" s="2689" t="s">
        <v>11108</v>
      </c>
    </row>
    <row r="790" spans="1:139" ht="43.5">
      <c r="A790" s="532"/>
      <c r="AR790" s="2962"/>
      <c r="BH790" s="2406">
        <v>7701018922</v>
      </c>
      <c r="BI790" s="2409" t="s">
        <v>2059</v>
      </c>
      <c r="BJ790" s="2466">
        <v>97141</v>
      </c>
      <c r="BK790" s="530"/>
      <c r="BV790" s="3082" t="str">
        <f t="shared" si="12"/>
        <v/>
      </c>
      <c r="CT790" s="531"/>
      <c r="DA790" s="2558"/>
      <c r="EI790" s="2689" t="s">
        <v>11109</v>
      </c>
    </row>
    <row r="791" spans="1:139" ht="43.5">
      <c r="A791" s="532"/>
      <c r="AR791" s="2962"/>
      <c r="BH791" s="2406">
        <v>7701024193</v>
      </c>
      <c r="BI791" s="2409" t="s">
        <v>2291</v>
      </c>
      <c r="BJ791" s="2466">
        <v>210358</v>
      </c>
      <c r="BK791" s="530"/>
      <c r="BV791" s="3082" t="str">
        <f t="shared" si="12"/>
        <v/>
      </c>
      <c r="CT791" s="531"/>
      <c r="DA791" s="2558"/>
      <c r="EI791" s="2689" t="s">
        <v>11110</v>
      </c>
    </row>
    <row r="792" spans="1:139" ht="43.5">
      <c r="A792" s="532"/>
      <c r="AR792" s="2962"/>
      <c r="BH792" s="2406">
        <v>7701024933</v>
      </c>
      <c r="BI792" s="2409" t="s">
        <v>2047</v>
      </c>
      <c r="BJ792" s="2466">
        <v>109722</v>
      </c>
      <c r="BK792" s="530"/>
      <c r="BV792" s="3082" t="str">
        <f t="shared" si="12"/>
        <v/>
      </c>
      <c r="CT792" s="531"/>
      <c r="DA792" s="2558"/>
      <c r="EI792" s="2689" t="s">
        <v>11111</v>
      </c>
    </row>
    <row r="793" spans="1:139" ht="43.5">
      <c r="A793" s="532"/>
      <c r="AR793" s="2962"/>
      <c r="BH793" s="2406">
        <v>7701027490</v>
      </c>
      <c r="BI793" s="2409" t="s">
        <v>104</v>
      </c>
      <c r="BJ793" s="2466">
        <v>132888</v>
      </c>
      <c r="BK793" s="530"/>
      <c r="BV793" s="3082" t="str">
        <f t="shared" si="12"/>
        <v/>
      </c>
      <c r="CT793" s="531"/>
      <c r="DA793" s="2558"/>
      <c r="EI793" s="2689" t="s">
        <v>11112</v>
      </c>
    </row>
    <row r="794" spans="1:139">
      <c r="A794" s="532"/>
      <c r="AR794" s="2962"/>
      <c r="BH794" s="2406">
        <v>7701027596</v>
      </c>
      <c r="BI794" s="2409" t="s">
        <v>2170</v>
      </c>
      <c r="BJ794" s="2466">
        <v>99377</v>
      </c>
      <c r="BK794" s="530"/>
      <c r="BV794" s="3082" t="str">
        <f t="shared" si="12"/>
        <v/>
      </c>
      <c r="CT794" s="531"/>
      <c r="DA794" s="2558"/>
      <c r="EI794" s="2689" t="s">
        <v>11113</v>
      </c>
    </row>
    <row r="795" spans="1:139" ht="43.5">
      <c r="A795" s="532"/>
      <c r="AR795" s="2962"/>
      <c r="BH795" s="2406">
        <v>7701114305</v>
      </c>
      <c r="BI795" s="2409" t="s">
        <v>2173</v>
      </c>
      <c r="BJ795" s="2466">
        <v>190730</v>
      </c>
      <c r="BK795" s="530"/>
      <c r="BV795" s="3082" t="str">
        <f t="shared" si="12"/>
        <v/>
      </c>
      <c r="CT795" s="531"/>
      <c r="DA795" s="2558"/>
      <c r="EI795" s="2689" t="s">
        <v>11114</v>
      </c>
    </row>
    <row r="796" spans="1:139" ht="72.5">
      <c r="A796" s="532"/>
      <c r="AR796" s="2962"/>
      <c r="BH796" s="2406">
        <v>7701204630</v>
      </c>
      <c r="BI796" s="2409" t="s">
        <v>2197</v>
      </c>
      <c r="BJ796" s="2466">
        <v>97203</v>
      </c>
      <c r="BK796" s="530"/>
      <c r="BV796" s="3082" t="str">
        <f t="shared" si="12"/>
        <v/>
      </c>
      <c r="CT796" s="531"/>
      <c r="DA796" s="2558"/>
      <c r="EI796" s="2689" t="s">
        <v>11115</v>
      </c>
    </row>
    <row r="797" spans="1:139" ht="29">
      <c r="A797" s="532"/>
      <c r="AR797" s="2962"/>
      <c r="BH797" s="2406">
        <v>7701234835</v>
      </c>
      <c r="BI797" s="2409" t="s">
        <v>1852</v>
      </c>
      <c r="BJ797" s="2466">
        <v>99310</v>
      </c>
      <c r="BK797" s="530"/>
      <c r="BV797" s="3082" t="str">
        <f t="shared" si="12"/>
        <v/>
      </c>
      <c r="CT797" s="531"/>
      <c r="DA797" s="2558"/>
      <c r="EI797" s="2689" t="s">
        <v>11116</v>
      </c>
    </row>
    <row r="798" spans="1:139" ht="29">
      <c r="A798" s="532"/>
      <c r="AR798" s="2962"/>
      <c r="BH798" s="2406">
        <v>7701330105</v>
      </c>
      <c r="BI798" s="2409" t="s">
        <v>2034</v>
      </c>
      <c r="BJ798" s="2466">
        <v>105878</v>
      </c>
      <c r="BK798" s="530"/>
      <c r="BV798" s="3082" t="str">
        <f t="shared" si="12"/>
        <v/>
      </c>
      <c r="CT798" s="531"/>
      <c r="DA798" s="2558"/>
      <c r="EI798" s="2689" t="s">
        <v>11117</v>
      </c>
    </row>
    <row r="799" spans="1:139" ht="29">
      <c r="A799" s="532"/>
      <c r="AR799" s="2962"/>
      <c r="BH799" s="2406">
        <v>7701350013</v>
      </c>
      <c r="BI799" s="2409" t="s">
        <v>1972</v>
      </c>
      <c r="BJ799" s="2466">
        <v>154398</v>
      </c>
      <c r="BK799" s="530"/>
      <c r="BV799" s="3082" t="str">
        <f t="shared" si="12"/>
        <v/>
      </c>
      <c r="CT799" s="531"/>
      <c r="DA799" s="2558"/>
      <c r="EI799" s="2689" t="s">
        <v>11118</v>
      </c>
    </row>
    <row r="800" spans="1:139" ht="29">
      <c r="A800" s="532"/>
      <c r="AR800" s="2962"/>
      <c r="BH800" s="2406">
        <v>7701681449</v>
      </c>
      <c r="BI800" s="2409" t="s">
        <v>2472</v>
      </c>
      <c r="BJ800" s="2466">
        <v>263201</v>
      </c>
      <c r="BK800" s="530"/>
      <c r="BV800" s="3082" t="str">
        <f t="shared" si="12"/>
        <v/>
      </c>
      <c r="CT800" s="531"/>
      <c r="DA800" s="2558"/>
      <c r="EI800" s="2689" t="s">
        <v>11119</v>
      </c>
    </row>
    <row r="801" spans="1:139" ht="29">
      <c r="A801" s="532"/>
      <c r="AR801" s="2962"/>
      <c r="BH801" s="2406">
        <v>7701761246</v>
      </c>
      <c r="BI801" s="2409" t="s">
        <v>2594</v>
      </c>
      <c r="BJ801" s="2466">
        <v>379349</v>
      </c>
      <c r="BK801" s="530"/>
      <c r="BV801" s="3082" t="str">
        <f t="shared" si="12"/>
        <v/>
      </c>
      <c r="CT801" s="531"/>
      <c r="DA801" s="2558"/>
      <c r="EI801" s="2689" t="s">
        <v>11120</v>
      </c>
    </row>
    <row r="802" spans="1:139" ht="29">
      <c r="A802" s="532"/>
      <c r="AR802" s="2962"/>
      <c r="BH802" s="2406">
        <v>7701773594</v>
      </c>
      <c r="BI802" s="2409" t="s">
        <v>2660</v>
      </c>
      <c r="BJ802" s="2466">
        <v>220158</v>
      </c>
      <c r="BK802" s="530"/>
      <c r="BV802" s="3082" t="str">
        <f t="shared" si="12"/>
        <v/>
      </c>
      <c r="CT802" s="531"/>
      <c r="DA802" s="2558"/>
      <c r="EI802" s="2689" t="s">
        <v>11121</v>
      </c>
    </row>
    <row r="803" spans="1:139" ht="43.5">
      <c r="A803" s="532"/>
      <c r="AR803" s="2962"/>
      <c r="BH803" s="2406">
        <v>7701776877</v>
      </c>
      <c r="BI803" s="2409" t="s">
        <v>2493</v>
      </c>
      <c r="BJ803" s="2466">
        <v>185656</v>
      </c>
      <c r="BK803" s="530"/>
      <c r="BV803" s="3082" t="str">
        <f t="shared" si="12"/>
        <v/>
      </c>
      <c r="CT803" s="531"/>
      <c r="DA803" s="2558"/>
      <c r="EI803" s="2689" t="s">
        <v>11122</v>
      </c>
    </row>
    <row r="804" spans="1:139" ht="29">
      <c r="A804" s="532"/>
      <c r="AR804" s="2962"/>
      <c r="BH804" s="2406">
        <v>7701788872</v>
      </c>
      <c r="BI804" s="2409" t="s">
        <v>2674</v>
      </c>
      <c r="BJ804" s="2466">
        <v>203315</v>
      </c>
      <c r="BK804" s="530"/>
      <c r="BV804" s="3082" t="str">
        <f t="shared" si="12"/>
        <v/>
      </c>
      <c r="CT804" s="531"/>
      <c r="DA804" s="2558"/>
      <c r="EI804" s="2689" t="s">
        <v>11123</v>
      </c>
    </row>
    <row r="805" spans="1:139" ht="43.5">
      <c r="A805" s="532"/>
      <c r="AR805" s="2962"/>
      <c r="BH805" s="2406">
        <v>7701918426</v>
      </c>
      <c r="BI805" s="2409" t="s">
        <v>2703</v>
      </c>
      <c r="BJ805" s="2466">
        <v>432808</v>
      </c>
      <c r="BK805" s="530"/>
      <c r="BV805" s="3082" t="str">
        <f t="shared" si="12"/>
        <v/>
      </c>
      <c r="CT805" s="531"/>
      <c r="DA805" s="2558"/>
      <c r="EI805" s="2689" t="s">
        <v>11124</v>
      </c>
    </row>
    <row r="806" spans="1:139" ht="29">
      <c r="A806" s="532"/>
      <c r="AR806" s="2962"/>
      <c r="BH806" s="2406">
        <v>7702000406</v>
      </c>
      <c r="BI806" s="2409" t="s">
        <v>2298</v>
      </c>
      <c r="BJ806" s="2569">
        <v>133115</v>
      </c>
      <c r="BK806" s="530"/>
      <c r="BV806" s="3082" t="str">
        <f t="shared" si="12"/>
        <v/>
      </c>
      <c r="CT806" s="531"/>
      <c r="DA806" s="2558"/>
      <c r="EI806" s="2689" t="s">
        <v>11125</v>
      </c>
    </row>
    <row r="807" spans="1:139" ht="58">
      <c r="A807" s="532"/>
      <c r="AR807" s="2962"/>
      <c r="BH807" s="2406">
        <v>7702020515</v>
      </c>
      <c r="BI807" s="2409" t="s">
        <v>164</v>
      </c>
      <c r="BJ807" s="2466">
        <v>149926</v>
      </c>
      <c r="BK807" s="530"/>
      <c r="BV807" s="3082" t="str">
        <f t="shared" si="12"/>
        <v/>
      </c>
      <c r="CT807" s="531"/>
      <c r="DA807" s="2558"/>
      <c r="EI807" s="2689" t="s">
        <v>11126</v>
      </c>
    </row>
    <row r="808" spans="1:139" ht="29">
      <c r="A808" s="532"/>
      <c r="AR808" s="2962"/>
      <c r="BH808" s="2406">
        <v>7702027493</v>
      </c>
      <c r="BI808" s="2409" t="s">
        <v>1529</v>
      </c>
      <c r="BJ808" s="2466">
        <v>133129</v>
      </c>
      <c r="BK808" s="530"/>
      <c r="BV808" s="3082" t="str">
        <f t="shared" si="12"/>
        <v/>
      </c>
      <c r="CT808" s="531"/>
      <c r="DA808" s="2558"/>
      <c r="EI808" s="2689" t="s">
        <v>11127</v>
      </c>
    </row>
    <row r="809" spans="1:139" ht="58">
      <c r="A809" s="532"/>
      <c r="AR809" s="2962"/>
      <c r="BH809" s="2406">
        <v>7702038456</v>
      </c>
      <c r="BI809" s="2409" t="s">
        <v>1374</v>
      </c>
      <c r="BJ809" s="2466">
        <v>133022</v>
      </c>
      <c r="BK809" s="530"/>
      <c r="BV809" s="3082" t="str">
        <f t="shared" si="12"/>
        <v/>
      </c>
      <c r="CT809" s="531"/>
      <c r="DA809" s="2558"/>
      <c r="EI809" s="2689" t="s">
        <v>11128</v>
      </c>
    </row>
    <row r="810" spans="1:139" ht="43.5">
      <c r="A810" s="532"/>
      <c r="AR810" s="2962"/>
      <c r="BH810" s="2406">
        <v>7702052884</v>
      </c>
      <c r="BI810" s="2409" t="s">
        <v>1989</v>
      </c>
      <c r="BJ810" s="2466">
        <v>113381</v>
      </c>
      <c r="BK810" s="530"/>
      <c r="BV810" s="3082" t="str">
        <f t="shared" si="12"/>
        <v/>
      </c>
      <c r="CT810" s="531"/>
      <c r="DA810" s="2558"/>
      <c r="EI810" s="2689" t="s">
        <v>11129</v>
      </c>
    </row>
    <row r="811" spans="1:139" ht="58">
      <c r="A811" s="532"/>
      <c r="AR811" s="2962"/>
      <c r="BH811" s="2406">
        <v>7702070139</v>
      </c>
      <c r="BI811" s="2409" t="s">
        <v>2454</v>
      </c>
      <c r="BJ811" s="2569">
        <v>155015</v>
      </c>
      <c r="BK811" s="530"/>
      <c r="BV811" s="3082" t="str">
        <f t="shared" ref="BV811:BV874" si="13">CONCATENATE(LEFT(BU811,8),RIGHT(BU811,9))</f>
        <v/>
      </c>
      <c r="CT811" s="531"/>
      <c r="DA811" s="2558"/>
      <c r="EI811" s="2689" t="s">
        <v>11130</v>
      </c>
    </row>
    <row r="812" spans="1:139" ht="29">
      <c r="A812" s="532"/>
      <c r="AR812" s="2962"/>
      <c r="BH812" s="2405">
        <v>7702147159</v>
      </c>
      <c r="BI812" s="2405" t="s">
        <v>6780</v>
      </c>
      <c r="BJ812" s="2466">
        <v>477099</v>
      </c>
      <c r="BK812" s="530"/>
      <c r="BV812" s="3082" t="str">
        <f t="shared" si="13"/>
        <v/>
      </c>
      <c r="CT812" s="531"/>
      <c r="DA812" s="2558"/>
      <c r="EI812" s="2689" t="s">
        <v>11131</v>
      </c>
    </row>
    <row r="813" spans="1:139" ht="29">
      <c r="A813" s="532"/>
      <c r="AR813" s="2962"/>
      <c r="BH813" s="2405">
        <v>7702252795</v>
      </c>
      <c r="BI813" s="2405" t="s">
        <v>6778</v>
      </c>
      <c r="BJ813" s="2466">
        <v>200053</v>
      </c>
      <c r="BK813" s="530"/>
      <c r="BV813" s="3082" t="str">
        <f t="shared" si="13"/>
        <v/>
      </c>
      <c r="CT813" s="531"/>
      <c r="DA813" s="2558"/>
      <c r="EI813" s="2689" t="s">
        <v>11132</v>
      </c>
    </row>
    <row r="814" spans="1:139" ht="29">
      <c r="A814" s="532"/>
      <c r="AR814" s="2962"/>
      <c r="BH814" s="2406">
        <v>7702263726</v>
      </c>
      <c r="BI814" s="2409" t="s">
        <v>2953</v>
      </c>
      <c r="BJ814" s="2466">
        <v>239073</v>
      </c>
      <c r="BK814" s="530"/>
      <c r="BV814" s="3082" t="str">
        <f t="shared" si="13"/>
        <v/>
      </c>
      <c r="CT814" s="531"/>
      <c r="DA814" s="2558"/>
      <c r="EI814" s="2689" t="s">
        <v>11133</v>
      </c>
    </row>
    <row r="815" spans="1:139">
      <c r="A815" s="532"/>
      <c r="AR815" s="2962"/>
      <c r="BH815" s="2406">
        <v>7702300872</v>
      </c>
      <c r="BI815" s="2409" t="s">
        <v>1964</v>
      </c>
      <c r="BJ815" s="2466">
        <v>99705</v>
      </c>
      <c r="BK815" s="530"/>
      <c r="BV815" s="3082" t="str">
        <f t="shared" si="13"/>
        <v/>
      </c>
      <c r="CT815" s="531"/>
      <c r="DA815" s="2558"/>
      <c r="EI815" s="2689" t="s">
        <v>11134</v>
      </c>
    </row>
    <row r="816" spans="1:139" ht="58">
      <c r="A816" s="532"/>
      <c r="AR816" s="2962"/>
      <c r="BH816" s="2406">
        <v>7702335321</v>
      </c>
      <c r="BI816" s="2409" t="s">
        <v>2367</v>
      </c>
      <c r="BJ816" s="2466">
        <v>98359</v>
      </c>
      <c r="BK816" s="530"/>
      <c r="BV816" s="3082" t="str">
        <f t="shared" si="13"/>
        <v/>
      </c>
      <c r="CT816" s="531"/>
      <c r="DA816" s="2558"/>
      <c r="EI816" s="2689" t="s">
        <v>11135</v>
      </c>
    </row>
    <row r="817" spans="1:139" ht="72.5">
      <c r="A817" s="532"/>
      <c r="AR817" s="2962"/>
      <c r="BH817" s="2405">
        <v>7702352454</v>
      </c>
      <c r="BI817" s="2405" t="s">
        <v>6779</v>
      </c>
      <c r="BJ817" s="2466">
        <v>302235</v>
      </c>
      <c r="BK817" s="530"/>
      <c r="BV817" s="3082" t="str">
        <f t="shared" si="13"/>
        <v/>
      </c>
      <c r="CT817" s="531"/>
      <c r="DA817" s="2558"/>
      <c r="EI817" s="2689" t="s">
        <v>11136</v>
      </c>
    </row>
    <row r="818" spans="1:139" ht="43.5">
      <c r="A818" s="532"/>
      <c r="AR818" s="2962"/>
      <c r="BH818" s="2406">
        <v>7702502780</v>
      </c>
      <c r="BI818" s="2409" t="s">
        <v>135</v>
      </c>
      <c r="BJ818" s="2466">
        <v>150883</v>
      </c>
      <c r="BK818" s="530"/>
      <c r="BV818" s="3082" t="str">
        <f t="shared" si="13"/>
        <v/>
      </c>
      <c r="CT818" s="531"/>
      <c r="DA818" s="2558"/>
      <c r="EI818" s="2689" t="s">
        <v>11137</v>
      </c>
    </row>
    <row r="819" spans="1:139" ht="43.5">
      <c r="A819" s="532"/>
      <c r="AR819" s="2962"/>
      <c r="BH819" s="2406">
        <v>7702609639</v>
      </c>
      <c r="BI819" s="2409" t="s">
        <v>1979</v>
      </c>
      <c r="BJ819" s="2466">
        <v>146699</v>
      </c>
      <c r="BK819" s="530"/>
      <c r="BV819" s="3082" t="str">
        <f t="shared" si="13"/>
        <v/>
      </c>
      <c r="CT819" s="531"/>
      <c r="DA819" s="2558"/>
      <c r="EI819" s="2689" t="s">
        <v>11138</v>
      </c>
    </row>
    <row r="820" spans="1:139" ht="43.5">
      <c r="A820" s="532"/>
      <c r="AR820" s="2962"/>
      <c r="BH820" s="2406">
        <v>7702672550</v>
      </c>
      <c r="BI820" s="2409" t="s">
        <v>2652</v>
      </c>
      <c r="BJ820" s="2466">
        <v>116999</v>
      </c>
      <c r="BK820" s="530"/>
      <c r="BV820" s="3082" t="str">
        <f t="shared" si="13"/>
        <v/>
      </c>
      <c r="CT820" s="531"/>
      <c r="DA820" s="2558"/>
      <c r="EI820" s="2689" t="s">
        <v>11139</v>
      </c>
    </row>
    <row r="821" spans="1:139" ht="58">
      <c r="A821" s="532"/>
      <c r="AR821" s="2962"/>
      <c r="BH821" s="2406">
        <v>7702735506</v>
      </c>
      <c r="BI821" s="2409" t="s">
        <v>2746</v>
      </c>
      <c r="BJ821" s="2466">
        <v>244525</v>
      </c>
      <c r="BK821" s="530"/>
      <c r="BV821" s="3082" t="str">
        <f t="shared" si="13"/>
        <v/>
      </c>
      <c r="CT821" s="531"/>
      <c r="DA821" s="2558"/>
      <c r="EI821" s="2689" t="s">
        <v>11140</v>
      </c>
    </row>
    <row r="822" spans="1:139" ht="43.5">
      <c r="A822" s="532"/>
      <c r="AR822" s="2962"/>
      <c r="BH822" s="2405">
        <v>7703010598</v>
      </c>
      <c r="BI822" s="2405" t="s">
        <v>6774</v>
      </c>
      <c r="BJ822" s="2466">
        <v>402710</v>
      </c>
      <c r="BK822" s="530"/>
      <c r="BV822" s="3082" t="str">
        <f t="shared" si="13"/>
        <v/>
      </c>
      <c r="CT822" s="531"/>
      <c r="DA822" s="2558"/>
      <c r="EI822" s="2689" t="s">
        <v>11141</v>
      </c>
    </row>
    <row r="823" spans="1:139" ht="43.5">
      <c r="A823" s="532"/>
      <c r="AR823" s="2962"/>
      <c r="BH823" s="2406">
        <v>7703044886</v>
      </c>
      <c r="BI823" s="2409" t="s">
        <v>3603</v>
      </c>
      <c r="BJ823" s="2466">
        <v>221616</v>
      </c>
      <c r="BK823" s="530"/>
      <c r="BV823" s="3082" t="str">
        <f t="shared" si="13"/>
        <v/>
      </c>
      <c r="CT823" s="531"/>
      <c r="DA823" s="2558"/>
      <c r="EI823" s="2689" t="s">
        <v>11142</v>
      </c>
    </row>
    <row r="824" spans="1:139" ht="58">
      <c r="A824" s="532"/>
      <c r="AR824" s="2962"/>
      <c r="BH824" s="2406">
        <v>7703092752</v>
      </c>
      <c r="BI824" s="2409" t="s">
        <v>134</v>
      </c>
      <c r="BJ824" s="2466">
        <v>133337</v>
      </c>
      <c r="BK824" s="530"/>
      <c r="BV824" s="3082" t="str">
        <f t="shared" si="13"/>
        <v/>
      </c>
      <c r="CT824" s="531"/>
      <c r="DA824" s="2558"/>
      <c r="EI824" s="2689" t="s">
        <v>11143</v>
      </c>
    </row>
    <row r="825" spans="1:139" ht="58">
      <c r="A825" s="532"/>
      <c r="AR825" s="2962"/>
      <c r="BH825" s="2406">
        <v>7703381225</v>
      </c>
      <c r="BI825" s="2409" t="s">
        <v>167</v>
      </c>
      <c r="BJ825" s="2466">
        <v>154437</v>
      </c>
      <c r="BK825" s="530"/>
      <c r="BV825" s="3082" t="str">
        <f t="shared" si="13"/>
        <v/>
      </c>
      <c r="CT825" s="531"/>
      <c r="DA825" s="2558"/>
      <c r="EI825" s="2689" t="s">
        <v>11144</v>
      </c>
    </row>
    <row r="826" spans="1:139" ht="43.5">
      <c r="A826" s="532"/>
      <c r="AR826" s="2962"/>
      <c r="BH826" s="2406">
        <v>7703385195</v>
      </c>
      <c r="BI826" s="2409" t="s">
        <v>2060</v>
      </c>
      <c r="BJ826" s="2744">
        <v>133393</v>
      </c>
      <c r="BK826" s="530"/>
      <c r="BV826" s="3082" t="str">
        <f t="shared" si="13"/>
        <v/>
      </c>
      <c r="CT826" s="531"/>
      <c r="DA826" s="2558"/>
      <c r="EI826" s="2689" t="s">
        <v>11145</v>
      </c>
    </row>
    <row r="827" spans="1:139" ht="29">
      <c r="A827" s="532"/>
      <c r="AR827" s="2962"/>
      <c r="BH827" s="2406">
        <v>7703518790</v>
      </c>
      <c r="BI827" s="2409" t="s">
        <v>2728</v>
      </c>
      <c r="BJ827" s="2466">
        <v>197437</v>
      </c>
      <c r="BK827" s="530"/>
      <c r="BV827" s="3082" t="str">
        <f t="shared" si="13"/>
        <v/>
      </c>
      <c r="CT827" s="531"/>
      <c r="DA827" s="2558"/>
      <c r="EI827" s="2689" t="s">
        <v>11146</v>
      </c>
    </row>
    <row r="828" spans="1:139" ht="43.5">
      <c r="A828" s="532"/>
      <c r="AR828" s="2962"/>
      <c r="BH828" s="2406">
        <v>7703598972</v>
      </c>
      <c r="BI828" s="2409" t="s">
        <v>2370</v>
      </c>
      <c r="BJ828" s="2466">
        <v>98248</v>
      </c>
      <c r="BK828" s="530"/>
      <c r="BV828" s="3082" t="str">
        <f t="shared" si="13"/>
        <v/>
      </c>
      <c r="CT828" s="531"/>
      <c r="DA828" s="2558"/>
      <c r="EI828" s="2689" t="s">
        <v>11147</v>
      </c>
    </row>
    <row r="829" spans="1:139" ht="43.5">
      <c r="A829" s="532"/>
      <c r="AR829" s="2962"/>
      <c r="BH829" s="2406">
        <v>7703715816</v>
      </c>
      <c r="BI829" s="2409" t="s">
        <v>2280</v>
      </c>
      <c r="BJ829" s="2466">
        <v>176517</v>
      </c>
      <c r="BK829" s="530"/>
      <c r="BV829" s="3082" t="str">
        <f t="shared" si="13"/>
        <v/>
      </c>
      <c r="CT829" s="531"/>
      <c r="DA829" s="2558"/>
      <c r="EI829" s="2689" t="s">
        <v>11148</v>
      </c>
    </row>
    <row r="830" spans="1:139" ht="29">
      <c r="A830" s="532"/>
      <c r="AR830" s="2962"/>
      <c r="BH830" s="2406">
        <v>7703726430</v>
      </c>
      <c r="BI830" s="2409" t="s">
        <v>1947</v>
      </c>
      <c r="BJ830" s="2466">
        <v>261905</v>
      </c>
      <c r="BK830" s="530"/>
      <c r="BV830" s="3082" t="str">
        <f t="shared" si="13"/>
        <v/>
      </c>
      <c r="CT830" s="531"/>
      <c r="DA830" s="2558"/>
      <c r="EI830" s="2689" t="s">
        <v>11149</v>
      </c>
    </row>
    <row r="831" spans="1:139" ht="29">
      <c r="A831" s="532"/>
      <c r="AR831" s="2962"/>
      <c r="BH831" s="2406">
        <v>7703750144</v>
      </c>
      <c r="BI831" s="2409" t="s">
        <v>1986</v>
      </c>
      <c r="BJ831" s="2466">
        <v>219389</v>
      </c>
      <c r="BK831" s="530"/>
      <c r="BV831" s="3082" t="str">
        <f t="shared" si="13"/>
        <v/>
      </c>
      <c r="CT831" s="531"/>
      <c r="DA831" s="2558"/>
      <c r="EI831" s="2689" t="s">
        <v>11150</v>
      </c>
    </row>
    <row r="832" spans="1:139" ht="43.5">
      <c r="A832" s="532"/>
      <c r="AR832" s="2962"/>
      <c r="BH832" s="2406">
        <v>7704005030</v>
      </c>
      <c r="BI832" s="2409" t="s">
        <v>140</v>
      </c>
      <c r="BJ832" s="2466">
        <v>149492</v>
      </c>
      <c r="BK832" s="530"/>
      <c r="BV832" s="3082" t="str">
        <f t="shared" si="13"/>
        <v/>
      </c>
      <c r="CT832" s="531"/>
      <c r="DA832" s="2558"/>
      <c r="EI832" s="2689" t="s">
        <v>11151</v>
      </c>
    </row>
    <row r="833" spans="1:139" ht="72.5">
      <c r="A833" s="532"/>
      <c r="AR833" s="2962"/>
      <c r="BH833" s="2406">
        <v>7704018536</v>
      </c>
      <c r="BI833" s="2409" t="s">
        <v>3620</v>
      </c>
      <c r="BJ833" s="2466">
        <v>262922</v>
      </c>
      <c r="BK833" s="530"/>
      <c r="BV833" s="3082" t="str">
        <f t="shared" si="13"/>
        <v/>
      </c>
      <c r="CT833" s="531"/>
      <c r="DA833" s="2558"/>
      <c r="EI833" s="2689" t="s">
        <v>11152</v>
      </c>
    </row>
    <row r="834" spans="1:139" ht="29">
      <c r="A834" s="532"/>
      <c r="AR834" s="2513"/>
      <c r="BH834" s="2406">
        <v>7704028125</v>
      </c>
      <c r="BI834" s="2409" t="s">
        <v>2236</v>
      </c>
      <c r="BJ834" s="2466">
        <v>202143</v>
      </c>
      <c r="BK834" s="530"/>
      <c r="BV834" s="3082" t="str">
        <f t="shared" si="13"/>
        <v/>
      </c>
      <c r="CT834" s="531"/>
      <c r="DA834" s="2558"/>
      <c r="EI834" s="2689" t="s">
        <v>11153</v>
      </c>
    </row>
    <row r="835" spans="1:139" ht="43.5">
      <c r="A835" s="532"/>
      <c r="AR835" s="2513"/>
      <c r="BH835" s="2406">
        <v>7704042680</v>
      </c>
      <c r="BI835" s="2409" t="s">
        <v>1982</v>
      </c>
      <c r="BJ835" s="2466">
        <v>279819</v>
      </c>
      <c r="BK835" s="530"/>
      <c r="BV835" s="3082" t="str">
        <f t="shared" si="13"/>
        <v/>
      </c>
      <c r="CT835" s="531"/>
      <c r="DA835" s="2558"/>
      <c r="EI835" s="2689" t="s">
        <v>11154</v>
      </c>
    </row>
    <row r="836" spans="1:139" ht="43.5">
      <c r="A836" s="532"/>
      <c r="AR836" s="2513"/>
      <c r="BH836" s="2406">
        <v>7704115177</v>
      </c>
      <c r="BI836" s="2409" t="s">
        <v>1530</v>
      </c>
      <c r="BJ836" s="2466">
        <v>299004</v>
      </c>
      <c r="BK836" s="530"/>
      <c r="BV836" s="3082" t="str">
        <f t="shared" si="13"/>
        <v/>
      </c>
      <c r="CT836" s="531"/>
      <c r="DA836" s="2558"/>
      <c r="EI836" s="2689" t="s">
        <v>11155</v>
      </c>
    </row>
    <row r="837" spans="1:139" ht="43.5">
      <c r="A837" s="532"/>
      <c r="AR837" s="2513"/>
      <c r="BH837" s="2406">
        <v>7704190880</v>
      </c>
      <c r="BI837" s="2409" t="s">
        <v>131</v>
      </c>
      <c r="BJ837" s="2466">
        <v>133521</v>
      </c>
      <c r="BK837" s="530"/>
      <c r="BV837" s="3082" t="str">
        <f t="shared" si="13"/>
        <v/>
      </c>
      <c r="CT837" s="531"/>
      <c r="DA837" s="2558"/>
      <c r="EI837" s="2689" t="s">
        <v>11156</v>
      </c>
    </row>
    <row r="838" spans="1:139" ht="29">
      <c r="A838" s="532"/>
      <c r="AR838" s="2513"/>
      <c r="BH838" s="2406">
        <v>7704206201</v>
      </c>
      <c r="BI838" s="2409" t="s">
        <v>2359</v>
      </c>
      <c r="BJ838" s="2466">
        <v>97146</v>
      </c>
      <c r="BK838" s="530"/>
      <c r="BV838" s="3082" t="str">
        <f t="shared" si="13"/>
        <v/>
      </c>
      <c r="CT838" s="531"/>
      <c r="DA838" s="2558"/>
      <c r="EI838" s="2689" t="s">
        <v>11157</v>
      </c>
    </row>
    <row r="839" spans="1:139" ht="43.5">
      <c r="A839" s="532"/>
      <c r="AR839" s="2513"/>
      <c r="BH839" s="2406">
        <v>7704220125</v>
      </c>
      <c r="BI839" s="2409" t="s">
        <v>1871</v>
      </c>
      <c r="BJ839" s="2466">
        <v>239123</v>
      </c>
      <c r="BK839" s="530"/>
      <c r="BV839" s="3082" t="str">
        <f t="shared" si="13"/>
        <v/>
      </c>
      <c r="CT839" s="531"/>
      <c r="DA839" s="2558"/>
      <c r="EI839" s="2689" t="s">
        <v>11158</v>
      </c>
    </row>
    <row r="840" spans="1:139" ht="29">
      <c r="A840" s="532"/>
      <c r="AR840" s="2513"/>
      <c r="BH840" s="2406">
        <v>7704252261</v>
      </c>
      <c r="BI840" s="2409" t="s">
        <v>2365</v>
      </c>
      <c r="BJ840" s="2466">
        <v>97211</v>
      </c>
      <c r="BK840" s="530"/>
      <c r="BV840" s="3082" t="str">
        <f t="shared" si="13"/>
        <v/>
      </c>
      <c r="CT840" s="531"/>
      <c r="DA840" s="2558"/>
      <c r="EI840" s="2689" t="s">
        <v>11159</v>
      </c>
    </row>
    <row r="841" spans="1:139" ht="58">
      <c r="A841" s="532"/>
      <c r="AR841" s="2513"/>
      <c r="BH841" s="2406">
        <v>7704270863</v>
      </c>
      <c r="BI841" s="2409" t="s">
        <v>1991</v>
      </c>
      <c r="BJ841" s="2466">
        <v>98252</v>
      </c>
      <c r="BK841" s="530"/>
      <c r="BV841" s="3082" t="str">
        <f t="shared" si="13"/>
        <v/>
      </c>
      <c r="CT841" s="531"/>
      <c r="DA841" s="2558"/>
      <c r="EI841" s="2689" t="s">
        <v>11160</v>
      </c>
    </row>
    <row r="842" spans="1:139" ht="43.5">
      <c r="A842" s="532"/>
      <c r="AR842" s="2513"/>
      <c r="BH842" s="2405">
        <v>7704670879</v>
      </c>
      <c r="BI842" s="2405" t="s">
        <v>1612</v>
      </c>
      <c r="BJ842" s="2466">
        <v>155680</v>
      </c>
      <c r="BK842" s="530"/>
      <c r="BV842" s="3082" t="str">
        <f t="shared" si="13"/>
        <v/>
      </c>
      <c r="CT842" s="531"/>
      <c r="DA842" s="2558"/>
      <c r="EI842" s="2689" t="s">
        <v>11161</v>
      </c>
    </row>
    <row r="843" spans="1:139" ht="29">
      <c r="A843" s="532"/>
      <c r="AR843" s="2513"/>
      <c r="BH843" s="2406">
        <v>7704731218</v>
      </c>
      <c r="BI843" s="2409" t="s">
        <v>2275</v>
      </c>
      <c r="BJ843" s="2466">
        <v>198203</v>
      </c>
      <c r="BK843" s="530"/>
      <c r="BV843" s="3082" t="str">
        <f t="shared" si="13"/>
        <v/>
      </c>
      <c r="CT843" s="531"/>
      <c r="DA843" s="2558"/>
      <c r="EI843" s="2689" t="s">
        <v>11162</v>
      </c>
    </row>
    <row r="844" spans="1:139" ht="43.5">
      <c r="A844" s="532"/>
      <c r="AR844" s="2513"/>
      <c r="BH844" s="2406">
        <v>7704740413</v>
      </c>
      <c r="BI844" s="2409" t="s">
        <v>2361</v>
      </c>
      <c r="BJ844" s="2466">
        <v>244463</v>
      </c>
      <c r="BK844" s="530"/>
      <c r="BV844" s="3082" t="str">
        <f t="shared" si="13"/>
        <v/>
      </c>
      <c r="CT844" s="531"/>
      <c r="DA844" s="2558"/>
      <c r="EI844" s="2689" t="s">
        <v>11163</v>
      </c>
    </row>
    <row r="845" spans="1:139" ht="43.5">
      <c r="A845" s="532"/>
      <c r="AR845" s="2513"/>
      <c r="BH845" s="2405">
        <v>7704765961</v>
      </c>
      <c r="BI845" s="2405" t="s">
        <v>2897</v>
      </c>
      <c r="BJ845" s="2466">
        <v>362</v>
      </c>
      <c r="BK845" s="530"/>
      <c r="BV845" s="3082" t="str">
        <f t="shared" si="13"/>
        <v/>
      </c>
      <c r="CT845" s="531"/>
      <c r="DA845" s="2558"/>
      <c r="EI845" s="2689" t="s">
        <v>11164</v>
      </c>
    </row>
    <row r="846" spans="1:139" ht="58">
      <c r="A846" s="532"/>
      <c r="AR846" s="2513"/>
      <c r="BH846" s="2406">
        <v>7704784450</v>
      </c>
      <c r="BI846" s="2409" t="s">
        <v>2249</v>
      </c>
      <c r="BJ846" s="2466">
        <v>242681</v>
      </c>
      <c r="BK846" s="530"/>
      <c r="BV846" s="3082" t="str">
        <f t="shared" si="13"/>
        <v/>
      </c>
      <c r="CT846" s="531"/>
      <c r="DA846" s="2558"/>
      <c r="EI846" s="2689" t="s">
        <v>11165</v>
      </c>
    </row>
    <row r="847" spans="1:139" ht="58">
      <c r="A847" s="532"/>
      <c r="AR847" s="2513"/>
      <c r="BH847" s="2406">
        <v>7705002602</v>
      </c>
      <c r="BI847" s="2409" t="s">
        <v>3553</v>
      </c>
      <c r="BJ847" s="2466">
        <v>133635</v>
      </c>
      <c r="BK847" s="530"/>
      <c r="BV847" s="3082" t="str">
        <f t="shared" si="13"/>
        <v/>
      </c>
      <c r="CT847" s="531"/>
      <c r="DA847" s="2558"/>
      <c r="EI847" s="2689" t="s">
        <v>11166</v>
      </c>
    </row>
    <row r="848" spans="1:139" ht="72.5">
      <c r="A848" s="532"/>
      <c r="AR848" s="2513"/>
      <c r="BH848" s="2406">
        <v>7705008315</v>
      </c>
      <c r="BI848" s="2409" t="s">
        <v>2431</v>
      </c>
      <c r="BJ848" s="2466">
        <v>155353</v>
      </c>
      <c r="BK848" s="530"/>
      <c r="BV848" s="3082" t="str">
        <f t="shared" si="13"/>
        <v/>
      </c>
      <c r="CT848" s="531"/>
      <c r="DA848" s="2558"/>
      <c r="EI848" s="2689" t="s">
        <v>11167</v>
      </c>
    </row>
    <row r="849" spans="1:139" ht="43.5">
      <c r="A849" s="532"/>
      <c r="AR849" s="2513"/>
      <c r="BH849" s="2406">
        <v>7705028865</v>
      </c>
      <c r="BI849" s="2409" t="s">
        <v>1546</v>
      </c>
      <c r="BJ849" s="2466">
        <v>101024</v>
      </c>
      <c r="BK849" s="530"/>
      <c r="BV849" s="3082" t="str">
        <f t="shared" si="13"/>
        <v/>
      </c>
      <c r="CT849" s="531"/>
      <c r="DA849" s="2558"/>
      <c r="EI849" s="2689" t="s">
        <v>11168</v>
      </c>
    </row>
    <row r="850" spans="1:139" ht="29">
      <c r="A850" s="532"/>
      <c r="AR850" s="2513"/>
      <c r="BH850" s="2406">
        <v>7705035012</v>
      </c>
      <c r="BI850" s="2409" t="s">
        <v>2266</v>
      </c>
      <c r="BJ850" s="2466">
        <v>99145</v>
      </c>
      <c r="BK850" s="530"/>
      <c r="BV850" s="3082" t="str">
        <f t="shared" si="13"/>
        <v/>
      </c>
      <c r="CT850" s="531"/>
      <c r="DA850" s="2558"/>
      <c r="EI850" s="2689" t="s">
        <v>11169</v>
      </c>
    </row>
    <row r="851" spans="1:139" ht="43.5">
      <c r="A851" s="532"/>
      <c r="AR851" s="2513"/>
      <c r="BH851" s="2406">
        <v>7705043856</v>
      </c>
      <c r="BI851" s="2409" t="s">
        <v>3292</v>
      </c>
      <c r="BJ851" s="2466">
        <v>133713</v>
      </c>
      <c r="BK851" s="530"/>
      <c r="BV851" s="3082" t="str">
        <f t="shared" si="13"/>
        <v/>
      </c>
      <c r="CT851" s="531"/>
      <c r="DA851" s="2558"/>
      <c r="EI851" s="2689" t="s">
        <v>11170</v>
      </c>
    </row>
    <row r="852" spans="1:139" ht="43.5">
      <c r="A852" s="532"/>
      <c r="AR852" s="2513"/>
      <c r="BH852" s="2406">
        <v>7705045236</v>
      </c>
      <c r="BI852" s="2409" t="s">
        <v>1980</v>
      </c>
      <c r="BJ852" s="2466">
        <v>149518</v>
      </c>
      <c r="BK852" s="530"/>
      <c r="BV852" s="3082" t="str">
        <f t="shared" si="13"/>
        <v/>
      </c>
      <c r="CT852" s="531"/>
      <c r="DA852" s="2558"/>
      <c r="EI852" s="2689" t="s">
        <v>11171</v>
      </c>
    </row>
    <row r="853" spans="1:139">
      <c r="A853" s="532"/>
      <c r="AR853" s="2513"/>
      <c r="BH853" s="2406">
        <v>7705401340</v>
      </c>
      <c r="BI853" s="2409" t="s">
        <v>2006</v>
      </c>
      <c r="BJ853" s="2466">
        <v>196100</v>
      </c>
      <c r="BK853" s="530"/>
      <c r="BV853" s="3082" t="str">
        <f t="shared" si="13"/>
        <v/>
      </c>
      <c r="CT853" s="531"/>
      <c r="DA853" s="2558"/>
      <c r="EI853" s="2689" t="s">
        <v>11172</v>
      </c>
    </row>
    <row r="854" spans="1:139" ht="29">
      <c r="A854" s="532"/>
      <c r="AR854" s="2513"/>
      <c r="BH854" s="2406">
        <v>7705454461</v>
      </c>
      <c r="BI854" s="2409" t="s">
        <v>8165</v>
      </c>
      <c r="BJ854" s="2466">
        <v>133806</v>
      </c>
      <c r="BK854" s="530"/>
      <c r="BV854" s="3082" t="str">
        <f t="shared" si="13"/>
        <v/>
      </c>
      <c r="CT854" s="531"/>
      <c r="DA854" s="2558"/>
      <c r="EI854" s="2689" t="s">
        <v>11173</v>
      </c>
    </row>
    <row r="855" spans="1:139">
      <c r="A855" s="532"/>
      <c r="AR855" s="2513"/>
      <c r="BH855" s="2406">
        <v>7705570531</v>
      </c>
      <c r="BI855" s="2409" t="s">
        <v>192</v>
      </c>
      <c r="BJ855" s="2466">
        <v>275</v>
      </c>
      <c r="BK855" s="530"/>
      <c r="BV855" s="3082" t="str">
        <f t="shared" si="13"/>
        <v/>
      </c>
      <c r="CT855" s="531"/>
      <c r="DA855" s="2558"/>
      <c r="EI855" s="2689" t="s">
        <v>11174</v>
      </c>
    </row>
    <row r="856" spans="1:139" ht="58">
      <c r="A856" s="532"/>
      <c r="AR856" s="2513"/>
      <c r="BH856" s="2406">
        <v>7705570806</v>
      </c>
      <c r="BI856" s="2409" t="s">
        <v>193</v>
      </c>
      <c r="BJ856" s="2466">
        <v>274</v>
      </c>
      <c r="BK856" s="530"/>
      <c r="BV856" s="3082" t="str">
        <f t="shared" si="13"/>
        <v/>
      </c>
      <c r="CT856" s="531"/>
      <c r="DA856" s="2558"/>
      <c r="EI856" s="2689" t="s">
        <v>11175</v>
      </c>
    </row>
    <row r="857" spans="1:139" ht="58">
      <c r="A857" s="532"/>
      <c r="AR857" s="2513"/>
      <c r="BH857" s="2406">
        <v>7705596339</v>
      </c>
      <c r="BI857" s="2409" t="s">
        <v>2366</v>
      </c>
      <c r="BJ857" s="2466">
        <v>150894</v>
      </c>
      <c r="BK857" s="530"/>
      <c r="BV857" s="3082" t="str">
        <f t="shared" si="13"/>
        <v/>
      </c>
      <c r="CT857" s="531"/>
      <c r="DA857" s="2558"/>
      <c r="EI857" s="2689" t="s">
        <v>11176</v>
      </c>
    </row>
    <row r="858" spans="1:139" ht="29">
      <c r="A858" s="532"/>
      <c r="AR858" s="2513"/>
      <c r="BH858" s="2406">
        <v>7705703654</v>
      </c>
      <c r="BI858" s="2409" t="s">
        <v>2666</v>
      </c>
      <c r="BJ858" s="2466">
        <v>215920</v>
      </c>
      <c r="BK858" s="530"/>
      <c r="BV858" s="3082" t="str">
        <f t="shared" si="13"/>
        <v/>
      </c>
      <c r="CT858" s="531"/>
      <c r="DA858" s="2558"/>
      <c r="EI858" s="2689" t="s">
        <v>11177</v>
      </c>
    </row>
    <row r="859" spans="1:139" ht="43.5">
      <c r="A859" s="532"/>
      <c r="AR859" s="2513"/>
      <c r="BH859" s="2406">
        <v>7705721043</v>
      </c>
      <c r="BI859" s="2409" t="s">
        <v>1915</v>
      </c>
      <c r="BJ859" s="2466">
        <v>198770</v>
      </c>
      <c r="BK859" s="530"/>
      <c r="BV859" s="3082" t="str">
        <f t="shared" si="13"/>
        <v/>
      </c>
      <c r="CT859" s="531"/>
      <c r="DA859" s="2558"/>
      <c r="EI859" s="2689" t="s">
        <v>11178</v>
      </c>
    </row>
    <row r="860" spans="1:139">
      <c r="A860" s="532"/>
      <c r="AR860" s="2513"/>
      <c r="BH860" s="2406">
        <v>7705750968</v>
      </c>
      <c r="BI860" s="2409" t="s">
        <v>2264</v>
      </c>
      <c r="BJ860" s="2466">
        <v>194755</v>
      </c>
      <c r="BK860" s="530"/>
      <c r="BV860" s="3082" t="str">
        <f t="shared" si="13"/>
        <v/>
      </c>
      <c r="CT860" s="531"/>
      <c r="DA860" s="2558"/>
      <c r="EI860" s="2689" t="s">
        <v>11179</v>
      </c>
    </row>
    <row r="861" spans="1:139" ht="29">
      <c r="A861" s="532"/>
      <c r="AR861" s="2513"/>
      <c r="BH861" s="2406">
        <v>7705762628</v>
      </c>
      <c r="BI861" s="2409" t="s">
        <v>195</v>
      </c>
      <c r="BJ861" s="2466">
        <v>154</v>
      </c>
      <c r="BK861" s="530"/>
      <c r="BV861" s="3082" t="str">
        <f t="shared" si="13"/>
        <v/>
      </c>
      <c r="CT861" s="531"/>
      <c r="DA861" s="2558"/>
      <c r="EI861" s="2689" t="s">
        <v>11180</v>
      </c>
    </row>
    <row r="862" spans="1:139" ht="87">
      <c r="A862" s="532"/>
      <c r="AR862" s="2513"/>
      <c r="BH862" s="2406">
        <v>7705766527</v>
      </c>
      <c r="BI862" s="2409" t="s">
        <v>2608</v>
      </c>
      <c r="BJ862" s="2466">
        <v>220003</v>
      </c>
      <c r="BK862" s="530"/>
      <c r="BV862" s="3082" t="str">
        <f t="shared" si="13"/>
        <v/>
      </c>
      <c r="CT862" s="531"/>
      <c r="DA862" s="2558"/>
      <c r="EI862" s="2689" t="s">
        <v>11181</v>
      </c>
    </row>
    <row r="863" spans="1:139" ht="43.5">
      <c r="A863" s="532"/>
      <c r="AR863" s="2513"/>
      <c r="BH863" s="2406">
        <v>7705779491</v>
      </c>
      <c r="BI863" s="2409" t="s">
        <v>2710</v>
      </c>
      <c r="BJ863" s="2466">
        <v>153891</v>
      </c>
      <c r="BK863" s="530"/>
      <c r="BV863" s="3082" t="str">
        <f t="shared" si="13"/>
        <v/>
      </c>
      <c r="CT863" s="531"/>
      <c r="DA863" s="2558"/>
      <c r="EI863" s="2689" t="s">
        <v>11182</v>
      </c>
    </row>
    <row r="864" spans="1:139" ht="29">
      <c r="A864" s="532"/>
      <c r="AR864" s="2513"/>
      <c r="BH864" s="2406">
        <v>7705839670</v>
      </c>
      <c r="BI864" s="2409" t="s">
        <v>2951</v>
      </c>
      <c r="BJ864" s="2466">
        <v>154034</v>
      </c>
      <c r="BK864" s="530"/>
      <c r="BV864" s="3082" t="str">
        <f t="shared" si="13"/>
        <v/>
      </c>
      <c r="CT864" s="531"/>
      <c r="DA864" s="2558"/>
      <c r="EI864" s="2689" t="s">
        <v>11183</v>
      </c>
    </row>
    <row r="865" spans="1:139">
      <c r="A865" s="532"/>
      <c r="AR865" s="2513"/>
      <c r="BH865" s="2406">
        <v>7705846236</v>
      </c>
      <c r="BI865" s="2409" t="s">
        <v>5053</v>
      </c>
      <c r="BJ865" s="2466">
        <v>97250</v>
      </c>
      <c r="BK865" s="530"/>
      <c r="BV865" s="3082" t="str">
        <f t="shared" si="13"/>
        <v/>
      </c>
      <c r="CT865" s="531"/>
      <c r="DA865" s="2558"/>
      <c r="EI865" s="2689" t="s">
        <v>11184</v>
      </c>
    </row>
    <row r="866" spans="1:139">
      <c r="A866" s="532"/>
      <c r="AR866" s="2513"/>
      <c r="BH866" s="2405">
        <v>7705849332</v>
      </c>
      <c r="BI866" s="2405" t="s">
        <v>2925</v>
      </c>
      <c r="BJ866" s="2466">
        <v>26</v>
      </c>
      <c r="BK866" s="530"/>
      <c r="BV866" s="3082" t="str">
        <f t="shared" si="13"/>
        <v/>
      </c>
      <c r="CT866" s="531"/>
      <c r="DA866" s="2558"/>
      <c r="EI866" s="2689" t="s">
        <v>11185</v>
      </c>
    </row>
    <row r="867" spans="1:139" ht="29">
      <c r="A867" s="532"/>
      <c r="AR867" s="2513"/>
      <c r="BH867" s="2405">
        <v>7705923730</v>
      </c>
      <c r="BI867" s="2405" t="s">
        <v>1193</v>
      </c>
      <c r="BJ867" s="2466">
        <v>179781</v>
      </c>
      <c r="BK867" s="530"/>
      <c r="BV867" s="3082" t="str">
        <f t="shared" si="13"/>
        <v/>
      </c>
      <c r="CT867" s="531"/>
      <c r="DA867" s="2558"/>
      <c r="EI867" s="2689" t="s">
        <v>11186</v>
      </c>
    </row>
    <row r="868" spans="1:139" ht="29">
      <c r="A868" s="532"/>
      <c r="AR868" s="2513"/>
      <c r="BH868" s="2406">
        <v>7706026412</v>
      </c>
      <c r="BI868" s="2409" t="s">
        <v>2599</v>
      </c>
      <c r="BJ868" s="2466">
        <v>152124</v>
      </c>
      <c r="BK868" s="530"/>
      <c r="BV868" s="3082" t="str">
        <f t="shared" si="13"/>
        <v/>
      </c>
      <c r="CT868" s="531"/>
      <c r="DA868" s="2558"/>
      <c r="EI868" s="2689" t="s">
        <v>11187</v>
      </c>
    </row>
    <row r="869" spans="1:139" ht="58">
      <c r="A869" s="532"/>
      <c r="AR869" s="2513"/>
      <c r="BH869" s="2406">
        <v>7706032800</v>
      </c>
      <c r="BI869" s="2409" t="s">
        <v>1890</v>
      </c>
      <c r="BJ869" s="2466">
        <v>149408</v>
      </c>
      <c r="BK869" s="530"/>
      <c r="BV869" s="3082" t="str">
        <f t="shared" si="13"/>
        <v/>
      </c>
      <c r="CT869" s="531"/>
      <c r="DA869" s="2558"/>
      <c r="EI869" s="2689" t="s">
        <v>11188</v>
      </c>
    </row>
    <row r="870" spans="1:139" ht="29">
      <c r="A870" s="532"/>
      <c r="AR870" s="2513"/>
      <c r="BH870" s="2406">
        <v>7706104124</v>
      </c>
      <c r="BI870" s="2409" t="s">
        <v>5057</v>
      </c>
      <c r="BJ870" s="2466">
        <v>100585</v>
      </c>
      <c r="BK870" s="530"/>
      <c r="BV870" s="3082" t="str">
        <f t="shared" si="13"/>
        <v/>
      </c>
      <c r="CT870" s="531"/>
      <c r="DA870" s="2558"/>
      <c r="EI870" s="2689" t="s">
        <v>11189</v>
      </c>
    </row>
    <row r="871" spans="1:139">
      <c r="A871" s="532"/>
      <c r="AR871" s="2513"/>
      <c r="BH871" s="2406">
        <v>7706189128</v>
      </c>
      <c r="BI871" s="2409" t="s">
        <v>974</v>
      </c>
      <c r="BJ871" s="2466">
        <v>344</v>
      </c>
      <c r="BK871" s="530"/>
      <c r="BV871" s="3082" t="str">
        <f t="shared" si="13"/>
        <v/>
      </c>
      <c r="CT871" s="531"/>
      <c r="DA871" s="2558"/>
      <c r="EI871" s="2689" t="s">
        <v>11190</v>
      </c>
    </row>
    <row r="872" spans="1:139">
      <c r="A872" s="532"/>
      <c r="AR872" s="2513"/>
      <c r="BH872" s="2406">
        <v>7706228218</v>
      </c>
      <c r="BI872" s="2409" t="s">
        <v>1531</v>
      </c>
      <c r="BJ872" s="2466">
        <v>134137</v>
      </c>
      <c r="BK872" s="530"/>
      <c r="BV872" s="3082" t="str">
        <f t="shared" si="13"/>
        <v/>
      </c>
      <c r="CT872" s="531"/>
      <c r="DA872" s="2558"/>
      <c r="EI872" s="2689" t="s">
        <v>11191</v>
      </c>
    </row>
    <row r="873" spans="1:139">
      <c r="A873" s="532"/>
      <c r="AR873" s="2513"/>
      <c r="BH873" s="2406">
        <v>7706406291</v>
      </c>
      <c r="BI873" s="2409" t="s">
        <v>1990</v>
      </c>
      <c r="BJ873" s="2466">
        <v>97091</v>
      </c>
      <c r="BK873" s="530"/>
      <c r="BV873" s="3082" t="str">
        <f t="shared" si="13"/>
        <v/>
      </c>
      <c r="CT873" s="531"/>
      <c r="DA873" s="2558"/>
      <c r="EI873" s="2689" t="s">
        <v>11192</v>
      </c>
    </row>
    <row r="874" spans="1:139" ht="72.5">
      <c r="A874" s="532"/>
      <c r="AR874" s="2513"/>
      <c r="BH874" s="2406">
        <v>7706414704</v>
      </c>
      <c r="BI874" s="2409" t="s">
        <v>149</v>
      </c>
      <c r="BJ874" s="2466">
        <v>96799</v>
      </c>
      <c r="BK874" s="530"/>
      <c r="BV874" s="3082" t="str">
        <f t="shared" si="13"/>
        <v/>
      </c>
      <c r="CT874" s="531"/>
      <c r="DA874" s="2558"/>
      <c r="EI874" s="2689" t="s">
        <v>11193</v>
      </c>
    </row>
    <row r="875" spans="1:139" ht="58">
      <c r="A875" s="532"/>
      <c r="AR875" s="2513"/>
      <c r="BH875" s="2406">
        <v>7706535184</v>
      </c>
      <c r="BI875" s="2409" t="s">
        <v>1988</v>
      </c>
      <c r="BJ875" s="2466">
        <v>97249</v>
      </c>
      <c r="BK875" s="530"/>
      <c r="BV875" s="3082" t="str">
        <f t="shared" ref="BV875:BV938" si="14">CONCATENATE(LEFT(BU875,8),RIGHT(BU875,9))</f>
        <v/>
      </c>
      <c r="CT875" s="531"/>
      <c r="DA875" s="2558"/>
      <c r="EI875" s="2689" t="s">
        <v>11194</v>
      </c>
    </row>
    <row r="876" spans="1:139" ht="58">
      <c r="A876" s="532"/>
      <c r="AR876" s="2513"/>
      <c r="BH876" s="2406">
        <v>7706545288</v>
      </c>
      <c r="BI876" s="2409" t="s">
        <v>8742</v>
      </c>
      <c r="BJ876" s="2466">
        <v>242006</v>
      </c>
      <c r="BK876" s="530"/>
      <c r="BV876" s="3082" t="str">
        <f t="shared" si="14"/>
        <v/>
      </c>
      <c r="CT876" s="531"/>
      <c r="DA876" s="2558"/>
      <c r="EI876" s="2689" t="s">
        <v>11195</v>
      </c>
    </row>
    <row r="877" spans="1:139" ht="43.5">
      <c r="A877" s="532"/>
      <c r="AR877" s="2513"/>
      <c r="BH877" s="2406">
        <v>7706546115</v>
      </c>
      <c r="BI877" s="2409" t="s">
        <v>2935</v>
      </c>
      <c r="BJ877" s="2466">
        <v>152524</v>
      </c>
      <c r="BK877" s="530"/>
      <c r="BV877" s="3082" t="str">
        <f t="shared" si="14"/>
        <v/>
      </c>
      <c r="CT877" s="531"/>
      <c r="DA877" s="2558"/>
      <c r="EI877" s="2689" t="s">
        <v>11196</v>
      </c>
    </row>
    <row r="878" spans="1:139" ht="29">
      <c r="A878" s="532"/>
      <c r="AR878" s="2513"/>
      <c r="BH878" s="2406">
        <v>7706570252</v>
      </c>
      <c r="BI878" s="2409" t="s">
        <v>2402</v>
      </c>
      <c r="BJ878" s="2466">
        <v>152523</v>
      </c>
      <c r="BK878" s="530"/>
      <c r="BV878" s="3082" t="str">
        <f t="shared" si="14"/>
        <v/>
      </c>
      <c r="CT878" s="531"/>
      <c r="DA878" s="2558"/>
      <c r="EI878" s="2689" t="s">
        <v>11197</v>
      </c>
    </row>
    <row r="879" spans="1:139" ht="72.5">
      <c r="A879" s="532"/>
      <c r="AR879" s="2513"/>
      <c r="BH879" s="2406">
        <v>7706607400</v>
      </c>
      <c r="BI879" s="2409" t="s">
        <v>3939</v>
      </c>
      <c r="BJ879" s="2466">
        <v>117</v>
      </c>
      <c r="BK879" s="530"/>
      <c r="BV879" s="3082" t="str">
        <f t="shared" si="14"/>
        <v/>
      </c>
      <c r="CT879" s="531"/>
      <c r="DA879" s="2558"/>
      <c r="EI879" s="2689" t="s">
        <v>11198</v>
      </c>
    </row>
    <row r="880" spans="1:139" ht="43.5">
      <c r="A880" s="532"/>
      <c r="AR880" s="2513"/>
      <c r="BH880" s="2406">
        <v>7706613636</v>
      </c>
      <c r="BI880" s="2409" t="s">
        <v>203</v>
      </c>
      <c r="BJ880" s="2466">
        <v>135</v>
      </c>
      <c r="BK880" s="530"/>
      <c r="BV880" s="3082" t="str">
        <f t="shared" si="14"/>
        <v/>
      </c>
      <c r="CT880" s="531"/>
      <c r="DA880" s="2558"/>
      <c r="EI880" s="2689" t="s">
        <v>11199</v>
      </c>
    </row>
    <row r="881" spans="1:139" ht="43.5">
      <c r="A881" s="532"/>
      <c r="AR881" s="2513"/>
      <c r="BH881" s="2406">
        <v>7706627050</v>
      </c>
      <c r="BI881" s="2409" t="s">
        <v>2265</v>
      </c>
      <c r="BJ881" s="2466">
        <v>134233</v>
      </c>
      <c r="BK881" s="530"/>
      <c r="BV881" s="3082" t="str">
        <f t="shared" si="14"/>
        <v/>
      </c>
      <c r="CT881" s="531"/>
      <c r="DA881" s="2558"/>
      <c r="EI881" s="2689" t="s">
        <v>11200</v>
      </c>
    </row>
    <row r="882" spans="1:139">
      <c r="A882" s="532"/>
      <c r="AR882" s="2513"/>
      <c r="BH882" s="2405">
        <v>7706716631</v>
      </c>
      <c r="BI882" s="2405" t="s">
        <v>53</v>
      </c>
      <c r="BJ882" s="2466">
        <v>150158</v>
      </c>
      <c r="BK882" s="530"/>
      <c r="BV882" s="3082" t="str">
        <f t="shared" si="14"/>
        <v/>
      </c>
      <c r="CT882" s="531"/>
      <c r="DA882" s="2558"/>
      <c r="EI882" s="2689" t="s">
        <v>11201</v>
      </c>
    </row>
    <row r="883" spans="1:139" ht="29">
      <c r="A883" s="532"/>
      <c r="AR883" s="2513"/>
      <c r="BH883" s="2405">
        <v>7706729140</v>
      </c>
      <c r="BI883" s="2405" t="s">
        <v>4772</v>
      </c>
      <c r="BJ883" s="2466">
        <v>337</v>
      </c>
      <c r="BK883" s="530"/>
      <c r="BV883" s="3082" t="str">
        <f t="shared" si="14"/>
        <v/>
      </c>
      <c r="CT883" s="531"/>
      <c r="DA883" s="2558"/>
      <c r="EI883" s="2689" t="s">
        <v>11202</v>
      </c>
    </row>
    <row r="884" spans="1:139" ht="58">
      <c r="A884" s="532"/>
      <c r="AR884" s="2513"/>
      <c r="BH884" s="2406">
        <v>7706753898</v>
      </c>
      <c r="BI884" s="2409" t="s">
        <v>1987</v>
      </c>
      <c r="BJ884" s="2466">
        <v>229359</v>
      </c>
      <c r="BK884" s="530"/>
      <c r="BV884" s="3082" t="str">
        <f t="shared" si="14"/>
        <v/>
      </c>
      <c r="CT884" s="531"/>
      <c r="DA884" s="2558"/>
      <c r="EI884" s="2689" t="s">
        <v>11203</v>
      </c>
    </row>
    <row r="885" spans="1:139" ht="29">
      <c r="A885" s="532"/>
      <c r="AR885" s="2513"/>
      <c r="BH885" s="2406">
        <v>7707003506</v>
      </c>
      <c r="BI885" s="2409" t="s">
        <v>1977</v>
      </c>
      <c r="BJ885" s="2466">
        <v>134263</v>
      </c>
      <c r="BK885" s="530"/>
      <c r="BV885" s="3082" t="str">
        <f t="shared" si="14"/>
        <v/>
      </c>
      <c r="CT885" s="531"/>
      <c r="DA885" s="2558"/>
      <c r="EI885" s="2689" t="s">
        <v>11204</v>
      </c>
    </row>
    <row r="886" spans="1:139" ht="43.5">
      <c r="A886" s="532"/>
      <c r="AR886" s="2513"/>
      <c r="BH886" s="2406">
        <v>7707009586</v>
      </c>
      <c r="BI886" s="2409" t="s">
        <v>3614</v>
      </c>
      <c r="BJ886" s="2466">
        <v>203713</v>
      </c>
      <c r="BK886" s="530"/>
      <c r="BV886" s="3082" t="str">
        <f t="shared" si="14"/>
        <v/>
      </c>
      <c r="CT886" s="531"/>
      <c r="DA886" s="2558"/>
      <c r="EI886" s="2689" t="s">
        <v>11205</v>
      </c>
    </row>
    <row r="887" spans="1:139" ht="43.5">
      <c r="A887" s="532"/>
      <c r="AR887" s="2513"/>
      <c r="BH887" s="2406">
        <v>7707033405</v>
      </c>
      <c r="BI887" s="2409" t="s">
        <v>1985</v>
      </c>
      <c r="BJ887" s="2466">
        <v>154015</v>
      </c>
      <c r="BK887" s="530"/>
      <c r="BV887" s="3082" t="str">
        <f t="shared" si="14"/>
        <v/>
      </c>
      <c r="CT887" s="531"/>
      <c r="DA887" s="2558"/>
      <c r="EI887" s="2689" t="s">
        <v>11206</v>
      </c>
    </row>
    <row r="888" spans="1:139" ht="29">
      <c r="A888" s="532"/>
      <c r="AR888" s="2513"/>
      <c r="BH888" s="2406">
        <v>7707033677</v>
      </c>
      <c r="BI888" s="2409" t="s">
        <v>2049</v>
      </c>
      <c r="BJ888" s="2466">
        <v>99255</v>
      </c>
      <c r="BK888" s="530"/>
      <c r="BV888" s="3082" t="str">
        <f t="shared" si="14"/>
        <v/>
      </c>
      <c r="CT888" s="531"/>
      <c r="DA888" s="2558"/>
      <c r="EI888" s="2689" t="s">
        <v>11207</v>
      </c>
    </row>
    <row r="889" spans="1:139">
      <c r="A889" s="532"/>
      <c r="AR889" s="2513"/>
      <c r="BH889" s="2405">
        <v>7707050810</v>
      </c>
      <c r="BI889" s="2405" t="s">
        <v>6775</v>
      </c>
      <c r="BJ889" s="2466">
        <v>134298</v>
      </c>
      <c r="BK889" s="530"/>
      <c r="BV889" s="3082" t="str">
        <f t="shared" si="14"/>
        <v/>
      </c>
      <c r="CT889" s="531"/>
      <c r="DA889" s="2558"/>
      <c r="EI889" s="2689" t="s">
        <v>11208</v>
      </c>
    </row>
    <row r="890" spans="1:139" ht="43.5">
      <c r="A890" s="532"/>
      <c r="AR890" s="2513"/>
      <c r="BH890" s="2406">
        <v>7707056226</v>
      </c>
      <c r="BI890" s="2409" t="s">
        <v>202</v>
      </c>
      <c r="BJ890" s="2466">
        <v>323</v>
      </c>
      <c r="BK890" s="530"/>
      <c r="BV890" s="3082" t="str">
        <f t="shared" si="14"/>
        <v/>
      </c>
      <c r="CT890" s="531"/>
      <c r="DA890" s="2558"/>
      <c r="EI890" s="2689" t="s">
        <v>11209</v>
      </c>
    </row>
    <row r="891" spans="1:139" ht="29">
      <c r="A891" s="532"/>
      <c r="AR891" s="2513"/>
      <c r="BH891" s="2406">
        <v>7707074779</v>
      </c>
      <c r="BI891" s="2409" t="s">
        <v>1396</v>
      </c>
      <c r="BJ891" s="2466">
        <v>134308</v>
      </c>
      <c r="BK891" s="530"/>
      <c r="BV891" s="3082" t="str">
        <f t="shared" si="14"/>
        <v/>
      </c>
      <c r="CT891" s="531"/>
      <c r="DA891" s="2558"/>
      <c r="EI891" s="2689" t="s">
        <v>11210</v>
      </c>
    </row>
    <row r="892" spans="1:139" ht="72.5">
      <c r="A892" s="532"/>
      <c r="AR892" s="2513"/>
      <c r="BH892" s="2406">
        <v>7707081688</v>
      </c>
      <c r="BI892" s="2409" t="s">
        <v>1983</v>
      </c>
      <c r="BJ892" s="2466">
        <v>96914</v>
      </c>
      <c r="BK892" s="530"/>
      <c r="BV892" s="3082" t="str">
        <f t="shared" si="14"/>
        <v/>
      </c>
      <c r="CT892" s="531"/>
      <c r="DA892" s="2558"/>
      <c r="EI892" s="2689" t="s">
        <v>11211</v>
      </c>
    </row>
    <row r="893" spans="1:139" ht="72.5">
      <c r="A893" s="532"/>
      <c r="AR893" s="2513"/>
      <c r="BH893" s="2406">
        <v>7707083893</v>
      </c>
      <c r="BI893" s="2409" t="s">
        <v>2285</v>
      </c>
      <c r="BJ893" s="2569">
        <v>117797</v>
      </c>
      <c r="BK893" s="530"/>
      <c r="BV893" s="3082" t="str">
        <f t="shared" si="14"/>
        <v/>
      </c>
      <c r="CT893" s="531"/>
      <c r="DA893" s="2558"/>
      <c r="EI893" s="2689" t="s">
        <v>11212</v>
      </c>
    </row>
    <row r="894" spans="1:139" ht="72.5">
      <c r="A894" s="532"/>
      <c r="AR894" s="2513"/>
      <c r="BH894" s="2405">
        <v>7707274249</v>
      </c>
      <c r="BI894" s="2405" t="s">
        <v>6776</v>
      </c>
      <c r="BJ894" s="2466">
        <v>348007</v>
      </c>
      <c r="BK894" s="530"/>
      <c r="BV894" s="3082" t="str">
        <f t="shared" si="14"/>
        <v/>
      </c>
      <c r="CT894" s="531"/>
      <c r="DA894" s="2558"/>
      <c r="EI894" s="2689" t="s">
        <v>11213</v>
      </c>
    </row>
    <row r="895" spans="1:139" ht="43.5">
      <c r="A895" s="532"/>
      <c r="AR895" s="2513"/>
      <c r="BH895" s="2406">
        <v>7707284913</v>
      </c>
      <c r="BI895" s="2409" t="s">
        <v>3647</v>
      </c>
      <c r="BJ895" s="2466">
        <v>99071</v>
      </c>
      <c r="BK895" s="530"/>
      <c r="BV895" s="3082" t="str">
        <f t="shared" si="14"/>
        <v/>
      </c>
      <c r="CT895" s="531"/>
      <c r="DA895" s="2558"/>
      <c r="EI895" s="2689" t="s">
        <v>11214</v>
      </c>
    </row>
    <row r="896" spans="1:139" ht="43.5">
      <c r="A896" s="532"/>
      <c r="AR896" s="2513"/>
      <c r="BH896" s="2406">
        <v>7707291942</v>
      </c>
      <c r="BI896" s="2409" t="s">
        <v>1903</v>
      </c>
      <c r="BJ896" s="2466">
        <v>134634</v>
      </c>
      <c r="BK896" s="530"/>
      <c r="BV896" s="3082" t="str">
        <f t="shared" si="14"/>
        <v/>
      </c>
      <c r="CT896" s="531"/>
      <c r="DA896" s="2558"/>
      <c r="EI896" s="2689" t="s">
        <v>11215</v>
      </c>
    </row>
    <row r="897" spans="1:139" ht="72.5">
      <c r="A897" s="532"/>
      <c r="AR897" s="2513"/>
      <c r="BH897" s="2406">
        <v>7707299765</v>
      </c>
      <c r="BI897" s="2409" t="s">
        <v>3627</v>
      </c>
      <c r="BJ897" s="2466">
        <v>134641</v>
      </c>
      <c r="BK897" s="530"/>
      <c r="BV897" s="3082" t="str">
        <f t="shared" si="14"/>
        <v/>
      </c>
      <c r="CT897" s="531"/>
      <c r="DA897" s="2558"/>
      <c r="EI897" s="2689" t="s">
        <v>11216</v>
      </c>
    </row>
    <row r="898" spans="1:139" ht="130.5">
      <c r="A898" s="532"/>
      <c r="AR898" s="2513"/>
      <c r="BH898" s="2406">
        <v>7707311363</v>
      </c>
      <c r="BI898" s="2409" t="s">
        <v>3291</v>
      </c>
      <c r="BJ898" s="2466">
        <v>213519</v>
      </c>
      <c r="BK898" s="530"/>
      <c r="BV898" s="3082" t="str">
        <f t="shared" si="14"/>
        <v/>
      </c>
      <c r="CT898" s="531"/>
      <c r="DA898" s="2558"/>
      <c r="EI898" s="2689" t="s">
        <v>11217</v>
      </c>
    </row>
    <row r="899" spans="1:139" ht="58">
      <c r="A899" s="532"/>
      <c r="AR899" s="2513"/>
      <c r="BH899" s="2406">
        <v>7707515984</v>
      </c>
      <c r="BI899" s="2409" t="s">
        <v>133</v>
      </c>
      <c r="BJ899" s="2466">
        <v>134667</v>
      </c>
      <c r="BK899" s="530"/>
      <c r="BV899" s="3082" t="str">
        <f t="shared" si="14"/>
        <v/>
      </c>
      <c r="CT899" s="531"/>
      <c r="DA899" s="2558"/>
      <c r="EI899" s="2689" t="s">
        <v>11218</v>
      </c>
    </row>
    <row r="900" spans="1:139" ht="29">
      <c r="A900" s="532"/>
      <c r="AR900" s="2513"/>
      <c r="BH900" s="2408">
        <v>7707547295</v>
      </c>
      <c r="BI900" s="2409" t="s">
        <v>1877</v>
      </c>
      <c r="BJ900" s="2466">
        <v>134678</v>
      </c>
      <c r="BK900" s="530"/>
      <c r="BV900" s="3082" t="str">
        <f t="shared" si="14"/>
        <v/>
      </c>
      <c r="CT900" s="531"/>
      <c r="DA900" s="2558"/>
      <c r="EI900" s="2689" t="s">
        <v>11219</v>
      </c>
    </row>
    <row r="901" spans="1:139" ht="43.5">
      <c r="A901" s="532"/>
      <c r="AR901" s="2513"/>
      <c r="BH901" s="2406">
        <v>7707617584</v>
      </c>
      <c r="BI901" s="2409" t="s">
        <v>2577</v>
      </c>
      <c r="BJ901" s="2466">
        <v>213065</v>
      </c>
      <c r="BK901" s="530"/>
      <c r="BV901" s="3082" t="str">
        <f t="shared" si="14"/>
        <v/>
      </c>
      <c r="CT901" s="531"/>
      <c r="DA901" s="2558"/>
      <c r="EI901" s="2689" t="s">
        <v>11220</v>
      </c>
    </row>
    <row r="902" spans="1:139" ht="29">
      <c r="A902" s="532"/>
      <c r="AR902" s="2513"/>
      <c r="BH902" s="2406">
        <v>7707702783</v>
      </c>
      <c r="BI902" s="2409" t="s">
        <v>2682</v>
      </c>
      <c r="BJ902" s="2466">
        <v>173236</v>
      </c>
      <c r="BK902" s="530"/>
      <c r="BV902" s="3082" t="str">
        <f t="shared" si="14"/>
        <v/>
      </c>
      <c r="CT902" s="531"/>
      <c r="DA902" s="2558"/>
      <c r="EI902" s="2689" t="s">
        <v>11221</v>
      </c>
    </row>
    <row r="903" spans="1:139">
      <c r="A903" s="532"/>
      <c r="AR903" s="2513"/>
      <c r="BH903" s="2406">
        <v>7707724177</v>
      </c>
      <c r="BI903" s="2409" t="s">
        <v>1857</v>
      </c>
      <c r="BJ903" s="2466">
        <v>223173</v>
      </c>
      <c r="BK903" s="530"/>
      <c r="BV903" s="3082" t="str">
        <f t="shared" si="14"/>
        <v/>
      </c>
      <c r="CT903" s="531"/>
      <c r="DA903" s="2558"/>
      <c r="EI903" s="2689" t="s">
        <v>11222</v>
      </c>
    </row>
    <row r="904" spans="1:139">
      <c r="A904" s="532"/>
      <c r="AR904" s="2513"/>
      <c r="BH904" s="2406">
        <v>7707725195</v>
      </c>
      <c r="BI904" s="2409" t="s">
        <v>200</v>
      </c>
      <c r="BJ904" s="2466">
        <v>363</v>
      </c>
      <c r="BK904" s="530"/>
      <c r="BV904" s="3082" t="str">
        <f t="shared" si="14"/>
        <v/>
      </c>
      <c r="CT904" s="531"/>
      <c r="DA904" s="2558"/>
      <c r="EI904" s="2689" t="s">
        <v>11223</v>
      </c>
    </row>
    <row r="905" spans="1:139" ht="43.5">
      <c r="A905" s="532"/>
      <c r="AR905" s="2513"/>
      <c r="BH905" s="2406">
        <v>7708000882</v>
      </c>
      <c r="BI905" s="2409" t="s">
        <v>137</v>
      </c>
      <c r="BJ905" s="2466">
        <v>134701</v>
      </c>
      <c r="BK905" s="530"/>
      <c r="BV905" s="3082" t="str">
        <f t="shared" si="14"/>
        <v/>
      </c>
      <c r="CT905" s="531"/>
      <c r="DA905" s="2558"/>
      <c r="EI905" s="2689" t="s">
        <v>11224</v>
      </c>
    </row>
    <row r="906" spans="1:139" ht="72.5">
      <c r="A906" s="532"/>
      <c r="AR906" s="2513"/>
      <c r="BH906" s="2406">
        <v>7708034472</v>
      </c>
      <c r="BI906" s="2409" t="s">
        <v>1984</v>
      </c>
      <c r="BJ906" s="2466">
        <v>97338</v>
      </c>
      <c r="BK906" s="530"/>
      <c r="BV906" s="3082" t="str">
        <f t="shared" si="14"/>
        <v/>
      </c>
      <c r="CT906" s="531"/>
      <c r="DA906" s="2558"/>
      <c r="EI906" s="2689" t="s">
        <v>11225</v>
      </c>
    </row>
    <row r="907" spans="1:139" ht="58">
      <c r="A907" s="532"/>
      <c r="AR907" s="2513"/>
      <c r="BH907" s="2406">
        <v>7708055673</v>
      </c>
      <c r="BI907" s="2409" t="s">
        <v>2735</v>
      </c>
      <c r="BJ907" s="2466">
        <v>183021</v>
      </c>
      <c r="BK907" s="530"/>
      <c r="BV907" s="3082" t="str">
        <f t="shared" si="14"/>
        <v/>
      </c>
      <c r="CT907" s="531"/>
      <c r="DA907" s="2558"/>
      <c r="EI907" s="2689" t="s">
        <v>11226</v>
      </c>
    </row>
    <row r="908" spans="1:139" ht="43.5">
      <c r="A908" s="532"/>
      <c r="AR908" s="2513"/>
      <c r="BH908" s="2406">
        <v>7708071932</v>
      </c>
      <c r="BI908" s="2409" t="s">
        <v>165</v>
      </c>
      <c r="BJ908" s="2466">
        <v>134760</v>
      </c>
      <c r="BK908" s="530"/>
      <c r="BV908" s="3082" t="str">
        <f t="shared" si="14"/>
        <v/>
      </c>
      <c r="CT908" s="531"/>
      <c r="DA908" s="2558"/>
      <c r="EI908" s="2689" t="s">
        <v>11227</v>
      </c>
    </row>
    <row r="909" spans="1:139" ht="43.5">
      <c r="A909" s="532"/>
      <c r="AR909" s="2513"/>
      <c r="BH909" s="2406">
        <v>7708083600</v>
      </c>
      <c r="BI909" s="2409" t="s">
        <v>129</v>
      </c>
      <c r="BJ909" s="2466">
        <v>134763</v>
      </c>
      <c r="BK909" s="530"/>
      <c r="BV909" s="3082" t="str">
        <f t="shared" si="14"/>
        <v/>
      </c>
      <c r="CT909" s="531"/>
      <c r="DA909" s="2558"/>
      <c r="EI909" s="2689" t="s">
        <v>11228</v>
      </c>
    </row>
    <row r="910" spans="1:139" ht="43.5">
      <c r="A910" s="532"/>
      <c r="AR910" s="2513"/>
      <c r="BH910" s="2406">
        <v>7708093333</v>
      </c>
      <c r="BI910" s="2409" t="s">
        <v>3609</v>
      </c>
      <c r="BJ910" s="2466">
        <v>151039</v>
      </c>
      <c r="BK910" s="530"/>
      <c r="BV910" s="3082" t="str">
        <f t="shared" si="14"/>
        <v/>
      </c>
      <c r="CT910" s="531"/>
      <c r="DA910" s="2558"/>
      <c r="EI910" s="2689" t="s">
        <v>11229</v>
      </c>
    </row>
    <row r="911" spans="1:139" ht="29">
      <c r="A911" s="532"/>
      <c r="AR911" s="2513"/>
      <c r="BH911" s="2406">
        <v>7708129773</v>
      </c>
      <c r="BI911" s="2409" t="s">
        <v>2172</v>
      </c>
      <c r="BJ911" s="2466">
        <v>103216</v>
      </c>
      <c r="BK911" s="530"/>
      <c r="BV911" s="3082" t="str">
        <f t="shared" si="14"/>
        <v/>
      </c>
      <c r="CT911" s="531"/>
      <c r="DA911" s="2558"/>
      <c r="EI911" s="2689" t="s">
        <v>11230</v>
      </c>
    </row>
    <row r="912" spans="1:139" ht="72.5">
      <c r="A912" s="532"/>
      <c r="AR912" s="2513"/>
      <c r="BH912" s="2406">
        <v>7708235027</v>
      </c>
      <c r="BI912" s="2409" t="s">
        <v>469</v>
      </c>
      <c r="BJ912" s="2466">
        <v>255145</v>
      </c>
      <c r="BK912" s="530"/>
      <c r="BV912" s="3082" t="str">
        <f t="shared" si="14"/>
        <v/>
      </c>
      <c r="CT912" s="531"/>
      <c r="DA912" s="2558"/>
      <c r="EI912" s="2689" t="s">
        <v>11231</v>
      </c>
    </row>
    <row r="913" spans="1:139" ht="29">
      <c r="A913" s="532"/>
      <c r="AR913" s="2513"/>
      <c r="BH913" s="2406">
        <v>7708503727</v>
      </c>
      <c r="BI913" s="2409" t="s">
        <v>2372</v>
      </c>
      <c r="BJ913" s="2569">
        <v>154013</v>
      </c>
      <c r="BK913" s="530"/>
      <c r="BV913" s="3082" t="str">
        <f t="shared" si="14"/>
        <v/>
      </c>
      <c r="CT913" s="531"/>
      <c r="DA913" s="2558"/>
      <c r="EI913" s="2689" t="s">
        <v>11232</v>
      </c>
    </row>
    <row r="914" spans="1:139">
      <c r="A914" s="532"/>
      <c r="AR914" s="2513"/>
      <c r="BH914" s="2406">
        <v>7708514824</v>
      </c>
      <c r="BI914" s="2409" t="s">
        <v>2537</v>
      </c>
      <c r="BJ914" s="2466">
        <v>234058</v>
      </c>
      <c r="BK914" s="530"/>
      <c r="BV914" s="3082" t="str">
        <f t="shared" si="14"/>
        <v/>
      </c>
      <c r="CT914" s="531"/>
      <c r="DA914" s="2558"/>
      <c r="EI914" s="2689" t="s">
        <v>11233</v>
      </c>
    </row>
    <row r="915" spans="1:139">
      <c r="A915" s="532"/>
      <c r="AR915" s="2513"/>
      <c r="BH915" s="2406">
        <v>7708684311</v>
      </c>
      <c r="BI915" s="2409" t="s">
        <v>2749</v>
      </c>
      <c r="BJ915" s="2466">
        <v>134894</v>
      </c>
      <c r="BK915" s="530"/>
      <c r="BV915" s="3082" t="str">
        <f t="shared" si="14"/>
        <v/>
      </c>
      <c r="CT915" s="531"/>
      <c r="DA915" s="2558"/>
      <c r="EI915" s="2689" t="s">
        <v>11234</v>
      </c>
    </row>
    <row r="916" spans="1:139" ht="87">
      <c r="A916" s="532"/>
      <c r="AR916" s="2513"/>
      <c r="BH916" s="2406">
        <v>7709009084</v>
      </c>
      <c r="BI916" s="2409" t="s">
        <v>3552</v>
      </c>
      <c r="BJ916" s="2466">
        <v>98205</v>
      </c>
      <c r="BK916" s="530"/>
      <c r="BV916" s="3082" t="str">
        <f t="shared" si="14"/>
        <v/>
      </c>
      <c r="CT916" s="531"/>
      <c r="DA916" s="2558"/>
      <c r="EI916" s="2689" t="s">
        <v>11235</v>
      </c>
    </row>
    <row r="917" spans="1:139" ht="43.5">
      <c r="A917" s="532"/>
      <c r="AR917" s="2513"/>
      <c r="BH917" s="2406">
        <v>7709018297</v>
      </c>
      <c r="BI917" s="2409" t="s">
        <v>722</v>
      </c>
      <c r="BJ917" s="2466">
        <v>105995</v>
      </c>
      <c r="BK917" s="530"/>
      <c r="BV917" s="3082" t="str">
        <f t="shared" si="14"/>
        <v/>
      </c>
      <c r="CT917" s="531"/>
      <c r="DA917" s="2558"/>
      <c r="EI917" s="2689" t="s">
        <v>11236</v>
      </c>
    </row>
    <row r="918" spans="1:139" ht="72.5">
      <c r="A918" s="532"/>
      <c r="AR918" s="2513"/>
      <c r="BH918" s="2406">
        <v>7709019036</v>
      </c>
      <c r="BI918" s="2409" t="s">
        <v>3635</v>
      </c>
      <c r="BJ918" s="2466">
        <v>134905</v>
      </c>
      <c r="BK918" s="530"/>
      <c r="BV918" s="3082" t="str">
        <f t="shared" si="14"/>
        <v/>
      </c>
      <c r="CT918" s="531"/>
      <c r="DA918" s="2558"/>
      <c r="EI918" s="2689" t="s">
        <v>11237</v>
      </c>
    </row>
    <row r="919" spans="1:139" ht="43.5">
      <c r="A919" s="532"/>
      <c r="AR919" s="2513"/>
      <c r="BH919" s="2408">
        <v>9709004234</v>
      </c>
      <c r="BI919" s="2409" t="s">
        <v>7474</v>
      </c>
      <c r="BJ919" s="2466">
        <v>506182</v>
      </c>
      <c r="BK919" s="530"/>
      <c r="BV919" s="3082" t="str">
        <f t="shared" si="14"/>
        <v/>
      </c>
      <c r="CT919" s="531"/>
      <c r="DA919" s="2558"/>
      <c r="EI919" s="2689" t="s">
        <v>11238</v>
      </c>
    </row>
    <row r="920" spans="1:139" ht="29">
      <c r="A920" s="532"/>
      <c r="AR920" s="2513"/>
      <c r="BH920" s="2406">
        <v>7709359770</v>
      </c>
      <c r="BI920" s="2409" t="s">
        <v>2642</v>
      </c>
      <c r="BJ920" s="2466">
        <v>161363</v>
      </c>
      <c r="BK920" s="530"/>
      <c r="BV920" s="3082" t="str">
        <f t="shared" si="14"/>
        <v/>
      </c>
      <c r="CT920" s="531"/>
      <c r="DA920" s="2558"/>
      <c r="EI920" s="2689" t="s">
        <v>11239</v>
      </c>
    </row>
    <row r="921" spans="1:139">
      <c r="A921" s="532"/>
      <c r="AR921" s="2513"/>
      <c r="BH921" s="2406">
        <v>7709362162</v>
      </c>
      <c r="BI921" s="2409" t="s">
        <v>1893</v>
      </c>
      <c r="BJ921" s="2466">
        <v>149498</v>
      </c>
      <c r="BK921" s="530"/>
      <c r="BV921" s="3082" t="str">
        <f t="shared" si="14"/>
        <v/>
      </c>
      <c r="CT921" s="531"/>
      <c r="DA921" s="2558"/>
      <c r="EI921" s="2689" t="s">
        <v>11240</v>
      </c>
    </row>
    <row r="922" spans="1:139" ht="43.5">
      <c r="A922" s="532"/>
      <c r="AR922" s="2513"/>
      <c r="BH922" s="2406">
        <v>7709378229</v>
      </c>
      <c r="BI922" s="2409" t="s">
        <v>2428</v>
      </c>
      <c r="BJ922" s="2466">
        <v>135048</v>
      </c>
      <c r="BK922" s="530"/>
      <c r="BV922" s="3082" t="str">
        <f t="shared" si="14"/>
        <v/>
      </c>
      <c r="CT922" s="531"/>
      <c r="DA922" s="2558"/>
      <c r="EI922" s="2689" t="s">
        <v>11241</v>
      </c>
    </row>
    <row r="923" spans="1:139" ht="43.5">
      <c r="A923" s="532"/>
      <c r="AR923" s="2513"/>
      <c r="BH923" s="2406">
        <v>7709537408</v>
      </c>
      <c r="BI923" s="2409" t="s">
        <v>2748</v>
      </c>
      <c r="BJ923" s="2466">
        <v>221849</v>
      </c>
      <c r="BK923" s="530"/>
      <c r="BV923" s="3082" t="str">
        <f t="shared" si="14"/>
        <v/>
      </c>
      <c r="CT923" s="531"/>
      <c r="DA923" s="2558"/>
      <c r="EI923" s="2689" t="s">
        <v>11242</v>
      </c>
    </row>
    <row r="924" spans="1:139" ht="58">
      <c r="A924" s="532"/>
      <c r="AR924" s="2513"/>
      <c r="BH924" s="2406">
        <v>7709561778</v>
      </c>
      <c r="BI924" s="2409" t="s">
        <v>1921</v>
      </c>
      <c r="BJ924" s="2466">
        <v>151113</v>
      </c>
      <c r="BK924" s="530"/>
      <c r="BV924" s="3082" t="str">
        <f t="shared" si="14"/>
        <v/>
      </c>
      <c r="CT924" s="531"/>
      <c r="DA924" s="2558"/>
      <c r="EI924" s="2689" t="s">
        <v>11243</v>
      </c>
    </row>
    <row r="925" spans="1:139" ht="29">
      <c r="A925" s="532"/>
      <c r="AR925" s="2513"/>
      <c r="BH925" s="2406">
        <v>7709594290</v>
      </c>
      <c r="BI925" s="2409" t="s">
        <v>2693</v>
      </c>
      <c r="BJ925" s="2466">
        <v>98570</v>
      </c>
      <c r="BK925" s="530"/>
      <c r="BV925" s="3082" t="str">
        <f t="shared" si="14"/>
        <v/>
      </c>
      <c r="CT925" s="531"/>
      <c r="DA925" s="2558"/>
      <c r="EI925" s="2689" t="s">
        <v>11244</v>
      </c>
    </row>
    <row r="926" spans="1:139">
      <c r="A926" s="532"/>
      <c r="AR926" s="2513"/>
      <c r="BH926" s="2405">
        <v>7709733339</v>
      </c>
      <c r="BI926" s="2405" t="s">
        <v>2912</v>
      </c>
      <c r="BJ926" s="2466">
        <v>345</v>
      </c>
      <c r="BK926" s="530"/>
      <c r="BV926" s="3082" t="str">
        <f t="shared" si="14"/>
        <v/>
      </c>
      <c r="CT926" s="531"/>
      <c r="DA926" s="2558"/>
      <c r="EI926" s="2689" t="s">
        <v>11245</v>
      </c>
    </row>
    <row r="927" spans="1:139" ht="29">
      <c r="A927" s="532"/>
      <c r="AR927" s="2513"/>
      <c r="BH927" s="2406">
        <v>7709838099</v>
      </c>
      <c r="BI927" s="2409" t="s">
        <v>2694</v>
      </c>
      <c r="BJ927" s="2466">
        <v>258389</v>
      </c>
      <c r="BK927" s="530"/>
      <c r="BV927" s="3082" t="str">
        <f t="shared" si="14"/>
        <v/>
      </c>
      <c r="CT927" s="531"/>
      <c r="DA927" s="2558"/>
      <c r="EI927" s="2689" t="s">
        <v>11246</v>
      </c>
    </row>
    <row r="928" spans="1:139" ht="58">
      <c r="A928" s="532"/>
      <c r="AR928" s="2513"/>
      <c r="BH928" s="2406">
        <v>7709840732</v>
      </c>
      <c r="BI928" s="2409" t="s">
        <v>2601</v>
      </c>
      <c r="BJ928" s="2466">
        <v>270925</v>
      </c>
      <c r="BK928" s="530"/>
      <c r="BV928" s="3082" t="str">
        <f t="shared" si="14"/>
        <v/>
      </c>
      <c r="CT928" s="531"/>
      <c r="DA928" s="2558"/>
      <c r="EI928" s="2689" t="s">
        <v>11247</v>
      </c>
    </row>
    <row r="929" spans="1:139" ht="43.5">
      <c r="A929" s="532"/>
      <c r="AR929" s="2513"/>
      <c r="BH929" s="2406">
        <v>7710026920</v>
      </c>
      <c r="BI929" s="2409" t="s">
        <v>1955</v>
      </c>
      <c r="BJ929" s="2466">
        <v>150848</v>
      </c>
      <c r="BK929" s="530"/>
      <c r="BV929" s="3082" t="str">
        <f t="shared" si="14"/>
        <v/>
      </c>
      <c r="CT929" s="531"/>
      <c r="DA929" s="2558"/>
      <c r="EI929" s="2689" t="s">
        <v>11248</v>
      </c>
    </row>
    <row r="930" spans="1:139" ht="29">
      <c r="A930" s="532"/>
      <c r="AR930" s="2513"/>
      <c r="BH930" s="2406">
        <v>7710064763</v>
      </c>
      <c r="BI930" s="2409" t="s">
        <v>2741</v>
      </c>
      <c r="BJ930" s="2466">
        <v>203693</v>
      </c>
      <c r="BK930" s="530"/>
      <c r="BV930" s="3082" t="str">
        <f t="shared" si="14"/>
        <v/>
      </c>
      <c r="CT930" s="531"/>
      <c r="DA930" s="2558"/>
      <c r="EI930" s="2689" t="s">
        <v>11249</v>
      </c>
    </row>
    <row r="931" spans="1:139" ht="43.5">
      <c r="A931" s="532"/>
      <c r="AR931" s="2513"/>
      <c r="BH931" s="2406">
        <v>7710207002</v>
      </c>
      <c r="BI931" s="2409" t="s">
        <v>1505</v>
      </c>
      <c r="BJ931" s="2466">
        <v>285720</v>
      </c>
      <c r="BK931" s="530"/>
      <c r="BV931" s="3082" t="str">
        <f t="shared" si="14"/>
        <v/>
      </c>
      <c r="CT931" s="531"/>
      <c r="DA931" s="2558"/>
      <c r="EI931" s="2689" t="s">
        <v>11250</v>
      </c>
    </row>
    <row r="932" spans="1:139" ht="29">
      <c r="A932" s="532"/>
      <c r="AR932" s="2513"/>
      <c r="BH932" s="2405">
        <v>7710308586</v>
      </c>
      <c r="BI932" s="2405" t="s">
        <v>6736</v>
      </c>
      <c r="BJ932" s="2466">
        <v>480658</v>
      </c>
      <c r="BK932" s="530"/>
      <c r="BV932" s="3082" t="str">
        <f t="shared" si="14"/>
        <v/>
      </c>
      <c r="CT932" s="531"/>
      <c r="DA932" s="2558"/>
      <c r="EI932" s="2689" t="s">
        <v>11251</v>
      </c>
    </row>
    <row r="933" spans="1:139" ht="43.5">
      <c r="A933" s="532"/>
      <c r="AR933" s="2513"/>
      <c r="BH933" s="2406">
        <v>7710474216</v>
      </c>
      <c r="BI933" s="2409" t="s">
        <v>1532</v>
      </c>
      <c r="BJ933" s="2466">
        <v>205387</v>
      </c>
      <c r="BK933" s="530"/>
      <c r="BV933" s="3082" t="str">
        <f t="shared" si="14"/>
        <v/>
      </c>
      <c r="CT933" s="531"/>
      <c r="DA933" s="2558"/>
      <c r="EI933" s="2689" t="s">
        <v>11252</v>
      </c>
    </row>
    <row r="934" spans="1:139" ht="43.5">
      <c r="A934" s="532"/>
      <c r="AR934" s="2513"/>
      <c r="BH934" s="2406">
        <v>7710514003</v>
      </c>
      <c r="BI934" s="2409" t="s">
        <v>2606</v>
      </c>
      <c r="BJ934" s="2466">
        <v>227448</v>
      </c>
      <c r="BK934" s="530"/>
      <c r="BV934" s="3082" t="str">
        <f t="shared" si="14"/>
        <v/>
      </c>
      <c r="CT934" s="531"/>
      <c r="DA934" s="2558"/>
      <c r="EI934" s="2689" t="s">
        <v>11253</v>
      </c>
    </row>
    <row r="935" spans="1:139" ht="43.5">
      <c r="A935" s="532"/>
      <c r="AR935" s="2513"/>
      <c r="BH935" s="2406">
        <v>7710539135</v>
      </c>
      <c r="BI935" s="2409" t="s">
        <v>2362</v>
      </c>
      <c r="BJ935" s="2466">
        <v>97016</v>
      </c>
      <c r="BK935" s="530"/>
      <c r="BV935" s="3082" t="str">
        <f t="shared" si="14"/>
        <v/>
      </c>
      <c r="CT935" s="531"/>
      <c r="DA935" s="2558"/>
      <c r="EI935" s="2689" t="s">
        <v>11254</v>
      </c>
    </row>
    <row r="936" spans="1:139" ht="29">
      <c r="A936" s="532"/>
      <c r="AR936" s="2513"/>
      <c r="BH936" s="2406">
        <v>7710549038</v>
      </c>
      <c r="BI936" s="2409" t="s">
        <v>1919</v>
      </c>
      <c r="BJ936" s="2466">
        <v>135399</v>
      </c>
      <c r="BK936" s="530"/>
      <c r="BV936" s="3082" t="str">
        <f t="shared" si="14"/>
        <v/>
      </c>
      <c r="CT936" s="531"/>
      <c r="DA936" s="2558"/>
      <c r="EI936" s="2689" t="s">
        <v>11255</v>
      </c>
    </row>
    <row r="937" spans="1:139">
      <c r="A937" s="532"/>
      <c r="AR937" s="2513"/>
      <c r="BH937" s="2406">
        <v>7710868235</v>
      </c>
      <c r="BI937" s="2409" t="s">
        <v>3625</v>
      </c>
      <c r="BJ937" s="2466">
        <v>208325</v>
      </c>
      <c r="BK937" s="530"/>
      <c r="BV937" s="3082" t="str">
        <f t="shared" si="14"/>
        <v/>
      </c>
      <c r="CT937" s="531"/>
      <c r="DA937" s="2558"/>
      <c r="EI937" s="2689" t="s">
        <v>11256</v>
      </c>
    </row>
    <row r="938" spans="1:139" ht="43.5">
      <c r="A938" s="532"/>
      <c r="AR938" s="2513"/>
      <c r="BH938" s="2406">
        <v>7710879533</v>
      </c>
      <c r="BI938" s="2409" t="s">
        <v>2621</v>
      </c>
      <c r="BJ938" s="2466">
        <v>285631</v>
      </c>
      <c r="BK938" s="530"/>
      <c r="BV938" s="3082" t="str">
        <f t="shared" si="14"/>
        <v/>
      </c>
      <c r="CT938" s="531"/>
      <c r="DA938" s="2558"/>
      <c r="EI938" s="2689" t="s">
        <v>11257</v>
      </c>
    </row>
    <row r="939" spans="1:139">
      <c r="A939" s="532"/>
      <c r="AR939" s="2513"/>
      <c r="BH939" s="2406">
        <v>7711007101</v>
      </c>
      <c r="BI939" s="2409" t="s">
        <v>2408</v>
      </c>
      <c r="BJ939" s="2466">
        <v>226137</v>
      </c>
      <c r="BK939" s="530"/>
      <c r="BV939" s="3082" t="str">
        <f t="shared" ref="BV939:BV1002" si="15">CONCATENATE(LEFT(BU939,8),RIGHT(BU939,9))</f>
        <v/>
      </c>
      <c r="CT939" s="531"/>
      <c r="DA939" s="2558"/>
      <c r="EI939" s="2689" t="s">
        <v>11258</v>
      </c>
    </row>
    <row r="940" spans="1:139" ht="29">
      <c r="A940" s="532"/>
      <c r="AR940" s="2513"/>
      <c r="BH940" s="2406">
        <v>7713034630</v>
      </c>
      <c r="BI940" s="2409" t="s">
        <v>3650</v>
      </c>
      <c r="BJ940" s="2466">
        <v>97143</v>
      </c>
      <c r="BK940" s="530"/>
      <c r="BV940" s="3082" t="str">
        <f t="shared" si="15"/>
        <v/>
      </c>
      <c r="CT940" s="531"/>
      <c r="DA940" s="2558"/>
      <c r="EI940" s="2689" t="s">
        <v>11259</v>
      </c>
    </row>
    <row r="941" spans="1:139" ht="29">
      <c r="A941" s="532"/>
      <c r="AR941" s="2513"/>
      <c r="BH941" s="2406">
        <v>7713249530</v>
      </c>
      <c r="BI941" s="2409" t="s">
        <v>2622</v>
      </c>
      <c r="BJ941" s="2466">
        <v>227543</v>
      </c>
      <c r="BK941" s="530"/>
      <c r="BV941" s="3082" t="str">
        <f t="shared" si="15"/>
        <v/>
      </c>
      <c r="CT941" s="531"/>
      <c r="DA941" s="2558"/>
      <c r="EI941" s="2689" t="s">
        <v>11260</v>
      </c>
    </row>
    <row r="942" spans="1:139" ht="29">
      <c r="A942" s="532"/>
      <c r="AR942" s="2513"/>
      <c r="BH942" s="2406">
        <v>7713612922</v>
      </c>
      <c r="BI942" s="2409" t="s">
        <v>2399</v>
      </c>
      <c r="BJ942" s="2466">
        <v>267145</v>
      </c>
      <c r="BK942" s="530"/>
      <c r="BV942" s="3082" t="str">
        <f t="shared" si="15"/>
        <v/>
      </c>
      <c r="CT942" s="531"/>
      <c r="DA942" s="2558"/>
      <c r="EI942" s="2689" t="s">
        <v>11261</v>
      </c>
    </row>
    <row r="943" spans="1:139" ht="29">
      <c r="A943" s="532"/>
      <c r="AR943" s="2513"/>
      <c r="BH943" s="2406">
        <v>7713634732</v>
      </c>
      <c r="BI943" s="2409" t="s">
        <v>2479</v>
      </c>
      <c r="BJ943" s="2466">
        <v>182618</v>
      </c>
      <c r="BK943" s="530"/>
      <c r="BV943" s="3082" t="str">
        <f t="shared" si="15"/>
        <v/>
      </c>
      <c r="CT943" s="531"/>
      <c r="DA943" s="2558"/>
      <c r="EI943" s="2689" t="s">
        <v>11262</v>
      </c>
    </row>
    <row r="944" spans="1:139" ht="43.5">
      <c r="A944" s="532"/>
      <c r="AR944" s="2513"/>
      <c r="BH944" s="2406">
        <v>7713658483</v>
      </c>
      <c r="BI944" s="2409" t="s">
        <v>3288</v>
      </c>
      <c r="BJ944" s="2466">
        <v>116986</v>
      </c>
      <c r="BK944" s="530"/>
      <c r="BV944" s="3082" t="str">
        <f t="shared" si="15"/>
        <v/>
      </c>
      <c r="CT944" s="531"/>
      <c r="DA944" s="2558"/>
      <c r="EI944" s="2689" t="s">
        <v>11263</v>
      </c>
    </row>
    <row r="945" spans="1:139" ht="43.5">
      <c r="A945" s="532"/>
      <c r="AR945" s="2513"/>
      <c r="BH945" s="2406">
        <v>7713686882</v>
      </c>
      <c r="BI945" s="2409" t="s">
        <v>1882</v>
      </c>
      <c r="BJ945" s="2466">
        <v>190299</v>
      </c>
      <c r="BK945" s="530"/>
      <c r="BV945" s="3082" t="str">
        <f t="shared" si="15"/>
        <v/>
      </c>
      <c r="CT945" s="531"/>
      <c r="DA945" s="2558"/>
      <c r="EI945" s="2689" t="s">
        <v>11264</v>
      </c>
    </row>
    <row r="946" spans="1:139" ht="43.5">
      <c r="A946" s="532"/>
      <c r="AR946" s="2513"/>
      <c r="BH946" s="2406">
        <v>7714010896</v>
      </c>
      <c r="BI946" s="2409" t="s">
        <v>3593</v>
      </c>
      <c r="BJ946" s="2466">
        <v>179432</v>
      </c>
      <c r="BK946" s="530"/>
      <c r="BV946" s="3082" t="str">
        <f t="shared" si="15"/>
        <v/>
      </c>
      <c r="CT946" s="531"/>
      <c r="DA946" s="2558"/>
      <c r="EI946" s="2689" t="s">
        <v>11265</v>
      </c>
    </row>
    <row r="947" spans="1:139" ht="43.5">
      <c r="A947" s="532"/>
      <c r="AR947" s="2513"/>
      <c r="BH947" s="2406">
        <v>7714016520</v>
      </c>
      <c r="BI947" s="2409" t="s">
        <v>3610</v>
      </c>
      <c r="BJ947" s="2466">
        <v>188010</v>
      </c>
      <c r="BK947" s="530"/>
      <c r="BV947" s="3082" t="str">
        <f t="shared" si="15"/>
        <v/>
      </c>
      <c r="CT947" s="531"/>
      <c r="DA947" s="2558"/>
      <c r="EI947" s="2689" t="s">
        <v>11266</v>
      </c>
    </row>
    <row r="948" spans="1:139" ht="58">
      <c r="A948" s="532"/>
      <c r="AR948" s="2513"/>
      <c r="BH948" s="2406">
        <v>7714024842</v>
      </c>
      <c r="BI948" s="2409" t="s">
        <v>1909</v>
      </c>
      <c r="BJ948" s="2466">
        <v>106050</v>
      </c>
      <c r="BK948" s="530"/>
      <c r="BV948" s="3082" t="str">
        <f t="shared" si="15"/>
        <v/>
      </c>
      <c r="CT948" s="531"/>
      <c r="DA948" s="2558"/>
      <c r="EI948" s="2689" t="s">
        <v>11267</v>
      </c>
    </row>
    <row r="949" spans="1:139" ht="72.5">
      <c r="A949" s="532"/>
      <c r="AR949" s="2513"/>
      <c r="BH949" s="2406">
        <v>7714030726</v>
      </c>
      <c r="BI949" s="2409" t="s">
        <v>136</v>
      </c>
      <c r="BJ949" s="2466">
        <v>135691</v>
      </c>
      <c r="BK949" s="530"/>
      <c r="BV949" s="3082" t="str">
        <f t="shared" si="15"/>
        <v/>
      </c>
      <c r="CT949" s="531"/>
      <c r="DA949" s="2558"/>
      <c r="EI949" s="2689" t="s">
        <v>11268</v>
      </c>
    </row>
    <row r="950" spans="1:139">
      <c r="A950" s="532"/>
      <c r="AR950" s="2513"/>
      <c r="BH950" s="2406">
        <v>7714072839</v>
      </c>
      <c r="BI950" s="2409" t="s">
        <v>2300</v>
      </c>
      <c r="BJ950" s="2466">
        <v>97629</v>
      </c>
      <c r="BK950" s="530"/>
      <c r="BV950" s="3082" t="str">
        <f t="shared" si="15"/>
        <v/>
      </c>
      <c r="CT950" s="531"/>
      <c r="DA950" s="2558"/>
      <c r="EI950" s="2689" t="s">
        <v>11269</v>
      </c>
    </row>
    <row r="951" spans="1:139" ht="29">
      <c r="A951" s="532"/>
      <c r="AR951" s="2513"/>
      <c r="BH951" s="2406">
        <v>7714099911</v>
      </c>
      <c r="BI951" s="2409" t="s">
        <v>139</v>
      </c>
      <c r="BJ951" s="2466">
        <v>228550</v>
      </c>
      <c r="BK951" s="530"/>
      <c r="BV951" s="3082" t="str">
        <f t="shared" si="15"/>
        <v/>
      </c>
      <c r="CT951" s="531"/>
      <c r="DA951" s="2558"/>
      <c r="EI951" s="2689" t="s">
        <v>11270</v>
      </c>
    </row>
    <row r="952" spans="1:139" ht="29">
      <c r="A952" s="532"/>
      <c r="AR952" s="2513"/>
      <c r="BH952" s="2406">
        <v>7714162264</v>
      </c>
      <c r="BI952" s="2409" t="s">
        <v>1935</v>
      </c>
      <c r="BJ952" s="2466">
        <v>239082</v>
      </c>
      <c r="BK952" s="530"/>
      <c r="BV952" s="3082" t="str">
        <f t="shared" si="15"/>
        <v/>
      </c>
      <c r="CT952" s="531"/>
      <c r="DA952" s="2558"/>
      <c r="EI952" s="2689" t="s">
        <v>11271</v>
      </c>
    </row>
    <row r="953" spans="1:139" ht="43.5">
      <c r="A953" s="532"/>
      <c r="AR953" s="2513"/>
      <c r="BH953" s="2406">
        <v>7714268461</v>
      </c>
      <c r="BI953" s="2409" t="s">
        <v>1918</v>
      </c>
      <c r="BJ953" s="2466">
        <v>238996</v>
      </c>
      <c r="BK953" s="530"/>
      <c r="BV953" s="3082" t="str">
        <f t="shared" si="15"/>
        <v/>
      </c>
      <c r="CT953" s="531"/>
      <c r="DA953" s="2558"/>
      <c r="EI953" s="2689" t="s">
        <v>11272</v>
      </c>
    </row>
    <row r="954" spans="1:139" ht="43.5">
      <c r="A954" s="532"/>
      <c r="AR954" s="2513"/>
      <c r="BH954" s="2406">
        <v>7714685881</v>
      </c>
      <c r="BI954" s="2409" t="s">
        <v>2192</v>
      </c>
      <c r="BJ954" s="2466">
        <v>142621</v>
      </c>
      <c r="BK954" s="530"/>
      <c r="BV954" s="3082" t="str">
        <f t="shared" si="15"/>
        <v/>
      </c>
      <c r="CT954" s="531"/>
      <c r="DA954" s="2558"/>
      <c r="EI954" s="2689" t="s">
        <v>11273</v>
      </c>
    </row>
    <row r="955" spans="1:139" ht="29">
      <c r="A955" s="532"/>
      <c r="AR955" s="2513"/>
      <c r="BH955" s="2406">
        <v>7714755722</v>
      </c>
      <c r="BI955" s="2409" t="s">
        <v>2602</v>
      </c>
      <c r="BJ955" s="2466">
        <v>168214</v>
      </c>
      <c r="BK955" s="530"/>
      <c r="BV955" s="3082" t="str">
        <f t="shared" si="15"/>
        <v/>
      </c>
      <c r="CT955" s="531"/>
      <c r="DA955" s="2558"/>
      <c r="EI955" s="2689" t="s">
        <v>11274</v>
      </c>
    </row>
    <row r="956" spans="1:139">
      <c r="A956" s="532"/>
      <c r="AR956" s="2513"/>
      <c r="BH956" s="2406">
        <v>7714781842</v>
      </c>
      <c r="BI956" s="2409" t="s">
        <v>2403</v>
      </c>
      <c r="BJ956" s="2466">
        <v>244413</v>
      </c>
      <c r="BK956" s="530"/>
      <c r="BV956" s="3082" t="str">
        <f t="shared" si="15"/>
        <v/>
      </c>
      <c r="CT956" s="531"/>
      <c r="DA956" s="2558"/>
      <c r="EI956" s="2689" t="s">
        <v>11275</v>
      </c>
    </row>
    <row r="957" spans="1:139" ht="58">
      <c r="A957" s="532"/>
      <c r="AR957" s="2513"/>
      <c r="BH957" s="2406">
        <v>7714783092</v>
      </c>
      <c r="BI957" s="2409" t="s">
        <v>2279</v>
      </c>
      <c r="BJ957" s="2466">
        <v>244416</v>
      </c>
      <c r="BK957" s="530"/>
      <c r="BV957" s="3082" t="str">
        <f t="shared" si="15"/>
        <v/>
      </c>
      <c r="CT957" s="531"/>
      <c r="DA957" s="2558"/>
      <c r="EI957" s="2689" t="s">
        <v>11276</v>
      </c>
    </row>
    <row r="958" spans="1:139">
      <c r="A958" s="532"/>
      <c r="AR958" s="2513"/>
      <c r="BH958" s="2406">
        <v>7714792731</v>
      </c>
      <c r="BI958" s="2409" t="s">
        <v>3608</v>
      </c>
      <c r="BJ958" s="2466">
        <v>145507</v>
      </c>
      <c r="BK958" s="530"/>
      <c r="BV958" s="3082" t="str">
        <f t="shared" si="15"/>
        <v/>
      </c>
      <c r="CT958" s="531"/>
      <c r="DA958" s="2558"/>
      <c r="EI958" s="2689" t="s">
        <v>11277</v>
      </c>
    </row>
    <row r="959" spans="1:139" ht="58">
      <c r="A959" s="532"/>
      <c r="AR959" s="2513"/>
      <c r="BH959" s="2406">
        <v>7715027275</v>
      </c>
      <c r="BI959" s="2409" t="s">
        <v>2419</v>
      </c>
      <c r="BJ959" s="2466">
        <v>135872</v>
      </c>
      <c r="BK959" s="530"/>
      <c r="BV959" s="3082" t="str">
        <f t="shared" si="15"/>
        <v/>
      </c>
      <c r="CT959" s="531"/>
      <c r="DA959" s="2558"/>
      <c r="EI959" s="2689" t="s">
        <v>11278</v>
      </c>
    </row>
    <row r="960" spans="1:139" ht="29">
      <c r="A960" s="532"/>
      <c r="AR960" s="2513"/>
      <c r="BH960" s="2406">
        <v>7715852574</v>
      </c>
      <c r="BI960" s="2409" t="s">
        <v>2677</v>
      </c>
      <c r="BJ960" s="2466">
        <v>227905</v>
      </c>
      <c r="BK960" s="530"/>
      <c r="BV960" s="3082" t="str">
        <f t="shared" si="15"/>
        <v/>
      </c>
      <c r="CT960" s="531"/>
      <c r="DA960" s="2558"/>
      <c r="EI960" s="2689" t="s">
        <v>11279</v>
      </c>
    </row>
    <row r="961" spans="1:139" ht="43.5">
      <c r="A961" s="532"/>
      <c r="AR961" s="2513"/>
      <c r="BH961" s="2406">
        <v>7716082409</v>
      </c>
      <c r="BI961" s="2409" t="s">
        <v>1547</v>
      </c>
      <c r="BJ961" s="2466">
        <v>298746</v>
      </c>
      <c r="BK961" s="530"/>
      <c r="BV961" s="3082" t="str">
        <f t="shared" si="15"/>
        <v/>
      </c>
      <c r="CT961" s="531"/>
      <c r="DA961" s="2558"/>
      <c r="EI961" s="2689" t="s">
        <v>11280</v>
      </c>
    </row>
    <row r="962" spans="1:139" ht="43.5">
      <c r="A962" s="532"/>
      <c r="AR962" s="2513"/>
      <c r="BH962" s="2406">
        <v>7716156555</v>
      </c>
      <c r="BI962" s="2409" t="s">
        <v>2726</v>
      </c>
      <c r="BJ962" s="2466">
        <v>221720</v>
      </c>
      <c r="BK962" s="530"/>
      <c r="BV962" s="3082" t="str">
        <f t="shared" si="15"/>
        <v/>
      </c>
      <c r="CT962" s="531"/>
      <c r="DA962" s="2558"/>
      <c r="EI962" s="2689" t="s">
        <v>11281</v>
      </c>
    </row>
    <row r="963" spans="1:139">
      <c r="A963" s="532"/>
      <c r="AR963" s="2513"/>
      <c r="BH963" s="2406">
        <v>7716511464</v>
      </c>
      <c r="BI963" s="2409" t="s">
        <v>2421</v>
      </c>
      <c r="BJ963" s="2466">
        <v>191301</v>
      </c>
      <c r="BK963" s="530"/>
      <c r="BV963" s="3082" t="str">
        <f t="shared" si="15"/>
        <v/>
      </c>
      <c r="CT963" s="531"/>
      <c r="DA963" s="2558"/>
      <c r="EI963" s="2689" t="s">
        <v>11282</v>
      </c>
    </row>
    <row r="964" spans="1:139" ht="43.5">
      <c r="A964" s="532"/>
      <c r="AR964" s="2513"/>
      <c r="BH964" s="2406">
        <v>7716529550</v>
      </c>
      <c r="BI964" s="2409" t="s">
        <v>2718</v>
      </c>
      <c r="BJ964" s="2466">
        <v>222991</v>
      </c>
      <c r="BK964" s="530"/>
      <c r="BV964" s="3082" t="str">
        <f t="shared" si="15"/>
        <v/>
      </c>
      <c r="CT964" s="531"/>
      <c r="DA964" s="2558"/>
      <c r="EI964" s="2689" t="s">
        <v>11283</v>
      </c>
    </row>
    <row r="965" spans="1:139" ht="29">
      <c r="A965" s="532"/>
      <c r="AR965" s="2513"/>
      <c r="BH965" s="2406">
        <v>7716529711</v>
      </c>
      <c r="BI965" s="2409" t="s">
        <v>2414</v>
      </c>
      <c r="BJ965" s="2466">
        <v>258385</v>
      </c>
      <c r="BK965" s="530"/>
      <c r="BV965" s="3082" t="str">
        <f t="shared" si="15"/>
        <v/>
      </c>
      <c r="CT965" s="531"/>
      <c r="DA965" s="2558"/>
      <c r="EI965" s="2689" t="s">
        <v>11284</v>
      </c>
    </row>
    <row r="966" spans="1:139" ht="43.5">
      <c r="A966" s="532"/>
      <c r="AR966" s="2513"/>
      <c r="BH966" s="2406">
        <v>7716597711</v>
      </c>
      <c r="BI966" s="2409" t="s">
        <v>2753</v>
      </c>
      <c r="BJ966" s="2466">
        <v>258308</v>
      </c>
      <c r="BK966" s="530"/>
      <c r="BV966" s="3082" t="str">
        <f t="shared" si="15"/>
        <v/>
      </c>
      <c r="CT966" s="531"/>
      <c r="DA966" s="2558"/>
      <c r="EI966" s="2689" t="s">
        <v>11285</v>
      </c>
    </row>
    <row r="967" spans="1:139" ht="43.5">
      <c r="A967" s="532"/>
      <c r="AR967" s="2513"/>
      <c r="BH967" s="2406">
        <v>7716674645</v>
      </c>
      <c r="BI967" s="2409" t="s">
        <v>3120</v>
      </c>
      <c r="BJ967" s="2466">
        <v>276897</v>
      </c>
      <c r="BK967" s="530"/>
      <c r="BV967" s="3082" t="str">
        <f t="shared" si="15"/>
        <v/>
      </c>
      <c r="CT967" s="531"/>
      <c r="DA967" s="2558"/>
      <c r="EI967" s="2689" t="s">
        <v>11286</v>
      </c>
    </row>
    <row r="968" spans="1:139" ht="43.5">
      <c r="A968" s="532"/>
      <c r="AR968" s="2513"/>
      <c r="BH968" s="2406">
        <v>7717043113</v>
      </c>
      <c r="BI968" s="2409" t="s">
        <v>2539</v>
      </c>
      <c r="BJ968" s="2466">
        <v>98651</v>
      </c>
      <c r="BK968" s="530"/>
      <c r="BV968" s="3082" t="str">
        <f t="shared" si="15"/>
        <v/>
      </c>
      <c r="CT968" s="531"/>
      <c r="DA968" s="2558"/>
      <c r="EI968" s="2689" t="s">
        <v>11287</v>
      </c>
    </row>
    <row r="969" spans="1:139" ht="43.5">
      <c r="A969" s="532"/>
      <c r="AR969" s="2513"/>
      <c r="BH969" s="2406">
        <v>7718084994</v>
      </c>
      <c r="BI969" s="2409" t="s">
        <v>121</v>
      </c>
      <c r="BJ969" s="2466">
        <v>136256</v>
      </c>
      <c r="BK969" s="530"/>
      <c r="BV969" s="3082" t="str">
        <f t="shared" si="15"/>
        <v/>
      </c>
      <c r="CT969" s="531"/>
      <c r="DA969" s="2558"/>
      <c r="EI969" s="2689" t="s">
        <v>11288</v>
      </c>
    </row>
    <row r="970" spans="1:139">
      <c r="A970" s="532"/>
      <c r="AR970" s="2513"/>
      <c r="BH970" s="2406">
        <v>7718108733</v>
      </c>
      <c r="BI970" s="2409" t="s">
        <v>2036</v>
      </c>
      <c r="BJ970" s="2466">
        <v>190620</v>
      </c>
      <c r="BK970" s="530"/>
      <c r="BV970" s="3082" t="str">
        <f t="shared" si="15"/>
        <v/>
      </c>
      <c r="CT970" s="531"/>
      <c r="DA970" s="2558"/>
      <c r="EI970" s="2689" t="s">
        <v>11289</v>
      </c>
    </row>
    <row r="971" spans="1:139" ht="43.5">
      <c r="A971" s="532"/>
      <c r="AR971" s="2513"/>
      <c r="BH971" s="2405">
        <v>7718160684</v>
      </c>
      <c r="BI971" s="2405" t="s">
        <v>46</v>
      </c>
      <c r="BJ971" s="2466">
        <v>136290</v>
      </c>
      <c r="BK971" s="530"/>
      <c r="BV971" s="3082" t="str">
        <f t="shared" si="15"/>
        <v/>
      </c>
      <c r="CT971" s="531"/>
      <c r="DA971" s="2558"/>
      <c r="EI971" s="2689" t="s">
        <v>11290</v>
      </c>
    </row>
    <row r="972" spans="1:139" ht="43.5">
      <c r="A972" s="532"/>
      <c r="AR972" s="2513"/>
      <c r="BH972" s="2406">
        <v>7718167785</v>
      </c>
      <c r="BI972" s="2409" t="s">
        <v>2401</v>
      </c>
      <c r="BJ972" s="2466">
        <v>117504</v>
      </c>
      <c r="BK972" s="530"/>
      <c r="BV972" s="3082" t="str">
        <f t="shared" si="15"/>
        <v/>
      </c>
      <c r="CT972" s="531"/>
      <c r="DA972" s="2558"/>
      <c r="EI972" s="2689" t="s">
        <v>11291</v>
      </c>
    </row>
    <row r="973" spans="1:139" ht="29">
      <c r="A973" s="532"/>
      <c r="AR973" s="2513"/>
      <c r="BH973" s="2406">
        <v>7718193111</v>
      </c>
      <c r="BI973" s="2409" t="s">
        <v>166</v>
      </c>
      <c r="BJ973" s="2466">
        <v>146871</v>
      </c>
      <c r="BK973" s="530"/>
      <c r="BV973" s="3082" t="str">
        <f t="shared" si="15"/>
        <v/>
      </c>
      <c r="CT973" s="531"/>
      <c r="DA973" s="2558"/>
      <c r="EI973" s="2689" t="s">
        <v>11292</v>
      </c>
    </row>
    <row r="974" spans="1:139">
      <c r="A974" s="532"/>
      <c r="AR974" s="2513"/>
      <c r="BH974" s="2406">
        <v>7718621504</v>
      </c>
      <c r="BI974" s="2409" t="s">
        <v>2037</v>
      </c>
      <c r="BJ974" s="2466">
        <v>266965</v>
      </c>
      <c r="BK974" s="530"/>
      <c r="BV974" s="3082" t="str">
        <f t="shared" si="15"/>
        <v/>
      </c>
      <c r="CT974" s="531"/>
      <c r="DA974" s="2558"/>
      <c r="EI974" s="2689" t="s">
        <v>11293</v>
      </c>
    </row>
    <row r="975" spans="1:139" ht="29">
      <c r="A975" s="532"/>
      <c r="AR975" s="2513"/>
      <c r="BH975" s="2406">
        <v>7718778640</v>
      </c>
      <c r="BI975" s="2409" t="s">
        <v>3170</v>
      </c>
      <c r="BJ975" s="2466">
        <v>417155</v>
      </c>
      <c r="BK975" s="530"/>
      <c r="BV975" s="3082" t="str">
        <f t="shared" si="15"/>
        <v/>
      </c>
      <c r="CT975" s="531"/>
      <c r="DA975" s="2558"/>
      <c r="EI975" s="2689" t="s">
        <v>11294</v>
      </c>
    </row>
    <row r="976" spans="1:139" ht="87">
      <c r="A976" s="532"/>
      <c r="AR976" s="2513"/>
      <c r="BH976" s="2406">
        <v>7718785397</v>
      </c>
      <c r="BI976" s="2409" t="s">
        <v>2648</v>
      </c>
      <c r="BJ976" s="2466">
        <v>224792</v>
      </c>
      <c r="BK976" s="530"/>
      <c r="BV976" s="3082" t="str">
        <f t="shared" si="15"/>
        <v/>
      </c>
      <c r="CT976" s="531"/>
      <c r="DA976" s="2558"/>
      <c r="EI976" s="2689" t="s">
        <v>11295</v>
      </c>
    </row>
    <row r="977" spans="1:139" ht="29">
      <c r="A977" s="532"/>
      <c r="AR977" s="2513"/>
      <c r="BH977" s="2406">
        <v>7719002546</v>
      </c>
      <c r="BI977" s="2409" t="s">
        <v>2709</v>
      </c>
      <c r="BJ977" s="2466">
        <v>173906</v>
      </c>
      <c r="BK977" s="530"/>
      <c r="BV977" s="3082" t="str">
        <f t="shared" si="15"/>
        <v/>
      </c>
      <c r="CT977" s="531"/>
      <c r="DA977" s="2558"/>
      <c r="EI977" s="2689" t="s">
        <v>11296</v>
      </c>
    </row>
    <row r="978" spans="1:139" ht="116">
      <c r="A978" s="532"/>
      <c r="AR978" s="2513"/>
      <c r="BH978" s="2406">
        <v>7719038373</v>
      </c>
      <c r="BI978" s="2409" t="s">
        <v>3643</v>
      </c>
      <c r="BJ978" s="2466">
        <v>153287</v>
      </c>
      <c r="BK978" s="530"/>
      <c r="BV978" s="3082" t="str">
        <f t="shared" si="15"/>
        <v/>
      </c>
      <c r="CT978" s="531"/>
      <c r="DA978" s="2558"/>
      <c r="EI978" s="2689" t="s">
        <v>11297</v>
      </c>
    </row>
    <row r="979" spans="1:139" ht="43.5">
      <c r="A979" s="532"/>
      <c r="AR979" s="2513"/>
      <c r="BH979" s="2406">
        <v>7719127048</v>
      </c>
      <c r="BI979" s="2409" t="s">
        <v>1533</v>
      </c>
      <c r="BJ979" s="2466">
        <v>106990</v>
      </c>
      <c r="BK979" s="530"/>
      <c r="BV979" s="3082" t="str">
        <f t="shared" si="15"/>
        <v/>
      </c>
      <c r="CT979" s="531"/>
      <c r="DA979" s="2558"/>
      <c r="EI979" s="2689" t="s">
        <v>11298</v>
      </c>
    </row>
    <row r="980" spans="1:139">
      <c r="A980" s="532"/>
      <c r="AR980" s="2513"/>
      <c r="BH980" s="2406">
        <v>7719261452</v>
      </c>
      <c r="BI980" s="2409" t="s">
        <v>3588</v>
      </c>
      <c r="BJ980" s="2466">
        <v>147449</v>
      </c>
      <c r="BK980" s="530"/>
      <c r="BV980" s="3082" t="str">
        <f t="shared" si="15"/>
        <v/>
      </c>
      <c r="CT980" s="531"/>
      <c r="DA980" s="2558"/>
      <c r="EI980" s="2689" t="s">
        <v>11299</v>
      </c>
    </row>
    <row r="981" spans="1:139">
      <c r="A981" s="532"/>
      <c r="AR981" s="2513"/>
      <c r="BH981" s="2406">
        <v>7719555477</v>
      </c>
      <c r="BI981" s="2409" t="s">
        <v>2169</v>
      </c>
      <c r="BJ981" s="2466">
        <v>97999</v>
      </c>
      <c r="BK981" s="530"/>
      <c r="BV981" s="3082" t="str">
        <f t="shared" si="15"/>
        <v/>
      </c>
      <c r="CT981" s="531"/>
      <c r="DA981" s="2558"/>
      <c r="EI981" s="2689" t="s">
        <v>11300</v>
      </c>
    </row>
    <row r="982" spans="1:139">
      <c r="A982" s="532"/>
      <c r="AR982" s="2513"/>
      <c r="BH982" s="2406">
        <v>7719555540</v>
      </c>
      <c r="BI982" s="2409" t="s">
        <v>2194</v>
      </c>
      <c r="BJ982" s="2466">
        <v>220507</v>
      </c>
      <c r="BK982" s="530"/>
      <c r="BV982" s="3082" t="str">
        <f t="shared" si="15"/>
        <v/>
      </c>
      <c r="CT982" s="531"/>
      <c r="DA982" s="2558"/>
      <c r="EI982" s="2689" t="s">
        <v>11301</v>
      </c>
    </row>
    <row r="983" spans="1:139">
      <c r="A983" s="532"/>
      <c r="AR983" s="2513"/>
      <c r="BH983" s="2406">
        <v>7719646090</v>
      </c>
      <c r="BI983" s="2409" t="s">
        <v>4492</v>
      </c>
      <c r="BJ983" s="2466">
        <v>218661</v>
      </c>
      <c r="BK983" s="530"/>
      <c r="BV983" s="3082" t="str">
        <f t="shared" si="15"/>
        <v/>
      </c>
      <c r="CT983" s="531"/>
      <c r="DA983" s="2558"/>
      <c r="EI983" s="2689" t="s">
        <v>11302</v>
      </c>
    </row>
    <row r="984" spans="1:139">
      <c r="A984" s="532"/>
      <c r="AR984" s="2513"/>
      <c r="BH984" s="2406">
        <v>7719755099</v>
      </c>
      <c r="BI984" s="2409" t="s">
        <v>1884</v>
      </c>
      <c r="BJ984" s="2466">
        <v>221651</v>
      </c>
      <c r="BK984" s="530"/>
      <c r="BV984" s="3082" t="str">
        <f t="shared" si="15"/>
        <v/>
      </c>
      <c r="CT984" s="531"/>
      <c r="DA984" s="2558"/>
      <c r="EI984" s="2689" t="s">
        <v>11303</v>
      </c>
    </row>
    <row r="985" spans="1:139" ht="58">
      <c r="A985" s="532"/>
      <c r="AR985" s="2513"/>
      <c r="BH985" s="2406">
        <v>7720150041</v>
      </c>
      <c r="BI985" s="2409" t="s">
        <v>1865</v>
      </c>
      <c r="BJ985" s="2466">
        <v>241729</v>
      </c>
      <c r="BK985" s="530"/>
      <c r="BV985" s="3082" t="str">
        <f t="shared" si="15"/>
        <v/>
      </c>
      <c r="CT985" s="531"/>
      <c r="DA985" s="2558"/>
      <c r="EI985" s="2689" t="s">
        <v>11304</v>
      </c>
    </row>
    <row r="986" spans="1:139">
      <c r="A986" s="532"/>
      <c r="AR986" s="2513"/>
      <c r="BH986" s="2406">
        <v>7720261739</v>
      </c>
      <c r="BI986" s="2409" t="s">
        <v>2645</v>
      </c>
      <c r="BJ986" s="2466">
        <v>116943</v>
      </c>
      <c r="BK986" s="530"/>
      <c r="BV986" s="3082" t="str">
        <f t="shared" si="15"/>
        <v/>
      </c>
      <c r="CT986" s="531"/>
      <c r="DA986" s="2558"/>
      <c r="EI986" s="2689" t="s">
        <v>11305</v>
      </c>
    </row>
    <row r="987" spans="1:139" ht="29">
      <c r="A987" s="532"/>
      <c r="AR987" s="2513"/>
      <c r="BH987" s="2406">
        <v>7720515870</v>
      </c>
      <c r="BI987" s="2409" t="s">
        <v>2186</v>
      </c>
      <c r="BJ987" s="2466">
        <v>149158</v>
      </c>
      <c r="BK987" s="530"/>
      <c r="BV987" s="3082" t="str">
        <f t="shared" si="15"/>
        <v/>
      </c>
      <c r="CT987" s="531"/>
      <c r="DA987" s="2558"/>
      <c r="EI987" s="2689" t="s">
        <v>11306</v>
      </c>
    </row>
    <row r="988" spans="1:139" ht="43.5">
      <c r="A988" s="532"/>
      <c r="AR988" s="2513"/>
      <c r="BH988" s="2406">
        <v>7720518494</v>
      </c>
      <c r="BI988" s="2409" t="s">
        <v>2267</v>
      </c>
      <c r="BJ988" s="2466">
        <v>117477</v>
      </c>
      <c r="BK988" s="530"/>
      <c r="BV988" s="3082" t="str">
        <f t="shared" si="15"/>
        <v/>
      </c>
      <c r="CT988" s="531"/>
      <c r="DA988" s="2558"/>
      <c r="EI988" s="2689" t="s">
        <v>11307</v>
      </c>
    </row>
    <row r="989" spans="1:139" ht="43.5">
      <c r="A989" s="532"/>
      <c r="AR989" s="2513"/>
      <c r="BH989" s="2406">
        <v>7720613268</v>
      </c>
      <c r="BI989" s="2409" t="s">
        <v>2604</v>
      </c>
      <c r="BJ989" s="2466">
        <v>155094</v>
      </c>
      <c r="BK989" s="530"/>
      <c r="BV989" s="3082" t="str">
        <f t="shared" si="15"/>
        <v/>
      </c>
      <c r="CT989" s="531"/>
      <c r="DA989" s="2558"/>
      <c r="EI989" s="2689" t="s">
        <v>11308</v>
      </c>
    </row>
    <row r="990" spans="1:139" ht="43.5">
      <c r="A990" s="532"/>
      <c r="AR990" s="2513"/>
      <c r="BH990" s="2406">
        <v>7720627038</v>
      </c>
      <c r="BI990" s="2409" t="s">
        <v>2583</v>
      </c>
      <c r="BJ990" s="2466">
        <v>181609</v>
      </c>
      <c r="BK990" s="530"/>
      <c r="BV990" s="3082" t="str">
        <f t="shared" si="15"/>
        <v/>
      </c>
      <c r="CT990" s="531"/>
      <c r="DA990" s="2558"/>
      <c r="EI990" s="2689" t="s">
        <v>11309</v>
      </c>
    </row>
    <row r="991" spans="1:139" ht="29">
      <c r="A991" s="532"/>
      <c r="AR991" s="2513"/>
      <c r="BH991" s="2406">
        <v>7720655980</v>
      </c>
      <c r="BI991" s="2409" t="s">
        <v>2603</v>
      </c>
      <c r="BJ991" s="2466">
        <v>136723</v>
      </c>
      <c r="BK991" s="530"/>
      <c r="BV991" s="3082" t="str">
        <f t="shared" si="15"/>
        <v/>
      </c>
      <c r="CT991" s="531"/>
      <c r="DA991" s="2558"/>
      <c r="EI991" s="2689" t="s">
        <v>11310</v>
      </c>
    </row>
    <row r="992" spans="1:139" ht="29">
      <c r="A992" s="532"/>
      <c r="AR992" s="2513"/>
      <c r="BH992" s="2406">
        <v>7721045804</v>
      </c>
      <c r="BI992" s="2409" t="s">
        <v>1263</v>
      </c>
      <c r="BJ992" s="2466">
        <v>99205</v>
      </c>
      <c r="BK992" s="530"/>
      <c r="BV992" s="3082" t="str">
        <f t="shared" si="15"/>
        <v/>
      </c>
      <c r="CT992" s="531"/>
      <c r="DA992" s="2558"/>
      <c r="EI992" s="2689" t="s">
        <v>11311</v>
      </c>
    </row>
    <row r="993" spans="1:139" ht="58">
      <c r="A993" s="532"/>
      <c r="AR993" s="2513"/>
      <c r="BH993" s="2406">
        <v>7721114871</v>
      </c>
      <c r="BI993" s="2409" t="s">
        <v>4503</v>
      </c>
      <c r="BJ993" s="2466">
        <v>219346</v>
      </c>
      <c r="BK993" s="530"/>
      <c r="BV993" s="3082" t="str">
        <f t="shared" si="15"/>
        <v/>
      </c>
      <c r="CT993" s="531"/>
      <c r="DA993" s="2558"/>
      <c r="EI993" s="2689" t="s">
        <v>11312</v>
      </c>
    </row>
    <row r="994" spans="1:139" ht="58">
      <c r="A994" s="532"/>
      <c r="AR994" s="2513"/>
      <c r="BH994" s="2406">
        <v>7721142036</v>
      </c>
      <c r="BI994" s="2409" t="s">
        <v>2404</v>
      </c>
      <c r="BJ994" s="2466">
        <v>145162</v>
      </c>
      <c r="BK994" s="530"/>
      <c r="BV994" s="3082" t="str">
        <f t="shared" si="15"/>
        <v/>
      </c>
      <c r="CT994" s="531"/>
      <c r="DA994" s="2558"/>
      <c r="EI994" s="2689" t="s">
        <v>11313</v>
      </c>
    </row>
    <row r="995" spans="1:139">
      <c r="A995" s="532"/>
      <c r="AR995" s="2513"/>
      <c r="BH995" s="2405">
        <v>7721566412</v>
      </c>
      <c r="BI995" s="2405" t="s">
        <v>10224</v>
      </c>
      <c r="BJ995" s="2466">
        <v>174298</v>
      </c>
      <c r="BK995" s="530"/>
      <c r="BV995" s="3082" t="str">
        <f t="shared" si="15"/>
        <v/>
      </c>
      <c r="CT995" s="531"/>
      <c r="DA995" s="2558"/>
      <c r="EI995" s="2689" t="s">
        <v>11314</v>
      </c>
    </row>
    <row r="996" spans="1:139" ht="43.5">
      <c r="A996" s="532"/>
      <c r="AR996" s="2513"/>
      <c r="BH996" s="2406">
        <v>7721604869</v>
      </c>
      <c r="BI996" s="2409" t="s">
        <v>2395</v>
      </c>
      <c r="BJ996" s="2466">
        <v>245059</v>
      </c>
      <c r="BK996" s="530"/>
      <c r="BV996" s="3082" t="str">
        <f t="shared" si="15"/>
        <v/>
      </c>
      <c r="CT996" s="531"/>
      <c r="DA996" s="2558"/>
      <c r="EI996" s="2689" t="s">
        <v>11315</v>
      </c>
    </row>
    <row r="997" spans="1:139" ht="58">
      <c r="A997" s="532"/>
      <c r="AR997" s="2513"/>
      <c r="BH997" s="2406">
        <v>7722019652</v>
      </c>
      <c r="BI997" s="2409" t="s">
        <v>2022</v>
      </c>
      <c r="BJ997" s="2466">
        <v>136931</v>
      </c>
      <c r="BK997" s="530"/>
      <c r="BV997" s="3082" t="str">
        <f t="shared" si="15"/>
        <v/>
      </c>
      <c r="CT997" s="531"/>
      <c r="DA997" s="2558"/>
      <c r="EI997" s="2689" t="s">
        <v>11316</v>
      </c>
    </row>
    <row r="998" spans="1:139" ht="29">
      <c r="A998" s="532"/>
      <c r="AR998" s="2513"/>
      <c r="BH998" s="2406">
        <v>7722104280</v>
      </c>
      <c r="BI998" s="2409" t="s">
        <v>2696</v>
      </c>
      <c r="BJ998" s="2466">
        <v>180695</v>
      </c>
      <c r="BK998" s="530"/>
      <c r="BV998" s="3082" t="str">
        <f t="shared" si="15"/>
        <v/>
      </c>
      <c r="CT998" s="531"/>
      <c r="DA998" s="2558"/>
      <c r="EI998" s="2689" t="s">
        <v>11317</v>
      </c>
    </row>
    <row r="999" spans="1:139">
      <c r="A999" s="532"/>
      <c r="AR999" s="2513"/>
      <c r="BH999" s="2406">
        <v>7722251800</v>
      </c>
      <c r="BI999" s="2409" t="s">
        <v>3157</v>
      </c>
      <c r="BJ999" s="2466">
        <v>277178</v>
      </c>
      <c r="BK999" s="530"/>
      <c r="BV999" s="3082" t="str">
        <f t="shared" si="15"/>
        <v/>
      </c>
      <c r="CT999" s="531"/>
      <c r="DA999" s="2558"/>
      <c r="EI999" s="2689" t="s">
        <v>11318</v>
      </c>
    </row>
    <row r="1000" spans="1:139" ht="72.5">
      <c r="A1000" s="532"/>
      <c r="AR1000" s="2513"/>
      <c r="BH1000" s="2406">
        <v>7722515837</v>
      </c>
      <c r="BI1000" s="2409" t="s">
        <v>3575</v>
      </c>
      <c r="BJ1000" s="2466">
        <v>251273</v>
      </c>
      <c r="BK1000" s="530"/>
      <c r="BV1000" s="3082" t="str">
        <f t="shared" si="15"/>
        <v/>
      </c>
      <c r="CT1000" s="531"/>
      <c r="DA1000" s="2558"/>
      <c r="EI1000" s="2689" t="s">
        <v>11319</v>
      </c>
    </row>
    <row r="1001" spans="1:139" ht="29">
      <c r="A1001" s="532"/>
      <c r="AR1001" s="2513"/>
      <c r="BH1001" s="2406">
        <v>7722595470</v>
      </c>
      <c r="BI1001" s="2409" t="s">
        <v>969</v>
      </c>
      <c r="BJ1001" s="2466">
        <v>101</v>
      </c>
      <c r="BK1001" s="530"/>
      <c r="BV1001" s="3082" t="str">
        <f t="shared" si="15"/>
        <v/>
      </c>
      <c r="CT1001" s="531"/>
      <c r="DA1001" s="2558"/>
      <c r="EI1001" s="2689" t="s">
        <v>11320</v>
      </c>
    </row>
    <row r="1002" spans="1:139" ht="43.5">
      <c r="A1002" s="532"/>
      <c r="AR1002" s="2513"/>
      <c r="BH1002" s="2406">
        <v>7722639825</v>
      </c>
      <c r="BI1002" s="2409" t="s">
        <v>2646</v>
      </c>
      <c r="BJ1002" s="2466">
        <v>179038</v>
      </c>
      <c r="BK1002" s="530"/>
      <c r="BV1002" s="3082" t="str">
        <f t="shared" si="15"/>
        <v/>
      </c>
      <c r="CT1002" s="531"/>
      <c r="DA1002" s="2558"/>
      <c r="EI1002" s="2689" t="s">
        <v>11321</v>
      </c>
    </row>
    <row r="1003" spans="1:139" ht="29">
      <c r="A1003" s="532"/>
      <c r="AR1003" s="2513"/>
      <c r="BH1003" s="2406">
        <v>7722641207</v>
      </c>
      <c r="BI1003" s="2409" t="s">
        <v>2405</v>
      </c>
      <c r="BJ1003" s="2466">
        <v>149719</v>
      </c>
      <c r="BK1003" s="530"/>
      <c r="BV1003" s="3082" t="str">
        <f t="shared" ref="BV1003:BV1066" si="16">CONCATENATE(LEFT(BU1003,8),RIGHT(BU1003,9))</f>
        <v/>
      </c>
      <c r="CT1003" s="531"/>
      <c r="DA1003" s="2558"/>
      <c r="EI1003" s="2689" t="s">
        <v>11322</v>
      </c>
    </row>
    <row r="1004" spans="1:139" ht="58">
      <c r="A1004" s="532"/>
      <c r="AR1004" s="2513"/>
      <c r="BH1004" s="2408">
        <v>7722867035</v>
      </c>
      <c r="BI1004" s="2409" t="s">
        <v>2749</v>
      </c>
      <c r="BJ1004" s="2466">
        <v>452594</v>
      </c>
      <c r="BK1004" s="530"/>
      <c r="BV1004" s="3082" t="str">
        <f t="shared" si="16"/>
        <v/>
      </c>
      <c r="CT1004" s="531"/>
      <c r="DA1004" s="2558"/>
      <c r="EI1004" s="2689" t="s">
        <v>11323</v>
      </c>
    </row>
    <row r="1005" spans="1:139" ht="29">
      <c r="A1005" s="532"/>
      <c r="AR1005" s="2513"/>
      <c r="BH1005" s="2406">
        <v>7723597159</v>
      </c>
      <c r="BI1005" s="2409" t="s">
        <v>973</v>
      </c>
      <c r="BJ1005" s="2466">
        <v>349</v>
      </c>
      <c r="BK1005" s="530"/>
      <c r="BV1005" s="3082" t="str">
        <f t="shared" si="16"/>
        <v/>
      </c>
      <c r="CT1005" s="531"/>
      <c r="DA1005" s="2558"/>
      <c r="EI1005" s="2689" t="s">
        <v>11324</v>
      </c>
    </row>
    <row r="1006" spans="1:139" ht="58">
      <c r="A1006" s="532"/>
      <c r="AR1006" s="2513"/>
      <c r="BH1006" s="2406">
        <v>7723603525</v>
      </c>
      <c r="BI1006" s="2409" t="s">
        <v>3169</v>
      </c>
      <c r="BJ1006" s="2466">
        <v>259582</v>
      </c>
      <c r="BK1006" s="530"/>
      <c r="BV1006" s="3082" t="str">
        <f t="shared" si="16"/>
        <v/>
      </c>
      <c r="CT1006" s="531"/>
      <c r="DA1006" s="2558"/>
      <c r="EI1006" s="2689" t="s">
        <v>11325</v>
      </c>
    </row>
    <row r="1007" spans="1:139" ht="58">
      <c r="A1007" s="532"/>
      <c r="AR1007" s="2513"/>
      <c r="BH1007" s="2406">
        <v>7723635728</v>
      </c>
      <c r="BI1007" s="2409" t="s">
        <v>2649</v>
      </c>
      <c r="BJ1007" s="2466">
        <v>116991</v>
      </c>
      <c r="BK1007" s="530"/>
      <c r="BV1007" s="3082" t="str">
        <f t="shared" si="16"/>
        <v/>
      </c>
      <c r="CT1007" s="531"/>
      <c r="DA1007" s="2558"/>
      <c r="EI1007" s="2689" t="s">
        <v>11326</v>
      </c>
    </row>
    <row r="1008" spans="1:139" ht="29">
      <c r="A1008" s="532"/>
      <c r="AR1008" s="2513"/>
      <c r="BH1008" s="2406">
        <v>7723653822</v>
      </c>
      <c r="BI1008" s="2409" t="s">
        <v>970</v>
      </c>
      <c r="BJ1008" s="2466">
        <v>346</v>
      </c>
      <c r="BK1008" s="530"/>
      <c r="BV1008" s="3082" t="str">
        <f t="shared" si="16"/>
        <v/>
      </c>
      <c r="CT1008" s="531"/>
      <c r="DA1008" s="2558"/>
      <c r="EI1008" s="2689" t="s">
        <v>11327</v>
      </c>
    </row>
    <row r="1009" spans="1:139" ht="43.5">
      <c r="A1009" s="532"/>
      <c r="AR1009" s="2513"/>
      <c r="BH1009" s="2406">
        <v>7723717956</v>
      </c>
      <c r="BI1009" s="2409" t="s">
        <v>2755</v>
      </c>
      <c r="BJ1009" s="2466">
        <v>276144</v>
      </c>
      <c r="BK1009" s="530"/>
      <c r="BV1009" s="3082" t="str">
        <f t="shared" si="16"/>
        <v/>
      </c>
      <c r="CT1009" s="531"/>
      <c r="DA1009" s="2558"/>
      <c r="EI1009" s="2689" t="s">
        <v>11328</v>
      </c>
    </row>
    <row r="1010" spans="1:139">
      <c r="A1010" s="532"/>
      <c r="AR1010" s="2513"/>
      <c r="BH1010" s="2406">
        <v>7723737342</v>
      </c>
      <c r="BI1010" s="2409" t="s">
        <v>2742</v>
      </c>
      <c r="BJ1010" s="2466">
        <v>117945</v>
      </c>
      <c r="BK1010" s="530"/>
      <c r="BV1010" s="3082" t="str">
        <f t="shared" si="16"/>
        <v/>
      </c>
      <c r="CT1010" s="531"/>
      <c r="DA1010" s="2558"/>
      <c r="EI1010" s="2689" t="s">
        <v>11329</v>
      </c>
    </row>
    <row r="1011" spans="1:139" ht="29">
      <c r="A1011" s="532"/>
      <c r="AR1011" s="2513"/>
      <c r="BH1011" s="2406">
        <v>7724068140</v>
      </c>
      <c r="BI1011" s="2409" t="s">
        <v>456</v>
      </c>
      <c r="BJ1011" s="2466">
        <v>100132</v>
      </c>
      <c r="BK1011" s="530"/>
      <c r="BV1011" s="3082" t="str">
        <f t="shared" si="16"/>
        <v/>
      </c>
      <c r="CT1011" s="531"/>
      <c r="DA1011" s="2558"/>
      <c r="EI1011" s="2689" t="s">
        <v>11330</v>
      </c>
    </row>
    <row r="1012" spans="1:139" ht="43.5">
      <c r="A1012" s="532"/>
      <c r="AR1012" s="2513"/>
      <c r="BH1012" s="2406">
        <v>7724102634</v>
      </c>
      <c r="BI1012" s="2409" t="s">
        <v>2177</v>
      </c>
      <c r="BJ1012" s="2466">
        <v>277025</v>
      </c>
      <c r="BK1012" s="530"/>
      <c r="BV1012" s="3082" t="str">
        <f t="shared" si="16"/>
        <v/>
      </c>
      <c r="CT1012" s="531"/>
      <c r="DA1012" s="2558"/>
      <c r="EI1012" s="2689" t="s">
        <v>11331</v>
      </c>
    </row>
    <row r="1013" spans="1:139">
      <c r="A1013" s="532"/>
      <c r="AR1013" s="2513"/>
      <c r="BH1013" s="2406">
        <v>7724179933</v>
      </c>
      <c r="BI1013" s="2409" t="s">
        <v>1940</v>
      </c>
      <c r="BJ1013" s="2466">
        <v>202613</v>
      </c>
      <c r="BK1013" s="530"/>
      <c r="BV1013" s="3082" t="str">
        <f t="shared" si="16"/>
        <v/>
      </c>
      <c r="CT1013" s="531"/>
      <c r="DA1013" s="2558"/>
      <c r="EI1013" s="2689" t="s">
        <v>11332</v>
      </c>
    </row>
    <row r="1014" spans="1:139" ht="43.5">
      <c r="A1014" s="532"/>
      <c r="AR1014" s="2513"/>
      <c r="BH1014" s="2406">
        <v>7724207203</v>
      </c>
      <c r="BI1014" s="2409" t="s">
        <v>2762</v>
      </c>
      <c r="BJ1014" s="2466">
        <v>150470</v>
      </c>
      <c r="BK1014" s="530"/>
      <c r="BV1014" s="3082" t="str">
        <f t="shared" si="16"/>
        <v/>
      </c>
      <c r="CT1014" s="531"/>
      <c r="DA1014" s="2558"/>
      <c r="EI1014" s="2689" t="s">
        <v>11333</v>
      </c>
    </row>
    <row r="1015" spans="1:139" ht="72.5">
      <c r="A1015" s="532"/>
      <c r="AR1015" s="2513"/>
      <c r="BH1015" s="2406">
        <v>7724261610</v>
      </c>
      <c r="BI1015" s="2409" t="s">
        <v>9886</v>
      </c>
      <c r="BJ1015" s="2466">
        <v>619964</v>
      </c>
      <c r="BK1015" s="530"/>
      <c r="BV1015" s="3082" t="str">
        <f t="shared" si="16"/>
        <v/>
      </c>
      <c r="CT1015" s="531"/>
      <c r="DA1015" s="2558"/>
      <c r="EI1015" s="2689" t="s">
        <v>11334</v>
      </c>
    </row>
    <row r="1016" spans="1:139" ht="29">
      <c r="A1016" s="532"/>
      <c r="AR1016" s="2513"/>
      <c r="BH1016" s="2406">
        <v>7724285219</v>
      </c>
      <c r="BI1016" s="2409" t="s">
        <v>3153</v>
      </c>
      <c r="BJ1016" s="2466">
        <v>191378</v>
      </c>
      <c r="BK1016" s="530"/>
      <c r="BV1016" s="3082" t="str">
        <f t="shared" si="16"/>
        <v/>
      </c>
      <c r="CT1016" s="531"/>
      <c r="DA1016" s="2558"/>
      <c r="EI1016" s="2689" t="s">
        <v>11335</v>
      </c>
    </row>
    <row r="1017" spans="1:139">
      <c r="A1017" s="532"/>
      <c r="AR1017" s="2513"/>
      <c r="BH1017" s="2406">
        <v>7724540116</v>
      </c>
      <c r="BI1017" s="2409" t="s">
        <v>2588</v>
      </c>
      <c r="BJ1017" s="2466">
        <v>223271</v>
      </c>
      <c r="BK1017" s="530"/>
      <c r="BV1017" s="3082" t="str">
        <f t="shared" si="16"/>
        <v/>
      </c>
      <c r="CT1017" s="531"/>
      <c r="DA1017" s="2558"/>
      <c r="EI1017" s="2689" t="s">
        <v>11336</v>
      </c>
    </row>
    <row r="1018" spans="1:139" ht="29">
      <c r="A1018" s="532"/>
      <c r="AR1018" s="2513"/>
      <c r="BH1018" s="2406">
        <v>7724559170</v>
      </c>
      <c r="BI1018" s="2409" t="s">
        <v>3564</v>
      </c>
      <c r="BJ1018" s="2466">
        <v>104222</v>
      </c>
      <c r="BK1018" s="530"/>
      <c r="BV1018" s="3082" t="str">
        <f t="shared" si="16"/>
        <v/>
      </c>
      <c r="CT1018" s="531"/>
      <c r="DA1018" s="2558"/>
      <c r="EI1018" s="2689" t="s">
        <v>11337</v>
      </c>
    </row>
    <row r="1019" spans="1:139" ht="43.5">
      <c r="A1019" s="532"/>
      <c r="AR1019" s="2513"/>
      <c r="BH1019" s="2406">
        <v>7724724730</v>
      </c>
      <c r="BI1019" s="2409" t="s">
        <v>3154</v>
      </c>
      <c r="BJ1019" s="2466">
        <v>209314</v>
      </c>
      <c r="BK1019" s="530"/>
      <c r="BV1019" s="3082" t="str">
        <f t="shared" si="16"/>
        <v/>
      </c>
      <c r="CT1019" s="531"/>
      <c r="DA1019" s="2558"/>
      <c r="EI1019" s="2689" t="s">
        <v>11338</v>
      </c>
    </row>
    <row r="1020" spans="1:139" ht="58">
      <c r="A1020" s="532"/>
      <c r="AR1020" s="2513"/>
      <c r="BH1020" s="2406">
        <v>7724755714</v>
      </c>
      <c r="BI1020" s="2409" t="s">
        <v>2680</v>
      </c>
      <c r="BJ1020" s="2466">
        <v>222664</v>
      </c>
      <c r="BK1020" s="530"/>
      <c r="BV1020" s="3082" t="str">
        <f t="shared" si="16"/>
        <v/>
      </c>
      <c r="CT1020" s="531"/>
      <c r="DA1020" s="2558"/>
      <c r="EI1020" s="2689" t="s">
        <v>11339</v>
      </c>
    </row>
    <row r="1021" spans="1:139" ht="29">
      <c r="A1021" s="532"/>
      <c r="AR1021" s="2513"/>
      <c r="BH1021" s="2405">
        <v>7724779465</v>
      </c>
      <c r="BI1021" s="2405" t="s">
        <v>51</v>
      </c>
      <c r="BJ1021" s="2466">
        <v>203706</v>
      </c>
      <c r="BK1021" s="530"/>
      <c r="BV1021" s="3082" t="str">
        <f t="shared" si="16"/>
        <v/>
      </c>
      <c r="CT1021" s="531"/>
      <c r="DA1021" s="2558"/>
      <c r="EI1021" s="2689" t="s">
        <v>11340</v>
      </c>
    </row>
    <row r="1022" spans="1:139" ht="43.5">
      <c r="A1022" s="532"/>
      <c r="AR1022" s="2513"/>
      <c r="BH1022" s="2406">
        <v>7724792723</v>
      </c>
      <c r="BI1022" s="2409" t="s">
        <v>2422</v>
      </c>
      <c r="BJ1022" s="2466">
        <v>208700</v>
      </c>
      <c r="BK1022" s="530"/>
      <c r="BV1022" s="3082" t="str">
        <f t="shared" si="16"/>
        <v/>
      </c>
      <c r="CT1022" s="531"/>
      <c r="DA1022" s="2558"/>
      <c r="EI1022" s="2689" t="s">
        <v>11341</v>
      </c>
    </row>
    <row r="1023" spans="1:139" ht="29">
      <c r="A1023" s="532"/>
      <c r="AR1023" s="2513"/>
      <c r="BH1023" s="2406">
        <v>7725010048</v>
      </c>
      <c r="BI1023" s="2409" t="s">
        <v>2016</v>
      </c>
      <c r="BJ1023" s="2466">
        <v>151193</v>
      </c>
      <c r="BK1023" s="530"/>
      <c r="BV1023" s="3082" t="str">
        <f t="shared" si="16"/>
        <v/>
      </c>
      <c r="CT1023" s="531"/>
      <c r="DA1023" s="2558"/>
      <c r="EI1023" s="2689" t="s">
        <v>11342</v>
      </c>
    </row>
    <row r="1024" spans="1:139" ht="29">
      <c r="A1024" s="532"/>
      <c r="AR1024" s="2513"/>
      <c r="BH1024" s="2405">
        <v>7725027605</v>
      </c>
      <c r="BI1024" s="2405" t="s">
        <v>6766</v>
      </c>
      <c r="BJ1024" s="2466">
        <v>239086</v>
      </c>
      <c r="BK1024" s="530"/>
      <c r="BV1024" s="3082" t="str">
        <f t="shared" si="16"/>
        <v/>
      </c>
      <c r="CT1024" s="531"/>
      <c r="DA1024" s="2558"/>
      <c r="EI1024" s="2689" t="s">
        <v>11343</v>
      </c>
    </row>
    <row r="1025" spans="1:139" ht="29">
      <c r="A1025" s="532"/>
      <c r="AR1025" s="2513"/>
      <c r="BH1025" s="2406">
        <v>7725031390</v>
      </c>
      <c r="BI1025" s="2409" t="s">
        <v>2174</v>
      </c>
      <c r="BJ1025" s="2466">
        <v>223601</v>
      </c>
      <c r="BK1025" s="530"/>
      <c r="BV1025" s="3082" t="str">
        <f t="shared" si="16"/>
        <v/>
      </c>
      <c r="CT1025" s="531"/>
      <c r="DA1025" s="2558"/>
      <c r="EI1025" s="2689" t="s">
        <v>11344</v>
      </c>
    </row>
    <row r="1026" spans="1:139">
      <c r="A1026" s="532"/>
      <c r="AR1026" s="2513"/>
      <c r="BH1026" s="2406">
        <v>7725057310</v>
      </c>
      <c r="BI1026" s="2409" t="s">
        <v>2001</v>
      </c>
      <c r="BJ1026" s="2466">
        <v>142234</v>
      </c>
      <c r="BK1026" s="530"/>
      <c r="BV1026" s="3082" t="str">
        <f t="shared" si="16"/>
        <v/>
      </c>
      <c r="CT1026" s="531"/>
      <c r="DA1026" s="2558"/>
      <c r="EI1026" s="2689" t="s">
        <v>11345</v>
      </c>
    </row>
    <row r="1027" spans="1:139" ht="43.5">
      <c r="A1027" s="532"/>
      <c r="AR1027" s="2513"/>
      <c r="BH1027" s="2406">
        <v>7725074789</v>
      </c>
      <c r="BI1027" s="2409" t="s">
        <v>1981</v>
      </c>
      <c r="BJ1027" s="2466">
        <v>101305</v>
      </c>
      <c r="BK1027" s="530"/>
      <c r="BV1027" s="3082" t="str">
        <f t="shared" si="16"/>
        <v/>
      </c>
      <c r="CT1027" s="531"/>
      <c r="DA1027" s="2558"/>
      <c r="EI1027" s="2689" t="s">
        <v>11346</v>
      </c>
    </row>
    <row r="1028" spans="1:139">
      <c r="A1028" s="532"/>
      <c r="AR1028" s="2513"/>
      <c r="BH1028" s="2406">
        <v>7725082726</v>
      </c>
      <c r="BI1028" s="2409" t="s">
        <v>1889</v>
      </c>
      <c r="BJ1028" s="2466">
        <v>137400</v>
      </c>
      <c r="BK1028" s="530"/>
      <c r="BV1028" s="3082" t="str">
        <f t="shared" si="16"/>
        <v/>
      </c>
      <c r="CT1028" s="531"/>
      <c r="DA1028" s="2558"/>
      <c r="EI1028" s="2689" t="s">
        <v>11347</v>
      </c>
    </row>
    <row r="1029" spans="1:139" ht="29">
      <c r="A1029" s="532"/>
      <c r="AR1029" s="2513"/>
      <c r="BH1029" s="2405">
        <v>7725114488</v>
      </c>
      <c r="BI1029" s="2405" t="s">
        <v>5845</v>
      </c>
      <c r="BJ1029" s="2569">
        <v>137440</v>
      </c>
      <c r="BK1029" s="530"/>
      <c r="BV1029" s="3082" t="str">
        <f t="shared" si="16"/>
        <v/>
      </c>
      <c r="CT1029" s="531"/>
      <c r="DA1029" s="2558"/>
      <c r="EI1029" s="2689" t="s">
        <v>11348</v>
      </c>
    </row>
    <row r="1030" spans="1:139" ht="43.5">
      <c r="A1030" s="532"/>
      <c r="AR1030" s="2513"/>
      <c r="BH1030" s="2406">
        <v>7725131814</v>
      </c>
      <c r="BI1030" s="2409" t="s">
        <v>2000</v>
      </c>
      <c r="BJ1030" s="2466">
        <v>101110</v>
      </c>
      <c r="BK1030" s="530"/>
      <c r="BV1030" s="3082" t="str">
        <f t="shared" si="16"/>
        <v/>
      </c>
      <c r="CT1030" s="531"/>
      <c r="DA1030" s="2558"/>
      <c r="EI1030" s="2689" t="s">
        <v>11349</v>
      </c>
    </row>
    <row r="1031" spans="1:139" ht="29">
      <c r="A1031" s="532"/>
      <c r="AR1031" s="2513"/>
      <c r="BH1031" s="2406">
        <v>7725540060</v>
      </c>
      <c r="BI1031" s="2409" t="s">
        <v>2289</v>
      </c>
      <c r="BJ1031" s="2466">
        <v>116763</v>
      </c>
      <c r="BK1031" s="530"/>
      <c r="BV1031" s="3082" t="str">
        <f t="shared" si="16"/>
        <v/>
      </c>
      <c r="CT1031" s="531"/>
      <c r="DA1031" s="2558"/>
      <c r="EI1031" s="2689" t="s">
        <v>11350</v>
      </c>
    </row>
    <row r="1032" spans="1:139" ht="29">
      <c r="A1032" s="532"/>
      <c r="AR1032" s="2513"/>
      <c r="BH1032" s="2406">
        <v>7725567544</v>
      </c>
      <c r="BI1032" s="2409" t="s">
        <v>198</v>
      </c>
      <c r="BJ1032" s="2466">
        <v>109</v>
      </c>
      <c r="BK1032" s="530"/>
      <c r="BV1032" s="3082" t="str">
        <f t="shared" si="16"/>
        <v/>
      </c>
      <c r="CT1032" s="531"/>
      <c r="DA1032" s="2558"/>
      <c r="EI1032" s="2689" t="s">
        <v>11351</v>
      </c>
    </row>
    <row r="1033" spans="1:139" ht="29">
      <c r="A1033" s="532"/>
      <c r="AR1033" s="2513"/>
      <c r="BH1033" s="2406">
        <v>7725647334</v>
      </c>
      <c r="BI1033" s="2409" t="s">
        <v>3119</v>
      </c>
      <c r="BJ1033" s="2466">
        <v>221450</v>
      </c>
      <c r="BK1033" s="530"/>
      <c r="BV1033" s="3082" t="str">
        <f t="shared" si="16"/>
        <v/>
      </c>
      <c r="CT1033" s="531"/>
      <c r="DA1033" s="2558"/>
      <c r="EI1033" s="2689" t="s">
        <v>11352</v>
      </c>
    </row>
    <row r="1034" spans="1:139" ht="43.5">
      <c r="A1034" s="532"/>
      <c r="AR1034" s="2513"/>
      <c r="BH1034" s="2405">
        <v>7725727702</v>
      </c>
      <c r="BI1034" s="2405" t="s">
        <v>1613</v>
      </c>
      <c r="BJ1034" s="2466">
        <v>269343</v>
      </c>
      <c r="BK1034" s="530"/>
      <c r="BV1034" s="3082" t="str">
        <f t="shared" si="16"/>
        <v/>
      </c>
      <c r="CT1034" s="531"/>
      <c r="DA1034" s="2558"/>
      <c r="EI1034" s="2689" t="s">
        <v>11353</v>
      </c>
    </row>
    <row r="1035" spans="1:139" ht="43.5">
      <c r="A1035" s="532"/>
      <c r="AR1035" s="2513"/>
      <c r="BH1035" s="2406">
        <v>7725736827</v>
      </c>
      <c r="BI1035" s="2409" t="s">
        <v>2685</v>
      </c>
      <c r="BJ1035" s="2466">
        <v>256952</v>
      </c>
      <c r="BK1035" s="530"/>
      <c r="BV1035" s="3082" t="str">
        <f t="shared" si="16"/>
        <v/>
      </c>
      <c r="CT1035" s="531"/>
      <c r="DA1035" s="2558"/>
      <c r="EI1035" s="2689" t="s">
        <v>11354</v>
      </c>
    </row>
    <row r="1036" spans="1:139">
      <c r="A1036" s="532"/>
      <c r="AR1036" s="2513"/>
      <c r="BH1036" s="2406">
        <v>7726062105</v>
      </c>
      <c r="BI1036" s="2409" t="s">
        <v>1978</v>
      </c>
      <c r="BJ1036" s="2466">
        <v>97251</v>
      </c>
      <c r="BK1036" s="530"/>
      <c r="BV1036" s="3082" t="str">
        <f t="shared" si="16"/>
        <v/>
      </c>
      <c r="CT1036" s="531"/>
      <c r="DA1036" s="2558"/>
      <c r="EI1036" s="2689" t="s">
        <v>11355</v>
      </c>
    </row>
    <row r="1037" spans="1:139">
      <c r="A1037" s="532"/>
      <c r="AR1037" s="2513"/>
      <c r="BH1037" s="2406">
        <v>7726077310</v>
      </c>
      <c r="BI1037" s="2409" t="s">
        <v>3640</v>
      </c>
      <c r="BJ1037" s="2466">
        <v>150666</v>
      </c>
      <c r="BK1037" s="530"/>
      <c r="BV1037" s="3082" t="str">
        <f t="shared" si="16"/>
        <v/>
      </c>
      <c r="CT1037" s="531"/>
      <c r="DA1037" s="2558"/>
      <c r="EI1037" s="2689" t="s">
        <v>11356</v>
      </c>
    </row>
    <row r="1038" spans="1:139" ht="29">
      <c r="A1038" s="532"/>
      <c r="AR1038" s="2513"/>
      <c r="BH1038" s="2406">
        <v>7726181695</v>
      </c>
      <c r="BI1038" s="2409" t="s">
        <v>2053</v>
      </c>
      <c r="BJ1038" s="2466">
        <v>98457</v>
      </c>
      <c r="BK1038" s="530"/>
      <c r="BV1038" s="3082" t="str">
        <f t="shared" si="16"/>
        <v/>
      </c>
      <c r="CT1038" s="531"/>
      <c r="DA1038" s="2558"/>
      <c r="EI1038" s="2689" t="s">
        <v>11357</v>
      </c>
    </row>
    <row r="1039" spans="1:139" ht="29">
      <c r="A1039" s="532"/>
      <c r="AR1039" s="2513"/>
      <c r="BH1039" s="2406">
        <v>7726216267</v>
      </c>
      <c r="BI1039" s="2409" t="s">
        <v>4498</v>
      </c>
      <c r="BJ1039" s="2466">
        <v>214277</v>
      </c>
      <c r="BK1039" s="530"/>
      <c r="BV1039" s="3082" t="str">
        <f t="shared" si="16"/>
        <v/>
      </c>
      <c r="CT1039" s="531"/>
      <c r="DA1039" s="2558"/>
      <c r="EI1039" s="2689" t="s">
        <v>11358</v>
      </c>
    </row>
    <row r="1040" spans="1:139" ht="43.5">
      <c r="A1040" s="532"/>
      <c r="AR1040" s="2513"/>
      <c r="BH1040" s="2406">
        <v>7726310118</v>
      </c>
      <c r="BI1040" s="2409" t="s">
        <v>2530</v>
      </c>
      <c r="BJ1040" s="2466">
        <v>209354</v>
      </c>
      <c r="BK1040" s="530"/>
      <c r="BV1040" s="3082" t="str">
        <f t="shared" si="16"/>
        <v/>
      </c>
      <c r="CT1040" s="531"/>
      <c r="DA1040" s="2558"/>
      <c r="EI1040" s="2689" t="s">
        <v>11359</v>
      </c>
    </row>
    <row r="1041" spans="1:139" ht="29">
      <c r="A1041" s="532"/>
      <c r="AR1041" s="2513"/>
      <c r="BH1041" s="2405">
        <v>7726656162</v>
      </c>
      <c r="BI1041" s="2405" t="s">
        <v>1192</v>
      </c>
      <c r="BJ1041" s="2466">
        <v>168298</v>
      </c>
      <c r="BK1041" s="530"/>
      <c r="BV1041" s="3082" t="str">
        <f t="shared" si="16"/>
        <v/>
      </c>
      <c r="CT1041" s="531"/>
      <c r="DA1041" s="2558"/>
      <c r="EI1041" s="2689" t="s">
        <v>11360</v>
      </c>
    </row>
    <row r="1042" spans="1:139" ht="43.5">
      <c r="A1042" s="532"/>
      <c r="AR1042" s="2513"/>
      <c r="BH1042" s="2405">
        <v>7726704313</v>
      </c>
      <c r="BI1042" s="2405" t="s">
        <v>37</v>
      </c>
      <c r="BJ1042" s="2466">
        <v>293674</v>
      </c>
      <c r="BK1042" s="530"/>
      <c r="BV1042" s="3082" t="str">
        <f t="shared" si="16"/>
        <v/>
      </c>
      <c r="CT1042" s="531"/>
      <c r="DA1042" s="2558"/>
      <c r="EI1042" s="2689" t="s">
        <v>11361</v>
      </c>
    </row>
    <row r="1043" spans="1:139" ht="29">
      <c r="A1043" s="532"/>
      <c r="AR1043" s="2513"/>
      <c r="BH1043" s="2406">
        <v>7727061249</v>
      </c>
      <c r="BI1043" s="2409" t="s">
        <v>1920</v>
      </c>
      <c r="BJ1043" s="2466">
        <v>98669</v>
      </c>
      <c r="BK1043" s="530"/>
      <c r="BV1043" s="3082" t="str">
        <f t="shared" si="16"/>
        <v/>
      </c>
      <c r="CT1043" s="531"/>
      <c r="DA1043" s="2558"/>
      <c r="EI1043" s="2689" t="s">
        <v>11362</v>
      </c>
    </row>
    <row r="1044" spans="1:139" ht="58">
      <c r="A1044" s="532"/>
      <c r="AR1044" s="2513"/>
      <c r="BH1044" s="2406">
        <v>7727082785</v>
      </c>
      <c r="BI1044" s="2409" t="s">
        <v>1506</v>
      </c>
      <c r="BJ1044" s="2466">
        <v>152165</v>
      </c>
      <c r="BK1044" s="530"/>
      <c r="BV1044" s="3082" t="str">
        <f t="shared" si="16"/>
        <v/>
      </c>
      <c r="CT1044" s="531"/>
      <c r="DA1044" s="2558"/>
      <c r="EI1044" s="2689" t="s">
        <v>11363</v>
      </c>
    </row>
    <row r="1045" spans="1:139" ht="43.5">
      <c r="A1045" s="532"/>
      <c r="AR1045" s="2513"/>
      <c r="BH1045" s="2406">
        <v>7727083080</v>
      </c>
      <c r="BI1045" s="2409" t="s">
        <v>3645</v>
      </c>
      <c r="BJ1045" s="2466">
        <v>137647</v>
      </c>
      <c r="BK1045" s="530"/>
      <c r="BV1045" s="3082" t="str">
        <f t="shared" si="16"/>
        <v/>
      </c>
      <c r="CT1045" s="531"/>
      <c r="DA1045" s="2558"/>
      <c r="EI1045" s="2689" t="s">
        <v>11364</v>
      </c>
    </row>
    <row r="1046" spans="1:139" ht="43.5">
      <c r="A1046" s="532"/>
      <c r="AR1046" s="2513"/>
      <c r="BH1046" s="2406">
        <v>7727191914</v>
      </c>
      <c r="BI1046" s="2409" t="s">
        <v>1938</v>
      </c>
      <c r="BJ1046" s="2466">
        <v>137679</v>
      </c>
      <c r="BK1046" s="530"/>
      <c r="BV1046" s="3082" t="str">
        <f t="shared" si="16"/>
        <v/>
      </c>
      <c r="CT1046" s="531"/>
      <c r="DA1046" s="2558"/>
      <c r="EI1046" s="2689" t="s">
        <v>11365</v>
      </c>
    </row>
    <row r="1047" spans="1:139" ht="29">
      <c r="A1047" s="532"/>
      <c r="AR1047" s="2513"/>
      <c r="BH1047" s="2406">
        <v>7727224158</v>
      </c>
      <c r="BI1047" s="2409" t="s">
        <v>2584</v>
      </c>
      <c r="BJ1047" s="2466">
        <v>137688</v>
      </c>
      <c r="BK1047" s="530"/>
      <c r="BV1047" s="3082" t="str">
        <f t="shared" si="16"/>
        <v/>
      </c>
      <c r="CT1047" s="531"/>
      <c r="DA1047" s="2558"/>
      <c r="EI1047" s="2689" t="s">
        <v>11366</v>
      </c>
    </row>
    <row r="1048" spans="1:139" ht="29">
      <c r="A1048" s="532"/>
      <c r="AR1048" s="2513"/>
      <c r="BH1048" s="2406">
        <v>7727255565</v>
      </c>
      <c r="BI1048" s="2409" t="s">
        <v>2643</v>
      </c>
      <c r="BJ1048" s="2466">
        <v>116941</v>
      </c>
      <c r="BK1048" s="530"/>
      <c r="BV1048" s="3082" t="str">
        <f t="shared" si="16"/>
        <v/>
      </c>
      <c r="CT1048" s="531"/>
      <c r="DA1048" s="2558"/>
      <c r="EI1048" s="2689" t="s">
        <v>11367</v>
      </c>
    </row>
    <row r="1049" spans="1:139" ht="43.5">
      <c r="A1049" s="532"/>
      <c r="AR1049" s="2513"/>
      <c r="BH1049" s="2406">
        <v>7727256079</v>
      </c>
      <c r="BI1049" s="2409" t="s">
        <v>1943</v>
      </c>
      <c r="BJ1049" s="2466">
        <v>265102</v>
      </c>
      <c r="BK1049" s="530"/>
      <c r="BV1049" s="3082" t="str">
        <f t="shared" si="16"/>
        <v/>
      </c>
      <c r="CT1049" s="531"/>
      <c r="DA1049" s="2558"/>
      <c r="EI1049" s="2689" t="s">
        <v>11368</v>
      </c>
    </row>
    <row r="1050" spans="1:139" ht="43.5">
      <c r="A1050" s="532"/>
      <c r="AR1050" s="2513"/>
      <c r="BH1050" s="2406">
        <v>7727270299</v>
      </c>
      <c r="BI1050" s="2409" t="s">
        <v>2538</v>
      </c>
      <c r="BJ1050" s="2466">
        <v>103759</v>
      </c>
      <c r="BK1050" s="530"/>
      <c r="BV1050" s="3082" t="str">
        <f t="shared" si="16"/>
        <v/>
      </c>
      <c r="CT1050" s="531"/>
      <c r="DA1050" s="2558"/>
      <c r="EI1050" s="2689" t="s">
        <v>11369</v>
      </c>
    </row>
    <row r="1051" spans="1:139" ht="29">
      <c r="A1051" s="532"/>
      <c r="AR1051" s="2513"/>
      <c r="BH1051" s="2406">
        <v>7727270309</v>
      </c>
      <c r="BI1051" s="2409" t="s">
        <v>2007</v>
      </c>
      <c r="BJ1051" s="2466">
        <v>101325</v>
      </c>
      <c r="BK1051" s="530"/>
      <c r="BV1051" s="3082" t="str">
        <f t="shared" si="16"/>
        <v/>
      </c>
      <c r="CT1051" s="531"/>
      <c r="DA1051" s="2558"/>
      <c r="EI1051" s="2689" t="s">
        <v>11370</v>
      </c>
    </row>
    <row r="1052" spans="1:139">
      <c r="A1052" s="532"/>
      <c r="AR1052" s="2513"/>
      <c r="BH1052" s="2406">
        <v>7727534248</v>
      </c>
      <c r="BI1052" s="2409" t="s">
        <v>2655</v>
      </c>
      <c r="BJ1052" s="2466">
        <v>153121</v>
      </c>
      <c r="BK1052" s="530"/>
      <c r="BV1052" s="3082" t="str">
        <f t="shared" si="16"/>
        <v/>
      </c>
      <c r="CT1052" s="531"/>
      <c r="DA1052" s="2558"/>
      <c r="EI1052" s="2689" t="s">
        <v>11371</v>
      </c>
    </row>
    <row r="1053" spans="1:139" ht="43.5">
      <c r="A1053" s="532"/>
      <c r="AR1053" s="2513"/>
      <c r="BH1053" s="2406">
        <v>7727606830</v>
      </c>
      <c r="BI1053" s="2409" t="s">
        <v>3602</v>
      </c>
      <c r="BJ1053" s="2466">
        <v>224114</v>
      </c>
      <c r="BK1053" s="530"/>
      <c r="BV1053" s="3082" t="str">
        <f t="shared" si="16"/>
        <v/>
      </c>
      <c r="CT1053" s="531"/>
      <c r="DA1053" s="2558"/>
      <c r="EI1053" s="2689" t="s">
        <v>11372</v>
      </c>
    </row>
    <row r="1054" spans="1:139" ht="87">
      <c r="A1054" s="532"/>
      <c r="AR1054" s="2513"/>
      <c r="BH1054" s="2406">
        <v>7727639113</v>
      </c>
      <c r="BI1054" s="2409" t="s">
        <v>2518</v>
      </c>
      <c r="BJ1054" s="2466">
        <v>281768</v>
      </c>
      <c r="BK1054" s="530"/>
      <c r="BV1054" s="3082" t="str">
        <f t="shared" si="16"/>
        <v/>
      </c>
      <c r="CT1054" s="531"/>
      <c r="DA1054" s="2558"/>
      <c r="EI1054" s="2689" t="s">
        <v>11373</v>
      </c>
    </row>
    <row r="1055" spans="1:139" ht="43.5">
      <c r="A1055" s="532"/>
      <c r="AR1055" s="2513"/>
      <c r="BH1055" s="2406">
        <v>7728031198</v>
      </c>
      <c r="BI1055" s="2409" t="s">
        <v>3156</v>
      </c>
      <c r="BJ1055" s="2466">
        <v>116655</v>
      </c>
      <c r="BK1055" s="530"/>
      <c r="BV1055" s="3082" t="str">
        <f t="shared" si="16"/>
        <v/>
      </c>
      <c r="CT1055" s="531"/>
      <c r="DA1055" s="2558"/>
      <c r="EI1055" s="2689" t="s">
        <v>11374</v>
      </c>
    </row>
    <row r="1056" spans="1:139" ht="43.5">
      <c r="A1056" s="532"/>
      <c r="AR1056" s="2513"/>
      <c r="BH1056" s="2406">
        <v>7728042672</v>
      </c>
      <c r="BI1056" s="2409" t="s">
        <v>2058</v>
      </c>
      <c r="BJ1056" s="2466">
        <v>117748</v>
      </c>
      <c r="BK1056" s="530"/>
      <c r="BV1056" s="3082" t="str">
        <f t="shared" si="16"/>
        <v/>
      </c>
      <c r="CT1056" s="531"/>
      <c r="DA1056" s="2558"/>
      <c r="EI1056" s="2689" t="s">
        <v>11375</v>
      </c>
    </row>
    <row r="1057" spans="1:139" ht="43.5">
      <c r="A1057" s="532"/>
      <c r="AR1057" s="2513"/>
      <c r="BH1057" s="2406">
        <v>7728044373</v>
      </c>
      <c r="BI1057" s="2409" t="s">
        <v>2055</v>
      </c>
      <c r="BJ1057" s="2466">
        <v>155098</v>
      </c>
      <c r="BK1057" s="530"/>
      <c r="BV1057" s="3082" t="str">
        <f t="shared" si="16"/>
        <v/>
      </c>
      <c r="CT1057" s="531"/>
      <c r="DA1057" s="2558"/>
      <c r="EI1057" s="2689" t="s">
        <v>11376</v>
      </c>
    </row>
    <row r="1058" spans="1:139" ht="43.5">
      <c r="A1058" s="532"/>
      <c r="AR1058" s="2513"/>
      <c r="BH1058" s="2406">
        <v>7728073720</v>
      </c>
      <c r="BI1058" s="2409" t="s">
        <v>1548</v>
      </c>
      <c r="BJ1058" s="2466">
        <v>146744</v>
      </c>
      <c r="BK1058" s="530"/>
      <c r="BV1058" s="3082" t="str">
        <f t="shared" si="16"/>
        <v/>
      </c>
      <c r="CT1058" s="531"/>
      <c r="DA1058" s="2558"/>
      <c r="EI1058" s="2689" t="s">
        <v>11377</v>
      </c>
    </row>
    <row r="1059" spans="1:139" ht="43.5">
      <c r="A1059" s="532"/>
      <c r="AR1059" s="2513"/>
      <c r="BH1059" s="2406">
        <v>7728170427</v>
      </c>
      <c r="BI1059" s="2409" t="s">
        <v>2430</v>
      </c>
      <c r="BJ1059" s="2466">
        <v>137797</v>
      </c>
      <c r="BK1059" s="530"/>
      <c r="BV1059" s="3082" t="str">
        <f t="shared" si="16"/>
        <v/>
      </c>
      <c r="CT1059" s="531"/>
      <c r="DA1059" s="2558"/>
      <c r="EI1059" s="2689" t="s">
        <v>11378</v>
      </c>
    </row>
    <row r="1060" spans="1:139" ht="58">
      <c r="A1060" s="532"/>
      <c r="AR1060" s="2513"/>
      <c r="BH1060" s="2406">
        <v>7728260399</v>
      </c>
      <c r="BI1060" s="2409" t="s">
        <v>2488</v>
      </c>
      <c r="BJ1060" s="2466">
        <v>278323</v>
      </c>
      <c r="BK1060" s="530"/>
      <c r="BV1060" s="3082" t="str">
        <f t="shared" si="16"/>
        <v/>
      </c>
      <c r="CT1060" s="531"/>
      <c r="DA1060" s="2558"/>
      <c r="EI1060" s="2689" t="s">
        <v>11379</v>
      </c>
    </row>
    <row r="1061" spans="1:139" ht="43.5">
      <c r="A1061" s="532"/>
      <c r="AR1061" s="2513"/>
      <c r="BH1061" s="2406">
        <v>7728289038</v>
      </c>
      <c r="BI1061" s="2409" t="s">
        <v>3644</v>
      </c>
      <c r="BJ1061" s="2466">
        <v>153320</v>
      </c>
      <c r="BK1061" s="530"/>
      <c r="BV1061" s="3082" t="str">
        <f t="shared" si="16"/>
        <v/>
      </c>
      <c r="CT1061" s="531"/>
      <c r="DA1061" s="2558"/>
      <c r="EI1061" s="2689" t="s">
        <v>11380</v>
      </c>
    </row>
    <row r="1062" spans="1:139" ht="29">
      <c r="A1062" s="532"/>
      <c r="AR1062" s="2513"/>
      <c r="BH1062" s="2406">
        <v>7728294503</v>
      </c>
      <c r="BI1062" s="2409" t="s">
        <v>3573</v>
      </c>
      <c r="BJ1062" s="2466">
        <v>153018</v>
      </c>
      <c r="BK1062" s="530"/>
      <c r="BV1062" s="3082" t="str">
        <f t="shared" si="16"/>
        <v/>
      </c>
      <c r="CT1062" s="531"/>
      <c r="DA1062" s="2558"/>
      <c r="EI1062" s="2689" t="s">
        <v>11381</v>
      </c>
    </row>
    <row r="1063" spans="1:139" ht="29">
      <c r="A1063" s="532"/>
      <c r="AR1063" s="2513"/>
      <c r="BH1063" s="2406">
        <v>7728311533</v>
      </c>
      <c r="BI1063" s="2409" t="s">
        <v>2181</v>
      </c>
      <c r="BJ1063" s="2466">
        <v>146484</v>
      </c>
      <c r="BK1063" s="530"/>
      <c r="BV1063" s="3082" t="str">
        <f t="shared" si="16"/>
        <v/>
      </c>
      <c r="CT1063" s="531"/>
      <c r="DA1063" s="2558"/>
      <c r="EI1063" s="2689" t="s">
        <v>11382</v>
      </c>
    </row>
    <row r="1064" spans="1:139" ht="29">
      <c r="A1064" s="532"/>
      <c r="AR1064" s="2513"/>
      <c r="BH1064" s="2406">
        <v>7728533085</v>
      </c>
      <c r="BI1064" s="2409" t="s">
        <v>1858</v>
      </c>
      <c r="BJ1064" s="2466">
        <v>146452</v>
      </c>
      <c r="BK1064" s="530"/>
      <c r="BV1064" s="3082" t="str">
        <f t="shared" si="16"/>
        <v/>
      </c>
      <c r="CT1064" s="531"/>
      <c r="DA1064" s="2558"/>
      <c r="EI1064" s="2689" t="s">
        <v>11383</v>
      </c>
    </row>
    <row r="1065" spans="1:139" ht="72.5">
      <c r="A1065" s="532"/>
      <c r="AR1065" s="2513"/>
      <c r="BH1065" s="2406">
        <v>7728571179</v>
      </c>
      <c r="BI1065" s="2409" t="s">
        <v>2669</v>
      </c>
      <c r="BJ1065" s="2466">
        <v>254985</v>
      </c>
      <c r="BK1065" s="530"/>
      <c r="BV1065" s="3082" t="str">
        <f t="shared" si="16"/>
        <v/>
      </c>
      <c r="CT1065" s="531"/>
      <c r="DA1065" s="2558"/>
      <c r="EI1065" s="2689" t="s">
        <v>11384</v>
      </c>
    </row>
    <row r="1066" spans="1:139">
      <c r="A1066" s="532"/>
      <c r="AR1066" s="2513"/>
      <c r="BH1066" s="2406">
        <v>7728644821</v>
      </c>
      <c r="BI1066" s="2409" t="s">
        <v>5061</v>
      </c>
      <c r="BJ1066" s="2466">
        <v>99258</v>
      </c>
      <c r="BK1066" s="530"/>
      <c r="BV1066" s="3082" t="str">
        <f t="shared" si="16"/>
        <v/>
      </c>
      <c r="CT1066" s="531"/>
      <c r="DA1066" s="2558"/>
      <c r="EI1066" s="2689" t="s">
        <v>11385</v>
      </c>
    </row>
    <row r="1067" spans="1:139" ht="29">
      <c r="A1067" s="532"/>
      <c r="AR1067" s="2513"/>
      <c r="BH1067" s="2406">
        <v>7729352966</v>
      </c>
      <c r="BI1067" s="2409" t="s">
        <v>3108</v>
      </c>
      <c r="BJ1067" s="2466">
        <v>206201</v>
      </c>
      <c r="BK1067" s="530"/>
      <c r="BV1067" s="3082" t="str">
        <f t="shared" ref="BV1067:BV1130" si="17">CONCATENATE(LEFT(BU1067,8),RIGHT(BU1067,9))</f>
        <v/>
      </c>
      <c r="CT1067" s="531"/>
      <c r="DA1067" s="2558"/>
      <c r="EI1067" s="2689" t="s">
        <v>11386</v>
      </c>
    </row>
    <row r="1068" spans="1:139" ht="43.5">
      <c r="A1068" s="532"/>
      <c r="AR1068" s="2513"/>
      <c r="BH1068" s="2406">
        <v>7729503816</v>
      </c>
      <c r="BI1068" s="2409" t="s">
        <v>1934</v>
      </c>
      <c r="BJ1068" s="2466">
        <v>150241</v>
      </c>
      <c r="BK1068" s="530"/>
      <c r="BV1068" s="3082" t="str">
        <f t="shared" si="17"/>
        <v/>
      </c>
      <c r="CT1068" s="531"/>
      <c r="DA1068" s="2558"/>
      <c r="EI1068" s="2689" t="s">
        <v>11387</v>
      </c>
    </row>
    <row r="1069" spans="1:139" ht="87">
      <c r="A1069" s="532"/>
      <c r="AR1069" s="2513"/>
      <c r="BH1069" s="2406">
        <v>7729657870</v>
      </c>
      <c r="BI1069" s="2409" t="s">
        <v>2739</v>
      </c>
      <c r="BJ1069" s="2466">
        <v>413121</v>
      </c>
      <c r="BK1069" s="530"/>
      <c r="BV1069" s="3082" t="str">
        <f t="shared" si="17"/>
        <v/>
      </c>
      <c r="CT1069" s="531"/>
      <c r="DA1069" s="2558"/>
      <c r="EI1069" s="2689" t="s">
        <v>11388</v>
      </c>
    </row>
    <row r="1070" spans="1:139" ht="43.5">
      <c r="A1070" s="532"/>
      <c r="AR1070" s="2513"/>
      <c r="BH1070" s="2406">
        <v>7729709084</v>
      </c>
      <c r="BI1070" s="2409" t="s">
        <v>2714</v>
      </c>
      <c r="BJ1070" s="2466">
        <v>284397</v>
      </c>
      <c r="BK1070" s="530"/>
      <c r="BV1070" s="3082" t="str">
        <f t="shared" si="17"/>
        <v/>
      </c>
      <c r="CT1070" s="531"/>
      <c r="DA1070" s="2558"/>
      <c r="EI1070" s="2689" t="s">
        <v>11389</v>
      </c>
    </row>
    <row r="1071" spans="1:139" ht="43.5">
      <c r="A1071" s="532"/>
      <c r="AR1071" s="2513"/>
      <c r="BH1071" s="2406">
        <v>7730022627</v>
      </c>
      <c r="BI1071" s="2409" t="s">
        <v>2654</v>
      </c>
      <c r="BJ1071" s="2466">
        <v>233743</v>
      </c>
      <c r="BK1071" s="530"/>
      <c r="BV1071" s="3082" t="str">
        <f t="shared" si="17"/>
        <v/>
      </c>
      <c r="CT1071" s="531"/>
      <c r="DA1071" s="2558"/>
      <c r="EI1071" s="2689" t="s">
        <v>11390</v>
      </c>
    </row>
    <row r="1072" spans="1:139" ht="58">
      <c r="A1072" s="532"/>
      <c r="AR1072" s="2513"/>
      <c r="BH1072" s="2406">
        <v>7730036073</v>
      </c>
      <c r="BI1072" s="2409" t="s">
        <v>2041</v>
      </c>
      <c r="BJ1072" s="2466">
        <v>155333</v>
      </c>
      <c r="BK1072" s="530"/>
      <c r="BV1072" s="3082" t="str">
        <f t="shared" si="17"/>
        <v/>
      </c>
      <c r="CT1072" s="531"/>
      <c r="DA1072" s="2558"/>
      <c r="EI1072" s="2689" t="s">
        <v>11391</v>
      </c>
    </row>
    <row r="1073" spans="1:139" ht="43.5">
      <c r="A1073" s="532"/>
      <c r="AR1073" s="2513"/>
      <c r="BH1073" s="2406">
        <v>7730052050</v>
      </c>
      <c r="BI1073" s="2409" t="s">
        <v>2167</v>
      </c>
      <c r="BJ1073" s="2466">
        <v>138057</v>
      </c>
      <c r="BK1073" s="530"/>
      <c r="BV1073" s="3082" t="str">
        <f t="shared" si="17"/>
        <v/>
      </c>
      <c r="CT1073" s="531"/>
      <c r="DA1073" s="2558"/>
      <c r="EI1073" s="2689" t="s">
        <v>11392</v>
      </c>
    </row>
    <row r="1074" spans="1:139" ht="58">
      <c r="A1074" s="532"/>
      <c r="AR1074" s="2513"/>
      <c r="BH1074" s="2406">
        <v>7730130615</v>
      </c>
      <c r="BI1074" s="2409" t="s">
        <v>2272</v>
      </c>
      <c r="BJ1074" s="2466">
        <v>116933</v>
      </c>
      <c r="BK1074" s="530"/>
      <c r="BV1074" s="3082" t="str">
        <f t="shared" si="17"/>
        <v/>
      </c>
      <c r="CT1074" s="531"/>
      <c r="DA1074" s="2558"/>
      <c r="EI1074" s="2689" t="s">
        <v>11393</v>
      </c>
    </row>
    <row r="1075" spans="1:139">
      <c r="A1075" s="532"/>
      <c r="AR1075" s="2513"/>
      <c r="BH1075" s="2406">
        <v>7730176088</v>
      </c>
      <c r="BI1075" s="2409" t="s">
        <v>1973</v>
      </c>
      <c r="BJ1075" s="2466">
        <v>149499</v>
      </c>
      <c r="BK1075" s="530"/>
      <c r="BV1075" s="3082" t="str">
        <f t="shared" si="17"/>
        <v/>
      </c>
      <c r="CT1075" s="531"/>
      <c r="DA1075" s="2558"/>
      <c r="EI1075" s="2689" t="s">
        <v>11394</v>
      </c>
    </row>
    <row r="1076" spans="1:139" ht="43.5">
      <c r="A1076" s="532"/>
      <c r="AR1076" s="2513"/>
      <c r="BH1076" s="2406">
        <v>7730176610</v>
      </c>
      <c r="BI1076" s="2409" t="s">
        <v>5049</v>
      </c>
      <c r="BJ1076" s="2466">
        <v>152687</v>
      </c>
      <c r="BK1076" s="530"/>
      <c r="BV1076" s="3082" t="str">
        <f t="shared" si="17"/>
        <v/>
      </c>
      <c r="CT1076" s="531"/>
      <c r="DA1076" s="2558"/>
      <c r="EI1076" s="2689" t="s">
        <v>11395</v>
      </c>
    </row>
    <row r="1077" spans="1:139" ht="43.5">
      <c r="A1077" s="532"/>
      <c r="AR1077" s="2513"/>
      <c r="BH1077" s="2406">
        <v>7731048280</v>
      </c>
      <c r="BI1077" s="2409" t="s">
        <v>122</v>
      </c>
      <c r="BJ1077" s="2466">
        <v>423839</v>
      </c>
      <c r="BK1077" s="530"/>
      <c r="BV1077" s="3082" t="str">
        <f t="shared" si="17"/>
        <v/>
      </c>
      <c r="CT1077" s="531"/>
      <c r="DA1077" s="2558"/>
      <c r="EI1077" s="2689" t="s">
        <v>11396</v>
      </c>
    </row>
    <row r="1078" spans="1:139" ht="29">
      <c r="A1078" s="532"/>
      <c r="AR1078" s="2513"/>
      <c r="BH1078" s="2406">
        <v>7731202277</v>
      </c>
      <c r="BI1078" s="2409" t="s">
        <v>1534</v>
      </c>
      <c r="BJ1078" s="2466">
        <v>114541</v>
      </c>
      <c r="BK1078" s="530"/>
      <c r="BV1078" s="3082" t="str">
        <f t="shared" si="17"/>
        <v/>
      </c>
      <c r="CT1078" s="531"/>
      <c r="DA1078" s="2558"/>
      <c r="EI1078" s="2689" t="s">
        <v>11397</v>
      </c>
    </row>
    <row r="1079" spans="1:139" ht="58">
      <c r="A1079" s="532"/>
      <c r="AR1079" s="2513"/>
      <c r="BH1079" s="2406">
        <v>7733022865</v>
      </c>
      <c r="BI1079" s="2409" t="s">
        <v>1544</v>
      </c>
      <c r="BJ1079" s="2466">
        <v>138260</v>
      </c>
      <c r="BK1079" s="530"/>
      <c r="BV1079" s="3082" t="str">
        <f t="shared" si="17"/>
        <v/>
      </c>
      <c r="CT1079" s="531"/>
      <c r="DA1079" s="2558"/>
      <c r="EI1079" s="2689" t="s">
        <v>11398</v>
      </c>
    </row>
    <row r="1080" spans="1:139" ht="72.5">
      <c r="A1080" s="532"/>
      <c r="AR1080" s="2513"/>
      <c r="BH1080" s="2406">
        <v>7733026852</v>
      </c>
      <c r="BI1080" s="2409" t="s">
        <v>2056</v>
      </c>
      <c r="BJ1080" s="2466">
        <v>98216</v>
      </c>
      <c r="BK1080" s="530"/>
      <c r="BV1080" s="3082" t="str">
        <f t="shared" si="17"/>
        <v/>
      </c>
      <c r="CT1080" s="531"/>
      <c r="DA1080" s="2558"/>
      <c r="EI1080" s="2689" t="s">
        <v>11399</v>
      </c>
    </row>
    <row r="1081" spans="1:139" ht="29">
      <c r="A1081" s="532"/>
      <c r="AR1081" s="2513"/>
      <c r="BH1081" s="2406">
        <v>7734001770</v>
      </c>
      <c r="BI1081" s="2409" t="s">
        <v>2190</v>
      </c>
      <c r="BJ1081" s="2466">
        <v>191327</v>
      </c>
      <c r="BK1081" s="530"/>
      <c r="BV1081" s="3082" t="str">
        <f t="shared" si="17"/>
        <v/>
      </c>
      <c r="CT1081" s="531"/>
      <c r="DA1081" s="2558"/>
      <c r="EI1081" s="2689" t="s">
        <v>11400</v>
      </c>
    </row>
    <row r="1082" spans="1:139" ht="43.5">
      <c r="A1082" s="532"/>
      <c r="AR1082" s="2513"/>
      <c r="BH1082" s="2406">
        <v>7734033186</v>
      </c>
      <c r="BI1082" s="2409" t="s">
        <v>2168</v>
      </c>
      <c r="BJ1082" s="2466">
        <v>138360</v>
      </c>
      <c r="BK1082" s="530"/>
      <c r="BV1082" s="3082" t="str">
        <f t="shared" si="17"/>
        <v/>
      </c>
      <c r="CT1082" s="531"/>
      <c r="DA1082" s="2558"/>
      <c r="EI1082" s="2689" t="s">
        <v>11401</v>
      </c>
    </row>
    <row r="1083" spans="1:139" ht="43.5">
      <c r="A1083" s="532"/>
      <c r="AR1083" s="2513"/>
      <c r="BH1083" s="2406">
        <v>7734034550</v>
      </c>
      <c r="BI1083" s="2409" t="s">
        <v>2492</v>
      </c>
      <c r="BJ1083" s="2466">
        <v>347742</v>
      </c>
      <c r="BK1083" s="530"/>
      <c r="BV1083" s="3082" t="str">
        <f t="shared" si="17"/>
        <v/>
      </c>
      <c r="CT1083" s="531"/>
      <c r="DA1083" s="2558"/>
      <c r="EI1083" s="2689" t="s">
        <v>11402</v>
      </c>
    </row>
    <row r="1084" spans="1:139" ht="43.5">
      <c r="A1084" s="532"/>
      <c r="AR1084" s="2513"/>
      <c r="BH1084" s="2406">
        <v>7734036420</v>
      </c>
      <c r="BI1084" s="2409" t="s">
        <v>2307</v>
      </c>
      <c r="BJ1084" s="2466">
        <v>97080</v>
      </c>
      <c r="BK1084" s="530"/>
      <c r="BV1084" s="3082" t="str">
        <f t="shared" si="17"/>
        <v/>
      </c>
      <c r="CT1084" s="531"/>
      <c r="DA1084" s="2558"/>
      <c r="EI1084" s="2689" t="s">
        <v>11403</v>
      </c>
    </row>
    <row r="1085" spans="1:139">
      <c r="A1085" s="532"/>
      <c r="AR1085" s="2513"/>
      <c r="BH1085" s="2406">
        <v>7734052252</v>
      </c>
      <c r="BI1085" s="2409" t="s">
        <v>2028</v>
      </c>
      <c r="BJ1085" s="2466">
        <v>155981</v>
      </c>
      <c r="BK1085" s="530"/>
      <c r="BV1085" s="3082" t="str">
        <f t="shared" si="17"/>
        <v/>
      </c>
      <c r="CT1085" s="531"/>
      <c r="DA1085" s="2558"/>
      <c r="EI1085" s="2689" t="s">
        <v>11404</v>
      </c>
    </row>
    <row r="1086" spans="1:139" ht="43.5">
      <c r="A1086" s="532"/>
      <c r="AR1086" s="2513"/>
      <c r="BH1086" s="2406">
        <v>7734111035</v>
      </c>
      <c r="BI1086" s="2409" t="s">
        <v>2410</v>
      </c>
      <c r="BJ1086" s="2466">
        <v>99352</v>
      </c>
      <c r="BK1086" s="530"/>
      <c r="BV1086" s="3082" t="str">
        <f t="shared" si="17"/>
        <v/>
      </c>
      <c r="CT1086" s="531"/>
      <c r="DA1086" s="2558"/>
      <c r="EI1086" s="2689" t="s">
        <v>11405</v>
      </c>
    </row>
    <row r="1087" spans="1:139" ht="43.5">
      <c r="A1087" s="532"/>
      <c r="AR1087" s="2513"/>
      <c r="BH1087" s="2406">
        <v>7734118560</v>
      </c>
      <c r="BI1087" s="2409" t="s">
        <v>2184</v>
      </c>
      <c r="BJ1087" s="2466">
        <v>99162</v>
      </c>
      <c r="BK1087" s="530"/>
      <c r="BV1087" s="3082" t="str">
        <f t="shared" si="17"/>
        <v/>
      </c>
      <c r="CT1087" s="531"/>
      <c r="DA1087" s="2558"/>
      <c r="EI1087" s="2689" t="s">
        <v>11406</v>
      </c>
    </row>
    <row r="1088" spans="1:139" ht="72.5">
      <c r="A1088" s="532"/>
      <c r="AR1088" s="2513"/>
      <c r="BH1088" s="2406">
        <v>7734134547</v>
      </c>
      <c r="BI1088" s="2409" t="s">
        <v>450</v>
      </c>
      <c r="BJ1088" s="2466">
        <v>100067</v>
      </c>
      <c r="BK1088" s="530"/>
      <c r="BV1088" s="3082" t="str">
        <f t="shared" si="17"/>
        <v/>
      </c>
      <c r="CT1088" s="531"/>
      <c r="DA1088" s="2558"/>
      <c r="EI1088" s="2689" t="s">
        <v>11407</v>
      </c>
    </row>
    <row r="1089" spans="1:139" ht="58">
      <c r="A1089" s="532"/>
      <c r="AR1089" s="2513"/>
      <c r="BH1089" s="2405">
        <v>7734246018</v>
      </c>
      <c r="BI1089" s="2405" t="s">
        <v>6767</v>
      </c>
      <c r="BJ1089" s="2466">
        <v>138417</v>
      </c>
      <c r="BK1089" s="530"/>
      <c r="BV1089" s="3082" t="str">
        <f t="shared" si="17"/>
        <v/>
      </c>
      <c r="CT1089" s="531"/>
      <c r="DA1089" s="2558"/>
      <c r="EI1089" s="2689" t="s">
        <v>11408</v>
      </c>
    </row>
    <row r="1090" spans="1:139">
      <c r="A1090" s="532"/>
      <c r="AR1090" s="2513"/>
      <c r="BH1090" s="2406">
        <v>7734255830</v>
      </c>
      <c r="BI1090" s="2409" t="s">
        <v>1944</v>
      </c>
      <c r="BJ1090" s="2466">
        <v>162590</v>
      </c>
      <c r="BK1090" s="530"/>
      <c r="BV1090" s="3082" t="str">
        <f t="shared" si="17"/>
        <v/>
      </c>
      <c r="CT1090" s="531"/>
      <c r="DA1090" s="2558"/>
      <c r="EI1090" s="2689" t="s">
        <v>11409</v>
      </c>
    </row>
    <row r="1091" spans="1:139" ht="43.5">
      <c r="A1091" s="532"/>
      <c r="AR1091" s="2513"/>
      <c r="BH1091" s="2406">
        <v>7734268974</v>
      </c>
      <c r="BI1091" s="2409" t="s">
        <v>2396</v>
      </c>
      <c r="BJ1091" s="2466">
        <v>232639</v>
      </c>
      <c r="BK1091" s="530"/>
      <c r="BV1091" s="3082" t="str">
        <f t="shared" si="17"/>
        <v/>
      </c>
      <c r="CT1091" s="531"/>
      <c r="DA1091" s="2558"/>
      <c r="EI1091" s="2689" t="s">
        <v>11410</v>
      </c>
    </row>
    <row r="1092" spans="1:139" ht="29">
      <c r="A1092" s="532"/>
      <c r="AR1092" s="2513"/>
      <c r="BH1092" s="2406">
        <v>7734581136</v>
      </c>
      <c r="BI1092" s="2409" t="s">
        <v>3105</v>
      </c>
      <c r="BJ1092" s="2466">
        <v>154457</v>
      </c>
      <c r="BK1092" s="530"/>
      <c r="BV1092" s="3082" t="str">
        <f t="shared" si="17"/>
        <v/>
      </c>
      <c r="CT1092" s="531"/>
      <c r="DA1092" s="2558"/>
      <c r="EI1092" s="2689" t="s">
        <v>11411</v>
      </c>
    </row>
    <row r="1093" spans="1:139" ht="29">
      <c r="A1093" s="532"/>
      <c r="AR1093" s="2513"/>
      <c r="BH1093" s="2405">
        <v>7734653790</v>
      </c>
      <c r="BI1093" s="2405" t="s">
        <v>1627</v>
      </c>
      <c r="BJ1093" s="2466">
        <v>204504</v>
      </c>
      <c r="BK1093" s="530"/>
      <c r="BV1093" s="3082" t="str">
        <f t="shared" si="17"/>
        <v/>
      </c>
      <c r="CT1093" s="531"/>
      <c r="DA1093" s="2558"/>
      <c r="EI1093" s="2689" t="s">
        <v>11412</v>
      </c>
    </row>
    <row r="1094" spans="1:139" ht="43.5">
      <c r="A1094" s="532"/>
      <c r="AR1094" s="2513"/>
      <c r="BH1094" s="2405">
        <v>7734667104</v>
      </c>
      <c r="BI1094" s="2405" t="s">
        <v>1633</v>
      </c>
      <c r="BJ1094" s="2466">
        <v>225805</v>
      </c>
      <c r="BK1094" s="530"/>
      <c r="BV1094" s="3082" t="str">
        <f t="shared" si="17"/>
        <v/>
      </c>
      <c r="CT1094" s="531"/>
      <c r="DA1094" s="2558"/>
      <c r="EI1094" s="2689" t="s">
        <v>11413</v>
      </c>
    </row>
    <row r="1095" spans="1:139" ht="43.5">
      <c r="A1095" s="532"/>
      <c r="AR1095" s="2513"/>
      <c r="BH1095" s="2406">
        <v>7735019219</v>
      </c>
      <c r="BI1095" s="2409" t="s">
        <v>2938</v>
      </c>
      <c r="BJ1095" s="2466">
        <v>138454</v>
      </c>
      <c r="BK1095" s="530"/>
      <c r="BV1095" s="3082" t="str">
        <f t="shared" si="17"/>
        <v/>
      </c>
      <c r="CT1095" s="531"/>
      <c r="DA1095" s="2558"/>
      <c r="EI1095" s="2689" t="s">
        <v>11414</v>
      </c>
    </row>
    <row r="1096" spans="1:139" ht="29">
      <c r="A1096" s="532"/>
      <c r="AR1096" s="2513"/>
      <c r="BH1096" s="2406">
        <v>7736028978</v>
      </c>
      <c r="BI1096" s="2409" t="s">
        <v>2191</v>
      </c>
      <c r="BJ1096" s="2466">
        <v>118214</v>
      </c>
      <c r="BK1096" s="530"/>
      <c r="BV1096" s="3082" t="str">
        <f t="shared" si="17"/>
        <v/>
      </c>
      <c r="CT1096" s="531"/>
      <c r="DA1096" s="2558"/>
      <c r="EI1096" s="2689" t="s">
        <v>11415</v>
      </c>
    </row>
    <row r="1097" spans="1:139" ht="29">
      <c r="A1097" s="532"/>
      <c r="AR1097" s="2513"/>
      <c r="BH1097" s="2408">
        <v>7736035485</v>
      </c>
      <c r="BI1097" s="2409" t="s">
        <v>5052</v>
      </c>
      <c r="BJ1097" s="2569">
        <v>150887</v>
      </c>
      <c r="BK1097" s="530"/>
      <c r="BV1097" s="3082" t="str">
        <f t="shared" si="17"/>
        <v/>
      </c>
      <c r="CT1097" s="531"/>
      <c r="DA1097" s="2558"/>
      <c r="EI1097" s="2689" t="s">
        <v>11416</v>
      </c>
    </row>
    <row r="1098" spans="1:139" ht="29">
      <c r="A1098" s="532"/>
      <c r="AR1098" s="2513"/>
      <c r="BH1098" s="2406">
        <v>7736042404</v>
      </c>
      <c r="BI1098" s="2409" t="s">
        <v>2048</v>
      </c>
      <c r="BJ1098" s="2466">
        <v>99412</v>
      </c>
      <c r="BK1098" s="530"/>
      <c r="BV1098" s="3082" t="str">
        <f t="shared" si="17"/>
        <v/>
      </c>
      <c r="CT1098" s="531"/>
      <c r="DA1098" s="2558"/>
      <c r="EI1098" s="2689" t="s">
        <v>11417</v>
      </c>
    </row>
    <row r="1099" spans="1:139" ht="43.5">
      <c r="A1099" s="532"/>
      <c r="AR1099" s="2513"/>
      <c r="BH1099" s="2406">
        <v>7736046504</v>
      </c>
      <c r="BI1099" s="2409" t="s">
        <v>186</v>
      </c>
      <c r="BJ1099" s="2466">
        <v>319844</v>
      </c>
      <c r="BK1099" s="530"/>
      <c r="BV1099" s="3082" t="str">
        <f t="shared" si="17"/>
        <v/>
      </c>
      <c r="CT1099" s="531"/>
      <c r="DA1099" s="2558"/>
      <c r="EI1099" s="2689" t="s">
        <v>11418</v>
      </c>
    </row>
    <row r="1100" spans="1:139" ht="43.5">
      <c r="A1100" s="532"/>
      <c r="AR1100" s="2513"/>
      <c r="BH1100" s="2406">
        <v>7736050003</v>
      </c>
      <c r="BI1100" s="2409" t="s">
        <v>2240</v>
      </c>
      <c r="BJ1100" s="2466">
        <v>138526</v>
      </c>
      <c r="BK1100" s="530"/>
      <c r="BV1100" s="3082" t="str">
        <f t="shared" si="17"/>
        <v/>
      </c>
      <c r="CT1100" s="531"/>
      <c r="DA1100" s="2558"/>
      <c r="EI1100" s="2689" t="s">
        <v>11419</v>
      </c>
    </row>
    <row r="1101" spans="1:139" ht="29">
      <c r="A1101" s="532"/>
      <c r="AR1101" s="2513"/>
      <c r="BH1101" s="2406">
        <v>7736093127</v>
      </c>
      <c r="BI1101" s="2409" t="s">
        <v>1904</v>
      </c>
      <c r="BJ1101" s="2466">
        <v>138532</v>
      </c>
      <c r="BK1101" s="530"/>
      <c r="BV1101" s="3082" t="str">
        <f t="shared" si="17"/>
        <v/>
      </c>
      <c r="CT1101" s="531"/>
      <c r="DA1101" s="2558"/>
      <c r="EI1101" s="2689" t="s">
        <v>11420</v>
      </c>
    </row>
    <row r="1102" spans="1:139" ht="72.5">
      <c r="A1102" s="532"/>
      <c r="AR1102" s="2513"/>
      <c r="BH1102" s="2406">
        <v>7736520080</v>
      </c>
      <c r="BI1102" s="2409" t="s">
        <v>5058</v>
      </c>
      <c r="BJ1102" s="2466">
        <v>153625</v>
      </c>
      <c r="BK1102" s="530"/>
      <c r="BV1102" s="3082" t="str">
        <f t="shared" si="17"/>
        <v/>
      </c>
      <c r="CT1102" s="531"/>
      <c r="DA1102" s="2558"/>
      <c r="EI1102" s="2689" t="s">
        <v>11421</v>
      </c>
    </row>
    <row r="1103" spans="1:139" ht="43.5">
      <c r="A1103" s="532"/>
      <c r="AR1103" s="2513"/>
      <c r="BH1103" s="2405">
        <v>7736554699</v>
      </c>
      <c r="BI1103" s="2405" t="s">
        <v>3927</v>
      </c>
      <c r="BJ1103" s="2466">
        <v>356</v>
      </c>
      <c r="BK1103" s="530"/>
      <c r="BV1103" s="3082" t="str">
        <f t="shared" si="17"/>
        <v/>
      </c>
      <c r="CT1103" s="531"/>
      <c r="DA1103" s="2558"/>
      <c r="EI1103" s="2689" t="s">
        <v>11422</v>
      </c>
    </row>
    <row r="1104" spans="1:139" ht="72.5">
      <c r="A1104" s="532"/>
      <c r="AR1104" s="2513"/>
      <c r="BH1104" s="2406">
        <v>7736634760</v>
      </c>
      <c r="BI1104" s="2409" t="s">
        <v>2650</v>
      </c>
      <c r="BJ1104" s="2466">
        <v>228811</v>
      </c>
      <c r="BK1104" s="530"/>
      <c r="BV1104" s="3082" t="str">
        <f t="shared" si="17"/>
        <v/>
      </c>
      <c r="CT1104" s="531"/>
      <c r="DA1104" s="2558"/>
      <c r="EI1104" s="2689" t="s">
        <v>11423</v>
      </c>
    </row>
    <row r="1105" spans="1:139" ht="29">
      <c r="A1105" s="532"/>
      <c r="AR1105" s="2513"/>
      <c r="BH1105" s="2406">
        <v>7737080280</v>
      </c>
      <c r="BI1105" s="2409" t="s">
        <v>3123</v>
      </c>
      <c r="BJ1105" s="2466">
        <v>238995</v>
      </c>
      <c r="BK1105" s="530"/>
      <c r="BV1105" s="3082" t="str">
        <f t="shared" si="17"/>
        <v/>
      </c>
      <c r="CT1105" s="531"/>
      <c r="DA1105" s="2558"/>
      <c r="EI1105" s="2689" t="s">
        <v>11424</v>
      </c>
    </row>
    <row r="1106" spans="1:139" ht="43.5">
      <c r="A1106" s="532"/>
      <c r="AR1106" s="2513"/>
      <c r="BH1106" s="2406">
        <v>7737106202</v>
      </c>
      <c r="BI1106" s="2409" t="s">
        <v>1872</v>
      </c>
      <c r="BJ1106" s="2466">
        <v>393322</v>
      </c>
      <c r="BK1106" s="530"/>
      <c r="BV1106" s="3082" t="str">
        <f t="shared" si="17"/>
        <v/>
      </c>
      <c r="CT1106" s="531"/>
      <c r="DA1106" s="2558"/>
      <c r="EI1106" s="2689" t="s">
        <v>11425</v>
      </c>
    </row>
    <row r="1107" spans="1:139" ht="43.5">
      <c r="A1107" s="532"/>
      <c r="AR1107" s="2513"/>
      <c r="BH1107" s="2406">
        <v>7740000051</v>
      </c>
      <c r="BI1107" s="2409" t="s">
        <v>2624</v>
      </c>
      <c r="BJ1107" s="2466">
        <v>205062</v>
      </c>
      <c r="BK1107" s="530"/>
      <c r="BV1107" s="3082" t="str">
        <f t="shared" si="17"/>
        <v/>
      </c>
      <c r="CT1107" s="531"/>
      <c r="DA1107" s="2558"/>
      <c r="EI1107" s="2689" t="s">
        <v>11426</v>
      </c>
    </row>
    <row r="1108" spans="1:139" ht="29">
      <c r="A1108" s="532"/>
      <c r="AR1108" s="2513"/>
      <c r="BH1108" s="2406">
        <v>7743010001</v>
      </c>
      <c r="BI1108" s="2409" t="s">
        <v>3621</v>
      </c>
      <c r="BJ1108" s="2466">
        <v>181131</v>
      </c>
      <c r="BK1108" s="530"/>
      <c r="BV1108" s="3082" t="str">
        <f t="shared" si="17"/>
        <v/>
      </c>
      <c r="CT1108" s="531"/>
      <c r="DA1108" s="2558"/>
      <c r="EI1108" s="2689" t="s">
        <v>11427</v>
      </c>
    </row>
    <row r="1109" spans="1:139" ht="29">
      <c r="A1109" s="532"/>
      <c r="AR1109" s="2513"/>
      <c r="BH1109" s="2405">
        <v>7743757065</v>
      </c>
      <c r="BI1109" s="2405" t="s">
        <v>6735</v>
      </c>
      <c r="BJ1109" s="2466">
        <v>480639</v>
      </c>
      <c r="BK1109" s="530"/>
      <c r="BV1109" s="3082" t="str">
        <f t="shared" si="17"/>
        <v/>
      </c>
      <c r="CT1109" s="531"/>
      <c r="DA1109" s="2558"/>
      <c r="EI1109" s="2689" t="s">
        <v>11428</v>
      </c>
    </row>
    <row r="1110" spans="1:139" ht="29">
      <c r="A1110" s="532"/>
      <c r="AR1110" s="2513"/>
      <c r="BH1110" s="2406">
        <v>7743763118</v>
      </c>
      <c r="BI1110" s="2409" t="s">
        <v>2946</v>
      </c>
      <c r="BJ1110" s="2466">
        <v>226802</v>
      </c>
      <c r="BK1110" s="530"/>
      <c r="BV1110" s="3082" t="str">
        <f t="shared" si="17"/>
        <v/>
      </c>
      <c r="CT1110" s="531"/>
      <c r="DA1110" s="2558"/>
      <c r="EI1110" s="2689" t="s">
        <v>11429</v>
      </c>
    </row>
    <row r="1111" spans="1:139" ht="29">
      <c r="A1111" s="532"/>
      <c r="AR1111" s="2513"/>
      <c r="BH1111" s="2406">
        <v>7743767105</v>
      </c>
      <c r="BI1111" s="2409" t="s">
        <v>2623</v>
      </c>
      <c r="BJ1111" s="2466">
        <v>244481</v>
      </c>
      <c r="BK1111" s="530"/>
      <c r="BV1111" s="3082" t="str">
        <f t="shared" si="17"/>
        <v/>
      </c>
      <c r="CT1111" s="531"/>
      <c r="DA1111" s="2558"/>
      <c r="EI1111" s="2689" t="s">
        <v>11430</v>
      </c>
    </row>
    <row r="1112" spans="1:139" ht="43.5">
      <c r="A1112" s="532"/>
      <c r="AR1112" s="2513"/>
      <c r="BH1112" s="2406">
        <v>7743799040</v>
      </c>
      <c r="BI1112" s="2409" t="s">
        <v>2617</v>
      </c>
      <c r="BJ1112" s="2466">
        <v>257850</v>
      </c>
      <c r="BK1112" s="530"/>
      <c r="BV1112" s="3082" t="str">
        <f t="shared" si="17"/>
        <v/>
      </c>
      <c r="CT1112" s="531"/>
      <c r="DA1112" s="2558"/>
      <c r="EI1112" s="2689" t="s">
        <v>11431</v>
      </c>
    </row>
    <row r="1113" spans="1:139" ht="29">
      <c r="A1113" s="532"/>
      <c r="AR1113" s="2513"/>
      <c r="BH1113" s="2406">
        <v>7743813954</v>
      </c>
      <c r="BI1113" s="2409" t="s">
        <v>2587</v>
      </c>
      <c r="BJ1113" s="2466">
        <v>217215</v>
      </c>
      <c r="BK1113" s="530"/>
      <c r="BV1113" s="3082" t="str">
        <f t="shared" si="17"/>
        <v/>
      </c>
      <c r="CT1113" s="531"/>
      <c r="DA1113" s="2558"/>
      <c r="EI1113" s="2689" t="s">
        <v>11432</v>
      </c>
    </row>
    <row r="1114" spans="1:139" ht="43.5">
      <c r="A1114" s="532"/>
      <c r="AR1114" s="2513"/>
      <c r="BH1114" s="2406">
        <v>7743832185</v>
      </c>
      <c r="BI1114" s="2409" t="s">
        <v>2382</v>
      </c>
      <c r="BJ1114" s="2466">
        <v>317741</v>
      </c>
      <c r="BK1114" s="530"/>
      <c r="BV1114" s="3082" t="str">
        <f t="shared" si="17"/>
        <v/>
      </c>
      <c r="CT1114" s="531"/>
      <c r="DA1114" s="2558"/>
      <c r="EI1114" s="2689" t="s">
        <v>11433</v>
      </c>
    </row>
    <row r="1115" spans="1:139" ht="29">
      <c r="A1115" s="532"/>
      <c r="AR1115" s="2513"/>
      <c r="BH1115" s="2406">
        <v>7744001497</v>
      </c>
      <c r="BI1115" s="2409" t="s">
        <v>4235</v>
      </c>
      <c r="BJ1115" s="2569">
        <v>151105</v>
      </c>
      <c r="BK1115" s="530"/>
      <c r="BV1115" s="3082" t="str">
        <f t="shared" si="17"/>
        <v/>
      </c>
      <c r="CT1115" s="531"/>
      <c r="DA1115" s="2558"/>
      <c r="EI1115" s="2689" t="s">
        <v>11434</v>
      </c>
    </row>
    <row r="1116" spans="1:139" ht="29">
      <c r="A1116" s="532"/>
      <c r="AR1116" s="2513"/>
      <c r="BH1116" s="2406">
        <v>7750004150</v>
      </c>
      <c r="BI1116" s="2409" t="s">
        <v>2305</v>
      </c>
      <c r="BJ1116" s="2569">
        <v>155731</v>
      </c>
      <c r="BK1116" s="530"/>
      <c r="BV1116" s="3082" t="str">
        <f t="shared" si="17"/>
        <v/>
      </c>
      <c r="CT1116" s="531"/>
      <c r="DA1116" s="2558"/>
      <c r="EI1116" s="2689" t="s">
        <v>11435</v>
      </c>
    </row>
    <row r="1117" spans="1:139">
      <c r="A1117" s="532"/>
      <c r="AR1117" s="2513"/>
      <c r="BH1117" s="2406">
        <v>7801002274</v>
      </c>
      <c r="BI1117" s="2409" t="s">
        <v>1542</v>
      </c>
      <c r="BJ1117" s="2466">
        <v>98916</v>
      </c>
      <c r="BK1117" s="530"/>
      <c r="BV1117" s="3082" t="str">
        <f t="shared" si="17"/>
        <v/>
      </c>
      <c r="CT1117" s="531"/>
      <c r="DA1117" s="2558"/>
      <c r="EI1117" s="2689" t="s">
        <v>11436</v>
      </c>
    </row>
    <row r="1118" spans="1:139" ht="72.5">
      <c r="A1118" s="532"/>
      <c r="AR1118" s="2513"/>
      <c r="BH1118" s="2406">
        <v>7801032920</v>
      </c>
      <c r="BI1118" s="2409" t="s">
        <v>141</v>
      </c>
      <c r="BJ1118" s="2466">
        <v>138747</v>
      </c>
      <c r="BK1118" s="530"/>
      <c r="BV1118" s="3082" t="str">
        <f t="shared" si="17"/>
        <v/>
      </c>
      <c r="CT1118" s="531"/>
      <c r="DA1118" s="2558"/>
      <c r="EI1118" s="2689" t="s">
        <v>11437</v>
      </c>
    </row>
    <row r="1119" spans="1:139" ht="43.5">
      <c r="A1119" s="532"/>
      <c r="AR1119" s="2513"/>
      <c r="BH1119" s="2406">
        <v>7801258484</v>
      </c>
      <c r="BI1119" s="2409" t="s">
        <v>106</v>
      </c>
      <c r="BJ1119" s="2466">
        <v>138802</v>
      </c>
      <c r="BK1119" s="530"/>
      <c r="BV1119" s="3082" t="str">
        <f t="shared" si="17"/>
        <v/>
      </c>
      <c r="CT1119" s="531"/>
      <c r="DA1119" s="2558"/>
      <c r="EI1119" s="2689" t="s">
        <v>11438</v>
      </c>
    </row>
    <row r="1120" spans="1:139" ht="58">
      <c r="A1120" s="532"/>
      <c r="AR1120" s="2513"/>
      <c r="BH1120" s="2406">
        <v>7801268130</v>
      </c>
      <c r="BI1120" s="2409" t="s">
        <v>196</v>
      </c>
      <c r="BJ1120" s="2466">
        <v>354</v>
      </c>
      <c r="BK1120" s="530"/>
      <c r="BV1120" s="3082" t="str">
        <f t="shared" si="17"/>
        <v/>
      </c>
      <c r="CT1120" s="531"/>
      <c r="DA1120" s="2558"/>
      <c r="EI1120" s="2689" t="s">
        <v>11439</v>
      </c>
    </row>
    <row r="1121" spans="1:139" ht="29">
      <c r="A1121" s="532"/>
      <c r="AR1121" s="2513"/>
      <c r="BH1121" s="2406">
        <v>7801441680</v>
      </c>
      <c r="BI1121" s="2409" t="s">
        <v>2767</v>
      </c>
      <c r="BJ1121" s="2466">
        <v>138826</v>
      </c>
      <c r="BK1121" s="530"/>
      <c r="BV1121" s="3082" t="str">
        <f t="shared" si="17"/>
        <v/>
      </c>
      <c r="CT1121" s="531"/>
      <c r="DA1121" s="2558"/>
      <c r="EI1121" s="2689" t="s">
        <v>11440</v>
      </c>
    </row>
    <row r="1122" spans="1:139" ht="58">
      <c r="A1122" s="532"/>
      <c r="AR1122" s="2513"/>
      <c r="BH1122" s="2406">
        <v>7801486515</v>
      </c>
      <c r="BI1122" s="2409" t="s">
        <v>2182</v>
      </c>
      <c r="BJ1122" s="2466">
        <v>243587</v>
      </c>
      <c r="BK1122" s="530"/>
      <c r="BV1122" s="3082" t="str">
        <f t="shared" si="17"/>
        <v/>
      </c>
      <c r="CT1122" s="531"/>
      <c r="DA1122" s="2558"/>
      <c r="EI1122" s="2689" t="s">
        <v>11441</v>
      </c>
    </row>
    <row r="1123" spans="1:139" ht="43.5">
      <c r="A1123" s="532"/>
      <c r="AR1123" s="2513"/>
      <c r="BH1123" s="2406">
        <v>7801508230</v>
      </c>
      <c r="BI1123" s="2409" t="s">
        <v>1271</v>
      </c>
      <c r="BJ1123" s="2466">
        <v>204621</v>
      </c>
      <c r="BK1123" s="530"/>
      <c r="BV1123" s="3082" t="str">
        <f t="shared" si="17"/>
        <v/>
      </c>
      <c r="CT1123" s="531"/>
      <c r="DA1123" s="2558"/>
      <c r="EI1123" s="2689" t="s">
        <v>11442</v>
      </c>
    </row>
    <row r="1124" spans="1:139">
      <c r="A1124" s="532"/>
      <c r="AR1124" s="2513"/>
      <c r="BH1124" s="2406">
        <v>7802206376</v>
      </c>
      <c r="BI1124" s="2409" t="s">
        <v>2724</v>
      </c>
      <c r="BJ1124" s="2466">
        <v>215974</v>
      </c>
      <c r="BK1124" s="530"/>
      <c r="BV1124" s="3082" t="str">
        <f t="shared" si="17"/>
        <v/>
      </c>
      <c r="CT1124" s="531"/>
      <c r="DA1124" s="2558"/>
      <c r="EI1124" s="2689" t="s">
        <v>11443</v>
      </c>
    </row>
    <row r="1125" spans="1:139" ht="87">
      <c r="A1125" s="532"/>
      <c r="AR1125" s="2513"/>
      <c r="BH1125" s="2406">
        <v>7802312751</v>
      </c>
      <c r="BI1125" s="2409" t="s">
        <v>2269</v>
      </c>
      <c r="BJ1125" s="2466">
        <v>138936</v>
      </c>
      <c r="BK1125" s="530"/>
      <c r="BV1125" s="3082" t="str">
        <f t="shared" si="17"/>
        <v/>
      </c>
      <c r="CT1125" s="531"/>
      <c r="DA1125" s="2558"/>
      <c r="EI1125" s="2689" t="s">
        <v>11444</v>
      </c>
    </row>
    <row r="1126" spans="1:139" ht="58">
      <c r="A1126" s="532"/>
      <c r="AR1126" s="2513"/>
      <c r="BH1126" s="2406">
        <v>7802437292</v>
      </c>
      <c r="BI1126" s="2409" t="s">
        <v>2343</v>
      </c>
      <c r="BJ1126" s="2466">
        <v>183926</v>
      </c>
      <c r="BK1126" s="530"/>
      <c r="BV1126" s="3082" t="str">
        <f t="shared" si="17"/>
        <v/>
      </c>
      <c r="CT1126" s="531"/>
      <c r="DA1126" s="2558"/>
      <c r="EI1126" s="2689" t="s">
        <v>11445</v>
      </c>
    </row>
    <row r="1127" spans="1:139" ht="29">
      <c r="A1127" s="532"/>
      <c r="AR1127" s="2513"/>
      <c r="BH1127" s="2406">
        <v>7802472890</v>
      </c>
      <c r="BI1127" s="2409" t="s">
        <v>2722</v>
      </c>
      <c r="BJ1127" s="2466">
        <v>179487</v>
      </c>
      <c r="BK1127" s="530"/>
      <c r="BV1127" s="3082" t="str">
        <f t="shared" si="17"/>
        <v/>
      </c>
      <c r="CT1127" s="531"/>
      <c r="DA1127" s="2558"/>
      <c r="EI1127" s="2689" t="s">
        <v>11446</v>
      </c>
    </row>
    <row r="1128" spans="1:139" ht="72.5">
      <c r="A1128" s="532"/>
      <c r="AR1128" s="2513"/>
      <c r="BH1128" s="2406">
        <v>7803002209</v>
      </c>
      <c r="BI1128" s="2409" t="s">
        <v>2262</v>
      </c>
      <c r="BJ1128" s="2466">
        <v>115534</v>
      </c>
      <c r="BK1128" s="530"/>
      <c r="BV1128" s="3082" t="str">
        <f t="shared" si="17"/>
        <v/>
      </c>
      <c r="CT1128" s="531"/>
      <c r="DA1128" s="2558"/>
      <c r="EI1128" s="2689" t="s">
        <v>11447</v>
      </c>
    </row>
    <row r="1129" spans="1:139" ht="43.5">
      <c r="A1129" s="532"/>
      <c r="AR1129" s="2513"/>
      <c r="BH1129" s="2405">
        <v>7803052947</v>
      </c>
      <c r="BI1129" s="2405" t="s">
        <v>6733</v>
      </c>
      <c r="BJ1129" s="2569">
        <v>110711</v>
      </c>
      <c r="BK1129" s="530"/>
      <c r="BV1129" s="3082" t="str">
        <f t="shared" si="17"/>
        <v/>
      </c>
      <c r="CT1129" s="531"/>
      <c r="DA1129" s="2558"/>
      <c r="EI1129" s="2689" t="s">
        <v>11448</v>
      </c>
    </row>
    <row r="1130" spans="1:139" ht="29">
      <c r="A1130" s="532"/>
      <c r="AR1130" s="2513"/>
      <c r="BH1130" s="2406">
        <v>7804040077</v>
      </c>
      <c r="BI1130" s="2409" t="s">
        <v>5063</v>
      </c>
      <c r="BJ1130" s="2466">
        <v>99422</v>
      </c>
      <c r="BK1130" s="530"/>
      <c r="BV1130" s="3082" t="str">
        <f t="shared" si="17"/>
        <v/>
      </c>
      <c r="CT1130" s="531"/>
      <c r="DA1130" s="2558"/>
      <c r="EI1130" s="2689" t="s">
        <v>11449</v>
      </c>
    </row>
    <row r="1131" spans="1:139" ht="58">
      <c r="A1131" s="532"/>
      <c r="AR1131" s="2513"/>
      <c r="BH1131" s="2406">
        <v>7804328725</v>
      </c>
      <c r="BI1131" s="2409" t="s">
        <v>3597</v>
      </c>
      <c r="BJ1131" s="2466">
        <v>147579</v>
      </c>
      <c r="BK1131" s="530"/>
      <c r="BV1131" s="3082" t="str">
        <f t="shared" ref="BV1131:BV1194" si="18">CONCATENATE(LEFT(BU1131,8),RIGHT(BU1131,9))</f>
        <v/>
      </c>
      <c r="CT1131" s="531"/>
      <c r="DA1131" s="2558"/>
      <c r="EI1131" s="2689" t="s">
        <v>11450</v>
      </c>
    </row>
    <row r="1132" spans="1:139" ht="43.5">
      <c r="A1132" s="532"/>
      <c r="AR1132" s="2513"/>
      <c r="BH1132" s="2406">
        <v>7804352044</v>
      </c>
      <c r="BI1132" s="2409" t="s">
        <v>2752</v>
      </c>
      <c r="BJ1132" s="2466">
        <v>97566</v>
      </c>
      <c r="BK1132" s="530"/>
      <c r="BV1132" s="3082" t="str">
        <f t="shared" si="18"/>
        <v/>
      </c>
      <c r="CT1132" s="531"/>
      <c r="DA1132" s="2558"/>
      <c r="EI1132" s="2689" t="s">
        <v>11451</v>
      </c>
    </row>
    <row r="1133" spans="1:139" ht="43.5">
      <c r="A1133" s="532"/>
      <c r="AR1133" s="2513"/>
      <c r="BH1133" s="2406">
        <v>7805005251</v>
      </c>
      <c r="BI1133" s="2409" t="s">
        <v>1387</v>
      </c>
      <c r="BJ1133" s="2466">
        <v>110725</v>
      </c>
      <c r="BK1133" s="530"/>
      <c r="BV1133" s="3082" t="str">
        <f t="shared" si="18"/>
        <v/>
      </c>
      <c r="CT1133" s="531"/>
      <c r="DA1133" s="2558"/>
      <c r="EI1133" s="2689" t="s">
        <v>11452</v>
      </c>
    </row>
    <row r="1134" spans="1:139" ht="43.5">
      <c r="A1134" s="532"/>
      <c r="AR1134" s="2513"/>
      <c r="BH1134" s="2406">
        <v>7805018099</v>
      </c>
      <c r="BI1134" s="2409" t="s">
        <v>185</v>
      </c>
      <c r="BJ1134" s="2466">
        <v>139085</v>
      </c>
      <c r="BK1134" s="530"/>
      <c r="BV1134" s="3082" t="str">
        <f t="shared" si="18"/>
        <v/>
      </c>
      <c r="CT1134" s="531"/>
      <c r="DA1134" s="2558"/>
      <c r="EI1134" s="2689" t="s">
        <v>11453</v>
      </c>
    </row>
    <row r="1135" spans="1:139" ht="29">
      <c r="A1135" s="532"/>
      <c r="AR1135" s="2513"/>
      <c r="BH1135" s="2405">
        <v>7805029012</v>
      </c>
      <c r="BI1135" s="2405" t="s">
        <v>6765</v>
      </c>
      <c r="BJ1135" s="2466">
        <v>263233</v>
      </c>
      <c r="BK1135" s="530"/>
      <c r="BV1135" s="3082" t="str">
        <f t="shared" si="18"/>
        <v/>
      </c>
      <c r="CT1135" s="531"/>
      <c r="DA1135" s="2558"/>
      <c r="EI1135" s="2689" t="s">
        <v>11454</v>
      </c>
    </row>
    <row r="1136" spans="1:139" ht="29">
      <c r="A1136" s="532"/>
      <c r="AR1136" s="2513"/>
      <c r="BH1136" s="2406">
        <v>7805060502</v>
      </c>
      <c r="BI1136" s="2409" t="s">
        <v>3596</v>
      </c>
      <c r="BJ1136" s="2466">
        <v>198193</v>
      </c>
      <c r="BK1136" s="530"/>
      <c r="BV1136" s="3082" t="str">
        <f t="shared" si="18"/>
        <v/>
      </c>
      <c r="CT1136" s="531"/>
      <c r="DA1136" s="2558"/>
      <c r="EI1136" s="2689" t="s">
        <v>11455</v>
      </c>
    </row>
    <row r="1137" spans="1:139" ht="29">
      <c r="A1137" s="532"/>
      <c r="AR1137" s="2513"/>
      <c r="BH1137" s="2405">
        <v>7805416607</v>
      </c>
      <c r="BI1137" s="2405" t="s">
        <v>3944</v>
      </c>
      <c r="BJ1137" s="2466">
        <v>327</v>
      </c>
      <c r="BK1137" s="530"/>
      <c r="BV1137" s="3082" t="str">
        <f t="shared" si="18"/>
        <v/>
      </c>
      <c r="CT1137" s="531"/>
      <c r="DA1137" s="2558"/>
      <c r="EI1137" s="2689" t="s">
        <v>11456</v>
      </c>
    </row>
    <row r="1138" spans="1:139" ht="43.5">
      <c r="A1138" s="532"/>
      <c r="AR1138" s="2513"/>
      <c r="BH1138" s="2406">
        <v>7806027191</v>
      </c>
      <c r="BI1138" s="2409" t="s">
        <v>2261</v>
      </c>
      <c r="BJ1138" s="2466">
        <v>191504</v>
      </c>
      <c r="BK1138" s="530"/>
      <c r="BV1138" s="3082" t="str">
        <f t="shared" si="18"/>
        <v/>
      </c>
      <c r="CT1138" s="531"/>
      <c r="DA1138" s="2558"/>
      <c r="EI1138" s="2689" t="s">
        <v>11457</v>
      </c>
    </row>
    <row r="1139" spans="1:139">
      <c r="A1139" s="532"/>
      <c r="AR1139" s="2513"/>
      <c r="BH1139" s="2406">
        <v>7806376805</v>
      </c>
      <c r="BI1139" s="2409" t="s">
        <v>1879</v>
      </c>
      <c r="BJ1139" s="2466">
        <v>277305</v>
      </c>
      <c r="BK1139" s="530"/>
      <c r="BV1139" s="3082" t="str">
        <f t="shared" si="18"/>
        <v/>
      </c>
      <c r="CT1139" s="531"/>
      <c r="DA1139" s="2558"/>
      <c r="EI1139" s="2689" t="s">
        <v>11458</v>
      </c>
    </row>
    <row r="1140" spans="1:139">
      <c r="A1140" s="532"/>
      <c r="AR1140" s="2513"/>
      <c r="BH1140" s="2406">
        <v>7806388261</v>
      </c>
      <c r="BI1140" s="2409" t="s">
        <v>2600</v>
      </c>
      <c r="BJ1140" s="2466">
        <v>300295</v>
      </c>
      <c r="BK1140" s="530"/>
      <c r="BV1140" s="3082" t="str">
        <f t="shared" si="18"/>
        <v/>
      </c>
      <c r="CT1140" s="531"/>
      <c r="DA1140" s="2558"/>
      <c r="EI1140" s="2689" t="s">
        <v>11459</v>
      </c>
    </row>
    <row r="1141" spans="1:139" ht="29">
      <c r="A1141" s="532"/>
      <c r="AR1141" s="2513"/>
      <c r="BH1141" s="2406">
        <v>7806423011</v>
      </c>
      <c r="BI1141" s="2409" t="s">
        <v>2687</v>
      </c>
      <c r="BJ1141" s="2466">
        <v>212878</v>
      </c>
      <c r="BK1141" s="530"/>
      <c r="BV1141" s="3082" t="str">
        <f t="shared" si="18"/>
        <v/>
      </c>
      <c r="CT1141" s="531"/>
      <c r="DA1141" s="2558"/>
      <c r="EI1141" s="2689" t="s">
        <v>11460</v>
      </c>
    </row>
    <row r="1142" spans="1:139" ht="29">
      <c r="A1142" s="532"/>
      <c r="AR1142" s="2513"/>
      <c r="BH1142" s="2406">
        <v>7808029765</v>
      </c>
      <c r="BI1142" s="2409" t="s">
        <v>2704</v>
      </c>
      <c r="BJ1142" s="2466">
        <v>265892</v>
      </c>
      <c r="BK1142" s="530"/>
      <c r="BV1142" s="3082" t="str">
        <f t="shared" si="18"/>
        <v/>
      </c>
      <c r="CT1142" s="531"/>
      <c r="DA1142" s="2558"/>
      <c r="EI1142" s="2689" t="s">
        <v>11461</v>
      </c>
    </row>
    <row r="1143" spans="1:139" ht="29">
      <c r="A1143" s="532"/>
      <c r="AR1143" s="2513"/>
      <c r="BH1143" s="2406">
        <v>7808033715</v>
      </c>
      <c r="BI1143" s="2409" t="s">
        <v>3617</v>
      </c>
      <c r="BJ1143" s="2466">
        <v>139303</v>
      </c>
      <c r="BK1143" s="530"/>
      <c r="BV1143" s="3082" t="str">
        <f t="shared" si="18"/>
        <v/>
      </c>
      <c r="CT1143" s="531"/>
      <c r="DA1143" s="2558"/>
      <c r="EI1143" s="2689" t="s">
        <v>11462</v>
      </c>
    </row>
    <row r="1144" spans="1:139" ht="29">
      <c r="A1144" s="532"/>
      <c r="AR1144" s="2513"/>
      <c r="BH1144" s="2406">
        <v>7809010213</v>
      </c>
      <c r="BI1144" s="2409" t="s">
        <v>1498</v>
      </c>
      <c r="BJ1144" s="2466">
        <v>114004</v>
      </c>
      <c r="BK1144" s="530"/>
      <c r="BV1144" s="3082" t="str">
        <f t="shared" si="18"/>
        <v/>
      </c>
      <c r="CT1144" s="531"/>
      <c r="DA1144" s="2558"/>
      <c r="EI1144" s="2689" t="s">
        <v>11463</v>
      </c>
    </row>
    <row r="1145" spans="1:139" ht="29">
      <c r="A1145" s="532"/>
      <c r="AR1145" s="2513"/>
      <c r="BH1145" s="2406">
        <v>7809018702</v>
      </c>
      <c r="BI1145" s="2409" t="s">
        <v>729</v>
      </c>
      <c r="BJ1145" s="2466">
        <v>106359</v>
      </c>
      <c r="BK1145" s="530"/>
      <c r="BV1145" s="3082" t="str">
        <f t="shared" si="18"/>
        <v/>
      </c>
      <c r="CT1145" s="531"/>
      <c r="DA1145" s="2558"/>
      <c r="EI1145" s="2689" t="s">
        <v>11464</v>
      </c>
    </row>
    <row r="1146" spans="1:139" ht="29">
      <c r="A1146" s="532"/>
      <c r="AR1146" s="2513"/>
      <c r="BH1146" s="2406">
        <v>7809022120</v>
      </c>
      <c r="BI1146" s="2409" t="s">
        <v>5048</v>
      </c>
      <c r="BJ1146" s="2466">
        <v>141667</v>
      </c>
      <c r="BK1146" s="530"/>
      <c r="BV1146" s="3082" t="str">
        <f t="shared" si="18"/>
        <v/>
      </c>
      <c r="CT1146" s="531"/>
      <c r="DA1146" s="2558"/>
      <c r="EI1146" s="2689" t="s">
        <v>11465</v>
      </c>
    </row>
    <row r="1147" spans="1:139" ht="43.5">
      <c r="A1147" s="532"/>
      <c r="AR1147" s="2513"/>
      <c r="BH1147" s="2406">
        <v>7810141796</v>
      </c>
      <c r="BI1147" s="2409" t="s">
        <v>3591</v>
      </c>
      <c r="BJ1147" s="2466">
        <v>255388</v>
      </c>
      <c r="BK1147" s="530"/>
      <c r="BV1147" s="3082" t="str">
        <f t="shared" si="18"/>
        <v/>
      </c>
      <c r="CT1147" s="531"/>
      <c r="DA1147" s="2558"/>
      <c r="EI1147" s="2689" t="s">
        <v>11466</v>
      </c>
    </row>
    <row r="1148" spans="1:139">
      <c r="A1148" s="532"/>
      <c r="AR1148" s="2513"/>
      <c r="BH1148" s="2406">
        <v>7810213747</v>
      </c>
      <c r="BI1148" s="2409" t="s">
        <v>2165</v>
      </c>
      <c r="BJ1148" s="2466">
        <v>110762</v>
      </c>
      <c r="BK1148" s="530"/>
      <c r="BV1148" s="3082" t="str">
        <f t="shared" si="18"/>
        <v/>
      </c>
      <c r="CT1148" s="531"/>
      <c r="DA1148" s="2558"/>
      <c r="EI1148" s="2689" t="s">
        <v>11467</v>
      </c>
    </row>
    <row r="1149" spans="1:139">
      <c r="A1149" s="532"/>
      <c r="AR1149" s="2513"/>
      <c r="BH1149" s="2406">
        <v>7810216025</v>
      </c>
      <c r="BI1149" s="2409" t="s">
        <v>102</v>
      </c>
      <c r="BJ1149" s="2466">
        <v>98138</v>
      </c>
      <c r="BK1149" s="530"/>
      <c r="BV1149" s="3082" t="str">
        <f t="shared" si="18"/>
        <v/>
      </c>
      <c r="CT1149" s="531"/>
      <c r="DA1149" s="2558"/>
      <c r="EI1149" s="2689" t="s">
        <v>11468</v>
      </c>
    </row>
    <row r="1150" spans="1:139" ht="29">
      <c r="A1150" s="532"/>
      <c r="AR1150" s="2513"/>
      <c r="BH1150" s="2406">
        <v>7810278350</v>
      </c>
      <c r="BI1150" s="2409" t="s">
        <v>1862</v>
      </c>
      <c r="BJ1150" s="2466">
        <v>182046</v>
      </c>
      <c r="BK1150" s="530"/>
      <c r="BV1150" s="3082" t="str">
        <f t="shared" si="18"/>
        <v/>
      </c>
      <c r="CT1150" s="531"/>
      <c r="DA1150" s="2558"/>
      <c r="EI1150" s="2689" t="s">
        <v>11469</v>
      </c>
    </row>
    <row r="1151" spans="1:139" ht="29">
      <c r="A1151" s="532"/>
      <c r="AR1151" s="2513"/>
      <c r="BH1151" s="2406">
        <v>7811001657</v>
      </c>
      <c r="BI1151" s="2409" t="s">
        <v>5062</v>
      </c>
      <c r="BJ1151" s="2466">
        <v>144503</v>
      </c>
      <c r="BK1151" s="530"/>
      <c r="BV1151" s="3082" t="str">
        <f t="shared" si="18"/>
        <v/>
      </c>
      <c r="CT1151" s="531"/>
      <c r="DA1151" s="2558"/>
      <c r="EI1151" s="2689" t="s">
        <v>11470</v>
      </c>
    </row>
    <row r="1152" spans="1:139" ht="29">
      <c r="A1152" s="532"/>
      <c r="AR1152" s="2513"/>
      <c r="BH1152" s="2406">
        <v>7811039474</v>
      </c>
      <c r="BI1152" s="2409" t="s">
        <v>2273</v>
      </c>
      <c r="BJ1152" s="2466">
        <v>238887</v>
      </c>
      <c r="BK1152" s="530"/>
      <c r="BV1152" s="3082" t="str">
        <f t="shared" si="18"/>
        <v/>
      </c>
      <c r="CT1152" s="531"/>
      <c r="DA1152" s="2558"/>
      <c r="EI1152" s="2689" t="s">
        <v>11471</v>
      </c>
    </row>
    <row r="1153" spans="1:139" ht="58">
      <c r="A1153" s="532"/>
      <c r="AR1153" s="2513"/>
      <c r="BH1153" s="2406">
        <v>7811308007</v>
      </c>
      <c r="BI1153" s="2409" t="s">
        <v>2413</v>
      </c>
      <c r="BJ1153" s="2466">
        <v>220603</v>
      </c>
      <c r="BK1153" s="530"/>
      <c r="BV1153" s="3082" t="str">
        <f t="shared" si="18"/>
        <v/>
      </c>
      <c r="CT1153" s="531"/>
      <c r="DA1153" s="2558"/>
      <c r="EI1153" s="2689" t="s">
        <v>11472</v>
      </c>
    </row>
    <row r="1154" spans="1:139" ht="29">
      <c r="A1154" s="532"/>
      <c r="AR1154" s="2513"/>
      <c r="BH1154" s="2406">
        <v>7811344164</v>
      </c>
      <c r="BI1154" s="2409" t="s">
        <v>2761</v>
      </c>
      <c r="BJ1154" s="2466">
        <v>213463</v>
      </c>
      <c r="BK1154" s="530"/>
      <c r="BV1154" s="3082" t="str">
        <f t="shared" si="18"/>
        <v/>
      </c>
      <c r="CT1154" s="531"/>
      <c r="DA1154" s="2558"/>
      <c r="EI1154" s="2689" t="s">
        <v>11473</v>
      </c>
    </row>
    <row r="1155" spans="1:139" ht="58">
      <c r="A1155" s="532"/>
      <c r="AR1155" s="2513"/>
      <c r="BH1155" s="2405">
        <v>7811411780</v>
      </c>
      <c r="BI1155" s="2405" t="s">
        <v>3946</v>
      </c>
      <c r="BJ1155" s="2466">
        <v>178</v>
      </c>
      <c r="BK1155" s="530"/>
      <c r="BV1155" s="3082" t="str">
        <f t="shared" si="18"/>
        <v/>
      </c>
      <c r="CT1155" s="531"/>
      <c r="DA1155" s="2558"/>
      <c r="EI1155" s="2689" t="s">
        <v>11474</v>
      </c>
    </row>
    <row r="1156" spans="1:139" ht="43.5">
      <c r="A1156" s="532"/>
      <c r="AR1156" s="2513"/>
      <c r="BH1156" s="2406">
        <v>7812032217</v>
      </c>
      <c r="BI1156" s="2409" t="s">
        <v>1914</v>
      </c>
      <c r="BJ1156" s="2466">
        <v>149657</v>
      </c>
      <c r="BK1156" s="530"/>
      <c r="BV1156" s="3082" t="str">
        <f t="shared" si="18"/>
        <v/>
      </c>
      <c r="CT1156" s="531"/>
      <c r="DA1156" s="2558"/>
      <c r="EI1156" s="2689" t="s">
        <v>11475</v>
      </c>
    </row>
    <row r="1157" spans="1:139" ht="72.5">
      <c r="A1157" s="532"/>
      <c r="AR1157" s="2513"/>
      <c r="BH1157" s="2406">
        <v>7812042720</v>
      </c>
      <c r="BI1157" s="2409" t="s">
        <v>153</v>
      </c>
      <c r="BJ1157" s="2466">
        <v>114580</v>
      </c>
      <c r="BK1157" s="530"/>
      <c r="BV1157" s="3082" t="str">
        <f t="shared" si="18"/>
        <v/>
      </c>
      <c r="CT1157" s="531"/>
      <c r="DA1157" s="2558"/>
      <c r="EI1157" s="2689" t="s">
        <v>11476</v>
      </c>
    </row>
    <row r="1158" spans="1:139" ht="29">
      <c r="A1158" s="532"/>
      <c r="AR1158" s="2513"/>
      <c r="BH1158" s="2406">
        <v>7812043522</v>
      </c>
      <c r="BI1158" s="2409" t="s">
        <v>1383</v>
      </c>
      <c r="BJ1158" s="2466">
        <v>139543</v>
      </c>
      <c r="BK1158" s="530"/>
      <c r="BV1158" s="3082" t="str">
        <f t="shared" si="18"/>
        <v/>
      </c>
      <c r="CT1158" s="531"/>
      <c r="DA1158" s="2558"/>
      <c r="EI1158" s="2689" t="s">
        <v>11477</v>
      </c>
    </row>
    <row r="1159" spans="1:139" ht="43.5">
      <c r="A1159" s="532"/>
      <c r="AR1159" s="2513"/>
      <c r="BH1159" s="2406">
        <v>7813026343</v>
      </c>
      <c r="BI1159" s="2409" t="s">
        <v>138</v>
      </c>
      <c r="BJ1159" s="2466">
        <v>110785</v>
      </c>
      <c r="BK1159" s="530"/>
      <c r="BV1159" s="3082" t="str">
        <f t="shared" si="18"/>
        <v/>
      </c>
      <c r="CT1159" s="531"/>
      <c r="DA1159" s="2558"/>
      <c r="EI1159" s="2689" t="s">
        <v>11478</v>
      </c>
    </row>
    <row r="1160" spans="1:139">
      <c r="A1160" s="532"/>
      <c r="AR1160" s="2513"/>
      <c r="BH1160" s="2406">
        <v>7813192076</v>
      </c>
      <c r="BI1160" s="2409" t="s">
        <v>2605</v>
      </c>
      <c r="BJ1160" s="2466">
        <v>207795</v>
      </c>
      <c r="BK1160" s="530"/>
      <c r="BV1160" s="3082" t="str">
        <f t="shared" si="18"/>
        <v/>
      </c>
      <c r="CT1160" s="531"/>
      <c r="DA1160" s="2558"/>
      <c r="EI1160" s="2689" t="s">
        <v>11479</v>
      </c>
    </row>
    <row r="1161" spans="1:139" ht="29">
      <c r="A1161" s="532"/>
      <c r="AR1161" s="2513"/>
      <c r="BH1161" s="2406">
        <v>7813352058</v>
      </c>
      <c r="BI1161" s="2409" t="s">
        <v>1389</v>
      </c>
      <c r="BJ1161" s="2466">
        <v>103567</v>
      </c>
      <c r="BK1161" s="530"/>
      <c r="BV1161" s="3082" t="str">
        <f t="shared" si="18"/>
        <v/>
      </c>
      <c r="CT1161" s="531"/>
      <c r="DA1161" s="2558"/>
      <c r="EI1161" s="2689" t="s">
        <v>11480</v>
      </c>
    </row>
    <row r="1162" spans="1:139" ht="29">
      <c r="A1162" s="532"/>
      <c r="AR1162" s="2513"/>
      <c r="BH1162" s="2406">
        <v>7814003726</v>
      </c>
      <c r="BI1162" s="2409" t="s">
        <v>3606</v>
      </c>
      <c r="BJ1162" s="2466">
        <v>110794</v>
      </c>
      <c r="BK1162" s="530"/>
      <c r="BV1162" s="3082" t="str">
        <f t="shared" si="18"/>
        <v/>
      </c>
      <c r="CT1162" s="531"/>
      <c r="DA1162" s="2558"/>
      <c r="EI1162" s="2689" t="s">
        <v>11481</v>
      </c>
    </row>
    <row r="1163" spans="1:139">
      <c r="A1163" s="532"/>
      <c r="AR1163" s="2513"/>
      <c r="BH1163" s="2406">
        <v>7814025166</v>
      </c>
      <c r="BI1163" s="2409" t="s">
        <v>2760</v>
      </c>
      <c r="BJ1163" s="2466">
        <v>202289</v>
      </c>
      <c r="BK1163" s="530"/>
      <c r="BV1163" s="3082" t="str">
        <f t="shared" si="18"/>
        <v/>
      </c>
      <c r="CT1163" s="531"/>
      <c r="DA1163" s="2558"/>
      <c r="EI1163" s="2689" t="s">
        <v>11482</v>
      </c>
    </row>
    <row r="1164" spans="1:139" ht="29">
      <c r="A1164" s="532"/>
      <c r="AR1164" s="2513"/>
      <c r="BH1164" s="2406">
        <v>7814348505</v>
      </c>
      <c r="BI1164" s="2409" t="s">
        <v>2662</v>
      </c>
      <c r="BJ1164" s="2466">
        <v>146349</v>
      </c>
      <c r="BK1164" s="530"/>
      <c r="BV1164" s="3082" t="str">
        <f t="shared" si="18"/>
        <v/>
      </c>
      <c r="CT1164" s="531"/>
      <c r="DA1164" s="2558"/>
      <c r="EI1164" s="2689" t="s">
        <v>11483</v>
      </c>
    </row>
    <row r="1165" spans="1:139" ht="29">
      <c r="A1165" s="532"/>
      <c r="AR1165" s="2513"/>
      <c r="BH1165" s="2406">
        <v>7815021340</v>
      </c>
      <c r="BI1165" s="2409" t="s">
        <v>2166</v>
      </c>
      <c r="BJ1165" s="2466">
        <v>110806</v>
      </c>
      <c r="BK1165" s="530"/>
      <c r="BV1165" s="3082" t="str">
        <f t="shared" si="18"/>
        <v/>
      </c>
      <c r="CT1165" s="531"/>
      <c r="DA1165" s="2558"/>
      <c r="EI1165" s="2689" t="s">
        <v>11484</v>
      </c>
    </row>
    <row r="1166" spans="1:139" ht="43.5">
      <c r="A1166" s="532"/>
      <c r="AR1166" s="2513"/>
      <c r="BH1166" s="2406">
        <v>7815023475</v>
      </c>
      <c r="BI1166" s="2409" t="s">
        <v>2458</v>
      </c>
      <c r="BJ1166" s="2466">
        <v>272271</v>
      </c>
      <c r="BK1166" s="530"/>
      <c r="BV1166" s="3082" t="str">
        <f t="shared" si="18"/>
        <v/>
      </c>
      <c r="CT1166" s="531"/>
      <c r="DA1166" s="2558"/>
      <c r="EI1166" s="2689" t="s">
        <v>11485</v>
      </c>
    </row>
    <row r="1167" spans="1:139" ht="58">
      <c r="A1167" s="532"/>
      <c r="AR1167" s="2513"/>
      <c r="BH1167" s="2406">
        <v>7816007081</v>
      </c>
      <c r="BI1167" s="2409" t="s">
        <v>3287</v>
      </c>
      <c r="BJ1167" s="2466">
        <v>139704</v>
      </c>
      <c r="BK1167" s="530"/>
      <c r="BV1167" s="3082" t="str">
        <f t="shared" si="18"/>
        <v/>
      </c>
      <c r="CT1167" s="531"/>
      <c r="DA1167" s="2558"/>
      <c r="EI1167" s="2689" t="s">
        <v>11486</v>
      </c>
    </row>
    <row r="1168" spans="1:139" ht="43.5">
      <c r="A1168" s="532"/>
      <c r="AR1168" s="2513"/>
      <c r="BH1168" s="2406">
        <v>7817045570</v>
      </c>
      <c r="BI1168" s="2409" t="s">
        <v>2657</v>
      </c>
      <c r="BJ1168" s="2466">
        <v>213161</v>
      </c>
      <c r="BK1168" s="530"/>
      <c r="BV1168" s="3082" t="str">
        <f t="shared" si="18"/>
        <v/>
      </c>
      <c r="CT1168" s="531"/>
      <c r="DA1168" s="2558"/>
      <c r="EI1168" s="2689" t="s">
        <v>11487</v>
      </c>
    </row>
    <row r="1169" spans="1:139">
      <c r="A1169" s="532"/>
      <c r="AR1169" s="2513"/>
      <c r="BH1169" s="2406">
        <v>7817301375</v>
      </c>
      <c r="BI1169" s="2409" t="s">
        <v>2659</v>
      </c>
      <c r="BJ1169" s="2466">
        <v>298328</v>
      </c>
      <c r="BK1169" s="530"/>
      <c r="BV1169" s="3082" t="str">
        <f t="shared" si="18"/>
        <v/>
      </c>
      <c r="CT1169" s="531"/>
      <c r="DA1169" s="2558"/>
      <c r="EI1169" s="2689" t="s">
        <v>11488</v>
      </c>
    </row>
    <row r="1170" spans="1:139" ht="29">
      <c r="A1170" s="532"/>
      <c r="AR1170" s="2513"/>
      <c r="BH1170" s="2406">
        <v>7820004220</v>
      </c>
      <c r="BI1170" s="2409" t="s">
        <v>101</v>
      </c>
      <c r="BJ1170" s="2466">
        <v>139808</v>
      </c>
      <c r="BK1170" s="530"/>
      <c r="BV1170" s="3082" t="str">
        <f t="shared" si="18"/>
        <v/>
      </c>
      <c r="CT1170" s="531"/>
      <c r="DA1170" s="2558"/>
      <c r="EI1170" s="2689" t="s">
        <v>11489</v>
      </c>
    </row>
    <row r="1171" spans="1:139" ht="43.5">
      <c r="A1171" s="532"/>
      <c r="AR1171" s="2513"/>
      <c r="BH1171" s="2406">
        <v>7825056688</v>
      </c>
      <c r="BI1171" s="2409" t="s">
        <v>972</v>
      </c>
      <c r="BJ1171" s="2466">
        <v>324</v>
      </c>
      <c r="BK1171" s="530"/>
      <c r="BV1171" s="3082" t="str">
        <f t="shared" si="18"/>
        <v/>
      </c>
      <c r="CT1171" s="531"/>
      <c r="DA1171" s="2558"/>
      <c r="EI1171" s="2689" t="s">
        <v>11490</v>
      </c>
    </row>
    <row r="1172" spans="1:139" ht="43.5">
      <c r="A1172" s="532"/>
      <c r="AR1172" s="2513"/>
      <c r="BH1172" s="2406">
        <v>7825121288</v>
      </c>
      <c r="BI1172" s="2409" t="s">
        <v>2050</v>
      </c>
      <c r="BJ1172" s="2466">
        <v>210382</v>
      </c>
      <c r="BK1172" s="530"/>
      <c r="BV1172" s="3082" t="str">
        <f t="shared" si="18"/>
        <v/>
      </c>
      <c r="CT1172" s="531"/>
      <c r="DA1172" s="2558"/>
      <c r="EI1172" s="2689" t="s">
        <v>11491</v>
      </c>
    </row>
    <row r="1173" spans="1:139">
      <c r="A1173" s="532"/>
      <c r="AR1173" s="2513"/>
      <c r="BH1173" s="2406">
        <v>7826047044</v>
      </c>
      <c r="BI1173" s="2409" t="s">
        <v>1927</v>
      </c>
      <c r="BJ1173" s="2466">
        <v>139945</v>
      </c>
      <c r="BK1173" s="530"/>
      <c r="BV1173" s="3082" t="str">
        <f t="shared" si="18"/>
        <v/>
      </c>
      <c r="CT1173" s="531"/>
      <c r="DA1173" s="2558"/>
      <c r="EI1173" s="2689" t="s">
        <v>11492</v>
      </c>
    </row>
    <row r="1174" spans="1:139" ht="43.5">
      <c r="A1174" s="532"/>
      <c r="AR1174" s="2513"/>
      <c r="BH1174" s="2406">
        <v>7826074560</v>
      </c>
      <c r="BI1174" s="2409" t="s">
        <v>3616</v>
      </c>
      <c r="BJ1174" s="2466">
        <v>372222</v>
      </c>
      <c r="BK1174" s="530"/>
      <c r="BV1174" s="3082" t="str">
        <f t="shared" si="18"/>
        <v/>
      </c>
      <c r="CT1174" s="531"/>
      <c r="DA1174" s="2558"/>
      <c r="EI1174" s="2689" t="s">
        <v>11493</v>
      </c>
    </row>
    <row r="1175" spans="1:139" ht="29">
      <c r="A1175" s="532"/>
      <c r="AR1175" s="2513"/>
      <c r="BH1175" s="2406">
        <v>7826155522</v>
      </c>
      <c r="BI1175" s="2409" t="s">
        <v>2689</v>
      </c>
      <c r="BJ1175" s="2466">
        <v>114802</v>
      </c>
      <c r="BK1175" s="530"/>
      <c r="BV1175" s="3082" t="str">
        <f t="shared" si="18"/>
        <v/>
      </c>
      <c r="CT1175" s="531"/>
      <c r="DA1175" s="2558"/>
      <c r="EI1175" s="2689" t="s">
        <v>11494</v>
      </c>
    </row>
    <row r="1176" spans="1:139" ht="43.5">
      <c r="A1176" s="532"/>
      <c r="AR1176" s="2513"/>
      <c r="BH1176" s="2406">
        <v>7826159654</v>
      </c>
      <c r="BI1176" s="2409" t="s">
        <v>2950</v>
      </c>
      <c r="BJ1176" s="2466">
        <v>265098</v>
      </c>
      <c r="BK1176" s="530"/>
      <c r="BV1176" s="3082" t="str">
        <f t="shared" si="18"/>
        <v/>
      </c>
      <c r="CT1176" s="531"/>
      <c r="DA1176" s="2558"/>
      <c r="EI1176" s="2689" t="s">
        <v>11495</v>
      </c>
    </row>
    <row r="1177" spans="1:139" ht="29">
      <c r="A1177" s="532"/>
      <c r="AR1177" s="2513"/>
      <c r="BH1177" s="2406">
        <v>7830000426</v>
      </c>
      <c r="BI1177" s="2409" t="s">
        <v>151</v>
      </c>
      <c r="BJ1177" s="2466">
        <v>114550</v>
      </c>
      <c r="BK1177" s="530"/>
      <c r="BV1177" s="3082" t="str">
        <f t="shared" si="18"/>
        <v/>
      </c>
      <c r="CT1177" s="531"/>
      <c r="DA1177" s="2558"/>
      <c r="EI1177" s="2689" t="s">
        <v>11496</v>
      </c>
    </row>
    <row r="1178" spans="1:139" ht="29">
      <c r="A1178" s="532"/>
      <c r="AR1178" s="2513"/>
      <c r="BH1178" s="2406">
        <v>7830001028</v>
      </c>
      <c r="BI1178" s="2409" t="s">
        <v>3554</v>
      </c>
      <c r="BJ1178" s="2466">
        <v>115075</v>
      </c>
      <c r="BK1178" s="530"/>
      <c r="BV1178" s="3082" t="str">
        <f t="shared" si="18"/>
        <v/>
      </c>
      <c r="CT1178" s="531"/>
      <c r="DA1178" s="2558"/>
      <c r="EI1178" s="2689" t="s">
        <v>11497</v>
      </c>
    </row>
    <row r="1179" spans="1:139" ht="29">
      <c r="A1179" s="532"/>
      <c r="AR1179" s="2513"/>
      <c r="BH1179" s="2406">
        <v>7830001998</v>
      </c>
      <c r="BI1179" s="2409" t="s">
        <v>1928</v>
      </c>
      <c r="BJ1179" s="2466">
        <v>162509</v>
      </c>
      <c r="BK1179" s="530"/>
      <c r="BV1179" s="3082" t="str">
        <f t="shared" si="18"/>
        <v/>
      </c>
      <c r="CT1179" s="531"/>
      <c r="DA1179" s="2558"/>
      <c r="EI1179" s="2689" t="s">
        <v>11498</v>
      </c>
    </row>
    <row r="1180" spans="1:139" ht="58">
      <c r="A1180" s="532"/>
      <c r="AR1180" s="2513"/>
      <c r="BH1180" s="2406">
        <v>7838302676</v>
      </c>
      <c r="BI1180" s="2409" t="s">
        <v>1553</v>
      </c>
      <c r="BJ1180" s="2466">
        <v>235218</v>
      </c>
      <c r="BK1180" s="530"/>
      <c r="BV1180" s="3082" t="str">
        <f t="shared" si="18"/>
        <v/>
      </c>
      <c r="CT1180" s="531"/>
      <c r="DA1180" s="2558"/>
      <c r="EI1180" s="2689" t="s">
        <v>11499</v>
      </c>
    </row>
    <row r="1181" spans="1:139" ht="87">
      <c r="A1181" s="532"/>
      <c r="AR1181" s="2513"/>
      <c r="BH1181" s="2406">
        <v>7839440206</v>
      </c>
      <c r="BI1181" s="2409" t="s">
        <v>2585</v>
      </c>
      <c r="BJ1181" s="2466">
        <v>226799</v>
      </c>
      <c r="BK1181" s="530"/>
      <c r="BV1181" s="3082" t="str">
        <f t="shared" si="18"/>
        <v/>
      </c>
      <c r="CT1181" s="531"/>
      <c r="DA1181" s="2558"/>
      <c r="EI1181" s="2689" t="s">
        <v>11500</v>
      </c>
    </row>
    <row r="1182" spans="1:139" ht="29">
      <c r="A1182" s="532"/>
      <c r="AR1182" s="2513"/>
      <c r="BH1182" s="2406">
        <v>7840416776</v>
      </c>
      <c r="BI1182" s="2409" t="s">
        <v>152</v>
      </c>
      <c r="BJ1182" s="2466">
        <v>140134</v>
      </c>
      <c r="BK1182" s="530"/>
      <c r="BV1182" s="3082" t="str">
        <f t="shared" si="18"/>
        <v/>
      </c>
      <c r="CT1182" s="531"/>
      <c r="DA1182" s="2558"/>
      <c r="EI1182" s="2689" t="s">
        <v>11501</v>
      </c>
    </row>
    <row r="1183" spans="1:139" ht="58">
      <c r="A1183" s="532"/>
      <c r="AR1183" s="2513"/>
      <c r="BH1183" s="2406">
        <v>7841312071</v>
      </c>
      <c r="BI1183" s="2409" t="s">
        <v>2436</v>
      </c>
      <c r="BJ1183" s="2466">
        <v>117971</v>
      </c>
      <c r="BK1183" s="530"/>
      <c r="BV1183" s="3082" t="str">
        <f t="shared" si="18"/>
        <v/>
      </c>
      <c r="CT1183" s="531"/>
      <c r="DA1183" s="2558"/>
      <c r="EI1183" s="2689" t="s">
        <v>11502</v>
      </c>
    </row>
    <row r="1184" spans="1:139" ht="43.5">
      <c r="A1184" s="532"/>
      <c r="AR1184" s="2513"/>
      <c r="BH1184" s="2406">
        <v>7841322249</v>
      </c>
      <c r="BI1184" s="2409" t="s">
        <v>2277</v>
      </c>
      <c r="BJ1184" s="2466">
        <v>114346</v>
      </c>
      <c r="BK1184" s="530"/>
      <c r="BV1184" s="3082" t="str">
        <f t="shared" si="18"/>
        <v/>
      </c>
      <c r="CT1184" s="531"/>
      <c r="DA1184" s="2558"/>
      <c r="EI1184" s="2689" t="s">
        <v>11503</v>
      </c>
    </row>
    <row r="1185" spans="1:139">
      <c r="A1185" s="532"/>
      <c r="AR1185" s="2513"/>
      <c r="BH1185" s="2406">
        <v>7842461679</v>
      </c>
      <c r="BI1185" s="2409" t="s">
        <v>103</v>
      </c>
      <c r="BJ1185" s="2466">
        <v>249961</v>
      </c>
      <c r="BK1185" s="530"/>
      <c r="BV1185" s="3082" t="str">
        <f t="shared" si="18"/>
        <v/>
      </c>
      <c r="CT1185" s="531"/>
      <c r="DA1185" s="2558"/>
      <c r="EI1185" s="2689" t="s">
        <v>11504</v>
      </c>
    </row>
    <row r="1186" spans="1:139" ht="29">
      <c r="A1186" s="532"/>
      <c r="AR1186" s="2513"/>
      <c r="BH1186" s="2406">
        <v>8602060555</v>
      </c>
      <c r="BI1186" s="2409" t="s">
        <v>2433</v>
      </c>
      <c r="BJ1186" s="2466">
        <v>141640</v>
      </c>
      <c r="BK1186" s="530"/>
      <c r="BV1186" s="3082" t="str">
        <f t="shared" si="18"/>
        <v/>
      </c>
      <c r="CT1186" s="531"/>
      <c r="DA1186" s="2558"/>
      <c r="EI1186" s="2689" t="s">
        <v>11505</v>
      </c>
    </row>
    <row r="1187" spans="1:139" ht="43.5">
      <c r="A1187" s="532"/>
      <c r="AR1187" s="2513"/>
      <c r="BH1187" s="2406">
        <v>8602067215</v>
      </c>
      <c r="BI1187" s="2409" t="s">
        <v>2444</v>
      </c>
      <c r="BJ1187" s="2466">
        <v>113487</v>
      </c>
      <c r="BK1187" s="530"/>
      <c r="BV1187" s="3082" t="str">
        <f t="shared" si="18"/>
        <v/>
      </c>
      <c r="CT1187" s="531"/>
      <c r="DA1187" s="2558"/>
      <c r="EI1187" s="2689" t="s">
        <v>11506</v>
      </c>
    </row>
    <row r="1188" spans="1:139" ht="72.5">
      <c r="A1188" s="532"/>
      <c r="AR1188" s="2513"/>
      <c r="BH1188" s="2406">
        <v>8602103061</v>
      </c>
      <c r="BI1188" s="2409" t="s">
        <v>1950</v>
      </c>
      <c r="BJ1188" s="2466">
        <v>107228</v>
      </c>
      <c r="BK1188" s="530"/>
      <c r="BV1188" s="3082" t="str">
        <f t="shared" si="18"/>
        <v/>
      </c>
      <c r="CT1188" s="531"/>
      <c r="DA1188" s="2558"/>
      <c r="EI1188" s="2689" t="s">
        <v>11507</v>
      </c>
    </row>
    <row r="1189" spans="1:139" ht="58">
      <c r="A1189" s="532"/>
      <c r="AR1189" s="2513"/>
      <c r="BH1189" s="2406">
        <v>8602190258</v>
      </c>
      <c r="BI1189" s="2409" t="s">
        <v>3618</v>
      </c>
      <c r="BJ1189" s="2466">
        <v>201700</v>
      </c>
      <c r="BK1189" s="530"/>
      <c r="BV1189" s="3082" t="str">
        <f t="shared" si="18"/>
        <v/>
      </c>
      <c r="CT1189" s="531"/>
      <c r="DA1189" s="2558"/>
      <c r="EI1189" s="2689" t="s">
        <v>11508</v>
      </c>
    </row>
    <row r="1190" spans="1:139" ht="29">
      <c r="A1190" s="532"/>
      <c r="AR1190" s="2513"/>
      <c r="BH1190" s="2406">
        <v>8604034840</v>
      </c>
      <c r="BI1190" s="2409" t="s">
        <v>3132</v>
      </c>
      <c r="BJ1190" s="2466">
        <v>201528</v>
      </c>
      <c r="BK1190" s="530"/>
      <c r="BV1190" s="3082" t="str">
        <f t="shared" si="18"/>
        <v/>
      </c>
      <c r="CT1190" s="531"/>
      <c r="DA1190" s="2558"/>
      <c r="EI1190" s="2689" t="s">
        <v>11509</v>
      </c>
    </row>
    <row r="1191" spans="1:139" ht="29">
      <c r="A1191" s="532"/>
      <c r="AR1191" s="2513"/>
      <c r="BH1191" s="2406">
        <v>8604035473</v>
      </c>
      <c r="BI1191" s="2409" t="s">
        <v>2723</v>
      </c>
      <c r="BJ1191" s="2466">
        <v>262358</v>
      </c>
      <c r="BK1191" s="530"/>
      <c r="BV1191" s="3082" t="str">
        <f t="shared" si="18"/>
        <v/>
      </c>
      <c r="CT1191" s="531"/>
      <c r="DA1191" s="2558"/>
      <c r="EI1191" s="2689" t="s">
        <v>11510</v>
      </c>
    </row>
    <row r="1192" spans="1:139" ht="43.5">
      <c r="A1192" s="532"/>
      <c r="AR1192" s="2513"/>
      <c r="BH1192" s="2406">
        <v>8622000931</v>
      </c>
      <c r="BI1192" s="2409" t="s">
        <v>2582</v>
      </c>
      <c r="BJ1192" s="2466">
        <v>161888</v>
      </c>
      <c r="BK1192" s="530"/>
      <c r="BV1192" s="3082" t="str">
        <f t="shared" si="18"/>
        <v/>
      </c>
      <c r="CT1192" s="531"/>
      <c r="DA1192" s="2558"/>
      <c r="EI1192" s="2689" t="s">
        <v>11511</v>
      </c>
    </row>
    <row r="1193" spans="1:139">
      <c r="A1193" s="532"/>
      <c r="AR1193" s="2513"/>
      <c r="BH1193" s="2406">
        <v>8700000339</v>
      </c>
      <c r="BI1193" s="2409" t="s">
        <v>2450</v>
      </c>
      <c r="BJ1193" s="2466">
        <v>140196</v>
      </c>
      <c r="BK1193" s="530"/>
      <c r="BV1193" s="3082" t="str">
        <f t="shared" si="18"/>
        <v/>
      </c>
      <c r="CT1193" s="531"/>
      <c r="DA1193" s="2558"/>
      <c r="EI1193" s="2689" t="s">
        <v>11512</v>
      </c>
    </row>
    <row r="1194" spans="1:139" ht="29">
      <c r="A1194" s="532"/>
      <c r="AR1194" s="2513"/>
      <c r="BH1194" s="2406">
        <v>8703000545</v>
      </c>
      <c r="BI1194" s="2409" t="s">
        <v>2374</v>
      </c>
      <c r="BJ1194" s="2466">
        <v>140200</v>
      </c>
      <c r="BK1194" s="530"/>
      <c r="BV1194" s="3082" t="str">
        <f t="shared" si="18"/>
        <v/>
      </c>
      <c r="CT1194" s="531"/>
      <c r="DA1194" s="2558"/>
      <c r="EI1194" s="2689" t="s">
        <v>11513</v>
      </c>
    </row>
    <row r="1195" spans="1:139" ht="58">
      <c r="A1195" s="532"/>
      <c r="AR1195" s="2513"/>
      <c r="BH1195" s="2406">
        <v>8703000993</v>
      </c>
      <c r="BI1195" s="2409" t="s">
        <v>2375</v>
      </c>
      <c r="BJ1195" s="2466">
        <v>140204</v>
      </c>
      <c r="BK1195" s="530"/>
      <c r="BV1195" s="3082" t="str">
        <f t="shared" ref="BV1195:BV1258" si="19">CONCATENATE(LEFT(BU1195,8),RIGHT(BU1195,9))</f>
        <v/>
      </c>
      <c r="CT1195" s="531"/>
      <c r="DA1195" s="2558"/>
      <c r="EI1195" s="2689" t="s">
        <v>11514</v>
      </c>
    </row>
    <row r="1196" spans="1:139" ht="43.5">
      <c r="A1196" s="532"/>
      <c r="AR1196" s="2513"/>
      <c r="BH1196" s="2406">
        <v>8703009763</v>
      </c>
      <c r="BI1196" s="2409" t="s">
        <v>1384</v>
      </c>
      <c r="BJ1196" s="2466">
        <v>140211</v>
      </c>
      <c r="BK1196" s="530"/>
      <c r="BV1196" s="3082" t="str">
        <f t="shared" si="19"/>
        <v/>
      </c>
      <c r="CT1196" s="531"/>
      <c r="DA1196" s="2558"/>
      <c r="EI1196" s="2689" t="s">
        <v>11515</v>
      </c>
    </row>
    <row r="1197" spans="1:139" ht="58">
      <c r="A1197" s="532"/>
      <c r="AR1197" s="2513"/>
      <c r="BH1197" s="2406">
        <v>8703009770</v>
      </c>
      <c r="BI1197" s="2409" t="s">
        <v>1385</v>
      </c>
      <c r="BJ1197" s="2466">
        <v>140212</v>
      </c>
      <c r="BK1197" s="530"/>
      <c r="BV1197" s="3082" t="str">
        <f t="shared" si="19"/>
        <v/>
      </c>
      <c r="CT1197" s="531"/>
      <c r="DA1197" s="2558"/>
      <c r="EI1197" s="2689" t="s">
        <v>11516</v>
      </c>
    </row>
    <row r="1198" spans="1:139">
      <c r="A1198" s="532"/>
      <c r="AR1198" s="2513"/>
      <c r="BH1198" s="2406">
        <v>8904034777</v>
      </c>
      <c r="BI1198" s="2409" t="s">
        <v>2630</v>
      </c>
      <c r="BJ1198" s="2466">
        <v>246950</v>
      </c>
      <c r="BK1198" s="530"/>
      <c r="BV1198" s="3082" t="str">
        <f t="shared" si="19"/>
        <v/>
      </c>
      <c r="CT1198" s="531"/>
      <c r="DA1198" s="2558"/>
      <c r="EI1198" s="2689" t="s">
        <v>11517</v>
      </c>
    </row>
    <row r="1199" spans="1:139" ht="87">
      <c r="A1199" s="532"/>
      <c r="AR1199" s="2513"/>
      <c r="BH1199" s="2406">
        <v>8904034784</v>
      </c>
      <c r="BI1199" s="2409" t="s">
        <v>2629</v>
      </c>
      <c r="BJ1199" s="2466">
        <v>246944</v>
      </c>
      <c r="BK1199" s="530"/>
      <c r="BV1199" s="3082" t="str">
        <f t="shared" si="19"/>
        <v/>
      </c>
      <c r="CT1199" s="531"/>
      <c r="DA1199" s="2558"/>
      <c r="EI1199" s="2689" t="s">
        <v>11518</v>
      </c>
    </row>
    <row r="1200" spans="1:139" ht="43.5">
      <c r="A1200" s="532"/>
      <c r="AR1200" s="2513"/>
      <c r="BH1200" s="2406">
        <v>8905026850</v>
      </c>
      <c r="BI1200" s="2409" t="s">
        <v>2627</v>
      </c>
      <c r="BJ1200" s="2466">
        <v>381775</v>
      </c>
      <c r="BK1200" s="530"/>
      <c r="BV1200" s="3082" t="str">
        <f t="shared" si="19"/>
        <v/>
      </c>
      <c r="CT1200" s="531"/>
      <c r="DA1200" s="2558"/>
      <c r="EI1200" s="2689" t="s">
        <v>11519</v>
      </c>
    </row>
    <row r="1201" spans="1:139" ht="43.5">
      <c r="A1201" s="532"/>
      <c r="AR1201" s="2513"/>
      <c r="BH1201" s="2406">
        <v>8905037499</v>
      </c>
      <c r="BI1201" s="2409" t="s">
        <v>2415</v>
      </c>
      <c r="BJ1201" s="2466">
        <v>188072</v>
      </c>
      <c r="BK1201" s="530"/>
      <c r="BV1201" s="3082" t="str">
        <f t="shared" si="19"/>
        <v/>
      </c>
      <c r="CT1201" s="531"/>
      <c r="DA1201" s="2558"/>
      <c r="EI1201" s="2689" t="s">
        <v>11520</v>
      </c>
    </row>
    <row r="1202" spans="1:139" ht="43.5">
      <c r="A1202" s="532"/>
      <c r="AR1202" s="2513"/>
      <c r="BH1202" s="2405">
        <v>70540003292</v>
      </c>
      <c r="BI1202" s="2405" t="s">
        <v>3928</v>
      </c>
      <c r="BJ1202" s="2466">
        <v>252</v>
      </c>
      <c r="BK1202" s="530"/>
      <c r="BV1202" s="3082" t="str">
        <f t="shared" si="19"/>
        <v/>
      </c>
      <c r="CT1202" s="531"/>
      <c r="DA1202" s="2558"/>
      <c r="EI1202" s="2689" t="s">
        <v>11521</v>
      </c>
    </row>
    <row r="1203" spans="1:139" ht="58">
      <c r="A1203" s="532"/>
      <c r="AR1203" s="2513"/>
      <c r="BH1203" s="2405">
        <v>600700536312</v>
      </c>
      <c r="BI1203" s="2405" t="s">
        <v>6784</v>
      </c>
      <c r="BJ1203" s="2466">
        <v>261542</v>
      </c>
      <c r="BK1203" s="530"/>
      <c r="BV1203" s="3082" t="str">
        <f t="shared" si="19"/>
        <v/>
      </c>
      <c r="CT1203" s="531"/>
      <c r="DA1203" s="2558"/>
      <c r="EI1203" s="2689" t="s">
        <v>11522</v>
      </c>
    </row>
    <row r="1204" spans="1:139" ht="29">
      <c r="A1204" s="532"/>
      <c r="AR1204" s="2513"/>
      <c r="BH1204" s="2405">
        <v>110106102189908</v>
      </c>
      <c r="BI1204" s="2405" t="s">
        <v>2926</v>
      </c>
      <c r="BJ1204" s="2466">
        <v>486742</v>
      </c>
      <c r="BK1204" s="530"/>
      <c r="BV1204" s="3082" t="str">
        <f t="shared" si="19"/>
        <v/>
      </c>
      <c r="CT1204" s="531"/>
      <c r="DA1204" s="2558"/>
      <c r="EI1204" s="2689" t="s">
        <v>11523</v>
      </c>
    </row>
    <row r="1205" spans="1:139" ht="58">
      <c r="A1205" s="532"/>
      <c r="AR1205" s="2513"/>
      <c r="BH1205" s="2559" t="s">
        <v>6302</v>
      </c>
      <c r="BI1205" s="2405" t="s">
        <v>48</v>
      </c>
      <c r="BJ1205" s="2466">
        <v>218924</v>
      </c>
      <c r="BK1205" s="530"/>
      <c r="BV1205" s="3082" t="str">
        <f t="shared" si="19"/>
        <v/>
      </c>
      <c r="CT1205" s="531"/>
      <c r="DA1205" s="2558"/>
      <c r="EI1205" s="2689" t="s">
        <v>11524</v>
      </c>
    </row>
    <row r="1206" spans="1:139" ht="58">
      <c r="A1206" s="532"/>
      <c r="AR1206" s="2513"/>
      <c r="BH1206" s="2406" t="s">
        <v>7454</v>
      </c>
      <c r="BI1206" s="2409" t="s">
        <v>2467</v>
      </c>
      <c r="BJ1206" s="2466">
        <v>104230</v>
      </c>
      <c r="BK1206" s="530"/>
      <c r="BV1206" s="3082" t="str">
        <f t="shared" si="19"/>
        <v/>
      </c>
      <c r="CT1206" s="531"/>
      <c r="DA1206" s="2558"/>
      <c r="EI1206" s="2689" t="s">
        <v>11525</v>
      </c>
    </row>
    <row r="1207" spans="1:139" ht="43.5">
      <c r="A1207" s="532"/>
      <c r="AR1207" s="2513"/>
      <c r="BH1207" s="2406" t="s">
        <v>7455</v>
      </c>
      <c r="BI1207" s="2409" t="s">
        <v>2385</v>
      </c>
      <c r="BJ1207" s="2466">
        <v>255129</v>
      </c>
      <c r="BK1207" s="530"/>
      <c r="BV1207" s="3082" t="str">
        <f t="shared" si="19"/>
        <v/>
      </c>
      <c r="CT1207" s="531"/>
      <c r="DA1207" s="2558"/>
      <c r="EI1207" s="2689" t="s">
        <v>11526</v>
      </c>
    </row>
    <row r="1208" spans="1:139" ht="43.5">
      <c r="A1208" s="532"/>
      <c r="AR1208" s="2513"/>
      <c r="BH1208" s="2406" t="s">
        <v>7456</v>
      </c>
      <c r="BI1208" s="2409" t="s">
        <v>2937</v>
      </c>
      <c r="BJ1208" s="2466">
        <v>298460</v>
      </c>
      <c r="BK1208" s="530"/>
      <c r="BV1208" s="3082" t="str">
        <f t="shared" si="19"/>
        <v/>
      </c>
      <c r="CT1208" s="531"/>
      <c r="DA1208" s="2558"/>
      <c r="EI1208" s="2689" t="s">
        <v>11527</v>
      </c>
    </row>
    <row r="1209" spans="1:139" ht="43.5">
      <c r="A1209" s="532"/>
      <c r="AR1209" s="2513"/>
      <c r="BH1209" s="2406" t="s">
        <v>7457</v>
      </c>
      <c r="BI1209" s="2409" t="s">
        <v>2936</v>
      </c>
      <c r="BJ1209" s="2466">
        <v>244788</v>
      </c>
      <c r="BK1209" s="530"/>
      <c r="BV1209" s="3082" t="str">
        <f t="shared" si="19"/>
        <v/>
      </c>
      <c r="CT1209" s="531"/>
      <c r="DA1209" s="2558"/>
      <c r="EI1209" s="2689" t="s">
        <v>11528</v>
      </c>
    </row>
    <row r="1210" spans="1:139" ht="43.5">
      <c r="A1210" s="532"/>
      <c r="AR1210" s="2513"/>
      <c r="BH1210" s="2406" t="s">
        <v>7458</v>
      </c>
      <c r="BI1210" s="2409" t="s">
        <v>2299</v>
      </c>
      <c r="BJ1210" s="2466">
        <v>194785</v>
      </c>
      <c r="BK1210" s="530"/>
      <c r="BV1210" s="3082" t="str">
        <f t="shared" si="19"/>
        <v/>
      </c>
      <c r="CT1210" s="531"/>
      <c r="DA1210" s="2558"/>
      <c r="EI1210" s="2689" t="s">
        <v>11529</v>
      </c>
    </row>
    <row r="1211" spans="1:139" ht="43.5">
      <c r="A1211" s="532"/>
      <c r="AR1211" s="2513"/>
      <c r="BH1211" s="2406" t="s">
        <v>7459</v>
      </c>
      <c r="BI1211" s="2409" t="s">
        <v>1956</v>
      </c>
      <c r="BJ1211" s="2466">
        <v>222724</v>
      </c>
      <c r="BK1211" s="530"/>
      <c r="BV1211" s="3082" t="str">
        <f t="shared" si="19"/>
        <v/>
      </c>
      <c r="CT1211" s="531"/>
      <c r="DA1211" s="2558"/>
      <c r="EI1211" s="2689" t="s">
        <v>11530</v>
      </c>
    </row>
    <row r="1212" spans="1:139" ht="72.5">
      <c r="A1212" s="532"/>
      <c r="AR1212" s="2513"/>
      <c r="BH1212" s="2406" t="s">
        <v>7460</v>
      </c>
      <c r="BI1212" s="2409" t="s">
        <v>2183</v>
      </c>
      <c r="BJ1212" s="2466">
        <v>154711</v>
      </c>
      <c r="BK1212" s="530"/>
      <c r="BV1212" s="3082" t="str">
        <f t="shared" si="19"/>
        <v/>
      </c>
      <c r="CT1212" s="531"/>
      <c r="DA1212" s="2558"/>
      <c r="EI1212" s="2689" t="s">
        <v>11531</v>
      </c>
    </row>
    <row r="1213" spans="1:139" ht="29">
      <c r="A1213" s="532"/>
      <c r="AR1213" s="2513"/>
      <c r="BH1213" s="2406" t="s">
        <v>7461</v>
      </c>
      <c r="BI1213" s="2409" t="s">
        <v>2932</v>
      </c>
      <c r="BJ1213" s="2466">
        <v>151339</v>
      </c>
      <c r="BK1213" s="530"/>
      <c r="BV1213" s="3082" t="str">
        <f t="shared" si="19"/>
        <v/>
      </c>
      <c r="CT1213" s="531"/>
      <c r="DA1213" s="2558"/>
      <c r="EI1213" s="2689" t="s">
        <v>11532</v>
      </c>
    </row>
    <row r="1214" spans="1:139" ht="58">
      <c r="A1214" s="532"/>
      <c r="AR1214" s="2513"/>
      <c r="BH1214" s="2406" t="s">
        <v>7462</v>
      </c>
      <c r="BI1214" s="2409" t="s">
        <v>1868</v>
      </c>
      <c r="BJ1214" s="2466">
        <v>208946</v>
      </c>
      <c r="BK1214" s="530"/>
      <c r="BV1214" s="3082" t="str">
        <f t="shared" si="19"/>
        <v/>
      </c>
      <c r="CT1214" s="531"/>
      <c r="DA1214" s="2558"/>
      <c r="EI1214" s="2689" t="s">
        <v>11533</v>
      </c>
    </row>
    <row r="1215" spans="1:139" ht="58">
      <c r="A1215" s="532"/>
      <c r="AR1215" s="2513"/>
      <c r="BH1215" s="2406" t="s">
        <v>7463</v>
      </c>
      <c r="BI1215" s="2409" t="s">
        <v>2532</v>
      </c>
      <c r="BJ1215" s="2466">
        <v>193637</v>
      </c>
      <c r="BK1215" s="530"/>
      <c r="BV1215" s="3082" t="str">
        <f t="shared" si="19"/>
        <v/>
      </c>
      <c r="CT1215" s="531"/>
      <c r="DA1215" s="2558"/>
      <c r="EI1215" s="2689" t="s">
        <v>11534</v>
      </c>
    </row>
    <row r="1216" spans="1:139" ht="29">
      <c r="A1216" s="532"/>
      <c r="AR1216" s="2513"/>
      <c r="BH1216" s="2406" t="s">
        <v>7464</v>
      </c>
      <c r="BI1216" s="2409" t="s">
        <v>2019</v>
      </c>
      <c r="BJ1216" s="2466">
        <v>161383</v>
      </c>
      <c r="BK1216" s="530"/>
      <c r="BV1216" s="3082" t="str">
        <f t="shared" si="19"/>
        <v/>
      </c>
      <c r="CT1216" s="531"/>
      <c r="DA1216" s="2558"/>
      <c r="EI1216" s="2689" t="s">
        <v>11535</v>
      </c>
    </row>
    <row r="1217" spans="1:139" ht="58">
      <c r="A1217" s="532"/>
      <c r="AR1217" s="2513"/>
      <c r="BH1217" s="2406" t="s">
        <v>7465</v>
      </c>
      <c r="BI1217" s="2409" t="s">
        <v>1913</v>
      </c>
      <c r="BJ1217" s="2466">
        <v>162478</v>
      </c>
      <c r="BK1217" s="530"/>
      <c r="BV1217" s="3082" t="str">
        <f t="shared" si="19"/>
        <v/>
      </c>
      <c r="CT1217" s="531"/>
      <c r="DA1217" s="2558"/>
      <c r="EI1217" s="2689" t="s">
        <v>11536</v>
      </c>
    </row>
    <row r="1218" spans="1:139" ht="43.5">
      <c r="A1218" s="532"/>
      <c r="AR1218" s="2513"/>
      <c r="BH1218" s="2406" t="s">
        <v>7466</v>
      </c>
      <c r="BI1218" s="2409" t="s">
        <v>2314</v>
      </c>
      <c r="BJ1218" s="2466">
        <v>117561</v>
      </c>
      <c r="BK1218" s="530"/>
      <c r="BV1218" s="3082" t="str">
        <f t="shared" si="19"/>
        <v/>
      </c>
      <c r="CT1218" s="531"/>
      <c r="DA1218" s="2558"/>
      <c r="EI1218" s="2689" t="s">
        <v>11537</v>
      </c>
    </row>
    <row r="1219" spans="1:139">
      <c r="A1219" s="532"/>
      <c r="AR1219" s="2513"/>
      <c r="BH1219" s="2406" t="s">
        <v>7467</v>
      </c>
      <c r="BI1219" s="2409" t="s">
        <v>2579</v>
      </c>
      <c r="BJ1219" s="2466">
        <v>201507</v>
      </c>
      <c r="BK1219" s="530"/>
      <c r="BV1219" s="3082" t="str">
        <f t="shared" si="19"/>
        <v/>
      </c>
      <c r="CT1219" s="531"/>
      <c r="DA1219" s="2558"/>
      <c r="EI1219" s="2689" t="s">
        <v>11538</v>
      </c>
    </row>
    <row r="1220" spans="1:139" ht="58">
      <c r="A1220" s="532"/>
      <c r="AR1220" s="2513"/>
      <c r="BH1220" s="2406" t="s">
        <v>7468</v>
      </c>
      <c r="BI1220" s="2409" t="s">
        <v>2614</v>
      </c>
      <c r="BJ1220" s="2466">
        <v>177131</v>
      </c>
      <c r="BK1220" s="530"/>
      <c r="BV1220" s="3082" t="str">
        <f t="shared" si="19"/>
        <v/>
      </c>
      <c r="CT1220" s="531"/>
      <c r="DA1220" s="2558"/>
      <c r="EI1220" s="2689" t="s">
        <v>11539</v>
      </c>
    </row>
    <row r="1221" spans="1:139" ht="29">
      <c r="A1221" s="532"/>
      <c r="AR1221" s="2513"/>
      <c r="BH1221" s="2406" t="s">
        <v>7469</v>
      </c>
      <c r="BI1221" s="2409" t="s">
        <v>2316</v>
      </c>
      <c r="BJ1221" s="2757">
        <v>122076</v>
      </c>
      <c r="BK1221" s="530"/>
      <c r="BV1221" s="3082" t="str">
        <f t="shared" si="19"/>
        <v/>
      </c>
      <c r="CT1221" s="531"/>
      <c r="DA1221" s="2558"/>
      <c r="EI1221" s="2689" t="s">
        <v>11540</v>
      </c>
    </row>
    <row r="1222" spans="1:139" ht="43.5">
      <c r="A1222" s="532"/>
      <c r="AR1222" s="2513"/>
      <c r="BH1222" s="2406" t="s">
        <v>7470</v>
      </c>
      <c r="BI1222" s="2409" t="s">
        <v>2251</v>
      </c>
      <c r="BJ1222" s="2757">
        <v>122155</v>
      </c>
      <c r="BK1222" s="530"/>
      <c r="BV1222" s="3082" t="str">
        <f t="shared" si="19"/>
        <v/>
      </c>
      <c r="CT1222" s="531"/>
      <c r="DA1222" s="2558"/>
      <c r="EI1222" s="2689" t="s">
        <v>11541</v>
      </c>
    </row>
    <row r="1223" spans="1:139" ht="29">
      <c r="A1223" s="532"/>
      <c r="AR1223" s="2513"/>
      <c r="BH1223" s="2406" t="s">
        <v>7471</v>
      </c>
      <c r="BI1223" s="2409" t="s">
        <v>2252</v>
      </c>
      <c r="BJ1223" s="2757">
        <v>122156</v>
      </c>
      <c r="BK1223" s="530"/>
      <c r="BV1223" s="3082" t="str">
        <f t="shared" si="19"/>
        <v/>
      </c>
      <c r="CT1223" s="531"/>
      <c r="DA1223" s="2558"/>
      <c r="EI1223" s="2689" t="s">
        <v>11542</v>
      </c>
    </row>
    <row r="1224" spans="1:139" ht="29">
      <c r="A1224" s="532"/>
      <c r="AR1224" s="2513"/>
      <c r="BH1224" s="2405" t="s">
        <v>7443</v>
      </c>
      <c r="BI1224" s="2405" t="s">
        <v>7443</v>
      </c>
      <c r="BJ1224" s="2757">
        <v>257652</v>
      </c>
      <c r="BK1224" s="530"/>
      <c r="BV1224" s="3082" t="str">
        <f t="shared" si="19"/>
        <v/>
      </c>
      <c r="CT1224" s="531"/>
      <c r="DA1224" s="2558"/>
      <c r="EI1224" s="2689" t="s">
        <v>11543</v>
      </c>
    </row>
    <row r="1225" spans="1:139" ht="29">
      <c r="A1225" s="532"/>
      <c r="AR1225" s="2513"/>
      <c r="BH1225" s="2405" t="s">
        <v>1170</v>
      </c>
      <c r="BI1225" s="2405" t="s">
        <v>1170</v>
      </c>
      <c r="BJ1225" s="2757">
        <v>248957</v>
      </c>
      <c r="BK1225" s="530"/>
      <c r="BV1225" s="3082" t="str">
        <f t="shared" si="19"/>
        <v/>
      </c>
      <c r="CT1225" s="531"/>
      <c r="DA1225" s="2558"/>
      <c r="EI1225" s="2689" t="s">
        <v>11544</v>
      </c>
    </row>
    <row r="1226" spans="1:139" ht="43.5">
      <c r="A1226" s="532"/>
      <c r="AR1226" s="2513"/>
      <c r="BH1226" s="2405" t="s">
        <v>6087</v>
      </c>
      <c r="BI1226" s="2405" t="s">
        <v>6087</v>
      </c>
      <c r="BJ1226" s="2757">
        <v>299332</v>
      </c>
      <c r="BK1226" s="530"/>
      <c r="BV1226" s="3082" t="str">
        <f t="shared" si="19"/>
        <v/>
      </c>
      <c r="CT1226" s="531"/>
      <c r="DA1226" s="2558"/>
      <c r="EI1226" s="2689" t="s">
        <v>11545</v>
      </c>
    </row>
    <row r="1227" spans="1:139" ht="43.5">
      <c r="A1227" s="532"/>
      <c r="AR1227" s="2513"/>
      <c r="BH1227" s="2405" t="s">
        <v>6870</v>
      </c>
      <c r="BI1227" s="2405" t="s">
        <v>6870</v>
      </c>
      <c r="BJ1227" s="2757">
        <v>247481</v>
      </c>
      <c r="BK1227" s="530"/>
      <c r="BV1227" s="3082" t="str">
        <f t="shared" si="19"/>
        <v/>
      </c>
      <c r="CT1227" s="531"/>
      <c r="DA1227" s="2558"/>
      <c r="EI1227" s="2689" t="s">
        <v>11546</v>
      </c>
    </row>
    <row r="1228" spans="1:139" ht="43.5">
      <c r="A1228" s="532"/>
      <c r="AR1228" s="2513"/>
      <c r="BH1228" s="2405" t="s">
        <v>6870</v>
      </c>
      <c r="BI1228" s="2405" t="s">
        <v>6870</v>
      </c>
      <c r="BJ1228" s="2757">
        <v>262246</v>
      </c>
      <c r="BK1228" s="530"/>
      <c r="BV1228" s="3082" t="str">
        <f t="shared" si="19"/>
        <v/>
      </c>
      <c r="CT1228" s="531"/>
      <c r="DA1228" s="2558"/>
      <c r="EI1228" s="2689" t="s">
        <v>11547</v>
      </c>
    </row>
    <row r="1229" spans="1:139" ht="58">
      <c r="A1229" s="532"/>
      <c r="AR1229" s="2513"/>
      <c r="BH1229" s="2405" t="s">
        <v>7444</v>
      </c>
      <c r="BI1229" s="2405" t="s">
        <v>7444</v>
      </c>
      <c r="BJ1229" s="2757">
        <v>230025</v>
      </c>
      <c r="BK1229" s="530"/>
      <c r="BV1229" s="3082" t="str">
        <f t="shared" si="19"/>
        <v/>
      </c>
      <c r="CT1229" s="531"/>
      <c r="DA1229" s="2558"/>
      <c r="EI1229" s="2689" t="s">
        <v>11548</v>
      </c>
    </row>
    <row r="1230" spans="1:139" ht="72.5">
      <c r="A1230" s="532"/>
      <c r="AR1230" s="2513"/>
      <c r="BH1230" s="2405" t="s">
        <v>7451</v>
      </c>
      <c r="BI1230" s="2405" t="s">
        <v>7451</v>
      </c>
      <c r="BJ1230" s="2757">
        <v>121527</v>
      </c>
      <c r="BK1230" s="530"/>
      <c r="BV1230" s="3082" t="str">
        <f t="shared" si="19"/>
        <v/>
      </c>
      <c r="CT1230" s="531"/>
      <c r="DA1230" s="2558"/>
      <c r="EI1230" s="2689" t="s">
        <v>11549</v>
      </c>
    </row>
    <row r="1231" spans="1:139" ht="43.5">
      <c r="A1231" s="532"/>
      <c r="AR1231" s="2513"/>
      <c r="BH1231" s="2406" t="s">
        <v>7445</v>
      </c>
      <c r="BI1231" s="2409" t="s">
        <v>7445</v>
      </c>
      <c r="BJ1231" s="2757">
        <v>149623</v>
      </c>
      <c r="BK1231" s="530"/>
      <c r="BV1231" s="3082" t="str">
        <f t="shared" si="19"/>
        <v/>
      </c>
      <c r="CT1231" s="531"/>
      <c r="DA1231" s="2558"/>
      <c r="EI1231" s="2689" t="s">
        <v>11550</v>
      </c>
    </row>
    <row r="1232" spans="1:139" ht="29">
      <c r="A1232" s="532"/>
      <c r="AR1232" s="2513"/>
      <c r="BH1232" s="2405" t="s">
        <v>7446</v>
      </c>
      <c r="BI1232" s="2405" t="s">
        <v>7446</v>
      </c>
      <c r="BJ1232" s="2757">
        <v>296835</v>
      </c>
      <c r="BK1232" s="530"/>
      <c r="BV1232" s="3082" t="str">
        <f t="shared" si="19"/>
        <v/>
      </c>
      <c r="CT1232" s="531"/>
      <c r="DA1232" s="2558"/>
      <c r="EI1232" s="2689" t="s">
        <v>11551</v>
      </c>
    </row>
    <row r="1233" spans="1:139" ht="43.5">
      <c r="A1233" s="532"/>
      <c r="AR1233" s="2513"/>
      <c r="BH1233" s="2405" t="s">
        <v>1174</v>
      </c>
      <c r="BI1233" s="2405" t="s">
        <v>1174</v>
      </c>
      <c r="BJ1233" s="2757">
        <v>210119</v>
      </c>
      <c r="BK1233" s="530"/>
      <c r="BV1233" s="3082" t="str">
        <f t="shared" si="19"/>
        <v/>
      </c>
      <c r="CT1233" s="531"/>
      <c r="DA1233" s="2558"/>
      <c r="EI1233" s="2689" t="s">
        <v>11552</v>
      </c>
    </row>
    <row r="1234" spans="1:139" ht="43.5">
      <c r="A1234" s="532"/>
      <c r="AR1234" s="2513"/>
      <c r="BH1234" s="2405" t="s">
        <v>1175</v>
      </c>
      <c r="BI1234" s="2405" t="s">
        <v>1175</v>
      </c>
      <c r="BJ1234" s="2757">
        <v>293830</v>
      </c>
      <c r="BK1234" s="530"/>
      <c r="BV1234" s="3082" t="str">
        <f t="shared" si="19"/>
        <v/>
      </c>
      <c r="CT1234" s="531"/>
      <c r="DA1234" s="2558"/>
      <c r="EI1234" s="2689" t="s">
        <v>11553</v>
      </c>
    </row>
    <row r="1235" spans="1:139" ht="29">
      <c r="A1235" s="532"/>
      <c r="AR1235" s="2513"/>
      <c r="BH1235" s="2405" t="s">
        <v>7447</v>
      </c>
      <c r="BI1235" s="2405" t="s">
        <v>7447</v>
      </c>
      <c r="BJ1235" s="2757">
        <v>296836</v>
      </c>
      <c r="BK1235" s="530"/>
      <c r="BV1235" s="3082" t="str">
        <f t="shared" si="19"/>
        <v/>
      </c>
      <c r="CT1235" s="531"/>
      <c r="DA1235" s="2558"/>
      <c r="EI1235" s="2689" t="s">
        <v>11554</v>
      </c>
    </row>
    <row r="1236" spans="1:139" ht="58">
      <c r="A1236" s="532"/>
      <c r="AR1236" s="2513"/>
      <c r="BH1236" s="2405" t="s">
        <v>7448</v>
      </c>
      <c r="BI1236" s="2405" t="s">
        <v>7448</v>
      </c>
      <c r="BJ1236" s="2757">
        <v>300825</v>
      </c>
      <c r="BK1236" s="530"/>
      <c r="BV1236" s="3082" t="str">
        <f t="shared" si="19"/>
        <v/>
      </c>
      <c r="CT1236" s="531"/>
      <c r="DA1236" s="2558"/>
      <c r="EI1236" s="2689" t="s">
        <v>11555</v>
      </c>
    </row>
    <row r="1237" spans="1:139" ht="29">
      <c r="A1237" s="532"/>
      <c r="AR1237" s="2513"/>
      <c r="BH1237" s="2405" t="s">
        <v>7449</v>
      </c>
      <c r="BI1237" s="2405" t="s">
        <v>7449</v>
      </c>
      <c r="BJ1237" s="2757">
        <v>185802</v>
      </c>
      <c r="BK1237" s="530"/>
      <c r="BV1237" s="3082" t="str">
        <f t="shared" si="19"/>
        <v/>
      </c>
      <c r="CT1237" s="531"/>
      <c r="DA1237" s="2558"/>
      <c r="EI1237" s="2689" t="s">
        <v>11556</v>
      </c>
    </row>
    <row r="1238" spans="1:139" ht="29">
      <c r="A1238" s="532"/>
      <c r="AR1238" s="2513"/>
      <c r="BH1238" s="2405" t="s">
        <v>1180</v>
      </c>
      <c r="BI1238" s="2405" t="s">
        <v>1180</v>
      </c>
      <c r="BJ1238" s="2757">
        <v>365</v>
      </c>
      <c r="BK1238" s="530"/>
      <c r="BV1238" s="3082" t="str">
        <f t="shared" si="19"/>
        <v/>
      </c>
      <c r="CT1238" s="531"/>
      <c r="DA1238" s="2558"/>
      <c r="EI1238" s="2689" t="s">
        <v>11557</v>
      </c>
    </row>
    <row r="1239" spans="1:139" ht="58">
      <c r="A1239" s="532"/>
      <c r="AR1239" s="2513"/>
      <c r="BH1239" s="2405" t="s">
        <v>7450</v>
      </c>
      <c r="BI1239" s="2405" t="s">
        <v>7450</v>
      </c>
      <c r="BJ1239" s="2757">
        <v>154796</v>
      </c>
      <c r="BK1239" s="530"/>
      <c r="BV1239" s="3082" t="str">
        <f t="shared" si="19"/>
        <v/>
      </c>
      <c r="CT1239" s="531"/>
      <c r="DA1239" s="2558"/>
      <c r="EI1239" s="2689" t="s">
        <v>11558</v>
      </c>
    </row>
    <row r="1240" spans="1:139" ht="29">
      <c r="A1240" s="532"/>
      <c r="AR1240" s="2513"/>
      <c r="BH1240" s="2405" t="s">
        <v>1181</v>
      </c>
      <c r="BI1240" s="2405" t="s">
        <v>1181</v>
      </c>
      <c r="BJ1240" s="2757">
        <v>296838</v>
      </c>
      <c r="BK1240" s="530"/>
      <c r="BV1240" s="3082" t="str">
        <f t="shared" si="19"/>
        <v/>
      </c>
      <c r="CT1240" s="531"/>
      <c r="DA1240" s="2558"/>
      <c r="EI1240" s="2689" t="s">
        <v>11559</v>
      </c>
    </row>
    <row r="1241" spans="1:139" ht="43.5">
      <c r="A1241" s="532"/>
      <c r="AR1241" s="2513"/>
      <c r="BH1241" s="2405" t="s">
        <v>1183</v>
      </c>
      <c r="BI1241" s="2405" t="s">
        <v>1183</v>
      </c>
      <c r="BJ1241" s="2757">
        <v>476191</v>
      </c>
      <c r="BK1241" s="530"/>
      <c r="BV1241" s="3082" t="str">
        <f t="shared" si="19"/>
        <v/>
      </c>
      <c r="CT1241" s="531"/>
      <c r="DA1241" s="2558"/>
      <c r="EI1241" s="2689" t="s">
        <v>11560</v>
      </c>
    </row>
    <row r="1242" spans="1:139" ht="29">
      <c r="A1242" s="532"/>
      <c r="AR1242" s="2513"/>
      <c r="BH1242" s="2405" t="s">
        <v>7452</v>
      </c>
      <c r="BI1242" s="2405" t="s">
        <v>7452</v>
      </c>
      <c r="BJ1242" s="2757">
        <v>476877</v>
      </c>
      <c r="BK1242" s="530"/>
      <c r="BV1242" s="3082" t="str">
        <f t="shared" si="19"/>
        <v/>
      </c>
      <c r="CT1242" s="531"/>
      <c r="DA1242" s="2558"/>
      <c r="EI1242" s="2689" t="s">
        <v>11561</v>
      </c>
    </row>
    <row r="1243" spans="1:139" ht="43.5">
      <c r="A1243" s="532"/>
      <c r="AR1243" s="2513"/>
      <c r="BH1243" s="2405" t="s">
        <v>7453</v>
      </c>
      <c r="BI1243" s="2405" t="s">
        <v>7453</v>
      </c>
      <c r="BJ1243" s="2757">
        <v>154774</v>
      </c>
      <c r="BK1243" s="530"/>
      <c r="BV1243" s="3082" t="str">
        <f t="shared" si="19"/>
        <v/>
      </c>
      <c r="CT1243" s="531"/>
      <c r="DA1243" s="2558"/>
      <c r="EI1243" s="2689" t="s">
        <v>11562</v>
      </c>
    </row>
    <row r="1244" spans="1:139" ht="43.5">
      <c r="A1244" s="532"/>
      <c r="AR1244" s="2513"/>
      <c r="BH1244" s="2405" t="s">
        <v>6786</v>
      </c>
      <c r="BI1244" s="2405" t="s">
        <v>10192</v>
      </c>
      <c r="BJ1244" s="2757">
        <v>154790</v>
      </c>
      <c r="BK1244" s="530"/>
      <c r="BV1244" s="3082" t="str">
        <f t="shared" si="19"/>
        <v/>
      </c>
      <c r="CT1244" s="531"/>
      <c r="DA1244" s="2558"/>
      <c r="EI1244" s="2689" t="s">
        <v>11563</v>
      </c>
    </row>
    <row r="1245" spans="1:139" ht="43.5">
      <c r="A1245" s="532"/>
      <c r="AR1245" s="2513"/>
      <c r="BH1245" s="2405" t="s">
        <v>1191</v>
      </c>
      <c r="BI1245" s="2409" t="s">
        <v>1191</v>
      </c>
      <c r="BJ1245" s="2409">
        <v>219867</v>
      </c>
      <c r="BK1245" s="530"/>
      <c r="BV1245" s="3082" t="str">
        <f t="shared" si="19"/>
        <v/>
      </c>
      <c r="CT1245" s="531"/>
      <c r="DA1245" s="2558"/>
      <c r="EI1245" s="2689" t="s">
        <v>11564</v>
      </c>
    </row>
    <row r="1246" spans="1:139" ht="29">
      <c r="A1246" s="532"/>
      <c r="AR1246" s="2513"/>
      <c r="BH1246" s="2405" t="s">
        <v>6787</v>
      </c>
      <c r="BI1246" s="2405" t="s">
        <v>6785</v>
      </c>
      <c r="BJ1246" s="2757">
        <v>154783</v>
      </c>
      <c r="BK1246" s="530"/>
      <c r="BV1246" s="3082" t="str">
        <f t="shared" si="19"/>
        <v/>
      </c>
      <c r="CT1246" s="531"/>
      <c r="DA1246" s="2558"/>
      <c r="EI1246" s="2689" t="s">
        <v>11565</v>
      </c>
    </row>
    <row r="1247" spans="1:139" ht="43.5">
      <c r="A1247" s="532"/>
      <c r="AR1247" s="2513"/>
      <c r="BH1247" s="2405" t="s">
        <v>2928</v>
      </c>
      <c r="BI1247" s="2405" t="s">
        <v>2928</v>
      </c>
      <c r="BJ1247" s="2757">
        <v>155</v>
      </c>
      <c r="BK1247" s="530"/>
      <c r="BV1247" s="3082" t="str">
        <f t="shared" si="19"/>
        <v/>
      </c>
      <c r="CT1247" s="531"/>
      <c r="DA1247" s="2558"/>
      <c r="EI1247" s="2689" t="s">
        <v>11566</v>
      </c>
    </row>
    <row r="1248" spans="1:139" ht="72.5">
      <c r="A1248" s="532"/>
      <c r="AR1248" s="2513"/>
      <c r="BH1248" s="2405" t="s">
        <v>8143</v>
      </c>
      <c r="BI1248" s="2405" t="s">
        <v>8142</v>
      </c>
      <c r="BJ1248" s="2757">
        <v>253978</v>
      </c>
      <c r="BK1248" s="530"/>
      <c r="BV1248" s="3082" t="str">
        <f t="shared" si="19"/>
        <v/>
      </c>
      <c r="CT1248" s="531"/>
      <c r="DA1248" s="2558"/>
      <c r="EI1248" s="2689" t="s">
        <v>11567</v>
      </c>
    </row>
    <row r="1249" spans="1:139" ht="43.5">
      <c r="A1249" s="532"/>
      <c r="AR1249" s="2513"/>
      <c r="BH1249" s="2405">
        <v>1402048660</v>
      </c>
      <c r="BI1249" s="2405" t="s">
        <v>2902</v>
      </c>
      <c r="BJ1249" s="2757">
        <v>330</v>
      </c>
      <c r="BK1249" s="530"/>
      <c r="BV1249" s="3082" t="str">
        <f t="shared" si="19"/>
        <v/>
      </c>
      <c r="CT1249" s="531"/>
      <c r="DA1249" s="2558"/>
      <c r="EI1249" s="2689" t="s">
        <v>11568</v>
      </c>
    </row>
    <row r="1250" spans="1:139" ht="43.5">
      <c r="A1250" s="532"/>
      <c r="AR1250" s="2513"/>
      <c r="BH1250" s="2405" t="s">
        <v>6280</v>
      </c>
      <c r="BI1250" s="2405" t="s">
        <v>6279</v>
      </c>
      <c r="BJ1250" s="2757">
        <v>251789</v>
      </c>
      <c r="BK1250" s="530"/>
      <c r="BV1250" s="3082" t="str">
        <f t="shared" si="19"/>
        <v/>
      </c>
      <c r="CT1250" s="531"/>
      <c r="DA1250" s="2558"/>
      <c r="EI1250" s="2689" t="s">
        <v>11569</v>
      </c>
    </row>
    <row r="1251" spans="1:139" ht="29">
      <c r="A1251" s="532"/>
      <c r="AR1251" s="2513"/>
      <c r="BH1251" s="2405">
        <v>124215706</v>
      </c>
      <c r="BI1251" s="2405" t="s">
        <v>1173</v>
      </c>
      <c r="BJ1251" s="2757">
        <v>481212</v>
      </c>
      <c r="BK1251" s="530"/>
      <c r="BV1251" s="3082" t="str">
        <f t="shared" si="19"/>
        <v/>
      </c>
      <c r="CT1251" s="531"/>
      <c r="DA1251" s="2558"/>
      <c r="EI1251" s="2689" t="s">
        <v>11570</v>
      </c>
    </row>
    <row r="1252" spans="1:139" ht="29">
      <c r="A1252" s="532"/>
      <c r="AR1252" s="2513"/>
      <c r="BH1252" s="2405">
        <v>882627035</v>
      </c>
      <c r="BI1252" s="2405" t="s">
        <v>1176</v>
      </c>
      <c r="BJ1252" s="2757">
        <v>481209</v>
      </c>
      <c r="BK1252" s="530"/>
      <c r="BV1252" s="3082" t="str">
        <f t="shared" si="19"/>
        <v/>
      </c>
      <c r="CT1252" s="531"/>
      <c r="DA1252" s="2558"/>
      <c r="EI1252" s="2689" t="s">
        <v>11571</v>
      </c>
    </row>
    <row r="1253" spans="1:139">
      <c r="A1253" s="532"/>
      <c r="AR1253" s="2513"/>
      <c r="BH1253" s="2405">
        <v>859064780</v>
      </c>
      <c r="BI1253" s="2405" t="s">
        <v>1182</v>
      </c>
      <c r="BJ1253" s="2757">
        <v>481214</v>
      </c>
      <c r="BK1253" s="530"/>
      <c r="BV1253" s="3082" t="str">
        <f t="shared" si="19"/>
        <v/>
      </c>
      <c r="CT1253" s="531"/>
      <c r="DA1253" s="2558"/>
      <c r="EI1253" s="2689" t="s">
        <v>11572</v>
      </c>
    </row>
    <row r="1254" spans="1:139" ht="72.5">
      <c r="A1254" s="532"/>
      <c r="AR1254" s="2513"/>
      <c r="BH1254" s="2405">
        <v>854088325</v>
      </c>
      <c r="BI1254" s="2405" t="s">
        <v>6283</v>
      </c>
      <c r="BJ1254" s="2757">
        <v>474468</v>
      </c>
      <c r="BK1254" s="530"/>
      <c r="BV1254" s="3082" t="str">
        <f t="shared" si="19"/>
        <v/>
      </c>
      <c r="CT1254" s="531"/>
      <c r="DA1254" s="2558"/>
      <c r="EI1254" s="2689" t="s">
        <v>11573</v>
      </c>
    </row>
    <row r="1255" spans="1:139" ht="29">
      <c r="A1255" s="532"/>
      <c r="AR1255" s="2513"/>
      <c r="BH1255" s="3118" t="s">
        <v>6819</v>
      </c>
      <c r="BI1255" s="2405" t="s">
        <v>6819</v>
      </c>
      <c r="BJ1255" s="2757">
        <v>481215</v>
      </c>
      <c r="BK1255" s="530"/>
      <c r="BV1255" s="3082" t="str">
        <f t="shared" si="19"/>
        <v/>
      </c>
      <c r="CT1255" s="531"/>
      <c r="DA1255" s="2558"/>
      <c r="EI1255" s="2689" t="s">
        <v>11574</v>
      </c>
    </row>
    <row r="1256" spans="1:139" ht="43.5">
      <c r="A1256" s="532"/>
      <c r="AR1256" s="2513"/>
      <c r="BH1256" s="3118" t="s">
        <v>7662</v>
      </c>
      <c r="BI1256" s="2405" t="s">
        <v>7662</v>
      </c>
      <c r="BJ1256" s="2757">
        <v>488812</v>
      </c>
      <c r="BK1256" s="530"/>
      <c r="BV1256" s="3082" t="str">
        <f t="shared" si="19"/>
        <v/>
      </c>
      <c r="CT1256" s="531"/>
      <c r="DA1256" s="2558"/>
      <c r="EI1256" s="2689" t="s">
        <v>11575</v>
      </c>
    </row>
    <row r="1257" spans="1:139" ht="87">
      <c r="A1257" s="532"/>
      <c r="AR1257" s="2513"/>
      <c r="BH1257" s="2405">
        <v>5035043950</v>
      </c>
      <c r="BI1257" s="2405" t="s">
        <v>6303</v>
      </c>
      <c r="BJ1257" s="2757">
        <v>367912</v>
      </c>
      <c r="BK1257" s="530"/>
      <c r="BV1257" s="3082" t="str">
        <f t="shared" si="19"/>
        <v/>
      </c>
      <c r="CT1257" s="531"/>
      <c r="DA1257" s="2558"/>
      <c r="EI1257" s="2689" t="s">
        <v>11576</v>
      </c>
    </row>
    <row r="1258" spans="1:139" ht="29">
      <c r="A1258" s="532"/>
      <c r="AR1258" s="2513"/>
      <c r="BH1258" s="2405">
        <v>6143038846</v>
      </c>
      <c r="BI1258" s="2405" t="s">
        <v>6089</v>
      </c>
      <c r="BJ1258" s="2757">
        <v>297557</v>
      </c>
      <c r="BK1258" s="530"/>
      <c r="BV1258" s="3082" t="str">
        <f t="shared" si="19"/>
        <v/>
      </c>
      <c r="CT1258" s="531"/>
      <c r="DA1258" s="2558"/>
      <c r="EI1258" s="2689" t="s">
        <v>11577</v>
      </c>
    </row>
    <row r="1259" spans="1:139" ht="43.5">
      <c r="A1259" s="532"/>
      <c r="AR1259" s="2513"/>
      <c r="BH1259" s="2405">
        <v>6143083535</v>
      </c>
      <c r="BI1259" s="2405" t="s">
        <v>6090</v>
      </c>
      <c r="BJ1259" s="2757">
        <v>365614</v>
      </c>
      <c r="BK1259" s="530"/>
      <c r="BV1259" s="3082" t="str">
        <f t="shared" ref="BV1259:BV1322" si="20">CONCATENATE(LEFT(BU1259,8),RIGHT(BU1259,9))</f>
        <v/>
      </c>
      <c r="CT1259" s="531"/>
      <c r="DA1259" s="2558"/>
      <c r="EI1259" s="2689" t="s">
        <v>11578</v>
      </c>
    </row>
    <row r="1260" spans="1:139" ht="29">
      <c r="A1260" s="532"/>
      <c r="AR1260" s="2513"/>
      <c r="BH1260" s="2405">
        <v>5254025015</v>
      </c>
      <c r="BI1260" s="2405" t="s">
        <v>6091</v>
      </c>
      <c r="BJ1260" s="2757">
        <v>213050</v>
      </c>
      <c r="BK1260" s="530"/>
      <c r="BV1260" s="3082" t="str">
        <f t="shared" si="20"/>
        <v/>
      </c>
      <c r="CT1260" s="531"/>
      <c r="DA1260" s="2558"/>
      <c r="EI1260" s="2689" t="s">
        <v>11579</v>
      </c>
    </row>
    <row r="1261" spans="1:139" ht="29">
      <c r="A1261" s="532"/>
      <c r="AR1261" s="2513"/>
      <c r="BH1261" s="2405">
        <v>1000000001</v>
      </c>
      <c r="BI1261" s="2405" t="s">
        <v>6092</v>
      </c>
      <c r="BJ1261" s="2757">
        <v>481088</v>
      </c>
      <c r="BK1261" s="530"/>
      <c r="BV1261" s="3082" t="str">
        <f t="shared" si="20"/>
        <v/>
      </c>
      <c r="CT1261" s="531"/>
      <c r="DA1261" s="2558"/>
      <c r="EI1261" s="2689" t="s">
        <v>11580</v>
      </c>
    </row>
    <row r="1262" spans="1:139" ht="58">
      <c r="A1262" s="532"/>
      <c r="AR1262" s="2513"/>
      <c r="BH1262" s="2405">
        <v>110106102189908</v>
      </c>
      <c r="BI1262" s="2405" t="s">
        <v>2926</v>
      </c>
      <c r="BJ1262" s="2757">
        <v>306003</v>
      </c>
      <c r="BK1262" s="530"/>
      <c r="BV1262" s="3082" t="str">
        <f t="shared" si="20"/>
        <v/>
      </c>
      <c r="CT1262" s="531"/>
      <c r="DA1262" s="2558"/>
      <c r="EI1262" s="2689" t="s">
        <v>11581</v>
      </c>
    </row>
    <row r="1263" spans="1:139" ht="29">
      <c r="A1263" s="532"/>
      <c r="AR1263" s="2513"/>
      <c r="BH1263" s="2405">
        <v>6143057983</v>
      </c>
      <c r="BI1263" s="2405" t="s">
        <v>6095</v>
      </c>
      <c r="BJ1263" s="2757">
        <v>184628</v>
      </c>
      <c r="BK1263" s="530"/>
      <c r="BV1263" s="3082" t="str">
        <f t="shared" si="20"/>
        <v/>
      </c>
      <c r="CT1263" s="531"/>
      <c r="DA1263" s="2558"/>
      <c r="EI1263" s="2689" t="s">
        <v>11582</v>
      </c>
    </row>
    <row r="1264" spans="1:139" ht="29">
      <c r="A1264" s="532"/>
      <c r="AR1264" s="2513"/>
      <c r="BH1264" s="2405">
        <v>7423024076</v>
      </c>
      <c r="BI1264" s="2405" t="s">
        <v>6096</v>
      </c>
      <c r="BJ1264" s="2757">
        <v>399172</v>
      </c>
      <c r="BK1264" s="530"/>
      <c r="BV1264" s="3082" t="str">
        <f t="shared" si="20"/>
        <v/>
      </c>
      <c r="CT1264" s="531"/>
      <c r="DA1264" s="2558"/>
      <c r="EI1264" s="2689" t="s">
        <v>11583</v>
      </c>
    </row>
    <row r="1265" spans="1:139">
      <c r="A1265" s="532"/>
      <c r="AR1265" s="2513"/>
      <c r="BH1265" s="2405">
        <v>2452044014</v>
      </c>
      <c r="BI1265" s="2405" t="s">
        <v>6823</v>
      </c>
      <c r="BJ1265" s="2757">
        <v>462826</v>
      </c>
      <c r="BK1265" s="530"/>
      <c r="BV1265" s="3082" t="str">
        <f t="shared" si="20"/>
        <v/>
      </c>
      <c r="CT1265" s="531"/>
      <c r="DA1265" s="2558"/>
      <c r="EI1265" s="2689" t="s">
        <v>11584</v>
      </c>
    </row>
    <row r="1266" spans="1:139">
      <c r="A1266" s="532"/>
      <c r="AR1266" s="2513"/>
      <c r="BH1266" s="2405">
        <v>7817323763</v>
      </c>
      <c r="BI1266" s="2405" t="s">
        <v>6825</v>
      </c>
      <c r="BJ1266" s="2757">
        <v>222715</v>
      </c>
      <c r="BK1266" s="530"/>
      <c r="BV1266" s="3082" t="str">
        <f t="shared" si="20"/>
        <v/>
      </c>
      <c r="CT1266" s="531"/>
      <c r="DA1266" s="2558"/>
      <c r="EI1266" s="2689" t="s">
        <v>11585</v>
      </c>
    </row>
    <row r="1267" spans="1:139" ht="29">
      <c r="A1267" s="532"/>
      <c r="AR1267" s="2513"/>
      <c r="BH1267" s="2405">
        <v>2452040122</v>
      </c>
      <c r="BI1267" s="2405" t="s">
        <v>6827</v>
      </c>
      <c r="BJ1267" s="2757">
        <v>337037</v>
      </c>
      <c r="BK1267" s="530"/>
      <c r="BV1267" s="3082" t="str">
        <f t="shared" si="20"/>
        <v/>
      </c>
      <c r="CT1267" s="531"/>
      <c r="DA1267" s="2558"/>
      <c r="EI1267" s="2689" t="s">
        <v>11586</v>
      </c>
    </row>
    <row r="1268" spans="1:139" ht="29">
      <c r="A1268" s="532"/>
      <c r="AR1268" s="2513"/>
      <c r="BH1268" s="2405">
        <v>2452201891</v>
      </c>
      <c r="BI1268" s="2405" t="s">
        <v>6098</v>
      </c>
      <c r="BJ1268" s="2757">
        <v>299816</v>
      </c>
      <c r="BK1268" s="530"/>
      <c r="BV1268" s="3082" t="str">
        <f t="shared" si="20"/>
        <v/>
      </c>
      <c r="CT1268" s="531"/>
      <c r="DA1268" s="2558"/>
      <c r="EI1268" s="2689" t="s">
        <v>11587</v>
      </c>
    </row>
    <row r="1269" spans="1:139" ht="29">
      <c r="A1269" s="532"/>
      <c r="AR1269" s="2513"/>
      <c r="BH1269" s="2405">
        <v>7724424381</v>
      </c>
      <c r="BI1269" s="2405" t="s">
        <v>8070</v>
      </c>
      <c r="BJ1269" s="2757">
        <v>527183</v>
      </c>
      <c r="BK1269" s="530"/>
      <c r="BV1269" s="3082" t="str">
        <f t="shared" si="20"/>
        <v/>
      </c>
      <c r="CT1269" s="531"/>
      <c r="DA1269" s="2558"/>
      <c r="EI1269" s="2689" t="s">
        <v>11588</v>
      </c>
    </row>
    <row r="1270" spans="1:139">
      <c r="A1270" s="532"/>
      <c r="AR1270" s="2513"/>
      <c r="BH1270" s="2405">
        <v>2452040108</v>
      </c>
      <c r="BI1270" s="2405" t="s">
        <v>7594</v>
      </c>
      <c r="BJ1270" s="2757">
        <v>339103</v>
      </c>
      <c r="BK1270" s="530"/>
      <c r="BV1270" s="3082" t="str">
        <f t="shared" si="20"/>
        <v/>
      </c>
      <c r="CT1270" s="531"/>
      <c r="DA1270" s="2558"/>
      <c r="EI1270" s="2689" t="s">
        <v>11589</v>
      </c>
    </row>
    <row r="1271" spans="1:139" ht="29">
      <c r="A1271" s="532"/>
      <c r="AR1271" s="2513"/>
      <c r="BH1271" s="2405">
        <v>2452201901</v>
      </c>
      <c r="BI1271" s="2405" t="s">
        <v>6099</v>
      </c>
      <c r="BJ1271" s="2757">
        <v>301720</v>
      </c>
      <c r="BK1271" s="530"/>
      <c r="BV1271" s="3082" t="str">
        <f t="shared" si="20"/>
        <v/>
      </c>
      <c r="CT1271" s="531"/>
      <c r="DA1271" s="2558"/>
      <c r="EI1271" s="2689" t="s">
        <v>11590</v>
      </c>
    </row>
    <row r="1272" spans="1:139" ht="43.5">
      <c r="A1272" s="532"/>
      <c r="AR1272" s="2513"/>
      <c r="BH1272" s="2405">
        <v>2452201637</v>
      </c>
      <c r="BI1272" s="2405" t="s">
        <v>6100</v>
      </c>
      <c r="BJ1272" s="2757">
        <v>292795</v>
      </c>
      <c r="BK1272" s="530"/>
      <c r="BV1272" s="3082" t="str">
        <f t="shared" si="20"/>
        <v/>
      </c>
      <c r="CT1272" s="531"/>
      <c r="DA1272" s="2558"/>
      <c r="EI1272" s="2689" t="s">
        <v>11591</v>
      </c>
    </row>
    <row r="1273" spans="1:139" ht="43.5">
      <c r="A1273" s="532"/>
      <c r="AR1273" s="2513"/>
      <c r="BH1273" s="2405">
        <v>2452201651</v>
      </c>
      <c r="BI1273" s="2405" t="s">
        <v>6101</v>
      </c>
      <c r="BJ1273" s="2757">
        <v>294831</v>
      </c>
      <c r="BK1273" s="530"/>
      <c r="BV1273" s="3082" t="str">
        <f t="shared" si="20"/>
        <v/>
      </c>
      <c r="CT1273" s="531"/>
      <c r="DA1273" s="2558"/>
      <c r="EI1273" s="2689" t="s">
        <v>11592</v>
      </c>
    </row>
    <row r="1274" spans="1:139" ht="72.5">
      <c r="A1274" s="532"/>
      <c r="AR1274" s="2513"/>
      <c r="BH1274" s="2405" t="s">
        <v>7490</v>
      </c>
      <c r="BI1274" s="2405" t="s">
        <v>6832</v>
      </c>
      <c r="BJ1274" s="2757" t="s">
        <v>7491</v>
      </c>
      <c r="BK1274" s="530"/>
      <c r="BV1274" s="3082" t="str">
        <f t="shared" si="20"/>
        <v/>
      </c>
      <c r="CT1274" s="531"/>
      <c r="DA1274" s="2558"/>
      <c r="EI1274" s="2689" t="s">
        <v>11593</v>
      </c>
    </row>
    <row r="1275" spans="1:139" ht="43.5">
      <c r="A1275" s="532"/>
      <c r="AR1275" s="2513"/>
      <c r="BH1275" s="2405">
        <v>7423023178</v>
      </c>
      <c r="BI1275" s="2405" t="s">
        <v>6102</v>
      </c>
      <c r="BJ1275" s="2757">
        <v>197744</v>
      </c>
      <c r="BK1275" s="530"/>
      <c r="BV1275" s="3082" t="str">
        <f t="shared" si="20"/>
        <v/>
      </c>
      <c r="CT1275" s="531"/>
      <c r="DA1275" s="2558"/>
      <c r="EI1275" s="2689" t="s">
        <v>11594</v>
      </c>
    </row>
    <row r="1276" spans="1:139" ht="43.5">
      <c r="A1276" s="532"/>
      <c r="AR1276" s="2513"/>
      <c r="BH1276" s="2405">
        <v>7451382644</v>
      </c>
      <c r="BI1276" s="2405" t="s">
        <v>6103</v>
      </c>
      <c r="BJ1276" s="2757">
        <v>399601</v>
      </c>
      <c r="BK1276" s="530"/>
      <c r="BV1276" s="3082" t="str">
        <f t="shared" si="20"/>
        <v/>
      </c>
      <c r="CT1276" s="531"/>
      <c r="DA1276" s="2558"/>
      <c r="EI1276" s="2689" t="s">
        <v>11595</v>
      </c>
    </row>
    <row r="1277" spans="1:139" ht="43.5">
      <c r="A1277" s="532"/>
      <c r="AR1277" s="2513"/>
      <c r="BH1277" s="2405">
        <v>2452201644</v>
      </c>
      <c r="BI1277" s="2405" t="s">
        <v>6104</v>
      </c>
      <c r="BJ1277" s="2757">
        <v>294541</v>
      </c>
      <c r="BK1277" s="530"/>
      <c r="BV1277" s="3082" t="str">
        <f t="shared" si="20"/>
        <v/>
      </c>
      <c r="CT1277" s="531"/>
      <c r="DA1277" s="2558"/>
      <c r="EI1277" s="2689" t="s">
        <v>11596</v>
      </c>
    </row>
    <row r="1278" spans="1:139" ht="43.5">
      <c r="A1278" s="532"/>
      <c r="AR1278" s="2513"/>
      <c r="BH1278" s="2405">
        <v>7802809705</v>
      </c>
      <c r="BI1278" s="2405" t="s">
        <v>6105</v>
      </c>
      <c r="BJ1278" s="2757">
        <v>377574</v>
      </c>
      <c r="BK1278" s="530"/>
      <c r="BV1278" s="3082" t="str">
        <f t="shared" si="20"/>
        <v/>
      </c>
      <c r="CT1278" s="531"/>
      <c r="DA1278" s="2558"/>
      <c r="EI1278" s="2689" t="s">
        <v>11597</v>
      </c>
    </row>
    <row r="1279" spans="1:139" ht="29">
      <c r="A1279" s="532"/>
      <c r="AR1279" s="2513"/>
      <c r="BH1279" s="2405">
        <v>5216000193</v>
      </c>
      <c r="BI1279" s="2405" t="s">
        <v>6106</v>
      </c>
      <c r="BJ1279" s="2757">
        <v>225731</v>
      </c>
      <c r="BK1279" s="530"/>
      <c r="BV1279" s="3082" t="str">
        <f t="shared" si="20"/>
        <v/>
      </c>
      <c r="CT1279" s="531"/>
      <c r="DA1279" s="2558"/>
      <c r="EI1279" s="2689" t="s">
        <v>11598</v>
      </c>
    </row>
    <row r="1280" spans="1:139" ht="87">
      <c r="A1280" s="532"/>
      <c r="AR1280" s="2513"/>
      <c r="BH1280" s="2405">
        <v>1001169266</v>
      </c>
      <c r="BI1280" s="2405" t="s">
        <v>6097</v>
      </c>
      <c r="BJ1280" s="2757">
        <v>187798</v>
      </c>
      <c r="BK1280" s="530"/>
      <c r="BV1280" s="3082" t="str">
        <f t="shared" si="20"/>
        <v/>
      </c>
      <c r="CT1280" s="531"/>
      <c r="DA1280" s="2558"/>
      <c r="EI1280" s="2689" t="s">
        <v>11599</v>
      </c>
    </row>
    <row r="1281" spans="1:139" ht="58">
      <c r="A1281" s="532"/>
      <c r="AR1281" s="2513"/>
      <c r="BH1281" s="2405">
        <v>7705096054</v>
      </c>
      <c r="BI1281" s="2405" t="s">
        <v>7598</v>
      </c>
      <c r="BJ1281" s="2757">
        <v>96825</v>
      </c>
      <c r="BK1281" s="530"/>
      <c r="BV1281" s="3082" t="str">
        <f t="shared" si="20"/>
        <v/>
      </c>
      <c r="CT1281" s="531"/>
      <c r="DA1281" s="2558"/>
      <c r="EI1281" s="2689" t="s">
        <v>11600</v>
      </c>
    </row>
    <row r="1282" spans="1:139">
      <c r="A1282" s="532"/>
      <c r="AR1282" s="2513"/>
      <c r="BH1282" s="2405">
        <v>5029133115</v>
      </c>
      <c r="BI1282" s="2405" t="s">
        <v>7669</v>
      </c>
      <c r="BJ1282" s="2757">
        <v>96981</v>
      </c>
      <c r="BK1282" s="530"/>
      <c r="BV1282" s="3082" t="str">
        <f t="shared" si="20"/>
        <v/>
      </c>
      <c r="CT1282" s="531"/>
      <c r="DA1282" s="2558"/>
      <c r="EI1282" s="2689" t="s">
        <v>11601</v>
      </c>
    </row>
    <row r="1283" spans="1:139" ht="29">
      <c r="A1283" s="532"/>
      <c r="AR1283" s="2513"/>
      <c r="BH1283" s="2405">
        <v>7726485277</v>
      </c>
      <c r="BI1283" s="2405" t="s">
        <v>7602</v>
      </c>
      <c r="BJ1283" s="2757">
        <v>292959</v>
      </c>
      <c r="BK1283" s="530"/>
      <c r="BV1283" s="3082" t="str">
        <f t="shared" si="20"/>
        <v/>
      </c>
      <c r="CT1283" s="531"/>
      <c r="DA1283" s="2558"/>
      <c r="EI1283" s="2689" t="s">
        <v>11602</v>
      </c>
    </row>
    <row r="1284" spans="1:139" ht="87">
      <c r="A1284" s="532"/>
      <c r="AR1284" s="2513"/>
      <c r="BH1284" s="2405">
        <v>7706470770</v>
      </c>
      <c r="BI1284" s="2405" t="s">
        <v>7604</v>
      </c>
      <c r="BJ1284" s="2757">
        <v>293823</v>
      </c>
      <c r="BK1284" s="530"/>
      <c r="BV1284" s="3082" t="str">
        <f t="shared" si="20"/>
        <v/>
      </c>
      <c r="CT1284" s="531"/>
      <c r="DA1284" s="2558"/>
      <c r="EI1284" s="2689" t="s">
        <v>11603</v>
      </c>
    </row>
    <row r="1285" spans="1:139" ht="43.5">
      <c r="A1285" s="532"/>
      <c r="AR1285" s="2513"/>
      <c r="BH1285" s="2405">
        <v>7725351697</v>
      </c>
      <c r="BI1285" s="2405" t="s">
        <v>7606</v>
      </c>
      <c r="BJ1285" s="2757">
        <v>318855</v>
      </c>
      <c r="BK1285" s="530"/>
      <c r="BV1285" s="3082" t="str">
        <f t="shared" si="20"/>
        <v/>
      </c>
      <c r="CT1285" s="531"/>
      <c r="DA1285" s="2558"/>
      <c r="EI1285" s="2689" t="s">
        <v>11604</v>
      </c>
    </row>
    <row r="1286" spans="1:139" ht="29">
      <c r="A1286" s="532"/>
      <c r="AR1286" s="2513"/>
      <c r="BH1286" s="2405">
        <v>7706416170</v>
      </c>
      <c r="BI1286" s="2405" t="s">
        <v>7608</v>
      </c>
      <c r="BJ1286" s="2757">
        <v>386744</v>
      </c>
      <c r="BK1286" s="530"/>
      <c r="BV1286" s="3082" t="str">
        <f t="shared" si="20"/>
        <v/>
      </c>
      <c r="CT1286" s="531"/>
      <c r="DA1286" s="2558"/>
      <c r="EI1286" s="2689" t="s">
        <v>11605</v>
      </c>
    </row>
    <row r="1287" spans="1:139" ht="43.5">
      <c r="A1287" s="532"/>
      <c r="AR1287" s="2513"/>
      <c r="BH1287" s="2405">
        <v>7706445460</v>
      </c>
      <c r="BI1287" s="2405" t="s">
        <v>7610</v>
      </c>
      <c r="BJ1287" s="2757">
        <v>481198</v>
      </c>
      <c r="BK1287" s="530"/>
      <c r="BV1287" s="3082" t="str">
        <f t="shared" si="20"/>
        <v/>
      </c>
      <c r="CT1287" s="531"/>
      <c r="DA1287" s="2558"/>
      <c r="EI1287" s="2689" t="s">
        <v>11606</v>
      </c>
    </row>
    <row r="1288" spans="1:139" ht="43.5">
      <c r="A1288" s="532"/>
      <c r="AR1288" s="2513"/>
      <c r="BH1288" s="2405">
        <v>7706422695</v>
      </c>
      <c r="BI1288" s="2405" t="s">
        <v>7717</v>
      </c>
      <c r="BJ1288" s="2757">
        <v>409863</v>
      </c>
      <c r="BK1288" s="530"/>
      <c r="BV1288" s="3082" t="str">
        <f t="shared" si="20"/>
        <v/>
      </c>
      <c r="CT1288" s="531"/>
      <c r="DA1288" s="2558"/>
      <c r="EI1288" s="2689" t="s">
        <v>11607</v>
      </c>
    </row>
    <row r="1289" spans="1:139" ht="43.5">
      <c r="A1289" s="532"/>
      <c r="AR1289" s="2513"/>
      <c r="BH1289" s="2405">
        <v>7706471614</v>
      </c>
      <c r="BI1289" s="2405" t="s">
        <v>7616</v>
      </c>
      <c r="BJ1289" s="2757">
        <v>379434</v>
      </c>
      <c r="BK1289" s="530"/>
      <c r="BV1289" s="3082" t="str">
        <f t="shared" si="20"/>
        <v/>
      </c>
      <c r="CT1289" s="531"/>
      <c r="DA1289" s="2558"/>
      <c r="EI1289" s="2689" t="s">
        <v>11608</v>
      </c>
    </row>
    <row r="1290" spans="1:139" ht="58">
      <c r="A1290" s="532"/>
      <c r="AR1290" s="2513"/>
      <c r="BH1290" s="2405">
        <v>7706470787</v>
      </c>
      <c r="BI1290" s="2405" t="s">
        <v>7618</v>
      </c>
      <c r="BJ1290" s="2757">
        <v>293828</v>
      </c>
      <c r="BK1290" s="530"/>
      <c r="BV1290" s="3082" t="str">
        <f t="shared" si="20"/>
        <v/>
      </c>
      <c r="CT1290" s="531"/>
      <c r="DA1290" s="2558"/>
      <c r="EI1290" s="2689" t="s">
        <v>11609</v>
      </c>
    </row>
    <row r="1291" spans="1:139" ht="43.5">
      <c r="A1291" s="532"/>
      <c r="AR1291" s="2513"/>
      <c r="BH1291" s="2405">
        <v>4025450383</v>
      </c>
      <c r="BI1291" s="2405" t="s">
        <v>7678</v>
      </c>
      <c r="BJ1291" s="2757">
        <v>514998</v>
      </c>
      <c r="BK1291" s="530"/>
      <c r="BV1291" s="3082" t="str">
        <f t="shared" si="20"/>
        <v/>
      </c>
      <c r="CT1291" s="531"/>
      <c r="DA1291" s="2558"/>
      <c r="EI1291" s="2689" t="s">
        <v>11610</v>
      </c>
    </row>
    <row r="1292" spans="1:139" ht="43.5">
      <c r="A1292" s="532"/>
      <c r="AR1292" s="2513"/>
      <c r="BH1292" s="2405">
        <v>2460069527</v>
      </c>
      <c r="BI1292" s="2405" t="s">
        <v>8166</v>
      </c>
      <c r="BJ1292" s="2757">
        <v>203985</v>
      </c>
      <c r="BK1292" s="530"/>
      <c r="BV1292" s="3082" t="str">
        <f t="shared" si="20"/>
        <v/>
      </c>
      <c r="CT1292" s="531"/>
      <c r="DA1292" s="2558"/>
      <c r="EI1292" s="2689" t="s">
        <v>11611</v>
      </c>
    </row>
    <row r="1293" spans="1:139" ht="43.5">
      <c r="A1293" s="532"/>
      <c r="AR1293" s="2513"/>
      <c r="BH1293" s="2405">
        <v>7702044530</v>
      </c>
      <c r="BI1293" s="2405" t="s">
        <v>8167</v>
      </c>
      <c r="BJ1293" s="2757">
        <v>143097</v>
      </c>
      <c r="BK1293" s="530"/>
      <c r="BV1293" s="3082" t="str">
        <f t="shared" si="20"/>
        <v/>
      </c>
      <c r="CT1293" s="531"/>
      <c r="DA1293" s="2558"/>
      <c r="EI1293" s="2689" t="s">
        <v>11612</v>
      </c>
    </row>
    <row r="1294" spans="1:139" ht="43.5">
      <c r="A1294" s="532"/>
      <c r="AR1294" s="2513"/>
      <c r="BH1294" s="2405">
        <v>7733020875</v>
      </c>
      <c r="BI1294" s="2405" t="s">
        <v>8168</v>
      </c>
      <c r="BJ1294" s="2757">
        <v>229414</v>
      </c>
      <c r="BK1294" s="530"/>
      <c r="BV1294" s="3082" t="str">
        <f t="shared" si="20"/>
        <v/>
      </c>
      <c r="CT1294" s="531"/>
      <c r="DA1294" s="2558"/>
      <c r="EI1294" s="2689" t="s">
        <v>11613</v>
      </c>
    </row>
    <row r="1295" spans="1:139" ht="72.5">
      <c r="A1295" s="532"/>
      <c r="AR1295" s="2513"/>
      <c r="BH1295" s="2405">
        <v>7712005121</v>
      </c>
      <c r="BI1295" s="2405" t="s">
        <v>8169</v>
      </c>
      <c r="BJ1295" s="2757">
        <v>148436</v>
      </c>
      <c r="BK1295" s="530"/>
      <c r="BV1295" s="3082" t="str">
        <f t="shared" si="20"/>
        <v/>
      </c>
      <c r="CT1295" s="531"/>
      <c r="DA1295" s="2558"/>
      <c r="EI1295" s="2689" t="s">
        <v>11614</v>
      </c>
    </row>
    <row r="1296" spans="1:139" ht="58">
      <c r="A1296" s="532"/>
      <c r="AR1296" s="2513"/>
      <c r="BH1296" s="3117">
        <v>3812016610</v>
      </c>
      <c r="BI1296" s="3116" t="s">
        <v>9700</v>
      </c>
      <c r="BJ1296" s="3117">
        <v>491558</v>
      </c>
      <c r="BK1296" s="530"/>
      <c r="BV1296" s="3082" t="str">
        <f t="shared" si="20"/>
        <v/>
      </c>
      <c r="CT1296" s="531"/>
      <c r="DA1296" s="2558"/>
      <c r="EI1296" s="2689" t="s">
        <v>11615</v>
      </c>
    </row>
    <row r="1297" spans="1:139" ht="58">
      <c r="A1297" s="532"/>
      <c r="AR1297" s="2513"/>
      <c r="BH1297" s="3117">
        <v>7810639976</v>
      </c>
      <c r="BI1297" s="3116" t="s">
        <v>9701</v>
      </c>
      <c r="BJ1297" s="3117">
        <v>565318</v>
      </c>
      <c r="BK1297" s="530"/>
      <c r="BV1297" s="3082" t="str">
        <f t="shared" si="20"/>
        <v/>
      </c>
      <c r="CT1297" s="531"/>
      <c r="DA1297" s="2558"/>
      <c r="EI1297" s="2689" t="s">
        <v>11616</v>
      </c>
    </row>
    <row r="1298" spans="1:139" ht="29">
      <c r="A1298" s="532"/>
      <c r="AR1298" s="2513"/>
      <c r="BH1298" s="3117">
        <v>7728131587</v>
      </c>
      <c r="BI1298" s="3116" t="s">
        <v>9702</v>
      </c>
      <c r="BJ1298" s="3117">
        <v>246893</v>
      </c>
      <c r="BK1298" s="530"/>
      <c r="BV1298" s="3082" t="str">
        <f t="shared" si="20"/>
        <v/>
      </c>
      <c r="CT1298" s="531"/>
      <c r="DA1298" s="2558"/>
      <c r="EI1298" s="2689" t="s">
        <v>11617</v>
      </c>
    </row>
    <row r="1299" spans="1:139" ht="43.5">
      <c r="A1299" s="532"/>
      <c r="AR1299" s="2513"/>
      <c r="BH1299" s="3117">
        <v>411131779</v>
      </c>
      <c r="BI1299" s="3116" t="s">
        <v>9703</v>
      </c>
      <c r="BJ1299" s="3117">
        <v>320965</v>
      </c>
      <c r="BK1299" s="530"/>
      <c r="BV1299" s="3082" t="str">
        <f t="shared" si="20"/>
        <v/>
      </c>
      <c r="CT1299" s="531"/>
      <c r="DA1299" s="2558"/>
      <c r="EI1299" s="2689" t="s">
        <v>11618</v>
      </c>
    </row>
    <row r="1300" spans="1:139" ht="43.5">
      <c r="A1300" s="532"/>
      <c r="AR1300" s="2513"/>
      <c r="BH1300" s="3117">
        <v>1001012730</v>
      </c>
      <c r="BI1300" s="3116" t="s">
        <v>9704</v>
      </c>
      <c r="BJ1300" s="3117">
        <v>155024</v>
      </c>
      <c r="BK1300" s="530"/>
      <c r="BV1300" s="3082" t="str">
        <f t="shared" si="20"/>
        <v/>
      </c>
      <c r="CT1300" s="531"/>
      <c r="DA1300" s="2558"/>
      <c r="EI1300" s="2689" t="s">
        <v>11619</v>
      </c>
    </row>
    <row r="1301" spans="1:139" ht="43.5">
      <c r="A1301" s="532"/>
      <c r="AR1301" s="2513"/>
      <c r="BH1301" s="3117">
        <v>1829009303</v>
      </c>
      <c r="BI1301" s="3116" t="s">
        <v>9705</v>
      </c>
      <c r="BJ1301" s="3117">
        <v>73</v>
      </c>
      <c r="BK1301" s="530"/>
      <c r="BV1301" s="3082" t="str">
        <f t="shared" si="20"/>
        <v/>
      </c>
      <c r="CT1301" s="531"/>
      <c r="DA1301" s="2558"/>
      <c r="EI1301" s="2689" t="s">
        <v>11620</v>
      </c>
    </row>
    <row r="1302" spans="1:139" ht="58">
      <c r="A1302" s="532"/>
      <c r="AR1302" s="2513"/>
      <c r="BH1302" s="3117">
        <v>1837005729</v>
      </c>
      <c r="BI1302" s="3116" t="s">
        <v>9706</v>
      </c>
      <c r="BJ1302" s="3117">
        <v>83</v>
      </c>
      <c r="BK1302" s="530"/>
      <c r="BV1302" s="3082" t="str">
        <f t="shared" si="20"/>
        <v/>
      </c>
      <c r="CT1302" s="531"/>
      <c r="DA1302" s="2558"/>
      <c r="EI1302" s="2689" t="s">
        <v>11621</v>
      </c>
    </row>
    <row r="1303" spans="1:139" ht="43.5">
      <c r="A1303" s="532"/>
      <c r="AR1303" s="2513"/>
      <c r="BH1303" s="3117">
        <v>2128701733</v>
      </c>
      <c r="BI1303" s="3116" t="s">
        <v>9707</v>
      </c>
      <c r="BJ1303" s="3117">
        <v>122467</v>
      </c>
      <c r="BK1303" s="530"/>
      <c r="BV1303" s="3082" t="str">
        <f t="shared" si="20"/>
        <v/>
      </c>
      <c r="CT1303" s="531"/>
      <c r="DA1303" s="2558"/>
      <c r="EI1303" s="2689" t="s">
        <v>11622</v>
      </c>
    </row>
    <row r="1304" spans="1:139" ht="43.5">
      <c r="A1304" s="532"/>
      <c r="AR1304" s="2513"/>
      <c r="BH1304" s="3117">
        <v>2320109650</v>
      </c>
      <c r="BI1304" s="3116" t="s">
        <v>9708</v>
      </c>
      <c r="BJ1304" s="3117">
        <v>205</v>
      </c>
      <c r="BK1304" s="530"/>
      <c r="BV1304" s="3082" t="str">
        <f t="shared" si="20"/>
        <v/>
      </c>
      <c r="CT1304" s="531"/>
      <c r="DA1304" s="2558"/>
      <c r="EI1304" s="2689" t="s">
        <v>11623</v>
      </c>
    </row>
    <row r="1305" spans="1:139">
      <c r="A1305" s="532"/>
      <c r="AR1305" s="2513"/>
      <c r="BH1305" s="3117">
        <v>2635061521</v>
      </c>
      <c r="BI1305" s="3116" t="s">
        <v>9709</v>
      </c>
      <c r="BJ1305" s="3117">
        <v>341</v>
      </c>
      <c r="BK1305" s="530"/>
      <c r="BV1305" s="3082" t="str">
        <f t="shared" si="20"/>
        <v/>
      </c>
      <c r="CT1305" s="531"/>
      <c r="DA1305" s="2558"/>
      <c r="EI1305" s="2689" t="s">
        <v>11624</v>
      </c>
    </row>
    <row r="1306" spans="1:139" ht="58">
      <c r="A1306" s="532"/>
      <c r="AR1306" s="2513"/>
      <c r="BH1306" s="3117">
        <v>2901150407</v>
      </c>
      <c r="BI1306" s="3116" t="s">
        <v>9710</v>
      </c>
      <c r="BJ1306" s="3117">
        <v>299082</v>
      </c>
      <c r="BK1306" s="530"/>
      <c r="BV1306" s="3082" t="str">
        <f t="shared" si="20"/>
        <v/>
      </c>
      <c r="CT1306" s="531"/>
      <c r="DA1306" s="2558"/>
      <c r="EI1306" s="2689" t="s">
        <v>11625</v>
      </c>
    </row>
    <row r="1307" spans="1:139" ht="29">
      <c r="A1307" s="532"/>
      <c r="AR1307" s="2513"/>
      <c r="BH1307" s="3117">
        <v>3329031150</v>
      </c>
      <c r="BI1307" s="3116" t="s">
        <v>9711</v>
      </c>
      <c r="BJ1307" s="3117">
        <v>172969</v>
      </c>
      <c r="BK1307" s="530"/>
      <c r="BV1307" s="3082" t="str">
        <f t="shared" si="20"/>
        <v/>
      </c>
      <c r="CT1307" s="531"/>
      <c r="DA1307" s="2558"/>
      <c r="EI1307" s="2689" t="s">
        <v>11626</v>
      </c>
    </row>
    <row r="1308" spans="1:139" ht="43.5">
      <c r="A1308" s="532"/>
      <c r="AR1308" s="2513"/>
      <c r="BH1308" s="3117">
        <v>3801020251</v>
      </c>
      <c r="BI1308" s="3116" t="s">
        <v>9712</v>
      </c>
      <c r="BJ1308" s="3117">
        <v>97443</v>
      </c>
      <c r="BK1308" s="530"/>
      <c r="BV1308" s="3082" t="str">
        <f t="shared" si="20"/>
        <v/>
      </c>
      <c r="CT1308" s="531"/>
      <c r="DA1308" s="2558"/>
      <c r="EI1308" s="2689" t="s">
        <v>11627</v>
      </c>
    </row>
    <row r="1309" spans="1:139" ht="43.5">
      <c r="A1309" s="532"/>
      <c r="AR1309" s="2513"/>
      <c r="BH1309" s="3117">
        <v>3808065036</v>
      </c>
      <c r="BI1309" s="3116" t="s">
        <v>9713</v>
      </c>
      <c r="BJ1309" s="3117">
        <v>168188</v>
      </c>
      <c r="BK1309" s="530"/>
      <c r="BV1309" s="3082" t="str">
        <f t="shared" si="20"/>
        <v/>
      </c>
      <c r="CT1309" s="531"/>
      <c r="DA1309" s="2558"/>
      <c r="EI1309" s="2689" t="s">
        <v>11628</v>
      </c>
    </row>
    <row r="1310" spans="1:139" ht="101.5">
      <c r="A1310" s="532"/>
      <c r="AR1310" s="2513"/>
      <c r="BH1310" s="3117">
        <v>4025028252</v>
      </c>
      <c r="BI1310" s="3116" t="s">
        <v>9714</v>
      </c>
      <c r="BJ1310" s="3117">
        <v>333</v>
      </c>
      <c r="BK1310" s="530"/>
      <c r="BV1310" s="3082" t="str">
        <f t="shared" si="20"/>
        <v/>
      </c>
      <c r="CT1310" s="531"/>
      <c r="DA1310" s="2558"/>
      <c r="EI1310" s="2689" t="s">
        <v>11629</v>
      </c>
    </row>
    <row r="1311" spans="1:139" ht="43.5">
      <c r="A1311" s="532"/>
      <c r="AR1311" s="2513"/>
      <c r="BH1311" s="3117">
        <v>4506008308</v>
      </c>
      <c r="BI1311" s="3116" t="s">
        <v>9715</v>
      </c>
      <c r="BJ1311" s="3117">
        <v>262</v>
      </c>
      <c r="BK1311" s="530"/>
      <c r="BV1311" s="3082" t="str">
        <f t="shared" si="20"/>
        <v/>
      </c>
      <c r="CT1311" s="531"/>
      <c r="DA1311" s="2558"/>
      <c r="EI1311" s="2689" t="s">
        <v>11630</v>
      </c>
    </row>
    <row r="1312" spans="1:139" ht="43.5">
      <c r="A1312" s="532"/>
      <c r="AR1312" s="2513"/>
      <c r="BH1312" s="3117">
        <v>4714012873</v>
      </c>
      <c r="BI1312" s="3116" t="s">
        <v>9716</v>
      </c>
      <c r="BJ1312" s="3117">
        <v>248</v>
      </c>
      <c r="BV1312" s="3082" t="str">
        <f t="shared" si="20"/>
        <v/>
      </c>
      <c r="CT1312" s="531"/>
      <c r="DA1312" s="2558"/>
      <c r="EI1312" s="2689" t="s">
        <v>11631</v>
      </c>
    </row>
    <row r="1313" spans="1:139" ht="87">
      <c r="A1313" s="532"/>
      <c r="AR1313" s="2513"/>
      <c r="BH1313" s="3117">
        <v>4714014486</v>
      </c>
      <c r="BI1313" s="3116" t="s">
        <v>9717</v>
      </c>
      <c r="BJ1313" s="3117">
        <v>173</v>
      </c>
      <c r="BV1313" s="3082" t="str">
        <f t="shared" si="20"/>
        <v/>
      </c>
      <c r="CT1313" s="531"/>
      <c r="DA1313" s="2558"/>
      <c r="EI1313" s="2689" t="s">
        <v>11632</v>
      </c>
    </row>
    <row r="1314" spans="1:139" ht="116">
      <c r="A1314" s="532"/>
      <c r="AR1314" s="2513"/>
      <c r="BH1314" s="3117">
        <v>4714014849</v>
      </c>
      <c r="BI1314" s="3116" t="s">
        <v>9718</v>
      </c>
      <c r="BJ1314" s="3117">
        <v>317</v>
      </c>
      <c r="BV1314" s="3082" t="str">
        <f t="shared" si="20"/>
        <v/>
      </c>
      <c r="CT1314" s="531"/>
      <c r="DA1314" s="2558"/>
      <c r="EI1314" s="2689" t="s">
        <v>11633</v>
      </c>
    </row>
    <row r="1315" spans="1:139">
      <c r="A1315" s="532"/>
      <c r="AR1315" s="2513"/>
      <c r="BH1315" s="3117">
        <v>4714014870</v>
      </c>
      <c r="BI1315" s="3116" t="s">
        <v>9719</v>
      </c>
      <c r="BJ1315" s="3117">
        <v>322</v>
      </c>
      <c r="BV1315" s="3082" t="str">
        <f t="shared" si="20"/>
        <v/>
      </c>
      <c r="CT1315" s="531"/>
      <c r="DA1315" s="2558"/>
      <c r="EI1315" s="2689" t="s">
        <v>11634</v>
      </c>
    </row>
    <row r="1316" spans="1:139" ht="29">
      <c r="A1316" s="532"/>
      <c r="AR1316" s="2513"/>
      <c r="BH1316" s="3117">
        <v>4714015049</v>
      </c>
      <c r="BI1316" s="3116" t="s">
        <v>9720</v>
      </c>
      <c r="BJ1316" s="3117">
        <v>318</v>
      </c>
      <c r="BV1316" s="3082" t="str">
        <f t="shared" si="20"/>
        <v/>
      </c>
      <c r="CT1316" s="531"/>
      <c r="DA1316" s="2558"/>
      <c r="EI1316" s="2689" t="s">
        <v>11635</v>
      </c>
    </row>
    <row r="1317" spans="1:139" ht="58">
      <c r="A1317" s="532"/>
      <c r="AR1317" s="2513"/>
      <c r="BH1317" s="3117">
        <v>5021001043</v>
      </c>
      <c r="BI1317" s="3116" t="s">
        <v>9721</v>
      </c>
      <c r="BJ1317" s="3117">
        <v>143891</v>
      </c>
      <c r="BV1317" s="3082" t="str">
        <f t="shared" si="20"/>
        <v/>
      </c>
      <c r="CT1317" s="531"/>
      <c r="DA1317" s="2558"/>
      <c r="EI1317" s="2689" t="s">
        <v>11636</v>
      </c>
    </row>
    <row r="1318" spans="1:139" ht="29">
      <c r="A1318" s="532"/>
      <c r="AR1318" s="2513"/>
      <c r="BH1318" s="3117">
        <v>5027089703</v>
      </c>
      <c r="BI1318" s="3116" t="s">
        <v>9722</v>
      </c>
      <c r="BJ1318" s="3117">
        <v>155002</v>
      </c>
      <c r="BV1318" s="3082" t="str">
        <f t="shared" si="20"/>
        <v/>
      </c>
      <c r="CT1318" s="531"/>
      <c r="DA1318" s="2558"/>
      <c r="EI1318" s="2689" t="s">
        <v>11637</v>
      </c>
    </row>
    <row r="1319" spans="1:139" ht="43.5">
      <c r="A1319" s="532"/>
      <c r="AR1319" s="2513"/>
      <c r="BH1319" s="3117">
        <v>5029009044</v>
      </c>
      <c r="BI1319" s="3116" t="s">
        <v>9723</v>
      </c>
      <c r="BJ1319" s="3117">
        <v>274694</v>
      </c>
      <c r="BV1319" s="3082" t="str">
        <f t="shared" si="20"/>
        <v/>
      </c>
      <c r="CT1319" s="531"/>
      <c r="DA1319" s="2558"/>
      <c r="EI1319" s="2689" t="s">
        <v>11638</v>
      </c>
    </row>
    <row r="1320" spans="1:139" ht="58">
      <c r="A1320" s="532"/>
      <c r="AR1320" s="2513"/>
      <c r="BH1320" s="3117">
        <v>5031008930</v>
      </c>
      <c r="BI1320" s="3116" t="s">
        <v>9724</v>
      </c>
      <c r="BJ1320" s="3117">
        <v>104190</v>
      </c>
      <c r="BV1320" s="3082" t="str">
        <f t="shared" si="20"/>
        <v/>
      </c>
      <c r="CT1320" s="531"/>
      <c r="DA1320" s="2558"/>
      <c r="EI1320" s="2689" t="s">
        <v>11639</v>
      </c>
    </row>
    <row r="1321" spans="1:139" ht="29">
      <c r="A1321" s="532"/>
      <c r="AR1321" s="2513"/>
      <c r="BH1321" s="3117">
        <v>5031088660</v>
      </c>
      <c r="BI1321" s="3116" t="s">
        <v>9725</v>
      </c>
      <c r="BJ1321" s="3117">
        <v>60</v>
      </c>
      <c r="BV1321" s="3082" t="str">
        <f t="shared" si="20"/>
        <v/>
      </c>
      <c r="CT1321" s="531"/>
      <c r="DA1321" s="2558"/>
      <c r="EI1321" s="2689" t="s">
        <v>11640</v>
      </c>
    </row>
    <row r="1322" spans="1:139" ht="29">
      <c r="A1322" s="532"/>
      <c r="AR1322" s="2513"/>
      <c r="BH1322" s="3117">
        <v>5036037282</v>
      </c>
      <c r="BI1322" s="3116" t="s">
        <v>9726</v>
      </c>
      <c r="BJ1322" s="3117">
        <v>173012</v>
      </c>
      <c r="BV1322" s="3082" t="str">
        <f t="shared" si="20"/>
        <v/>
      </c>
      <c r="CT1322" s="531"/>
      <c r="DA1322" s="2558"/>
      <c r="EI1322" s="2689" t="s">
        <v>11641</v>
      </c>
    </row>
    <row r="1323" spans="1:139">
      <c r="A1323" s="532"/>
      <c r="AR1323" s="2513"/>
      <c r="BH1323" s="3117">
        <v>5036045290</v>
      </c>
      <c r="BI1323" s="3116" t="s">
        <v>9727</v>
      </c>
      <c r="BJ1323" s="3117">
        <v>147614</v>
      </c>
      <c r="BV1323" s="3082" t="str">
        <f t="shared" ref="BV1323:BV1346" si="21">CONCATENATE(LEFT(BU1323,8),RIGHT(BU1323,9))</f>
        <v/>
      </c>
      <c r="CT1323" s="531"/>
      <c r="DA1323" s="2558"/>
      <c r="EI1323" s="2689" t="s">
        <v>11642</v>
      </c>
    </row>
    <row r="1324" spans="1:139" ht="43.5">
      <c r="A1324" s="532"/>
      <c r="AR1324" s="2513"/>
      <c r="BH1324" s="3117">
        <v>5036049200</v>
      </c>
      <c r="BI1324" s="3116" t="s">
        <v>9728</v>
      </c>
      <c r="BJ1324" s="3117">
        <v>364</v>
      </c>
      <c r="BV1324" s="3082" t="str">
        <f t="shared" si="21"/>
        <v/>
      </c>
      <c r="CT1324" s="531"/>
      <c r="DA1324" s="2558"/>
      <c r="EI1324" s="2689" t="s">
        <v>11643</v>
      </c>
    </row>
    <row r="1325" spans="1:139" ht="43.5">
      <c r="A1325" s="532"/>
      <c r="AR1325" s="2513"/>
      <c r="BH1325" s="3117">
        <v>5036051897</v>
      </c>
      <c r="BI1325" s="3116" t="s">
        <v>9729</v>
      </c>
      <c r="BJ1325" s="3117">
        <v>317614</v>
      </c>
      <c r="BV1325" s="3082" t="str">
        <f t="shared" si="21"/>
        <v/>
      </c>
      <c r="CT1325" s="531"/>
      <c r="DA1325" s="2558"/>
      <c r="EI1325" s="2689" t="s">
        <v>11644</v>
      </c>
    </row>
    <row r="1326" spans="1:139" ht="29">
      <c r="A1326" s="532"/>
      <c r="AR1326" s="2513"/>
      <c r="BH1326" s="3117">
        <v>5053025569</v>
      </c>
      <c r="BI1326" s="3116" t="s">
        <v>9730</v>
      </c>
      <c r="BJ1326" s="3117">
        <v>340</v>
      </c>
      <c r="BV1326" s="3082" t="str">
        <f t="shared" si="21"/>
        <v/>
      </c>
      <c r="CT1326" s="531"/>
      <c r="DA1326" s="2558"/>
      <c r="EI1326" s="2689" t="s">
        <v>11645</v>
      </c>
    </row>
    <row r="1327" spans="1:139" ht="58">
      <c r="A1327" s="532"/>
      <c r="AR1327" s="2513"/>
      <c r="BH1327" s="3117">
        <v>5053054464</v>
      </c>
      <c r="BI1327" s="3116" t="s">
        <v>9731</v>
      </c>
      <c r="BJ1327" s="3117">
        <v>50</v>
      </c>
      <c r="BV1327" s="3082" t="str">
        <f t="shared" si="21"/>
        <v/>
      </c>
      <c r="CT1327" s="531"/>
      <c r="DA1327" s="2558"/>
      <c r="EI1327" s="2689" t="s">
        <v>11646</v>
      </c>
    </row>
    <row r="1328" spans="1:139">
      <c r="A1328" s="532"/>
      <c r="AR1328" s="2513"/>
      <c r="BH1328" s="3117">
        <v>5117300189</v>
      </c>
      <c r="BI1328" s="3116" t="s">
        <v>9732</v>
      </c>
      <c r="BJ1328" s="3117">
        <v>125554</v>
      </c>
      <c r="BV1328" s="3082" t="str">
        <f t="shared" si="21"/>
        <v/>
      </c>
      <c r="CT1328" s="531"/>
      <c r="DA1328" s="2558"/>
      <c r="EI1328" s="2689" t="s">
        <v>11647</v>
      </c>
    </row>
    <row r="1329" spans="1:139" ht="29">
      <c r="A1329" s="532"/>
      <c r="AR1329" s="2513"/>
      <c r="BH1329" s="3117">
        <v>5190121507</v>
      </c>
      <c r="BI1329" s="3116" t="s">
        <v>9733</v>
      </c>
      <c r="BJ1329" s="3117">
        <v>125584</v>
      </c>
      <c r="BV1329" s="3082" t="str">
        <f t="shared" si="21"/>
        <v/>
      </c>
      <c r="CT1329" s="531"/>
      <c r="DA1329" s="2469"/>
      <c r="EI1329" s="2689" t="s">
        <v>11648</v>
      </c>
    </row>
    <row r="1330" spans="1:139">
      <c r="A1330" s="532"/>
      <c r="AR1330" s="2513"/>
      <c r="BH1330" s="3117">
        <v>7704270888</v>
      </c>
      <c r="BI1330" s="3116" t="s">
        <v>9734</v>
      </c>
      <c r="BJ1330" s="3117">
        <v>96719</v>
      </c>
      <c r="BV1330" s="3082" t="str">
        <f t="shared" si="21"/>
        <v/>
      </c>
      <c r="CT1330" s="531"/>
      <c r="DA1330" s="2469"/>
      <c r="EI1330" s="2689" t="s">
        <v>11649</v>
      </c>
    </row>
    <row r="1331" spans="1:139" ht="29">
      <c r="A1331" s="532"/>
      <c r="AR1331" s="2513"/>
      <c r="BH1331" s="3117">
        <v>5190162334</v>
      </c>
      <c r="BI1331" s="3116" t="s">
        <v>9735</v>
      </c>
      <c r="BJ1331" s="3117">
        <v>125605</v>
      </c>
      <c r="BV1331" s="3082" t="str">
        <f t="shared" si="21"/>
        <v/>
      </c>
      <c r="CT1331" s="531"/>
      <c r="DA1331" s="2469"/>
      <c r="EI1331" s="2689" t="s">
        <v>11650</v>
      </c>
    </row>
    <row r="1332" spans="1:139" ht="58">
      <c r="A1332" s="532"/>
      <c r="AR1332" s="2513"/>
      <c r="BH1332" s="3117">
        <v>5257072937</v>
      </c>
      <c r="BI1332" s="3116" t="s">
        <v>9736</v>
      </c>
      <c r="BJ1332" s="3117">
        <v>125813</v>
      </c>
      <c r="BV1332" s="3082" t="str">
        <f t="shared" si="21"/>
        <v/>
      </c>
      <c r="CT1332" s="531"/>
      <c r="DA1332" s="2469"/>
      <c r="EI1332" s="2689" t="s">
        <v>11651</v>
      </c>
    </row>
    <row r="1333" spans="1:139" ht="29">
      <c r="A1333" s="532"/>
      <c r="AR1333" s="2513"/>
      <c r="BH1333" s="3117">
        <v>5259065364</v>
      </c>
      <c r="BI1333" s="3116" t="s">
        <v>9737</v>
      </c>
      <c r="BJ1333" s="3117">
        <v>94</v>
      </c>
      <c r="BV1333" s="3082" t="str">
        <f t="shared" si="21"/>
        <v/>
      </c>
      <c r="CT1333" s="531"/>
      <c r="EI1333" s="2689" t="s">
        <v>11652</v>
      </c>
    </row>
    <row r="1334" spans="1:139" ht="43.5">
      <c r="A1334" s="532"/>
      <c r="AR1334" s="2513"/>
      <c r="BH1334" s="3117">
        <v>5405129890</v>
      </c>
      <c r="BI1334" s="3116" t="s">
        <v>9738</v>
      </c>
      <c r="BJ1334" s="3117">
        <v>190624</v>
      </c>
      <c r="BV1334" s="3082" t="str">
        <f t="shared" si="21"/>
        <v/>
      </c>
      <c r="CT1334" s="531"/>
      <c r="EI1334" s="2689" t="s">
        <v>11653</v>
      </c>
    </row>
    <row r="1335" spans="1:139" ht="43.5">
      <c r="A1335" s="532"/>
      <c r="AR1335" s="2513"/>
      <c r="BH1335" s="3117">
        <v>5904119383</v>
      </c>
      <c r="BI1335" s="3116" t="s">
        <v>9739</v>
      </c>
      <c r="BJ1335" s="3117">
        <v>126449</v>
      </c>
      <c r="BV1335" s="3082" t="str">
        <f t="shared" si="21"/>
        <v/>
      </c>
      <c r="CT1335" s="531"/>
      <c r="EI1335" s="2689" t="s">
        <v>11654</v>
      </c>
    </row>
    <row r="1336" spans="1:139" ht="29">
      <c r="A1336" s="532"/>
      <c r="AR1336" s="2513"/>
      <c r="BH1336" s="3117">
        <v>6662025576</v>
      </c>
      <c r="BI1336" s="3116" t="s">
        <v>9740</v>
      </c>
      <c r="BJ1336" s="3117">
        <v>131318</v>
      </c>
      <c r="BV1336" s="3082" t="str">
        <f t="shared" si="21"/>
        <v/>
      </c>
      <c r="CT1336" s="531"/>
      <c r="EI1336" s="2689" t="s">
        <v>11655</v>
      </c>
    </row>
    <row r="1337" spans="1:139" ht="29">
      <c r="A1337" s="532"/>
      <c r="AR1337" s="2513"/>
      <c r="BH1337" s="3117">
        <v>6670082105</v>
      </c>
      <c r="BI1337" s="3116" t="s">
        <v>9741</v>
      </c>
      <c r="BJ1337" s="3117">
        <v>107397</v>
      </c>
      <c r="BV1337" s="3082" t="str">
        <f t="shared" si="21"/>
        <v/>
      </c>
      <c r="CT1337" s="531"/>
      <c r="EI1337" s="2689" t="s">
        <v>11656</v>
      </c>
    </row>
    <row r="1338" spans="1:139" ht="58">
      <c r="A1338" s="532"/>
      <c r="AR1338" s="2513"/>
      <c r="BH1338" s="3117">
        <v>6916015670</v>
      </c>
      <c r="BI1338" s="3116" t="s">
        <v>9742</v>
      </c>
      <c r="BJ1338" s="3117">
        <v>302</v>
      </c>
      <c r="BV1338" s="3082" t="str">
        <f t="shared" si="21"/>
        <v/>
      </c>
      <c r="CT1338" s="531"/>
      <c r="EI1338" s="2689" t="s">
        <v>11657</v>
      </c>
    </row>
    <row r="1339" spans="1:139" ht="29">
      <c r="A1339" s="532"/>
      <c r="AR1339" s="2513"/>
      <c r="BH1339" s="3117">
        <v>7107518937</v>
      </c>
      <c r="BI1339" s="3116" t="s">
        <v>9743</v>
      </c>
      <c r="BJ1339" s="3117">
        <v>222913</v>
      </c>
      <c r="BV1339" s="3082" t="str">
        <f t="shared" si="21"/>
        <v/>
      </c>
      <c r="CT1339" s="531"/>
      <c r="EI1339" s="2689" t="s">
        <v>11658</v>
      </c>
    </row>
    <row r="1340" spans="1:139" ht="43.5">
      <c r="A1340" s="532"/>
      <c r="AR1340" s="2513"/>
      <c r="BH1340" s="3117">
        <v>7602040532</v>
      </c>
      <c r="BI1340" s="3116" t="s">
        <v>9744</v>
      </c>
      <c r="BJ1340" s="3117">
        <v>258399</v>
      </c>
      <c r="BV1340" s="3082" t="str">
        <f t="shared" si="21"/>
        <v/>
      </c>
      <c r="CT1340" s="531"/>
      <c r="EI1340" s="2689" t="s">
        <v>11659</v>
      </c>
    </row>
    <row r="1341" spans="1:139" ht="29">
      <c r="A1341" s="532"/>
      <c r="AR1341" s="2513"/>
      <c r="BH1341" s="3117">
        <v>7705755162</v>
      </c>
      <c r="BI1341" s="3116" t="s">
        <v>9745</v>
      </c>
      <c r="BJ1341" s="3117">
        <v>92</v>
      </c>
      <c r="BV1341" s="3082" t="str">
        <f t="shared" si="21"/>
        <v/>
      </c>
      <c r="CT1341" s="531"/>
      <c r="EI1341" s="2689" t="s">
        <v>11660</v>
      </c>
    </row>
    <row r="1342" spans="1:139" ht="29">
      <c r="A1342" s="532"/>
      <c r="AR1342" s="2513"/>
      <c r="BH1342" s="3117">
        <v>7705824200</v>
      </c>
      <c r="BI1342" s="3116" t="s">
        <v>9746</v>
      </c>
      <c r="BJ1342" s="3117">
        <v>328</v>
      </c>
      <c r="BV1342" s="3082" t="str">
        <f t="shared" si="21"/>
        <v/>
      </c>
      <c r="CT1342" s="531"/>
      <c r="EI1342" s="2689" t="s">
        <v>11661</v>
      </c>
    </row>
    <row r="1343" spans="1:139" ht="43.5">
      <c r="A1343" s="532"/>
      <c r="AR1343" s="2513"/>
      <c r="BH1343" s="3117">
        <v>7706670553</v>
      </c>
      <c r="BI1343" s="3116" t="s">
        <v>9747</v>
      </c>
      <c r="BJ1343" s="3117">
        <v>89</v>
      </c>
      <c r="BV1343" s="3082" t="str">
        <f t="shared" si="21"/>
        <v/>
      </c>
      <c r="CT1343" s="531"/>
      <c r="EI1343" s="2689" t="s">
        <v>11662</v>
      </c>
    </row>
    <row r="1344" spans="1:139" ht="29">
      <c r="A1344" s="532"/>
      <c r="AR1344" s="2513"/>
      <c r="BH1344" s="3117">
        <v>7707083861</v>
      </c>
      <c r="BI1344" s="3116" t="s">
        <v>9748</v>
      </c>
      <c r="BJ1344" s="3117">
        <v>150070</v>
      </c>
      <c r="BV1344" s="3082" t="str">
        <f t="shared" si="21"/>
        <v/>
      </c>
      <c r="CT1344" s="531"/>
      <c r="EI1344" s="2689" t="s">
        <v>11663</v>
      </c>
    </row>
    <row r="1345" spans="1:139">
      <c r="A1345" s="532"/>
      <c r="AR1345" s="2513"/>
      <c r="BH1345" s="3117">
        <v>7708011796</v>
      </c>
      <c r="BI1345" s="3116" t="s">
        <v>2305</v>
      </c>
      <c r="BJ1345" s="3117">
        <v>134726</v>
      </c>
      <c r="BV1345" s="3082" t="str">
        <f t="shared" si="21"/>
        <v/>
      </c>
      <c r="CT1345" s="531"/>
      <c r="EI1345" s="2689" t="s">
        <v>11664</v>
      </c>
    </row>
    <row r="1346" spans="1:139">
      <c r="A1346" s="532"/>
      <c r="AR1346" s="2513"/>
      <c r="BH1346" s="3117">
        <v>7708539402</v>
      </c>
      <c r="BI1346" s="3116" t="s">
        <v>9749</v>
      </c>
      <c r="BJ1346" s="3117">
        <v>311</v>
      </c>
      <c r="BV1346" s="3082" t="str">
        <f t="shared" si="21"/>
        <v/>
      </c>
      <c r="CT1346" s="531"/>
      <c r="EI1346" s="2689" t="s">
        <v>11665</v>
      </c>
    </row>
    <row r="1347" spans="1:139" ht="43.5">
      <c r="A1347" s="532"/>
      <c r="AR1347" s="2513"/>
      <c r="BH1347" s="3117">
        <v>7709045974</v>
      </c>
      <c r="BI1347" s="3116" t="s">
        <v>9750</v>
      </c>
      <c r="BJ1347" s="3117">
        <v>134922</v>
      </c>
      <c r="CT1347" s="531"/>
      <c r="EI1347" s="2689" t="s">
        <v>11666</v>
      </c>
    </row>
    <row r="1348" spans="1:139" ht="58">
      <c r="A1348" s="532"/>
      <c r="AR1348" s="2513"/>
      <c r="BH1348" s="3117">
        <v>7709171898</v>
      </c>
      <c r="BI1348" s="3116" t="s">
        <v>9751</v>
      </c>
      <c r="BJ1348" s="3117">
        <v>149275</v>
      </c>
      <c r="CT1348" s="531"/>
      <c r="EI1348" s="2689" t="s">
        <v>11667</v>
      </c>
    </row>
    <row r="1349" spans="1:139" ht="43.5">
      <c r="A1349" s="532"/>
      <c r="AR1349" s="2513"/>
      <c r="BH1349" s="3117">
        <v>7709807887</v>
      </c>
      <c r="BI1349" s="3116" t="s">
        <v>9752</v>
      </c>
      <c r="BJ1349" s="3117">
        <v>350</v>
      </c>
      <c r="CT1349" s="531"/>
      <c r="EI1349" s="2689" t="s">
        <v>11668</v>
      </c>
    </row>
    <row r="1350" spans="1:139" ht="43.5">
      <c r="A1350" s="532"/>
      <c r="AR1350" s="2513"/>
      <c r="BH1350" s="3117">
        <v>7710095592</v>
      </c>
      <c r="BI1350" s="3116" t="s">
        <v>9753</v>
      </c>
      <c r="BJ1350" s="3117">
        <v>145814</v>
      </c>
      <c r="CT1350" s="531"/>
      <c r="EI1350" s="2689" t="s">
        <v>11669</v>
      </c>
    </row>
    <row r="1351" spans="1:139" ht="58">
      <c r="A1351" s="532"/>
      <c r="AR1351" s="2513"/>
      <c r="BH1351" s="3117">
        <v>7710280436</v>
      </c>
      <c r="BI1351" s="3116" t="s">
        <v>9754</v>
      </c>
      <c r="BJ1351" s="3117">
        <v>97340</v>
      </c>
      <c r="CT1351" s="531"/>
      <c r="EI1351" s="2689" t="s">
        <v>11670</v>
      </c>
    </row>
    <row r="1352" spans="1:139" ht="43.5">
      <c r="A1352" s="532"/>
      <c r="AR1352" s="2513"/>
      <c r="BH1352" s="3117">
        <v>7710353606</v>
      </c>
      <c r="BI1352" s="3116" t="s">
        <v>9755</v>
      </c>
      <c r="BJ1352" s="3117">
        <v>155075</v>
      </c>
      <c r="CT1352" s="531"/>
      <c r="EI1352" s="2689" t="s">
        <v>11671</v>
      </c>
    </row>
    <row r="1353" spans="1:139" ht="43.5">
      <c r="A1353" s="532"/>
      <c r="AR1353" s="2513"/>
      <c r="BH1353" s="3117">
        <v>7711000748</v>
      </c>
      <c r="BI1353" s="3116" t="s">
        <v>9756</v>
      </c>
      <c r="BJ1353" s="3117">
        <v>139</v>
      </c>
      <c r="CT1353" s="531"/>
      <c r="EI1353" s="2689" t="s">
        <v>11672</v>
      </c>
    </row>
    <row r="1354" spans="1:139" ht="72.5">
      <c r="A1354" s="532"/>
      <c r="AR1354" s="2513"/>
      <c r="BH1354" s="3117">
        <v>7713539920</v>
      </c>
      <c r="BI1354" s="3116" t="s">
        <v>9757</v>
      </c>
      <c r="BJ1354" s="3117">
        <v>181331</v>
      </c>
      <c r="CT1354" s="531"/>
      <c r="EI1354" s="2689" t="s">
        <v>11673</v>
      </c>
    </row>
    <row r="1355" spans="1:139" ht="43.5">
      <c r="A1355" s="532"/>
      <c r="AR1355" s="2513"/>
      <c r="BH1355" s="3117">
        <v>7718013496</v>
      </c>
      <c r="BI1355" s="3116" t="s">
        <v>9758</v>
      </c>
      <c r="BJ1355" s="3117">
        <v>155288</v>
      </c>
      <c r="CT1355" s="531"/>
      <c r="EI1355" s="2689" t="s">
        <v>11674</v>
      </c>
    </row>
    <row r="1356" spans="1:139" ht="58">
      <c r="A1356" s="532"/>
      <c r="AR1356" s="2513"/>
      <c r="BH1356" s="3117">
        <v>7720568600</v>
      </c>
      <c r="BI1356" s="3116" t="s">
        <v>9759</v>
      </c>
      <c r="BJ1356" s="3117">
        <v>148654</v>
      </c>
      <c r="CT1356" s="531"/>
      <c r="EI1356" s="2689" t="s">
        <v>11675</v>
      </c>
    </row>
    <row r="1357" spans="1:139" ht="43.5">
      <c r="A1357" s="532"/>
      <c r="AR1357" s="2513"/>
      <c r="BH1357" s="3117">
        <v>7721178755</v>
      </c>
      <c r="BI1357" s="3116" t="s">
        <v>9760</v>
      </c>
      <c r="BJ1357" s="3117">
        <v>171</v>
      </c>
      <c r="CT1357" s="531"/>
      <c r="EI1357" s="2689" t="s">
        <v>11676</v>
      </c>
    </row>
    <row r="1358" spans="1:139" ht="58">
      <c r="A1358" s="532"/>
      <c r="AR1358" s="2513"/>
      <c r="BH1358" s="3117">
        <v>7722026032</v>
      </c>
      <c r="BI1358" s="3116" t="s">
        <v>9761</v>
      </c>
      <c r="BJ1358" s="3117">
        <v>136942</v>
      </c>
      <c r="CT1358" s="531"/>
      <c r="EI1358" s="2689" t="s">
        <v>11677</v>
      </c>
    </row>
    <row r="1359" spans="1:139" ht="29">
      <c r="A1359" s="532"/>
      <c r="AR1359" s="2513"/>
      <c r="BH1359" s="3117">
        <v>7726032510</v>
      </c>
      <c r="BI1359" s="3116" t="s">
        <v>9762</v>
      </c>
      <c r="BJ1359" s="3117">
        <v>154944</v>
      </c>
      <c r="CT1359" s="531"/>
      <c r="EI1359" s="2689" t="s">
        <v>11678</v>
      </c>
    </row>
    <row r="1360" spans="1:139" ht="58">
      <c r="A1360" s="532"/>
      <c r="AR1360" s="2513"/>
      <c r="BH1360" s="3117">
        <v>7728010663</v>
      </c>
      <c r="BI1360" s="3116" t="s">
        <v>9763</v>
      </c>
      <c r="BJ1360" s="3117">
        <v>100407</v>
      </c>
      <c r="CT1360" s="531"/>
      <c r="EI1360" s="2689" t="s">
        <v>11679</v>
      </c>
    </row>
    <row r="1361" spans="1:139" ht="29">
      <c r="A1361" s="532"/>
      <c r="AR1361" s="2513"/>
      <c r="BH1361" s="3117">
        <v>7813366413</v>
      </c>
      <c r="BI1361" s="3116" t="s">
        <v>9764</v>
      </c>
      <c r="BJ1361" s="3117">
        <v>276394</v>
      </c>
      <c r="CT1361" s="531"/>
      <c r="EI1361" s="2689" t="s">
        <v>11680</v>
      </c>
    </row>
    <row r="1362" spans="1:139" ht="29">
      <c r="A1362" s="532"/>
      <c r="AR1362" s="2513"/>
      <c r="BH1362" s="3117">
        <v>7814000683</v>
      </c>
      <c r="BI1362" s="3116" t="s">
        <v>9765</v>
      </c>
      <c r="BJ1362" s="3117">
        <v>137</v>
      </c>
      <c r="CT1362" s="531"/>
      <c r="EI1362" s="2689" t="s">
        <v>11681</v>
      </c>
    </row>
    <row r="1363" spans="1:139" ht="72.5">
      <c r="A1363" s="532"/>
      <c r="AR1363" s="2513"/>
      <c r="BH1363" s="3117">
        <v>7814014887</v>
      </c>
      <c r="BI1363" s="3116" t="s">
        <v>9766</v>
      </c>
      <c r="BJ1363" s="3117">
        <v>278</v>
      </c>
      <c r="CT1363" s="531"/>
      <c r="EI1363" s="2689" t="s">
        <v>11682</v>
      </c>
    </row>
    <row r="1364" spans="1:139" ht="29">
      <c r="A1364" s="532"/>
      <c r="AR1364" s="2513"/>
      <c r="BH1364" s="3117">
        <v>7831000010</v>
      </c>
      <c r="BI1364" s="3116" t="s">
        <v>9767</v>
      </c>
      <c r="BJ1364" s="3117">
        <v>140034</v>
      </c>
      <c r="CT1364" s="531"/>
      <c r="EI1364" s="2689" t="s">
        <v>11683</v>
      </c>
    </row>
    <row r="1365" spans="1:139" ht="29">
      <c r="A1365" s="532"/>
      <c r="AR1365" s="2513"/>
      <c r="BH1365" s="3117">
        <v>7838016481</v>
      </c>
      <c r="BI1365" s="3116" t="s">
        <v>9768</v>
      </c>
      <c r="BJ1365" s="3117">
        <v>209730</v>
      </c>
      <c r="CT1365" s="531"/>
      <c r="EI1365" s="2689" t="s">
        <v>11684</v>
      </c>
    </row>
    <row r="1366" spans="1:139" ht="29">
      <c r="A1366" s="532"/>
      <c r="AR1366" s="2513"/>
      <c r="BH1366" s="3117">
        <v>7841016636</v>
      </c>
      <c r="BI1366" s="3116" t="s">
        <v>9769</v>
      </c>
      <c r="BJ1366" s="3117">
        <v>149837</v>
      </c>
      <c r="CT1366" s="531"/>
      <c r="EI1366" s="2689" t="s">
        <v>11685</v>
      </c>
    </row>
    <row r="1367" spans="1:139" ht="72.5">
      <c r="A1367" s="532"/>
      <c r="AR1367" s="2513"/>
      <c r="BH1367" s="3117">
        <v>8703010303</v>
      </c>
      <c r="BI1367" s="3116" t="s">
        <v>9770</v>
      </c>
      <c r="BJ1367" s="3117">
        <v>289</v>
      </c>
      <c r="CT1367" s="531"/>
      <c r="EI1367" s="2689" t="s">
        <v>11686</v>
      </c>
    </row>
    <row r="1368" spans="1:139" ht="43.5">
      <c r="A1368" s="532"/>
      <c r="AR1368" s="2513"/>
      <c r="BH1368" s="3117">
        <v>7710048970</v>
      </c>
      <c r="BI1368" s="3116" t="s">
        <v>9771</v>
      </c>
      <c r="BJ1368" s="3117">
        <v>361697</v>
      </c>
      <c r="CT1368" s="531"/>
      <c r="EI1368" s="2689" t="s">
        <v>11687</v>
      </c>
    </row>
    <row r="1369" spans="1:139" ht="43.5">
      <c r="A1369" s="532"/>
      <c r="AR1369" s="2513"/>
      <c r="BH1369" s="3117">
        <v>1660007420</v>
      </c>
      <c r="BI1369" s="3116" t="s">
        <v>9772</v>
      </c>
      <c r="BJ1369" s="3117">
        <v>122349</v>
      </c>
      <c r="CT1369" s="531"/>
      <c r="EI1369" s="2689" t="s">
        <v>11688</v>
      </c>
    </row>
    <row r="1370" spans="1:139" ht="58">
      <c r="A1370" s="532"/>
      <c r="AR1370" s="2513"/>
      <c r="BH1370" s="3117">
        <v>7716103391</v>
      </c>
      <c r="BI1370" s="3116" t="s">
        <v>9773</v>
      </c>
      <c r="BJ1370" s="3117">
        <v>101033</v>
      </c>
      <c r="CT1370" s="531"/>
      <c r="EI1370" s="2689" t="s">
        <v>11689</v>
      </c>
    </row>
    <row r="1371" spans="1:139" ht="29">
      <c r="A1371" s="532"/>
      <c r="AR1371" s="2513"/>
      <c r="BH1371" s="3117">
        <v>7703585780</v>
      </c>
      <c r="BI1371" s="3116" t="s">
        <v>9774</v>
      </c>
      <c r="BJ1371" s="3117">
        <v>97136</v>
      </c>
      <c r="CT1371" s="531"/>
      <c r="EI1371" s="2689" t="s">
        <v>11690</v>
      </c>
    </row>
    <row r="1372" spans="1:139" ht="29">
      <c r="A1372" s="532"/>
      <c r="AR1372" s="2513"/>
      <c r="BH1372" s="3117">
        <v>7801028057</v>
      </c>
      <c r="BI1372" s="3116" t="s">
        <v>9775</v>
      </c>
      <c r="BJ1372" s="3117">
        <v>293294</v>
      </c>
      <c r="CT1372" s="531"/>
      <c r="EI1372" s="2689" t="s">
        <v>11691</v>
      </c>
    </row>
    <row r="1373" spans="1:139" ht="43.5">
      <c r="A1373" s="532"/>
      <c r="AR1373" s="2513"/>
      <c r="BH1373" s="3119" t="s">
        <v>9776</v>
      </c>
      <c r="BI1373" s="3116" t="s">
        <v>9776</v>
      </c>
      <c r="BJ1373" s="3117">
        <v>248463</v>
      </c>
      <c r="CT1373" s="531"/>
      <c r="EI1373" s="2689" t="s">
        <v>11692</v>
      </c>
    </row>
    <row r="1374" spans="1:139" ht="58">
      <c r="A1374" s="532"/>
      <c r="AR1374" s="2513"/>
      <c r="BH1374" s="3119" t="s">
        <v>9777</v>
      </c>
      <c r="BI1374" s="3116" t="s">
        <v>9777</v>
      </c>
      <c r="BJ1374" s="3117">
        <v>227796</v>
      </c>
      <c r="CT1374" s="531"/>
      <c r="EI1374" s="2689" t="s">
        <v>11693</v>
      </c>
    </row>
    <row r="1375" spans="1:139" ht="39">
      <c r="A1375" s="532"/>
      <c r="AR1375" s="2513"/>
      <c r="BH1375" s="3119" t="s">
        <v>9778</v>
      </c>
      <c r="BI1375" s="3116" t="s">
        <v>9778</v>
      </c>
      <c r="BJ1375" s="3117">
        <v>296297</v>
      </c>
      <c r="CT1375" s="531"/>
      <c r="EI1375" s="2689" t="s">
        <v>11694</v>
      </c>
    </row>
    <row r="1376" spans="1:139" ht="58">
      <c r="A1376" s="532"/>
      <c r="AR1376" s="2513"/>
      <c r="BH1376" s="3119" t="s">
        <v>9779</v>
      </c>
      <c r="BI1376" s="3116" t="s">
        <v>9779</v>
      </c>
      <c r="BJ1376" s="3117">
        <v>228393</v>
      </c>
      <c r="CT1376" s="531"/>
      <c r="EI1376" s="2689" t="s">
        <v>11695</v>
      </c>
    </row>
    <row r="1377" spans="1:139" ht="29">
      <c r="A1377" s="532"/>
      <c r="AR1377" s="2513"/>
      <c r="BH1377" s="3117">
        <v>7729355614</v>
      </c>
      <c r="BI1377" s="3116" t="s">
        <v>9780</v>
      </c>
      <c r="BJ1377" s="3117">
        <v>177770</v>
      </c>
      <c r="CT1377" s="531"/>
      <c r="EI1377" s="2689" t="s">
        <v>11696</v>
      </c>
    </row>
    <row r="1378" spans="1:139" ht="29">
      <c r="A1378" s="532"/>
      <c r="AR1378" s="2513"/>
      <c r="BH1378" s="3117" t="s">
        <v>9782</v>
      </c>
      <c r="BI1378" s="3116" t="s">
        <v>9781</v>
      </c>
      <c r="BJ1378" s="3117">
        <v>156342</v>
      </c>
      <c r="CT1378" s="531"/>
      <c r="EI1378" s="2689" t="s">
        <v>11697</v>
      </c>
    </row>
    <row r="1379" spans="1:139">
      <c r="A1379" s="532"/>
      <c r="AR1379" s="2513"/>
      <c r="BH1379" s="3119" t="s">
        <v>9783</v>
      </c>
      <c r="BI1379" s="3116" t="s">
        <v>9783</v>
      </c>
      <c r="BJ1379" s="3117">
        <v>529529</v>
      </c>
      <c r="CT1379" s="531"/>
      <c r="EI1379" s="2689" t="s">
        <v>11698</v>
      </c>
    </row>
    <row r="1380" spans="1:139" ht="58">
      <c r="A1380" s="532"/>
      <c r="AR1380" s="2513"/>
      <c r="BH1380" s="3119" t="s">
        <v>9784</v>
      </c>
      <c r="BI1380" s="3116" t="s">
        <v>9784</v>
      </c>
      <c r="BJ1380" s="3117">
        <v>529479</v>
      </c>
      <c r="CT1380" s="531"/>
      <c r="EI1380" s="2689" t="s">
        <v>11699</v>
      </c>
    </row>
    <row r="1381" spans="1:139" ht="29">
      <c r="A1381" s="532"/>
      <c r="AR1381" s="2513"/>
      <c r="BH1381" s="3119" t="s">
        <v>9785</v>
      </c>
      <c r="BI1381" s="3116" t="s">
        <v>9785</v>
      </c>
      <c r="BJ1381" s="3117">
        <v>488080</v>
      </c>
      <c r="CT1381" s="531"/>
      <c r="EI1381" s="2689" t="s">
        <v>11700</v>
      </c>
    </row>
    <row r="1382" spans="1:139" ht="43.5">
      <c r="A1382" s="532"/>
      <c r="AR1382" s="2513"/>
      <c r="BH1382" s="3120">
        <v>1837004725</v>
      </c>
      <c r="BI1382" s="3116" t="s">
        <v>9786</v>
      </c>
      <c r="BJ1382" s="3117">
        <v>79</v>
      </c>
      <c r="CT1382" s="531"/>
      <c r="EI1382" s="2689" t="s">
        <v>11701</v>
      </c>
    </row>
    <row r="1383" spans="1:139" ht="43.5">
      <c r="A1383" s="532"/>
      <c r="AR1383" s="2513"/>
      <c r="BH1383" s="3119" t="s">
        <v>9787</v>
      </c>
      <c r="BI1383" s="3316" t="s">
        <v>10193</v>
      </c>
      <c r="BJ1383" s="3117">
        <v>248681</v>
      </c>
      <c r="CT1383" s="531"/>
      <c r="EI1383" s="2689" t="s">
        <v>11702</v>
      </c>
    </row>
    <row r="1384" spans="1:139" ht="29">
      <c r="A1384" s="532"/>
      <c r="AR1384" s="2513"/>
      <c r="BH1384" s="3121">
        <v>858167360</v>
      </c>
      <c r="BI1384" s="3116" t="s">
        <v>9788</v>
      </c>
      <c r="BJ1384" s="3117">
        <v>533917</v>
      </c>
      <c r="CT1384" s="531"/>
      <c r="EI1384" s="2689" t="s">
        <v>11703</v>
      </c>
    </row>
    <row r="1385" spans="1:139" ht="43.5">
      <c r="A1385" s="532"/>
      <c r="AR1385" s="2513"/>
      <c r="BH1385" s="3117">
        <v>1646045551</v>
      </c>
      <c r="BI1385" s="3116" t="s">
        <v>9789</v>
      </c>
      <c r="BJ1385" s="3117">
        <v>539162</v>
      </c>
      <c r="CT1385" s="531"/>
      <c r="EI1385" s="2689" t="s">
        <v>11704</v>
      </c>
    </row>
    <row r="1386" spans="1:139" ht="29">
      <c r="A1386" s="532"/>
      <c r="AR1386" s="2513"/>
      <c r="BH1386" s="3032">
        <v>7726450860</v>
      </c>
      <c r="BI1386" s="3031" t="s">
        <v>9618</v>
      </c>
      <c r="BJ1386" s="3032">
        <v>596052</v>
      </c>
      <c r="CT1386" s="531"/>
      <c r="EI1386" s="2689" t="s">
        <v>11705</v>
      </c>
    </row>
    <row r="1387" spans="1:139" ht="29">
      <c r="A1387" s="532"/>
      <c r="AR1387" s="2513"/>
      <c r="BH1387" s="3117">
        <v>7724490000</v>
      </c>
      <c r="BI1387" s="511" t="s">
        <v>9948</v>
      </c>
      <c r="BJ1387" s="3032">
        <v>619964</v>
      </c>
      <c r="CT1387" s="531"/>
      <c r="EI1387" s="2689" t="s">
        <v>11706</v>
      </c>
    </row>
    <row r="1388" spans="1:139" ht="43.5">
      <c r="A1388" s="532"/>
      <c r="AR1388" s="2513"/>
      <c r="BH1388" s="2078">
        <v>5256065824</v>
      </c>
      <c r="BI1388" s="2475" t="s">
        <v>8535</v>
      </c>
      <c r="BJ1388" s="2078">
        <v>203</v>
      </c>
      <c r="CT1388" s="531"/>
      <c r="EI1388" s="2689" t="s">
        <v>11707</v>
      </c>
    </row>
    <row r="1389" spans="1:139" ht="72.5">
      <c r="A1389" s="532"/>
      <c r="AR1389" s="2513"/>
      <c r="BH1389" s="2744" t="s">
        <v>9952</v>
      </c>
      <c r="BI1389" s="511" t="s">
        <v>9952</v>
      </c>
      <c r="BJ1389" s="3032">
        <v>10011</v>
      </c>
      <c r="CT1389" s="531"/>
      <c r="EI1389" s="2689" t="s">
        <v>11708</v>
      </c>
    </row>
    <row r="1390" spans="1:139" s="3515" customFormat="1" ht="58">
      <c r="A1390" s="2447"/>
      <c r="B1390" s="2744"/>
      <c r="C1390" s="2744"/>
      <c r="D1390" s="511"/>
      <c r="E1390" s="2091"/>
      <c r="F1390" s="2091"/>
      <c r="G1390" s="2744"/>
      <c r="H1390" s="511"/>
      <c r="I1390" s="511"/>
      <c r="J1390" s="511"/>
      <c r="K1390" s="511"/>
      <c r="L1390" s="511"/>
      <c r="M1390" s="511"/>
      <c r="N1390" s="2744"/>
      <c r="O1390" s="2744"/>
      <c r="P1390" s="2744"/>
      <c r="Q1390" s="2744"/>
      <c r="R1390" s="2744"/>
      <c r="S1390" s="2744"/>
      <c r="T1390" s="2744"/>
      <c r="U1390" s="2744"/>
      <c r="V1390" s="2744"/>
      <c r="W1390" s="2744"/>
      <c r="X1390" s="2744"/>
      <c r="Y1390" s="2744"/>
      <c r="Z1390" s="2744"/>
      <c r="AA1390" s="2744"/>
      <c r="AB1390" s="2744"/>
      <c r="AC1390" s="2744"/>
      <c r="AD1390" s="2744"/>
      <c r="AE1390" s="2153"/>
      <c r="AF1390" s="2744"/>
      <c r="AG1390" s="2744"/>
      <c r="AH1390" s="2744"/>
      <c r="AI1390" s="2744"/>
      <c r="AJ1390" s="2744"/>
      <c r="AK1390" s="2744"/>
      <c r="AL1390" s="2744"/>
      <c r="AM1390" s="2744"/>
      <c r="AN1390" s="511"/>
      <c r="AO1390" s="511"/>
      <c r="AP1390" s="511"/>
      <c r="AQ1390" s="511"/>
      <c r="AR1390" s="2513"/>
      <c r="AS1390" s="2744"/>
      <c r="AT1390" s="2744"/>
      <c r="AU1390" s="2744"/>
      <c r="AV1390" s="2744"/>
      <c r="AW1390" s="2744"/>
      <c r="AX1390" s="2744"/>
      <c r="AY1390" s="531"/>
      <c r="AZ1390" s="2744"/>
      <c r="BA1390" s="2744"/>
      <c r="BB1390" s="2744"/>
      <c r="BC1390" s="2744"/>
      <c r="BD1390" s="2744"/>
      <c r="BE1390" s="2744"/>
      <c r="BF1390" s="2744"/>
      <c r="BG1390" s="2744"/>
      <c r="BH1390" s="2078">
        <v>7706434676</v>
      </c>
      <c r="BI1390" s="2475" t="s">
        <v>14745</v>
      </c>
      <c r="BJ1390" s="2078">
        <v>630718</v>
      </c>
      <c r="BK1390" s="2744"/>
      <c r="BO1390" s="2535"/>
      <c r="CA1390" s="2744"/>
      <c r="CD1390" s="101"/>
      <c r="CP1390"/>
      <c r="CS1390" s="2744"/>
      <c r="CT1390" s="531"/>
      <c r="CV1390"/>
      <c r="CX1390" s="166"/>
      <c r="DB1390" s="2745"/>
      <c r="DC1390" s="2535"/>
      <c r="DG1390" s="2535"/>
      <c r="DK1390"/>
      <c r="DL1390"/>
      <c r="DM1390"/>
      <c r="DO1390"/>
      <c r="DP1390"/>
      <c r="EC1390" s="101"/>
      <c r="EG1390" s="101"/>
      <c r="EI1390" s="2689" t="s">
        <v>11709</v>
      </c>
    </row>
    <row r="1391" spans="1:139" ht="29">
      <c r="A1391" s="532"/>
      <c r="D1391" s="2744"/>
      <c r="J1391" s="2744"/>
      <c r="K1391" s="2744"/>
      <c r="L1391" s="2744"/>
      <c r="AE1391" s="2745"/>
      <c r="AR1391" s="2513"/>
      <c r="BH1391" s="3117">
        <v>7820038445</v>
      </c>
      <c r="BI1391" s="3116" t="s">
        <v>14746</v>
      </c>
      <c r="BJ1391" s="3117">
        <v>431317</v>
      </c>
      <c r="CP1391" s="3515"/>
      <c r="CT1391" s="531"/>
      <c r="CV1391" s="3515"/>
      <c r="DK1391" s="3515"/>
      <c r="DL1391" s="3515"/>
      <c r="DM1391" s="3515"/>
      <c r="DO1391" s="3515"/>
      <c r="DP1391" s="3515"/>
      <c r="EI1391" s="2689" t="s">
        <v>11710</v>
      </c>
    </row>
    <row r="1392" spans="1:139" ht="29">
      <c r="A1392" s="532"/>
      <c r="H1392" s="2744"/>
      <c r="I1392" s="2744"/>
      <c r="AR1392" s="2513"/>
      <c r="BH1392" s="3117">
        <v>2315006923</v>
      </c>
      <c r="BI1392" s="3116" t="s">
        <v>14747</v>
      </c>
      <c r="BJ1392" s="3117">
        <v>639685</v>
      </c>
      <c r="CT1392" s="531"/>
      <c r="EI1392" s="2689" t="s">
        <v>11711</v>
      </c>
    </row>
    <row r="1393" spans="1:139">
      <c r="A1393" s="532"/>
      <c r="M1393" s="2744"/>
      <c r="AR1393" s="2513"/>
      <c r="BH1393" s="3117">
        <v>2315072838</v>
      </c>
      <c r="BI1393" s="3116" t="s">
        <v>14748</v>
      </c>
      <c r="BJ1393" s="3117">
        <v>639702</v>
      </c>
      <c r="CT1393" s="531"/>
      <c r="EI1393" s="2689" t="s">
        <v>11712</v>
      </c>
    </row>
    <row r="1394" spans="1:139" ht="58">
      <c r="A1394" s="532"/>
      <c r="AR1394" s="2513"/>
      <c r="BH1394" s="3117">
        <v>7726218779</v>
      </c>
      <c r="BI1394" s="3116" t="s">
        <v>14749</v>
      </c>
      <c r="BJ1394" s="3117">
        <v>639691</v>
      </c>
      <c r="CT1394" s="531"/>
      <c r="EI1394" s="2689" t="s">
        <v>11713</v>
      </c>
    </row>
    <row r="1395" spans="1:139" ht="29">
      <c r="A1395" s="532"/>
      <c r="AR1395" s="2513"/>
      <c r="BH1395" s="3117">
        <v>5074002308</v>
      </c>
      <c r="BI1395" s="3116" t="s">
        <v>14750</v>
      </c>
      <c r="BJ1395" s="3117">
        <v>679001</v>
      </c>
      <c r="CT1395" s="531"/>
      <c r="EI1395" s="2689" t="s">
        <v>11714</v>
      </c>
    </row>
    <row r="1396" spans="1:139" ht="58">
      <c r="A1396" s="532"/>
      <c r="AR1396" s="2513"/>
      <c r="BH1396" s="3117">
        <v>7729664877</v>
      </c>
      <c r="BI1396" s="3116" t="s">
        <v>14751</v>
      </c>
      <c r="BJ1396" s="3117">
        <v>657783</v>
      </c>
      <c r="CT1396" s="531"/>
      <c r="EI1396" s="2689" t="s">
        <v>11715</v>
      </c>
    </row>
    <row r="1397" spans="1:139" ht="43.5">
      <c r="A1397" s="532"/>
      <c r="AR1397" s="2513"/>
      <c r="BH1397" s="3117">
        <v>2315123296</v>
      </c>
      <c r="BI1397" s="3116" t="s">
        <v>14752</v>
      </c>
      <c r="BJ1397" s="3117">
        <v>246792</v>
      </c>
      <c r="CT1397" s="531"/>
      <c r="EI1397" s="2689" t="s">
        <v>11716</v>
      </c>
    </row>
    <row r="1398" spans="1:139" ht="29">
      <c r="A1398" s="532"/>
      <c r="AR1398" s="3515"/>
      <c r="BH1398" s="3117">
        <v>7706420120</v>
      </c>
      <c r="BI1398" s="3116" t="s">
        <v>14753</v>
      </c>
      <c r="BJ1398" s="3117">
        <v>639677</v>
      </c>
      <c r="CT1398" s="531"/>
      <c r="EI1398" s="2689" t="s">
        <v>11717</v>
      </c>
    </row>
    <row r="1399" spans="1:139" ht="29">
      <c r="A1399" s="532"/>
      <c r="AR1399" s="2513"/>
      <c r="BH1399" s="3117">
        <v>7710279110</v>
      </c>
      <c r="BI1399" s="3116" t="s">
        <v>14754</v>
      </c>
      <c r="BJ1399" s="3117">
        <v>639683</v>
      </c>
      <c r="CT1399" s="531"/>
      <c r="EI1399" s="2689" t="s">
        <v>11718</v>
      </c>
    </row>
    <row r="1400" spans="1:139" ht="58">
      <c r="A1400" s="532"/>
      <c r="AR1400" s="2513"/>
      <c r="BH1400" s="3117">
        <v>2315116450</v>
      </c>
      <c r="BI1400" s="3116" t="s">
        <v>14755</v>
      </c>
      <c r="BJ1400" s="3117">
        <v>657786</v>
      </c>
      <c r="CT1400" s="531"/>
      <c r="EI1400" s="2689" t="s">
        <v>11719</v>
      </c>
    </row>
    <row r="1401" spans="1:139" ht="43.5">
      <c r="A1401" s="532"/>
      <c r="AR1401" s="2513"/>
      <c r="BH1401" s="3117">
        <v>2315150780</v>
      </c>
      <c r="BI1401" s="3116" t="s">
        <v>14756</v>
      </c>
      <c r="BJ1401" s="3117">
        <v>639687</v>
      </c>
      <c r="CT1401" s="531"/>
      <c r="EI1401" s="2689" t="s">
        <v>11720</v>
      </c>
    </row>
    <row r="1402" spans="1:139" ht="29">
      <c r="A1402" s="532"/>
      <c r="AR1402" s="2513"/>
      <c r="BH1402" s="3117">
        <v>2315024369</v>
      </c>
      <c r="BI1402" s="3116" t="s">
        <v>14757</v>
      </c>
      <c r="BJ1402" s="3117">
        <v>639682</v>
      </c>
      <c r="CT1402" s="531"/>
      <c r="EI1402" s="2689" t="s">
        <v>11721</v>
      </c>
    </row>
    <row r="1403" spans="1:139" ht="29">
      <c r="A1403" s="532"/>
      <c r="AR1403" s="2513"/>
      <c r="BH1403" s="3117">
        <v>5009062353</v>
      </c>
      <c r="BI1403" s="3116" t="s">
        <v>14758</v>
      </c>
      <c r="BJ1403" s="3117">
        <v>678999</v>
      </c>
      <c r="CT1403" s="531"/>
      <c r="EI1403" s="2689" t="s">
        <v>11722</v>
      </c>
    </row>
    <row r="1404" spans="1:139" ht="87">
      <c r="A1404" s="532"/>
      <c r="AR1404" s="2513"/>
      <c r="BH1404" s="3117">
        <v>2315134805</v>
      </c>
      <c r="BI1404" s="3116" t="s">
        <v>14759</v>
      </c>
      <c r="BJ1404" s="3117">
        <v>639696</v>
      </c>
      <c r="CT1404" s="531"/>
      <c r="EI1404" s="2689" t="s">
        <v>11723</v>
      </c>
    </row>
    <row r="1405" spans="1:139" ht="58">
      <c r="A1405" s="532"/>
      <c r="AR1405" s="2513"/>
      <c r="BH1405" s="3117">
        <v>7728450752</v>
      </c>
      <c r="BI1405" s="3116" t="s">
        <v>14760</v>
      </c>
      <c r="BJ1405" s="3117">
        <v>690149</v>
      </c>
      <c r="CT1405" s="531"/>
      <c r="EI1405" s="2689" t="s">
        <v>11724</v>
      </c>
    </row>
    <row r="1406" spans="1:139" ht="43.5">
      <c r="A1406" s="532"/>
      <c r="AR1406" s="2513"/>
      <c r="BH1406" s="3117">
        <v>4705039477</v>
      </c>
      <c r="BI1406" s="3116" t="s">
        <v>14761</v>
      </c>
      <c r="BJ1406" s="3117">
        <v>639699</v>
      </c>
      <c r="CT1406" s="531"/>
      <c r="EI1406" s="2689" t="s">
        <v>11725</v>
      </c>
    </row>
    <row r="1407" spans="1:139" ht="43.5">
      <c r="A1407" s="532"/>
      <c r="AR1407" s="2513"/>
      <c r="BH1407" s="3117">
        <v>2315094729</v>
      </c>
      <c r="BI1407" s="3116" t="s">
        <v>14762</v>
      </c>
      <c r="BJ1407" s="3117">
        <v>567307</v>
      </c>
      <c r="CT1407" s="531"/>
      <c r="EI1407" s="2689" t="s">
        <v>11726</v>
      </c>
    </row>
    <row r="1408" spans="1:139">
      <c r="A1408" s="532"/>
      <c r="AR1408" s="2513"/>
      <c r="BH1408" s="3117">
        <v>2537110812</v>
      </c>
      <c r="BI1408" s="3116" t="s">
        <v>14763</v>
      </c>
      <c r="BJ1408" s="3117">
        <v>639701</v>
      </c>
      <c r="CT1408" s="531"/>
      <c r="EI1408" s="2689" t="s">
        <v>11727</v>
      </c>
    </row>
    <row r="1409" spans="1:139" ht="29">
      <c r="A1409" s="532"/>
      <c r="AR1409" s="2513"/>
      <c r="BH1409" s="3117">
        <v>3906371088</v>
      </c>
      <c r="BI1409" s="3116" t="s">
        <v>14764</v>
      </c>
      <c r="BJ1409" s="3117">
        <v>639698</v>
      </c>
      <c r="CE1409" s="2448"/>
      <c r="CT1409" s="531"/>
      <c r="EI1409" s="2689" t="s">
        <v>11728</v>
      </c>
    </row>
    <row r="1410" spans="1:139">
      <c r="A1410" s="532"/>
      <c r="AN1410" s="2744"/>
      <c r="AO1410" s="2744"/>
      <c r="AP1410" s="2744"/>
      <c r="AQ1410" s="2744"/>
      <c r="AR1410" s="2513"/>
      <c r="BH1410" s="3117">
        <v>7706767403</v>
      </c>
      <c r="BI1410" s="3116" t="s">
        <v>14765</v>
      </c>
      <c r="BJ1410" s="3117">
        <v>639697</v>
      </c>
      <c r="CE1410" s="2448"/>
      <c r="CT1410" s="531"/>
      <c r="EI1410" s="2689" t="s">
        <v>11729</v>
      </c>
    </row>
    <row r="1411" spans="1:139" ht="58">
      <c r="A1411" s="532"/>
      <c r="AR1411" s="2513"/>
      <c r="BH1411" s="3117">
        <v>5009100030</v>
      </c>
      <c r="BI1411" s="3116" t="s">
        <v>14766</v>
      </c>
      <c r="BJ1411" s="3117">
        <v>639692</v>
      </c>
      <c r="CT1411" s="2062"/>
      <c r="EI1411" s="2689" t="s">
        <v>11730</v>
      </c>
    </row>
    <row r="1412" spans="1:139" ht="72.5">
      <c r="A1412" s="532"/>
      <c r="AR1412" s="2513"/>
      <c r="BH1412" s="3117">
        <v>5074043311</v>
      </c>
      <c r="BI1412" s="3116" t="s">
        <v>14767</v>
      </c>
      <c r="BJ1412" s="3117">
        <v>571551</v>
      </c>
      <c r="CT1412" s="531"/>
      <c r="EI1412" s="2689" t="s">
        <v>11731</v>
      </c>
    </row>
    <row r="1413" spans="1:139">
      <c r="A1413" s="532"/>
      <c r="AR1413" s="2513"/>
      <c r="BH1413" s="3117">
        <v>2311214577</v>
      </c>
      <c r="BI1413" s="3116" t="s">
        <v>14768</v>
      </c>
      <c r="BJ1413" s="3117">
        <v>678998</v>
      </c>
      <c r="CT1413" s="531"/>
      <c r="EI1413" s="2689" t="s">
        <v>11732</v>
      </c>
    </row>
    <row r="1414" spans="1:139" ht="43.5">
      <c r="A1414" s="532"/>
      <c r="AR1414" s="2513"/>
      <c r="BH1414" s="3117">
        <v>2315095521</v>
      </c>
      <c r="BI1414" s="3116" t="s">
        <v>14769</v>
      </c>
      <c r="BJ1414" s="3117">
        <v>639689</v>
      </c>
      <c r="CT1414" s="531"/>
      <c r="EI1414" s="2689" t="s">
        <v>11733</v>
      </c>
    </row>
    <row r="1415" spans="1:139" ht="29">
      <c r="A1415" s="532"/>
      <c r="AR1415" s="2513"/>
      <c r="BH1415" s="3117">
        <v>7706438737</v>
      </c>
      <c r="BI1415" s="3116" t="s">
        <v>14770</v>
      </c>
      <c r="BJ1415" s="3117">
        <v>639681</v>
      </c>
      <c r="CT1415" s="531"/>
      <c r="EI1415" s="2689" t="s">
        <v>11734</v>
      </c>
    </row>
    <row r="1416" spans="1:139" ht="58">
      <c r="A1416" s="532"/>
      <c r="AR1416" s="2513"/>
      <c r="BH1416" s="3117">
        <v>7706787992</v>
      </c>
      <c r="BI1416" s="3116" t="s">
        <v>14771</v>
      </c>
      <c r="BJ1416" s="3117">
        <v>639705</v>
      </c>
      <c r="CE1416" s="2448"/>
      <c r="CT1416" s="531"/>
      <c r="EI1416" s="2689" t="s">
        <v>11735</v>
      </c>
    </row>
    <row r="1417" spans="1:139">
      <c r="A1417" s="532"/>
      <c r="AR1417" s="2513"/>
      <c r="BH1417" s="3117">
        <v>2315166028</v>
      </c>
      <c r="BI1417" s="3116" t="s">
        <v>14772</v>
      </c>
      <c r="BJ1417" s="3117">
        <v>639708</v>
      </c>
      <c r="CE1417" s="2448"/>
      <c r="CT1417" s="2062"/>
      <c r="EI1417" s="2689" t="s">
        <v>11736</v>
      </c>
    </row>
    <row r="1418" spans="1:139">
      <c r="A1418" s="532"/>
      <c r="AR1418" s="2513"/>
      <c r="BH1418" s="3117">
        <v>7720259786</v>
      </c>
      <c r="BI1418" s="3116" t="s">
        <v>14773</v>
      </c>
      <c r="BJ1418" s="3117">
        <v>223326</v>
      </c>
      <c r="CE1418" s="2448"/>
      <c r="CT1418" s="2062"/>
      <c r="EI1418" s="2689" t="s">
        <v>11737</v>
      </c>
    </row>
    <row r="1419" spans="1:139" ht="29">
      <c r="A1419" s="532"/>
      <c r="AR1419" s="2513"/>
      <c r="BH1419" s="3117">
        <v>2315046740</v>
      </c>
      <c r="BI1419" s="3116" t="s">
        <v>14774</v>
      </c>
      <c r="BJ1419" s="3117">
        <v>639679</v>
      </c>
      <c r="CT1419" s="531"/>
      <c r="EI1419" s="2689" t="s">
        <v>11738</v>
      </c>
    </row>
    <row r="1420" spans="1:139">
      <c r="A1420" s="532"/>
      <c r="AR1420" s="2513"/>
      <c r="BH1420" s="3117">
        <v>7708591995</v>
      </c>
      <c r="BI1420" s="3116" t="s">
        <v>14775</v>
      </c>
      <c r="BJ1420" s="3117">
        <v>110025</v>
      </c>
      <c r="CP1420" s="2448"/>
      <c r="CT1420" s="531"/>
      <c r="EI1420" s="2689" t="s">
        <v>11739</v>
      </c>
    </row>
    <row r="1421" spans="1:139" ht="29">
      <c r="A1421" s="532"/>
      <c r="D1421" s="2263"/>
      <c r="AR1421" s="2513"/>
      <c r="BH1421" s="3117">
        <v>7736153344</v>
      </c>
      <c r="BI1421" s="3116" t="s">
        <v>14941</v>
      </c>
      <c r="BJ1421" s="3117">
        <v>149327</v>
      </c>
      <c r="BK1421" s="530"/>
      <c r="CE1421" s="2448"/>
      <c r="CT1421" s="2062"/>
      <c r="EI1421" s="2689" t="s">
        <v>11740</v>
      </c>
    </row>
    <row r="1422" spans="1:139" ht="29">
      <c r="A1422" s="532"/>
      <c r="AR1422" s="2513"/>
      <c r="BH1422" s="3117">
        <v>7704001959</v>
      </c>
      <c r="BI1422" s="3116" t="s">
        <v>14942</v>
      </c>
      <c r="BJ1422" s="3117">
        <v>211084</v>
      </c>
      <c r="BK1422" s="530"/>
      <c r="CT1422" s="531"/>
      <c r="EI1422" s="2689" t="s">
        <v>11741</v>
      </c>
    </row>
    <row r="1423" spans="1:139" ht="29">
      <c r="A1423" s="532"/>
      <c r="AR1423" s="2513"/>
      <c r="BH1423" s="3117">
        <v>7706092528</v>
      </c>
      <c r="BI1423" s="3116" t="s">
        <v>14944</v>
      </c>
      <c r="BJ1423" s="3117">
        <v>112980</v>
      </c>
      <c r="BK1423" s="530"/>
      <c r="CT1423" s="2062"/>
      <c r="EI1423" s="2689" t="s">
        <v>11742</v>
      </c>
    </row>
    <row r="1424" spans="1:139">
      <c r="A1424" s="532"/>
      <c r="AR1424" s="2513"/>
      <c r="BH1424" s="3553">
        <v>5254004350</v>
      </c>
      <c r="BI1424" s="3116" t="s">
        <v>9781</v>
      </c>
      <c r="BJ1424" s="3117">
        <v>156342</v>
      </c>
      <c r="BK1424" s="530"/>
      <c r="CT1424" s="2062"/>
      <c r="EI1424" s="2689" t="s">
        <v>11743</v>
      </c>
    </row>
    <row r="1425" spans="1:139">
      <c r="A1425" s="532"/>
      <c r="AR1425" s="2513"/>
      <c r="BH1425" s="3117">
        <v>2721188289</v>
      </c>
      <c r="BI1425" s="3116" t="s">
        <v>14943</v>
      </c>
      <c r="BJ1425" s="3117">
        <v>439605</v>
      </c>
      <c r="BK1425" s="530"/>
      <c r="CS1425" s="2263"/>
      <c r="CT1425" s="2062"/>
      <c r="EI1425" s="2689" t="s">
        <v>11744</v>
      </c>
    </row>
    <row r="1426" spans="1:139" ht="29">
      <c r="A1426" s="532"/>
      <c r="H1426" s="2744"/>
      <c r="I1426" s="2744"/>
      <c r="J1426" s="2744"/>
      <c r="AR1426" s="2513"/>
      <c r="BH1426" s="3553">
        <v>6683018026</v>
      </c>
      <c r="BI1426" s="3116" t="s">
        <v>14945</v>
      </c>
      <c r="BJ1426" s="3117">
        <v>671638</v>
      </c>
      <c r="BK1426" s="530"/>
      <c r="CP1426" s="2448"/>
      <c r="CT1426" s="2062"/>
      <c r="EI1426" s="2689" t="s">
        <v>11745</v>
      </c>
    </row>
    <row r="1427" spans="1:139" s="3593" customFormat="1">
      <c r="A1427" s="2447"/>
      <c r="B1427" s="2744"/>
      <c r="C1427" s="2744"/>
      <c r="D1427" s="2744"/>
      <c r="E1427" s="2091"/>
      <c r="F1427" s="2091"/>
      <c r="G1427" s="2744"/>
      <c r="H1427" s="2744"/>
      <c r="I1427" s="2744"/>
      <c r="J1427" s="2744"/>
      <c r="K1427" s="2744"/>
      <c r="L1427" s="2744"/>
      <c r="M1427" s="2744"/>
      <c r="N1427" s="2744"/>
      <c r="O1427" s="2744"/>
      <c r="P1427" s="2744"/>
      <c r="Q1427" s="2744"/>
      <c r="R1427" s="2744"/>
      <c r="S1427" s="2744"/>
      <c r="T1427" s="2744"/>
      <c r="U1427" s="2744"/>
      <c r="V1427" s="2744"/>
      <c r="W1427" s="2744"/>
      <c r="X1427" s="2744"/>
      <c r="Y1427" s="2744"/>
      <c r="Z1427" s="2744"/>
      <c r="AA1427" s="2744"/>
      <c r="AB1427" s="2744"/>
      <c r="AC1427" s="2744"/>
      <c r="AD1427" s="2744"/>
      <c r="AE1427" s="2745"/>
      <c r="AF1427" s="2744"/>
      <c r="AG1427" s="2744"/>
      <c r="AH1427" s="2744"/>
      <c r="AI1427" s="2744"/>
      <c r="AJ1427" s="2744"/>
      <c r="AK1427" s="2744"/>
      <c r="AL1427" s="2744"/>
      <c r="AM1427" s="2744"/>
      <c r="AN1427" s="2744"/>
      <c r="AO1427" s="2744"/>
      <c r="AP1427" s="2744"/>
      <c r="AQ1427" s="2744"/>
      <c r="AR1427" s="2513"/>
      <c r="AS1427" s="2744"/>
      <c r="AT1427" s="2744"/>
      <c r="AU1427" s="2744"/>
      <c r="AV1427" s="2744"/>
      <c r="AW1427" s="2744"/>
      <c r="AX1427" s="2744"/>
      <c r="AY1427" s="531"/>
      <c r="AZ1427" s="2744"/>
      <c r="BA1427" s="2744"/>
      <c r="BB1427" s="2744"/>
      <c r="BC1427" s="2744"/>
      <c r="BD1427" s="2744"/>
      <c r="BE1427" s="2744"/>
      <c r="BF1427" s="2744"/>
      <c r="BG1427" s="2744"/>
      <c r="BH1427" s="3553">
        <v>3123050159</v>
      </c>
      <c r="BI1427" s="3116" t="s">
        <v>15031</v>
      </c>
      <c r="BJ1427" s="3117">
        <v>246914</v>
      </c>
      <c r="BK1427" s="530"/>
      <c r="BO1427" s="2535"/>
      <c r="CA1427" s="2744"/>
      <c r="CD1427" s="101"/>
      <c r="CP1427" s="2448"/>
      <c r="CS1427" s="2744"/>
      <c r="CT1427" s="2062"/>
      <c r="CX1427" s="166"/>
      <c r="DB1427" s="2745"/>
      <c r="DC1427" s="2535"/>
      <c r="DG1427" s="2535"/>
      <c r="DK1427"/>
      <c r="DL1427"/>
      <c r="DM1427"/>
      <c r="DO1427"/>
      <c r="DP1427"/>
      <c r="EC1427" s="101"/>
      <c r="EG1427" s="101"/>
      <c r="EI1427" s="2689" t="s">
        <v>11746</v>
      </c>
    </row>
    <row r="1428" spans="1:139" s="3593" customFormat="1">
      <c r="A1428" s="2447"/>
      <c r="B1428" s="2744"/>
      <c r="C1428" s="2744"/>
      <c r="D1428" s="2744"/>
      <c r="E1428" s="2091"/>
      <c r="F1428" s="2091"/>
      <c r="G1428" s="2744"/>
      <c r="H1428" s="2744"/>
      <c r="I1428" s="2744"/>
      <c r="J1428" s="2744"/>
      <c r="K1428" s="2744"/>
      <c r="L1428" s="2744"/>
      <c r="M1428" s="2744"/>
      <c r="N1428" s="2744"/>
      <c r="O1428" s="2744"/>
      <c r="P1428" s="2744"/>
      <c r="Q1428" s="2744"/>
      <c r="R1428" s="2744"/>
      <c r="S1428" s="2744"/>
      <c r="T1428" s="2744"/>
      <c r="U1428" s="2744"/>
      <c r="V1428" s="2744"/>
      <c r="W1428" s="2744"/>
      <c r="X1428" s="2744"/>
      <c r="Y1428" s="2744"/>
      <c r="Z1428" s="2744"/>
      <c r="AA1428" s="2744"/>
      <c r="AB1428" s="2744"/>
      <c r="AC1428" s="2744"/>
      <c r="AD1428" s="2744"/>
      <c r="AE1428" s="2745"/>
      <c r="AF1428" s="2744"/>
      <c r="AG1428" s="2744"/>
      <c r="AH1428" s="2744"/>
      <c r="AI1428" s="2744"/>
      <c r="AJ1428" s="2744"/>
      <c r="AK1428" s="2744"/>
      <c r="AL1428" s="2744"/>
      <c r="AM1428" s="2744"/>
      <c r="AN1428" s="2744"/>
      <c r="AO1428" s="2744"/>
      <c r="AP1428" s="2744"/>
      <c r="AQ1428" s="2744"/>
      <c r="AR1428" s="2513"/>
      <c r="AS1428" s="2744"/>
      <c r="AT1428" s="2744"/>
      <c r="AU1428" s="2744"/>
      <c r="AV1428" s="2744"/>
      <c r="AW1428" s="2744"/>
      <c r="AX1428" s="2744"/>
      <c r="AY1428" s="531"/>
      <c r="AZ1428" s="2744"/>
      <c r="BA1428" s="2744"/>
      <c r="BB1428" s="2744"/>
      <c r="BC1428" s="2744"/>
      <c r="BD1428" s="2744"/>
      <c r="BE1428" s="2744"/>
      <c r="BF1428" s="2744"/>
      <c r="BG1428" s="2744"/>
      <c r="BH1428" s="3553">
        <v>4629051286</v>
      </c>
      <c r="BI1428" s="3116" t="s">
        <v>15032</v>
      </c>
      <c r="BJ1428" s="3117">
        <v>413735</v>
      </c>
      <c r="BK1428" s="530"/>
      <c r="BO1428" s="2535"/>
      <c r="CA1428" s="2744"/>
      <c r="CD1428" s="101"/>
      <c r="CP1428" s="2448"/>
      <c r="CS1428" s="2744"/>
      <c r="CT1428" s="2062"/>
      <c r="CX1428" s="166"/>
      <c r="DB1428" s="2745"/>
      <c r="DC1428" s="2535"/>
      <c r="DG1428" s="2535"/>
      <c r="EC1428" s="101"/>
      <c r="EG1428" s="101"/>
      <c r="EI1428" s="2689" t="s">
        <v>11747</v>
      </c>
    </row>
    <row r="1429" spans="1:139" s="3593" customFormat="1">
      <c r="A1429" s="2447"/>
      <c r="B1429" s="2744"/>
      <c r="C1429" s="2744"/>
      <c r="D1429" s="2744"/>
      <c r="E1429" s="2091"/>
      <c r="F1429" s="2091"/>
      <c r="G1429" s="2744"/>
      <c r="H1429" s="2744"/>
      <c r="I1429" s="2744"/>
      <c r="J1429" s="2744"/>
      <c r="K1429" s="2744"/>
      <c r="L1429" s="2744"/>
      <c r="M1429" s="2744"/>
      <c r="N1429" s="2744"/>
      <c r="O1429" s="2744"/>
      <c r="P1429" s="2744"/>
      <c r="Q1429" s="2744"/>
      <c r="R1429" s="2744"/>
      <c r="S1429" s="2744"/>
      <c r="T1429" s="2744"/>
      <c r="U1429" s="2744"/>
      <c r="V1429" s="2744"/>
      <c r="W1429" s="2744"/>
      <c r="X1429" s="2744"/>
      <c r="Y1429" s="2744"/>
      <c r="Z1429" s="2744"/>
      <c r="AA1429" s="2744"/>
      <c r="AB1429" s="2744"/>
      <c r="AC1429" s="2744"/>
      <c r="AD1429" s="2744"/>
      <c r="AE1429" s="2745"/>
      <c r="AF1429" s="2744"/>
      <c r="AG1429" s="2744"/>
      <c r="AH1429" s="2744"/>
      <c r="AI1429" s="2744"/>
      <c r="AJ1429" s="2744"/>
      <c r="AK1429" s="2744"/>
      <c r="AL1429" s="2744"/>
      <c r="AM1429" s="2744"/>
      <c r="AN1429" s="2744"/>
      <c r="AO1429" s="2744"/>
      <c r="AP1429" s="2744"/>
      <c r="AQ1429" s="2744"/>
      <c r="AR1429" s="2513"/>
      <c r="AS1429" s="2744"/>
      <c r="AT1429" s="2744"/>
      <c r="AU1429" s="2744"/>
      <c r="AV1429" s="2744"/>
      <c r="AW1429" s="2744"/>
      <c r="AX1429" s="2744"/>
      <c r="AY1429" s="531"/>
      <c r="AZ1429" s="2744"/>
      <c r="BA1429" s="2744"/>
      <c r="BB1429" s="2744"/>
      <c r="BC1429" s="2744"/>
      <c r="BD1429" s="2744"/>
      <c r="BE1429" s="2744"/>
      <c r="BF1429" s="2744"/>
      <c r="BG1429" s="2744"/>
      <c r="BH1429" s="3553">
        <v>4825024049</v>
      </c>
      <c r="BI1429" s="3116" t="s">
        <v>15033</v>
      </c>
      <c r="BJ1429" s="3117">
        <v>717829</v>
      </c>
      <c r="BK1429" s="530"/>
      <c r="BO1429" s="2535"/>
      <c r="CA1429" s="2744"/>
      <c r="CD1429" s="101"/>
      <c r="CP1429" s="2448"/>
      <c r="CS1429" s="2744"/>
      <c r="CT1429" s="2062"/>
      <c r="CX1429" s="166"/>
      <c r="DB1429" s="2745"/>
      <c r="DC1429" s="2535"/>
      <c r="DG1429" s="2535"/>
      <c r="EC1429" s="101"/>
      <c r="EG1429" s="101"/>
      <c r="EI1429" s="2689" t="s">
        <v>11748</v>
      </c>
    </row>
    <row r="1430" spans="1:139" s="3593" customFormat="1">
      <c r="A1430" s="2447"/>
      <c r="B1430" s="2744"/>
      <c r="C1430" s="2744"/>
      <c r="D1430" s="2744"/>
      <c r="E1430" s="2091"/>
      <c r="F1430" s="2091"/>
      <c r="G1430" s="2744"/>
      <c r="H1430" s="2744"/>
      <c r="I1430" s="2744"/>
      <c r="J1430" s="2744"/>
      <c r="K1430" s="2744"/>
      <c r="L1430" s="2744"/>
      <c r="M1430" s="2744"/>
      <c r="N1430" s="2744"/>
      <c r="O1430" s="2744"/>
      <c r="P1430" s="2744"/>
      <c r="Q1430" s="2744"/>
      <c r="R1430" s="2744"/>
      <c r="S1430" s="2744"/>
      <c r="T1430" s="2744"/>
      <c r="U1430" s="2744"/>
      <c r="V1430" s="2744"/>
      <c r="W1430" s="2744"/>
      <c r="X1430" s="2744"/>
      <c r="Y1430" s="2744"/>
      <c r="Z1430" s="2744"/>
      <c r="AA1430" s="2744"/>
      <c r="AB1430" s="2744"/>
      <c r="AC1430" s="2744"/>
      <c r="AD1430" s="2744"/>
      <c r="AE1430" s="2745"/>
      <c r="AF1430" s="2744"/>
      <c r="AG1430" s="2744"/>
      <c r="AH1430" s="2744"/>
      <c r="AI1430" s="2744"/>
      <c r="AJ1430" s="2744"/>
      <c r="AK1430" s="2744"/>
      <c r="AL1430" s="2744"/>
      <c r="AM1430" s="2744"/>
      <c r="AN1430" s="2744"/>
      <c r="AO1430" s="2744"/>
      <c r="AP1430" s="2744"/>
      <c r="AQ1430" s="2744"/>
      <c r="AR1430" s="2513"/>
      <c r="AS1430" s="2744"/>
      <c r="AT1430" s="2744"/>
      <c r="AU1430" s="2744"/>
      <c r="AV1430" s="2744"/>
      <c r="AW1430" s="2744"/>
      <c r="AX1430" s="2744"/>
      <c r="AY1430" s="531"/>
      <c r="AZ1430" s="2744"/>
      <c r="BA1430" s="2744"/>
      <c r="BB1430" s="2744"/>
      <c r="BC1430" s="2744"/>
      <c r="BD1430" s="2744"/>
      <c r="BE1430" s="2744"/>
      <c r="BF1430" s="2744"/>
      <c r="BG1430" s="2744"/>
      <c r="BH1430" s="3553">
        <v>5753028484</v>
      </c>
      <c r="BI1430" s="3116" t="s">
        <v>15034</v>
      </c>
      <c r="BJ1430" s="3117">
        <v>717839</v>
      </c>
      <c r="BK1430" s="530"/>
      <c r="BO1430" s="2535"/>
      <c r="CA1430" s="2744"/>
      <c r="CD1430" s="101"/>
      <c r="CP1430" s="2448"/>
      <c r="CS1430" s="2744"/>
      <c r="CT1430" s="2062"/>
      <c r="CX1430" s="166"/>
      <c r="DB1430" s="2745"/>
      <c r="DC1430" s="2535"/>
      <c r="DG1430" s="2535"/>
      <c r="EC1430" s="101"/>
      <c r="EG1430" s="101"/>
      <c r="EI1430" s="2689" t="s">
        <v>11749</v>
      </c>
    </row>
    <row r="1431" spans="1:139" s="3593" customFormat="1">
      <c r="A1431" s="2447"/>
      <c r="B1431" s="2744"/>
      <c r="C1431" s="2744"/>
      <c r="D1431" s="2744"/>
      <c r="E1431" s="2091"/>
      <c r="F1431" s="2091"/>
      <c r="G1431" s="2744"/>
      <c r="H1431" s="2744"/>
      <c r="I1431" s="2744"/>
      <c r="J1431" s="2744"/>
      <c r="K1431" s="2744"/>
      <c r="L1431" s="2744"/>
      <c r="M1431" s="2744"/>
      <c r="N1431" s="2744"/>
      <c r="O1431" s="2744"/>
      <c r="P1431" s="2744"/>
      <c r="Q1431" s="2744"/>
      <c r="R1431" s="2744"/>
      <c r="S1431" s="2744"/>
      <c r="T1431" s="2744"/>
      <c r="U1431" s="2744"/>
      <c r="V1431" s="2744"/>
      <c r="W1431" s="2744"/>
      <c r="X1431" s="2744"/>
      <c r="Y1431" s="2744"/>
      <c r="Z1431" s="2744"/>
      <c r="AA1431" s="2744"/>
      <c r="AB1431" s="2744"/>
      <c r="AC1431" s="2744"/>
      <c r="AD1431" s="2744"/>
      <c r="AE1431" s="2745"/>
      <c r="AF1431" s="2744"/>
      <c r="AG1431" s="2744"/>
      <c r="AH1431" s="2744"/>
      <c r="AI1431" s="2744"/>
      <c r="AJ1431" s="2744"/>
      <c r="AK1431" s="2744"/>
      <c r="AL1431" s="2744"/>
      <c r="AM1431" s="2744"/>
      <c r="AN1431" s="2744"/>
      <c r="AO1431" s="2744"/>
      <c r="AP1431" s="2744"/>
      <c r="AQ1431" s="2744"/>
      <c r="AR1431" s="2513"/>
      <c r="AS1431" s="2744"/>
      <c r="AT1431" s="2744"/>
      <c r="AU1431" s="2744"/>
      <c r="AV1431" s="2744"/>
      <c r="AW1431" s="2744"/>
      <c r="AX1431" s="2744"/>
      <c r="AY1431" s="531"/>
      <c r="AZ1431" s="2744"/>
      <c r="BA1431" s="2744"/>
      <c r="BB1431" s="2744"/>
      <c r="BC1431" s="2744"/>
      <c r="BD1431" s="2744"/>
      <c r="BE1431" s="2744"/>
      <c r="BF1431" s="2744"/>
      <c r="BG1431" s="2744"/>
      <c r="BH1431" s="3553">
        <v>6231044292</v>
      </c>
      <c r="BI1431" s="3116" t="s">
        <v>15035</v>
      </c>
      <c r="BJ1431" s="3117">
        <v>717846</v>
      </c>
      <c r="BK1431" s="530"/>
      <c r="BO1431" s="2535"/>
      <c r="CA1431" s="2744"/>
      <c r="CD1431" s="101"/>
      <c r="CP1431" s="2448"/>
      <c r="CS1431" s="2744"/>
      <c r="CT1431" s="2062"/>
      <c r="CX1431" s="166"/>
      <c r="DB1431" s="2745"/>
      <c r="DC1431" s="2535"/>
      <c r="DG1431" s="2535"/>
      <c r="EC1431" s="101"/>
      <c r="EG1431" s="101"/>
      <c r="EI1431" s="2689" t="s">
        <v>11750</v>
      </c>
    </row>
    <row r="1432" spans="1:139" s="3593" customFormat="1">
      <c r="A1432" s="2447"/>
      <c r="B1432" s="2744"/>
      <c r="C1432" s="2744"/>
      <c r="D1432" s="2744"/>
      <c r="E1432" s="2091"/>
      <c r="F1432" s="2091"/>
      <c r="G1432" s="2744"/>
      <c r="H1432" s="2744"/>
      <c r="I1432" s="2744"/>
      <c r="J1432" s="2744"/>
      <c r="K1432" s="2744"/>
      <c r="L1432" s="2744"/>
      <c r="M1432" s="2744"/>
      <c r="N1432" s="2744"/>
      <c r="O1432" s="2744"/>
      <c r="P1432" s="2744"/>
      <c r="Q1432" s="2744"/>
      <c r="R1432" s="2744"/>
      <c r="S1432" s="2744"/>
      <c r="T1432" s="2744"/>
      <c r="U1432" s="2744"/>
      <c r="V1432" s="2744"/>
      <c r="W1432" s="2744"/>
      <c r="X1432" s="2744"/>
      <c r="Y1432" s="2744"/>
      <c r="Z1432" s="2744"/>
      <c r="AA1432" s="2744"/>
      <c r="AB1432" s="2744"/>
      <c r="AC1432" s="2744"/>
      <c r="AD1432" s="2744"/>
      <c r="AE1432" s="2745"/>
      <c r="AF1432" s="2744"/>
      <c r="AG1432" s="2744"/>
      <c r="AH1432" s="2744"/>
      <c r="AI1432" s="2744"/>
      <c r="AJ1432" s="2744"/>
      <c r="AK1432" s="2744"/>
      <c r="AL1432" s="2744"/>
      <c r="AM1432" s="2744"/>
      <c r="AN1432" s="2744"/>
      <c r="AO1432" s="2744"/>
      <c r="AP1432" s="2744"/>
      <c r="AQ1432" s="2744"/>
      <c r="AR1432" s="2513"/>
      <c r="AS1432" s="2744"/>
      <c r="AT1432" s="2744"/>
      <c r="AU1432" s="2744"/>
      <c r="AV1432" s="2744"/>
      <c r="AW1432" s="2744"/>
      <c r="AX1432" s="2744"/>
      <c r="AY1432" s="531"/>
      <c r="AZ1432" s="2744"/>
      <c r="BA1432" s="2744"/>
      <c r="BB1432" s="2744"/>
      <c r="BC1432" s="2744"/>
      <c r="BD1432" s="2744"/>
      <c r="BE1432" s="2744"/>
      <c r="BF1432" s="2744"/>
      <c r="BG1432" s="2744"/>
      <c r="BH1432" s="3553">
        <v>6731035426</v>
      </c>
      <c r="BI1432" s="3116" t="s">
        <v>15036</v>
      </c>
      <c r="BJ1432" s="3117">
        <v>366996</v>
      </c>
      <c r="BK1432" s="530"/>
      <c r="BO1432" s="2535"/>
      <c r="CA1432" s="2744"/>
      <c r="CD1432" s="101"/>
      <c r="CP1432" s="2448"/>
      <c r="CS1432" s="2744"/>
      <c r="CT1432" s="2062"/>
      <c r="CX1432" s="166"/>
      <c r="DB1432" s="2745"/>
      <c r="DC1432" s="2535"/>
      <c r="DG1432" s="2535"/>
      <c r="EC1432" s="101"/>
      <c r="EG1432" s="101"/>
      <c r="EI1432" s="2689" t="s">
        <v>11751</v>
      </c>
    </row>
    <row r="1433" spans="1:139" s="3593" customFormat="1">
      <c r="A1433" s="2447"/>
      <c r="B1433" s="2744"/>
      <c r="C1433" s="2744"/>
      <c r="D1433" s="2744"/>
      <c r="E1433" s="2091"/>
      <c r="F1433" s="2091"/>
      <c r="G1433" s="2744"/>
      <c r="H1433" s="2744"/>
      <c r="I1433" s="2744"/>
      <c r="J1433" s="2744"/>
      <c r="K1433" s="2744"/>
      <c r="L1433" s="2744"/>
      <c r="M1433" s="2744"/>
      <c r="N1433" s="2744"/>
      <c r="O1433" s="2744"/>
      <c r="P1433" s="2744"/>
      <c r="Q1433" s="2744"/>
      <c r="R1433" s="2744"/>
      <c r="S1433" s="2744"/>
      <c r="T1433" s="2744"/>
      <c r="U1433" s="2744"/>
      <c r="V1433" s="2744"/>
      <c r="W1433" s="2744"/>
      <c r="X1433" s="2744"/>
      <c r="Y1433" s="2744"/>
      <c r="Z1433" s="2744"/>
      <c r="AA1433" s="2744"/>
      <c r="AB1433" s="2744"/>
      <c r="AC1433" s="2744"/>
      <c r="AD1433" s="2744"/>
      <c r="AE1433" s="2745"/>
      <c r="AF1433" s="2744"/>
      <c r="AG1433" s="2744"/>
      <c r="AH1433" s="2744"/>
      <c r="AI1433" s="2744"/>
      <c r="AJ1433" s="2744"/>
      <c r="AK1433" s="2744"/>
      <c r="AL1433" s="2744"/>
      <c r="AM1433" s="2744"/>
      <c r="AN1433" s="2744"/>
      <c r="AO1433" s="2744"/>
      <c r="AP1433" s="2744"/>
      <c r="AQ1433" s="2744"/>
      <c r="AS1433" s="2744"/>
      <c r="AT1433" s="2744"/>
      <c r="AU1433" s="2744"/>
      <c r="AV1433" s="2744"/>
      <c r="AW1433" s="2744"/>
      <c r="AX1433" s="2744"/>
      <c r="AY1433" s="531"/>
      <c r="AZ1433" s="2744"/>
      <c r="BA1433" s="2744"/>
      <c r="BB1433" s="2744"/>
      <c r="BC1433" s="2744"/>
      <c r="BD1433" s="2744"/>
      <c r="BE1433" s="2744"/>
      <c r="BF1433" s="2744"/>
      <c r="BG1433" s="2744"/>
      <c r="BH1433" s="3553">
        <v>6831020409</v>
      </c>
      <c r="BI1433" s="3116" t="s">
        <v>15037</v>
      </c>
      <c r="BJ1433" s="3117">
        <v>717852</v>
      </c>
      <c r="BK1433" s="530"/>
      <c r="BO1433" s="2535"/>
      <c r="CA1433" s="2744"/>
      <c r="CD1433" s="101"/>
      <c r="CP1433" s="2448"/>
      <c r="CS1433" s="2744"/>
      <c r="CT1433" s="2062"/>
      <c r="CX1433" s="166"/>
      <c r="DB1433" s="2745"/>
      <c r="DC1433" s="2535"/>
      <c r="DG1433" s="2535"/>
      <c r="EC1433" s="101"/>
      <c r="EG1433" s="101"/>
      <c r="EI1433" s="2689" t="s">
        <v>11752</v>
      </c>
    </row>
    <row r="1434" spans="1:139" s="3593" customFormat="1">
      <c r="A1434" s="2447"/>
      <c r="B1434" s="2744"/>
      <c r="C1434" s="2744"/>
      <c r="D1434" s="2744"/>
      <c r="E1434" s="2091"/>
      <c r="F1434" s="2091"/>
      <c r="G1434" s="2744"/>
      <c r="H1434" s="2744"/>
      <c r="I1434" s="2744"/>
      <c r="J1434" s="2744"/>
      <c r="K1434" s="2744"/>
      <c r="L1434" s="2744"/>
      <c r="M1434" s="2744"/>
      <c r="N1434" s="2744"/>
      <c r="O1434" s="2744"/>
      <c r="P1434" s="2744"/>
      <c r="Q1434" s="2744"/>
      <c r="R1434" s="2744"/>
      <c r="S1434" s="2744"/>
      <c r="T1434" s="2744"/>
      <c r="U1434" s="2744"/>
      <c r="V1434" s="2744"/>
      <c r="W1434" s="2744"/>
      <c r="X1434" s="2744"/>
      <c r="Y1434" s="2744"/>
      <c r="Z1434" s="2744"/>
      <c r="AA1434" s="2744"/>
      <c r="AB1434" s="2744"/>
      <c r="AC1434" s="2744"/>
      <c r="AD1434" s="2744"/>
      <c r="AE1434" s="2745"/>
      <c r="AF1434" s="2744"/>
      <c r="AG1434" s="2744"/>
      <c r="AH1434" s="2744"/>
      <c r="AI1434" s="2744"/>
      <c r="AJ1434" s="2744"/>
      <c r="AK1434" s="2744"/>
      <c r="AL1434" s="2744"/>
      <c r="AM1434" s="2744"/>
      <c r="AN1434" s="2744"/>
      <c r="AO1434" s="2744"/>
      <c r="AP1434" s="2744"/>
      <c r="AQ1434" s="2744"/>
      <c r="AS1434" s="2744"/>
      <c r="AT1434" s="2744"/>
      <c r="AU1434" s="2744"/>
      <c r="AV1434" s="2744"/>
      <c r="AW1434" s="2744"/>
      <c r="AX1434" s="2744"/>
      <c r="AY1434" s="531"/>
      <c r="AZ1434" s="2744"/>
      <c r="BA1434" s="2744"/>
      <c r="BB1434" s="2744"/>
      <c r="BC1434" s="2744"/>
      <c r="BD1434" s="2744"/>
      <c r="BE1434" s="2744"/>
      <c r="BF1434" s="2744"/>
      <c r="BG1434" s="2744"/>
      <c r="BH1434" s="3553">
        <v>7107049989</v>
      </c>
      <c r="BI1434" s="3116" t="s">
        <v>15038</v>
      </c>
      <c r="BJ1434" s="3117">
        <v>717853</v>
      </c>
      <c r="BK1434" s="530"/>
      <c r="BO1434" s="2535"/>
      <c r="CA1434" s="2744"/>
      <c r="CD1434" s="101"/>
      <c r="CP1434" s="2448"/>
      <c r="CS1434" s="2744"/>
      <c r="CT1434" s="2062"/>
      <c r="CX1434" s="166"/>
      <c r="DB1434" s="2745"/>
      <c r="DC1434" s="2535"/>
      <c r="DG1434" s="2535"/>
      <c r="EC1434" s="101"/>
      <c r="EG1434" s="101"/>
      <c r="EI1434" s="2689" t="s">
        <v>11753</v>
      </c>
    </row>
    <row r="1435" spans="1:139" s="3593" customFormat="1" ht="29">
      <c r="A1435" s="2447"/>
      <c r="B1435" s="2744"/>
      <c r="C1435" s="2744"/>
      <c r="D1435" s="2744"/>
      <c r="E1435" s="2091"/>
      <c r="F1435" s="2091"/>
      <c r="G1435" s="2744"/>
      <c r="H1435" s="2744"/>
      <c r="I1435" s="2744"/>
      <c r="J1435" s="2744"/>
      <c r="K1435" s="2744"/>
      <c r="L1435" s="2744"/>
      <c r="M1435" s="2744"/>
      <c r="N1435" s="2744"/>
      <c r="O1435" s="2744"/>
      <c r="P1435" s="2744"/>
      <c r="Q1435" s="2744"/>
      <c r="R1435" s="2744"/>
      <c r="S1435" s="2744"/>
      <c r="T1435" s="2744"/>
      <c r="U1435" s="2744"/>
      <c r="V1435" s="2744"/>
      <c r="W1435" s="2744"/>
      <c r="X1435" s="2744"/>
      <c r="Y1435" s="2744"/>
      <c r="Z1435" s="2744"/>
      <c r="AA1435" s="2744"/>
      <c r="AB1435" s="2744"/>
      <c r="AC1435" s="2744"/>
      <c r="AD1435" s="2744"/>
      <c r="AE1435" s="2745"/>
      <c r="AF1435" s="2744"/>
      <c r="AG1435" s="2744"/>
      <c r="AH1435" s="2744"/>
      <c r="AI1435" s="2744"/>
      <c r="AJ1435" s="2744"/>
      <c r="AK1435" s="2744"/>
      <c r="AL1435" s="2744"/>
      <c r="AM1435" s="2744"/>
      <c r="AN1435" s="2744"/>
      <c r="AO1435" s="2744"/>
      <c r="AP1435" s="2744"/>
      <c r="AQ1435" s="2744"/>
      <c r="AS1435" s="2744"/>
      <c r="AT1435" s="2744"/>
      <c r="AU1435" s="2744"/>
      <c r="AV1435" s="2744"/>
      <c r="AW1435" s="2744"/>
      <c r="AX1435" s="2744"/>
      <c r="AY1435" s="531"/>
      <c r="AZ1435" s="2744"/>
      <c r="BA1435" s="2744"/>
      <c r="BB1435" s="2744"/>
      <c r="BC1435" s="2744"/>
      <c r="BD1435" s="2744"/>
      <c r="BE1435" s="2744"/>
      <c r="BF1435" s="2744"/>
      <c r="BG1435" s="2744"/>
      <c r="BH1435" s="3553">
        <v>3123460476</v>
      </c>
      <c r="BI1435" s="3116" t="s">
        <v>15039</v>
      </c>
      <c r="BJ1435" s="3117">
        <v>695249</v>
      </c>
      <c r="BK1435" s="530"/>
      <c r="BO1435" s="2535"/>
      <c r="CA1435" s="2744"/>
      <c r="CD1435" s="101"/>
      <c r="CP1435" s="2448"/>
      <c r="CS1435" s="2744"/>
      <c r="CT1435" s="2062"/>
      <c r="CX1435" s="166"/>
      <c r="DB1435" s="2745"/>
      <c r="DC1435" s="2535"/>
      <c r="DG1435" s="2535"/>
      <c r="EC1435" s="101"/>
      <c r="EG1435" s="101"/>
      <c r="EI1435" s="2689" t="s">
        <v>11754</v>
      </c>
    </row>
    <row r="1436" spans="1:139" s="3593" customFormat="1" ht="43.5">
      <c r="A1436" s="2447"/>
      <c r="B1436" s="2744"/>
      <c r="C1436" s="2744"/>
      <c r="D1436" s="2744"/>
      <c r="E1436" s="2091"/>
      <c r="F1436" s="2091"/>
      <c r="G1436" s="2744"/>
      <c r="H1436" s="2744"/>
      <c r="I1436" s="2744"/>
      <c r="J1436" s="2744"/>
      <c r="K1436" s="2744"/>
      <c r="L1436" s="2744"/>
      <c r="M1436" s="2744"/>
      <c r="N1436" s="2744"/>
      <c r="O1436" s="2744"/>
      <c r="P1436" s="2744"/>
      <c r="Q1436" s="2744"/>
      <c r="R1436" s="2744"/>
      <c r="S1436" s="2744"/>
      <c r="T1436" s="2744"/>
      <c r="U1436" s="2744"/>
      <c r="V1436" s="2744"/>
      <c r="W1436" s="2744"/>
      <c r="X1436" s="2744"/>
      <c r="Y1436" s="2744"/>
      <c r="Z1436" s="2744"/>
      <c r="AA1436" s="2744"/>
      <c r="AB1436" s="2744"/>
      <c r="AC1436" s="2744"/>
      <c r="AD1436" s="2744"/>
      <c r="AE1436" s="2745"/>
      <c r="AF1436" s="2744"/>
      <c r="AG1436" s="2744"/>
      <c r="AH1436" s="2744"/>
      <c r="AI1436" s="2744"/>
      <c r="AJ1436" s="2744"/>
      <c r="AK1436" s="2744"/>
      <c r="AL1436" s="2744"/>
      <c r="AM1436" s="2744"/>
      <c r="AN1436" s="2744"/>
      <c r="AO1436" s="2744"/>
      <c r="AP1436" s="2744"/>
      <c r="AQ1436" s="2744"/>
      <c r="AS1436" s="2744"/>
      <c r="AT1436" s="2744"/>
      <c r="AU1436" s="2744"/>
      <c r="AV1436" s="2744"/>
      <c r="AW1436" s="2744"/>
      <c r="AX1436" s="2744"/>
      <c r="AY1436" s="531"/>
      <c r="AZ1436" s="2744"/>
      <c r="BA1436" s="2744"/>
      <c r="BB1436" s="2744"/>
      <c r="BC1436" s="2744"/>
      <c r="BD1436" s="2744"/>
      <c r="BE1436" s="2744"/>
      <c r="BF1436" s="2744"/>
      <c r="BG1436" s="2744"/>
      <c r="BH1436" s="3553">
        <v>5701000368</v>
      </c>
      <c r="BI1436" s="3116" t="s">
        <v>15040</v>
      </c>
      <c r="BJ1436" s="3117">
        <v>707575</v>
      </c>
      <c r="BK1436" s="530"/>
      <c r="BO1436" s="2535"/>
      <c r="CA1436" s="2744"/>
      <c r="CD1436" s="101"/>
      <c r="CP1436" s="2448"/>
      <c r="CS1436" s="2744"/>
      <c r="CT1436" s="2062"/>
      <c r="CX1436" s="166"/>
      <c r="DB1436" s="2745"/>
      <c r="DC1436" s="2535"/>
      <c r="DG1436" s="2535"/>
      <c r="EC1436" s="101"/>
      <c r="EG1436" s="101"/>
      <c r="EI1436" s="2689" t="s">
        <v>11755</v>
      </c>
    </row>
    <row r="1437" spans="1:139" s="3593" customFormat="1" ht="58">
      <c r="A1437" s="2447"/>
      <c r="B1437" s="2744"/>
      <c r="C1437" s="2744"/>
      <c r="D1437" s="2744"/>
      <c r="E1437" s="2091"/>
      <c r="F1437" s="2091"/>
      <c r="G1437" s="2744"/>
      <c r="H1437" s="2744"/>
      <c r="I1437" s="2744"/>
      <c r="J1437" s="2744"/>
      <c r="K1437" s="2744"/>
      <c r="L1437" s="2744"/>
      <c r="M1437" s="2744"/>
      <c r="N1437" s="2744"/>
      <c r="O1437" s="2744"/>
      <c r="P1437" s="2744"/>
      <c r="Q1437" s="2744"/>
      <c r="R1437" s="2744"/>
      <c r="S1437" s="2744"/>
      <c r="T1437" s="2744"/>
      <c r="U1437" s="2744"/>
      <c r="V1437" s="2744"/>
      <c r="W1437" s="2744"/>
      <c r="X1437" s="2744"/>
      <c r="Y1437" s="2744"/>
      <c r="Z1437" s="2744"/>
      <c r="AA1437" s="2744"/>
      <c r="AB1437" s="2744"/>
      <c r="AC1437" s="2744"/>
      <c r="AD1437" s="2744"/>
      <c r="AE1437" s="2745"/>
      <c r="AF1437" s="2744"/>
      <c r="AG1437" s="2744"/>
      <c r="AH1437" s="2744"/>
      <c r="AI1437" s="2744"/>
      <c r="AJ1437" s="2744"/>
      <c r="AK1437" s="2744"/>
      <c r="AL1437" s="2744"/>
      <c r="AM1437" s="2744"/>
      <c r="AN1437" s="2744"/>
      <c r="AO1437" s="2744"/>
      <c r="AP1437" s="2744"/>
      <c r="AQ1437" s="2744"/>
      <c r="AS1437" s="2744"/>
      <c r="AT1437" s="2744"/>
      <c r="AU1437" s="2744"/>
      <c r="AV1437" s="2744"/>
      <c r="AW1437" s="2744"/>
      <c r="AX1437" s="2744"/>
      <c r="AY1437" s="531"/>
      <c r="AZ1437" s="2744"/>
      <c r="BA1437" s="2744"/>
      <c r="BB1437" s="2744"/>
      <c r="BC1437" s="2744"/>
      <c r="BD1437" s="2744"/>
      <c r="BE1437" s="2744"/>
      <c r="BF1437" s="2744"/>
      <c r="BG1437" s="2744"/>
      <c r="BH1437" s="3553">
        <v>4629026667</v>
      </c>
      <c r="BI1437" s="3116" t="s">
        <v>15041</v>
      </c>
      <c r="BJ1437" s="3117">
        <v>124263</v>
      </c>
      <c r="BK1437" s="530"/>
      <c r="BO1437" s="2535"/>
      <c r="CA1437" s="2744"/>
      <c r="CD1437" s="101"/>
      <c r="CP1437" s="2448"/>
      <c r="CS1437" s="2744"/>
      <c r="CT1437" s="2062"/>
      <c r="CX1437" s="166"/>
      <c r="DB1437" s="2745"/>
      <c r="DC1437" s="2535"/>
      <c r="DG1437" s="2535"/>
      <c r="EC1437" s="101"/>
      <c r="EG1437" s="101"/>
      <c r="EI1437" s="2689" t="s">
        <v>11756</v>
      </c>
    </row>
    <row r="1438" spans="1:139" s="3593" customFormat="1" ht="29">
      <c r="A1438" s="2447"/>
      <c r="B1438" s="2744"/>
      <c r="C1438" s="2744"/>
      <c r="D1438" s="2744"/>
      <c r="E1438" s="2091"/>
      <c r="F1438" s="2091"/>
      <c r="G1438" s="2744"/>
      <c r="H1438" s="2744"/>
      <c r="I1438" s="2744"/>
      <c r="J1438" s="2744"/>
      <c r="K1438" s="2744"/>
      <c r="L1438" s="2744"/>
      <c r="M1438" s="2744"/>
      <c r="N1438" s="2744"/>
      <c r="O1438" s="2744"/>
      <c r="P1438" s="2744"/>
      <c r="Q1438" s="2744"/>
      <c r="R1438" s="2744"/>
      <c r="S1438" s="2744"/>
      <c r="T1438" s="2744"/>
      <c r="U1438" s="2744"/>
      <c r="V1438" s="2744"/>
      <c r="W1438" s="2744"/>
      <c r="X1438" s="2744"/>
      <c r="Y1438" s="2744"/>
      <c r="Z1438" s="2744"/>
      <c r="AA1438" s="2744"/>
      <c r="AB1438" s="2744"/>
      <c r="AC1438" s="2744"/>
      <c r="AD1438" s="2744"/>
      <c r="AE1438" s="2745"/>
      <c r="AF1438" s="2744"/>
      <c r="AG1438" s="2744"/>
      <c r="AH1438" s="2744"/>
      <c r="AI1438" s="2744"/>
      <c r="AJ1438" s="2744"/>
      <c r="AK1438" s="2744"/>
      <c r="AL1438" s="2744"/>
      <c r="AM1438" s="2744"/>
      <c r="AN1438" s="2744"/>
      <c r="AO1438" s="2744"/>
      <c r="AP1438" s="2744"/>
      <c r="AQ1438" s="2744"/>
      <c r="AS1438" s="2744"/>
      <c r="AT1438" s="2744"/>
      <c r="AU1438" s="2744"/>
      <c r="AV1438" s="2744"/>
      <c r="AW1438" s="2744"/>
      <c r="AX1438" s="2744"/>
      <c r="AY1438" s="531"/>
      <c r="AZ1438" s="2744"/>
      <c r="BA1438" s="2744"/>
      <c r="BB1438" s="2744"/>
      <c r="BC1438" s="2744"/>
      <c r="BD1438" s="2744"/>
      <c r="BE1438" s="2744"/>
      <c r="BF1438" s="2744"/>
      <c r="BG1438" s="2744"/>
      <c r="BH1438" s="3553">
        <v>7113000036</v>
      </c>
      <c r="BI1438" s="3116" t="s">
        <v>15042</v>
      </c>
      <c r="BJ1438" s="3117">
        <v>729229</v>
      </c>
      <c r="BK1438" s="530"/>
      <c r="BO1438" s="2535"/>
      <c r="CA1438" s="2744"/>
      <c r="CD1438" s="101"/>
      <c r="CP1438" s="2448"/>
      <c r="CS1438" s="2744"/>
      <c r="CT1438" s="2062"/>
      <c r="CX1438" s="166"/>
      <c r="DB1438" s="2745"/>
      <c r="DC1438" s="2535"/>
      <c r="DG1438" s="2535"/>
      <c r="EC1438" s="101"/>
      <c r="EG1438" s="101"/>
      <c r="EI1438" s="2689" t="s">
        <v>11757</v>
      </c>
    </row>
    <row r="1439" spans="1:139" s="3593" customFormat="1">
      <c r="A1439" s="2447"/>
      <c r="B1439" s="2744"/>
      <c r="C1439" s="2744"/>
      <c r="D1439" s="2744"/>
      <c r="E1439" s="2091"/>
      <c r="F1439" s="2091"/>
      <c r="G1439" s="2744"/>
      <c r="H1439" s="2744"/>
      <c r="I1439" s="2744"/>
      <c r="J1439" s="2744"/>
      <c r="K1439" s="2744"/>
      <c r="L1439" s="2744"/>
      <c r="M1439" s="2744"/>
      <c r="N1439" s="2744"/>
      <c r="O1439" s="2744"/>
      <c r="P1439" s="2744"/>
      <c r="Q1439" s="2744"/>
      <c r="R1439" s="2744"/>
      <c r="S1439" s="2744"/>
      <c r="T1439" s="2744"/>
      <c r="U1439" s="2744"/>
      <c r="V1439" s="2744"/>
      <c r="W1439" s="2744"/>
      <c r="X1439" s="2744"/>
      <c r="Y1439" s="2744"/>
      <c r="Z1439" s="2744"/>
      <c r="AA1439" s="2744"/>
      <c r="AB1439" s="2744"/>
      <c r="AC1439" s="2744"/>
      <c r="AD1439" s="2744"/>
      <c r="AE1439" s="2745"/>
      <c r="AF1439" s="2744"/>
      <c r="AG1439" s="2744"/>
      <c r="AH1439" s="2744"/>
      <c r="AI1439" s="2744"/>
      <c r="AJ1439" s="2744"/>
      <c r="AK1439" s="2744"/>
      <c r="AL1439" s="2744"/>
      <c r="AM1439" s="2744"/>
      <c r="AN1439" s="2744"/>
      <c r="AO1439" s="2744"/>
      <c r="AP1439" s="2744"/>
      <c r="AQ1439" s="2744"/>
      <c r="AS1439" s="2744"/>
      <c r="AT1439" s="2744"/>
      <c r="AU1439" s="2744"/>
      <c r="AV1439" s="2744"/>
      <c r="AW1439" s="2744"/>
      <c r="AX1439" s="2744"/>
      <c r="AY1439" s="531"/>
      <c r="AZ1439" s="2744"/>
      <c r="BA1439" s="2744"/>
      <c r="BB1439" s="2744"/>
      <c r="BC1439" s="2744"/>
      <c r="BD1439" s="2744"/>
      <c r="BE1439" s="2744"/>
      <c r="BF1439" s="2744"/>
      <c r="BG1439" s="2744"/>
      <c r="BH1439" s="3553">
        <v>6731010559</v>
      </c>
      <c r="BI1439" s="3116" t="s">
        <v>15043</v>
      </c>
      <c r="BJ1439" s="3117">
        <v>468749</v>
      </c>
      <c r="BK1439" s="530"/>
      <c r="BO1439" s="2535"/>
      <c r="CA1439" s="2744"/>
      <c r="CD1439" s="101"/>
      <c r="CP1439" s="2448"/>
      <c r="CS1439" s="2744"/>
      <c r="CT1439" s="2062"/>
      <c r="CX1439" s="166"/>
      <c r="DB1439" s="2745"/>
      <c r="DC1439" s="2535"/>
      <c r="DG1439" s="2535"/>
      <c r="EC1439" s="101"/>
      <c r="EG1439" s="101"/>
      <c r="EI1439" s="2689" t="s">
        <v>11758</v>
      </c>
    </row>
    <row r="1440" spans="1:139" s="3593" customFormat="1" ht="87">
      <c r="A1440" s="2447"/>
      <c r="B1440" s="2744"/>
      <c r="C1440" s="2744"/>
      <c r="D1440" s="2744"/>
      <c r="E1440" s="2091"/>
      <c r="F1440" s="2091"/>
      <c r="G1440" s="2744"/>
      <c r="H1440" s="2744"/>
      <c r="I1440" s="2744"/>
      <c r="J1440" s="2744"/>
      <c r="K1440" s="2744"/>
      <c r="L1440" s="2744"/>
      <c r="M1440" s="2744"/>
      <c r="N1440" s="2744"/>
      <c r="O1440" s="2744"/>
      <c r="P1440" s="2744"/>
      <c r="Q1440" s="2744"/>
      <c r="R1440" s="2744"/>
      <c r="S1440" s="2744"/>
      <c r="T1440" s="2744"/>
      <c r="U1440" s="2744"/>
      <c r="V1440" s="2744"/>
      <c r="W1440" s="2744"/>
      <c r="X1440" s="2744"/>
      <c r="Y1440" s="2744"/>
      <c r="Z1440" s="2744"/>
      <c r="AA1440" s="2744"/>
      <c r="AB1440" s="2744"/>
      <c r="AC1440" s="2744"/>
      <c r="AD1440" s="2744"/>
      <c r="AE1440" s="2745"/>
      <c r="AF1440" s="2744"/>
      <c r="AG1440" s="2744"/>
      <c r="AH1440" s="2744"/>
      <c r="AI1440" s="2744"/>
      <c r="AJ1440" s="2744"/>
      <c r="AK1440" s="2744"/>
      <c r="AL1440" s="2744"/>
      <c r="AM1440" s="2744"/>
      <c r="AN1440" s="2744"/>
      <c r="AO1440" s="2744"/>
      <c r="AP1440" s="2744"/>
      <c r="AQ1440" s="2744"/>
      <c r="AS1440" s="2744"/>
      <c r="AT1440" s="2744"/>
      <c r="AU1440" s="2744"/>
      <c r="AV1440" s="2744"/>
      <c r="AW1440" s="2744"/>
      <c r="AX1440" s="2744"/>
      <c r="AY1440" s="531"/>
      <c r="AZ1440" s="2744"/>
      <c r="BA1440" s="2744"/>
      <c r="BB1440" s="2744"/>
      <c r="BC1440" s="2744"/>
      <c r="BD1440" s="2744"/>
      <c r="BE1440" s="2744"/>
      <c r="BF1440" s="2744"/>
      <c r="BG1440" s="2744"/>
      <c r="BH1440" s="3553">
        <v>4632000330</v>
      </c>
      <c r="BI1440" s="3116" t="s">
        <v>15044</v>
      </c>
      <c r="BJ1440" s="3117">
        <v>124324</v>
      </c>
      <c r="BK1440" s="530"/>
      <c r="BO1440" s="2535"/>
      <c r="CA1440" s="2744"/>
      <c r="CD1440" s="101"/>
      <c r="CP1440" s="2448"/>
      <c r="CS1440" s="2744"/>
      <c r="CT1440" s="2062"/>
      <c r="CX1440" s="166"/>
      <c r="DB1440" s="2745"/>
      <c r="DC1440" s="2535"/>
      <c r="DG1440" s="2535"/>
      <c r="EC1440" s="101"/>
      <c r="EG1440" s="101"/>
      <c r="EI1440" s="2689" t="s">
        <v>11759</v>
      </c>
    </row>
    <row r="1441" spans="1:139" s="3593" customFormat="1" ht="29">
      <c r="A1441" s="2447"/>
      <c r="B1441" s="2744"/>
      <c r="C1441" s="2744"/>
      <c r="D1441" s="2744"/>
      <c r="E1441" s="2091"/>
      <c r="F1441" s="2091"/>
      <c r="G1441" s="2744"/>
      <c r="H1441" s="2744"/>
      <c r="I1441" s="2744"/>
      <c r="J1441" s="2744"/>
      <c r="K1441" s="2744"/>
      <c r="L1441" s="2744"/>
      <c r="M1441" s="2744"/>
      <c r="N1441" s="2744"/>
      <c r="O1441" s="2744"/>
      <c r="P1441" s="2744"/>
      <c r="Q1441" s="2744"/>
      <c r="R1441" s="2744"/>
      <c r="S1441" s="2744"/>
      <c r="T1441" s="2744"/>
      <c r="U1441" s="2744"/>
      <c r="V1441" s="2744"/>
      <c r="W1441" s="2744"/>
      <c r="X1441" s="2744"/>
      <c r="Y1441" s="2744"/>
      <c r="Z1441" s="2744"/>
      <c r="AA1441" s="2744"/>
      <c r="AB1441" s="2744"/>
      <c r="AC1441" s="2744"/>
      <c r="AD1441" s="2744"/>
      <c r="AE1441" s="2745"/>
      <c r="AF1441" s="2744"/>
      <c r="AG1441" s="2744"/>
      <c r="AH1441" s="2744"/>
      <c r="AI1441" s="2744"/>
      <c r="AJ1441" s="2744"/>
      <c r="AK1441" s="2744"/>
      <c r="AL1441" s="2744"/>
      <c r="AM1441" s="2744"/>
      <c r="AN1441" s="2744"/>
      <c r="AO1441" s="2744"/>
      <c r="AP1441" s="2744"/>
      <c r="AQ1441" s="2744"/>
      <c r="AS1441" s="2744"/>
      <c r="AT1441" s="2744"/>
      <c r="AU1441" s="2744"/>
      <c r="AV1441" s="2744"/>
      <c r="AW1441" s="2744"/>
      <c r="AX1441" s="2744"/>
      <c r="AY1441" s="531"/>
      <c r="AZ1441" s="2744"/>
      <c r="BA1441" s="2744"/>
      <c r="BB1441" s="2744"/>
      <c r="BC1441" s="2744"/>
      <c r="BD1441" s="2744"/>
      <c r="BE1441" s="2744"/>
      <c r="BF1441" s="2744"/>
      <c r="BG1441" s="2744"/>
      <c r="BH1441" s="3553">
        <v>3127017628</v>
      </c>
      <c r="BI1441" s="3116" t="s">
        <v>15045</v>
      </c>
      <c r="BJ1441" s="3117">
        <v>734259</v>
      </c>
      <c r="BK1441" s="530"/>
      <c r="BO1441" s="2535"/>
      <c r="CA1441" s="2744"/>
      <c r="CD1441" s="101"/>
      <c r="CP1441" s="2448"/>
      <c r="CS1441" s="2744"/>
      <c r="CT1441" s="2062"/>
      <c r="CX1441" s="166"/>
      <c r="DB1441" s="2745"/>
      <c r="DC1441" s="2535"/>
      <c r="DG1441" s="2535"/>
      <c r="EC1441" s="101"/>
      <c r="EG1441" s="101"/>
      <c r="EI1441" s="2689" t="s">
        <v>11760</v>
      </c>
    </row>
    <row r="1442" spans="1:139" s="3593" customFormat="1" ht="29">
      <c r="A1442" s="2447"/>
      <c r="B1442" s="2744"/>
      <c r="C1442" s="2744"/>
      <c r="D1442" s="2744"/>
      <c r="E1442" s="2091"/>
      <c r="F1442" s="2091"/>
      <c r="G1442" s="2744"/>
      <c r="H1442" s="2744"/>
      <c r="I1442" s="2744"/>
      <c r="J1442" s="2744"/>
      <c r="K1442" s="2744"/>
      <c r="L1442" s="2744"/>
      <c r="M1442" s="2744"/>
      <c r="N1442" s="2744"/>
      <c r="O1442" s="2744"/>
      <c r="P1442" s="2744"/>
      <c r="Q1442" s="2744"/>
      <c r="R1442" s="2744"/>
      <c r="S1442" s="2744"/>
      <c r="T1442" s="2744"/>
      <c r="U1442" s="2744"/>
      <c r="V1442" s="2744"/>
      <c r="W1442" s="2744"/>
      <c r="X1442" s="2744"/>
      <c r="Y1442" s="2744"/>
      <c r="Z1442" s="2744"/>
      <c r="AA1442" s="2744"/>
      <c r="AB1442" s="2744"/>
      <c r="AC1442" s="2744"/>
      <c r="AD1442" s="2744"/>
      <c r="AE1442" s="2745"/>
      <c r="AF1442" s="2744"/>
      <c r="AG1442" s="2744"/>
      <c r="AH1442" s="2744"/>
      <c r="AI1442" s="2744"/>
      <c r="AJ1442" s="2744"/>
      <c r="AK1442" s="2744"/>
      <c r="AL1442" s="2744"/>
      <c r="AM1442" s="2744"/>
      <c r="AN1442" s="2744"/>
      <c r="AO1442" s="2744"/>
      <c r="AP1442" s="2744"/>
      <c r="AQ1442" s="2744"/>
      <c r="AS1442" s="2744"/>
      <c r="AT1442" s="2744"/>
      <c r="AU1442" s="2744"/>
      <c r="AV1442" s="2744"/>
      <c r="AW1442" s="2744"/>
      <c r="AX1442" s="2744"/>
      <c r="AY1442" s="531"/>
      <c r="AZ1442" s="2744"/>
      <c r="BA1442" s="2744"/>
      <c r="BB1442" s="2744"/>
      <c r="BC1442" s="2744"/>
      <c r="BD1442" s="2744"/>
      <c r="BE1442" s="2744"/>
      <c r="BF1442" s="2744"/>
      <c r="BG1442" s="2744"/>
      <c r="BH1442" s="3553">
        <v>4803010370</v>
      </c>
      <c r="BI1442" s="3116" t="s">
        <v>15046</v>
      </c>
      <c r="BJ1442" s="3117">
        <v>734287</v>
      </c>
      <c r="BK1442" s="530"/>
      <c r="BO1442" s="2535"/>
      <c r="CA1442" s="2744"/>
      <c r="CD1442" s="101"/>
      <c r="CP1442" s="2448"/>
      <c r="CS1442" s="2744"/>
      <c r="CT1442" s="2062"/>
      <c r="CX1442" s="166"/>
      <c r="DB1442" s="2745"/>
      <c r="DC1442" s="2535"/>
      <c r="DG1442" s="2535"/>
      <c r="EC1442" s="101"/>
      <c r="EG1442" s="101"/>
      <c r="EI1442" s="2689" t="s">
        <v>11761</v>
      </c>
    </row>
    <row r="1443" spans="1:139" s="3593" customFormat="1" ht="29">
      <c r="A1443" s="2447"/>
      <c r="B1443" s="2744"/>
      <c r="C1443" s="2744"/>
      <c r="D1443" s="2744"/>
      <c r="E1443" s="2091"/>
      <c r="F1443" s="2091"/>
      <c r="G1443" s="2744"/>
      <c r="H1443" s="2744"/>
      <c r="I1443" s="2744"/>
      <c r="J1443" s="2744"/>
      <c r="K1443" s="2744"/>
      <c r="L1443" s="2744"/>
      <c r="M1443" s="2744"/>
      <c r="N1443" s="2744"/>
      <c r="O1443" s="2744"/>
      <c r="P1443" s="2744"/>
      <c r="Q1443" s="2744"/>
      <c r="R1443" s="2744"/>
      <c r="S1443" s="2744"/>
      <c r="T1443" s="2744"/>
      <c r="U1443" s="2744"/>
      <c r="V1443" s="2744"/>
      <c r="W1443" s="2744"/>
      <c r="X1443" s="2744"/>
      <c r="Y1443" s="2744"/>
      <c r="Z1443" s="2744"/>
      <c r="AA1443" s="2744"/>
      <c r="AB1443" s="2744"/>
      <c r="AC1443" s="2744"/>
      <c r="AD1443" s="2744"/>
      <c r="AE1443" s="2745"/>
      <c r="AF1443" s="2744"/>
      <c r="AG1443" s="2744"/>
      <c r="AH1443" s="2744"/>
      <c r="AI1443" s="2744"/>
      <c r="AJ1443" s="2744"/>
      <c r="AK1443" s="2744"/>
      <c r="AL1443" s="2744"/>
      <c r="AM1443" s="2744"/>
      <c r="AN1443" s="2744"/>
      <c r="AO1443" s="2744"/>
      <c r="AP1443" s="2744"/>
      <c r="AQ1443" s="2744"/>
      <c r="AS1443" s="2744"/>
      <c r="AT1443" s="2744"/>
      <c r="AU1443" s="2744"/>
      <c r="AV1443" s="2744"/>
      <c r="AW1443" s="2744"/>
      <c r="AX1443" s="2744"/>
      <c r="AY1443" s="531"/>
      <c r="AZ1443" s="2744"/>
      <c r="BA1443" s="2744"/>
      <c r="BB1443" s="2744"/>
      <c r="BC1443" s="2744"/>
      <c r="BD1443" s="2744"/>
      <c r="BE1443" s="2744"/>
      <c r="BF1443" s="2744"/>
      <c r="BG1443" s="2744"/>
      <c r="BH1443" s="3553">
        <v>4811026470</v>
      </c>
      <c r="BI1443" s="3116" t="s">
        <v>15047</v>
      </c>
      <c r="BJ1443" s="3117">
        <v>734288</v>
      </c>
      <c r="BK1443" s="530"/>
      <c r="BO1443" s="2535"/>
      <c r="CA1443" s="2744"/>
      <c r="CD1443" s="101"/>
      <c r="CP1443" s="2448"/>
      <c r="CS1443" s="2744"/>
      <c r="CT1443" s="2062"/>
      <c r="CX1443" s="166"/>
      <c r="DB1443" s="2745"/>
      <c r="DC1443" s="2535"/>
      <c r="DG1443" s="2535"/>
      <c r="EC1443" s="101"/>
      <c r="EG1443" s="101"/>
      <c r="EI1443" s="2689" t="s">
        <v>11762</v>
      </c>
    </row>
    <row r="1444" spans="1:139" s="3593" customFormat="1" ht="43.5">
      <c r="A1444" s="2447"/>
      <c r="B1444" s="2744"/>
      <c r="C1444" s="2744"/>
      <c r="D1444" s="2744"/>
      <c r="E1444" s="2091"/>
      <c r="F1444" s="2091"/>
      <c r="G1444" s="2744"/>
      <c r="H1444" s="2744"/>
      <c r="I1444" s="2744"/>
      <c r="J1444" s="2744"/>
      <c r="K1444" s="2744"/>
      <c r="L1444" s="2744"/>
      <c r="M1444" s="2744"/>
      <c r="N1444" s="2744"/>
      <c r="O1444" s="2744"/>
      <c r="P1444" s="2744"/>
      <c r="Q1444" s="2744"/>
      <c r="R1444" s="2744"/>
      <c r="S1444" s="2744"/>
      <c r="T1444" s="2744"/>
      <c r="U1444" s="2744"/>
      <c r="V1444" s="2744"/>
      <c r="W1444" s="2744"/>
      <c r="X1444" s="2744"/>
      <c r="Y1444" s="2744"/>
      <c r="Z1444" s="2744"/>
      <c r="AA1444" s="2744"/>
      <c r="AB1444" s="2744"/>
      <c r="AC1444" s="2744"/>
      <c r="AD1444" s="2744"/>
      <c r="AE1444" s="2745"/>
      <c r="AF1444" s="2744"/>
      <c r="AG1444" s="2744"/>
      <c r="AH1444" s="2744"/>
      <c r="AI1444" s="2744"/>
      <c r="AJ1444" s="2744"/>
      <c r="AK1444" s="2744"/>
      <c r="AL1444" s="2744"/>
      <c r="AM1444" s="2744"/>
      <c r="AN1444" s="2744"/>
      <c r="AO1444" s="2744"/>
      <c r="AP1444" s="2744"/>
      <c r="AQ1444" s="2744"/>
      <c r="AS1444" s="2744"/>
      <c r="AT1444" s="2744"/>
      <c r="AU1444" s="2744"/>
      <c r="AV1444" s="2744"/>
      <c r="AW1444" s="2744"/>
      <c r="AX1444" s="2744"/>
      <c r="AY1444" s="531"/>
      <c r="AZ1444" s="2744"/>
      <c r="BA1444" s="2744"/>
      <c r="BB1444" s="2744"/>
      <c r="BC1444" s="2744"/>
      <c r="BD1444" s="2744"/>
      <c r="BE1444" s="2744"/>
      <c r="BF1444" s="2744"/>
      <c r="BG1444" s="2744"/>
      <c r="BH1444" s="3553">
        <v>7111003056</v>
      </c>
      <c r="BI1444" s="3116" t="s">
        <v>15048</v>
      </c>
      <c r="BJ1444" s="3117">
        <v>290615</v>
      </c>
      <c r="BK1444" s="530"/>
      <c r="BO1444" s="2535"/>
      <c r="CA1444" s="2744"/>
      <c r="CD1444" s="101"/>
      <c r="CP1444" s="2448"/>
      <c r="CS1444" s="2744"/>
      <c r="CT1444" s="2062"/>
      <c r="CX1444" s="166"/>
      <c r="DB1444" s="2745"/>
      <c r="DC1444" s="2535"/>
      <c r="DG1444" s="2535"/>
      <c r="EC1444" s="101"/>
      <c r="EG1444" s="101"/>
      <c r="EI1444" s="2689" t="s">
        <v>11763</v>
      </c>
    </row>
    <row r="1445" spans="1:139" s="3593" customFormat="1" ht="29">
      <c r="A1445" s="2447"/>
      <c r="B1445" s="2744"/>
      <c r="C1445" s="2744"/>
      <c r="D1445" s="2744"/>
      <c r="E1445" s="2091"/>
      <c r="F1445" s="2091"/>
      <c r="G1445" s="2744"/>
      <c r="H1445" s="2744"/>
      <c r="I1445" s="2744"/>
      <c r="J1445" s="2744"/>
      <c r="K1445" s="2744"/>
      <c r="L1445" s="2744"/>
      <c r="M1445" s="2744"/>
      <c r="N1445" s="2744"/>
      <c r="O1445" s="2744"/>
      <c r="P1445" s="2744"/>
      <c r="Q1445" s="2744"/>
      <c r="R1445" s="2744"/>
      <c r="S1445" s="2744"/>
      <c r="T1445" s="2744"/>
      <c r="U1445" s="2744"/>
      <c r="V1445" s="2744"/>
      <c r="W1445" s="2744"/>
      <c r="X1445" s="2744"/>
      <c r="Y1445" s="2744"/>
      <c r="Z1445" s="2744"/>
      <c r="AA1445" s="2744"/>
      <c r="AB1445" s="2744"/>
      <c r="AC1445" s="2744"/>
      <c r="AD1445" s="2744"/>
      <c r="AE1445" s="2745"/>
      <c r="AF1445" s="2744"/>
      <c r="AG1445" s="2744"/>
      <c r="AH1445" s="2744"/>
      <c r="AI1445" s="2744"/>
      <c r="AJ1445" s="2744"/>
      <c r="AK1445" s="2744"/>
      <c r="AL1445" s="2744"/>
      <c r="AM1445" s="2744"/>
      <c r="AN1445" s="2744"/>
      <c r="AO1445" s="2744"/>
      <c r="AP1445" s="2744"/>
      <c r="AQ1445" s="2744"/>
      <c r="AS1445" s="2744"/>
      <c r="AT1445" s="2744"/>
      <c r="AU1445" s="2744"/>
      <c r="AV1445" s="2744"/>
      <c r="AW1445" s="2744"/>
      <c r="AX1445" s="2744"/>
      <c r="AY1445" s="531"/>
      <c r="AZ1445" s="2744"/>
      <c r="BA1445" s="2744"/>
      <c r="BB1445" s="2744"/>
      <c r="BC1445" s="2744"/>
      <c r="BD1445" s="2744"/>
      <c r="BE1445" s="2744"/>
      <c r="BF1445" s="2744"/>
      <c r="BG1445" s="2744"/>
      <c r="BH1445" s="3553">
        <v>6227000292</v>
      </c>
      <c r="BI1445" s="3116" t="s">
        <v>15049</v>
      </c>
      <c r="BJ1445" s="3117">
        <v>250668</v>
      </c>
      <c r="BK1445" s="530"/>
      <c r="BO1445" s="2535"/>
      <c r="CA1445" s="2744"/>
      <c r="CD1445" s="101"/>
      <c r="CP1445" s="2448"/>
      <c r="CS1445" s="2744"/>
      <c r="CT1445" s="2062"/>
      <c r="CX1445" s="166"/>
      <c r="DB1445" s="2745"/>
      <c r="DC1445" s="2535"/>
      <c r="DG1445" s="2535"/>
      <c r="EC1445" s="101"/>
      <c r="EG1445" s="101"/>
      <c r="EI1445" s="2689" t="s">
        <v>11764</v>
      </c>
    </row>
    <row r="1446" spans="1:139" s="3593" customFormat="1" ht="43.5">
      <c r="A1446" s="2447"/>
      <c r="B1446" s="2744"/>
      <c r="C1446" s="2744"/>
      <c r="D1446" s="2744"/>
      <c r="E1446" s="2091"/>
      <c r="F1446" s="2091"/>
      <c r="G1446" s="2744"/>
      <c r="H1446" s="2744"/>
      <c r="I1446" s="2744"/>
      <c r="J1446" s="2744"/>
      <c r="K1446" s="2744"/>
      <c r="L1446" s="2744"/>
      <c r="M1446" s="2744"/>
      <c r="N1446" s="2744"/>
      <c r="O1446" s="2744"/>
      <c r="P1446" s="2744"/>
      <c r="Q1446" s="2744"/>
      <c r="R1446" s="2744"/>
      <c r="S1446" s="2744"/>
      <c r="T1446" s="2744"/>
      <c r="U1446" s="2744"/>
      <c r="V1446" s="2744"/>
      <c r="W1446" s="2744"/>
      <c r="X1446" s="2744"/>
      <c r="Y1446" s="2744"/>
      <c r="Z1446" s="2744"/>
      <c r="AA1446" s="2744"/>
      <c r="AB1446" s="2744"/>
      <c r="AC1446" s="2744"/>
      <c r="AD1446" s="2744"/>
      <c r="AE1446" s="2745"/>
      <c r="AF1446" s="2744"/>
      <c r="AG1446" s="2744"/>
      <c r="AH1446" s="2744"/>
      <c r="AI1446" s="2744"/>
      <c r="AJ1446" s="2744"/>
      <c r="AK1446" s="2744"/>
      <c r="AL1446" s="2744"/>
      <c r="AM1446" s="2744"/>
      <c r="AN1446" s="2744"/>
      <c r="AO1446" s="2744"/>
      <c r="AP1446" s="2744"/>
      <c r="AQ1446" s="2744"/>
      <c r="AS1446" s="2744"/>
      <c r="AT1446" s="2744"/>
      <c r="AU1446" s="2744"/>
      <c r="AV1446" s="2744"/>
      <c r="AW1446" s="2744"/>
      <c r="AX1446" s="2744"/>
      <c r="AY1446" s="531"/>
      <c r="AZ1446" s="2744"/>
      <c r="BA1446" s="2744"/>
      <c r="BB1446" s="2744"/>
      <c r="BC1446" s="2744"/>
      <c r="BD1446" s="2744"/>
      <c r="BE1446" s="2744"/>
      <c r="BF1446" s="2744"/>
      <c r="BG1446" s="2744"/>
      <c r="BH1446" s="3553">
        <v>4026000669</v>
      </c>
      <c r="BI1446" s="3116" t="s">
        <v>15050</v>
      </c>
      <c r="BJ1446" s="3117">
        <v>723164</v>
      </c>
      <c r="BK1446" s="530"/>
      <c r="BO1446" s="2535"/>
      <c r="CA1446" s="2744"/>
      <c r="CD1446" s="101"/>
      <c r="CP1446" s="2448"/>
      <c r="CS1446" s="2744"/>
      <c r="CT1446" s="2062"/>
      <c r="CX1446" s="166"/>
      <c r="DB1446" s="2745"/>
      <c r="DC1446" s="2535"/>
      <c r="DG1446" s="2535"/>
      <c r="EC1446" s="101"/>
      <c r="EG1446" s="101"/>
      <c r="EI1446" s="2689" t="s">
        <v>11765</v>
      </c>
    </row>
    <row r="1447" spans="1:139" s="3593" customFormat="1">
      <c r="A1447" s="2447"/>
      <c r="B1447" s="2744"/>
      <c r="C1447" s="2744"/>
      <c r="D1447" s="2744"/>
      <c r="E1447" s="2091"/>
      <c r="F1447" s="2091"/>
      <c r="G1447" s="2744"/>
      <c r="H1447" s="2744"/>
      <c r="I1447" s="2744"/>
      <c r="J1447" s="2744"/>
      <c r="K1447" s="2744"/>
      <c r="L1447" s="2744"/>
      <c r="M1447" s="2744"/>
      <c r="N1447" s="2744"/>
      <c r="O1447" s="2744"/>
      <c r="P1447" s="2744"/>
      <c r="Q1447" s="2744"/>
      <c r="R1447" s="2744"/>
      <c r="S1447" s="2744"/>
      <c r="T1447" s="2744"/>
      <c r="U1447" s="2744"/>
      <c r="V1447" s="2744"/>
      <c r="W1447" s="2744"/>
      <c r="X1447" s="2744"/>
      <c r="Y1447" s="2744"/>
      <c r="Z1447" s="2744"/>
      <c r="AA1447" s="2744"/>
      <c r="AB1447" s="2744"/>
      <c r="AC1447" s="2744"/>
      <c r="AD1447" s="2744"/>
      <c r="AE1447" s="2745"/>
      <c r="AF1447" s="2744"/>
      <c r="AG1447" s="2744"/>
      <c r="AH1447" s="2744"/>
      <c r="AI1447" s="2744"/>
      <c r="AJ1447" s="2744"/>
      <c r="AK1447" s="2744"/>
      <c r="AL1447" s="2744"/>
      <c r="AM1447" s="2744"/>
      <c r="AN1447" s="2744"/>
      <c r="AO1447" s="2744"/>
      <c r="AP1447" s="2744"/>
      <c r="AQ1447" s="2744"/>
      <c r="AS1447" s="2744"/>
      <c r="AT1447" s="2744"/>
      <c r="AU1447" s="2744"/>
      <c r="AV1447" s="2744"/>
      <c r="AW1447" s="2744"/>
      <c r="AX1447" s="2744"/>
      <c r="AY1447" s="531"/>
      <c r="AZ1447" s="2744"/>
      <c r="BA1447" s="2744"/>
      <c r="BB1447" s="2744"/>
      <c r="BC1447" s="2744"/>
      <c r="BD1447" s="2744"/>
      <c r="BE1447" s="2744"/>
      <c r="BF1447" s="2744"/>
      <c r="BG1447" s="2744"/>
      <c r="BH1447" s="3553">
        <v>6829057176</v>
      </c>
      <c r="BI1447" s="3116" t="s">
        <v>15051</v>
      </c>
      <c r="BJ1447" s="3117">
        <v>734282</v>
      </c>
      <c r="BK1447" s="530"/>
      <c r="BO1447" s="2535"/>
      <c r="CA1447" s="2744"/>
      <c r="CD1447" s="101"/>
      <c r="CP1447" s="2448"/>
      <c r="CS1447" s="2744"/>
      <c r="CT1447" s="2062"/>
      <c r="CX1447" s="166"/>
      <c r="DB1447" s="2745"/>
      <c r="DC1447" s="2535"/>
      <c r="DG1447" s="2535"/>
      <c r="EC1447" s="101"/>
      <c r="EG1447" s="101"/>
      <c r="EI1447" s="2689" t="s">
        <v>11766</v>
      </c>
    </row>
    <row r="1448" spans="1:139" s="3593" customFormat="1" ht="29">
      <c r="A1448" s="2447"/>
      <c r="B1448" s="2744"/>
      <c r="C1448" s="2744"/>
      <c r="D1448" s="2744"/>
      <c r="E1448" s="2091"/>
      <c r="F1448" s="2091"/>
      <c r="G1448" s="2744"/>
      <c r="H1448" s="2744"/>
      <c r="I1448" s="2744"/>
      <c r="J1448" s="2744"/>
      <c r="K1448" s="2744"/>
      <c r="L1448" s="2744"/>
      <c r="M1448" s="2744"/>
      <c r="N1448" s="2744"/>
      <c r="O1448" s="2744"/>
      <c r="P1448" s="2744"/>
      <c r="Q1448" s="2744"/>
      <c r="R1448" s="2744"/>
      <c r="S1448" s="2744"/>
      <c r="T1448" s="2744"/>
      <c r="U1448" s="2744"/>
      <c r="V1448" s="2744"/>
      <c r="W1448" s="2744"/>
      <c r="X1448" s="2744"/>
      <c r="Y1448" s="2744"/>
      <c r="Z1448" s="2744"/>
      <c r="AA1448" s="2744"/>
      <c r="AB1448" s="2744"/>
      <c r="AC1448" s="2744"/>
      <c r="AD1448" s="2744"/>
      <c r="AE1448" s="2745"/>
      <c r="AF1448" s="2744"/>
      <c r="AG1448" s="2744"/>
      <c r="AH1448" s="2744"/>
      <c r="AI1448" s="2744"/>
      <c r="AJ1448" s="2744"/>
      <c r="AK1448" s="2744"/>
      <c r="AL1448" s="2744"/>
      <c r="AM1448" s="2744"/>
      <c r="AN1448" s="2744"/>
      <c r="AO1448" s="2744"/>
      <c r="AP1448" s="2744"/>
      <c r="AQ1448" s="2744"/>
      <c r="AS1448" s="2744"/>
      <c r="AT1448" s="2744"/>
      <c r="AU1448" s="2744"/>
      <c r="AV1448" s="2744"/>
      <c r="AW1448" s="2744"/>
      <c r="AX1448" s="2744"/>
      <c r="AY1448" s="531"/>
      <c r="AZ1448" s="2744"/>
      <c r="BA1448" s="2744"/>
      <c r="BB1448" s="2744"/>
      <c r="BC1448" s="2744"/>
      <c r="BD1448" s="2744"/>
      <c r="BE1448" s="2744"/>
      <c r="BF1448" s="2744"/>
      <c r="BG1448" s="2744"/>
      <c r="BH1448" s="3553">
        <v>6215030609</v>
      </c>
      <c r="BI1448" s="3116" t="s">
        <v>15052</v>
      </c>
      <c r="BJ1448" s="3117">
        <v>734284</v>
      </c>
      <c r="BK1448" s="530"/>
      <c r="BO1448" s="2535"/>
      <c r="CA1448" s="2744"/>
      <c r="CD1448" s="101"/>
      <c r="CP1448" s="2448"/>
      <c r="CS1448" s="2744"/>
      <c r="CT1448" s="2062"/>
      <c r="CX1448" s="166"/>
      <c r="DB1448" s="2745"/>
      <c r="DC1448" s="2535"/>
      <c r="DG1448" s="2535"/>
      <c r="EC1448" s="101"/>
      <c r="EG1448" s="101"/>
      <c r="EI1448" s="2689" t="s">
        <v>11767</v>
      </c>
    </row>
    <row r="1449" spans="1:139" s="3593" customFormat="1" ht="72.5">
      <c r="A1449" s="2447"/>
      <c r="B1449" s="2744"/>
      <c r="C1449" s="2744"/>
      <c r="D1449" s="2744"/>
      <c r="E1449" s="2091"/>
      <c r="F1449" s="2091"/>
      <c r="G1449" s="2744"/>
      <c r="H1449" s="2744"/>
      <c r="I1449" s="2744"/>
      <c r="J1449" s="2744"/>
      <c r="K1449" s="2744"/>
      <c r="L1449" s="2744"/>
      <c r="M1449" s="2744"/>
      <c r="N1449" s="2744"/>
      <c r="O1449" s="2744"/>
      <c r="P1449" s="2744"/>
      <c r="Q1449" s="2744"/>
      <c r="R1449" s="2744"/>
      <c r="S1449" s="2744"/>
      <c r="T1449" s="2744"/>
      <c r="U1449" s="2744"/>
      <c r="V1449" s="2744"/>
      <c r="W1449" s="2744"/>
      <c r="X1449" s="2744"/>
      <c r="Y1449" s="2744"/>
      <c r="Z1449" s="2744"/>
      <c r="AA1449" s="2744"/>
      <c r="AB1449" s="2744"/>
      <c r="AC1449" s="2744"/>
      <c r="AD1449" s="2744"/>
      <c r="AE1449" s="2745"/>
      <c r="AF1449" s="2744"/>
      <c r="AG1449" s="2744"/>
      <c r="AH1449" s="2744"/>
      <c r="AI1449" s="2744"/>
      <c r="AJ1449" s="2744"/>
      <c r="AK1449" s="2744"/>
      <c r="AL1449" s="2744"/>
      <c r="AM1449" s="2744"/>
      <c r="AN1449" s="2744"/>
      <c r="AO1449" s="2744"/>
      <c r="AP1449" s="2744"/>
      <c r="AQ1449" s="2744"/>
      <c r="AS1449" s="2744"/>
      <c r="AT1449" s="2744"/>
      <c r="AU1449" s="2744"/>
      <c r="AV1449" s="2744"/>
      <c r="AW1449" s="2744"/>
      <c r="AX1449" s="2744"/>
      <c r="AY1449" s="531"/>
      <c r="AZ1449" s="2744"/>
      <c r="BA1449" s="2744"/>
      <c r="BB1449" s="2744"/>
      <c r="BC1449" s="2744"/>
      <c r="BD1449" s="2744"/>
      <c r="BE1449" s="2744"/>
      <c r="BF1449" s="2744"/>
      <c r="BG1449" s="2744"/>
      <c r="BH1449" s="3553">
        <v>6829091716</v>
      </c>
      <c r="BI1449" s="3116" t="s">
        <v>15053</v>
      </c>
      <c r="BJ1449" s="3117">
        <v>734286</v>
      </c>
      <c r="BK1449" s="530"/>
      <c r="BO1449" s="2535"/>
      <c r="CA1449" s="2744"/>
      <c r="CD1449" s="101"/>
      <c r="CP1449" s="2448"/>
      <c r="CS1449" s="2744"/>
      <c r="CT1449" s="2062"/>
      <c r="CX1449" s="166"/>
      <c r="DB1449" s="2745"/>
      <c r="DC1449" s="2535"/>
      <c r="DG1449" s="2535"/>
      <c r="EC1449" s="101"/>
      <c r="EG1449" s="101"/>
      <c r="EI1449" s="2689" t="s">
        <v>11768</v>
      </c>
    </row>
    <row r="1450" spans="1:139" s="3593" customFormat="1" ht="43.5">
      <c r="A1450" s="2447"/>
      <c r="B1450" s="2744"/>
      <c r="C1450" s="2744"/>
      <c r="D1450" s="2744"/>
      <c r="E1450" s="2091"/>
      <c r="F1450" s="2091"/>
      <c r="G1450" s="2744"/>
      <c r="H1450" s="2744"/>
      <c r="I1450" s="2744"/>
      <c r="J1450" s="2744"/>
      <c r="K1450" s="2744"/>
      <c r="L1450" s="2744"/>
      <c r="M1450" s="2744"/>
      <c r="N1450" s="2744"/>
      <c r="O1450" s="2744"/>
      <c r="P1450" s="2744"/>
      <c r="Q1450" s="2744"/>
      <c r="R1450" s="2744"/>
      <c r="S1450" s="2744"/>
      <c r="T1450" s="2744"/>
      <c r="U1450" s="2744"/>
      <c r="V1450" s="2744"/>
      <c r="W1450" s="2744"/>
      <c r="X1450" s="2744"/>
      <c r="Y1450" s="2744"/>
      <c r="Z1450" s="2744"/>
      <c r="AA1450" s="2744"/>
      <c r="AB1450" s="2744"/>
      <c r="AC1450" s="2744"/>
      <c r="AD1450" s="2744"/>
      <c r="AE1450" s="2745"/>
      <c r="AF1450" s="2744"/>
      <c r="AG1450" s="2744"/>
      <c r="AH1450" s="2744"/>
      <c r="AI1450" s="2744"/>
      <c r="AJ1450" s="2744"/>
      <c r="AK1450" s="2744"/>
      <c r="AL1450" s="2744"/>
      <c r="AM1450" s="2744"/>
      <c r="AN1450" s="2744"/>
      <c r="AO1450" s="2744"/>
      <c r="AP1450" s="2744"/>
      <c r="AQ1450" s="2744"/>
      <c r="AS1450" s="2744"/>
      <c r="AT1450" s="2744"/>
      <c r="AU1450" s="2744"/>
      <c r="AV1450" s="2744"/>
      <c r="AW1450" s="2744"/>
      <c r="AX1450" s="2744"/>
      <c r="AY1450" s="531"/>
      <c r="AZ1450" s="2744"/>
      <c r="BA1450" s="2744"/>
      <c r="BB1450" s="2744"/>
      <c r="BC1450" s="2744"/>
      <c r="BD1450" s="2744"/>
      <c r="BE1450" s="2744"/>
      <c r="BF1450" s="2744"/>
      <c r="BG1450" s="2744"/>
      <c r="BH1450" s="3553">
        <v>6732118629</v>
      </c>
      <c r="BI1450" s="3116" t="s">
        <v>15054</v>
      </c>
      <c r="BJ1450" s="3117">
        <v>734289</v>
      </c>
      <c r="BK1450" s="530"/>
      <c r="BO1450" s="2535"/>
      <c r="CA1450" s="2744"/>
      <c r="CD1450" s="101"/>
      <c r="CP1450" s="2448"/>
      <c r="CS1450" s="2744"/>
      <c r="CT1450" s="2062"/>
      <c r="CX1450" s="166"/>
      <c r="DB1450" s="2745"/>
      <c r="DC1450" s="2535"/>
      <c r="DG1450" s="2535"/>
      <c r="EC1450" s="101"/>
      <c r="EG1450" s="101"/>
      <c r="EI1450" s="2689" t="s">
        <v>11769</v>
      </c>
    </row>
    <row r="1451" spans="1:139" s="3593" customFormat="1" ht="58">
      <c r="A1451" s="2447"/>
      <c r="B1451" s="2744"/>
      <c r="C1451" s="2744"/>
      <c r="D1451" s="2744"/>
      <c r="E1451" s="2091"/>
      <c r="F1451" s="2091"/>
      <c r="G1451" s="2744"/>
      <c r="H1451" s="2744"/>
      <c r="I1451" s="2744"/>
      <c r="J1451" s="2744"/>
      <c r="K1451" s="2744"/>
      <c r="L1451" s="2744"/>
      <c r="M1451" s="2744"/>
      <c r="N1451" s="2744"/>
      <c r="O1451" s="2744"/>
      <c r="P1451" s="2744"/>
      <c r="Q1451" s="2744"/>
      <c r="R1451" s="2744"/>
      <c r="S1451" s="2744"/>
      <c r="T1451" s="2744"/>
      <c r="U1451" s="2744"/>
      <c r="V1451" s="2744"/>
      <c r="W1451" s="2744"/>
      <c r="X1451" s="2744"/>
      <c r="Y1451" s="2744"/>
      <c r="Z1451" s="2744"/>
      <c r="AA1451" s="2744"/>
      <c r="AB1451" s="2744"/>
      <c r="AC1451" s="2744"/>
      <c r="AD1451" s="2744"/>
      <c r="AE1451" s="2745"/>
      <c r="AF1451" s="2744"/>
      <c r="AG1451" s="2744"/>
      <c r="AH1451" s="2744"/>
      <c r="AI1451" s="2744"/>
      <c r="AJ1451" s="2744"/>
      <c r="AK1451" s="2744"/>
      <c r="AL1451" s="2744"/>
      <c r="AM1451" s="2744"/>
      <c r="AN1451" s="2744"/>
      <c r="AO1451" s="2744"/>
      <c r="AP1451" s="2744"/>
      <c r="AQ1451" s="2744"/>
      <c r="AS1451" s="2744"/>
      <c r="AT1451" s="2744"/>
      <c r="AU1451" s="2744"/>
      <c r="AV1451" s="2744"/>
      <c r="AW1451" s="2744"/>
      <c r="AX1451" s="2744"/>
      <c r="AY1451" s="531"/>
      <c r="AZ1451" s="2744"/>
      <c r="BA1451" s="2744"/>
      <c r="BB1451" s="2744"/>
      <c r="BC1451" s="2744"/>
      <c r="BD1451" s="2744"/>
      <c r="BE1451" s="2744"/>
      <c r="BF1451" s="2744"/>
      <c r="BG1451" s="2744"/>
      <c r="BH1451" s="3553">
        <v>4821002037</v>
      </c>
      <c r="BI1451" s="3116" t="s">
        <v>15055</v>
      </c>
      <c r="BJ1451" s="3117">
        <v>706279</v>
      </c>
      <c r="BK1451" s="530"/>
      <c r="BO1451" s="2535"/>
      <c r="CA1451" s="2744"/>
      <c r="CD1451" s="101"/>
      <c r="CP1451" s="2448"/>
      <c r="CS1451" s="2744"/>
      <c r="CT1451" s="2062"/>
      <c r="CX1451" s="166"/>
      <c r="DB1451" s="2745"/>
      <c r="DC1451" s="2535"/>
      <c r="DG1451" s="2535"/>
      <c r="EC1451" s="101"/>
      <c r="EG1451" s="101"/>
      <c r="EI1451" s="2689" t="s">
        <v>11770</v>
      </c>
    </row>
    <row r="1452" spans="1:139" s="3593" customFormat="1">
      <c r="A1452" s="2447"/>
      <c r="B1452" s="2744"/>
      <c r="C1452" s="2744"/>
      <c r="D1452" s="2744"/>
      <c r="E1452" s="2091"/>
      <c r="F1452" s="2091"/>
      <c r="G1452" s="2744"/>
      <c r="H1452" s="2744"/>
      <c r="I1452" s="2744"/>
      <c r="J1452" s="2744"/>
      <c r="K1452" s="2744"/>
      <c r="L1452" s="2744"/>
      <c r="M1452" s="2744"/>
      <c r="N1452" s="2744"/>
      <c r="O1452" s="2744"/>
      <c r="P1452" s="2744"/>
      <c r="Q1452" s="2744"/>
      <c r="R1452" s="2744"/>
      <c r="S1452" s="2744"/>
      <c r="T1452" s="2744"/>
      <c r="U1452" s="2744"/>
      <c r="V1452" s="2744"/>
      <c r="W1452" s="2744"/>
      <c r="X1452" s="2744"/>
      <c r="Y1452" s="2744"/>
      <c r="Z1452" s="2744"/>
      <c r="AA1452" s="2744"/>
      <c r="AB1452" s="2744"/>
      <c r="AC1452" s="2744"/>
      <c r="AD1452" s="2744"/>
      <c r="AE1452" s="2745"/>
      <c r="AF1452" s="2744"/>
      <c r="AG1452" s="2744"/>
      <c r="AH1452" s="2744"/>
      <c r="AI1452" s="2744"/>
      <c r="AJ1452" s="2744"/>
      <c r="AK1452" s="2744"/>
      <c r="AL1452" s="2744"/>
      <c r="AM1452" s="2744"/>
      <c r="AN1452" s="2744"/>
      <c r="AO1452" s="2744"/>
      <c r="AP1452" s="2744"/>
      <c r="AQ1452" s="2744"/>
      <c r="AS1452" s="2744"/>
      <c r="AT1452" s="2744"/>
      <c r="AU1452" s="2744"/>
      <c r="AV1452" s="2744"/>
      <c r="AW1452" s="2744"/>
      <c r="AX1452" s="2744"/>
      <c r="AY1452" s="531"/>
      <c r="AZ1452" s="2744"/>
      <c r="BA1452" s="2744"/>
      <c r="BB1452" s="2744"/>
      <c r="BC1452" s="2744"/>
      <c r="BD1452" s="2744"/>
      <c r="BE1452" s="2744"/>
      <c r="BF1452" s="2744"/>
      <c r="BG1452" s="2744"/>
      <c r="BH1452" s="3553">
        <v>4825036020</v>
      </c>
      <c r="BI1452" s="3116" t="s">
        <v>15056</v>
      </c>
      <c r="BJ1452" s="3117">
        <v>734290</v>
      </c>
      <c r="BK1452" s="530"/>
      <c r="BO1452" s="2535"/>
      <c r="CA1452" s="2744"/>
      <c r="CD1452" s="101"/>
      <c r="CP1452" s="2448"/>
      <c r="CS1452" s="2744"/>
      <c r="CT1452" s="2062"/>
      <c r="CX1452" s="166"/>
      <c r="DB1452" s="2745"/>
      <c r="DC1452" s="2535"/>
      <c r="DG1452" s="2535"/>
      <c r="EC1452" s="101"/>
      <c r="EG1452" s="101"/>
      <c r="EI1452" s="2689" t="s">
        <v>11771</v>
      </c>
    </row>
    <row r="1453" spans="1:139" s="3593" customFormat="1" ht="43.5">
      <c r="A1453" s="2447"/>
      <c r="B1453" s="2744"/>
      <c r="C1453" s="2744"/>
      <c r="D1453" s="2744"/>
      <c r="E1453" s="2091"/>
      <c r="F1453" s="2091"/>
      <c r="G1453" s="2744"/>
      <c r="H1453" s="2744"/>
      <c r="I1453" s="2744"/>
      <c r="J1453" s="2744"/>
      <c r="K1453" s="2744"/>
      <c r="L1453" s="2744"/>
      <c r="M1453" s="2744"/>
      <c r="N1453" s="2744"/>
      <c r="O1453" s="2744"/>
      <c r="P1453" s="2744"/>
      <c r="Q1453" s="2744"/>
      <c r="R1453" s="2744"/>
      <c r="S1453" s="2744"/>
      <c r="T1453" s="2744"/>
      <c r="U1453" s="2744"/>
      <c r="V1453" s="2744"/>
      <c r="W1453" s="2744"/>
      <c r="X1453" s="2744"/>
      <c r="Y1453" s="2744"/>
      <c r="Z1453" s="2744"/>
      <c r="AA1453" s="2744"/>
      <c r="AB1453" s="2744"/>
      <c r="AC1453" s="2744"/>
      <c r="AD1453" s="2744"/>
      <c r="AE1453" s="2745"/>
      <c r="AF1453" s="2744"/>
      <c r="AG1453" s="2744"/>
      <c r="AH1453" s="2744"/>
      <c r="AI1453" s="2744"/>
      <c r="AJ1453" s="2744"/>
      <c r="AK1453" s="2744"/>
      <c r="AL1453" s="2744"/>
      <c r="AM1453" s="2744"/>
      <c r="AN1453" s="2744"/>
      <c r="AO1453" s="2744"/>
      <c r="AP1453" s="2744"/>
      <c r="AQ1453" s="2744"/>
      <c r="AS1453" s="2744"/>
      <c r="AT1453" s="2744"/>
      <c r="AU1453" s="2744"/>
      <c r="AV1453" s="2744"/>
      <c r="AW1453" s="2744"/>
      <c r="AX1453" s="2744"/>
      <c r="AY1453" s="531"/>
      <c r="AZ1453" s="2744"/>
      <c r="BA1453" s="2744"/>
      <c r="BB1453" s="2744"/>
      <c r="BC1453" s="2744"/>
      <c r="BD1453" s="2744"/>
      <c r="BE1453" s="2744"/>
      <c r="BF1453" s="2744"/>
      <c r="BG1453" s="2744"/>
      <c r="BH1453" s="3553">
        <v>6731000014</v>
      </c>
      <c r="BI1453" s="3116" t="s">
        <v>15057</v>
      </c>
      <c r="BJ1453" s="3117">
        <v>502685</v>
      </c>
      <c r="BK1453" s="530"/>
      <c r="BO1453" s="2535"/>
      <c r="CA1453" s="2744"/>
      <c r="CD1453" s="101"/>
      <c r="CP1453" s="2448"/>
      <c r="CS1453" s="2744"/>
      <c r="CT1453" s="2062"/>
      <c r="CX1453" s="166"/>
      <c r="DB1453" s="2745"/>
      <c r="DC1453" s="2535"/>
      <c r="DG1453" s="2535"/>
      <c r="EC1453" s="101"/>
      <c r="EG1453" s="101"/>
      <c r="EI1453" s="2689" t="s">
        <v>11772</v>
      </c>
    </row>
    <row r="1454" spans="1:139" s="3593" customFormat="1" ht="58">
      <c r="A1454" s="2447"/>
      <c r="B1454" s="2744"/>
      <c r="C1454" s="2744"/>
      <c r="D1454" s="2744"/>
      <c r="E1454" s="2091"/>
      <c r="F1454" s="2091"/>
      <c r="G1454" s="2744"/>
      <c r="H1454" s="2744"/>
      <c r="I1454" s="2744"/>
      <c r="J1454" s="2744"/>
      <c r="K1454" s="2744"/>
      <c r="L1454" s="2744"/>
      <c r="M1454" s="2744"/>
      <c r="N1454" s="2744"/>
      <c r="O1454" s="2744"/>
      <c r="P1454" s="2744"/>
      <c r="Q1454" s="2744"/>
      <c r="R1454" s="2744"/>
      <c r="S1454" s="2744"/>
      <c r="T1454" s="2744"/>
      <c r="U1454" s="2744"/>
      <c r="V1454" s="2744"/>
      <c r="W1454" s="2744"/>
      <c r="X1454" s="2744"/>
      <c r="Y1454" s="2744"/>
      <c r="Z1454" s="2744"/>
      <c r="AA1454" s="2744"/>
      <c r="AB1454" s="2744"/>
      <c r="AC1454" s="2744"/>
      <c r="AD1454" s="2744"/>
      <c r="AE1454" s="2745"/>
      <c r="AF1454" s="2744"/>
      <c r="AG1454" s="2744"/>
      <c r="AH1454" s="2744"/>
      <c r="AI1454" s="2744"/>
      <c r="AJ1454" s="2744"/>
      <c r="AK1454" s="2744"/>
      <c r="AL1454" s="2744"/>
      <c r="AM1454" s="2744"/>
      <c r="AN1454" s="2744"/>
      <c r="AO1454" s="2744"/>
      <c r="AP1454" s="2744"/>
      <c r="AQ1454" s="2744"/>
      <c r="AS1454" s="2744"/>
      <c r="AT1454" s="2744"/>
      <c r="AU1454" s="2744"/>
      <c r="AV1454" s="2744"/>
      <c r="AW1454" s="2744"/>
      <c r="AX1454" s="2744"/>
      <c r="AY1454" s="531"/>
      <c r="AZ1454" s="2744"/>
      <c r="BA1454" s="2744"/>
      <c r="BB1454" s="2744"/>
      <c r="BC1454" s="2744"/>
      <c r="BD1454" s="2744"/>
      <c r="BE1454" s="2744"/>
      <c r="BF1454" s="2744"/>
      <c r="BG1454" s="2744"/>
      <c r="BH1454" s="3553">
        <v>5702012944</v>
      </c>
      <c r="BI1454" s="3116" t="s">
        <v>15058</v>
      </c>
      <c r="BJ1454" s="3117">
        <v>729544</v>
      </c>
      <c r="BK1454" s="530"/>
      <c r="BO1454" s="2535"/>
      <c r="CA1454" s="2744"/>
      <c r="CD1454" s="101"/>
      <c r="CP1454" s="2448"/>
      <c r="CS1454" s="2744"/>
      <c r="CT1454" s="2062"/>
      <c r="CX1454" s="166"/>
      <c r="DB1454" s="2745"/>
      <c r="DC1454" s="2535"/>
      <c r="DG1454" s="2535"/>
      <c r="EC1454" s="101"/>
      <c r="EG1454" s="101"/>
      <c r="EI1454" s="2689" t="s">
        <v>11773</v>
      </c>
    </row>
    <row r="1455" spans="1:139" s="3593" customFormat="1" ht="58">
      <c r="A1455" s="2447"/>
      <c r="B1455" s="2744"/>
      <c r="C1455" s="2744"/>
      <c r="D1455" s="2744"/>
      <c r="E1455" s="2091"/>
      <c r="F1455" s="2091"/>
      <c r="G1455" s="2744"/>
      <c r="H1455" s="2744"/>
      <c r="I1455" s="2744"/>
      <c r="J1455" s="2744"/>
      <c r="K1455" s="2744"/>
      <c r="L1455" s="2744"/>
      <c r="M1455" s="2744"/>
      <c r="N1455" s="2744"/>
      <c r="O1455" s="2744"/>
      <c r="P1455" s="2744"/>
      <c r="Q1455" s="2744"/>
      <c r="R1455" s="2744"/>
      <c r="S1455" s="2744"/>
      <c r="T1455" s="2744"/>
      <c r="U1455" s="2744"/>
      <c r="V1455" s="2744"/>
      <c r="W1455" s="2744"/>
      <c r="X1455" s="2744"/>
      <c r="Y1455" s="2744"/>
      <c r="Z1455" s="2744"/>
      <c r="AA1455" s="2744"/>
      <c r="AB1455" s="2744"/>
      <c r="AC1455" s="2744"/>
      <c r="AD1455" s="2744"/>
      <c r="AE1455" s="2745"/>
      <c r="AF1455" s="2744"/>
      <c r="AG1455" s="2744"/>
      <c r="AH1455" s="2744"/>
      <c r="AI1455" s="2744"/>
      <c r="AJ1455" s="2744"/>
      <c r="AK1455" s="2744"/>
      <c r="AL1455" s="2744"/>
      <c r="AM1455" s="2744"/>
      <c r="AN1455" s="2744"/>
      <c r="AO1455" s="2744"/>
      <c r="AP1455" s="2744"/>
      <c r="AQ1455" s="2744"/>
      <c r="AS1455" s="2744"/>
      <c r="AT1455" s="2744"/>
      <c r="AU1455" s="2744"/>
      <c r="AV1455" s="2744"/>
      <c r="AW1455" s="2744"/>
      <c r="AX1455" s="2744"/>
      <c r="AY1455" s="531"/>
      <c r="AZ1455" s="2744"/>
      <c r="BA1455" s="2744"/>
      <c r="BB1455" s="2744"/>
      <c r="BC1455" s="2744"/>
      <c r="BD1455" s="2744"/>
      <c r="BE1455" s="2744"/>
      <c r="BF1455" s="2744"/>
      <c r="BG1455" s="2744"/>
      <c r="BH1455" s="3553">
        <v>6730020716</v>
      </c>
      <c r="BI1455" s="3116" t="s">
        <v>15059</v>
      </c>
      <c r="BJ1455" s="3117">
        <v>519282</v>
      </c>
      <c r="BK1455" s="530"/>
      <c r="BO1455" s="2535"/>
      <c r="CA1455" s="2744"/>
      <c r="CD1455" s="101"/>
      <c r="CP1455" s="2448"/>
      <c r="CS1455" s="2744"/>
      <c r="CT1455" s="2062"/>
      <c r="CX1455" s="166"/>
      <c r="DB1455" s="2745"/>
      <c r="DC1455" s="2535"/>
      <c r="DG1455" s="2535"/>
      <c r="EC1455" s="101"/>
      <c r="EG1455" s="101"/>
      <c r="EI1455" s="2689" t="s">
        <v>11774</v>
      </c>
    </row>
    <row r="1456" spans="1:139" s="3593" customFormat="1" ht="58">
      <c r="A1456" s="2447"/>
      <c r="B1456" s="2744"/>
      <c r="C1456" s="2744"/>
      <c r="D1456" s="2744"/>
      <c r="E1456" s="2091"/>
      <c r="F1456" s="2091"/>
      <c r="G1456" s="2744"/>
      <c r="H1456" s="2744"/>
      <c r="I1456" s="2744"/>
      <c r="J1456" s="2744"/>
      <c r="K1456" s="2744"/>
      <c r="L1456" s="2744"/>
      <c r="M1456" s="2744"/>
      <c r="N1456" s="2744"/>
      <c r="O1456" s="2744"/>
      <c r="P1456" s="2744"/>
      <c r="Q1456" s="2744"/>
      <c r="R1456" s="2744"/>
      <c r="S1456" s="2744"/>
      <c r="T1456" s="2744"/>
      <c r="U1456" s="2744"/>
      <c r="V1456" s="2744"/>
      <c r="W1456" s="2744"/>
      <c r="X1456" s="2744"/>
      <c r="Y1456" s="2744"/>
      <c r="Z1456" s="2744"/>
      <c r="AA1456" s="2744"/>
      <c r="AB1456" s="2744"/>
      <c r="AC1456" s="2744"/>
      <c r="AD1456" s="2744"/>
      <c r="AE1456" s="2745"/>
      <c r="AF1456" s="2744"/>
      <c r="AG1456" s="2744"/>
      <c r="AH1456" s="2744"/>
      <c r="AI1456" s="2744"/>
      <c r="AJ1456" s="2744"/>
      <c r="AK1456" s="2744"/>
      <c r="AL1456" s="2744"/>
      <c r="AM1456" s="2744"/>
      <c r="AN1456" s="2744"/>
      <c r="AO1456" s="2744"/>
      <c r="AP1456" s="2744"/>
      <c r="AQ1456" s="2744"/>
      <c r="AS1456" s="2744"/>
      <c r="AT1456" s="2744"/>
      <c r="AU1456" s="2744"/>
      <c r="AV1456" s="2744"/>
      <c r="AW1456" s="2744"/>
      <c r="AX1456" s="2744"/>
      <c r="AY1456" s="531"/>
      <c r="AZ1456" s="2744"/>
      <c r="BA1456" s="2744"/>
      <c r="BB1456" s="2744"/>
      <c r="BC1456" s="2744"/>
      <c r="BD1456" s="2744"/>
      <c r="BE1456" s="2744"/>
      <c r="BF1456" s="2744"/>
      <c r="BG1456" s="2744"/>
      <c r="BH1456" s="3553">
        <v>6829013588</v>
      </c>
      <c r="BI1456" s="3116" t="s">
        <v>15060</v>
      </c>
      <c r="BJ1456" s="3117">
        <v>717848</v>
      </c>
      <c r="BK1456" s="530"/>
      <c r="BO1456" s="2535"/>
      <c r="CA1456" s="2744"/>
      <c r="CD1456" s="101"/>
      <c r="CP1456" s="2448"/>
      <c r="CS1456" s="2744"/>
      <c r="CT1456" s="2062"/>
      <c r="CX1456" s="166"/>
      <c r="DB1456" s="2745"/>
      <c r="DC1456" s="2535"/>
      <c r="DG1456" s="2535"/>
      <c r="EC1456" s="101"/>
      <c r="EG1456" s="101"/>
      <c r="EI1456" s="2689" t="s">
        <v>11775</v>
      </c>
    </row>
    <row r="1457" spans="1:139" s="3593" customFormat="1" ht="58">
      <c r="A1457" s="2447"/>
      <c r="B1457" s="2744"/>
      <c r="C1457" s="2744"/>
      <c r="D1457" s="2744"/>
      <c r="E1457" s="2091"/>
      <c r="F1457" s="2091"/>
      <c r="G1457" s="2744"/>
      <c r="H1457" s="2744"/>
      <c r="I1457" s="2744"/>
      <c r="J1457" s="2744"/>
      <c r="K1457" s="2744"/>
      <c r="L1457" s="2744"/>
      <c r="M1457" s="2744"/>
      <c r="N1457" s="2744"/>
      <c r="O1457" s="2744"/>
      <c r="P1457" s="2744"/>
      <c r="Q1457" s="2744"/>
      <c r="R1457" s="2744"/>
      <c r="S1457" s="2744"/>
      <c r="T1457" s="2744"/>
      <c r="U1457" s="2744"/>
      <c r="V1457" s="2744"/>
      <c r="W1457" s="2744"/>
      <c r="X1457" s="2744"/>
      <c r="Y1457" s="2744"/>
      <c r="Z1457" s="2744"/>
      <c r="AA1457" s="2744"/>
      <c r="AB1457" s="2744"/>
      <c r="AC1457" s="2744"/>
      <c r="AD1457" s="2744"/>
      <c r="AE1457" s="2745"/>
      <c r="AF1457" s="2744"/>
      <c r="AG1457" s="2744"/>
      <c r="AH1457" s="2744"/>
      <c r="AI1457" s="2744"/>
      <c r="AJ1457" s="2744"/>
      <c r="AK1457" s="2744"/>
      <c r="AL1457" s="2744"/>
      <c r="AM1457" s="2744"/>
      <c r="AN1457" s="2744"/>
      <c r="AO1457" s="2744"/>
      <c r="AP1457" s="2744"/>
      <c r="AQ1457" s="2744"/>
      <c r="AS1457" s="2744"/>
      <c r="AT1457" s="2744"/>
      <c r="AU1457" s="2744"/>
      <c r="AV1457" s="2744"/>
      <c r="AW1457" s="2744"/>
      <c r="AX1457" s="2744"/>
      <c r="AY1457" s="531"/>
      <c r="AZ1457" s="2744"/>
      <c r="BA1457" s="2744"/>
      <c r="BB1457" s="2744"/>
      <c r="BC1457" s="2744"/>
      <c r="BD1457" s="2744"/>
      <c r="BE1457" s="2744"/>
      <c r="BF1457" s="2744"/>
      <c r="BG1457" s="2744"/>
      <c r="BH1457" s="3553">
        <v>6731009296</v>
      </c>
      <c r="BI1457" s="3116" t="s">
        <v>15061</v>
      </c>
      <c r="BJ1457" s="3117">
        <v>466616</v>
      </c>
      <c r="BK1457" s="530"/>
      <c r="BO1457" s="2535"/>
      <c r="CA1457" s="2744"/>
      <c r="CD1457" s="101"/>
      <c r="CP1457" s="2448"/>
      <c r="CS1457" s="2744"/>
      <c r="CT1457" s="2062"/>
      <c r="CX1457" s="166"/>
      <c r="DB1457" s="2745"/>
      <c r="DC1457" s="2535"/>
      <c r="DG1457" s="2535"/>
      <c r="EC1457" s="101"/>
      <c r="EG1457" s="101"/>
      <c r="EI1457" s="2689" t="s">
        <v>11776</v>
      </c>
    </row>
    <row r="1458" spans="1:139" s="3593" customFormat="1" ht="87">
      <c r="A1458" s="2447"/>
      <c r="B1458" s="2744"/>
      <c r="C1458" s="2744"/>
      <c r="D1458" s="2744"/>
      <c r="E1458" s="2091"/>
      <c r="F1458" s="2091"/>
      <c r="G1458" s="2744"/>
      <c r="H1458" s="2744"/>
      <c r="I1458" s="2744"/>
      <c r="J1458" s="2744"/>
      <c r="K1458" s="2744"/>
      <c r="L1458" s="2744"/>
      <c r="M1458" s="2744"/>
      <c r="N1458" s="2744"/>
      <c r="O1458" s="2744"/>
      <c r="P1458" s="2744"/>
      <c r="Q1458" s="2744"/>
      <c r="R1458" s="2744"/>
      <c r="S1458" s="2744"/>
      <c r="T1458" s="2744"/>
      <c r="U1458" s="2744"/>
      <c r="V1458" s="2744"/>
      <c r="W1458" s="2744"/>
      <c r="X1458" s="2744"/>
      <c r="Y1458" s="2744"/>
      <c r="Z1458" s="2744"/>
      <c r="AA1458" s="2744"/>
      <c r="AB1458" s="2744"/>
      <c r="AC1458" s="2744"/>
      <c r="AD1458" s="2744"/>
      <c r="AE1458" s="2745"/>
      <c r="AF1458" s="2744"/>
      <c r="AG1458" s="2744"/>
      <c r="AH1458" s="2744"/>
      <c r="AI1458" s="2744"/>
      <c r="AJ1458" s="2744"/>
      <c r="AK1458" s="2744"/>
      <c r="AL1458" s="2744"/>
      <c r="AM1458" s="2744"/>
      <c r="AN1458" s="2744"/>
      <c r="AO1458" s="2744"/>
      <c r="AP1458" s="2744"/>
      <c r="AQ1458" s="2744"/>
      <c r="AS1458" s="2744"/>
      <c r="AT1458" s="2744"/>
      <c r="AU1458" s="2744"/>
      <c r="AV1458" s="2744"/>
      <c r="AW1458" s="2744"/>
      <c r="AX1458" s="2744"/>
      <c r="AY1458" s="531"/>
      <c r="AZ1458" s="2744"/>
      <c r="BA1458" s="2744"/>
      <c r="BB1458" s="2744"/>
      <c r="BC1458" s="2744"/>
      <c r="BD1458" s="2744"/>
      <c r="BE1458" s="2744"/>
      <c r="BF1458" s="2744"/>
      <c r="BG1458" s="2744"/>
      <c r="BH1458" s="3553">
        <v>6731000342</v>
      </c>
      <c r="BI1458" s="3116" t="s">
        <v>15062</v>
      </c>
      <c r="BJ1458" s="3117">
        <v>378535</v>
      </c>
      <c r="BK1458" s="530"/>
      <c r="BO1458" s="2535"/>
      <c r="CA1458" s="2744"/>
      <c r="CD1458" s="101"/>
      <c r="CP1458" s="2448"/>
      <c r="CS1458" s="2744"/>
      <c r="CT1458" s="2062"/>
      <c r="CX1458" s="166"/>
      <c r="DB1458" s="2745"/>
      <c r="DC1458" s="2535"/>
      <c r="DG1458" s="2535"/>
      <c r="EC1458" s="101"/>
      <c r="EG1458" s="101"/>
      <c r="EI1458" s="2689" t="s">
        <v>11777</v>
      </c>
    </row>
    <row r="1459" spans="1:139" s="3593" customFormat="1" ht="43.5">
      <c r="A1459" s="2447"/>
      <c r="B1459" s="2744"/>
      <c r="C1459" s="2744"/>
      <c r="D1459" s="2744"/>
      <c r="E1459" s="2091"/>
      <c r="F1459" s="2091"/>
      <c r="G1459" s="2744"/>
      <c r="H1459" s="2744"/>
      <c r="I1459" s="2744"/>
      <c r="J1459" s="2744"/>
      <c r="K1459" s="2744"/>
      <c r="L1459" s="2744"/>
      <c r="M1459" s="2744"/>
      <c r="N1459" s="2744"/>
      <c r="O1459" s="2744"/>
      <c r="P1459" s="2744"/>
      <c r="Q1459" s="2744"/>
      <c r="R1459" s="2744"/>
      <c r="S1459" s="2744"/>
      <c r="T1459" s="2744"/>
      <c r="U1459" s="2744"/>
      <c r="V1459" s="2744"/>
      <c r="W1459" s="2744"/>
      <c r="X1459" s="2744"/>
      <c r="Y1459" s="2744"/>
      <c r="Z1459" s="2744"/>
      <c r="AA1459" s="2744"/>
      <c r="AB1459" s="2744"/>
      <c r="AC1459" s="2744"/>
      <c r="AD1459" s="2744"/>
      <c r="AE1459" s="2745"/>
      <c r="AF1459" s="2744"/>
      <c r="AG1459" s="2744"/>
      <c r="AH1459" s="2744"/>
      <c r="AI1459" s="2744"/>
      <c r="AJ1459" s="2744"/>
      <c r="AK1459" s="2744"/>
      <c r="AL1459" s="2744"/>
      <c r="AM1459" s="2744"/>
      <c r="AN1459" s="2744"/>
      <c r="AO1459" s="2744"/>
      <c r="AP1459" s="2744"/>
      <c r="AQ1459" s="2744"/>
      <c r="AS1459" s="2744"/>
      <c r="AT1459" s="2744"/>
      <c r="AU1459" s="2744"/>
      <c r="AV1459" s="2744"/>
      <c r="AW1459" s="2744"/>
      <c r="AX1459" s="2744"/>
      <c r="AY1459" s="531"/>
      <c r="AZ1459" s="2744"/>
      <c r="BA1459" s="2744"/>
      <c r="BB1459" s="2744"/>
      <c r="BC1459" s="2744"/>
      <c r="BD1459" s="2744"/>
      <c r="BE1459" s="2744"/>
      <c r="BF1459" s="2744"/>
      <c r="BG1459" s="2744"/>
      <c r="BH1459" s="3553">
        <v>3664099440</v>
      </c>
      <c r="BI1459" s="3116" t="s">
        <v>15063</v>
      </c>
      <c r="BJ1459" s="3117">
        <v>123602</v>
      </c>
      <c r="BK1459" s="530"/>
      <c r="BO1459" s="2535"/>
      <c r="CA1459" s="2744"/>
      <c r="CD1459" s="101"/>
      <c r="CP1459" s="2448"/>
      <c r="CS1459" s="2744"/>
      <c r="CT1459" s="2062"/>
      <c r="CX1459" s="166"/>
      <c r="DB1459" s="2745"/>
      <c r="DC1459" s="2535"/>
      <c r="DG1459" s="2535"/>
      <c r="EC1459" s="101"/>
      <c r="EG1459" s="101"/>
      <c r="EI1459" s="2689" t="s">
        <v>11778</v>
      </c>
    </row>
    <row r="1460" spans="1:139" s="3593" customFormat="1" ht="29">
      <c r="A1460" s="2447"/>
      <c r="B1460" s="2744"/>
      <c r="C1460" s="2744"/>
      <c r="D1460" s="2744"/>
      <c r="E1460" s="2091"/>
      <c r="F1460" s="2091"/>
      <c r="G1460" s="2744"/>
      <c r="H1460" s="2744"/>
      <c r="I1460" s="2744"/>
      <c r="J1460" s="2744"/>
      <c r="K1460" s="2744"/>
      <c r="L1460" s="2744"/>
      <c r="M1460" s="2744"/>
      <c r="N1460" s="2744"/>
      <c r="O1460" s="2744"/>
      <c r="P1460" s="2744"/>
      <c r="Q1460" s="2744"/>
      <c r="R1460" s="2744"/>
      <c r="S1460" s="2744"/>
      <c r="T1460" s="2744"/>
      <c r="U1460" s="2744"/>
      <c r="V1460" s="2744"/>
      <c r="W1460" s="2744"/>
      <c r="X1460" s="2744"/>
      <c r="Y1460" s="2744"/>
      <c r="Z1460" s="2744"/>
      <c r="AA1460" s="2744"/>
      <c r="AB1460" s="2744"/>
      <c r="AC1460" s="2744"/>
      <c r="AD1460" s="2744"/>
      <c r="AE1460" s="2745"/>
      <c r="AF1460" s="2744"/>
      <c r="AG1460" s="2744"/>
      <c r="AH1460" s="2744"/>
      <c r="AI1460" s="2744"/>
      <c r="AJ1460" s="2744"/>
      <c r="AK1460" s="2744"/>
      <c r="AL1460" s="2744"/>
      <c r="AM1460" s="2744"/>
      <c r="AN1460" s="2744"/>
      <c r="AO1460" s="2744"/>
      <c r="AP1460" s="2744"/>
      <c r="AQ1460" s="2744"/>
      <c r="AS1460" s="2744"/>
      <c r="AT1460" s="2744"/>
      <c r="AU1460" s="2744"/>
      <c r="AV1460" s="2744"/>
      <c r="AW1460" s="2744"/>
      <c r="AX1460" s="2744"/>
      <c r="AY1460" s="531"/>
      <c r="AZ1460" s="2744"/>
      <c r="BA1460" s="2744"/>
      <c r="BB1460" s="2744"/>
      <c r="BC1460" s="2744"/>
      <c r="BD1460" s="2744"/>
      <c r="BE1460" s="2744"/>
      <c r="BF1460" s="2744"/>
      <c r="BG1460" s="2744"/>
      <c r="BH1460" s="3553">
        <v>3666181570</v>
      </c>
      <c r="BI1460" s="3116" t="s">
        <v>15064</v>
      </c>
      <c r="BJ1460" s="3117">
        <v>734291</v>
      </c>
      <c r="BK1460" s="530"/>
      <c r="BO1460" s="2535"/>
      <c r="CA1460" s="2744"/>
      <c r="CD1460" s="101"/>
      <c r="CP1460" s="2448"/>
      <c r="CS1460" s="2744"/>
      <c r="CT1460" s="2062"/>
      <c r="CX1460" s="166"/>
      <c r="DB1460" s="2745"/>
      <c r="DC1460" s="2535"/>
      <c r="DG1460" s="2535"/>
      <c r="EC1460" s="101"/>
      <c r="EG1460" s="101"/>
      <c r="EI1460" s="2689" t="s">
        <v>11779</v>
      </c>
    </row>
    <row r="1461" spans="1:139" s="3593" customFormat="1" ht="58">
      <c r="A1461" s="2447"/>
      <c r="B1461" s="2744"/>
      <c r="C1461" s="2744"/>
      <c r="D1461" s="2744"/>
      <c r="E1461" s="2091"/>
      <c r="F1461" s="2091"/>
      <c r="G1461" s="2744"/>
      <c r="H1461" s="2744"/>
      <c r="I1461" s="2744"/>
      <c r="J1461" s="2744"/>
      <c r="K1461" s="2744"/>
      <c r="L1461" s="2744"/>
      <c r="M1461" s="2744"/>
      <c r="N1461" s="2744"/>
      <c r="O1461" s="2744"/>
      <c r="P1461" s="2744"/>
      <c r="Q1461" s="2744"/>
      <c r="R1461" s="2744"/>
      <c r="S1461" s="2744"/>
      <c r="T1461" s="2744"/>
      <c r="U1461" s="2744"/>
      <c r="V1461" s="2744"/>
      <c r="W1461" s="2744"/>
      <c r="X1461" s="2744"/>
      <c r="Y1461" s="2744"/>
      <c r="Z1461" s="2744"/>
      <c r="AA1461" s="2744"/>
      <c r="AB1461" s="2744"/>
      <c r="AC1461" s="2744"/>
      <c r="AD1461" s="2744"/>
      <c r="AE1461" s="2745"/>
      <c r="AF1461" s="2744"/>
      <c r="AG1461" s="2744"/>
      <c r="AH1461" s="2744"/>
      <c r="AI1461" s="2744"/>
      <c r="AJ1461" s="2744"/>
      <c r="AK1461" s="2744"/>
      <c r="AL1461" s="2744"/>
      <c r="AM1461" s="2744"/>
      <c r="AN1461" s="2744"/>
      <c r="AO1461" s="2744"/>
      <c r="AP1461" s="2744"/>
      <c r="AQ1461" s="2744"/>
      <c r="AS1461" s="2744"/>
      <c r="AT1461" s="2744"/>
      <c r="AU1461" s="2744"/>
      <c r="AV1461" s="2744"/>
      <c r="AW1461" s="2744"/>
      <c r="AX1461" s="2744"/>
      <c r="AY1461" s="531"/>
      <c r="AZ1461" s="2744"/>
      <c r="BA1461" s="2744"/>
      <c r="BB1461" s="2744"/>
      <c r="BC1461" s="2744"/>
      <c r="BD1461" s="2744"/>
      <c r="BE1461" s="2744"/>
      <c r="BF1461" s="2744"/>
      <c r="BG1461" s="2744"/>
      <c r="BH1461" s="3553">
        <v>6730012070</v>
      </c>
      <c r="BI1461" s="3116" t="s">
        <v>15065</v>
      </c>
      <c r="BJ1461" s="3117">
        <v>438123</v>
      </c>
      <c r="BK1461" s="530"/>
      <c r="BO1461" s="2535"/>
      <c r="CA1461" s="2744"/>
      <c r="CD1461" s="101"/>
      <c r="CP1461" s="2448"/>
      <c r="CS1461" s="2744"/>
      <c r="CT1461" s="2062"/>
      <c r="CX1461" s="166"/>
      <c r="DB1461" s="2745"/>
      <c r="DC1461" s="2535"/>
      <c r="DG1461" s="2535"/>
      <c r="EC1461" s="101"/>
      <c r="EG1461" s="101"/>
      <c r="EI1461" s="2689" t="s">
        <v>11780</v>
      </c>
    </row>
    <row r="1462" spans="1:139" s="3593" customFormat="1" ht="43.5">
      <c r="A1462" s="2447"/>
      <c r="B1462" s="2744"/>
      <c r="C1462" s="2744"/>
      <c r="D1462" s="2744"/>
      <c r="E1462" s="2091"/>
      <c r="F1462" s="2091"/>
      <c r="G1462" s="2744"/>
      <c r="H1462" s="2744"/>
      <c r="I1462" s="2744"/>
      <c r="J1462" s="2744"/>
      <c r="K1462" s="2744"/>
      <c r="L1462" s="2744"/>
      <c r="M1462" s="2744"/>
      <c r="N1462" s="2744"/>
      <c r="O1462" s="2744"/>
      <c r="P1462" s="2744"/>
      <c r="Q1462" s="2744"/>
      <c r="R1462" s="2744"/>
      <c r="S1462" s="2744"/>
      <c r="T1462" s="2744"/>
      <c r="U1462" s="2744"/>
      <c r="V1462" s="2744"/>
      <c r="W1462" s="2744"/>
      <c r="X1462" s="2744"/>
      <c r="Y1462" s="2744"/>
      <c r="Z1462" s="2744"/>
      <c r="AA1462" s="2744"/>
      <c r="AB1462" s="2744"/>
      <c r="AC1462" s="2744"/>
      <c r="AD1462" s="2744"/>
      <c r="AE1462" s="2745"/>
      <c r="AF1462" s="2744"/>
      <c r="AG1462" s="2744"/>
      <c r="AH1462" s="2744"/>
      <c r="AI1462" s="2744"/>
      <c r="AJ1462" s="2744"/>
      <c r="AK1462" s="2744"/>
      <c r="AL1462" s="2744"/>
      <c r="AM1462" s="2744"/>
      <c r="AN1462" s="2744"/>
      <c r="AO1462" s="2744"/>
      <c r="AP1462" s="2744"/>
      <c r="AQ1462" s="2744"/>
      <c r="AS1462" s="2744"/>
      <c r="AT1462" s="2744"/>
      <c r="AU1462" s="2744"/>
      <c r="AV1462" s="2744"/>
      <c r="AW1462" s="2744"/>
      <c r="AX1462" s="2744"/>
      <c r="AY1462" s="531"/>
      <c r="AZ1462" s="2744"/>
      <c r="BA1462" s="2744"/>
      <c r="BB1462" s="2744"/>
      <c r="BC1462" s="2744"/>
      <c r="BD1462" s="2744"/>
      <c r="BE1462" s="2744"/>
      <c r="BF1462" s="2744"/>
      <c r="BG1462" s="2744"/>
      <c r="BH1462" s="3553">
        <v>4821048183</v>
      </c>
      <c r="BI1462" s="3116" t="s">
        <v>15066</v>
      </c>
      <c r="BJ1462" s="3117">
        <v>734292</v>
      </c>
      <c r="BK1462" s="530"/>
      <c r="BO1462" s="2535"/>
      <c r="CA1462" s="2744"/>
      <c r="CD1462" s="101"/>
      <c r="CP1462" s="2448"/>
      <c r="CS1462" s="2744"/>
      <c r="CT1462" s="2062"/>
      <c r="CX1462" s="166"/>
      <c r="DB1462" s="2745"/>
      <c r="DC1462" s="2535"/>
      <c r="DG1462" s="2535"/>
      <c r="EC1462" s="101"/>
      <c r="EG1462" s="101"/>
      <c r="EI1462" s="2689" t="s">
        <v>11781</v>
      </c>
    </row>
    <row r="1463" spans="1:139" s="3593" customFormat="1" ht="43.5">
      <c r="A1463" s="2447"/>
      <c r="B1463" s="2744"/>
      <c r="C1463" s="2744"/>
      <c r="D1463" s="2744"/>
      <c r="E1463" s="2091"/>
      <c r="F1463" s="2091"/>
      <c r="G1463" s="2744"/>
      <c r="H1463" s="2744"/>
      <c r="I1463" s="2744"/>
      <c r="J1463" s="2744"/>
      <c r="K1463" s="2744"/>
      <c r="L1463" s="2744"/>
      <c r="M1463" s="2744"/>
      <c r="N1463" s="2744"/>
      <c r="O1463" s="2744"/>
      <c r="P1463" s="2744"/>
      <c r="Q1463" s="2744"/>
      <c r="R1463" s="2744"/>
      <c r="S1463" s="2744"/>
      <c r="T1463" s="2744"/>
      <c r="U1463" s="2744"/>
      <c r="V1463" s="2744"/>
      <c r="W1463" s="2744"/>
      <c r="X1463" s="2744"/>
      <c r="Y1463" s="2744"/>
      <c r="Z1463" s="2744"/>
      <c r="AA1463" s="2744"/>
      <c r="AB1463" s="2744"/>
      <c r="AC1463" s="2744"/>
      <c r="AD1463" s="2744"/>
      <c r="AE1463" s="2745"/>
      <c r="AF1463" s="2744"/>
      <c r="AG1463" s="2744"/>
      <c r="AH1463" s="2744"/>
      <c r="AI1463" s="2744"/>
      <c r="AJ1463" s="2744"/>
      <c r="AK1463" s="2744"/>
      <c r="AL1463" s="2744"/>
      <c r="AM1463" s="2744"/>
      <c r="AN1463" s="2744"/>
      <c r="AO1463" s="2744"/>
      <c r="AP1463" s="2744"/>
      <c r="AQ1463" s="2744"/>
      <c r="AS1463" s="2744"/>
      <c r="AT1463" s="2744"/>
      <c r="AU1463" s="2744"/>
      <c r="AV1463" s="2744"/>
      <c r="AW1463" s="2744"/>
      <c r="AX1463" s="2744"/>
      <c r="AY1463" s="531"/>
      <c r="AZ1463" s="2744"/>
      <c r="BA1463" s="2744"/>
      <c r="BB1463" s="2744"/>
      <c r="BC1463" s="2744"/>
      <c r="BD1463" s="2744"/>
      <c r="BE1463" s="2744"/>
      <c r="BF1463" s="2744"/>
      <c r="BG1463" s="2744"/>
      <c r="BH1463" s="3553">
        <v>3125008748</v>
      </c>
      <c r="BI1463" s="3116" t="s">
        <v>15067</v>
      </c>
      <c r="BJ1463" s="3117">
        <v>539870</v>
      </c>
      <c r="BK1463" s="530"/>
      <c r="BO1463" s="2535"/>
      <c r="CA1463" s="2744"/>
      <c r="CD1463" s="101"/>
      <c r="CP1463" s="2448"/>
      <c r="CS1463" s="2744"/>
      <c r="CT1463" s="2062"/>
      <c r="CX1463" s="166"/>
      <c r="DB1463" s="2745"/>
      <c r="DC1463" s="2535"/>
      <c r="DG1463" s="2535"/>
      <c r="EC1463" s="101"/>
      <c r="EG1463" s="101"/>
      <c r="EI1463" s="2689" t="s">
        <v>11782</v>
      </c>
    </row>
    <row r="1464" spans="1:139" s="3593" customFormat="1" ht="43.5">
      <c r="A1464" s="2447"/>
      <c r="B1464" s="2744"/>
      <c r="C1464" s="2744"/>
      <c r="D1464" s="2744"/>
      <c r="E1464" s="2091"/>
      <c r="F1464" s="2091"/>
      <c r="G1464" s="2744"/>
      <c r="H1464" s="2744"/>
      <c r="I1464" s="2744"/>
      <c r="J1464" s="2744"/>
      <c r="K1464" s="2744"/>
      <c r="L1464" s="2744"/>
      <c r="M1464" s="2744"/>
      <c r="N1464" s="2744"/>
      <c r="O1464" s="2744"/>
      <c r="P1464" s="2744"/>
      <c r="Q1464" s="2744"/>
      <c r="R1464" s="2744"/>
      <c r="S1464" s="2744"/>
      <c r="T1464" s="2744"/>
      <c r="U1464" s="2744"/>
      <c r="V1464" s="2744"/>
      <c r="W1464" s="2744"/>
      <c r="X1464" s="2744"/>
      <c r="Y1464" s="2744"/>
      <c r="Z1464" s="2744"/>
      <c r="AA1464" s="2744"/>
      <c r="AB1464" s="2744"/>
      <c r="AC1464" s="2744"/>
      <c r="AD1464" s="2744"/>
      <c r="AE1464" s="2745"/>
      <c r="AF1464" s="2744"/>
      <c r="AG1464" s="2744"/>
      <c r="AH1464" s="2744"/>
      <c r="AI1464" s="2744"/>
      <c r="AJ1464" s="2744"/>
      <c r="AK1464" s="2744"/>
      <c r="AL1464" s="2744"/>
      <c r="AM1464" s="2744"/>
      <c r="AN1464" s="2744"/>
      <c r="AO1464" s="2744"/>
      <c r="AP1464" s="2744"/>
      <c r="AQ1464" s="2744"/>
      <c r="AS1464" s="2744"/>
      <c r="AT1464" s="2744"/>
      <c r="AU1464" s="2744"/>
      <c r="AV1464" s="2744"/>
      <c r="AW1464" s="2744"/>
      <c r="AX1464" s="2744"/>
      <c r="AY1464" s="531"/>
      <c r="AZ1464" s="2744"/>
      <c r="BA1464" s="2744"/>
      <c r="BB1464" s="2744"/>
      <c r="BC1464" s="2744"/>
      <c r="BD1464" s="2744"/>
      <c r="BE1464" s="2744"/>
      <c r="BF1464" s="2744"/>
      <c r="BG1464" s="2744"/>
      <c r="BH1464" s="3553">
        <v>3123117607</v>
      </c>
      <c r="BI1464" s="3116" t="s">
        <v>15068</v>
      </c>
      <c r="BJ1464" s="3117">
        <v>242087</v>
      </c>
      <c r="BK1464" s="530"/>
      <c r="BO1464" s="2535"/>
      <c r="CA1464" s="2744"/>
      <c r="CD1464" s="101"/>
      <c r="CP1464" s="2448"/>
      <c r="CS1464" s="2744"/>
      <c r="CT1464" s="2062"/>
      <c r="CX1464" s="166"/>
      <c r="DB1464" s="2745"/>
      <c r="DC1464" s="2535"/>
      <c r="DG1464" s="2535"/>
      <c r="EC1464" s="101"/>
      <c r="EG1464" s="101"/>
      <c r="EI1464" s="2689" t="s">
        <v>11783</v>
      </c>
    </row>
    <row r="1465" spans="1:139" s="3593" customFormat="1" ht="58">
      <c r="A1465" s="2447"/>
      <c r="B1465" s="2744"/>
      <c r="C1465" s="2744"/>
      <c r="D1465" s="2744"/>
      <c r="E1465" s="2091"/>
      <c r="F1465" s="2091"/>
      <c r="G1465" s="2744"/>
      <c r="H1465" s="2744"/>
      <c r="I1465" s="2744"/>
      <c r="J1465" s="2744"/>
      <c r="K1465" s="2744"/>
      <c r="L1465" s="2744"/>
      <c r="M1465" s="2744"/>
      <c r="N1465" s="2744"/>
      <c r="O1465" s="2744"/>
      <c r="P1465" s="2744"/>
      <c r="Q1465" s="2744"/>
      <c r="R1465" s="2744"/>
      <c r="S1465" s="2744"/>
      <c r="T1465" s="2744"/>
      <c r="U1465" s="2744"/>
      <c r="V1465" s="2744"/>
      <c r="W1465" s="2744"/>
      <c r="X1465" s="2744"/>
      <c r="Y1465" s="2744"/>
      <c r="Z1465" s="2744"/>
      <c r="AA1465" s="2744"/>
      <c r="AB1465" s="2744"/>
      <c r="AC1465" s="2744"/>
      <c r="AD1465" s="2744"/>
      <c r="AE1465" s="2745"/>
      <c r="AF1465" s="2744"/>
      <c r="AG1465" s="2744"/>
      <c r="AH1465" s="2744"/>
      <c r="AI1465" s="2744"/>
      <c r="AJ1465" s="2744"/>
      <c r="AK1465" s="2744"/>
      <c r="AL1465" s="2744"/>
      <c r="AM1465" s="2744"/>
      <c r="AN1465" s="2744"/>
      <c r="AO1465" s="2744"/>
      <c r="AP1465" s="2744"/>
      <c r="AQ1465" s="2744"/>
      <c r="AS1465" s="2744"/>
      <c r="AT1465" s="2744"/>
      <c r="AU1465" s="2744"/>
      <c r="AV1465" s="2744"/>
      <c r="AW1465" s="2744"/>
      <c r="AX1465" s="2744"/>
      <c r="AY1465" s="531"/>
      <c r="AZ1465" s="2744"/>
      <c r="BA1465" s="2744"/>
      <c r="BB1465" s="2744"/>
      <c r="BC1465" s="2744"/>
      <c r="BD1465" s="2744"/>
      <c r="BE1465" s="2744"/>
      <c r="BF1465" s="2744"/>
      <c r="BG1465" s="2744"/>
      <c r="BH1465" s="3553">
        <v>5701000921</v>
      </c>
      <c r="BI1465" s="3116" t="s">
        <v>15069</v>
      </c>
      <c r="BJ1465" s="3117">
        <v>734294</v>
      </c>
      <c r="BK1465" s="530"/>
      <c r="BO1465" s="2535"/>
      <c r="CA1465" s="2744"/>
      <c r="CD1465" s="101"/>
      <c r="CP1465" s="2448"/>
      <c r="CS1465" s="2744"/>
      <c r="CT1465" s="2062"/>
      <c r="CX1465" s="166"/>
      <c r="DB1465" s="2745"/>
      <c r="DC1465" s="2535"/>
      <c r="DG1465" s="2535"/>
      <c r="EC1465" s="101"/>
      <c r="EG1465" s="101"/>
      <c r="EI1465" s="2689" t="s">
        <v>11784</v>
      </c>
    </row>
    <row r="1466" spans="1:139" s="3593" customFormat="1" ht="43.5">
      <c r="A1466" s="2447"/>
      <c r="B1466" s="2744"/>
      <c r="C1466" s="2744"/>
      <c r="D1466" s="2744"/>
      <c r="E1466" s="2091"/>
      <c r="F1466" s="2091"/>
      <c r="G1466" s="2744"/>
      <c r="H1466" s="2744"/>
      <c r="I1466" s="2744"/>
      <c r="J1466" s="2744"/>
      <c r="K1466" s="2744"/>
      <c r="L1466" s="2744"/>
      <c r="M1466" s="2744"/>
      <c r="N1466" s="2744"/>
      <c r="O1466" s="2744"/>
      <c r="P1466" s="2744"/>
      <c r="Q1466" s="2744"/>
      <c r="R1466" s="2744"/>
      <c r="S1466" s="2744"/>
      <c r="T1466" s="2744"/>
      <c r="U1466" s="2744"/>
      <c r="V1466" s="2744"/>
      <c r="W1466" s="2744"/>
      <c r="X1466" s="2744"/>
      <c r="Y1466" s="2744"/>
      <c r="Z1466" s="2744"/>
      <c r="AA1466" s="2744"/>
      <c r="AB1466" s="2744"/>
      <c r="AC1466" s="2744"/>
      <c r="AD1466" s="2744"/>
      <c r="AE1466" s="2745"/>
      <c r="AF1466" s="2744"/>
      <c r="AG1466" s="2744"/>
      <c r="AH1466" s="2744"/>
      <c r="AI1466" s="2744"/>
      <c r="AJ1466" s="2744"/>
      <c r="AK1466" s="2744"/>
      <c r="AL1466" s="2744"/>
      <c r="AM1466" s="2744"/>
      <c r="AN1466" s="2744"/>
      <c r="AO1466" s="2744"/>
      <c r="AP1466" s="2744"/>
      <c r="AQ1466" s="2744"/>
      <c r="AS1466" s="2744"/>
      <c r="AT1466" s="2744"/>
      <c r="AU1466" s="2744"/>
      <c r="AV1466" s="2744"/>
      <c r="AW1466" s="2744"/>
      <c r="AX1466" s="2744"/>
      <c r="AY1466" s="531"/>
      <c r="AZ1466" s="2744"/>
      <c r="BA1466" s="2744"/>
      <c r="BB1466" s="2744"/>
      <c r="BC1466" s="2744"/>
      <c r="BD1466" s="2744"/>
      <c r="BE1466" s="2744"/>
      <c r="BF1466" s="2744"/>
      <c r="BG1466" s="2744"/>
      <c r="BH1466" s="3553">
        <v>6833002042</v>
      </c>
      <c r="BI1466" s="3116" t="s">
        <v>15070</v>
      </c>
      <c r="BJ1466" s="3117">
        <v>404922</v>
      </c>
      <c r="BK1466" s="530"/>
      <c r="BO1466" s="2535"/>
      <c r="CA1466" s="2744"/>
      <c r="CD1466" s="101"/>
      <c r="CP1466" s="2448"/>
      <c r="CS1466" s="2744"/>
      <c r="CT1466" s="2062"/>
      <c r="CX1466" s="166"/>
      <c r="DB1466" s="2745"/>
      <c r="DC1466" s="2535"/>
      <c r="DG1466" s="2535"/>
      <c r="EC1466" s="101"/>
      <c r="EG1466" s="101"/>
      <c r="EI1466" s="2689" t="s">
        <v>11785</v>
      </c>
    </row>
    <row r="1467" spans="1:139" s="3593" customFormat="1" ht="29">
      <c r="A1467" s="2447"/>
      <c r="B1467" s="2744"/>
      <c r="C1467" s="2744"/>
      <c r="D1467" s="2744"/>
      <c r="E1467" s="2091"/>
      <c r="F1467" s="2091"/>
      <c r="G1467" s="2744"/>
      <c r="H1467" s="2744"/>
      <c r="I1467" s="2744"/>
      <c r="J1467" s="2744"/>
      <c r="K1467" s="2744"/>
      <c r="L1467" s="2744"/>
      <c r="M1467" s="2744"/>
      <c r="N1467" s="2744"/>
      <c r="O1467" s="2744"/>
      <c r="P1467" s="2744"/>
      <c r="Q1467" s="2744"/>
      <c r="R1467" s="2744"/>
      <c r="S1467" s="2744"/>
      <c r="T1467" s="2744"/>
      <c r="U1467" s="2744"/>
      <c r="V1467" s="2744"/>
      <c r="W1467" s="2744"/>
      <c r="X1467" s="2744"/>
      <c r="Y1467" s="2744"/>
      <c r="Z1467" s="2744"/>
      <c r="AA1467" s="2744"/>
      <c r="AB1467" s="2744"/>
      <c r="AC1467" s="2744"/>
      <c r="AD1467" s="2744"/>
      <c r="AE1467" s="2745"/>
      <c r="AF1467" s="2744"/>
      <c r="AG1467" s="2744"/>
      <c r="AH1467" s="2744"/>
      <c r="AI1467" s="2744"/>
      <c r="AJ1467" s="2744"/>
      <c r="AK1467" s="2744"/>
      <c r="AL1467" s="2744"/>
      <c r="AM1467" s="2744"/>
      <c r="AN1467" s="2744"/>
      <c r="AO1467" s="2744"/>
      <c r="AP1467" s="2744"/>
      <c r="AQ1467" s="2744"/>
      <c r="AS1467" s="2744"/>
      <c r="AT1467" s="2744"/>
      <c r="AU1467" s="2744"/>
      <c r="AV1467" s="2744"/>
      <c r="AW1467" s="2744"/>
      <c r="AX1467" s="2744"/>
      <c r="AY1467" s="531"/>
      <c r="AZ1467" s="2744"/>
      <c r="BA1467" s="2744"/>
      <c r="BB1467" s="2744"/>
      <c r="BC1467" s="2744"/>
      <c r="BD1467" s="2744"/>
      <c r="BE1467" s="2744"/>
      <c r="BF1467" s="2744"/>
      <c r="BG1467" s="2744"/>
      <c r="BH1467" s="3553">
        <v>7116129736</v>
      </c>
      <c r="BI1467" s="3116" t="s">
        <v>15071</v>
      </c>
      <c r="BJ1467" s="3117">
        <v>734295</v>
      </c>
      <c r="BK1467" s="530"/>
      <c r="BO1467" s="2535"/>
      <c r="CA1467" s="2744"/>
      <c r="CD1467" s="101"/>
      <c r="CP1467" s="2448"/>
      <c r="CS1467" s="2744"/>
      <c r="CT1467" s="2062"/>
      <c r="CX1467" s="166"/>
      <c r="DB1467" s="2745"/>
      <c r="DC1467" s="2535"/>
      <c r="DG1467" s="2535"/>
      <c r="EC1467" s="101"/>
      <c r="EG1467" s="101"/>
      <c r="EI1467" s="2689" t="s">
        <v>11786</v>
      </c>
    </row>
    <row r="1468" spans="1:139" s="3593" customFormat="1" ht="29">
      <c r="A1468" s="2447"/>
      <c r="B1468" s="2744"/>
      <c r="C1468" s="2744"/>
      <c r="D1468" s="2744"/>
      <c r="E1468" s="2091"/>
      <c r="F1468" s="2091"/>
      <c r="G1468" s="2744"/>
      <c r="H1468" s="2744"/>
      <c r="I1468" s="2744"/>
      <c r="J1468" s="2744"/>
      <c r="K1468" s="2744"/>
      <c r="L1468" s="2744"/>
      <c r="M1468" s="2744"/>
      <c r="N1468" s="2744"/>
      <c r="O1468" s="2744"/>
      <c r="P1468" s="2744"/>
      <c r="Q1468" s="2744"/>
      <c r="R1468" s="2744"/>
      <c r="S1468" s="2744"/>
      <c r="T1468" s="2744"/>
      <c r="U1468" s="2744"/>
      <c r="V1468" s="2744"/>
      <c r="W1468" s="2744"/>
      <c r="X1468" s="2744"/>
      <c r="Y1468" s="2744"/>
      <c r="Z1468" s="2744"/>
      <c r="AA1468" s="2744"/>
      <c r="AB1468" s="2744"/>
      <c r="AC1468" s="2744"/>
      <c r="AD1468" s="2744"/>
      <c r="AE1468" s="2745"/>
      <c r="AF1468" s="2744"/>
      <c r="AG1468" s="2744"/>
      <c r="AH1468" s="2744"/>
      <c r="AI1468" s="2744"/>
      <c r="AJ1468" s="2744"/>
      <c r="AK1468" s="2744"/>
      <c r="AL1468" s="2744"/>
      <c r="AM1468" s="2744"/>
      <c r="AN1468" s="2744"/>
      <c r="AO1468" s="2744"/>
      <c r="AP1468" s="2744"/>
      <c r="AQ1468" s="2744"/>
      <c r="AS1468" s="2744"/>
      <c r="AT1468" s="2744"/>
      <c r="AU1468" s="2744"/>
      <c r="AV1468" s="2744"/>
      <c r="AW1468" s="2744"/>
      <c r="AX1468" s="2744"/>
      <c r="AY1468" s="531"/>
      <c r="AZ1468" s="2744"/>
      <c r="BA1468" s="2744"/>
      <c r="BB1468" s="2744"/>
      <c r="BC1468" s="2744"/>
      <c r="BD1468" s="2744"/>
      <c r="BE1468" s="2744"/>
      <c r="BF1468" s="2744"/>
      <c r="BG1468" s="2744"/>
      <c r="BH1468" s="3553">
        <v>7707082071</v>
      </c>
      <c r="BI1468" s="3116" t="s">
        <v>15072</v>
      </c>
      <c r="BJ1468" s="3117">
        <v>134311</v>
      </c>
      <c r="BK1468" s="530"/>
      <c r="BO1468" s="2535"/>
      <c r="CA1468" s="2744"/>
      <c r="CD1468" s="101"/>
      <c r="CP1468" s="2448"/>
      <c r="CS1468" s="2744"/>
      <c r="CT1468" s="2062"/>
      <c r="CX1468" s="166"/>
      <c r="DB1468" s="2745"/>
      <c r="DC1468" s="2535"/>
      <c r="DG1468" s="2535"/>
      <c r="EC1468" s="101"/>
      <c r="EG1468" s="101"/>
      <c r="EI1468" s="2689" t="s">
        <v>11787</v>
      </c>
    </row>
    <row r="1469" spans="1:139" s="3593" customFormat="1" ht="101.5">
      <c r="A1469" s="2447"/>
      <c r="B1469" s="2744"/>
      <c r="C1469" s="2744"/>
      <c r="D1469" s="2744"/>
      <c r="E1469" s="2091"/>
      <c r="F1469" s="2091"/>
      <c r="G1469" s="2744"/>
      <c r="H1469" s="2744"/>
      <c r="I1469" s="2744"/>
      <c r="J1469" s="2744"/>
      <c r="K1469" s="2744"/>
      <c r="L1469" s="2744"/>
      <c r="M1469" s="2744"/>
      <c r="N1469" s="2744"/>
      <c r="O1469" s="2744"/>
      <c r="P1469" s="2744"/>
      <c r="Q1469" s="2744"/>
      <c r="R1469" s="2744"/>
      <c r="S1469" s="2744"/>
      <c r="T1469" s="2744"/>
      <c r="U1469" s="2744"/>
      <c r="V1469" s="2744"/>
      <c r="W1469" s="2744"/>
      <c r="X1469" s="2744"/>
      <c r="Y1469" s="2744"/>
      <c r="Z1469" s="2744"/>
      <c r="AA1469" s="2744"/>
      <c r="AB1469" s="2744"/>
      <c r="AC1469" s="2744"/>
      <c r="AD1469" s="2744"/>
      <c r="AE1469" s="2745"/>
      <c r="AF1469" s="2744"/>
      <c r="AG1469" s="2744"/>
      <c r="AH1469" s="2744"/>
      <c r="AI1469" s="2744"/>
      <c r="AJ1469" s="2744"/>
      <c r="AK1469" s="2744"/>
      <c r="AL1469" s="2744"/>
      <c r="AM1469" s="2744"/>
      <c r="AN1469" s="2744"/>
      <c r="AO1469" s="2744"/>
      <c r="AP1469" s="2744"/>
      <c r="AQ1469" s="2744"/>
      <c r="AS1469" s="2744"/>
      <c r="AT1469" s="2744"/>
      <c r="AU1469" s="2744"/>
      <c r="AV1469" s="2744"/>
      <c r="AW1469" s="2744"/>
      <c r="AX1469" s="2744"/>
      <c r="AY1469" s="531"/>
      <c r="AZ1469" s="2744"/>
      <c r="BA1469" s="2744"/>
      <c r="BB1469" s="2744"/>
      <c r="BC1469" s="2744"/>
      <c r="BD1469" s="2744"/>
      <c r="BE1469" s="2744"/>
      <c r="BF1469" s="2744"/>
      <c r="BG1469" s="2744"/>
      <c r="BH1469" s="3553">
        <v>7729314745</v>
      </c>
      <c r="BI1469" s="3116" t="s">
        <v>15073</v>
      </c>
      <c r="BJ1469" s="3117">
        <v>503367</v>
      </c>
      <c r="BK1469" s="530"/>
      <c r="BO1469" s="2535"/>
      <c r="CA1469" s="2744"/>
      <c r="CD1469" s="101"/>
      <c r="CP1469" s="2448"/>
      <c r="CS1469" s="2744"/>
      <c r="CT1469" s="2062"/>
      <c r="CX1469" s="166"/>
      <c r="DB1469" s="2745"/>
      <c r="DC1469" s="2535"/>
      <c r="DG1469" s="2535"/>
      <c r="EC1469" s="101"/>
      <c r="EG1469" s="101"/>
      <c r="EI1469" s="2689" t="s">
        <v>11788</v>
      </c>
    </row>
    <row r="1470" spans="1:139" s="3593" customFormat="1" ht="43.5">
      <c r="A1470" s="2447"/>
      <c r="B1470" s="2744"/>
      <c r="C1470" s="2744"/>
      <c r="D1470" s="2744"/>
      <c r="E1470" s="2091"/>
      <c r="F1470" s="2091"/>
      <c r="G1470" s="2744"/>
      <c r="H1470" s="2744"/>
      <c r="I1470" s="2744"/>
      <c r="J1470" s="2744"/>
      <c r="K1470" s="2744"/>
      <c r="L1470" s="2744"/>
      <c r="M1470" s="2744"/>
      <c r="N1470" s="2744"/>
      <c r="O1470" s="2744"/>
      <c r="P1470" s="2744"/>
      <c r="Q1470" s="2744"/>
      <c r="R1470" s="2744"/>
      <c r="S1470" s="2744"/>
      <c r="T1470" s="2744"/>
      <c r="U1470" s="2744"/>
      <c r="V1470" s="2744"/>
      <c r="W1470" s="2744"/>
      <c r="X1470" s="2744"/>
      <c r="Y1470" s="2744"/>
      <c r="Z1470" s="2744"/>
      <c r="AA1470" s="2744"/>
      <c r="AB1470" s="2744"/>
      <c r="AC1470" s="2744"/>
      <c r="AD1470" s="2744"/>
      <c r="AE1470" s="2745"/>
      <c r="AF1470" s="2744"/>
      <c r="AG1470" s="2744"/>
      <c r="AH1470" s="2744"/>
      <c r="AI1470" s="2744"/>
      <c r="AJ1470" s="2744"/>
      <c r="AK1470" s="2744"/>
      <c r="AL1470" s="2744"/>
      <c r="AM1470" s="2744"/>
      <c r="AN1470" s="2744"/>
      <c r="AO1470" s="2744"/>
      <c r="AP1470" s="2744"/>
      <c r="AQ1470" s="2744"/>
      <c r="AS1470" s="2744"/>
      <c r="AT1470" s="2744"/>
      <c r="AU1470" s="2744"/>
      <c r="AV1470" s="2744"/>
      <c r="AW1470" s="2744"/>
      <c r="AX1470" s="2744"/>
      <c r="AY1470" s="531"/>
      <c r="AZ1470" s="2744"/>
      <c r="BA1470" s="2744"/>
      <c r="BB1470" s="2744"/>
      <c r="BC1470" s="2744"/>
      <c r="BD1470" s="2744"/>
      <c r="BE1470" s="2744"/>
      <c r="BF1470" s="2744"/>
      <c r="BG1470" s="2744"/>
      <c r="BH1470" s="3553">
        <v>4629011325</v>
      </c>
      <c r="BI1470" s="3116" t="s">
        <v>15074</v>
      </c>
      <c r="BJ1470" s="3117">
        <v>386629</v>
      </c>
      <c r="BK1470" s="530"/>
      <c r="BO1470" s="2535"/>
      <c r="CA1470" s="2744"/>
      <c r="CD1470" s="101"/>
      <c r="CP1470" s="2448"/>
      <c r="CS1470" s="2744"/>
      <c r="CT1470" s="2062"/>
      <c r="CX1470" s="166"/>
      <c r="DB1470" s="2745"/>
      <c r="DC1470" s="2535"/>
      <c r="DG1470" s="2535"/>
      <c r="EC1470" s="101"/>
      <c r="EG1470" s="101"/>
      <c r="EI1470" s="2689" t="s">
        <v>11789</v>
      </c>
    </row>
    <row r="1471" spans="1:139" s="3593" customFormat="1" ht="29">
      <c r="A1471" s="2447"/>
      <c r="B1471" s="2744"/>
      <c r="C1471" s="2744"/>
      <c r="D1471" s="2744"/>
      <c r="E1471" s="2091"/>
      <c r="F1471" s="2091"/>
      <c r="G1471" s="2744"/>
      <c r="H1471" s="2744"/>
      <c r="I1471" s="2744"/>
      <c r="J1471" s="2744"/>
      <c r="K1471" s="2744"/>
      <c r="L1471" s="2744"/>
      <c r="M1471" s="2744"/>
      <c r="N1471" s="2744"/>
      <c r="O1471" s="2744"/>
      <c r="P1471" s="2744"/>
      <c r="Q1471" s="2744"/>
      <c r="R1471" s="2744"/>
      <c r="S1471" s="2744"/>
      <c r="T1471" s="2744"/>
      <c r="U1471" s="2744"/>
      <c r="V1471" s="2744"/>
      <c r="W1471" s="2744"/>
      <c r="X1471" s="2744"/>
      <c r="Y1471" s="2744"/>
      <c r="Z1471" s="2744"/>
      <c r="AA1471" s="2744"/>
      <c r="AB1471" s="2744"/>
      <c r="AC1471" s="2744"/>
      <c r="AD1471" s="2744"/>
      <c r="AE1471" s="2745"/>
      <c r="AF1471" s="2744"/>
      <c r="AG1471" s="2744"/>
      <c r="AH1471" s="2744"/>
      <c r="AI1471" s="2744"/>
      <c r="AJ1471" s="2744"/>
      <c r="AK1471" s="2744"/>
      <c r="AL1471" s="2744"/>
      <c r="AM1471" s="2744"/>
      <c r="AN1471" s="2744"/>
      <c r="AO1471" s="2744"/>
      <c r="AP1471" s="2744"/>
      <c r="AQ1471" s="2744"/>
      <c r="AS1471" s="2744"/>
      <c r="AT1471" s="2744"/>
      <c r="AU1471" s="2744"/>
      <c r="AV1471" s="2744"/>
      <c r="AW1471" s="2744"/>
      <c r="AX1471" s="2744"/>
      <c r="AY1471" s="531"/>
      <c r="AZ1471" s="2744"/>
      <c r="BA1471" s="2744"/>
      <c r="BB1471" s="2744"/>
      <c r="BC1471" s="2744"/>
      <c r="BD1471" s="2744"/>
      <c r="BE1471" s="2744"/>
      <c r="BF1471" s="2744"/>
      <c r="BG1471" s="2744"/>
      <c r="BH1471" s="3553">
        <v>4632027163</v>
      </c>
      <c r="BI1471" s="3116" t="s">
        <v>15075</v>
      </c>
      <c r="BJ1471" s="3117">
        <v>213506</v>
      </c>
      <c r="BK1471" s="530"/>
      <c r="BO1471" s="2535"/>
      <c r="CA1471" s="2744"/>
      <c r="CD1471" s="101"/>
      <c r="CP1471" s="2448"/>
      <c r="CS1471" s="2744"/>
      <c r="CT1471" s="2062"/>
      <c r="CX1471" s="166"/>
      <c r="DB1471" s="2745"/>
      <c r="DC1471" s="2535"/>
      <c r="DG1471" s="2535"/>
      <c r="EC1471" s="101"/>
      <c r="EG1471" s="101"/>
      <c r="EI1471" s="2689" t="s">
        <v>11790</v>
      </c>
    </row>
    <row r="1472" spans="1:139" s="3593" customFormat="1" ht="43.5">
      <c r="A1472" s="2447"/>
      <c r="B1472" s="2744"/>
      <c r="C1472" s="2744"/>
      <c r="D1472" s="2744"/>
      <c r="E1472" s="2091"/>
      <c r="F1472" s="2091"/>
      <c r="G1472" s="2744"/>
      <c r="H1472" s="2744"/>
      <c r="I1472" s="2744"/>
      <c r="J1472" s="2744"/>
      <c r="K1472" s="2744"/>
      <c r="L1472" s="2744"/>
      <c r="M1472" s="2744"/>
      <c r="N1472" s="2744"/>
      <c r="O1472" s="2744"/>
      <c r="P1472" s="2744"/>
      <c r="Q1472" s="2744"/>
      <c r="R1472" s="2744"/>
      <c r="S1472" s="2744"/>
      <c r="T1472" s="2744"/>
      <c r="U1472" s="2744"/>
      <c r="V1472" s="2744"/>
      <c r="W1472" s="2744"/>
      <c r="X1472" s="2744"/>
      <c r="Y1472" s="2744"/>
      <c r="Z1472" s="2744"/>
      <c r="AA1472" s="2744"/>
      <c r="AB1472" s="2744"/>
      <c r="AC1472" s="2744"/>
      <c r="AD1472" s="2744"/>
      <c r="AE1472" s="2745"/>
      <c r="AF1472" s="2744"/>
      <c r="AG1472" s="2744"/>
      <c r="AH1472" s="2744"/>
      <c r="AI1472" s="2744"/>
      <c r="AJ1472" s="2744"/>
      <c r="AK1472" s="2744"/>
      <c r="AL1472" s="2744"/>
      <c r="AM1472" s="2744"/>
      <c r="AN1472" s="2744"/>
      <c r="AO1472" s="2744"/>
      <c r="AP1472" s="2744"/>
      <c r="AQ1472" s="2744"/>
      <c r="AS1472" s="2744"/>
      <c r="AT1472" s="2744"/>
      <c r="AU1472" s="2744"/>
      <c r="AV1472" s="2744"/>
      <c r="AW1472" s="2744"/>
      <c r="AX1472" s="2744"/>
      <c r="AY1472" s="531"/>
      <c r="AZ1472" s="2744"/>
      <c r="BA1472" s="2744"/>
      <c r="BB1472" s="2744"/>
      <c r="BC1472" s="2744"/>
      <c r="BD1472" s="2744"/>
      <c r="BE1472" s="2744"/>
      <c r="BF1472" s="2744"/>
      <c r="BG1472" s="2744"/>
      <c r="BH1472" s="3553">
        <v>4826001982</v>
      </c>
      <c r="BI1472" s="3116" t="s">
        <v>15076</v>
      </c>
      <c r="BJ1472" s="3117">
        <v>717835</v>
      </c>
      <c r="BK1472" s="530"/>
      <c r="BO1472" s="2535"/>
      <c r="CA1472" s="2744"/>
      <c r="CD1472" s="101"/>
      <c r="CP1472" s="2448"/>
      <c r="CS1472" s="2744"/>
      <c r="CT1472" s="2062"/>
      <c r="CX1472" s="166"/>
      <c r="DB1472" s="2745"/>
      <c r="DC1472" s="2535"/>
      <c r="DG1472" s="2535"/>
      <c r="EC1472" s="101"/>
      <c r="EG1472" s="101"/>
      <c r="EI1472" s="2689" t="s">
        <v>11791</v>
      </c>
    </row>
    <row r="1473" spans="1:139" s="3593" customFormat="1" ht="43.5">
      <c r="A1473" s="2447"/>
      <c r="B1473" s="2744"/>
      <c r="C1473" s="2744"/>
      <c r="D1473" s="2744"/>
      <c r="E1473" s="2091"/>
      <c r="F1473" s="2091"/>
      <c r="G1473" s="2744"/>
      <c r="H1473" s="2744"/>
      <c r="I1473" s="2744"/>
      <c r="J1473" s="2744"/>
      <c r="K1473" s="2744"/>
      <c r="L1473" s="2744"/>
      <c r="M1473" s="2744"/>
      <c r="N1473" s="2744"/>
      <c r="O1473" s="2744"/>
      <c r="P1473" s="2744"/>
      <c r="Q1473" s="2744"/>
      <c r="R1473" s="2744"/>
      <c r="S1473" s="2744"/>
      <c r="T1473" s="2744"/>
      <c r="U1473" s="2744"/>
      <c r="V1473" s="2744"/>
      <c r="W1473" s="2744"/>
      <c r="X1473" s="2744"/>
      <c r="Y1473" s="2744"/>
      <c r="Z1473" s="2744"/>
      <c r="AA1473" s="2744"/>
      <c r="AB1473" s="2744"/>
      <c r="AC1473" s="2744"/>
      <c r="AD1473" s="2744"/>
      <c r="AE1473" s="2745"/>
      <c r="AF1473" s="2744"/>
      <c r="AG1473" s="2744"/>
      <c r="AH1473" s="2744"/>
      <c r="AI1473" s="2744"/>
      <c r="AJ1473" s="2744"/>
      <c r="AK1473" s="2744"/>
      <c r="AL1473" s="2744"/>
      <c r="AM1473" s="2744"/>
      <c r="AN1473" s="2744"/>
      <c r="AO1473" s="2744"/>
      <c r="AP1473" s="2744"/>
      <c r="AQ1473" s="2744"/>
      <c r="AS1473" s="2744"/>
      <c r="AT1473" s="2744"/>
      <c r="AU1473" s="2744"/>
      <c r="AV1473" s="2744"/>
      <c r="AW1473" s="2744"/>
      <c r="AX1473" s="2744"/>
      <c r="AY1473" s="531"/>
      <c r="AZ1473" s="2744"/>
      <c r="BA1473" s="2744"/>
      <c r="BB1473" s="2744"/>
      <c r="BC1473" s="2744"/>
      <c r="BD1473" s="2744"/>
      <c r="BE1473" s="2744"/>
      <c r="BF1473" s="2744"/>
      <c r="BG1473" s="2744"/>
      <c r="BH1473" s="3553">
        <v>5752073580</v>
      </c>
      <c r="BI1473" s="3116" t="s">
        <v>15077</v>
      </c>
      <c r="BJ1473" s="3117">
        <v>734296</v>
      </c>
      <c r="BK1473" s="530"/>
      <c r="BO1473" s="2535"/>
      <c r="CA1473" s="2744"/>
      <c r="CD1473" s="101"/>
      <c r="CP1473" s="2448"/>
      <c r="CS1473" s="2744"/>
      <c r="CT1473" s="2062"/>
      <c r="CX1473" s="166"/>
      <c r="DB1473" s="2745"/>
      <c r="DC1473" s="2535"/>
      <c r="DG1473" s="2535"/>
      <c r="EC1473" s="101"/>
      <c r="EG1473" s="101"/>
      <c r="EI1473" s="2689" t="s">
        <v>11792</v>
      </c>
    </row>
    <row r="1474" spans="1:139" s="3593" customFormat="1" ht="29">
      <c r="A1474" s="2447"/>
      <c r="B1474" s="2744"/>
      <c r="C1474" s="2744"/>
      <c r="D1474" s="2744"/>
      <c r="E1474" s="2091"/>
      <c r="F1474" s="2091"/>
      <c r="G1474" s="2744"/>
      <c r="H1474" s="2744"/>
      <c r="I1474" s="2744"/>
      <c r="J1474" s="2744"/>
      <c r="K1474" s="2744"/>
      <c r="L1474" s="2744"/>
      <c r="M1474" s="2744"/>
      <c r="N1474" s="2744"/>
      <c r="O1474" s="2744"/>
      <c r="P1474" s="2744"/>
      <c r="Q1474" s="2744"/>
      <c r="R1474" s="2744"/>
      <c r="S1474" s="2744"/>
      <c r="T1474" s="2744"/>
      <c r="U1474" s="2744"/>
      <c r="V1474" s="2744"/>
      <c r="W1474" s="2744"/>
      <c r="X1474" s="2744"/>
      <c r="Y1474" s="2744"/>
      <c r="Z1474" s="2744"/>
      <c r="AA1474" s="2744"/>
      <c r="AB1474" s="2744"/>
      <c r="AC1474" s="2744"/>
      <c r="AD1474" s="2744"/>
      <c r="AE1474" s="2745"/>
      <c r="AF1474" s="2744"/>
      <c r="AG1474" s="2744"/>
      <c r="AH1474" s="2744"/>
      <c r="AI1474" s="2744"/>
      <c r="AJ1474" s="2744"/>
      <c r="AK1474" s="2744"/>
      <c r="AL1474" s="2744"/>
      <c r="AM1474" s="2744"/>
      <c r="AN1474" s="2744"/>
      <c r="AO1474" s="2744"/>
      <c r="AP1474" s="2744"/>
      <c r="AQ1474" s="2744"/>
      <c r="AS1474" s="2744"/>
      <c r="AT1474" s="2744"/>
      <c r="AU1474" s="2744"/>
      <c r="AV1474" s="2744"/>
      <c r="AW1474" s="2744"/>
      <c r="AX1474" s="2744"/>
      <c r="AY1474" s="531"/>
      <c r="AZ1474" s="2744"/>
      <c r="BA1474" s="2744"/>
      <c r="BB1474" s="2744"/>
      <c r="BC1474" s="2744"/>
      <c r="BD1474" s="2744"/>
      <c r="BE1474" s="2744"/>
      <c r="BF1474" s="2744"/>
      <c r="BG1474" s="2744"/>
      <c r="BH1474" s="3553">
        <v>3664120043</v>
      </c>
      <c r="BI1474" s="3116" t="s">
        <v>15078</v>
      </c>
      <c r="BJ1474" s="3117">
        <v>293768</v>
      </c>
      <c r="BK1474" s="530"/>
      <c r="BO1474" s="2535"/>
      <c r="CA1474" s="2744"/>
      <c r="CD1474" s="101"/>
      <c r="CP1474" s="2448"/>
      <c r="CS1474" s="2744"/>
      <c r="CT1474" s="2062"/>
      <c r="CX1474" s="166"/>
      <c r="DB1474" s="2745"/>
      <c r="DC1474" s="2535"/>
      <c r="DG1474" s="2535"/>
      <c r="EC1474" s="101"/>
      <c r="EG1474" s="101"/>
      <c r="EI1474" s="2689" t="s">
        <v>11793</v>
      </c>
    </row>
    <row r="1475" spans="1:139" s="3593" customFormat="1" ht="43.5">
      <c r="A1475" s="2447"/>
      <c r="B1475" s="2744"/>
      <c r="C1475" s="2744"/>
      <c r="D1475" s="2744"/>
      <c r="E1475" s="2091"/>
      <c r="F1475" s="2091"/>
      <c r="G1475" s="2744"/>
      <c r="H1475" s="2744"/>
      <c r="I1475" s="2744"/>
      <c r="J1475" s="2744"/>
      <c r="K1475" s="2744"/>
      <c r="L1475" s="2744"/>
      <c r="M1475" s="2744"/>
      <c r="N1475" s="2744"/>
      <c r="O1475" s="2744"/>
      <c r="P1475" s="2744"/>
      <c r="Q1475" s="2744"/>
      <c r="R1475" s="2744"/>
      <c r="S1475" s="2744"/>
      <c r="T1475" s="2744"/>
      <c r="U1475" s="2744"/>
      <c r="V1475" s="2744"/>
      <c r="W1475" s="2744"/>
      <c r="X1475" s="2744"/>
      <c r="Y1475" s="2744"/>
      <c r="Z1475" s="2744"/>
      <c r="AA1475" s="2744"/>
      <c r="AB1475" s="2744"/>
      <c r="AC1475" s="2744"/>
      <c r="AD1475" s="2744"/>
      <c r="AE1475" s="2745"/>
      <c r="AF1475" s="2744"/>
      <c r="AG1475" s="2744"/>
      <c r="AH1475" s="2744"/>
      <c r="AI1475" s="2744"/>
      <c r="AJ1475" s="2744"/>
      <c r="AK1475" s="2744"/>
      <c r="AL1475" s="2744"/>
      <c r="AM1475" s="2744"/>
      <c r="AN1475" s="2744"/>
      <c r="AO1475" s="2744"/>
      <c r="AP1475" s="2744"/>
      <c r="AQ1475" s="2744"/>
      <c r="AS1475" s="2744"/>
      <c r="AT1475" s="2744"/>
      <c r="AU1475" s="2744"/>
      <c r="AV1475" s="2744"/>
      <c r="AW1475" s="2744"/>
      <c r="AX1475" s="2744"/>
      <c r="AY1475" s="531"/>
      <c r="AZ1475" s="2744"/>
      <c r="BA1475" s="2744"/>
      <c r="BB1475" s="2744"/>
      <c r="BC1475" s="2744"/>
      <c r="BD1475" s="2744"/>
      <c r="BE1475" s="2744"/>
      <c r="BF1475" s="2744"/>
      <c r="BG1475" s="2744"/>
      <c r="BH1475" s="3553">
        <v>6829005876</v>
      </c>
      <c r="BI1475" s="3116" t="s">
        <v>15079</v>
      </c>
      <c r="BJ1475" s="3117">
        <v>734297</v>
      </c>
      <c r="BK1475" s="530"/>
      <c r="BO1475" s="2535"/>
      <c r="CA1475" s="2744"/>
      <c r="CD1475" s="101"/>
      <c r="CP1475" s="2448"/>
      <c r="CS1475" s="2744"/>
      <c r="CT1475" s="2062"/>
      <c r="CX1475" s="166"/>
      <c r="DB1475" s="2745"/>
      <c r="DC1475" s="2535"/>
      <c r="DG1475" s="2535"/>
      <c r="EC1475" s="101"/>
      <c r="EG1475" s="101"/>
      <c r="EI1475" s="2689" t="s">
        <v>11794</v>
      </c>
    </row>
    <row r="1476" spans="1:139" s="3593" customFormat="1" ht="29">
      <c r="A1476" s="2447"/>
      <c r="B1476" s="2744"/>
      <c r="C1476" s="2744"/>
      <c r="D1476" s="2744"/>
      <c r="E1476" s="2091"/>
      <c r="F1476" s="2091"/>
      <c r="G1476" s="2744"/>
      <c r="H1476" s="2744"/>
      <c r="I1476" s="2744"/>
      <c r="J1476" s="2744"/>
      <c r="K1476" s="2744"/>
      <c r="L1476" s="2744"/>
      <c r="M1476" s="2744"/>
      <c r="N1476" s="2744"/>
      <c r="O1476" s="2744"/>
      <c r="P1476" s="2744"/>
      <c r="Q1476" s="2744"/>
      <c r="R1476" s="2744"/>
      <c r="S1476" s="2744"/>
      <c r="T1476" s="2744"/>
      <c r="U1476" s="2744"/>
      <c r="V1476" s="2744"/>
      <c r="W1476" s="2744"/>
      <c r="X1476" s="2744"/>
      <c r="Y1476" s="2744"/>
      <c r="Z1476" s="2744"/>
      <c r="AA1476" s="2744"/>
      <c r="AB1476" s="2744"/>
      <c r="AC1476" s="2744"/>
      <c r="AD1476" s="2744"/>
      <c r="AE1476" s="2745"/>
      <c r="AF1476" s="2744"/>
      <c r="AG1476" s="2744"/>
      <c r="AH1476" s="2744"/>
      <c r="AI1476" s="2744"/>
      <c r="AJ1476" s="2744"/>
      <c r="AK1476" s="2744"/>
      <c r="AL1476" s="2744"/>
      <c r="AM1476" s="2744"/>
      <c r="AN1476" s="2744"/>
      <c r="AO1476" s="2744"/>
      <c r="AP1476" s="2744"/>
      <c r="AQ1476" s="2744"/>
      <c r="AS1476" s="2744"/>
      <c r="AT1476" s="2744"/>
      <c r="AU1476" s="2744"/>
      <c r="AV1476" s="2744"/>
      <c r="AW1476" s="2744"/>
      <c r="AX1476" s="2744"/>
      <c r="AY1476" s="531"/>
      <c r="AZ1476" s="2744"/>
      <c r="BA1476" s="2744"/>
      <c r="BB1476" s="2744"/>
      <c r="BC1476" s="2744"/>
      <c r="BD1476" s="2744"/>
      <c r="BE1476" s="2744"/>
      <c r="BF1476" s="2744"/>
      <c r="BG1476" s="2744"/>
      <c r="BH1476" s="3553">
        <v>4826032469</v>
      </c>
      <c r="BI1476" s="3116" t="s">
        <v>15080</v>
      </c>
      <c r="BJ1476" s="3117">
        <v>665559</v>
      </c>
      <c r="BK1476" s="530"/>
      <c r="BO1476" s="2535"/>
      <c r="CA1476" s="2744"/>
      <c r="CD1476" s="101"/>
      <c r="CP1476" s="2448"/>
      <c r="CS1476" s="2744"/>
      <c r="CT1476" s="2062"/>
      <c r="CX1476" s="166"/>
      <c r="DB1476" s="2745"/>
      <c r="DC1476" s="2535"/>
      <c r="DG1476" s="2535"/>
      <c r="EC1476" s="101"/>
      <c r="EG1476" s="101"/>
      <c r="EI1476" s="2689" t="s">
        <v>11795</v>
      </c>
    </row>
    <row r="1477" spans="1:139" s="3617" customFormat="1" ht="29">
      <c r="A1477" s="2447"/>
      <c r="B1477" s="2744"/>
      <c r="C1477" s="2744"/>
      <c r="D1477" s="2744"/>
      <c r="E1477" s="2091"/>
      <c r="F1477" s="2091"/>
      <c r="G1477" s="2744"/>
      <c r="H1477" s="2744"/>
      <c r="I1477" s="2744"/>
      <c r="J1477" s="2744"/>
      <c r="K1477" s="2744"/>
      <c r="L1477" s="2744"/>
      <c r="M1477" s="2744"/>
      <c r="N1477" s="2744"/>
      <c r="O1477" s="2744"/>
      <c r="P1477" s="2744"/>
      <c r="Q1477" s="2744"/>
      <c r="R1477" s="2744"/>
      <c r="S1477" s="2744"/>
      <c r="T1477" s="2744"/>
      <c r="U1477" s="2744"/>
      <c r="V1477" s="2744"/>
      <c r="W1477" s="2744"/>
      <c r="X1477" s="2744"/>
      <c r="Y1477" s="2744"/>
      <c r="Z1477" s="2744"/>
      <c r="AA1477" s="2744"/>
      <c r="AB1477" s="2744"/>
      <c r="AC1477" s="2744"/>
      <c r="AD1477" s="2744"/>
      <c r="AE1477" s="2745"/>
      <c r="AF1477" s="2744"/>
      <c r="AG1477" s="2744"/>
      <c r="AH1477" s="2744"/>
      <c r="AI1477" s="2744"/>
      <c r="AJ1477" s="2744"/>
      <c r="AK1477" s="2744"/>
      <c r="AL1477" s="2744"/>
      <c r="AM1477" s="2744"/>
      <c r="AN1477" s="2744"/>
      <c r="AO1477" s="2744"/>
      <c r="AP1477" s="2744"/>
      <c r="AQ1477" s="2744"/>
      <c r="AS1477" s="2744"/>
      <c r="AT1477" s="2744"/>
      <c r="AU1477" s="2744"/>
      <c r="AV1477" s="2744"/>
      <c r="AW1477" s="2744"/>
      <c r="AX1477" s="2744"/>
      <c r="AY1477" s="531"/>
      <c r="AZ1477" s="2744"/>
      <c r="BA1477" s="2744"/>
      <c r="BB1477" s="2744"/>
      <c r="BC1477" s="2744"/>
      <c r="BD1477" s="2744"/>
      <c r="BE1477" s="2744"/>
      <c r="BF1477" s="2744"/>
      <c r="BG1477" s="2744"/>
      <c r="BH1477" s="3553">
        <v>7708641491</v>
      </c>
      <c r="BI1477" s="3116" t="s">
        <v>15366</v>
      </c>
      <c r="BJ1477" s="3117">
        <v>679327</v>
      </c>
      <c r="BK1477" s="530"/>
      <c r="BO1477" s="2535"/>
      <c r="CA1477" s="2744"/>
      <c r="CD1477" s="101"/>
      <c r="CP1477" s="2448"/>
      <c r="CS1477" s="2744"/>
      <c r="CT1477" s="2062"/>
      <c r="CX1477" s="166"/>
      <c r="DB1477" s="2745"/>
      <c r="DC1477" s="2535"/>
      <c r="DG1477" s="2535"/>
      <c r="EC1477" s="101"/>
      <c r="EG1477" s="101"/>
      <c r="EI1477" s="2689" t="s">
        <v>11796</v>
      </c>
    </row>
    <row r="1478" spans="1:139" s="3617" customFormat="1" ht="29">
      <c r="A1478" s="2447"/>
      <c r="B1478" s="2744"/>
      <c r="C1478" s="2744"/>
      <c r="D1478" s="2744"/>
      <c r="E1478" s="2091"/>
      <c r="F1478" s="2091"/>
      <c r="G1478" s="2744"/>
      <c r="H1478" s="2744"/>
      <c r="I1478" s="2744"/>
      <c r="J1478" s="2744"/>
      <c r="K1478" s="2744"/>
      <c r="L1478" s="2744"/>
      <c r="M1478" s="2744"/>
      <c r="N1478" s="2744"/>
      <c r="O1478" s="2744"/>
      <c r="P1478" s="2744"/>
      <c r="Q1478" s="2744"/>
      <c r="R1478" s="2744"/>
      <c r="S1478" s="2744"/>
      <c r="T1478" s="2744"/>
      <c r="U1478" s="2744"/>
      <c r="V1478" s="2744"/>
      <c r="W1478" s="2744"/>
      <c r="X1478" s="2744"/>
      <c r="Y1478" s="2744"/>
      <c r="Z1478" s="2744"/>
      <c r="AA1478" s="2744"/>
      <c r="AB1478" s="2744"/>
      <c r="AC1478" s="2744"/>
      <c r="AD1478" s="2744"/>
      <c r="AE1478" s="2745"/>
      <c r="AF1478" s="2744"/>
      <c r="AG1478" s="2744"/>
      <c r="AH1478" s="2744"/>
      <c r="AI1478" s="2744"/>
      <c r="AJ1478" s="2744"/>
      <c r="AK1478" s="2744"/>
      <c r="AL1478" s="2744"/>
      <c r="AM1478" s="2744"/>
      <c r="AN1478" s="2744"/>
      <c r="AO1478" s="2744"/>
      <c r="AP1478" s="2744"/>
      <c r="AQ1478" s="2744"/>
      <c r="AS1478" s="2744"/>
      <c r="AT1478" s="2744"/>
      <c r="AU1478" s="2744"/>
      <c r="AV1478" s="2744"/>
      <c r="AW1478" s="2744"/>
      <c r="AX1478" s="2744"/>
      <c r="AY1478" s="531"/>
      <c r="AZ1478" s="2744"/>
      <c r="BA1478" s="2744"/>
      <c r="BB1478" s="2744"/>
      <c r="BC1478" s="2744"/>
      <c r="BD1478" s="2744"/>
      <c r="BE1478" s="2744"/>
      <c r="BF1478" s="2744"/>
      <c r="BG1478" s="2744"/>
      <c r="BH1478" s="3553">
        <v>7820038445</v>
      </c>
      <c r="BI1478" s="3116" t="s">
        <v>14746</v>
      </c>
      <c r="BJ1478" s="3117">
        <v>431317</v>
      </c>
      <c r="BK1478" s="530"/>
      <c r="BO1478" s="2535"/>
      <c r="CA1478" s="2744"/>
      <c r="CD1478" s="101"/>
      <c r="CP1478" s="2448"/>
      <c r="CS1478" s="2744"/>
      <c r="CT1478" s="2062"/>
      <c r="CX1478" s="166"/>
      <c r="DB1478" s="2745"/>
      <c r="DC1478" s="2535"/>
      <c r="DG1478" s="2535"/>
      <c r="EC1478" s="101"/>
      <c r="EG1478" s="101"/>
      <c r="EI1478" s="2689" t="s">
        <v>11797</v>
      </c>
    </row>
    <row r="1479" spans="1:139" s="3617" customFormat="1" ht="29">
      <c r="A1479" s="2447"/>
      <c r="B1479" s="2744"/>
      <c r="C1479" s="2744"/>
      <c r="D1479" s="2744"/>
      <c r="E1479" s="2091"/>
      <c r="F1479" s="2091"/>
      <c r="G1479" s="2744"/>
      <c r="H1479" s="2744"/>
      <c r="I1479" s="2744"/>
      <c r="J1479" s="2744"/>
      <c r="K1479" s="2744"/>
      <c r="L1479" s="2744"/>
      <c r="M1479" s="2744"/>
      <c r="N1479" s="2744"/>
      <c r="O1479" s="2744"/>
      <c r="P1479" s="2744"/>
      <c r="Q1479" s="2744"/>
      <c r="R1479" s="2744"/>
      <c r="S1479" s="2744"/>
      <c r="T1479" s="2744"/>
      <c r="U1479" s="2744"/>
      <c r="V1479" s="2744"/>
      <c r="W1479" s="2744"/>
      <c r="X1479" s="2744"/>
      <c r="Y1479" s="2744"/>
      <c r="Z1479" s="2744"/>
      <c r="AA1479" s="2744"/>
      <c r="AB1479" s="2744"/>
      <c r="AC1479" s="2744"/>
      <c r="AD1479" s="2744"/>
      <c r="AE1479" s="2745"/>
      <c r="AF1479" s="2744"/>
      <c r="AG1479" s="2744"/>
      <c r="AH1479" s="2744"/>
      <c r="AI1479" s="2744"/>
      <c r="AJ1479" s="2744"/>
      <c r="AK1479" s="2744"/>
      <c r="AL1479" s="2744"/>
      <c r="AM1479" s="2744"/>
      <c r="AN1479" s="2744"/>
      <c r="AO1479" s="2744"/>
      <c r="AP1479" s="2744"/>
      <c r="AQ1479" s="2744"/>
      <c r="AS1479" s="2744"/>
      <c r="AT1479" s="2744"/>
      <c r="AU1479" s="2744"/>
      <c r="AV1479" s="2744"/>
      <c r="AW1479" s="2744"/>
      <c r="AX1479" s="2744"/>
      <c r="AY1479" s="531"/>
      <c r="AZ1479" s="2744"/>
      <c r="BA1479" s="2744"/>
      <c r="BB1479" s="2744"/>
      <c r="BC1479" s="2744"/>
      <c r="BD1479" s="2744"/>
      <c r="BE1479" s="2744"/>
      <c r="BF1479" s="2744"/>
      <c r="BG1479" s="2744"/>
      <c r="BH1479" s="3553">
        <v>4025422770</v>
      </c>
      <c r="BI1479" s="3116" t="s">
        <v>15367</v>
      </c>
      <c r="BJ1479" s="3117">
        <v>231894</v>
      </c>
      <c r="BK1479" s="530"/>
      <c r="BO1479" s="2535"/>
      <c r="CA1479" s="2744"/>
      <c r="CD1479" s="101"/>
      <c r="CP1479" s="2448"/>
      <c r="CS1479" s="2744"/>
      <c r="CT1479" s="2062"/>
      <c r="CX1479" s="166"/>
      <c r="DB1479" s="2745"/>
      <c r="DC1479" s="2535"/>
      <c r="DG1479" s="2535"/>
      <c r="EC1479" s="101"/>
      <c r="EG1479" s="101"/>
      <c r="EI1479" s="2689" t="s">
        <v>11798</v>
      </c>
    </row>
    <row r="1480" spans="1:139" s="3617" customFormat="1">
      <c r="A1480" s="2447"/>
      <c r="B1480" s="2744"/>
      <c r="C1480" s="2744"/>
      <c r="D1480" s="2744"/>
      <c r="E1480" s="2091"/>
      <c r="F1480" s="2091"/>
      <c r="G1480" s="2744"/>
      <c r="H1480" s="2744"/>
      <c r="I1480" s="2744"/>
      <c r="J1480" s="2744"/>
      <c r="K1480" s="2744"/>
      <c r="L1480" s="2744"/>
      <c r="M1480" s="2744"/>
      <c r="N1480" s="2744"/>
      <c r="O1480" s="2744"/>
      <c r="P1480" s="2744"/>
      <c r="Q1480" s="2744"/>
      <c r="R1480" s="2744"/>
      <c r="S1480" s="2744"/>
      <c r="T1480" s="2744"/>
      <c r="U1480" s="2744"/>
      <c r="V1480" s="2744"/>
      <c r="W1480" s="2744"/>
      <c r="X1480" s="2744"/>
      <c r="Y1480" s="2744"/>
      <c r="Z1480" s="2744"/>
      <c r="AA1480" s="2744"/>
      <c r="AB1480" s="2744"/>
      <c r="AC1480" s="2744"/>
      <c r="AD1480" s="2744"/>
      <c r="AE1480" s="2745"/>
      <c r="AF1480" s="2744"/>
      <c r="AG1480" s="2744"/>
      <c r="AH1480" s="2744"/>
      <c r="AI1480" s="2744"/>
      <c r="AJ1480" s="2744"/>
      <c r="AK1480" s="2744"/>
      <c r="AL1480" s="2744"/>
      <c r="AM1480" s="2744"/>
      <c r="AN1480" s="2744"/>
      <c r="AO1480" s="2744"/>
      <c r="AP1480" s="2744"/>
      <c r="AQ1480" s="2744"/>
      <c r="AS1480" s="2744"/>
      <c r="AT1480" s="2744"/>
      <c r="AU1480" s="2744"/>
      <c r="AV1480" s="2744"/>
      <c r="AW1480" s="2744"/>
      <c r="AX1480" s="2744"/>
      <c r="AY1480" s="531"/>
      <c r="AZ1480" s="2744"/>
      <c r="BA1480" s="2744"/>
      <c r="BB1480" s="2744"/>
      <c r="BC1480" s="2744"/>
      <c r="BD1480" s="2744"/>
      <c r="BE1480" s="2744"/>
      <c r="BF1480" s="2744"/>
      <c r="BG1480" s="2744"/>
      <c r="BH1480" s="3553">
        <v>2315069296</v>
      </c>
      <c r="BI1480" s="3116" t="s">
        <v>15368</v>
      </c>
      <c r="BJ1480" s="3117">
        <v>675111</v>
      </c>
      <c r="BK1480" s="530"/>
      <c r="BO1480" s="2535"/>
      <c r="CA1480" s="2744"/>
      <c r="CD1480" s="101"/>
      <c r="CP1480" s="2448"/>
      <c r="CS1480" s="2744"/>
      <c r="CT1480" s="2062"/>
      <c r="CX1480" s="166"/>
      <c r="DB1480" s="2745"/>
      <c r="DC1480" s="2535"/>
      <c r="DG1480" s="2535"/>
      <c r="EC1480" s="101"/>
      <c r="EG1480" s="101"/>
      <c r="EI1480" s="2689" t="s">
        <v>11799</v>
      </c>
    </row>
    <row r="1481" spans="1:139" s="3617" customFormat="1" ht="58">
      <c r="A1481" s="2447"/>
      <c r="B1481" s="2744"/>
      <c r="C1481" s="2744"/>
      <c r="D1481" s="2744"/>
      <c r="E1481" s="2091"/>
      <c r="F1481" s="2091"/>
      <c r="G1481" s="2744"/>
      <c r="H1481" s="2744"/>
      <c r="I1481" s="2744"/>
      <c r="J1481" s="2744"/>
      <c r="K1481" s="2744"/>
      <c r="L1481" s="2744"/>
      <c r="M1481" s="2744"/>
      <c r="N1481" s="2744"/>
      <c r="O1481" s="2744"/>
      <c r="P1481" s="2744"/>
      <c r="Q1481" s="2744"/>
      <c r="R1481" s="2744"/>
      <c r="S1481" s="2744"/>
      <c r="T1481" s="2744"/>
      <c r="U1481" s="2744"/>
      <c r="V1481" s="2744"/>
      <c r="W1481" s="2744"/>
      <c r="X1481" s="2744"/>
      <c r="Y1481" s="2744"/>
      <c r="Z1481" s="2744"/>
      <c r="AA1481" s="2744"/>
      <c r="AB1481" s="2744"/>
      <c r="AC1481" s="2744"/>
      <c r="AD1481" s="2744"/>
      <c r="AE1481" s="2745"/>
      <c r="AF1481" s="2744"/>
      <c r="AG1481" s="2744"/>
      <c r="AH1481" s="2744"/>
      <c r="AI1481" s="2744"/>
      <c r="AJ1481" s="2744"/>
      <c r="AK1481" s="2744"/>
      <c r="AL1481" s="2744"/>
      <c r="AM1481" s="2744"/>
      <c r="AN1481" s="2744"/>
      <c r="AO1481" s="2744"/>
      <c r="AP1481" s="2744"/>
      <c r="AQ1481" s="2744"/>
      <c r="AS1481" s="2744"/>
      <c r="AT1481" s="2744"/>
      <c r="AU1481" s="2744"/>
      <c r="AV1481" s="2744"/>
      <c r="AW1481" s="2744"/>
      <c r="AX1481" s="2744"/>
      <c r="AY1481" s="531"/>
      <c r="AZ1481" s="2744"/>
      <c r="BA1481" s="2744"/>
      <c r="BB1481" s="2744"/>
      <c r="BC1481" s="2744"/>
      <c r="BD1481" s="2744"/>
      <c r="BE1481" s="2744"/>
      <c r="BF1481" s="2744"/>
      <c r="BG1481" s="2744"/>
      <c r="BH1481" s="3553">
        <v>2315072838</v>
      </c>
      <c r="BI1481" s="3116" t="s">
        <v>14748</v>
      </c>
      <c r="BJ1481" s="3117">
        <v>639702</v>
      </c>
      <c r="BK1481" s="530"/>
      <c r="BO1481" s="2535"/>
      <c r="CA1481" s="2744"/>
      <c r="CD1481" s="101"/>
      <c r="CP1481" s="2448"/>
      <c r="CS1481" s="2744"/>
      <c r="CT1481" s="2062"/>
      <c r="CX1481" s="166"/>
      <c r="DB1481" s="2745"/>
      <c r="DC1481" s="2535"/>
      <c r="DG1481" s="2535"/>
      <c r="EC1481" s="101"/>
      <c r="EG1481" s="101"/>
      <c r="EI1481" s="2689" t="s">
        <v>11800</v>
      </c>
    </row>
    <row r="1482" spans="1:139" s="3617" customFormat="1" ht="29">
      <c r="A1482" s="2447"/>
      <c r="B1482" s="2744"/>
      <c r="C1482" s="2744"/>
      <c r="D1482" s="2744"/>
      <c r="E1482" s="2091"/>
      <c r="F1482" s="2091"/>
      <c r="G1482" s="2744"/>
      <c r="H1482" s="2744"/>
      <c r="I1482" s="2744"/>
      <c r="J1482" s="2744"/>
      <c r="K1482" s="2744"/>
      <c r="L1482" s="2744"/>
      <c r="M1482" s="2744"/>
      <c r="N1482" s="2744"/>
      <c r="O1482" s="2744"/>
      <c r="P1482" s="2744"/>
      <c r="Q1482" s="2744"/>
      <c r="R1482" s="2744"/>
      <c r="S1482" s="2744"/>
      <c r="T1482" s="2744"/>
      <c r="U1482" s="2744"/>
      <c r="V1482" s="2744"/>
      <c r="W1482" s="2744"/>
      <c r="X1482" s="2744"/>
      <c r="Y1482" s="2744"/>
      <c r="Z1482" s="2744"/>
      <c r="AA1482" s="2744"/>
      <c r="AB1482" s="2744"/>
      <c r="AC1482" s="2744"/>
      <c r="AD1482" s="2744"/>
      <c r="AE1482" s="2745"/>
      <c r="AF1482" s="2744"/>
      <c r="AG1482" s="2744"/>
      <c r="AH1482" s="2744"/>
      <c r="AI1482" s="2744"/>
      <c r="AJ1482" s="2744"/>
      <c r="AK1482" s="2744"/>
      <c r="AL1482" s="2744"/>
      <c r="AM1482" s="2744"/>
      <c r="AN1482" s="2744"/>
      <c r="AO1482" s="2744"/>
      <c r="AP1482" s="2744"/>
      <c r="AQ1482" s="2744"/>
      <c r="AS1482" s="2744"/>
      <c r="AT1482" s="2744"/>
      <c r="AU1482" s="2744"/>
      <c r="AV1482" s="2744"/>
      <c r="AW1482" s="2744"/>
      <c r="AX1482" s="2744"/>
      <c r="AY1482" s="531"/>
      <c r="AZ1482" s="2744"/>
      <c r="BA1482" s="2744"/>
      <c r="BB1482" s="2744"/>
      <c r="BC1482" s="2744"/>
      <c r="BD1482" s="2744"/>
      <c r="BE1482" s="2744"/>
      <c r="BF1482" s="2744"/>
      <c r="BG1482" s="2744"/>
      <c r="BH1482" s="3553">
        <v>7726218779</v>
      </c>
      <c r="BI1482" s="3116" t="s">
        <v>14749</v>
      </c>
      <c r="BJ1482" s="3117">
        <v>639691</v>
      </c>
      <c r="BK1482" s="530"/>
      <c r="BO1482" s="2535"/>
      <c r="CA1482" s="2744"/>
      <c r="CD1482" s="101"/>
      <c r="CP1482" s="2448"/>
      <c r="CS1482" s="2744"/>
      <c r="CT1482" s="2062"/>
      <c r="CX1482" s="166"/>
      <c r="DB1482" s="2745"/>
      <c r="DC1482" s="2535"/>
      <c r="DG1482" s="2535"/>
      <c r="EC1482" s="101"/>
      <c r="EG1482" s="101"/>
      <c r="EI1482" s="2689" t="s">
        <v>11801</v>
      </c>
    </row>
    <row r="1483" spans="1:139" s="3617" customFormat="1" ht="43.5">
      <c r="A1483" s="2447"/>
      <c r="B1483" s="2744"/>
      <c r="C1483" s="2744"/>
      <c r="D1483" s="2744"/>
      <c r="E1483" s="2091"/>
      <c r="F1483" s="2091"/>
      <c r="G1483" s="2744"/>
      <c r="H1483" s="2744"/>
      <c r="I1483" s="2744"/>
      <c r="J1483" s="2744"/>
      <c r="K1483" s="2744"/>
      <c r="L1483" s="2744"/>
      <c r="M1483" s="2744"/>
      <c r="N1483" s="2744"/>
      <c r="O1483" s="2744"/>
      <c r="P1483" s="2744"/>
      <c r="Q1483" s="2744"/>
      <c r="R1483" s="2744"/>
      <c r="S1483" s="2744"/>
      <c r="T1483" s="2744"/>
      <c r="U1483" s="2744"/>
      <c r="V1483" s="2744"/>
      <c r="W1483" s="2744"/>
      <c r="X1483" s="2744"/>
      <c r="Y1483" s="2744"/>
      <c r="Z1483" s="2744"/>
      <c r="AA1483" s="2744"/>
      <c r="AB1483" s="2744"/>
      <c r="AC1483" s="2744"/>
      <c r="AD1483" s="2744"/>
      <c r="AE1483" s="2745"/>
      <c r="AF1483" s="2744"/>
      <c r="AG1483" s="2744"/>
      <c r="AH1483" s="2744"/>
      <c r="AI1483" s="2744"/>
      <c r="AJ1483" s="2744"/>
      <c r="AK1483" s="2744"/>
      <c r="AL1483" s="2744"/>
      <c r="AM1483" s="2744"/>
      <c r="AN1483" s="2744"/>
      <c r="AO1483" s="2744"/>
      <c r="AP1483" s="2744"/>
      <c r="AQ1483" s="2744"/>
      <c r="AS1483" s="2744"/>
      <c r="AT1483" s="2744"/>
      <c r="AU1483" s="2744"/>
      <c r="AV1483" s="2744"/>
      <c r="AW1483" s="2744"/>
      <c r="AX1483" s="2744"/>
      <c r="AY1483" s="531"/>
      <c r="AZ1483" s="2744"/>
      <c r="BA1483" s="2744"/>
      <c r="BB1483" s="2744"/>
      <c r="BC1483" s="2744"/>
      <c r="BD1483" s="2744"/>
      <c r="BE1483" s="2744"/>
      <c r="BF1483" s="2744"/>
      <c r="BG1483" s="2744"/>
      <c r="BH1483" s="3553">
        <v>5074002308</v>
      </c>
      <c r="BI1483" s="3116" t="s">
        <v>14750</v>
      </c>
      <c r="BJ1483" s="3117">
        <v>679001</v>
      </c>
      <c r="BK1483" s="530"/>
      <c r="BO1483" s="2535"/>
      <c r="CA1483" s="2744"/>
      <c r="CD1483" s="101"/>
      <c r="CP1483" s="2448"/>
      <c r="CS1483" s="2744"/>
      <c r="CT1483" s="2062"/>
      <c r="CX1483" s="166"/>
      <c r="DB1483" s="2745"/>
      <c r="DC1483" s="2535"/>
      <c r="DG1483" s="2535"/>
      <c r="EC1483" s="101"/>
      <c r="EG1483" s="101"/>
      <c r="EI1483" s="2689" t="s">
        <v>11802</v>
      </c>
    </row>
    <row r="1484" spans="1:139" s="3617" customFormat="1" ht="29">
      <c r="A1484" s="2447"/>
      <c r="B1484" s="2744"/>
      <c r="C1484" s="2744"/>
      <c r="D1484" s="2744"/>
      <c r="E1484" s="2091"/>
      <c r="F1484" s="2091"/>
      <c r="G1484" s="2744"/>
      <c r="H1484" s="2744"/>
      <c r="I1484" s="2744"/>
      <c r="J1484" s="2744"/>
      <c r="K1484" s="2744"/>
      <c r="L1484" s="2744"/>
      <c r="M1484" s="2744"/>
      <c r="N1484" s="2744"/>
      <c r="O1484" s="2744"/>
      <c r="P1484" s="2744"/>
      <c r="Q1484" s="2744"/>
      <c r="R1484" s="2744"/>
      <c r="S1484" s="2744"/>
      <c r="T1484" s="2744"/>
      <c r="U1484" s="2744"/>
      <c r="V1484" s="2744"/>
      <c r="W1484" s="2744"/>
      <c r="X1484" s="2744"/>
      <c r="Y1484" s="2744"/>
      <c r="Z1484" s="2744"/>
      <c r="AA1484" s="2744"/>
      <c r="AB1484" s="2744"/>
      <c r="AC1484" s="2744"/>
      <c r="AD1484" s="2744"/>
      <c r="AE1484" s="2745"/>
      <c r="AF1484" s="2744"/>
      <c r="AG1484" s="2744"/>
      <c r="AH1484" s="2744"/>
      <c r="AI1484" s="2744"/>
      <c r="AJ1484" s="2744"/>
      <c r="AK1484" s="2744"/>
      <c r="AL1484" s="2744"/>
      <c r="AM1484" s="2744"/>
      <c r="AN1484" s="2744"/>
      <c r="AO1484" s="2744"/>
      <c r="AP1484" s="2744"/>
      <c r="AQ1484" s="2744"/>
      <c r="AS1484" s="2744"/>
      <c r="AT1484" s="2744"/>
      <c r="AU1484" s="2744"/>
      <c r="AV1484" s="2744"/>
      <c r="AW1484" s="2744"/>
      <c r="AX1484" s="2744"/>
      <c r="AY1484" s="531"/>
      <c r="AZ1484" s="2744"/>
      <c r="BA1484" s="2744"/>
      <c r="BB1484" s="2744"/>
      <c r="BC1484" s="2744"/>
      <c r="BD1484" s="2744"/>
      <c r="BE1484" s="2744"/>
      <c r="BF1484" s="2744"/>
      <c r="BG1484" s="2744"/>
      <c r="BH1484" s="3553">
        <v>7729664877</v>
      </c>
      <c r="BI1484" s="3116" t="s">
        <v>14751</v>
      </c>
      <c r="BJ1484" s="3117">
        <v>657783</v>
      </c>
      <c r="BK1484" s="530"/>
      <c r="BO1484" s="2535"/>
      <c r="CA1484" s="2744"/>
      <c r="CD1484" s="101"/>
      <c r="CP1484" s="2448"/>
      <c r="CS1484" s="2744"/>
      <c r="CT1484" s="2062"/>
      <c r="CX1484" s="166"/>
      <c r="DB1484" s="2745"/>
      <c r="DC1484" s="2535"/>
      <c r="DG1484" s="2535"/>
      <c r="EC1484" s="101"/>
      <c r="EG1484" s="101"/>
      <c r="EI1484" s="2689" t="s">
        <v>11803</v>
      </c>
    </row>
    <row r="1485" spans="1:139" s="3617" customFormat="1" ht="29">
      <c r="A1485" s="2447"/>
      <c r="B1485" s="2744"/>
      <c r="C1485" s="2744"/>
      <c r="D1485" s="2744"/>
      <c r="E1485" s="2091"/>
      <c r="F1485" s="2091"/>
      <c r="G1485" s="2744"/>
      <c r="H1485" s="2744"/>
      <c r="I1485" s="2744"/>
      <c r="J1485" s="2744"/>
      <c r="K1485" s="2744"/>
      <c r="L1485" s="2744"/>
      <c r="M1485" s="2744"/>
      <c r="N1485" s="2744"/>
      <c r="O1485" s="2744"/>
      <c r="P1485" s="2744"/>
      <c r="Q1485" s="2744"/>
      <c r="R1485" s="2744"/>
      <c r="S1485" s="2744"/>
      <c r="T1485" s="2744"/>
      <c r="U1485" s="2744"/>
      <c r="V1485" s="2744"/>
      <c r="W1485" s="2744"/>
      <c r="X1485" s="2744"/>
      <c r="Y1485" s="2744"/>
      <c r="Z1485" s="2744"/>
      <c r="AA1485" s="2744"/>
      <c r="AB1485" s="2744"/>
      <c r="AC1485" s="2744"/>
      <c r="AD1485" s="2744"/>
      <c r="AE1485" s="2745"/>
      <c r="AF1485" s="2744"/>
      <c r="AG1485" s="2744"/>
      <c r="AH1485" s="2744"/>
      <c r="AI1485" s="2744"/>
      <c r="AJ1485" s="2744"/>
      <c r="AK1485" s="2744"/>
      <c r="AL1485" s="2744"/>
      <c r="AM1485" s="2744"/>
      <c r="AN1485" s="2744"/>
      <c r="AO1485" s="2744"/>
      <c r="AP1485" s="2744"/>
      <c r="AQ1485" s="2744"/>
      <c r="AS1485" s="2744"/>
      <c r="AT1485" s="2744"/>
      <c r="AU1485" s="2744"/>
      <c r="AV1485" s="2744"/>
      <c r="AW1485" s="2744"/>
      <c r="AX1485" s="2744"/>
      <c r="AY1485" s="531"/>
      <c r="AZ1485" s="2744"/>
      <c r="BA1485" s="2744"/>
      <c r="BB1485" s="2744"/>
      <c r="BC1485" s="2744"/>
      <c r="BD1485" s="2744"/>
      <c r="BE1485" s="2744"/>
      <c r="BF1485" s="2744"/>
      <c r="BG1485" s="2744"/>
      <c r="BH1485" s="3553">
        <v>4003034171</v>
      </c>
      <c r="BI1485" s="3116" t="s">
        <v>15369</v>
      </c>
      <c r="BJ1485" s="3117">
        <v>456557</v>
      </c>
      <c r="BK1485" s="530"/>
      <c r="BO1485" s="2535"/>
      <c r="CA1485" s="2744"/>
      <c r="CD1485" s="101"/>
      <c r="CP1485" s="2448"/>
      <c r="CS1485" s="2744"/>
      <c r="CT1485" s="2062"/>
      <c r="CX1485" s="166"/>
      <c r="DB1485" s="2745"/>
      <c r="DC1485" s="2535"/>
      <c r="DG1485" s="2535"/>
      <c r="EC1485" s="101"/>
      <c r="EG1485" s="101"/>
      <c r="EI1485" s="2689" t="s">
        <v>11804</v>
      </c>
    </row>
    <row r="1486" spans="1:139" s="3617" customFormat="1" ht="29">
      <c r="A1486" s="2447"/>
      <c r="B1486" s="2744"/>
      <c r="C1486" s="2744"/>
      <c r="D1486" s="2744"/>
      <c r="E1486" s="2091"/>
      <c r="F1486" s="2091"/>
      <c r="G1486" s="2744"/>
      <c r="H1486" s="2744"/>
      <c r="I1486" s="2744"/>
      <c r="J1486" s="2744"/>
      <c r="K1486" s="2744"/>
      <c r="L1486" s="2744"/>
      <c r="M1486" s="2744"/>
      <c r="N1486" s="2744"/>
      <c r="O1486" s="2744"/>
      <c r="P1486" s="2744"/>
      <c r="Q1486" s="2744"/>
      <c r="R1486" s="2744"/>
      <c r="S1486" s="2744"/>
      <c r="T1486" s="2744"/>
      <c r="U1486" s="2744"/>
      <c r="V1486" s="2744"/>
      <c r="W1486" s="2744"/>
      <c r="X1486" s="2744"/>
      <c r="Y1486" s="2744"/>
      <c r="Z1486" s="2744"/>
      <c r="AA1486" s="2744"/>
      <c r="AB1486" s="2744"/>
      <c r="AC1486" s="2744"/>
      <c r="AD1486" s="2744"/>
      <c r="AE1486" s="2745"/>
      <c r="AF1486" s="2744"/>
      <c r="AG1486" s="2744"/>
      <c r="AH1486" s="2744"/>
      <c r="AI1486" s="2744"/>
      <c r="AJ1486" s="2744"/>
      <c r="AK1486" s="2744"/>
      <c r="AL1486" s="2744"/>
      <c r="AM1486" s="2744"/>
      <c r="AN1486" s="2744"/>
      <c r="AO1486" s="2744"/>
      <c r="AP1486" s="2744"/>
      <c r="AQ1486" s="2744"/>
      <c r="AS1486" s="2744"/>
      <c r="AT1486" s="2744"/>
      <c r="AU1486" s="2744"/>
      <c r="AV1486" s="2744"/>
      <c r="AW1486" s="2744"/>
      <c r="AX1486" s="2744"/>
      <c r="AY1486" s="531"/>
      <c r="AZ1486" s="2744"/>
      <c r="BA1486" s="2744"/>
      <c r="BB1486" s="2744"/>
      <c r="BC1486" s="2744"/>
      <c r="BD1486" s="2744"/>
      <c r="BE1486" s="2744"/>
      <c r="BF1486" s="2744"/>
      <c r="BG1486" s="2744"/>
      <c r="BH1486" s="3553">
        <v>2315985820</v>
      </c>
      <c r="BI1486" s="3116" t="s">
        <v>15370</v>
      </c>
      <c r="BJ1486" s="3117">
        <v>679006</v>
      </c>
      <c r="BK1486" s="530"/>
      <c r="BO1486" s="2535"/>
      <c r="CA1486" s="2744"/>
      <c r="CD1486" s="101"/>
      <c r="CP1486" s="2448"/>
      <c r="CS1486" s="2744"/>
      <c r="CT1486" s="2062"/>
      <c r="CX1486" s="166"/>
      <c r="DB1486" s="2745"/>
      <c r="DC1486" s="2535"/>
      <c r="DG1486" s="2535"/>
      <c r="EC1486" s="101"/>
      <c r="EG1486" s="101"/>
      <c r="EI1486" s="2689" t="s">
        <v>11805</v>
      </c>
    </row>
    <row r="1487" spans="1:139" s="3617" customFormat="1" ht="43.5">
      <c r="A1487" s="2447"/>
      <c r="B1487" s="2744"/>
      <c r="C1487" s="2744"/>
      <c r="D1487" s="2744"/>
      <c r="E1487" s="2091"/>
      <c r="F1487" s="2091"/>
      <c r="G1487" s="2744"/>
      <c r="H1487" s="2744"/>
      <c r="I1487" s="2744"/>
      <c r="J1487" s="2744"/>
      <c r="K1487" s="2744"/>
      <c r="L1487" s="2744"/>
      <c r="M1487" s="2744"/>
      <c r="N1487" s="2744"/>
      <c r="O1487" s="2744"/>
      <c r="P1487" s="2744"/>
      <c r="Q1487" s="2744"/>
      <c r="R1487" s="2744"/>
      <c r="S1487" s="2744"/>
      <c r="T1487" s="2744"/>
      <c r="U1487" s="2744"/>
      <c r="V1487" s="2744"/>
      <c r="W1487" s="2744"/>
      <c r="X1487" s="2744"/>
      <c r="Y1487" s="2744"/>
      <c r="Z1487" s="2744"/>
      <c r="AA1487" s="2744"/>
      <c r="AB1487" s="2744"/>
      <c r="AC1487" s="2744"/>
      <c r="AD1487" s="2744"/>
      <c r="AE1487" s="2745"/>
      <c r="AF1487" s="2744"/>
      <c r="AG1487" s="2744"/>
      <c r="AH1487" s="2744"/>
      <c r="AI1487" s="2744"/>
      <c r="AJ1487" s="2744"/>
      <c r="AK1487" s="2744"/>
      <c r="AL1487" s="2744"/>
      <c r="AM1487" s="2744"/>
      <c r="AN1487" s="2744"/>
      <c r="AO1487" s="2744"/>
      <c r="AP1487" s="2744"/>
      <c r="AQ1487" s="2744"/>
      <c r="AS1487" s="2744"/>
      <c r="AT1487" s="2744"/>
      <c r="AU1487" s="2744"/>
      <c r="AV1487" s="2744"/>
      <c r="AW1487" s="2744"/>
      <c r="AX1487" s="2744"/>
      <c r="AY1487" s="531"/>
      <c r="AZ1487" s="2744"/>
      <c r="BA1487" s="2744"/>
      <c r="BB1487" s="2744"/>
      <c r="BC1487" s="2744"/>
      <c r="BD1487" s="2744"/>
      <c r="BE1487" s="2744"/>
      <c r="BF1487" s="2744"/>
      <c r="BG1487" s="2744"/>
      <c r="BH1487" s="3553">
        <v>7813173683</v>
      </c>
      <c r="BI1487" s="3116" t="s">
        <v>15290</v>
      </c>
      <c r="BJ1487" s="3117">
        <v>679329</v>
      </c>
      <c r="BK1487" s="530"/>
      <c r="BO1487" s="2535"/>
      <c r="CA1487" s="2744"/>
      <c r="CD1487" s="101"/>
      <c r="CP1487" s="2448"/>
      <c r="CS1487" s="2744"/>
      <c r="CT1487" s="2062"/>
      <c r="CX1487" s="166"/>
      <c r="DB1487" s="2745"/>
      <c r="DC1487" s="2535"/>
      <c r="DG1487" s="2535"/>
      <c r="EC1487" s="101"/>
      <c r="EG1487" s="101"/>
      <c r="EI1487" s="2689" t="s">
        <v>11806</v>
      </c>
    </row>
    <row r="1488" spans="1:139" s="3617" customFormat="1" ht="29">
      <c r="A1488" s="2447"/>
      <c r="B1488" s="2744"/>
      <c r="C1488" s="2744"/>
      <c r="D1488" s="2744"/>
      <c r="E1488" s="2091"/>
      <c r="F1488" s="2091"/>
      <c r="G1488" s="2744"/>
      <c r="H1488" s="2744"/>
      <c r="I1488" s="2744"/>
      <c r="J1488" s="2744"/>
      <c r="K1488" s="2744"/>
      <c r="L1488" s="2744"/>
      <c r="M1488" s="2744"/>
      <c r="N1488" s="2744"/>
      <c r="O1488" s="2744"/>
      <c r="P1488" s="2744"/>
      <c r="Q1488" s="2744"/>
      <c r="R1488" s="2744"/>
      <c r="S1488" s="2744"/>
      <c r="T1488" s="2744"/>
      <c r="U1488" s="2744"/>
      <c r="V1488" s="2744"/>
      <c r="W1488" s="2744"/>
      <c r="X1488" s="2744"/>
      <c r="Y1488" s="2744"/>
      <c r="Z1488" s="2744"/>
      <c r="AA1488" s="2744"/>
      <c r="AB1488" s="2744"/>
      <c r="AC1488" s="2744"/>
      <c r="AD1488" s="2744"/>
      <c r="AE1488" s="2745"/>
      <c r="AF1488" s="2744"/>
      <c r="AG1488" s="2744"/>
      <c r="AH1488" s="2744"/>
      <c r="AI1488" s="2744"/>
      <c r="AJ1488" s="2744"/>
      <c r="AK1488" s="2744"/>
      <c r="AL1488" s="2744"/>
      <c r="AM1488" s="2744"/>
      <c r="AN1488" s="2744"/>
      <c r="AO1488" s="2744"/>
      <c r="AP1488" s="2744"/>
      <c r="AQ1488" s="2744"/>
      <c r="AS1488" s="2744"/>
      <c r="AT1488" s="2744"/>
      <c r="AU1488" s="2744"/>
      <c r="AV1488" s="2744"/>
      <c r="AW1488" s="2744"/>
      <c r="AX1488" s="2744"/>
      <c r="AY1488" s="531"/>
      <c r="AZ1488" s="2744"/>
      <c r="BA1488" s="2744"/>
      <c r="BB1488" s="2744"/>
      <c r="BC1488" s="2744"/>
      <c r="BD1488" s="2744"/>
      <c r="BE1488" s="2744"/>
      <c r="BF1488" s="2744"/>
      <c r="BG1488" s="2744"/>
      <c r="BH1488" s="3553">
        <v>7818008549</v>
      </c>
      <c r="BI1488" s="3116" t="s">
        <v>15292</v>
      </c>
      <c r="BJ1488" s="3117">
        <v>679321</v>
      </c>
      <c r="BK1488" s="530"/>
      <c r="BO1488" s="2535"/>
      <c r="CA1488" s="2744"/>
      <c r="CD1488" s="101"/>
      <c r="CP1488" s="2448"/>
      <c r="CS1488" s="2744"/>
      <c r="CT1488" s="2062"/>
      <c r="CX1488" s="166"/>
      <c r="DB1488" s="2745"/>
      <c r="DC1488" s="2535"/>
      <c r="DG1488" s="2535"/>
      <c r="EC1488" s="101"/>
      <c r="EG1488" s="101"/>
      <c r="EI1488" s="2689" t="s">
        <v>11807</v>
      </c>
    </row>
    <row r="1489" spans="1:139" s="3617" customFormat="1" ht="43.5">
      <c r="A1489" s="2447"/>
      <c r="B1489" s="2744"/>
      <c r="C1489" s="2744"/>
      <c r="D1489" s="2744"/>
      <c r="E1489" s="2091"/>
      <c r="F1489" s="2091"/>
      <c r="G1489" s="2744"/>
      <c r="H1489" s="2744"/>
      <c r="I1489" s="2744"/>
      <c r="J1489" s="2744"/>
      <c r="K1489" s="2744"/>
      <c r="L1489" s="2744"/>
      <c r="M1489" s="2744"/>
      <c r="N1489" s="2744"/>
      <c r="O1489" s="2744"/>
      <c r="P1489" s="2744"/>
      <c r="Q1489" s="2744"/>
      <c r="R1489" s="2744"/>
      <c r="S1489" s="2744"/>
      <c r="T1489" s="2744"/>
      <c r="U1489" s="2744"/>
      <c r="V1489" s="2744"/>
      <c r="W1489" s="2744"/>
      <c r="X1489" s="2744"/>
      <c r="Y1489" s="2744"/>
      <c r="Z1489" s="2744"/>
      <c r="AA1489" s="2744"/>
      <c r="AB1489" s="2744"/>
      <c r="AC1489" s="2744"/>
      <c r="AD1489" s="2744"/>
      <c r="AE1489" s="2745"/>
      <c r="AF1489" s="2744"/>
      <c r="AG1489" s="2744"/>
      <c r="AH1489" s="2744"/>
      <c r="AI1489" s="2744"/>
      <c r="AJ1489" s="2744"/>
      <c r="AK1489" s="2744"/>
      <c r="AL1489" s="2744"/>
      <c r="AM1489" s="2744"/>
      <c r="AN1489" s="2744"/>
      <c r="AO1489" s="2744"/>
      <c r="AP1489" s="2744"/>
      <c r="AQ1489" s="2744"/>
      <c r="AS1489" s="2744"/>
      <c r="AT1489" s="2744"/>
      <c r="AU1489" s="2744"/>
      <c r="AV1489" s="2744"/>
      <c r="AW1489" s="2744"/>
      <c r="AX1489" s="2744"/>
      <c r="AY1489" s="531"/>
      <c r="AZ1489" s="2744"/>
      <c r="BA1489" s="2744"/>
      <c r="BB1489" s="2744"/>
      <c r="BC1489" s="2744"/>
      <c r="BD1489" s="2744"/>
      <c r="BE1489" s="2744"/>
      <c r="BF1489" s="2744"/>
      <c r="BG1489" s="2744"/>
      <c r="BH1489" s="3553">
        <v>2315116450</v>
      </c>
      <c r="BI1489" s="3116" t="s">
        <v>14755</v>
      </c>
      <c r="BJ1489" s="3117">
        <v>657786</v>
      </c>
      <c r="BK1489" s="530"/>
      <c r="BO1489" s="2535"/>
      <c r="CA1489" s="2744"/>
      <c r="CD1489" s="101"/>
      <c r="CP1489" s="2448"/>
      <c r="CS1489" s="2744"/>
      <c r="CT1489" s="2062"/>
      <c r="CX1489" s="166"/>
      <c r="DB1489" s="2745"/>
      <c r="DC1489" s="2535"/>
      <c r="DG1489" s="2535"/>
      <c r="EC1489" s="101"/>
      <c r="EG1489" s="101"/>
      <c r="EI1489" s="2689" t="s">
        <v>11808</v>
      </c>
    </row>
    <row r="1490" spans="1:139" s="3617" customFormat="1">
      <c r="A1490" s="2447"/>
      <c r="B1490" s="2744"/>
      <c r="C1490" s="2744"/>
      <c r="D1490" s="2744"/>
      <c r="E1490" s="2091"/>
      <c r="F1490" s="2091"/>
      <c r="G1490" s="2744"/>
      <c r="H1490" s="2744"/>
      <c r="I1490" s="2744"/>
      <c r="J1490" s="2744"/>
      <c r="K1490" s="2744"/>
      <c r="L1490" s="2744"/>
      <c r="M1490" s="2744"/>
      <c r="N1490" s="2744"/>
      <c r="O1490" s="2744"/>
      <c r="P1490" s="2744"/>
      <c r="Q1490" s="2744"/>
      <c r="R1490" s="2744"/>
      <c r="S1490" s="2744"/>
      <c r="T1490" s="2744"/>
      <c r="U1490" s="2744"/>
      <c r="V1490" s="2744"/>
      <c r="W1490" s="2744"/>
      <c r="X1490" s="2744"/>
      <c r="Y1490" s="2744"/>
      <c r="Z1490" s="2744"/>
      <c r="AA1490" s="2744"/>
      <c r="AB1490" s="2744"/>
      <c r="AC1490" s="2744"/>
      <c r="AD1490" s="2744"/>
      <c r="AE1490" s="2745"/>
      <c r="AF1490" s="2744"/>
      <c r="AG1490" s="2744"/>
      <c r="AH1490" s="2744"/>
      <c r="AI1490" s="2744"/>
      <c r="AJ1490" s="2744"/>
      <c r="AK1490" s="2744"/>
      <c r="AL1490" s="2744"/>
      <c r="AM1490" s="2744"/>
      <c r="AN1490" s="2744"/>
      <c r="AO1490" s="2744"/>
      <c r="AP1490" s="2744"/>
      <c r="AQ1490" s="2744"/>
      <c r="AS1490" s="2744"/>
      <c r="AT1490" s="2744"/>
      <c r="AU1490" s="2744"/>
      <c r="AV1490" s="2744"/>
      <c r="AW1490" s="2744"/>
      <c r="AX1490" s="2744"/>
      <c r="AY1490" s="531"/>
      <c r="AZ1490" s="2744"/>
      <c r="BA1490" s="2744"/>
      <c r="BB1490" s="2744"/>
      <c r="BC1490" s="2744"/>
      <c r="BD1490" s="2744"/>
      <c r="BE1490" s="2744"/>
      <c r="BF1490" s="2744"/>
      <c r="BG1490" s="2744"/>
      <c r="BH1490" s="3553">
        <v>2315150780</v>
      </c>
      <c r="BI1490" s="3116" t="s">
        <v>14756</v>
      </c>
      <c r="BJ1490" s="3117">
        <v>639687</v>
      </c>
      <c r="BK1490" s="530"/>
      <c r="BO1490" s="2535"/>
      <c r="CA1490" s="2744"/>
      <c r="CD1490" s="101"/>
      <c r="CP1490" s="2448"/>
      <c r="CS1490" s="2744"/>
      <c r="CT1490" s="2062"/>
      <c r="CX1490" s="166"/>
      <c r="DB1490" s="2745"/>
      <c r="DC1490" s="2535"/>
      <c r="DG1490" s="2535"/>
      <c r="EC1490" s="101"/>
      <c r="EG1490" s="101"/>
      <c r="EI1490" s="2689" t="s">
        <v>11809</v>
      </c>
    </row>
    <row r="1491" spans="1:139" s="3617" customFormat="1" ht="29">
      <c r="A1491" s="2447"/>
      <c r="B1491" s="2744"/>
      <c r="C1491" s="2744"/>
      <c r="D1491" s="2744"/>
      <c r="E1491" s="2091"/>
      <c r="F1491" s="2091"/>
      <c r="G1491" s="2744"/>
      <c r="H1491" s="2744"/>
      <c r="I1491" s="2744"/>
      <c r="J1491" s="2744"/>
      <c r="K1491" s="2744"/>
      <c r="L1491" s="2744"/>
      <c r="M1491" s="2744"/>
      <c r="N1491" s="2744"/>
      <c r="O1491" s="2744"/>
      <c r="P1491" s="2744"/>
      <c r="Q1491" s="2744"/>
      <c r="R1491" s="2744"/>
      <c r="S1491" s="2744"/>
      <c r="T1491" s="2744"/>
      <c r="U1491" s="2744"/>
      <c r="V1491" s="2744"/>
      <c r="W1491" s="2744"/>
      <c r="X1491" s="2744"/>
      <c r="Y1491" s="2744"/>
      <c r="Z1491" s="2744"/>
      <c r="AA1491" s="2744"/>
      <c r="AB1491" s="2744"/>
      <c r="AC1491" s="2744"/>
      <c r="AD1491" s="2744"/>
      <c r="AE1491" s="2745"/>
      <c r="AF1491" s="2744"/>
      <c r="AG1491" s="2744"/>
      <c r="AH1491" s="2744"/>
      <c r="AI1491" s="2744"/>
      <c r="AJ1491" s="2744"/>
      <c r="AK1491" s="2744"/>
      <c r="AL1491" s="2744"/>
      <c r="AM1491" s="2744"/>
      <c r="AN1491" s="2744"/>
      <c r="AO1491" s="2744"/>
      <c r="AP1491" s="2744"/>
      <c r="AQ1491" s="2744"/>
      <c r="AS1491" s="2744"/>
      <c r="AT1491" s="2744"/>
      <c r="AU1491" s="2744"/>
      <c r="AV1491" s="2744"/>
      <c r="AW1491" s="2744"/>
      <c r="AX1491" s="2744"/>
      <c r="AY1491" s="531"/>
      <c r="AZ1491" s="2744"/>
      <c r="BA1491" s="2744"/>
      <c r="BB1491" s="2744"/>
      <c r="BC1491" s="2744"/>
      <c r="BD1491" s="2744"/>
      <c r="BE1491" s="2744"/>
      <c r="BF1491" s="2744"/>
      <c r="BG1491" s="2744"/>
      <c r="BH1491" s="3553">
        <v>5009062353</v>
      </c>
      <c r="BI1491" s="3116" t="s">
        <v>14758</v>
      </c>
      <c r="BJ1491" s="3117">
        <v>678999</v>
      </c>
      <c r="BK1491" s="530"/>
      <c r="BO1491" s="2535"/>
      <c r="CA1491" s="2744"/>
      <c r="CD1491" s="101"/>
      <c r="CP1491" s="2448"/>
      <c r="CS1491" s="2744"/>
      <c r="CT1491" s="2062"/>
      <c r="CX1491" s="166"/>
      <c r="DB1491" s="2745"/>
      <c r="DC1491" s="2535"/>
      <c r="DG1491" s="2535"/>
      <c r="EC1491" s="101"/>
      <c r="EG1491" s="101"/>
      <c r="EI1491" s="2689" t="s">
        <v>11810</v>
      </c>
    </row>
    <row r="1492" spans="1:139" s="3617" customFormat="1" ht="29">
      <c r="A1492" s="2447"/>
      <c r="B1492" s="2744"/>
      <c r="C1492" s="2744"/>
      <c r="D1492" s="2744"/>
      <c r="E1492" s="2091"/>
      <c r="F1492" s="2091"/>
      <c r="G1492" s="2744"/>
      <c r="H1492" s="2744"/>
      <c r="I1492" s="2744"/>
      <c r="J1492" s="2744"/>
      <c r="K1492" s="2744"/>
      <c r="L1492" s="2744"/>
      <c r="M1492" s="2744"/>
      <c r="N1492" s="2744"/>
      <c r="O1492" s="2744"/>
      <c r="P1492" s="2744"/>
      <c r="Q1492" s="2744"/>
      <c r="R1492" s="2744"/>
      <c r="S1492" s="2744"/>
      <c r="T1492" s="2744"/>
      <c r="U1492" s="2744"/>
      <c r="V1492" s="2744"/>
      <c r="W1492" s="2744"/>
      <c r="X1492" s="2744"/>
      <c r="Y1492" s="2744"/>
      <c r="Z1492" s="2744"/>
      <c r="AA1492" s="2744"/>
      <c r="AB1492" s="2744"/>
      <c r="AC1492" s="2744"/>
      <c r="AD1492" s="2744"/>
      <c r="AE1492" s="2745"/>
      <c r="AF1492" s="2744"/>
      <c r="AG1492" s="2744"/>
      <c r="AH1492" s="2744"/>
      <c r="AI1492" s="2744"/>
      <c r="AJ1492" s="2744"/>
      <c r="AK1492" s="2744"/>
      <c r="AL1492" s="2744"/>
      <c r="AM1492" s="2744"/>
      <c r="AN1492" s="2744"/>
      <c r="AO1492" s="2744"/>
      <c r="AP1492" s="2744"/>
      <c r="AQ1492" s="2744"/>
      <c r="AS1492" s="2744"/>
      <c r="AT1492" s="2744"/>
      <c r="AU1492" s="2744"/>
      <c r="AV1492" s="2744"/>
      <c r="AW1492" s="2744"/>
      <c r="AX1492" s="2744"/>
      <c r="AY1492" s="531"/>
      <c r="AZ1492" s="2744"/>
      <c r="BA1492" s="2744"/>
      <c r="BB1492" s="2744"/>
      <c r="BC1492" s="2744"/>
      <c r="BD1492" s="2744"/>
      <c r="BE1492" s="2744"/>
      <c r="BF1492" s="2744"/>
      <c r="BG1492" s="2744"/>
      <c r="BH1492" s="3553">
        <v>7805353227</v>
      </c>
      <c r="BI1492" s="3116" t="s">
        <v>15313</v>
      </c>
      <c r="BJ1492" s="3117">
        <v>198648</v>
      </c>
      <c r="BK1492" s="530"/>
      <c r="BO1492" s="2535"/>
      <c r="CA1492" s="2744"/>
      <c r="CD1492" s="101"/>
      <c r="CP1492" s="2448"/>
      <c r="CS1492" s="2744"/>
      <c r="CT1492" s="2062"/>
      <c r="CX1492" s="166"/>
      <c r="DB1492" s="2745"/>
      <c r="DC1492" s="2535"/>
      <c r="DG1492" s="2535"/>
      <c r="EC1492" s="101"/>
      <c r="EG1492" s="101"/>
      <c r="EI1492" s="2689" t="s">
        <v>11811</v>
      </c>
    </row>
    <row r="1493" spans="1:139" s="3617" customFormat="1" ht="29">
      <c r="A1493" s="2447"/>
      <c r="B1493" s="2744"/>
      <c r="C1493" s="2744"/>
      <c r="D1493" s="2744"/>
      <c r="E1493" s="2091"/>
      <c r="F1493" s="2091"/>
      <c r="G1493" s="2744"/>
      <c r="H1493" s="2744"/>
      <c r="I1493" s="2744"/>
      <c r="J1493" s="2744"/>
      <c r="K1493" s="2744"/>
      <c r="L1493" s="2744"/>
      <c r="M1493" s="2744"/>
      <c r="N1493" s="2744"/>
      <c r="O1493" s="2744"/>
      <c r="P1493" s="2744"/>
      <c r="Q1493" s="2744"/>
      <c r="R1493" s="2744"/>
      <c r="S1493" s="2744"/>
      <c r="T1493" s="2744"/>
      <c r="U1493" s="2744"/>
      <c r="V1493" s="2744"/>
      <c r="W1493" s="2744"/>
      <c r="X1493" s="2744"/>
      <c r="Y1493" s="2744"/>
      <c r="Z1493" s="2744"/>
      <c r="AA1493" s="2744"/>
      <c r="AB1493" s="2744"/>
      <c r="AC1493" s="2744"/>
      <c r="AD1493" s="2744"/>
      <c r="AE1493" s="2745"/>
      <c r="AF1493" s="2744"/>
      <c r="AG1493" s="2744"/>
      <c r="AH1493" s="2744"/>
      <c r="AI1493" s="2744"/>
      <c r="AJ1493" s="2744"/>
      <c r="AK1493" s="2744"/>
      <c r="AL1493" s="2744"/>
      <c r="AM1493" s="2744"/>
      <c r="AN1493" s="2744"/>
      <c r="AO1493" s="2744"/>
      <c r="AP1493" s="2744"/>
      <c r="AQ1493" s="2744"/>
      <c r="AS1493" s="2744"/>
      <c r="AT1493" s="2744"/>
      <c r="AU1493" s="2744"/>
      <c r="AV1493" s="2744"/>
      <c r="AW1493" s="2744"/>
      <c r="AX1493" s="2744"/>
      <c r="AY1493" s="531"/>
      <c r="AZ1493" s="2744"/>
      <c r="BA1493" s="2744"/>
      <c r="BB1493" s="2744"/>
      <c r="BC1493" s="2744"/>
      <c r="BD1493" s="2744"/>
      <c r="BE1493" s="2744"/>
      <c r="BF1493" s="2744"/>
      <c r="BG1493" s="2744"/>
      <c r="BH1493" s="3553">
        <v>2315134805</v>
      </c>
      <c r="BI1493" s="3116" t="s">
        <v>14759</v>
      </c>
      <c r="BJ1493" s="3117">
        <v>639696</v>
      </c>
      <c r="BK1493" s="530"/>
      <c r="BO1493" s="2535"/>
      <c r="CA1493" s="2744"/>
      <c r="CD1493" s="101"/>
      <c r="CP1493" s="2448"/>
      <c r="CS1493" s="2744"/>
      <c r="CT1493" s="2062"/>
      <c r="CX1493" s="166"/>
      <c r="DB1493" s="2745"/>
      <c r="DC1493" s="2535"/>
      <c r="DG1493" s="2535"/>
      <c r="EC1493" s="101"/>
      <c r="EG1493" s="101"/>
      <c r="EI1493" s="2689" t="s">
        <v>11812</v>
      </c>
    </row>
    <row r="1494" spans="1:139" s="3617" customFormat="1" ht="29">
      <c r="A1494" s="2447"/>
      <c r="B1494" s="2744"/>
      <c r="C1494" s="2744"/>
      <c r="D1494" s="2744"/>
      <c r="E1494" s="2091"/>
      <c r="F1494" s="2091"/>
      <c r="G1494" s="2744"/>
      <c r="H1494" s="2744"/>
      <c r="I1494" s="2744"/>
      <c r="J1494" s="2744"/>
      <c r="K1494" s="2744"/>
      <c r="L1494" s="2744"/>
      <c r="M1494" s="2744"/>
      <c r="N1494" s="2744"/>
      <c r="O1494" s="2744"/>
      <c r="P1494" s="2744"/>
      <c r="Q1494" s="2744"/>
      <c r="R1494" s="2744"/>
      <c r="S1494" s="2744"/>
      <c r="T1494" s="2744"/>
      <c r="U1494" s="2744"/>
      <c r="V1494" s="2744"/>
      <c r="W1494" s="2744"/>
      <c r="X1494" s="2744"/>
      <c r="Y1494" s="2744"/>
      <c r="Z1494" s="2744"/>
      <c r="AA1494" s="2744"/>
      <c r="AB1494" s="2744"/>
      <c r="AC1494" s="2744"/>
      <c r="AD1494" s="2744"/>
      <c r="AE1494" s="2745"/>
      <c r="AF1494" s="2744"/>
      <c r="AG1494" s="2744"/>
      <c r="AH1494" s="2744"/>
      <c r="AI1494" s="2744"/>
      <c r="AJ1494" s="2744"/>
      <c r="AK1494" s="2744"/>
      <c r="AL1494" s="2744"/>
      <c r="AM1494" s="2744"/>
      <c r="AN1494" s="2744"/>
      <c r="AO1494" s="2744"/>
      <c r="AP1494" s="2744"/>
      <c r="AQ1494" s="2744"/>
      <c r="AS1494" s="2744"/>
      <c r="AT1494" s="2744"/>
      <c r="AU1494" s="2744"/>
      <c r="AV1494" s="2744"/>
      <c r="AW1494" s="2744"/>
      <c r="AX1494" s="2744"/>
      <c r="AY1494" s="531"/>
      <c r="AZ1494" s="2744"/>
      <c r="BA1494" s="2744"/>
      <c r="BB1494" s="2744"/>
      <c r="BC1494" s="2744"/>
      <c r="BD1494" s="2744"/>
      <c r="BE1494" s="2744"/>
      <c r="BF1494" s="2744"/>
      <c r="BG1494" s="2744"/>
      <c r="BH1494" s="3553">
        <v>4705039477</v>
      </c>
      <c r="BI1494" s="3116" t="s">
        <v>14761</v>
      </c>
      <c r="BJ1494" s="3117">
        <v>639699</v>
      </c>
      <c r="BK1494" s="530"/>
      <c r="BO1494" s="2535"/>
      <c r="CA1494" s="2744"/>
      <c r="CD1494" s="101"/>
      <c r="CP1494" s="2448"/>
      <c r="CS1494" s="2744"/>
      <c r="CT1494" s="2062"/>
      <c r="CX1494" s="166"/>
      <c r="DB1494" s="2745"/>
      <c r="DC1494" s="2535"/>
      <c r="DG1494" s="2535"/>
      <c r="EC1494" s="101"/>
      <c r="EG1494" s="101"/>
      <c r="EI1494" s="2689" t="s">
        <v>11813</v>
      </c>
    </row>
    <row r="1495" spans="1:139" s="3617" customFormat="1" ht="29">
      <c r="A1495" s="2447"/>
      <c r="B1495" s="2744"/>
      <c r="C1495" s="2744"/>
      <c r="D1495" s="2744"/>
      <c r="E1495" s="2091"/>
      <c r="F1495" s="2091"/>
      <c r="G1495" s="2744"/>
      <c r="H1495" s="2744"/>
      <c r="I1495" s="2744"/>
      <c r="J1495" s="2744"/>
      <c r="K1495" s="2744"/>
      <c r="L1495" s="2744"/>
      <c r="M1495" s="2744"/>
      <c r="N1495" s="2744"/>
      <c r="O1495" s="2744"/>
      <c r="P1495" s="2744"/>
      <c r="Q1495" s="2744"/>
      <c r="R1495" s="2744"/>
      <c r="S1495" s="2744"/>
      <c r="T1495" s="2744"/>
      <c r="U1495" s="2744"/>
      <c r="V1495" s="2744"/>
      <c r="W1495" s="2744"/>
      <c r="X1495" s="2744"/>
      <c r="Y1495" s="2744"/>
      <c r="Z1495" s="2744"/>
      <c r="AA1495" s="2744"/>
      <c r="AB1495" s="2744"/>
      <c r="AC1495" s="2744"/>
      <c r="AD1495" s="2744"/>
      <c r="AE1495" s="2745"/>
      <c r="AF1495" s="2744"/>
      <c r="AG1495" s="2744"/>
      <c r="AH1495" s="2744"/>
      <c r="AI1495" s="2744"/>
      <c r="AJ1495" s="2744"/>
      <c r="AK1495" s="2744"/>
      <c r="AL1495" s="2744"/>
      <c r="AM1495" s="2744"/>
      <c r="AN1495" s="2744"/>
      <c r="AO1495" s="2744"/>
      <c r="AP1495" s="2744"/>
      <c r="AQ1495" s="2744"/>
      <c r="AS1495" s="2744"/>
      <c r="AT1495" s="2744"/>
      <c r="AU1495" s="2744"/>
      <c r="AV1495" s="2744"/>
      <c r="AW1495" s="2744"/>
      <c r="AX1495" s="2744"/>
      <c r="AY1495" s="531"/>
      <c r="AZ1495" s="2744"/>
      <c r="BA1495" s="2744"/>
      <c r="BB1495" s="2744"/>
      <c r="BC1495" s="2744"/>
      <c r="BD1495" s="2744"/>
      <c r="BE1495" s="2744"/>
      <c r="BF1495" s="2744"/>
      <c r="BG1495" s="2744"/>
      <c r="BH1495" s="3553">
        <v>2537110812</v>
      </c>
      <c r="BI1495" s="3116" t="s">
        <v>14763</v>
      </c>
      <c r="BJ1495" s="3117">
        <v>639701</v>
      </c>
      <c r="BK1495" s="530"/>
      <c r="BO1495" s="2535"/>
      <c r="CA1495" s="2744"/>
      <c r="CD1495" s="101"/>
      <c r="CP1495" s="2448"/>
      <c r="CS1495" s="2744"/>
      <c r="CT1495" s="2062"/>
      <c r="CX1495" s="166"/>
      <c r="DB1495" s="2745"/>
      <c r="DC1495" s="2535"/>
      <c r="DG1495" s="2535"/>
      <c r="EC1495" s="101"/>
      <c r="EG1495" s="101"/>
      <c r="EI1495" s="2689" t="s">
        <v>11814</v>
      </c>
    </row>
    <row r="1496" spans="1:139" s="3617" customFormat="1" ht="43.5">
      <c r="A1496" s="2447"/>
      <c r="B1496" s="2744"/>
      <c r="C1496" s="2744"/>
      <c r="D1496" s="2744"/>
      <c r="E1496" s="2091"/>
      <c r="F1496" s="2091"/>
      <c r="G1496" s="2744"/>
      <c r="H1496" s="2744"/>
      <c r="I1496" s="2744"/>
      <c r="J1496" s="2744"/>
      <c r="K1496" s="2744"/>
      <c r="L1496" s="2744"/>
      <c r="M1496" s="2744"/>
      <c r="N1496" s="2744"/>
      <c r="O1496" s="2744"/>
      <c r="P1496" s="2744"/>
      <c r="Q1496" s="2744"/>
      <c r="R1496" s="2744"/>
      <c r="S1496" s="2744"/>
      <c r="T1496" s="2744"/>
      <c r="U1496" s="2744"/>
      <c r="V1496" s="2744"/>
      <c r="W1496" s="2744"/>
      <c r="X1496" s="2744"/>
      <c r="Y1496" s="2744"/>
      <c r="Z1496" s="2744"/>
      <c r="AA1496" s="2744"/>
      <c r="AB1496" s="2744"/>
      <c r="AC1496" s="2744"/>
      <c r="AD1496" s="2744"/>
      <c r="AE1496" s="2745"/>
      <c r="AF1496" s="2744"/>
      <c r="AG1496" s="2744"/>
      <c r="AH1496" s="2744"/>
      <c r="AI1496" s="2744"/>
      <c r="AJ1496" s="2744"/>
      <c r="AK1496" s="2744"/>
      <c r="AL1496" s="2744"/>
      <c r="AM1496" s="2744"/>
      <c r="AN1496" s="2744"/>
      <c r="AO1496" s="2744"/>
      <c r="AP1496" s="2744"/>
      <c r="AQ1496" s="2744"/>
      <c r="AS1496" s="2744"/>
      <c r="AT1496" s="2744"/>
      <c r="AU1496" s="2744"/>
      <c r="AV1496" s="2744"/>
      <c r="AW1496" s="2744"/>
      <c r="AX1496" s="2744"/>
      <c r="AY1496" s="531"/>
      <c r="AZ1496" s="2744"/>
      <c r="BA1496" s="2744"/>
      <c r="BB1496" s="2744"/>
      <c r="BC1496" s="2744"/>
      <c r="BD1496" s="2744"/>
      <c r="BE1496" s="2744"/>
      <c r="BF1496" s="2744"/>
      <c r="BG1496" s="2744"/>
      <c r="BH1496" s="3553">
        <v>3906371088</v>
      </c>
      <c r="BI1496" s="3116" t="s">
        <v>14764</v>
      </c>
      <c r="BJ1496" s="3117">
        <v>639698</v>
      </c>
      <c r="BK1496" s="530"/>
      <c r="BO1496" s="2535"/>
      <c r="CA1496" s="2744"/>
      <c r="CD1496" s="101"/>
      <c r="CP1496" s="2448"/>
      <c r="CS1496" s="2744"/>
      <c r="CT1496" s="2062"/>
      <c r="CX1496" s="166"/>
      <c r="DB1496" s="2745"/>
      <c r="DC1496" s="2535"/>
      <c r="DG1496" s="2535"/>
      <c r="EC1496" s="101"/>
      <c r="EG1496" s="101"/>
      <c r="EI1496" s="2689" t="s">
        <v>11815</v>
      </c>
    </row>
    <row r="1497" spans="1:139" s="3617" customFormat="1" ht="72.5">
      <c r="A1497" s="2447"/>
      <c r="B1497" s="2744"/>
      <c r="C1497" s="2744"/>
      <c r="D1497" s="2744"/>
      <c r="E1497" s="2091"/>
      <c r="F1497" s="2091"/>
      <c r="G1497" s="2744"/>
      <c r="H1497" s="2744"/>
      <c r="I1497" s="2744"/>
      <c r="J1497" s="2744"/>
      <c r="K1497" s="2744"/>
      <c r="L1497" s="2744"/>
      <c r="M1497" s="2744"/>
      <c r="N1497" s="2744"/>
      <c r="O1497" s="2744"/>
      <c r="P1497" s="2744"/>
      <c r="Q1497" s="2744"/>
      <c r="R1497" s="2744"/>
      <c r="S1497" s="2744"/>
      <c r="T1497" s="2744"/>
      <c r="U1497" s="2744"/>
      <c r="V1497" s="2744"/>
      <c r="W1497" s="2744"/>
      <c r="X1497" s="2744"/>
      <c r="Y1497" s="2744"/>
      <c r="Z1497" s="2744"/>
      <c r="AA1497" s="2744"/>
      <c r="AB1497" s="2744"/>
      <c r="AC1497" s="2744"/>
      <c r="AD1497" s="2744"/>
      <c r="AE1497" s="2745"/>
      <c r="AF1497" s="2744"/>
      <c r="AG1497" s="2744"/>
      <c r="AH1497" s="2744"/>
      <c r="AI1497" s="2744"/>
      <c r="AJ1497" s="2744"/>
      <c r="AK1497" s="2744"/>
      <c r="AL1497" s="2744"/>
      <c r="AM1497" s="2744"/>
      <c r="AN1497" s="2744"/>
      <c r="AO1497" s="2744"/>
      <c r="AP1497" s="2744"/>
      <c r="AQ1497" s="2744"/>
      <c r="AS1497" s="2744"/>
      <c r="AT1497" s="2744"/>
      <c r="AU1497" s="2744"/>
      <c r="AV1497" s="2744"/>
      <c r="AW1497" s="2744"/>
      <c r="AX1497" s="2744"/>
      <c r="AY1497" s="531"/>
      <c r="AZ1497" s="2744"/>
      <c r="BA1497" s="2744"/>
      <c r="BB1497" s="2744"/>
      <c r="BC1497" s="2744"/>
      <c r="BD1497" s="2744"/>
      <c r="BE1497" s="2744"/>
      <c r="BF1497" s="2744"/>
      <c r="BG1497" s="2744"/>
      <c r="BH1497" s="3553">
        <v>7706767403</v>
      </c>
      <c r="BI1497" s="3116" t="s">
        <v>14765</v>
      </c>
      <c r="BJ1497" s="3117">
        <v>639697</v>
      </c>
      <c r="BK1497" s="530"/>
      <c r="BO1497" s="2535"/>
      <c r="CA1497" s="2744"/>
      <c r="CD1497" s="101"/>
      <c r="CP1497" s="2448"/>
      <c r="CS1497" s="2744"/>
      <c r="CT1497" s="2062"/>
      <c r="CX1497" s="166"/>
      <c r="DB1497" s="2745"/>
      <c r="DC1497" s="2535"/>
      <c r="DG1497" s="2535"/>
      <c r="EC1497" s="101"/>
      <c r="EG1497" s="101"/>
      <c r="EI1497" s="2689" t="s">
        <v>11816</v>
      </c>
    </row>
    <row r="1498" spans="1:139" s="3617" customFormat="1" ht="29">
      <c r="A1498" s="2447"/>
      <c r="B1498" s="2744"/>
      <c r="C1498" s="2744"/>
      <c r="D1498" s="2744"/>
      <c r="E1498" s="2091"/>
      <c r="F1498" s="2091"/>
      <c r="G1498" s="2744"/>
      <c r="H1498" s="2744"/>
      <c r="I1498" s="2744"/>
      <c r="J1498" s="2744"/>
      <c r="K1498" s="2744"/>
      <c r="L1498" s="2744"/>
      <c r="M1498" s="2744"/>
      <c r="N1498" s="2744"/>
      <c r="O1498" s="2744"/>
      <c r="P1498" s="2744"/>
      <c r="Q1498" s="2744"/>
      <c r="R1498" s="2744"/>
      <c r="S1498" s="2744"/>
      <c r="T1498" s="2744"/>
      <c r="U1498" s="2744"/>
      <c r="V1498" s="2744"/>
      <c r="W1498" s="2744"/>
      <c r="X1498" s="2744"/>
      <c r="Y1498" s="2744"/>
      <c r="Z1498" s="2744"/>
      <c r="AA1498" s="2744"/>
      <c r="AB1498" s="2744"/>
      <c r="AC1498" s="2744"/>
      <c r="AD1498" s="2744"/>
      <c r="AE1498" s="2745"/>
      <c r="AF1498" s="2744"/>
      <c r="AG1498" s="2744"/>
      <c r="AH1498" s="2744"/>
      <c r="AI1498" s="2744"/>
      <c r="AJ1498" s="2744"/>
      <c r="AK1498" s="2744"/>
      <c r="AL1498" s="2744"/>
      <c r="AM1498" s="2744"/>
      <c r="AN1498" s="2744"/>
      <c r="AO1498" s="2744"/>
      <c r="AP1498" s="2744"/>
      <c r="AQ1498" s="2744"/>
      <c r="AS1498" s="2744"/>
      <c r="AT1498" s="2744"/>
      <c r="AU1498" s="2744"/>
      <c r="AV1498" s="2744"/>
      <c r="AW1498" s="2744"/>
      <c r="AX1498" s="2744"/>
      <c r="AY1498" s="531"/>
      <c r="AZ1498" s="2744"/>
      <c r="BA1498" s="2744"/>
      <c r="BB1498" s="2744"/>
      <c r="BC1498" s="2744"/>
      <c r="BD1498" s="2744"/>
      <c r="BE1498" s="2744"/>
      <c r="BF1498" s="2744"/>
      <c r="BG1498" s="2744"/>
      <c r="BH1498" s="3553">
        <v>5074043311</v>
      </c>
      <c r="BI1498" s="3116" t="s">
        <v>14767</v>
      </c>
      <c r="BJ1498" s="3117">
        <v>571551</v>
      </c>
      <c r="BK1498" s="530"/>
      <c r="BO1498" s="2535"/>
      <c r="CA1498" s="2744"/>
      <c r="CD1498" s="101"/>
      <c r="CP1498" s="2448"/>
      <c r="CS1498" s="2744"/>
      <c r="CT1498" s="2062"/>
      <c r="CX1498" s="166"/>
      <c r="DB1498" s="2745"/>
      <c r="DC1498" s="2535"/>
      <c r="DG1498" s="2535"/>
      <c r="EC1498" s="101"/>
      <c r="EG1498" s="101"/>
      <c r="EI1498" s="2689" t="s">
        <v>11817</v>
      </c>
    </row>
    <row r="1499" spans="1:139" s="3617" customFormat="1">
      <c r="A1499" s="2447"/>
      <c r="B1499" s="2744"/>
      <c r="C1499" s="2744"/>
      <c r="D1499" s="2744"/>
      <c r="E1499" s="2091"/>
      <c r="F1499" s="2091"/>
      <c r="G1499" s="2744"/>
      <c r="H1499" s="2744"/>
      <c r="I1499" s="2744"/>
      <c r="J1499" s="2744"/>
      <c r="K1499" s="2744"/>
      <c r="L1499" s="2744"/>
      <c r="M1499" s="2744"/>
      <c r="N1499" s="2744"/>
      <c r="O1499" s="2744"/>
      <c r="P1499" s="2744"/>
      <c r="Q1499" s="2744"/>
      <c r="R1499" s="2744"/>
      <c r="S1499" s="2744"/>
      <c r="T1499" s="2744"/>
      <c r="U1499" s="2744"/>
      <c r="V1499" s="2744"/>
      <c r="W1499" s="2744"/>
      <c r="X1499" s="2744"/>
      <c r="Y1499" s="2744"/>
      <c r="Z1499" s="2744"/>
      <c r="AA1499" s="2744"/>
      <c r="AB1499" s="2744"/>
      <c r="AC1499" s="2744"/>
      <c r="AD1499" s="2744"/>
      <c r="AE1499" s="2745"/>
      <c r="AF1499" s="2744"/>
      <c r="AG1499" s="2744"/>
      <c r="AH1499" s="2744"/>
      <c r="AI1499" s="2744"/>
      <c r="AJ1499" s="2744"/>
      <c r="AK1499" s="2744"/>
      <c r="AL1499" s="2744"/>
      <c r="AM1499" s="2744"/>
      <c r="AN1499" s="2744"/>
      <c r="AO1499" s="2744"/>
      <c r="AP1499" s="2744"/>
      <c r="AQ1499" s="2744"/>
      <c r="AS1499" s="2744"/>
      <c r="AT1499" s="2744"/>
      <c r="AU1499" s="2744"/>
      <c r="AV1499" s="2744"/>
      <c r="AW1499" s="2744"/>
      <c r="AX1499" s="2744"/>
      <c r="AY1499" s="531"/>
      <c r="AZ1499" s="2744"/>
      <c r="BA1499" s="2744"/>
      <c r="BB1499" s="2744"/>
      <c r="BC1499" s="2744"/>
      <c r="BD1499" s="2744"/>
      <c r="BE1499" s="2744"/>
      <c r="BF1499" s="2744"/>
      <c r="BG1499" s="2744"/>
      <c r="BH1499" s="3553">
        <v>2311214577</v>
      </c>
      <c r="BI1499" s="3116" t="s">
        <v>14768</v>
      </c>
      <c r="BJ1499" s="3117">
        <v>678998</v>
      </c>
      <c r="BK1499" s="530"/>
      <c r="BO1499" s="2535"/>
      <c r="CA1499" s="2744"/>
      <c r="CD1499" s="101"/>
      <c r="CP1499" s="2448"/>
      <c r="CS1499" s="2744"/>
      <c r="CT1499" s="2062"/>
      <c r="CX1499" s="166"/>
      <c r="DB1499" s="2745"/>
      <c r="DC1499" s="2535"/>
      <c r="DG1499" s="2535"/>
      <c r="EC1499" s="101"/>
      <c r="EG1499" s="101"/>
      <c r="EI1499" s="2689" t="s">
        <v>11818</v>
      </c>
    </row>
    <row r="1500" spans="1:139" s="3617" customFormat="1">
      <c r="A1500" s="2447"/>
      <c r="B1500" s="2744"/>
      <c r="C1500" s="2744"/>
      <c r="D1500" s="2744"/>
      <c r="E1500" s="2091"/>
      <c r="F1500" s="2091"/>
      <c r="G1500" s="2744"/>
      <c r="H1500" s="2744"/>
      <c r="I1500" s="2744"/>
      <c r="J1500" s="2744"/>
      <c r="K1500" s="2744"/>
      <c r="L1500" s="2744"/>
      <c r="M1500" s="2744"/>
      <c r="N1500" s="2744"/>
      <c r="O1500" s="2744"/>
      <c r="P1500" s="2744"/>
      <c r="Q1500" s="2744"/>
      <c r="R1500" s="2744"/>
      <c r="S1500" s="2744"/>
      <c r="T1500" s="2744"/>
      <c r="U1500" s="2744"/>
      <c r="V1500" s="2744"/>
      <c r="W1500" s="2744"/>
      <c r="X1500" s="2744"/>
      <c r="Y1500" s="2744"/>
      <c r="Z1500" s="2744"/>
      <c r="AA1500" s="2744"/>
      <c r="AB1500" s="2744"/>
      <c r="AC1500" s="2744"/>
      <c r="AD1500" s="2744"/>
      <c r="AE1500" s="2745"/>
      <c r="AF1500" s="2744"/>
      <c r="AG1500" s="2744"/>
      <c r="AH1500" s="2744"/>
      <c r="AI1500" s="2744"/>
      <c r="AJ1500" s="2744"/>
      <c r="AK1500" s="2744"/>
      <c r="AL1500" s="2744"/>
      <c r="AM1500" s="2744"/>
      <c r="AN1500" s="2744"/>
      <c r="AO1500" s="2744"/>
      <c r="AP1500" s="2744"/>
      <c r="AQ1500" s="2744"/>
      <c r="AS1500" s="2744"/>
      <c r="AT1500" s="2744"/>
      <c r="AU1500" s="2744"/>
      <c r="AV1500" s="2744"/>
      <c r="AW1500" s="2744"/>
      <c r="AX1500" s="2744"/>
      <c r="AY1500" s="531"/>
      <c r="AZ1500" s="2744"/>
      <c r="BA1500" s="2744"/>
      <c r="BB1500" s="2744"/>
      <c r="BC1500" s="2744"/>
      <c r="BD1500" s="2744"/>
      <c r="BE1500" s="2744"/>
      <c r="BF1500" s="2744"/>
      <c r="BG1500" s="2744"/>
      <c r="BH1500" s="3553">
        <v>2315095521</v>
      </c>
      <c r="BI1500" s="3116" t="s">
        <v>14769</v>
      </c>
      <c r="BJ1500" s="3117">
        <v>639689</v>
      </c>
      <c r="BK1500" s="530"/>
      <c r="BO1500" s="2535"/>
      <c r="CA1500" s="2744"/>
      <c r="CD1500" s="101"/>
      <c r="CP1500" s="2448"/>
      <c r="CS1500" s="2744"/>
      <c r="CT1500" s="2062"/>
      <c r="CX1500" s="166"/>
      <c r="DB1500" s="2745"/>
      <c r="DC1500" s="2535"/>
      <c r="DG1500" s="2535"/>
      <c r="EC1500" s="101"/>
      <c r="EG1500" s="101"/>
      <c r="EI1500" s="2689" t="s">
        <v>11819</v>
      </c>
    </row>
    <row r="1501" spans="1:139" s="3617" customFormat="1">
      <c r="A1501" s="2447"/>
      <c r="B1501" s="2744"/>
      <c r="C1501" s="2744"/>
      <c r="D1501" s="2744"/>
      <c r="E1501" s="2091"/>
      <c r="F1501" s="2091"/>
      <c r="G1501" s="2744"/>
      <c r="H1501" s="2744"/>
      <c r="I1501" s="2744"/>
      <c r="J1501" s="2744"/>
      <c r="K1501" s="2744"/>
      <c r="L1501" s="2744"/>
      <c r="M1501" s="2744"/>
      <c r="N1501" s="2744"/>
      <c r="O1501" s="2744"/>
      <c r="P1501" s="2744"/>
      <c r="Q1501" s="2744"/>
      <c r="R1501" s="2744"/>
      <c r="S1501" s="2744"/>
      <c r="T1501" s="2744"/>
      <c r="U1501" s="2744"/>
      <c r="V1501" s="2744"/>
      <c r="W1501" s="2744"/>
      <c r="X1501" s="2744"/>
      <c r="Y1501" s="2744"/>
      <c r="Z1501" s="2744"/>
      <c r="AA1501" s="2744"/>
      <c r="AB1501" s="2744"/>
      <c r="AC1501" s="2744"/>
      <c r="AD1501" s="2744"/>
      <c r="AE1501" s="2745"/>
      <c r="AF1501" s="2744"/>
      <c r="AG1501" s="2744"/>
      <c r="AH1501" s="2744"/>
      <c r="AI1501" s="2744"/>
      <c r="AJ1501" s="2744"/>
      <c r="AK1501" s="2744"/>
      <c r="AL1501" s="2744"/>
      <c r="AM1501" s="2744"/>
      <c r="AN1501" s="2744"/>
      <c r="AO1501" s="2744"/>
      <c r="AP1501" s="2744"/>
      <c r="AQ1501" s="2744"/>
      <c r="AS1501" s="2744"/>
      <c r="AT1501" s="2744"/>
      <c r="AU1501" s="2744"/>
      <c r="AV1501" s="2744"/>
      <c r="AW1501" s="2744"/>
      <c r="AX1501" s="2744"/>
      <c r="AY1501" s="531"/>
      <c r="AZ1501" s="2744"/>
      <c r="BA1501" s="2744"/>
      <c r="BB1501" s="2744"/>
      <c r="BC1501" s="2744"/>
      <c r="BD1501" s="2744"/>
      <c r="BE1501" s="2744"/>
      <c r="BF1501" s="2744"/>
      <c r="BG1501" s="2744"/>
      <c r="BH1501" s="3553">
        <v>7705867885</v>
      </c>
      <c r="BI1501" s="3116" t="s">
        <v>15352</v>
      </c>
      <c r="BJ1501" s="3117">
        <v>360626</v>
      </c>
      <c r="BK1501" s="530"/>
      <c r="BO1501" s="2535"/>
      <c r="CA1501" s="2744"/>
      <c r="CD1501" s="101"/>
      <c r="CP1501" s="2448"/>
      <c r="CS1501" s="2744"/>
      <c r="CT1501" s="2062"/>
      <c r="CX1501" s="166"/>
      <c r="DB1501" s="2745"/>
      <c r="DC1501" s="2535"/>
      <c r="DG1501" s="2535"/>
      <c r="EC1501" s="101"/>
      <c r="EG1501" s="101"/>
      <c r="EI1501" s="2689" t="s">
        <v>11820</v>
      </c>
    </row>
    <row r="1502" spans="1:139" s="3617" customFormat="1" ht="29">
      <c r="A1502" s="2447"/>
      <c r="B1502" s="2744"/>
      <c r="C1502" s="2744"/>
      <c r="D1502" s="2744"/>
      <c r="E1502" s="2091"/>
      <c r="F1502" s="2091"/>
      <c r="G1502" s="2744"/>
      <c r="H1502" s="2744"/>
      <c r="I1502" s="2744"/>
      <c r="J1502" s="2744"/>
      <c r="K1502" s="2744"/>
      <c r="L1502" s="2744"/>
      <c r="M1502" s="2744"/>
      <c r="N1502" s="2744"/>
      <c r="O1502" s="2744"/>
      <c r="P1502" s="2744"/>
      <c r="Q1502" s="2744"/>
      <c r="R1502" s="2744"/>
      <c r="S1502" s="2744"/>
      <c r="T1502" s="2744"/>
      <c r="U1502" s="2744"/>
      <c r="V1502" s="2744"/>
      <c r="W1502" s="2744"/>
      <c r="X1502" s="2744"/>
      <c r="Y1502" s="2744"/>
      <c r="Z1502" s="2744"/>
      <c r="AA1502" s="2744"/>
      <c r="AB1502" s="2744"/>
      <c r="AC1502" s="2744"/>
      <c r="AD1502" s="2744"/>
      <c r="AE1502" s="2745"/>
      <c r="AF1502" s="2744"/>
      <c r="AG1502" s="2744"/>
      <c r="AH1502" s="2744"/>
      <c r="AI1502" s="2744"/>
      <c r="AJ1502" s="2744"/>
      <c r="AK1502" s="2744"/>
      <c r="AL1502" s="2744"/>
      <c r="AM1502" s="2744"/>
      <c r="AN1502" s="2744"/>
      <c r="AO1502" s="2744"/>
      <c r="AP1502" s="2744"/>
      <c r="AQ1502" s="2744"/>
      <c r="AS1502" s="2744"/>
      <c r="AT1502" s="2744"/>
      <c r="AU1502" s="2744"/>
      <c r="AV1502" s="2744"/>
      <c r="AW1502" s="2744"/>
      <c r="AX1502" s="2744"/>
      <c r="AY1502" s="531"/>
      <c r="AZ1502" s="2744"/>
      <c r="BA1502" s="2744"/>
      <c r="BB1502" s="2744"/>
      <c r="BC1502" s="2744"/>
      <c r="BD1502" s="2744"/>
      <c r="BE1502" s="2744"/>
      <c r="BF1502" s="2744"/>
      <c r="BG1502" s="2744"/>
      <c r="BH1502" s="3553">
        <v>7706787992</v>
      </c>
      <c r="BI1502" s="3116" t="s">
        <v>14771</v>
      </c>
      <c r="BJ1502" s="3117">
        <v>639705</v>
      </c>
      <c r="BK1502" s="530"/>
      <c r="BO1502" s="2535"/>
      <c r="CA1502" s="2744"/>
      <c r="CD1502" s="101"/>
      <c r="CP1502" s="2448"/>
      <c r="CS1502" s="2744"/>
      <c r="CT1502" s="2062"/>
      <c r="CX1502" s="166"/>
      <c r="DB1502" s="2745"/>
      <c r="DC1502" s="2535"/>
      <c r="DG1502" s="2535"/>
      <c r="EC1502" s="101"/>
      <c r="EG1502" s="101"/>
      <c r="EI1502" s="2689" t="s">
        <v>11821</v>
      </c>
    </row>
    <row r="1503" spans="1:139" s="3617" customFormat="1">
      <c r="A1503" s="2447"/>
      <c r="B1503" s="2744"/>
      <c r="C1503" s="2744"/>
      <c r="D1503" s="2744"/>
      <c r="E1503" s="2091"/>
      <c r="F1503" s="2091"/>
      <c r="G1503" s="2744"/>
      <c r="H1503" s="2744"/>
      <c r="I1503" s="2744"/>
      <c r="J1503" s="2744"/>
      <c r="K1503" s="2744"/>
      <c r="L1503" s="2744"/>
      <c r="M1503" s="2744"/>
      <c r="N1503" s="2744"/>
      <c r="O1503" s="2744"/>
      <c r="P1503" s="2744"/>
      <c r="Q1503" s="2744"/>
      <c r="R1503" s="2744"/>
      <c r="S1503" s="2744"/>
      <c r="T1503" s="2744"/>
      <c r="U1503" s="2744"/>
      <c r="V1503" s="2744"/>
      <c r="W1503" s="2744"/>
      <c r="X1503" s="2744"/>
      <c r="Y1503" s="2744"/>
      <c r="Z1503" s="2744"/>
      <c r="AA1503" s="2744"/>
      <c r="AB1503" s="2744"/>
      <c r="AC1503" s="2744"/>
      <c r="AD1503" s="2744"/>
      <c r="AE1503" s="2745"/>
      <c r="AF1503" s="2744"/>
      <c r="AG1503" s="2744"/>
      <c r="AH1503" s="2744"/>
      <c r="AI1503" s="2744"/>
      <c r="AJ1503" s="2744"/>
      <c r="AK1503" s="2744"/>
      <c r="AL1503" s="2744"/>
      <c r="AM1503" s="2744"/>
      <c r="AN1503" s="2744"/>
      <c r="AO1503" s="2744"/>
      <c r="AP1503" s="2744"/>
      <c r="AQ1503" s="2744"/>
      <c r="AS1503" s="2744"/>
      <c r="AT1503" s="2744"/>
      <c r="AU1503" s="2744"/>
      <c r="AV1503" s="2744"/>
      <c r="AW1503" s="2744"/>
      <c r="AX1503" s="2744"/>
      <c r="AY1503" s="531"/>
      <c r="AZ1503" s="2744"/>
      <c r="BA1503" s="2744"/>
      <c r="BB1503" s="2744"/>
      <c r="BC1503" s="2744"/>
      <c r="BD1503" s="2744"/>
      <c r="BE1503" s="2744"/>
      <c r="BF1503" s="2744"/>
      <c r="BG1503" s="2744"/>
      <c r="BH1503" s="3553">
        <v>7805584697</v>
      </c>
      <c r="BI1503" s="3116" t="s">
        <v>15354</v>
      </c>
      <c r="BJ1503" s="3117">
        <v>679314</v>
      </c>
      <c r="BK1503" s="530"/>
      <c r="BO1503" s="2535"/>
      <c r="CA1503" s="2744"/>
      <c r="CD1503" s="101"/>
      <c r="CP1503" s="2448"/>
      <c r="CS1503" s="2744"/>
      <c r="CT1503" s="2062"/>
      <c r="CX1503" s="166"/>
      <c r="DB1503" s="2745"/>
      <c r="DC1503" s="2535"/>
      <c r="DG1503" s="2535"/>
      <c r="EC1503" s="101"/>
      <c r="EG1503" s="101"/>
      <c r="EI1503" s="2689" t="s">
        <v>11822</v>
      </c>
    </row>
    <row r="1504" spans="1:139" s="3617" customFormat="1" ht="72.5">
      <c r="A1504" s="2447"/>
      <c r="B1504" s="2744"/>
      <c r="C1504" s="2744"/>
      <c r="D1504" s="2744"/>
      <c r="E1504" s="2091"/>
      <c r="F1504" s="2091"/>
      <c r="G1504" s="2744"/>
      <c r="H1504" s="2744"/>
      <c r="I1504" s="2744"/>
      <c r="J1504" s="2744"/>
      <c r="K1504" s="2744"/>
      <c r="L1504" s="2744"/>
      <c r="M1504" s="2744"/>
      <c r="N1504" s="2744"/>
      <c r="O1504" s="2744"/>
      <c r="P1504" s="2744"/>
      <c r="Q1504" s="2744"/>
      <c r="R1504" s="2744"/>
      <c r="S1504" s="2744"/>
      <c r="T1504" s="2744"/>
      <c r="U1504" s="2744"/>
      <c r="V1504" s="2744"/>
      <c r="W1504" s="2744"/>
      <c r="X1504" s="2744"/>
      <c r="Y1504" s="2744"/>
      <c r="Z1504" s="2744"/>
      <c r="AA1504" s="2744"/>
      <c r="AB1504" s="2744"/>
      <c r="AC1504" s="2744"/>
      <c r="AD1504" s="2744"/>
      <c r="AE1504" s="2745"/>
      <c r="AF1504" s="2744"/>
      <c r="AG1504" s="2744"/>
      <c r="AH1504" s="2744"/>
      <c r="AI1504" s="2744"/>
      <c r="AJ1504" s="2744"/>
      <c r="AK1504" s="2744"/>
      <c r="AL1504" s="2744"/>
      <c r="AM1504" s="2744"/>
      <c r="AN1504" s="2744"/>
      <c r="AO1504" s="2744"/>
      <c r="AP1504" s="2744"/>
      <c r="AQ1504" s="2744"/>
      <c r="AS1504" s="2744"/>
      <c r="AT1504" s="2744"/>
      <c r="AU1504" s="2744"/>
      <c r="AV1504" s="2744"/>
      <c r="AW1504" s="2744"/>
      <c r="AX1504" s="2744"/>
      <c r="AY1504" s="531"/>
      <c r="AZ1504" s="2744"/>
      <c r="BA1504" s="2744"/>
      <c r="BB1504" s="2744"/>
      <c r="BC1504" s="2744"/>
      <c r="BD1504" s="2744"/>
      <c r="BE1504" s="2744"/>
      <c r="BF1504" s="2744"/>
      <c r="BG1504" s="2744"/>
      <c r="BH1504" s="3553">
        <v>2315166028</v>
      </c>
      <c r="BI1504" s="3116" t="s">
        <v>14772</v>
      </c>
      <c r="BJ1504" s="3117">
        <v>639708</v>
      </c>
      <c r="BK1504" s="530"/>
      <c r="BO1504" s="2535"/>
      <c r="CA1504" s="2744"/>
      <c r="CD1504" s="101"/>
      <c r="CP1504" s="2448"/>
      <c r="CS1504" s="2744"/>
      <c r="CT1504" s="2062"/>
      <c r="CX1504" s="166"/>
      <c r="DB1504" s="2745"/>
      <c r="DC1504" s="2535"/>
      <c r="DG1504" s="2535"/>
      <c r="EC1504" s="101"/>
      <c r="EG1504" s="101"/>
      <c r="EI1504" s="2689" t="s">
        <v>11823</v>
      </c>
    </row>
    <row r="1505" spans="1:139" s="3617" customFormat="1">
      <c r="A1505" s="2447"/>
      <c r="B1505" s="2744"/>
      <c r="C1505" s="2744"/>
      <c r="D1505" s="2744"/>
      <c r="E1505" s="2091"/>
      <c r="F1505" s="2091"/>
      <c r="G1505" s="2744"/>
      <c r="H1505" s="2744"/>
      <c r="I1505" s="2744"/>
      <c r="J1505" s="2744"/>
      <c r="K1505" s="2744"/>
      <c r="L1505" s="2744"/>
      <c r="M1505" s="2744"/>
      <c r="N1505" s="2744"/>
      <c r="O1505" s="2744"/>
      <c r="P1505" s="2744"/>
      <c r="Q1505" s="2744"/>
      <c r="R1505" s="2744"/>
      <c r="S1505" s="2744"/>
      <c r="T1505" s="2744"/>
      <c r="U1505" s="2744"/>
      <c r="V1505" s="2744"/>
      <c r="W1505" s="2744"/>
      <c r="X1505" s="2744"/>
      <c r="Y1505" s="2744"/>
      <c r="Z1505" s="2744"/>
      <c r="AA1505" s="2744"/>
      <c r="AB1505" s="2744"/>
      <c r="AC1505" s="2744"/>
      <c r="AD1505" s="2744"/>
      <c r="AE1505" s="2745"/>
      <c r="AF1505" s="2744"/>
      <c r="AG1505" s="2744"/>
      <c r="AH1505" s="2744"/>
      <c r="AI1505" s="2744"/>
      <c r="AJ1505" s="2744"/>
      <c r="AK1505" s="2744"/>
      <c r="AL1505" s="2744"/>
      <c r="AM1505" s="2744"/>
      <c r="AN1505" s="2744"/>
      <c r="AO1505" s="2744"/>
      <c r="AP1505" s="2744"/>
      <c r="AQ1505" s="2744"/>
      <c r="AS1505" s="2744"/>
      <c r="AT1505" s="2744"/>
      <c r="AU1505" s="2744"/>
      <c r="AV1505" s="2744"/>
      <c r="AW1505" s="2744"/>
      <c r="AX1505" s="2744"/>
      <c r="AY1505" s="531"/>
      <c r="AZ1505" s="2744"/>
      <c r="BA1505" s="2744"/>
      <c r="BB1505" s="2744"/>
      <c r="BC1505" s="2744"/>
      <c r="BD1505" s="2744"/>
      <c r="BE1505" s="2744"/>
      <c r="BF1505" s="2744"/>
      <c r="BG1505" s="2744"/>
      <c r="BH1505" s="3553">
        <v>7839372877</v>
      </c>
      <c r="BI1505" s="3116" t="s">
        <v>15371</v>
      </c>
      <c r="BJ1505" s="3117">
        <v>679186</v>
      </c>
      <c r="BK1505" s="530"/>
      <c r="BO1505" s="2535"/>
      <c r="CA1505" s="2744"/>
      <c r="CD1505" s="101"/>
      <c r="CP1505" s="2448"/>
      <c r="CS1505" s="2744"/>
      <c r="CT1505" s="2062"/>
      <c r="CX1505" s="166"/>
      <c r="DB1505" s="2745"/>
      <c r="DC1505" s="2535"/>
      <c r="DG1505" s="2535"/>
      <c r="EC1505" s="101"/>
      <c r="EG1505" s="101"/>
      <c r="EI1505" s="2689" t="s">
        <v>11824</v>
      </c>
    </row>
    <row r="1506" spans="1:139" s="3617" customFormat="1">
      <c r="A1506" s="2447"/>
      <c r="B1506" s="2744"/>
      <c r="C1506" s="2744"/>
      <c r="D1506" s="2744"/>
      <c r="E1506" s="2091"/>
      <c r="F1506" s="2091"/>
      <c r="G1506" s="2744"/>
      <c r="H1506" s="2744"/>
      <c r="I1506" s="2744"/>
      <c r="J1506" s="2744"/>
      <c r="K1506" s="2744"/>
      <c r="L1506" s="2744"/>
      <c r="M1506" s="2744"/>
      <c r="N1506" s="2744"/>
      <c r="O1506" s="2744"/>
      <c r="P1506" s="2744"/>
      <c r="Q1506" s="2744"/>
      <c r="R1506" s="2744"/>
      <c r="S1506" s="2744"/>
      <c r="T1506" s="2744"/>
      <c r="U1506" s="2744"/>
      <c r="V1506" s="2744"/>
      <c r="W1506" s="2744"/>
      <c r="X1506" s="2744"/>
      <c r="Y1506" s="2744"/>
      <c r="Z1506" s="2744"/>
      <c r="AA1506" s="2744"/>
      <c r="AB1506" s="2744"/>
      <c r="AC1506" s="2744"/>
      <c r="AD1506" s="2744"/>
      <c r="AE1506" s="2745"/>
      <c r="AF1506" s="2744"/>
      <c r="AG1506" s="2744"/>
      <c r="AH1506" s="2744"/>
      <c r="AI1506" s="2744"/>
      <c r="AJ1506" s="2744"/>
      <c r="AK1506" s="2744"/>
      <c r="AL1506" s="2744"/>
      <c r="AM1506" s="2744"/>
      <c r="AN1506" s="2744"/>
      <c r="AO1506" s="2744"/>
      <c r="AP1506" s="2744"/>
      <c r="AQ1506" s="2744"/>
      <c r="AS1506" s="2744"/>
      <c r="AT1506" s="2744"/>
      <c r="AU1506" s="2744"/>
      <c r="AV1506" s="2744"/>
      <c r="AW1506" s="2744"/>
      <c r="AX1506" s="2744"/>
      <c r="AY1506" s="531"/>
      <c r="AZ1506" s="2744"/>
      <c r="BA1506" s="2744"/>
      <c r="BB1506" s="2744"/>
      <c r="BC1506" s="2744"/>
      <c r="BD1506" s="2744"/>
      <c r="BE1506" s="2744"/>
      <c r="BF1506" s="2744"/>
      <c r="BG1506" s="2744"/>
      <c r="BH1506" s="3553">
        <v>7720259786</v>
      </c>
      <c r="BI1506" s="3116" t="s">
        <v>14773</v>
      </c>
      <c r="BJ1506" s="3117">
        <v>223326</v>
      </c>
      <c r="BK1506" s="530"/>
      <c r="BO1506" s="2535"/>
      <c r="CA1506" s="2744"/>
      <c r="CD1506" s="101"/>
      <c r="CP1506" s="2448"/>
      <c r="CS1506" s="2744"/>
      <c r="CT1506" s="2062"/>
      <c r="CX1506" s="166"/>
      <c r="DB1506" s="2745"/>
      <c r="DC1506" s="2535"/>
      <c r="DG1506" s="2535"/>
      <c r="EC1506" s="101"/>
      <c r="EG1506" s="101"/>
      <c r="EI1506" s="2689" t="s">
        <v>11825</v>
      </c>
    </row>
    <row r="1507" spans="1:139" s="3617" customFormat="1">
      <c r="A1507" s="2447"/>
      <c r="B1507" s="2744"/>
      <c r="C1507" s="2744"/>
      <c r="D1507" s="2744"/>
      <c r="E1507" s="2091"/>
      <c r="F1507" s="2091"/>
      <c r="G1507" s="2744"/>
      <c r="H1507" s="2744"/>
      <c r="I1507" s="2744"/>
      <c r="J1507" s="2744"/>
      <c r="K1507" s="2744"/>
      <c r="L1507" s="2744"/>
      <c r="M1507" s="2744"/>
      <c r="N1507" s="2744"/>
      <c r="O1507" s="2744"/>
      <c r="P1507" s="2744"/>
      <c r="Q1507" s="2744"/>
      <c r="R1507" s="2744"/>
      <c r="S1507" s="2744"/>
      <c r="T1507" s="2744"/>
      <c r="U1507" s="2744"/>
      <c r="V1507" s="2744"/>
      <c r="W1507" s="2744"/>
      <c r="X1507" s="2744"/>
      <c r="Y1507" s="2744"/>
      <c r="Z1507" s="2744"/>
      <c r="AA1507" s="2744"/>
      <c r="AB1507" s="2744"/>
      <c r="AC1507" s="2744"/>
      <c r="AD1507" s="2744"/>
      <c r="AE1507" s="2745"/>
      <c r="AF1507" s="2744"/>
      <c r="AG1507" s="2744"/>
      <c r="AH1507" s="2744"/>
      <c r="AI1507" s="2744"/>
      <c r="AJ1507" s="2744"/>
      <c r="AK1507" s="2744"/>
      <c r="AL1507" s="2744"/>
      <c r="AM1507" s="2744"/>
      <c r="AN1507" s="2744"/>
      <c r="AO1507" s="2744"/>
      <c r="AP1507" s="2744"/>
      <c r="AQ1507" s="2744"/>
      <c r="AS1507" s="2744"/>
      <c r="AT1507" s="2744"/>
      <c r="AU1507" s="2744"/>
      <c r="AV1507" s="2744"/>
      <c r="AW1507" s="2744"/>
      <c r="AX1507" s="2744"/>
      <c r="AY1507" s="531"/>
      <c r="AZ1507" s="2744"/>
      <c r="BA1507" s="2744"/>
      <c r="BB1507" s="2744"/>
      <c r="BC1507" s="2744"/>
      <c r="BD1507" s="2744"/>
      <c r="BE1507" s="2744"/>
      <c r="BF1507" s="2744"/>
      <c r="BG1507" s="2744"/>
      <c r="BH1507" s="3553">
        <v>5009059167</v>
      </c>
      <c r="BI1507" s="3116" t="s">
        <v>15357</v>
      </c>
      <c r="BJ1507" s="3117">
        <v>679306</v>
      </c>
      <c r="BK1507" s="530"/>
      <c r="BO1507" s="2535"/>
      <c r="CA1507" s="2744"/>
      <c r="CD1507" s="101"/>
      <c r="CP1507" s="2448"/>
      <c r="CS1507" s="2744"/>
      <c r="CT1507" s="2062"/>
      <c r="CX1507" s="166"/>
      <c r="DB1507" s="2745"/>
      <c r="DC1507" s="2535"/>
      <c r="DG1507" s="2535"/>
      <c r="EC1507" s="101"/>
      <c r="EG1507" s="101"/>
      <c r="EI1507" s="2689" t="s">
        <v>11826</v>
      </c>
    </row>
    <row r="1508" spans="1:139" s="3617" customFormat="1" ht="43.5">
      <c r="A1508" s="2447"/>
      <c r="B1508" s="2744"/>
      <c r="C1508" s="2744"/>
      <c r="D1508" s="2744"/>
      <c r="E1508" s="2091"/>
      <c r="F1508" s="2091"/>
      <c r="G1508" s="2744"/>
      <c r="H1508" s="2744"/>
      <c r="I1508" s="2744"/>
      <c r="J1508" s="2744"/>
      <c r="K1508" s="2744"/>
      <c r="L1508" s="2744"/>
      <c r="M1508" s="2744"/>
      <c r="N1508" s="2744"/>
      <c r="O1508" s="2744"/>
      <c r="P1508" s="2744"/>
      <c r="Q1508" s="2744"/>
      <c r="R1508" s="2744"/>
      <c r="S1508" s="2744"/>
      <c r="T1508" s="2744"/>
      <c r="U1508" s="2744"/>
      <c r="V1508" s="2744"/>
      <c r="W1508" s="2744"/>
      <c r="X1508" s="2744"/>
      <c r="Y1508" s="2744"/>
      <c r="Z1508" s="2744"/>
      <c r="AA1508" s="2744"/>
      <c r="AB1508" s="2744"/>
      <c r="AC1508" s="2744"/>
      <c r="AD1508" s="2744"/>
      <c r="AE1508" s="2745"/>
      <c r="AF1508" s="2744"/>
      <c r="AG1508" s="2744"/>
      <c r="AH1508" s="2744"/>
      <c r="AI1508" s="2744"/>
      <c r="AJ1508" s="2744"/>
      <c r="AK1508" s="2744"/>
      <c r="AL1508" s="2744"/>
      <c r="AM1508" s="2744"/>
      <c r="AN1508" s="2744"/>
      <c r="AO1508" s="2744"/>
      <c r="AP1508" s="2744"/>
      <c r="AQ1508" s="2744"/>
      <c r="AS1508" s="2744"/>
      <c r="AT1508" s="2744"/>
      <c r="AU1508" s="2744"/>
      <c r="AV1508" s="2744"/>
      <c r="AW1508" s="2744"/>
      <c r="AX1508" s="2744"/>
      <c r="AY1508" s="531"/>
      <c r="AZ1508" s="2744"/>
      <c r="BA1508" s="2744"/>
      <c r="BB1508" s="2744"/>
      <c r="BC1508" s="2744"/>
      <c r="BD1508" s="2744"/>
      <c r="BE1508" s="2744"/>
      <c r="BF1508" s="2744"/>
      <c r="BG1508" s="2744"/>
      <c r="BH1508" s="3553">
        <v>2315046740</v>
      </c>
      <c r="BI1508" s="3116" t="s">
        <v>14774</v>
      </c>
      <c r="BJ1508" s="3117">
        <v>639679</v>
      </c>
      <c r="BK1508" s="530"/>
      <c r="BO1508" s="2535"/>
      <c r="CA1508" s="2744"/>
      <c r="CD1508" s="101"/>
      <c r="CP1508" s="2448"/>
      <c r="CS1508" s="2744"/>
      <c r="CT1508" s="2062"/>
      <c r="CX1508" s="166"/>
      <c r="DB1508" s="2745"/>
      <c r="DC1508" s="2535"/>
      <c r="DG1508" s="2535"/>
      <c r="EC1508" s="101"/>
      <c r="EG1508" s="101"/>
      <c r="EI1508" s="2689" t="s">
        <v>11827</v>
      </c>
    </row>
    <row r="1509" spans="1:139" s="3617" customFormat="1" ht="29">
      <c r="A1509" s="2447"/>
      <c r="B1509" s="2744"/>
      <c r="C1509" s="2744"/>
      <c r="D1509" s="2744"/>
      <c r="E1509" s="2091"/>
      <c r="F1509" s="2091"/>
      <c r="G1509" s="2744"/>
      <c r="H1509" s="2744"/>
      <c r="I1509" s="2744"/>
      <c r="J1509" s="2744"/>
      <c r="K1509" s="2744"/>
      <c r="L1509" s="2744"/>
      <c r="M1509" s="2744"/>
      <c r="N1509" s="2744"/>
      <c r="O1509" s="2744"/>
      <c r="P1509" s="2744"/>
      <c r="Q1509" s="2744"/>
      <c r="R1509" s="2744"/>
      <c r="S1509" s="2744"/>
      <c r="T1509" s="2744"/>
      <c r="U1509" s="2744"/>
      <c r="V1509" s="2744"/>
      <c r="W1509" s="2744"/>
      <c r="X1509" s="2744"/>
      <c r="Y1509" s="2744"/>
      <c r="Z1509" s="2744"/>
      <c r="AA1509" s="2744"/>
      <c r="AB1509" s="2744"/>
      <c r="AC1509" s="2744"/>
      <c r="AD1509" s="2744"/>
      <c r="AE1509" s="2745"/>
      <c r="AF1509" s="2744"/>
      <c r="AG1509" s="2744"/>
      <c r="AH1509" s="2744"/>
      <c r="AI1509" s="2744"/>
      <c r="AJ1509" s="2744"/>
      <c r="AK1509" s="2744"/>
      <c r="AL1509" s="2744"/>
      <c r="AM1509" s="2744"/>
      <c r="AN1509" s="2744"/>
      <c r="AO1509" s="2744"/>
      <c r="AP1509" s="2744"/>
      <c r="AQ1509" s="2744"/>
      <c r="AS1509" s="2744"/>
      <c r="AT1509" s="2744"/>
      <c r="AU1509" s="2744"/>
      <c r="AV1509" s="2744"/>
      <c r="AW1509" s="2744"/>
      <c r="AX1509" s="2744"/>
      <c r="AY1509" s="531"/>
      <c r="AZ1509" s="2744"/>
      <c r="BA1509" s="2744"/>
      <c r="BB1509" s="2744"/>
      <c r="BC1509" s="2744"/>
      <c r="BD1509" s="2744"/>
      <c r="BE1509" s="2744"/>
      <c r="BF1509" s="2744"/>
      <c r="BG1509" s="2744"/>
      <c r="BH1509" s="3553">
        <v>2315223156</v>
      </c>
      <c r="BI1509" s="3116" t="s">
        <v>15275</v>
      </c>
      <c r="BJ1509" s="3117">
        <v>713251</v>
      </c>
      <c r="BK1509" s="530"/>
      <c r="BO1509" s="2535"/>
      <c r="CA1509" s="2744"/>
      <c r="CD1509" s="101"/>
      <c r="CP1509" s="2448"/>
      <c r="CS1509" s="2744"/>
      <c r="CT1509" s="2062"/>
      <c r="CX1509" s="166"/>
      <c r="DB1509" s="2745"/>
      <c r="DC1509" s="2535"/>
      <c r="DG1509" s="2535"/>
      <c r="EC1509" s="101"/>
      <c r="EG1509" s="101"/>
      <c r="EI1509" s="2689" t="s">
        <v>11828</v>
      </c>
    </row>
    <row r="1510" spans="1:139" s="3617" customFormat="1" ht="29">
      <c r="A1510" s="2447"/>
      <c r="B1510" s="2744"/>
      <c r="C1510" s="2744"/>
      <c r="D1510" s="2744"/>
      <c r="E1510" s="2091"/>
      <c r="F1510" s="2091"/>
      <c r="G1510" s="2744"/>
      <c r="H1510" s="2744"/>
      <c r="I1510" s="2744"/>
      <c r="J1510" s="2744"/>
      <c r="K1510" s="2744"/>
      <c r="L1510" s="2744"/>
      <c r="M1510" s="2744"/>
      <c r="N1510" s="2744"/>
      <c r="O1510" s="2744"/>
      <c r="P1510" s="2744"/>
      <c r="Q1510" s="2744"/>
      <c r="R1510" s="2744"/>
      <c r="S1510" s="2744"/>
      <c r="T1510" s="2744"/>
      <c r="U1510" s="2744"/>
      <c r="V1510" s="2744"/>
      <c r="W1510" s="2744"/>
      <c r="X1510" s="2744"/>
      <c r="Y1510" s="2744"/>
      <c r="Z1510" s="2744"/>
      <c r="AA1510" s="2744"/>
      <c r="AB1510" s="2744"/>
      <c r="AC1510" s="2744"/>
      <c r="AD1510" s="2744"/>
      <c r="AE1510" s="2745"/>
      <c r="AF1510" s="2744"/>
      <c r="AG1510" s="2744"/>
      <c r="AH1510" s="2744"/>
      <c r="AI1510" s="2744"/>
      <c r="AJ1510" s="2744"/>
      <c r="AK1510" s="2744"/>
      <c r="AL1510" s="2744"/>
      <c r="AM1510" s="2744"/>
      <c r="AN1510" s="2744"/>
      <c r="AO1510" s="2744"/>
      <c r="AP1510" s="2744"/>
      <c r="AQ1510" s="2744"/>
      <c r="AS1510" s="2744"/>
      <c r="AT1510" s="2744"/>
      <c r="AU1510" s="2744"/>
      <c r="AV1510" s="2744"/>
      <c r="AW1510" s="2744"/>
      <c r="AX1510" s="2744"/>
      <c r="AY1510" s="531"/>
      <c r="AZ1510" s="2744"/>
      <c r="BA1510" s="2744"/>
      <c r="BB1510" s="2744"/>
      <c r="BC1510" s="2744"/>
      <c r="BD1510" s="2744"/>
      <c r="BE1510" s="2744"/>
      <c r="BF1510" s="2744"/>
      <c r="BG1510" s="2744"/>
      <c r="BH1510" s="3553">
        <v>9725071534</v>
      </c>
      <c r="BI1510" s="3116" t="s">
        <v>15287</v>
      </c>
      <c r="BJ1510" s="3117">
        <v>713392</v>
      </c>
      <c r="BK1510" s="530"/>
      <c r="BO1510" s="2535"/>
      <c r="CA1510" s="2744"/>
      <c r="CD1510" s="101"/>
      <c r="CP1510" s="2448"/>
      <c r="CS1510" s="2744"/>
      <c r="CT1510" s="2062"/>
      <c r="CX1510" s="166"/>
      <c r="DB1510" s="2745"/>
      <c r="DC1510" s="2535"/>
      <c r="DG1510" s="2535"/>
      <c r="EC1510" s="101"/>
      <c r="EG1510" s="101"/>
      <c r="EI1510" s="2689" t="s">
        <v>11829</v>
      </c>
    </row>
    <row r="1511" spans="1:139" s="3617" customFormat="1" ht="29">
      <c r="A1511" s="2447"/>
      <c r="B1511" s="2744"/>
      <c r="C1511" s="2744"/>
      <c r="D1511" s="2744"/>
      <c r="E1511" s="2091"/>
      <c r="F1511" s="2091"/>
      <c r="G1511" s="2744"/>
      <c r="H1511" s="2744"/>
      <c r="I1511" s="2744"/>
      <c r="J1511" s="2744"/>
      <c r="K1511" s="2744"/>
      <c r="L1511" s="2744"/>
      <c r="M1511" s="2744"/>
      <c r="N1511" s="2744"/>
      <c r="O1511" s="2744"/>
      <c r="P1511" s="2744"/>
      <c r="Q1511" s="2744"/>
      <c r="R1511" s="2744"/>
      <c r="S1511" s="2744"/>
      <c r="T1511" s="2744"/>
      <c r="U1511" s="2744"/>
      <c r="V1511" s="2744"/>
      <c r="W1511" s="2744"/>
      <c r="X1511" s="2744"/>
      <c r="Y1511" s="2744"/>
      <c r="Z1511" s="2744"/>
      <c r="AA1511" s="2744"/>
      <c r="AB1511" s="2744"/>
      <c r="AC1511" s="2744"/>
      <c r="AD1511" s="2744"/>
      <c r="AE1511" s="2745"/>
      <c r="AF1511" s="2744"/>
      <c r="AG1511" s="2744"/>
      <c r="AH1511" s="2744"/>
      <c r="AI1511" s="2744"/>
      <c r="AJ1511" s="2744"/>
      <c r="AK1511" s="2744"/>
      <c r="AL1511" s="2744"/>
      <c r="AM1511" s="2744"/>
      <c r="AN1511" s="2744"/>
      <c r="AO1511" s="2744"/>
      <c r="AP1511" s="2744"/>
      <c r="AQ1511" s="2744"/>
      <c r="AS1511" s="2744"/>
      <c r="AT1511" s="2744"/>
      <c r="AU1511" s="2744"/>
      <c r="AV1511" s="2744"/>
      <c r="AW1511" s="2744"/>
      <c r="AX1511" s="2744"/>
      <c r="AY1511" s="531"/>
      <c r="AZ1511" s="2744"/>
      <c r="BA1511" s="2744"/>
      <c r="BB1511" s="2744"/>
      <c r="BC1511" s="2744"/>
      <c r="BD1511" s="2744"/>
      <c r="BE1511" s="2744"/>
      <c r="BF1511" s="2744"/>
      <c r="BG1511" s="2744"/>
      <c r="BH1511" s="3620">
        <v>6501253814</v>
      </c>
      <c r="BI1511" s="3621" t="s">
        <v>15372</v>
      </c>
      <c r="BJ1511" s="3622">
        <v>615110</v>
      </c>
      <c r="BK1511" s="530"/>
      <c r="BO1511" s="2535"/>
      <c r="CA1511" s="2744"/>
      <c r="CD1511" s="101"/>
      <c r="CP1511" s="2448"/>
      <c r="CS1511" s="2744"/>
      <c r="CT1511" s="2062"/>
      <c r="CX1511" s="166"/>
      <c r="DB1511" s="2745"/>
      <c r="DC1511" s="2535"/>
      <c r="DG1511" s="2535"/>
      <c r="EC1511" s="101"/>
      <c r="EG1511" s="101"/>
      <c r="EI1511" s="2689" t="s">
        <v>11830</v>
      </c>
    </row>
    <row r="1512" spans="1:139" s="3617" customFormat="1" ht="43.5">
      <c r="A1512" s="2447"/>
      <c r="B1512" s="2744"/>
      <c r="C1512" s="2744"/>
      <c r="D1512" s="2744"/>
      <c r="E1512" s="2091"/>
      <c r="F1512" s="2091"/>
      <c r="G1512" s="2744"/>
      <c r="H1512" s="2744"/>
      <c r="I1512" s="2744"/>
      <c r="J1512" s="2744"/>
      <c r="K1512" s="2744"/>
      <c r="L1512" s="2744"/>
      <c r="M1512" s="2744"/>
      <c r="N1512" s="2744"/>
      <c r="O1512" s="2744"/>
      <c r="P1512" s="2744"/>
      <c r="Q1512" s="2744"/>
      <c r="R1512" s="2744"/>
      <c r="S1512" s="2744"/>
      <c r="T1512" s="2744"/>
      <c r="U1512" s="2744"/>
      <c r="V1512" s="2744"/>
      <c r="W1512" s="2744"/>
      <c r="X1512" s="2744"/>
      <c r="Y1512" s="2744"/>
      <c r="Z1512" s="2744"/>
      <c r="AA1512" s="2744"/>
      <c r="AB1512" s="2744"/>
      <c r="AC1512" s="2744"/>
      <c r="AD1512" s="2744"/>
      <c r="AE1512" s="2745"/>
      <c r="AF1512" s="2744"/>
      <c r="AG1512" s="2744"/>
      <c r="AH1512" s="2744"/>
      <c r="AI1512" s="2744"/>
      <c r="AJ1512" s="2744"/>
      <c r="AK1512" s="2744"/>
      <c r="AL1512" s="2744"/>
      <c r="AM1512" s="2744"/>
      <c r="AN1512" s="2744"/>
      <c r="AO1512" s="2744"/>
      <c r="AP1512" s="2744"/>
      <c r="AQ1512" s="2744"/>
      <c r="AS1512" s="2744"/>
      <c r="AT1512" s="2744"/>
      <c r="AU1512" s="2744"/>
      <c r="AV1512" s="2744"/>
      <c r="AW1512" s="2744"/>
      <c r="AX1512" s="2744"/>
      <c r="AY1512" s="531"/>
      <c r="AZ1512" s="2744"/>
      <c r="BA1512" s="2744"/>
      <c r="BB1512" s="2744"/>
      <c r="BC1512" s="2744"/>
      <c r="BD1512" s="2744"/>
      <c r="BE1512" s="2744"/>
      <c r="BF1512" s="2744"/>
      <c r="BG1512" s="2744"/>
      <c r="BH1512" s="3623"/>
      <c r="BI1512" s="3624"/>
      <c r="BJ1512" s="3625"/>
      <c r="BK1512" s="530"/>
      <c r="BO1512" s="2535"/>
      <c r="CA1512" s="2744"/>
      <c r="CD1512" s="101"/>
      <c r="CP1512" s="2448"/>
      <c r="CS1512" s="2744"/>
      <c r="CT1512" s="2062"/>
      <c r="CX1512" s="166"/>
      <c r="DB1512" s="2745"/>
      <c r="DC1512" s="2535"/>
      <c r="DG1512" s="2535"/>
      <c r="EC1512" s="101"/>
      <c r="EG1512" s="101"/>
      <c r="EI1512" s="2689" t="s">
        <v>11831</v>
      </c>
    </row>
    <row r="1513" spans="1:139" s="3617" customFormat="1">
      <c r="A1513" s="2447"/>
      <c r="B1513" s="2744"/>
      <c r="C1513" s="2744"/>
      <c r="D1513" s="2744"/>
      <c r="E1513" s="2091"/>
      <c r="F1513" s="2091"/>
      <c r="G1513" s="2744"/>
      <c r="H1513" s="2744"/>
      <c r="I1513" s="2744"/>
      <c r="J1513" s="2744"/>
      <c r="K1513" s="2744"/>
      <c r="L1513" s="2744"/>
      <c r="M1513" s="2744"/>
      <c r="N1513" s="2744"/>
      <c r="O1513" s="2744"/>
      <c r="P1513" s="2744"/>
      <c r="Q1513" s="2744"/>
      <c r="R1513" s="2744"/>
      <c r="S1513" s="2744"/>
      <c r="T1513" s="2744"/>
      <c r="U1513" s="2744"/>
      <c r="V1513" s="2744"/>
      <c r="W1513" s="2744"/>
      <c r="X1513" s="2744"/>
      <c r="Y1513" s="2744"/>
      <c r="Z1513" s="2744"/>
      <c r="AA1513" s="2744"/>
      <c r="AB1513" s="2744"/>
      <c r="AC1513" s="2744"/>
      <c r="AD1513" s="2744"/>
      <c r="AE1513" s="2745"/>
      <c r="AF1513" s="2744"/>
      <c r="AG1513" s="2744"/>
      <c r="AH1513" s="2744"/>
      <c r="AI1513" s="2744"/>
      <c r="AJ1513" s="2744"/>
      <c r="AK1513" s="2744"/>
      <c r="AL1513" s="2744"/>
      <c r="AM1513" s="2744"/>
      <c r="AN1513" s="2744"/>
      <c r="AO1513" s="2744"/>
      <c r="AP1513" s="2744"/>
      <c r="AQ1513" s="2744"/>
      <c r="AS1513" s="2744"/>
      <c r="AT1513" s="2744"/>
      <c r="AU1513" s="2744"/>
      <c r="AV1513" s="2744"/>
      <c r="AW1513" s="2744"/>
      <c r="AX1513" s="2744"/>
      <c r="AY1513" s="531"/>
      <c r="AZ1513" s="2744"/>
      <c r="BA1513" s="2744"/>
      <c r="BB1513" s="2744"/>
      <c r="BC1513" s="2744"/>
      <c r="BD1513" s="2744"/>
      <c r="BE1513" s="2744"/>
      <c r="BF1513" s="2744"/>
      <c r="BG1513" s="2744"/>
      <c r="BH1513" s="3623"/>
      <c r="BI1513" s="3624"/>
      <c r="BJ1513" s="3625"/>
      <c r="BK1513" s="530"/>
      <c r="BO1513" s="2535"/>
      <c r="CA1513" s="2744"/>
      <c r="CD1513" s="101"/>
      <c r="CP1513" s="2448"/>
      <c r="CS1513" s="2744"/>
      <c r="CT1513" s="2062"/>
      <c r="CX1513" s="166"/>
      <c r="DB1513" s="2745"/>
      <c r="DC1513" s="2535"/>
      <c r="DG1513" s="2535"/>
      <c r="EC1513" s="101"/>
      <c r="EG1513" s="101"/>
      <c r="EI1513" s="2689" t="s">
        <v>11832</v>
      </c>
    </row>
    <row r="1514" spans="1:139" s="3617" customFormat="1">
      <c r="A1514" s="2447"/>
      <c r="B1514" s="2744"/>
      <c r="C1514" s="2744"/>
      <c r="D1514" s="2744"/>
      <c r="E1514" s="2091"/>
      <c r="F1514" s="2091"/>
      <c r="G1514" s="2744"/>
      <c r="H1514" s="2744"/>
      <c r="I1514" s="2744"/>
      <c r="J1514" s="2744"/>
      <c r="K1514" s="2744"/>
      <c r="L1514" s="2744"/>
      <c r="M1514" s="2744"/>
      <c r="N1514" s="2744"/>
      <c r="O1514" s="2744"/>
      <c r="P1514" s="2744"/>
      <c r="Q1514" s="2744"/>
      <c r="R1514" s="2744"/>
      <c r="S1514" s="2744"/>
      <c r="T1514" s="2744"/>
      <c r="U1514" s="2744"/>
      <c r="V1514" s="2744"/>
      <c r="W1514" s="2744"/>
      <c r="X1514" s="2744"/>
      <c r="Y1514" s="2744"/>
      <c r="Z1514" s="2744"/>
      <c r="AA1514" s="2744"/>
      <c r="AB1514" s="2744"/>
      <c r="AC1514" s="2744"/>
      <c r="AD1514" s="2744"/>
      <c r="AE1514" s="2745"/>
      <c r="AF1514" s="2744"/>
      <c r="AG1514" s="2744"/>
      <c r="AH1514" s="2744"/>
      <c r="AI1514" s="2744"/>
      <c r="AJ1514" s="2744"/>
      <c r="AK1514" s="2744"/>
      <c r="AL1514" s="2744"/>
      <c r="AM1514" s="2744"/>
      <c r="AN1514" s="2744"/>
      <c r="AO1514" s="2744"/>
      <c r="AP1514" s="2744"/>
      <c r="AQ1514" s="2744"/>
      <c r="AS1514" s="2744"/>
      <c r="AT1514" s="2744"/>
      <c r="AU1514" s="2744"/>
      <c r="AV1514" s="2744"/>
      <c r="AW1514" s="2744"/>
      <c r="AX1514" s="2744"/>
      <c r="AY1514" s="531"/>
      <c r="AZ1514" s="2744"/>
      <c r="BA1514" s="2744"/>
      <c r="BB1514" s="2744"/>
      <c r="BC1514" s="2744"/>
      <c r="BD1514" s="2744"/>
      <c r="BE1514" s="2744"/>
      <c r="BF1514" s="2744"/>
      <c r="BG1514" s="2744"/>
      <c r="BH1514" s="3623"/>
      <c r="BI1514" s="3624"/>
      <c r="BJ1514" s="3625"/>
      <c r="BK1514" s="530"/>
      <c r="BO1514" s="2535"/>
      <c r="CA1514" s="2744"/>
      <c r="CD1514" s="101"/>
      <c r="CP1514" s="2448"/>
      <c r="CS1514" s="2744"/>
      <c r="CT1514" s="2062"/>
      <c r="CX1514" s="166"/>
      <c r="DB1514" s="2745"/>
      <c r="DC1514" s="2535"/>
      <c r="DG1514" s="2535"/>
      <c r="EC1514" s="101"/>
      <c r="EG1514" s="101"/>
      <c r="EI1514" s="2689" t="s">
        <v>11833</v>
      </c>
    </row>
    <row r="1515" spans="1:139" s="3617" customFormat="1" ht="43.5">
      <c r="A1515" s="2447"/>
      <c r="B1515" s="2744"/>
      <c r="C1515" s="2744"/>
      <c r="D1515" s="2744"/>
      <c r="E1515" s="2091"/>
      <c r="F1515" s="2091"/>
      <c r="G1515" s="2744"/>
      <c r="H1515" s="2744"/>
      <c r="I1515" s="2744"/>
      <c r="J1515" s="2744"/>
      <c r="K1515" s="2744"/>
      <c r="L1515" s="2744"/>
      <c r="M1515" s="2744"/>
      <c r="N1515" s="2744"/>
      <c r="O1515" s="2744"/>
      <c r="P1515" s="2744"/>
      <c r="Q1515" s="2744"/>
      <c r="R1515" s="2744"/>
      <c r="S1515" s="2744"/>
      <c r="T1515" s="2744"/>
      <c r="U1515" s="2744"/>
      <c r="V1515" s="2744"/>
      <c r="W1515" s="2744"/>
      <c r="X1515" s="2744"/>
      <c r="Y1515" s="2744"/>
      <c r="Z1515" s="2744"/>
      <c r="AA1515" s="2744"/>
      <c r="AB1515" s="2744"/>
      <c r="AC1515" s="2744"/>
      <c r="AD1515" s="2744"/>
      <c r="AE1515" s="2745"/>
      <c r="AF1515" s="2744"/>
      <c r="AG1515" s="2744"/>
      <c r="AH1515" s="2744"/>
      <c r="AI1515" s="2744"/>
      <c r="AJ1515" s="2744"/>
      <c r="AK1515" s="2744"/>
      <c r="AL1515" s="2744"/>
      <c r="AM1515" s="2744"/>
      <c r="AN1515" s="2744"/>
      <c r="AO1515" s="2744"/>
      <c r="AP1515" s="2744"/>
      <c r="AQ1515" s="2744"/>
      <c r="AS1515" s="2744"/>
      <c r="AT1515" s="2744"/>
      <c r="AU1515" s="2744"/>
      <c r="AV1515" s="2744"/>
      <c r="AW1515" s="2744"/>
      <c r="AX1515" s="2744"/>
      <c r="AY1515" s="531"/>
      <c r="AZ1515" s="2744"/>
      <c r="BA1515" s="2744"/>
      <c r="BB1515" s="2744"/>
      <c r="BC1515" s="2744"/>
      <c r="BD1515" s="2744"/>
      <c r="BE1515" s="2744"/>
      <c r="BF1515" s="2744"/>
      <c r="BG1515" s="2744"/>
      <c r="BH1515" s="3623"/>
      <c r="BI1515" s="3624"/>
      <c r="BJ1515" s="3625"/>
      <c r="BK1515" s="530"/>
      <c r="BO1515" s="2535"/>
      <c r="CA1515" s="2744"/>
      <c r="CD1515" s="101"/>
      <c r="CP1515" s="2448"/>
      <c r="CS1515" s="2744"/>
      <c r="CT1515" s="2062"/>
      <c r="CX1515" s="166"/>
      <c r="DB1515" s="2745"/>
      <c r="DC1515" s="2535"/>
      <c r="DG1515" s="2535"/>
      <c r="EC1515" s="101"/>
      <c r="EG1515" s="101"/>
      <c r="EI1515" s="2689" t="s">
        <v>11834</v>
      </c>
    </row>
    <row r="1516" spans="1:139" s="3617" customFormat="1">
      <c r="A1516" s="2447"/>
      <c r="B1516" s="2744"/>
      <c r="C1516" s="2744"/>
      <c r="D1516" s="2744"/>
      <c r="E1516" s="2091"/>
      <c r="F1516" s="2091"/>
      <c r="G1516" s="2744"/>
      <c r="H1516" s="2744"/>
      <c r="I1516" s="2744"/>
      <c r="J1516" s="2744"/>
      <c r="K1516" s="2744"/>
      <c r="L1516" s="2744"/>
      <c r="M1516" s="2744"/>
      <c r="N1516" s="2744"/>
      <c r="O1516" s="2744"/>
      <c r="P1516" s="2744"/>
      <c r="Q1516" s="2744"/>
      <c r="R1516" s="2744"/>
      <c r="S1516" s="2744"/>
      <c r="T1516" s="2744"/>
      <c r="U1516" s="2744"/>
      <c r="V1516" s="2744"/>
      <c r="W1516" s="2744"/>
      <c r="X1516" s="2744"/>
      <c r="Y1516" s="2744"/>
      <c r="Z1516" s="2744"/>
      <c r="AA1516" s="2744"/>
      <c r="AB1516" s="2744"/>
      <c r="AC1516" s="2744"/>
      <c r="AD1516" s="2744"/>
      <c r="AE1516" s="2745"/>
      <c r="AF1516" s="2744"/>
      <c r="AG1516" s="2744"/>
      <c r="AH1516" s="2744"/>
      <c r="AI1516" s="2744"/>
      <c r="AJ1516" s="2744"/>
      <c r="AK1516" s="2744"/>
      <c r="AL1516" s="2744"/>
      <c r="AM1516" s="2744"/>
      <c r="AN1516" s="2744"/>
      <c r="AO1516" s="2744"/>
      <c r="AP1516" s="2744"/>
      <c r="AQ1516" s="2744"/>
      <c r="AS1516" s="2744"/>
      <c r="AT1516" s="2744"/>
      <c r="AU1516" s="2744"/>
      <c r="AV1516" s="2744"/>
      <c r="AW1516" s="2744"/>
      <c r="AX1516" s="2744"/>
      <c r="AY1516" s="531"/>
      <c r="AZ1516" s="2744"/>
      <c r="BA1516" s="2744"/>
      <c r="BB1516" s="2744"/>
      <c r="BC1516" s="2744"/>
      <c r="BD1516" s="2744"/>
      <c r="BE1516" s="2744"/>
      <c r="BF1516" s="2744"/>
      <c r="BG1516" s="2744"/>
      <c r="BH1516" s="3623"/>
      <c r="BI1516" s="3624"/>
      <c r="BJ1516" s="3625"/>
      <c r="BK1516" s="530"/>
      <c r="BO1516" s="2535"/>
      <c r="CA1516" s="2744"/>
      <c r="CD1516" s="101"/>
      <c r="CP1516" s="2448"/>
      <c r="CS1516" s="2744"/>
      <c r="CT1516" s="2062"/>
      <c r="CX1516" s="166"/>
      <c r="DB1516" s="2745"/>
      <c r="DC1516" s="2535"/>
      <c r="DG1516" s="2535"/>
      <c r="EC1516" s="101"/>
      <c r="EG1516" s="101"/>
      <c r="EI1516" s="2689" t="s">
        <v>11835</v>
      </c>
    </row>
    <row r="1517" spans="1:139" s="3617" customFormat="1" ht="58">
      <c r="A1517" s="2447"/>
      <c r="B1517" s="2744"/>
      <c r="C1517" s="2744"/>
      <c r="D1517" s="2744"/>
      <c r="E1517" s="2091"/>
      <c r="F1517" s="2091"/>
      <c r="G1517" s="2744"/>
      <c r="H1517" s="2744"/>
      <c r="I1517" s="2744"/>
      <c r="J1517" s="2744"/>
      <c r="K1517" s="2744"/>
      <c r="L1517" s="2744"/>
      <c r="M1517" s="2744"/>
      <c r="N1517" s="2744"/>
      <c r="O1517" s="2744"/>
      <c r="P1517" s="2744"/>
      <c r="Q1517" s="2744"/>
      <c r="R1517" s="2744"/>
      <c r="S1517" s="2744"/>
      <c r="T1517" s="2744"/>
      <c r="U1517" s="2744"/>
      <c r="V1517" s="2744"/>
      <c r="W1517" s="2744"/>
      <c r="X1517" s="2744"/>
      <c r="Y1517" s="2744"/>
      <c r="Z1517" s="2744"/>
      <c r="AA1517" s="2744"/>
      <c r="AB1517" s="2744"/>
      <c r="AC1517" s="2744"/>
      <c r="AD1517" s="2744"/>
      <c r="AE1517" s="2745"/>
      <c r="AF1517" s="2744"/>
      <c r="AG1517" s="2744"/>
      <c r="AH1517" s="2744"/>
      <c r="AI1517" s="2744"/>
      <c r="AJ1517" s="2744"/>
      <c r="AK1517" s="2744"/>
      <c r="AL1517" s="2744"/>
      <c r="AM1517" s="2744"/>
      <c r="AN1517" s="2744"/>
      <c r="AO1517" s="2744"/>
      <c r="AP1517" s="2744"/>
      <c r="AQ1517" s="2744"/>
      <c r="AS1517" s="2744"/>
      <c r="AT1517" s="2744"/>
      <c r="AU1517" s="2744"/>
      <c r="AV1517" s="2744"/>
      <c r="AW1517" s="2744"/>
      <c r="AX1517" s="2744"/>
      <c r="AY1517" s="531"/>
      <c r="AZ1517" s="2744"/>
      <c r="BA1517" s="2744"/>
      <c r="BB1517" s="2744"/>
      <c r="BC1517" s="2744"/>
      <c r="BD1517" s="2744"/>
      <c r="BE1517" s="2744"/>
      <c r="BF1517" s="2744"/>
      <c r="BG1517" s="2744"/>
      <c r="BH1517" s="3623"/>
      <c r="BI1517" s="3624"/>
      <c r="BJ1517" s="3625"/>
      <c r="BK1517" s="530"/>
      <c r="BO1517" s="2535"/>
      <c r="CA1517" s="2744"/>
      <c r="CD1517" s="101"/>
      <c r="CP1517" s="2448"/>
      <c r="CS1517" s="2744"/>
      <c r="CT1517" s="2062"/>
      <c r="CX1517" s="166"/>
      <c r="DB1517" s="2745"/>
      <c r="DC1517" s="2535"/>
      <c r="DG1517" s="2535"/>
      <c r="EC1517" s="101"/>
      <c r="EG1517" s="101"/>
      <c r="EI1517" s="2689" t="s">
        <v>11836</v>
      </c>
    </row>
    <row r="1518" spans="1:139" s="3617" customFormat="1" ht="29">
      <c r="A1518" s="2447"/>
      <c r="B1518" s="2744"/>
      <c r="C1518" s="2744"/>
      <c r="D1518" s="2744"/>
      <c r="E1518" s="2091"/>
      <c r="F1518" s="2091"/>
      <c r="G1518" s="2744"/>
      <c r="H1518" s="2744"/>
      <c r="I1518" s="2744"/>
      <c r="J1518" s="2744"/>
      <c r="K1518" s="2744"/>
      <c r="L1518" s="2744"/>
      <c r="M1518" s="2744"/>
      <c r="N1518" s="2744"/>
      <c r="O1518" s="2744"/>
      <c r="P1518" s="2744"/>
      <c r="Q1518" s="2744"/>
      <c r="R1518" s="2744"/>
      <c r="S1518" s="2744"/>
      <c r="T1518" s="2744"/>
      <c r="U1518" s="2744"/>
      <c r="V1518" s="2744"/>
      <c r="W1518" s="2744"/>
      <c r="X1518" s="2744"/>
      <c r="Y1518" s="2744"/>
      <c r="Z1518" s="2744"/>
      <c r="AA1518" s="2744"/>
      <c r="AB1518" s="2744"/>
      <c r="AC1518" s="2744"/>
      <c r="AD1518" s="2744"/>
      <c r="AE1518" s="2745"/>
      <c r="AF1518" s="2744"/>
      <c r="AG1518" s="2744"/>
      <c r="AH1518" s="2744"/>
      <c r="AI1518" s="2744"/>
      <c r="AJ1518" s="2744"/>
      <c r="AK1518" s="2744"/>
      <c r="AL1518" s="2744"/>
      <c r="AM1518" s="2744"/>
      <c r="AN1518" s="2744"/>
      <c r="AO1518" s="2744"/>
      <c r="AP1518" s="2744"/>
      <c r="AQ1518" s="2744"/>
      <c r="AS1518" s="2744"/>
      <c r="AT1518" s="2744"/>
      <c r="AU1518" s="2744"/>
      <c r="AV1518" s="2744"/>
      <c r="AW1518" s="2744"/>
      <c r="AX1518" s="2744"/>
      <c r="AY1518" s="531"/>
      <c r="AZ1518" s="2744"/>
      <c r="BA1518" s="2744"/>
      <c r="BB1518" s="2744"/>
      <c r="BC1518" s="2744"/>
      <c r="BD1518" s="2744"/>
      <c r="BE1518" s="2744"/>
      <c r="BF1518" s="2744"/>
      <c r="BG1518" s="2744"/>
      <c r="BH1518" s="3623"/>
      <c r="BI1518" s="3624"/>
      <c r="BJ1518" s="3625"/>
      <c r="BK1518" s="530"/>
      <c r="BO1518" s="2535"/>
      <c r="CA1518" s="2744"/>
      <c r="CD1518" s="101"/>
      <c r="CP1518" s="2448"/>
      <c r="CS1518" s="2744"/>
      <c r="CT1518" s="2062"/>
      <c r="CX1518" s="166"/>
      <c r="DB1518" s="2745"/>
      <c r="DC1518" s="2535"/>
      <c r="DG1518" s="2535"/>
      <c r="EC1518" s="101"/>
      <c r="EG1518" s="101"/>
      <c r="EI1518" s="2689" t="s">
        <v>11837</v>
      </c>
    </row>
    <row r="1519" spans="1:139" s="3617" customFormat="1" ht="29">
      <c r="A1519" s="2447"/>
      <c r="B1519" s="2744"/>
      <c r="C1519" s="2744"/>
      <c r="D1519" s="2744"/>
      <c r="E1519" s="2091"/>
      <c r="F1519" s="2091"/>
      <c r="G1519" s="2744"/>
      <c r="H1519" s="2744"/>
      <c r="I1519" s="2744"/>
      <c r="J1519" s="2744"/>
      <c r="K1519" s="2744"/>
      <c r="L1519" s="2744"/>
      <c r="M1519" s="2744"/>
      <c r="N1519" s="2744"/>
      <c r="O1519" s="2744"/>
      <c r="P1519" s="2744"/>
      <c r="Q1519" s="2744"/>
      <c r="R1519" s="2744"/>
      <c r="S1519" s="2744"/>
      <c r="T1519" s="2744"/>
      <c r="U1519" s="2744"/>
      <c r="V1519" s="2744"/>
      <c r="W1519" s="2744"/>
      <c r="X1519" s="2744"/>
      <c r="Y1519" s="2744"/>
      <c r="Z1519" s="2744"/>
      <c r="AA1519" s="2744"/>
      <c r="AB1519" s="2744"/>
      <c r="AC1519" s="2744"/>
      <c r="AD1519" s="2744"/>
      <c r="AE1519" s="2745"/>
      <c r="AF1519" s="2744"/>
      <c r="AG1519" s="2744"/>
      <c r="AH1519" s="2744"/>
      <c r="AI1519" s="2744"/>
      <c r="AJ1519" s="2744"/>
      <c r="AK1519" s="2744"/>
      <c r="AL1519" s="2744"/>
      <c r="AM1519" s="2744"/>
      <c r="AN1519" s="2744"/>
      <c r="AO1519" s="2744"/>
      <c r="AP1519" s="2744"/>
      <c r="AQ1519" s="2744"/>
      <c r="AS1519" s="2744"/>
      <c r="AT1519" s="2744"/>
      <c r="AU1519" s="2744"/>
      <c r="AV1519" s="2744"/>
      <c r="AW1519" s="2744"/>
      <c r="AX1519" s="2744"/>
      <c r="AY1519" s="531"/>
      <c r="AZ1519" s="2744"/>
      <c r="BA1519" s="2744"/>
      <c r="BB1519" s="2744"/>
      <c r="BC1519" s="2744"/>
      <c r="BD1519" s="2744"/>
      <c r="BE1519" s="2744"/>
      <c r="BF1519" s="2744"/>
      <c r="BG1519" s="2744"/>
      <c r="BH1519" s="3623"/>
      <c r="BI1519" s="3624"/>
      <c r="BJ1519" s="3625"/>
      <c r="BK1519" s="530"/>
      <c r="BO1519" s="2535"/>
      <c r="CA1519" s="2744"/>
      <c r="CD1519" s="101"/>
      <c r="CP1519" s="2448"/>
      <c r="CS1519" s="2744"/>
      <c r="CT1519" s="2062"/>
      <c r="CX1519" s="166"/>
      <c r="DB1519" s="2745"/>
      <c r="DC1519" s="2535"/>
      <c r="DG1519" s="2535"/>
      <c r="EC1519" s="101"/>
      <c r="EG1519" s="101"/>
      <c r="EI1519" s="2689" t="s">
        <v>11838</v>
      </c>
    </row>
    <row r="1520" spans="1:139" s="3617" customFormat="1" ht="43.5">
      <c r="A1520" s="2447"/>
      <c r="B1520" s="2744"/>
      <c r="C1520" s="2744"/>
      <c r="D1520" s="2744"/>
      <c r="E1520" s="2091"/>
      <c r="F1520" s="2091"/>
      <c r="G1520" s="2744"/>
      <c r="H1520" s="2744"/>
      <c r="I1520" s="2744"/>
      <c r="J1520" s="2744"/>
      <c r="K1520" s="2744"/>
      <c r="L1520" s="2744"/>
      <c r="M1520" s="2744"/>
      <c r="N1520" s="2744"/>
      <c r="O1520" s="2744"/>
      <c r="P1520" s="2744"/>
      <c r="Q1520" s="2744"/>
      <c r="R1520" s="2744"/>
      <c r="S1520" s="2744"/>
      <c r="T1520" s="2744"/>
      <c r="U1520" s="2744"/>
      <c r="V1520" s="2744"/>
      <c r="W1520" s="2744"/>
      <c r="X1520" s="2744"/>
      <c r="Y1520" s="2744"/>
      <c r="Z1520" s="2744"/>
      <c r="AA1520" s="2744"/>
      <c r="AB1520" s="2744"/>
      <c r="AC1520" s="2744"/>
      <c r="AD1520" s="2744"/>
      <c r="AE1520" s="2745"/>
      <c r="AF1520" s="2744"/>
      <c r="AG1520" s="2744"/>
      <c r="AH1520" s="2744"/>
      <c r="AI1520" s="2744"/>
      <c r="AJ1520" s="2744"/>
      <c r="AK1520" s="2744"/>
      <c r="AL1520" s="2744"/>
      <c r="AM1520" s="2744"/>
      <c r="AN1520" s="2744"/>
      <c r="AO1520" s="2744"/>
      <c r="AP1520" s="2744"/>
      <c r="AQ1520" s="2744"/>
      <c r="AS1520" s="2744"/>
      <c r="AT1520" s="2744"/>
      <c r="AU1520" s="2744"/>
      <c r="AV1520" s="2744"/>
      <c r="AW1520" s="2744"/>
      <c r="AX1520" s="2744"/>
      <c r="AY1520" s="531"/>
      <c r="AZ1520" s="2744"/>
      <c r="BA1520" s="2744"/>
      <c r="BB1520" s="2744"/>
      <c r="BC1520" s="2744"/>
      <c r="BD1520" s="2744"/>
      <c r="BE1520" s="2744"/>
      <c r="BF1520" s="2744"/>
      <c r="BG1520" s="2744"/>
      <c r="BH1520" s="3623"/>
      <c r="BI1520" s="3624"/>
      <c r="BJ1520" s="3625"/>
      <c r="BK1520" s="530"/>
      <c r="BO1520" s="2535"/>
      <c r="CA1520" s="2744"/>
      <c r="CD1520" s="101"/>
      <c r="CP1520" s="2448"/>
      <c r="CS1520" s="2744"/>
      <c r="CT1520" s="2062"/>
      <c r="CX1520" s="166"/>
      <c r="DB1520" s="2745"/>
      <c r="DC1520" s="2535"/>
      <c r="DG1520" s="2535"/>
      <c r="EC1520" s="101"/>
      <c r="EG1520" s="101"/>
      <c r="EI1520" s="2689" t="s">
        <v>11839</v>
      </c>
    </row>
    <row r="1521" spans="1:139" s="3617" customFormat="1" ht="58">
      <c r="A1521" s="2447"/>
      <c r="B1521" s="2744"/>
      <c r="C1521" s="2744"/>
      <c r="D1521" s="2744"/>
      <c r="E1521" s="2091"/>
      <c r="F1521" s="2091"/>
      <c r="G1521" s="2744"/>
      <c r="H1521" s="2744"/>
      <c r="I1521" s="2744"/>
      <c r="J1521" s="2744"/>
      <c r="K1521" s="2744"/>
      <c r="L1521" s="2744"/>
      <c r="M1521" s="2744"/>
      <c r="N1521" s="2744"/>
      <c r="O1521" s="2744"/>
      <c r="P1521" s="2744"/>
      <c r="Q1521" s="2744"/>
      <c r="R1521" s="2744"/>
      <c r="S1521" s="2744"/>
      <c r="T1521" s="2744"/>
      <c r="U1521" s="2744"/>
      <c r="V1521" s="2744"/>
      <c r="W1521" s="2744"/>
      <c r="X1521" s="2744"/>
      <c r="Y1521" s="2744"/>
      <c r="Z1521" s="2744"/>
      <c r="AA1521" s="2744"/>
      <c r="AB1521" s="2744"/>
      <c r="AC1521" s="2744"/>
      <c r="AD1521" s="2744"/>
      <c r="AE1521" s="2745"/>
      <c r="AF1521" s="2744"/>
      <c r="AG1521" s="2744"/>
      <c r="AH1521" s="2744"/>
      <c r="AI1521" s="2744"/>
      <c r="AJ1521" s="2744"/>
      <c r="AK1521" s="2744"/>
      <c r="AL1521" s="2744"/>
      <c r="AM1521" s="2744"/>
      <c r="AN1521" s="2744"/>
      <c r="AO1521" s="2744"/>
      <c r="AP1521" s="2744"/>
      <c r="AQ1521" s="2744"/>
      <c r="AS1521" s="2744"/>
      <c r="AT1521" s="2744"/>
      <c r="AU1521" s="2744"/>
      <c r="AV1521" s="2744"/>
      <c r="AW1521" s="2744"/>
      <c r="AX1521" s="2744"/>
      <c r="AY1521" s="531"/>
      <c r="AZ1521" s="2744"/>
      <c r="BA1521" s="2744"/>
      <c r="BB1521" s="2744"/>
      <c r="BC1521" s="2744"/>
      <c r="BD1521" s="2744"/>
      <c r="BE1521" s="2744"/>
      <c r="BF1521" s="2744"/>
      <c r="BG1521" s="2744"/>
      <c r="BH1521" s="3623"/>
      <c r="BI1521" s="3624"/>
      <c r="BJ1521" s="3625"/>
      <c r="BK1521" s="530"/>
      <c r="BO1521" s="2535"/>
      <c r="CA1521" s="2744"/>
      <c r="CD1521" s="101"/>
      <c r="CP1521" s="2448"/>
      <c r="CS1521" s="2744"/>
      <c r="CT1521" s="2062"/>
      <c r="CX1521" s="166"/>
      <c r="DB1521" s="2745"/>
      <c r="DC1521" s="2535"/>
      <c r="DG1521" s="2535"/>
      <c r="EC1521" s="101"/>
      <c r="EG1521" s="101"/>
      <c r="EI1521" s="2689" t="s">
        <v>11840</v>
      </c>
    </row>
    <row r="1522" spans="1:139" s="3617" customFormat="1" ht="29">
      <c r="A1522" s="2447"/>
      <c r="B1522" s="2744"/>
      <c r="C1522" s="2744"/>
      <c r="D1522" s="2744"/>
      <c r="E1522" s="2091"/>
      <c r="F1522" s="2091"/>
      <c r="G1522" s="2744"/>
      <c r="H1522" s="2744"/>
      <c r="I1522" s="2744"/>
      <c r="J1522" s="2744"/>
      <c r="K1522" s="2744"/>
      <c r="L1522" s="2744"/>
      <c r="M1522" s="2744"/>
      <c r="N1522" s="2744"/>
      <c r="O1522" s="2744"/>
      <c r="P1522" s="2744"/>
      <c r="Q1522" s="2744"/>
      <c r="R1522" s="2744"/>
      <c r="S1522" s="2744"/>
      <c r="T1522" s="2744"/>
      <c r="U1522" s="2744"/>
      <c r="V1522" s="2744"/>
      <c r="W1522" s="2744"/>
      <c r="X1522" s="2744"/>
      <c r="Y1522" s="2744"/>
      <c r="Z1522" s="2744"/>
      <c r="AA1522" s="2744"/>
      <c r="AB1522" s="2744"/>
      <c r="AC1522" s="2744"/>
      <c r="AD1522" s="2744"/>
      <c r="AE1522" s="2745"/>
      <c r="AF1522" s="2744"/>
      <c r="AG1522" s="2744"/>
      <c r="AH1522" s="2744"/>
      <c r="AI1522" s="2744"/>
      <c r="AJ1522" s="2744"/>
      <c r="AK1522" s="2744"/>
      <c r="AL1522" s="2744"/>
      <c r="AM1522" s="2744"/>
      <c r="AN1522" s="2744"/>
      <c r="AO1522" s="2744"/>
      <c r="AP1522" s="2744"/>
      <c r="AQ1522" s="2744"/>
      <c r="AS1522" s="2744"/>
      <c r="AT1522" s="2744"/>
      <c r="AU1522" s="2744"/>
      <c r="AV1522" s="2744"/>
      <c r="AW1522" s="2744"/>
      <c r="AX1522" s="2744"/>
      <c r="AY1522" s="531"/>
      <c r="AZ1522" s="2744"/>
      <c r="BA1522" s="2744"/>
      <c r="BB1522" s="2744"/>
      <c r="BC1522" s="2744"/>
      <c r="BD1522" s="2744"/>
      <c r="BE1522" s="2744"/>
      <c r="BF1522" s="2744"/>
      <c r="BG1522" s="2744"/>
      <c r="BH1522" s="3623"/>
      <c r="BI1522" s="3624"/>
      <c r="BJ1522" s="3625"/>
      <c r="BK1522" s="530"/>
      <c r="BO1522" s="2535"/>
      <c r="CA1522" s="2744"/>
      <c r="CD1522" s="101"/>
      <c r="CP1522" s="2448"/>
      <c r="CS1522" s="2744"/>
      <c r="CT1522" s="2062"/>
      <c r="CX1522" s="166"/>
      <c r="DB1522" s="2745"/>
      <c r="DC1522" s="2535"/>
      <c r="DG1522" s="2535"/>
      <c r="EC1522" s="101"/>
      <c r="EG1522" s="101"/>
      <c r="EI1522" s="2689" t="s">
        <v>11841</v>
      </c>
    </row>
    <row r="1523" spans="1:139" s="3617" customFormat="1" ht="29">
      <c r="A1523" s="2447"/>
      <c r="B1523" s="2744"/>
      <c r="C1523" s="2744"/>
      <c r="D1523" s="2744"/>
      <c r="E1523" s="2091"/>
      <c r="F1523" s="2091"/>
      <c r="G1523" s="2744"/>
      <c r="H1523" s="2744"/>
      <c r="I1523" s="2744"/>
      <c r="J1523" s="2744"/>
      <c r="K1523" s="2744"/>
      <c r="L1523" s="2744"/>
      <c r="M1523" s="2744"/>
      <c r="N1523" s="2744"/>
      <c r="O1523" s="2744"/>
      <c r="P1523" s="2744"/>
      <c r="Q1523" s="2744"/>
      <c r="R1523" s="2744"/>
      <c r="S1523" s="2744"/>
      <c r="T1523" s="2744"/>
      <c r="U1523" s="2744"/>
      <c r="V1523" s="2744"/>
      <c r="W1523" s="2744"/>
      <c r="X1523" s="2744"/>
      <c r="Y1523" s="2744"/>
      <c r="Z1523" s="2744"/>
      <c r="AA1523" s="2744"/>
      <c r="AB1523" s="2744"/>
      <c r="AC1523" s="2744"/>
      <c r="AD1523" s="2744"/>
      <c r="AE1523" s="2745"/>
      <c r="AF1523" s="2744"/>
      <c r="AG1523" s="2744"/>
      <c r="AH1523" s="2744"/>
      <c r="AI1523" s="2744"/>
      <c r="AJ1523" s="2744"/>
      <c r="AK1523" s="2744"/>
      <c r="AL1523" s="2744"/>
      <c r="AM1523" s="2744"/>
      <c r="AN1523" s="2744"/>
      <c r="AO1523" s="2744"/>
      <c r="AP1523" s="2744"/>
      <c r="AQ1523" s="2744"/>
      <c r="AS1523" s="2744"/>
      <c r="AT1523" s="2744"/>
      <c r="AU1523" s="2744"/>
      <c r="AV1523" s="2744"/>
      <c r="AW1523" s="2744"/>
      <c r="AX1523" s="2744"/>
      <c r="AY1523" s="531"/>
      <c r="AZ1523" s="2744"/>
      <c r="BA1523" s="2744"/>
      <c r="BB1523" s="2744"/>
      <c r="BC1523" s="2744"/>
      <c r="BD1523" s="2744"/>
      <c r="BE1523" s="2744"/>
      <c r="BF1523" s="2744"/>
      <c r="BG1523" s="2744"/>
      <c r="BH1523" s="3623"/>
      <c r="BI1523" s="3624"/>
      <c r="BJ1523" s="3625"/>
      <c r="BK1523" s="530"/>
      <c r="BO1523" s="2535"/>
      <c r="CA1523" s="2744"/>
      <c r="CD1523" s="101"/>
      <c r="CP1523" s="2448"/>
      <c r="CS1523" s="2744"/>
      <c r="CT1523" s="2062"/>
      <c r="CX1523" s="166"/>
      <c r="DB1523" s="2745"/>
      <c r="DC1523" s="2535"/>
      <c r="DG1523" s="2535"/>
      <c r="EC1523" s="101"/>
      <c r="EG1523" s="101"/>
      <c r="EI1523" s="2689" t="s">
        <v>11842</v>
      </c>
    </row>
    <row r="1524" spans="1:139" s="3617" customFormat="1" ht="29">
      <c r="A1524" s="2447"/>
      <c r="B1524" s="2744"/>
      <c r="C1524" s="2744"/>
      <c r="D1524" s="2744"/>
      <c r="E1524" s="2091"/>
      <c r="F1524" s="2091"/>
      <c r="G1524" s="2744"/>
      <c r="H1524" s="2744"/>
      <c r="I1524" s="2744"/>
      <c r="J1524" s="2744"/>
      <c r="K1524" s="2744"/>
      <c r="L1524" s="2744"/>
      <c r="M1524" s="2744"/>
      <c r="N1524" s="2744"/>
      <c r="O1524" s="2744"/>
      <c r="P1524" s="2744"/>
      <c r="Q1524" s="2744"/>
      <c r="R1524" s="2744"/>
      <c r="S1524" s="2744"/>
      <c r="T1524" s="2744"/>
      <c r="U1524" s="2744"/>
      <c r="V1524" s="2744"/>
      <c r="W1524" s="2744"/>
      <c r="X1524" s="2744"/>
      <c r="Y1524" s="2744"/>
      <c r="Z1524" s="2744"/>
      <c r="AA1524" s="2744"/>
      <c r="AB1524" s="2744"/>
      <c r="AC1524" s="2744"/>
      <c r="AD1524" s="2744"/>
      <c r="AE1524" s="2745"/>
      <c r="AF1524" s="2744"/>
      <c r="AG1524" s="2744"/>
      <c r="AH1524" s="2744"/>
      <c r="AI1524" s="2744"/>
      <c r="AJ1524" s="2744"/>
      <c r="AK1524" s="2744"/>
      <c r="AL1524" s="2744"/>
      <c r="AM1524" s="2744"/>
      <c r="AN1524" s="2744"/>
      <c r="AO1524" s="2744"/>
      <c r="AP1524" s="2744"/>
      <c r="AQ1524" s="2744"/>
      <c r="AS1524" s="2744"/>
      <c r="AT1524" s="2744"/>
      <c r="AU1524" s="2744"/>
      <c r="AV1524" s="2744"/>
      <c r="AW1524" s="2744"/>
      <c r="AX1524" s="2744"/>
      <c r="AY1524" s="531"/>
      <c r="AZ1524" s="2744"/>
      <c r="BA1524" s="2744"/>
      <c r="BB1524" s="2744"/>
      <c r="BC1524" s="2744"/>
      <c r="BD1524" s="2744"/>
      <c r="BE1524" s="2744"/>
      <c r="BF1524" s="2744"/>
      <c r="BG1524" s="2744"/>
      <c r="BH1524" s="3623"/>
      <c r="BI1524" s="3624"/>
      <c r="BJ1524" s="3625"/>
      <c r="BK1524" s="530"/>
      <c r="BO1524" s="2535"/>
      <c r="CA1524" s="2744"/>
      <c r="CD1524" s="101"/>
      <c r="CP1524" s="2448"/>
      <c r="CS1524" s="2744"/>
      <c r="CT1524" s="2062"/>
      <c r="CX1524" s="166"/>
      <c r="DB1524" s="2745"/>
      <c r="DC1524" s="2535"/>
      <c r="DG1524" s="2535"/>
      <c r="EC1524" s="101"/>
      <c r="EG1524" s="101"/>
      <c r="EI1524" s="2689" t="s">
        <v>11843</v>
      </c>
    </row>
    <row r="1525" spans="1:139" s="3617" customFormat="1" ht="43.5">
      <c r="A1525" s="2447"/>
      <c r="B1525" s="2744"/>
      <c r="C1525" s="2744"/>
      <c r="D1525" s="2744"/>
      <c r="E1525" s="2091"/>
      <c r="F1525" s="2091"/>
      <c r="G1525" s="2744"/>
      <c r="H1525" s="2744"/>
      <c r="I1525" s="2744"/>
      <c r="J1525" s="2744"/>
      <c r="K1525" s="2744"/>
      <c r="L1525" s="2744"/>
      <c r="M1525" s="2744"/>
      <c r="N1525" s="2744"/>
      <c r="O1525" s="2744"/>
      <c r="P1525" s="2744"/>
      <c r="Q1525" s="2744"/>
      <c r="R1525" s="2744"/>
      <c r="S1525" s="2744"/>
      <c r="T1525" s="2744"/>
      <c r="U1525" s="2744"/>
      <c r="V1525" s="2744"/>
      <c r="W1525" s="2744"/>
      <c r="X1525" s="2744"/>
      <c r="Y1525" s="2744"/>
      <c r="Z1525" s="2744"/>
      <c r="AA1525" s="2744"/>
      <c r="AB1525" s="2744"/>
      <c r="AC1525" s="2744"/>
      <c r="AD1525" s="2744"/>
      <c r="AE1525" s="2745"/>
      <c r="AF1525" s="2744"/>
      <c r="AG1525" s="2744"/>
      <c r="AH1525" s="2744"/>
      <c r="AI1525" s="2744"/>
      <c r="AJ1525" s="2744"/>
      <c r="AK1525" s="2744"/>
      <c r="AL1525" s="2744"/>
      <c r="AM1525" s="2744"/>
      <c r="AN1525" s="2744"/>
      <c r="AO1525" s="2744"/>
      <c r="AP1525" s="2744"/>
      <c r="AQ1525" s="2744"/>
      <c r="AS1525" s="2744"/>
      <c r="AT1525" s="2744"/>
      <c r="AU1525" s="2744"/>
      <c r="AV1525" s="2744"/>
      <c r="AW1525" s="2744"/>
      <c r="AX1525" s="2744"/>
      <c r="AY1525" s="531"/>
      <c r="AZ1525" s="2744"/>
      <c r="BA1525" s="2744"/>
      <c r="BB1525" s="2744"/>
      <c r="BC1525" s="2744"/>
      <c r="BD1525" s="2744"/>
      <c r="BE1525" s="2744"/>
      <c r="BF1525" s="2744"/>
      <c r="BG1525" s="2744"/>
      <c r="BH1525" s="3623"/>
      <c r="BI1525" s="3624"/>
      <c r="BJ1525" s="3625"/>
      <c r="BK1525" s="530"/>
      <c r="BO1525" s="2535"/>
      <c r="CA1525" s="2744"/>
      <c r="CD1525" s="101"/>
      <c r="CP1525" s="2448"/>
      <c r="CS1525" s="2744"/>
      <c r="CT1525" s="2062"/>
      <c r="CX1525" s="166"/>
      <c r="DB1525" s="2745"/>
      <c r="DC1525" s="2535"/>
      <c r="DG1525" s="2535"/>
      <c r="EC1525" s="101"/>
      <c r="EG1525" s="101"/>
      <c r="EI1525" s="2689" t="s">
        <v>11844</v>
      </c>
    </row>
    <row r="1526" spans="1:139" s="3617" customFormat="1" ht="29">
      <c r="A1526" s="2447"/>
      <c r="B1526" s="2744"/>
      <c r="C1526" s="2744"/>
      <c r="D1526" s="2744"/>
      <c r="E1526" s="2091"/>
      <c r="F1526" s="2091"/>
      <c r="G1526" s="2744"/>
      <c r="H1526" s="2744"/>
      <c r="I1526" s="2744"/>
      <c r="J1526" s="2744"/>
      <c r="K1526" s="2744"/>
      <c r="L1526" s="2744"/>
      <c r="M1526" s="2744"/>
      <c r="N1526" s="2744"/>
      <c r="O1526" s="2744"/>
      <c r="P1526" s="2744"/>
      <c r="Q1526" s="2744"/>
      <c r="R1526" s="2744"/>
      <c r="S1526" s="2744"/>
      <c r="T1526" s="2744"/>
      <c r="U1526" s="2744"/>
      <c r="V1526" s="2744"/>
      <c r="W1526" s="2744"/>
      <c r="X1526" s="2744"/>
      <c r="Y1526" s="2744"/>
      <c r="Z1526" s="2744"/>
      <c r="AA1526" s="2744"/>
      <c r="AB1526" s="2744"/>
      <c r="AC1526" s="2744"/>
      <c r="AD1526" s="2744"/>
      <c r="AE1526" s="2745"/>
      <c r="AF1526" s="2744"/>
      <c r="AG1526" s="2744"/>
      <c r="AH1526" s="2744"/>
      <c r="AI1526" s="2744"/>
      <c r="AJ1526" s="2744"/>
      <c r="AK1526" s="2744"/>
      <c r="AL1526" s="2744"/>
      <c r="AM1526" s="2744"/>
      <c r="AN1526" s="2744"/>
      <c r="AO1526" s="2744"/>
      <c r="AP1526" s="2744"/>
      <c r="AQ1526" s="2744"/>
      <c r="AS1526" s="2744"/>
      <c r="AT1526" s="2744"/>
      <c r="AU1526" s="2744"/>
      <c r="AV1526" s="2744"/>
      <c r="AW1526" s="2744"/>
      <c r="AX1526" s="2744"/>
      <c r="AY1526" s="531"/>
      <c r="AZ1526" s="2744"/>
      <c r="BA1526" s="2744"/>
      <c r="BB1526" s="2744"/>
      <c r="BC1526" s="2744"/>
      <c r="BD1526" s="2744"/>
      <c r="BE1526" s="2744"/>
      <c r="BF1526" s="2744"/>
      <c r="BG1526" s="2744"/>
      <c r="BH1526" s="3623"/>
      <c r="BI1526" s="3624"/>
      <c r="BJ1526" s="3625"/>
      <c r="BK1526" s="530"/>
      <c r="BO1526" s="2535"/>
      <c r="CA1526" s="2744"/>
      <c r="CD1526" s="101"/>
      <c r="CP1526" s="2448"/>
      <c r="CS1526" s="2744"/>
      <c r="CT1526" s="2062"/>
      <c r="CX1526" s="166"/>
      <c r="DB1526" s="2745"/>
      <c r="DC1526" s="2535"/>
      <c r="DG1526" s="2535"/>
      <c r="EC1526" s="101"/>
      <c r="EG1526" s="101"/>
      <c r="EI1526" s="2689" t="s">
        <v>11845</v>
      </c>
    </row>
    <row r="1527" spans="1:139" s="3617" customFormat="1" ht="29">
      <c r="A1527" s="2447"/>
      <c r="B1527" s="2744"/>
      <c r="C1527" s="2744"/>
      <c r="D1527" s="2744"/>
      <c r="E1527" s="2091"/>
      <c r="F1527" s="2091"/>
      <c r="G1527" s="2744"/>
      <c r="H1527" s="2744"/>
      <c r="I1527" s="2744"/>
      <c r="J1527" s="2744"/>
      <c r="K1527" s="2744"/>
      <c r="L1527" s="2744"/>
      <c r="M1527" s="2744"/>
      <c r="N1527" s="2744"/>
      <c r="O1527" s="2744"/>
      <c r="P1527" s="2744"/>
      <c r="Q1527" s="2744"/>
      <c r="R1527" s="2744"/>
      <c r="S1527" s="2744"/>
      <c r="T1527" s="2744"/>
      <c r="U1527" s="2744"/>
      <c r="V1527" s="2744"/>
      <c r="W1527" s="2744"/>
      <c r="X1527" s="2744"/>
      <c r="Y1527" s="2744"/>
      <c r="Z1527" s="2744"/>
      <c r="AA1527" s="2744"/>
      <c r="AB1527" s="2744"/>
      <c r="AC1527" s="2744"/>
      <c r="AD1527" s="2744"/>
      <c r="AE1527" s="2745"/>
      <c r="AF1527" s="2744"/>
      <c r="AG1527" s="2744"/>
      <c r="AH1527" s="2744"/>
      <c r="AI1527" s="2744"/>
      <c r="AJ1527" s="2744"/>
      <c r="AK1527" s="2744"/>
      <c r="AL1527" s="2744"/>
      <c r="AM1527" s="2744"/>
      <c r="AN1527" s="2744"/>
      <c r="AO1527" s="2744"/>
      <c r="AP1527" s="2744"/>
      <c r="AQ1527" s="2744"/>
      <c r="AS1527" s="2744"/>
      <c r="AT1527" s="2744"/>
      <c r="AU1527" s="2744"/>
      <c r="AV1527" s="2744"/>
      <c r="AW1527" s="2744"/>
      <c r="AX1527" s="2744"/>
      <c r="AY1527" s="531"/>
      <c r="AZ1527" s="2744"/>
      <c r="BA1527" s="2744"/>
      <c r="BB1527" s="2744"/>
      <c r="BC1527" s="2744"/>
      <c r="BD1527" s="2744"/>
      <c r="BE1527" s="2744"/>
      <c r="BF1527" s="2744"/>
      <c r="BG1527" s="2744"/>
      <c r="BH1527" s="3623"/>
      <c r="BI1527" s="3624"/>
      <c r="BJ1527" s="3625"/>
      <c r="BK1527" s="530"/>
      <c r="BO1527" s="2535"/>
      <c r="CA1527" s="2744"/>
      <c r="CD1527" s="101"/>
      <c r="CP1527" s="2448"/>
      <c r="CS1527" s="2744"/>
      <c r="CT1527" s="2062"/>
      <c r="CX1527" s="166"/>
      <c r="DB1527" s="2745"/>
      <c r="DC1527" s="2535"/>
      <c r="DG1527" s="2535"/>
      <c r="EC1527" s="101"/>
      <c r="EG1527" s="101"/>
      <c r="EI1527" s="2689" t="s">
        <v>11846</v>
      </c>
    </row>
    <row r="1528" spans="1:139" s="3617" customFormat="1" ht="29">
      <c r="A1528" s="2447"/>
      <c r="B1528" s="2744"/>
      <c r="C1528" s="2744"/>
      <c r="D1528" s="2744"/>
      <c r="E1528" s="2091"/>
      <c r="F1528" s="2091"/>
      <c r="G1528" s="2744"/>
      <c r="H1528" s="2744"/>
      <c r="I1528" s="2744"/>
      <c r="J1528" s="2744"/>
      <c r="K1528" s="2744"/>
      <c r="L1528" s="2744"/>
      <c r="M1528" s="2744"/>
      <c r="N1528" s="2744"/>
      <c r="O1528" s="2744"/>
      <c r="P1528" s="2744"/>
      <c r="Q1528" s="2744"/>
      <c r="R1528" s="2744"/>
      <c r="S1528" s="2744"/>
      <c r="T1528" s="2744"/>
      <c r="U1528" s="2744"/>
      <c r="V1528" s="2744"/>
      <c r="W1528" s="2744"/>
      <c r="X1528" s="2744"/>
      <c r="Y1528" s="2744"/>
      <c r="Z1528" s="2744"/>
      <c r="AA1528" s="2744"/>
      <c r="AB1528" s="2744"/>
      <c r="AC1528" s="2744"/>
      <c r="AD1528" s="2744"/>
      <c r="AE1528" s="2745"/>
      <c r="AF1528" s="2744"/>
      <c r="AG1528" s="2744"/>
      <c r="AH1528" s="2744"/>
      <c r="AI1528" s="2744"/>
      <c r="AJ1528" s="2744"/>
      <c r="AK1528" s="2744"/>
      <c r="AL1528" s="2744"/>
      <c r="AM1528" s="2744"/>
      <c r="AN1528" s="2744"/>
      <c r="AO1528" s="2744"/>
      <c r="AP1528" s="2744"/>
      <c r="AQ1528" s="2744"/>
      <c r="AS1528" s="2744"/>
      <c r="AT1528" s="2744"/>
      <c r="AU1528" s="2744"/>
      <c r="AV1528" s="2744"/>
      <c r="AW1528" s="2744"/>
      <c r="AX1528" s="2744"/>
      <c r="AY1528" s="531"/>
      <c r="AZ1528" s="2744"/>
      <c r="BA1528" s="2744"/>
      <c r="BB1528" s="2744"/>
      <c r="BC1528" s="2744"/>
      <c r="BD1528" s="2744"/>
      <c r="BE1528" s="2744"/>
      <c r="BF1528" s="2744"/>
      <c r="BG1528" s="2744"/>
      <c r="BH1528" s="3623"/>
      <c r="BI1528" s="3624"/>
      <c r="BJ1528" s="3625"/>
      <c r="BK1528" s="530"/>
      <c r="BO1528" s="2535"/>
      <c r="CA1528" s="2744"/>
      <c r="CD1528" s="101"/>
      <c r="CP1528" s="2448"/>
      <c r="CS1528" s="2744"/>
      <c r="CT1528" s="2062"/>
      <c r="CX1528" s="166"/>
      <c r="DB1528" s="2745"/>
      <c r="DC1528" s="2535"/>
      <c r="DG1528" s="2535"/>
      <c r="EC1528" s="101"/>
      <c r="EG1528" s="101"/>
      <c r="EI1528" s="2689" t="s">
        <v>11847</v>
      </c>
    </row>
    <row r="1529" spans="1:139" s="3617" customFormat="1" ht="29">
      <c r="A1529" s="2447"/>
      <c r="B1529" s="2744"/>
      <c r="C1529" s="2744"/>
      <c r="D1529" s="2744"/>
      <c r="E1529" s="2091"/>
      <c r="F1529" s="2091"/>
      <c r="G1529" s="2744"/>
      <c r="H1529" s="2744"/>
      <c r="I1529" s="2744"/>
      <c r="J1529" s="2744"/>
      <c r="K1529" s="2744"/>
      <c r="L1529" s="2744"/>
      <c r="M1529" s="2744"/>
      <c r="N1529" s="2744"/>
      <c r="O1529" s="2744"/>
      <c r="P1529" s="2744"/>
      <c r="Q1529" s="2744"/>
      <c r="R1529" s="2744"/>
      <c r="S1529" s="2744"/>
      <c r="T1529" s="2744"/>
      <c r="U1529" s="2744"/>
      <c r="V1529" s="2744"/>
      <c r="W1529" s="2744"/>
      <c r="X1529" s="2744"/>
      <c r="Y1529" s="2744"/>
      <c r="Z1529" s="2744"/>
      <c r="AA1529" s="2744"/>
      <c r="AB1529" s="2744"/>
      <c r="AC1529" s="2744"/>
      <c r="AD1529" s="2744"/>
      <c r="AE1529" s="2745"/>
      <c r="AF1529" s="2744"/>
      <c r="AG1529" s="2744"/>
      <c r="AH1529" s="2744"/>
      <c r="AI1529" s="2744"/>
      <c r="AJ1529" s="2744"/>
      <c r="AK1529" s="2744"/>
      <c r="AL1529" s="2744"/>
      <c r="AM1529" s="2744"/>
      <c r="AN1529" s="2744"/>
      <c r="AO1529" s="2744"/>
      <c r="AP1529" s="2744"/>
      <c r="AQ1529" s="2744"/>
      <c r="AS1529" s="2744"/>
      <c r="AT1529" s="2744"/>
      <c r="AU1529" s="2744"/>
      <c r="AV1529" s="2744"/>
      <c r="AW1529" s="2744"/>
      <c r="AX1529" s="2744"/>
      <c r="AY1529" s="531"/>
      <c r="AZ1529" s="2744"/>
      <c r="BA1529" s="2744"/>
      <c r="BB1529" s="2744"/>
      <c r="BC1529" s="2744"/>
      <c r="BD1529" s="2744"/>
      <c r="BE1529" s="2744"/>
      <c r="BF1529" s="2744"/>
      <c r="BG1529" s="2744"/>
      <c r="BH1529" s="3623"/>
      <c r="BI1529" s="3624"/>
      <c r="BJ1529" s="3625"/>
      <c r="BK1529" s="530"/>
      <c r="BO1529" s="2535"/>
      <c r="CA1529" s="2744"/>
      <c r="CD1529" s="101"/>
      <c r="CP1529" s="2448"/>
      <c r="CS1529" s="2744"/>
      <c r="CT1529" s="2062"/>
      <c r="CX1529" s="166"/>
      <c r="DB1529" s="2745"/>
      <c r="DC1529" s="2535"/>
      <c r="DG1529" s="2535"/>
      <c r="EC1529" s="101"/>
      <c r="EG1529" s="101"/>
      <c r="EI1529" s="2689" t="s">
        <v>11848</v>
      </c>
    </row>
    <row r="1530" spans="1:139" s="3617" customFormat="1" ht="29">
      <c r="A1530" s="2447"/>
      <c r="B1530" s="2744"/>
      <c r="C1530" s="2744"/>
      <c r="D1530" s="2744"/>
      <c r="E1530" s="2091"/>
      <c r="F1530" s="2091"/>
      <c r="G1530" s="2744"/>
      <c r="H1530" s="2744"/>
      <c r="I1530" s="2744"/>
      <c r="J1530" s="2744"/>
      <c r="K1530" s="2744"/>
      <c r="L1530" s="2744"/>
      <c r="M1530" s="2744"/>
      <c r="N1530" s="2744"/>
      <c r="O1530" s="2744"/>
      <c r="P1530" s="2744"/>
      <c r="Q1530" s="2744"/>
      <c r="R1530" s="2744"/>
      <c r="S1530" s="2744"/>
      <c r="T1530" s="2744"/>
      <c r="U1530" s="2744"/>
      <c r="V1530" s="2744"/>
      <c r="W1530" s="2744"/>
      <c r="X1530" s="2744"/>
      <c r="Y1530" s="2744"/>
      <c r="Z1530" s="2744"/>
      <c r="AA1530" s="2744"/>
      <c r="AB1530" s="2744"/>
      <c r="AC1530" s="2744"/>
      <c r="AD1530" s="2744"/>
      <c r="AE1530" s="2745"/>
      <c r="AF1530" s="2744"/>
      <c r="AG1530" s="2744"/>
      <c r="AH1530" s="2744"/>
      <c r="AI1530" s="2744"/>
      <c r="AJ1530" s="2744"/>
      <c r="AK1530" s="2744"/>
      <c r="AL1530" s="2744"/>
      <c r="AM1530" s="2744"/>
      <c r="AN1530" s="2744"/>
      <c r="AO1530" s="2744"/>
      <c r="AP1530" s="2744"/>
      <c r="AQ1530" s="2744"/>
      <c r="AS1530" s="2744"/>
      <c r="AT1530" s="2744"/>
      <c r="AU1530" s="2744"/>
      <c r="AV1530" s="2744"/>
      <c r="AW1530" s="2744"/>
      <c r="AX1530" s="2744"/>
      <c r="AY1530" s="531"/>
      <c r="AZ1530" s="2744"/>
      <c r="BA1530" s="2744"/>
      <c r="BB1530" s="2744"/>
      <c r="BC1530" s="2744"/>
      <c r="BD1530" s="2744"/>
      <c r="BE1530" s="2744"/>
      <c r="BF1530" s="2744"/>
      <c r="BG1530" s="2744"/>
      <c r="BH1530" s="3623"/>
      <c r="BI1530" s="3624"/>
      <c r="BJ1530" s="3625"/>
      <c r="BK1530" s="530"/>
      <c r="BO1530" s="2535"/>
      <c r="CA1530" s="2744"/>
      <c r="CD1530" s="101"/>
      <c r="CP1530" s="2448"/>
      <c r="CS1530" s="2744"/>
      <c r="CT1530" s="2062"/>
      <c r="CX1530" s="166"/>
      <c r="DB1530" s="2745"/>
      <c r="DC1530" s="2535"/>
      <c r="DG1530" s="2535"/>
      <c r="EC1530" s="101"/>
      <c r="EG1530" s="101"/>
      <c r="EI1530" s="2689" t="s">
        <v>11849</v>
      </c>
    </row>
    <row r="1531" spans="1:139" s="3617" customFormat="1" ht="58">
      <c r="A1531" s="2447"/>
      <c r="B1531" s="2744"/>
      <c r="C1531" s="2744"/>
      <c r="D1531" s="2744"/>
      <c r="E1531" s="2091"/>
      <c r="F1531" s="2091"/>
      <c r="G1531" s="2744"/>
      <c r="H1531" s="2744"/>
      <c r="I1531" s="2744"/>
      <c r="J1531" s="2744"/>
      <c r="K1531" s="2744"/>
      <c r="L1531" s="2744"/>
      <c r="M1531" s="2744"/>
      <c r="N1531" s="2744"/>
      <c r="O1531" s="2744"/>
      <c r="P1531" s="2744"/>
      <c r="Q1531" s="2744"/>
      <c r="R1531" s="2744"/>
      <c r="S1531" s="2744"/>
      <c r="T1531" s="2744"/>
      <c r="U1531" s="2744"/>
      <c r="V1531" s="2744"/>
      <c r="W1531" s="2744"/>
      <c r="X1531" s="2744"/>
      <c r="Y1531" s="2744"/>
      <c r="Z1531" s="2744"/>
      <c r="AA1531" s="2744"/>
      <c r="AB1531" s="2744"/>
      <c r="AC1531" s="2744"/>
      <c r="AD1531" s="2744"/>
      <c r="AE1531" s="2745"/>
      <c r="AF1531" s="2744"/>
      <c r="AG1531" s="2744"/>
      <c r="AH1531" s="2744"/>
      <c r="AI1531" s="2744"/>
      <c r="AJ1531" s="2744"/>
      <c r="AK1531" s="2744"/>
      <c r="AL1531" s="2744"/>
      <c r="AM1531" s="2744"/>
      <c r="AN1531" s="2744"/>
      <c r="AO1531" s="2744"/>
      <c r="AP1531" s="2744"/>
      <c r="AQ1531" s="2744"/>
      <c r="AS1531" s="2744"/>
      <c r="AT1531" s="2744"/>
      <c r="AU1531" s="2744"/>
      <c r="AV1531" s="2744"/>
      <c r="AW1531" s="2744"/>
      <c r="AX1531" s="2744"/>
      <c r="AY1531" s="531"/>
      <c r="AZ1531" s="2744"/>
      <c r="BA1531" s="2744"/>
      <c r="BB1531" s="2744"/>
      <c r="BC1531" s="2744"/>
      <c r="BD1531" s="2744"/>
      <c r="BE1531" s="2744"/>
      <c r="BF1531" s="2744"/>
      <c r="BG1531" s="2744"/>
      <c r="BH1531" s="3623"/>
      <c r="BI1531" s="3624"/>
      <c r="BJ1531" s="3625"/>
      <c r="BK1531" s="530"/>
      <c r="BO1531" s="2535"/>
      <c r="CA1531" s="2744"/>
      <c r="CD1531" s="101"/>
      <c r="CP1531" s="2448"/>
      <c r="CS1531" s="2744"/>
      <c r="CT1531" s="2062"/>
      <c r="CX1531" s="166"/>
      <c r="DB1531" s="2745"/>
      <c r="DC1531" s="2535"/>
      <c r="DG1531" s="2535"/>
      <c r="EC1531" s="101"/>
      <c r="EG1531" s="101"/>
      <c r="EI1531" s="2689" t="s">
        <v>11850</v>
      </c>
    </row>
    <row r="1532" spans="1:139" s="3617" customFormat="1" ht="29">
      <c r="A1532" s="2447"/>
      <c r="B1532" s="2744"/>
      <c r="C1532" s="2744"/>
      <c r="D1532" s="2744"/>
      <c r="E1532" s="2091"/>
      <c r="F1532" s="2091"/>
      <c r="G1532" s="2744"/>
      <c r="H1532" s="2744"/>
      <c r="I1532" s="2744"/>
      <c r="J1532" s="2744"/>
      <c r="K1532" s="2744"/>
      <c r="L1532" s="2744"/>
      <c r="M1532" s="2744"/>
      <c r="N1532" s="2744"/>
      <c r="O1532" s="2744"/>
      <c r="P1532" s="2744"/>
      <c r="Q1532" s="2744"/>
      <c r="R1532" s="2744"/>
      <c r="S1532" s="2744"/>
      <c r="T1532" s="2744"/>
      <c r="U1532" s="2744"/>
      <c r="V1532" s="2744"/>
      <c r="W1532" s="2744"/>
      <c r="X1532" s="2744"/>
      <c r="Y1532" s="2744"/>
      <c r="Z1532" s="2744"/>
      <c r="AA1532" s="2744"/>
      <c r="AB1532" s="2744"/>
      <c r="AC1532" s="2744"/>
      <c r="AD1532" s="2744"/>
      <c r="AE1532" s="2745"/>
      <c r="AF1532" s="2744"/>
      <c r="AG1532" s="2744"/>
      <c r="AH1532" s="2744"/>
      <c r="AI1532" s="2744"/>
      <c r="AJ1532" s="2744"/>
      <c r="AK1532" s="2744"/>
      <c r="AL1532" s="2744"/>
      <c r="AM1532" s="2744"/>
      <c r="AN1532" s="2744"/>
      <c r="AO1532" s="2744"/>
      <c r="AP1532" s="2744"/>
      <c r="AQ1532" s="2744"/>
      <c r="AS1532" s="2744"/>
      <c r="AT1532" s="2744"/>
      <c r="AU1532" s="2744"/>
      <c r="AV1532" s="2744"/>
      <c r="AW1532" s="2744"/>
      <c r="AX1532" s="2744"/>
      <c r="AY1532" s="531"/>
      <c r="AZ1532" s="2744"/>
      <c r="BA1532" s="2744"/>
      <c r="BB1532" s="2744"/>
      <c r="BC1532" s="2744"/>
      <c r="BD1532" s="2744"/>
      <c r="BE1532" s="2744"/>
      <c r="BF1532" s="2744"/>
      <c r="BG1532" s="2744"/>
      <c r="BH1532" s="3623"/>
      <c r="BI1532" s="3624"/>
      <c r="BJ1532" s="3625"/>
      <c r="BK1532" s="530"/>
      <c r="BO1532" s="2535"/>
      <c r="CA1532" s="2744"/>
      <c r="CD1532" s="101"/>
      <c r="CP1532" s="2448"/>
      <c r="CS1532" s="2744"/>
      <c r="CT1532" s="2062"/>
      <c r="CX1532" s="166"/>
      <c r="DB1532" s="2745"/>
      <c r="DC1532" s="2535"/>
      <c r="DG1532" s="2535"/>
      <c r="EC1532" s="101"/>
      <c r="EG1532" s="101"/>
      <c r="EI1532" s="2689" t="s">
        <v>11851</v>
      </c>
    </row>
    <row r="1533" spans="1:139" s="3593" customFormat="1" ht="58">
      <c r="A1533" s="2447"/>
      <c r="B1533" s="2744"/>
      <c r="C1533" s="2744"/>
      <c r="D1533" s="2744"/>
      <c r="E1533" s="2091"/>
      <c r="F1533" s="2091"/>
      <c r="G1533" s="2744"/>
      <c r="H1533" s="2744"/>
      <c r="I1533" s="2744"/>
      <c r="J1533" s="2744"/>
      <c r="K1533" s="2744"/>
      <c r="L1533" s="2744"/>
      <c r="M1533" s="2744"/>
      <c r="N1533" s="2744"/>
      <c r="O1533" s="2744"/>
      <c r="P1533" s="2744"/>
      <c r="Q1533" s="2744"/>
      <c r="R1533" s="2744"/>
      <c r="S1533" s="2744"/>
      <c r="T1533" s="2744"/>
      <c r="U1533" s="2744"/>
      <c r="V1533" s="2744"/>
      <c r="W1533" s="2744"/>
      <c r="X1533" s="2744"/>
      <c r="Y1533" s="2744"/>
      <c r="Z1533" s="2744"/>
      <c r="AA1533" s="2744"/>
      <c r="AB1533" s="2744"/>
      <c r="AC1533" s="2744"/>
      <c r="AD1533" s="2744"/>
      <c r="AE1533" s="2745"/>
      <c r="AF1533" s="2744"/>
      <c r="AG1533" s="2744"/>
      <c r="AH1533" s="2744"/>
      <c r="AI1533" s="2744"/>
      <c r="AJ1533" s="2744"/>
      <c r="AK1533" s="2744"/>
      <c r="AL1533" s="2744"/>
      <c r="AM1533" s="2744"/>
      <c r="AN1533" s="2744"/>
      <c r="AO1533" s="2744"/>
      <c r="AP1533" s="2744"/>
      <c r="AQ1533" s="2744"/>
      <c r="AS1533" s="2744"/>
      <c r="AT1533" s="2744"/>
      <c r="AU1533" s="2744"/>
      <c r="AV1533" s="2744"/>
      <c r="AW1533" s="2744"/>
      <c r="AX1533" s="2744"/>
      <c r="AY1533" s="531"/>
      <c r="AZ1533" s="2744"/>
      <c r="BA1533" s="2744"/>
      <c r="BB1533" s="2744"/>
      <c r="BC1533" s="2744"/>
      <c r="BD1533" s="2744"/>
      <c r="BE1533" s="2744"/>
      <c r="BF1533" s="2744"/>
      <c r="BG1533" s="2744"/>
      <c r="BH1533" s="3626"/>
      <c r="BI1533" s="2514"/>
      <c r="BJ1533" s="2514"/>
      <c r="BK1533" s="2744"/>
      <c r="BO1533" s="2535"/>
      <c r="CA1533" s="2744"/>
      <c r="CD1533" s="101"/>
      <c r="CS1533" s="2744"/>
      <c r="CT1533" s="531"/>
      <c r="CX1533" s="166"/>
      <c r="DB1533" s="2745"/>
      <c r="DC1533" s="2535"/>
      <c r="DG1533" s="2535"/>
      <c r="EC1533" s="101"/>
      <c r="EG1533" s="101"/>
      <c r="EI1533" s="2689" t="s">
        <v>11852</v>
      </c>
    </row>
    <row r="1534" spans="1:139" s="3593" customFormat="1" ht="58">
      <c r="A1534" s="2447"/>
      <c r="B1534" s="2744"/>
      <c r="C1534" s="2744"/>
      <c r="D1534" s="2744"/>
      <c r="E1534" s="2091"/>
      <c r="F1534" s="2091"/>
      <c r="G1534" s="2744"/>
      <c r="H1534" s="2744"/>
      <c r="I1534" s="2744"/>
      <c r="J1534" s="2744"/>
      <c r="K1534" s="2744"/>
      <c r="L1534" s="2744"/>
      <c r="M1534" s="2744"/>
      <c r="N1534" s="2744"/>
      <c r="O1534" s="2744"/>
      <c r="P1534" s="2744"/>
      <c r="Q1534" s="2744"/>
      <c r="R1534" s="2744"/>
      <c r="S1534" s="2744"/>
      <c r="T1534" s="2744"/>
      <c r="U1534" s="2744"/>
      <c r="V1534" s="2744"/>
      <c r="W1534" s="2744"/>
      <c r="X1534" s="2744"/>
      <c r="Y1534" s="2744"/>
      <c r="Z1534" s="2744"/>
      <c r="AA1534" s="2744"/>
      <c r="AB1534" s="2744"/>
      <c r="AC1534" s="2744"/>
      <c r="AD1534" s="2744"/>
      <c r="AE1534" s="2745"/>
      <c r="AF1534" s="2744"/>
      <c r="AG1534" s="2744"/>
      <c r="AH1534" s="2744"/>
      <c r="AI1534" s="2744"/>
      <c r="AJ1534" s="2744"/>
      <c r="AK1534" s="2744"/>
      <c r="AL1534" s="2744"/>
      <c r="AM1534" s="2744"/>
      <c r="AN1534" s="2744"/>
      <c r="AO1534" s="2744"/>
      <c r="AP1534" s="2744"/>
      <c r="AQ1534" s="2744"/>
      <c r="AS1534" s="2744"/>
      <c r="AT1534" s="2744"/>
      <c r="AU1534" s="2744"/>
      <c r="AV1534" s="2744"/>
      <c r="AW1534" s="2744"/>
      <c r="AX1534" s="2744"/>
      <c r="AY1534" s="531"/>
      <c r="AZ1534" s="2744"/>
      <c r="BA1534" s="2744"/>
      <c r="BB1534" s="2744"/>
      <c r="BC1534" s="2744"/>
      <c r="BD1534" s="2744"/>
      <c r="BE1534" s="2744"/>
      <c r="BF1534" s="2744"/>
      <c r="BG1534" s="2744"/>
      <c r="BH1534" s="3626"/>
      <c r="BI1534" s="2514"/>
      <c r="BJ1534" s="2514"/>
      <c r="BK1534" s="2744"/>
      <c r="BO1534" s="2535"/>
      <c r="CA1534" s="2744"/>
      <c r="CD1534" s="101"/>
      <c r="CS1534" s="2744"/>
      <c r="CT1534" s="531"/>
      <c r="CX1534" s="166"/>
      <c r="DB1534" s="2745"/>
      <c r="DC1534" s="2535"/>
      <c r="DG1534" s="2535"/>
      <c r="EC1534" s="101"/>
      <c r="EG1534" s="101"/>
      <c r="EI1534" s="2689" t="s">
        <v>11853</v>
      </c>
    </row>
    <row r="1535" spans="1:139" s="3593" customFormat="1" ht="58">
      <c r="A1535" s="2447"/>
      <c r="B1535" s="2744"/>
      <c r="C1535" s="2744"/>
      <c r="D1535" s="2744"/>
      <c r="E1535" s="2091"/>
      <c r="F1535" s="2091"/>
      <c r="G1535" s="2744"/>
      <c r="H1535" s="2744"/>
      <c r="I1535" s="2744"/>
      <c r="J1535" s="2744"/>
      <c r="K1535" s="2744"/>
      <c r="L1535" s="2744"/>
      <c r="M1535" s="2744"/>
      <c r="N1535" s="2744"/>
      <c r="O1535" s="2744"/>
      <c r="P1535" s="2744"/>
      <c r="Q1535" s="2744"/>
      <c r="R1535" s="2744"/>
      <c r="S1535" s="2744"/>
      <c r="T1535" s="2744"/>
      <c r="U1535" s="2744"/>
      <c r="V1535" s="2744"/>
      <c r="W1535" s="2744"/>
      <c r="X1535" s="2744"/>
      <c r="Y1535" s="2744"/>
      <c r="Z1535" s="2744"/>
      <c r="AA1535" s="2744"/>
      <c r="AB1535" s="2744"/>
      <c r="AC1535" s="2744"/>
      <c r="AD1535" s="2744"/>
      <c r="AE1535" s="2745"/>
      <c r="AF1535" s="2744"/>
      <c r="AG1535" s="2744"/>
      <c r="AH1535" s="2744"/>
      <c r="AI1535" s="2744"/>
      <c r="AJ1535" s="2744"/>
      <c r="AK1535" s="2744"/>
      <c r="AL1535" s="2744"/>
      <c r="AM1535" s="2744"/>
      <c r="AN1535" s="2744"/>
      <c r="AO1535" s="2744"/>
      <c r="AP1535" s="2744"/>
      <c r="AQ1535" s="2744"/>
      <c r="AS1535" s="2744"/>
      <c r="AT1535" s="2744"/>
      <c r="AU1535" s="2744"/>
      <c r="AV1535" s="2744"/>
      <c r="AW1535" s="2744"/>
      <c r="AX1535" s="2744"/>
      <c r="AY1535" s="531"/>
      <c r="AZ1535" s="2744"/>
      <c r="BA1535" s="2744"/>
      <c r="BB1535" s="2744"/>
      <c r="BC1535" s="2744"/>
      <c r="BD1535" s="2744"/>
      <c r="BE1535" s="2744"/>
      <c r="BF1535" s="2744"/>
      <c r="BG1535" s="2744"/>
      <c r="BH1535" s="3626"/>
      <c r="BI1535" s="2514"/>
      <c r="BJ1535" s="2514"/>
      <c r="BK1535" s="2744"/>
      <c r="BO1535" s="2535"/>
      <c r="CA1535" s="2744"/>
      <c r="CD1535" s="101"/>
      <c r="CS1535" s="2744"/>
      <c r="CT1535" s="531"/>
      <c r="CX1535" s="166"/>
      <c r="DB1535" s="2745"/>
      <c r="DC1535" s="2535"/>
      <c r="DG1535" s="2535"/>
      <c r="EC1535" s="101"/>
      <c r="EG1535" s="101"/>
      <c r="EI1535" s="2689" t="s">
        <v>11854</v>
      </c>
    </row>
    <row r="1536" spans="1:139" s="3593" customFormat="1" ht="29">
      <c r="A1536" s="2447"/>
      <c r="B1536" s="2744"/>
      <c r="C1536" s="2744"/>
      <c r="D1536" s="2744"/>
      <c r="E1536" s="2091"/>
      <c r="F1536" s="2091"/>
      <c r="G1536" s="2744"/>
      <c r="H1536" s="2744"/>
      <c r="I1536" s="2744"/>
      <c r="J1536" s="2744"/>
      <c r="K1536" s="2744"/>
      <c r="L1536" s="2744"/>
      <c r="M1536" s="2744"/>
      <c r="N1536" s="2744"/>
      <c r="O1536" s="2744"/>
      <c r="P1536" s="2744"/>
      <c r="Q1536" s="2744"/>
      <c r="R1536" s="2744"/>
      <c r="S1536" s="2744"/>
      <c r="T1536" s="2744"/>
      <c r="U1536" s="2744"/>
      <c r="V1536" s="2744"/>
      <c r="W1536" s="2744"/>
      <c r="X1536" s="2744"/>
      <c r="Y1536" s="2744"/>
      <c r="Z1536" s="2744"/>
      <c r="AA1536" s="2744"/>
      <c r="AB1536" s="2744"/>
      <c r="AC1536" s="2744"/>
      <c r="AD1536" s="2744"/>
      <c r="AE1536" s="2745"/>
      <c r="AF1536" s="2744"/>
      <c r="AG1536" s="2744"/>
      <c r="AH1536" s="2744"/>
      <c r="AI1536" s="2744"/>
      <c r="AJ1536" s="2744"/>
      <c r="AK1536" s="2744"/>
      <c r="AL1536" s="2744"/>
      <c r="AM1536" s="2744"/>
      <c r="AN1536" s="2744"/>
      <c r="AO1536" s="2744"/>
      <c r="AP1536" s="2744"/>
      <c r="AQ1536" s="2744"/>
      <c r="AS1536" s="2744"/>
      <c r="AT1536" s="2744"/>
      <c r="AU1536" s="2744"/>
      <c r="AV1536" s="2744"/>
      <c r="AW1536" s="2744"/>
      <c r="AX1536" s="2744"/>
      <c r="AY1536" s="531"/>
      <c r="AZ1536" s="2744"/>
      <c r="BA1536" s="2744"/>
      <c r="BB1536" s="2744"/>
      <c r="BC1536" s="2744"/>
      <c r="BD1536" s="2744"/>
      <c r="BE1536" s="2744"/>
      <c r="BF1536" s="2744"/>
      <c r="BG1536" s="2744"/>
      <c r="BH1536" s="3626"/>
      <c r="BI1536" s="2514"/>
      <c r="BJ1536" s="2514"/>
      <c r="BK1536" s="2744"/>
      <c r="BO1536" s="2535"/>
      <c r="CA1536" s="2744"/>
      <c r="CD1536" s="101"/>
      <c r="CS1536" s="2744"/>
      <c r="CT1536" s="531"/>
      <c r="CX1536" s="166"/>
      <c r="DB1536" s="2745"/>
      <c r="DC1536" s="2535"/>
      <c r="DG1536" s="2535"/>
      <c r="EC1536" s="101"/>
      <c r="EG1536" s="101"/>
      <c r="EI1536" s="2689" t="s">
        <v>11855</v>
      </c>
    </row>
    <row r="1537" spans="1:139" s="3593" customFormat="1" ht="29">
      <c r="A1537" s="2447"/>
      <c r="B1537" s="2744"/>
      <c r="C1537" s="2744"/>
      <c r="D1537" s="2744"/>
      <c r="E1537" s="2091"/>
      <c r="F1537" s="2091"/>
      <c r="G1537" s="2744"/>
      <c r="H1537" s="2744"/>
      <c r="I1537" s="2744"/>
      <c r="J1537" s="2744"/>
      <c r="K1537" s="2744"/>
      <c r="L1537" s="2744"/>
      <c r="M1537" s="2744"/>
      <c r="N1537" s="2744"/>
      <c r="O1537" s="2744"/>
      <c r="P1537" s="2744"/>
      <c r="Q1537" s="2744"/>
      <c r="R1537" s="2744"/>
      <c r="S1537" s="2744"/>
      <c r="T1537" s="2744"/>
      <c r="U1537" s="2744"/>
      <c r="V1537" s="2744"/>
      <c r="W1537" s="2744"/>
      <c r="X1537" s="2744"/>
      <c r="Y1537" s="2744"/>
      <c r="Z1537" s="2744"/>
      <c r="AA1537" s="2744"/>
      <c r="AB1537" s="2744"/>
      <c r="AC1537" s="2744"/>
      <c r="AD1537" s="2744"/>
      <c r="AE1537" s="2745"/>
      <c r="AF1537" s="2744"/>
      <c r="AG1537" s="2744"/>
      <c r="AH1537" s="2744"/>
      <c r="AI1537" s="2744"/>
      <c r="AJ1537" s="2744"/>
      <c r="AK1537" s="2744"/>
      <c r="AL1537" s="2744"/>
      <c r="AM1537" s="2744"/>
      <c r="AN1537" s="2744"/>
      <c r="AO1537" s="2744"/>
      <c r="AP1537" s="2744"/>
      <c r="AQ1537" s="2744"/>
      <c r="AS1537" s="2744"/>
      <c r="AT1537" s="2744"/>
      <c r="AU1537" s="2744"/>
      <c r="AV1537" s="2744"/>
      <c r="AW1537" s="2744"/>
      <c r="AX1537" s="2744"/>
      <c r="AY1537" s="531"/>
      <c r="AZ1537" s="2744"/>
      <c r="BA1537" s="2744"/>
      <c r="BB1537" s="2744"/>
      <c r="BC1537" s="2744"/>
      <c r="BD1537" s="2744"/>
      <c r="BE1537" s="2744"/>
      <c r="BF1537" s="2744"/>
      <c r="BG1537" s="2744"/>
      <c r="BH1537" s="3626"/>
      <c r="BI1537" s="2514"/>
      <c r="BJ1537" s="2514"/>
      <c r="BK1537" s="2744"/>
      <c r="BO1537" s="2535"/>
      <c r="CA1537" s="2744"/>
      <c r="CD1537" s="101"/>
      <c r="CS1537" s="2744"/>
      <c r="CT1537" s="531"/>
      <c r="CX1537" s="166"/>
      <c r="DB1537" s="2745"/>
      <c r="DC1537" s="2535"/>
      <c r="DG1537" s="2535"/>
      <c r="EC1537" s="101"/>
      <c r="EG1537" s="101"/>
      <c r="EI1537" s="2689" t="s">
        <v>11856</v>
      </c>
    </row>
    <row r="1538" spans="1:139" s="3593" customFormat="1">
      <c r="A1538" s="2447"/>
      <c r="B1538" s="2744"/>
      <c r="C1538" s="2744"/>
      <c r="D1538" s="2744"/>
      <c r="E1538" s="2091"/>
      <c r="F1538" s="2091"/>
      <c r="G1538" s="2744"/>
      <c r="H1538" s="2744"/>
      <c r="I1538" s="2744"/>
      <c r="J1538" s="2744"/>
      <c r="K1538" s="2744"/>
      <c r="L1538" s="2744"/>
      <c r="M1538" s="2744"/>
      <c r="N1538" s="2744"/>
      <c r="O1538" s="2744"/>
      <c r="P1538" s="2744"/>
      <c r="Q1538" s="2744"/>
      <c r="R1538" s="2744"/>
      <c r="S1538" s="2744"/>
      <c r="T1538" s="2744"/>
      <c r="U1538" s="2744"/>
      <c r="V1538" s="2744"/>
      <c r="W1538" s="2744"/>
      <c r="X1538" s="2744"/>
      <c r="Y1538" s="2744"/>
      <c r="Z1538" s="2744"/>
      <c r="AA1538" s="2744"/>
      <c r="AB1538" s="2744"/>
      <c r="AC1538" s="2744"/>
      <c r="AD1538" s="2744"/>
      <c r="AE1538" s="2745"/>
      <c r="AF1538" s="2744"/>
      <c r="AG1538" s="2744"/>
      <c r="AH1538" s="2744"/>
      <c r="AI1538" s="2744"/>
      <c r="AJ1538" s="2744"/>
      <c r="AK1538" s="2744"/>
      <c r="AL1538" s="2744"/>
      <c r="AM1538" s="2744"/>
      <c r="AN1538" s="2744"/>
      <c r="AO1538" s="2744"/>
      <c r="AP1538" s="2744"/>
      <c r="AQ1538" s="2744"/>
      <c r="AS1538" s="2744"/>
      <c r="AT1538" s="2744"/>
      <c r="AU1538" s="2744"/>
      <c r="AV1538" s="2744"/>
      <c r="AW1538" s="2744"/>
      <c r="AX1538" s="2744"/>
      <c r="AY1538" s="531"/>
      <c r="AZ1538" s="2744"/>
      <c r="BA1538" s="2744"/>
      <c r="BB1538" s="2744"/>
      <c r="BC1538" s="2744"/>
      <c r="BD1538" s="2744"/>
      <c r="BE1538" s="2744"/>
      <c r="BF1538" s="2744"/>
      <c r="BG1538" s="2744"/>
      <c r="BH1538" s="3626"/>
      <c r="BI1538" s="2514"/>
      <c r="BJ1538" s="2514"/>
      <c r="BK1538" s="2744"/>
      <c r="BO1538" s="2535"/>
      <c r="CA1538" s="2744"/>
      <c r="CD1538" s="101"/>
      <c r="CS1538" s="2744"/>
      <c r="CT1538" s="531"/>
      <c r="CX1538" s="166"/>
      <c r="DB1538" s="2745"/>
      <c r="DC1538" s="2535"/>
      <c r="DG1538" s="2535"/>
      <c r="EC1538" s="101"/>
      <c r="EG1538" s="101"/>
      <c r="EI1538" s="2689" t="s">
        <v>11857</v>
      </c>
    </row>
    <row r="1539" spans="1:139" s="3593" customFormat="1">
      <c r="A1539" s="2447"/>
      <c r="B1539" s="2744"/>
      <c r="C1539" s="2744"/>
      <c r="D1539" s="2744"/>
      <c r="E1539" s="2091"/>
      <c r="F1539" s="2091"/>
      <c r="G1539" s="2744"/>
      <c r="H1539" s="2744"/>
      <c r="I1539" s="2744"/>
      <c r="J1539" s="2744"/>
      <c r="K1539" s="2744"/>
      <c r="L1539" s="2744"/>
      <c r="M1539" s="2744"/>
      <c r="N1539" s="2744"/>
      <c r="O1539" s="2744"/>
      <c r="P1539" s="2744"/>
      <c r="Q1539" s="2744"/>
      <c r="R1539" s="2744"/>
      <c r="S1539" s="2744"/>
      <c r="T1539" s="2744"/>
      <c r="U1539" s="2744"/>
      <c r="V1539" s="2744"/>
      <c r="W1539" s="2744"/>
      <c r="X1539" s="2744"/>
      <c r="Y1539" s="2744"/>
      <c r="Z1539" s="2744"/>
      <c r="AA1539" s="2744"/>
      <c r="AB1539" s="2744"/>
      <c r="AC1539" s="2744"/>
      <c r="AD1539" s="2744"/>
      <c r="AE1539" s="2745"/>
      <c r="AF1539" s="2744"/>
      <c r="AG1539" s="2744"/>
      <c r="AH1539" s="2744"/>
      <c r="AI1539" s="2744"/>
      <c r="AJ1539" s="2744"/>
      <c r="AK1539" s="2744"/>
      <c r="AL1539" s="2744"/>
      <c r="AM1539" s="2744"/>
      <c r="AN1539" s="2744"/>
      <c r="AO1539" s="2744"/>
      <c r="AP1539" s="2744"/>
      <c r="AQ1539" s="2744"/>
      <c r="AS1539" s="2744"/>
      <c r="AT1539" s="2744"/>
      <c r="AU1539" s="2744"/>
      <c r="AV1539" s="2744"/>
      <c r="AW1539" s="2744"/>
      <c r="AX1539" s="2744"/>
      <c r="AY1539" s="531"/>
      <c r="AZ1539" s="2744"/>
      <c r="BA1539" s="2744"/>
      <c r="BB1539" s="2744"/>
      <c r="BC1539" s="2744"/>
      <c r="BD1539" s="2744"/>
      <c r="BE1539" s="2744"/>
      <c r="BF1539" s="2744"/>
      <c r="BG1539" s="2744"/>
      <c r="BH1539" s="3626"/>
      <c r="BI1539" s="2514"/>
      <c r="BJ1539" s="2514"/>
      <c r="BK1539" s="2744"/>
      <c r="BO1539" s="2535"/>
      <c r="CA1539" s="2744"/>
      <c r="CD1539" s="101"/>
      <c r="CS1539" s="2744"/>
      <c r="CT1539" s="531"/>
      <c r="CX1539" s="166"/>
      <c r="DB1539" s="2745"/>
      <c r="DC1539" s="2535"/>
      <c r="DG1539" s="2535"/>
      <c r="EC1539" s="101"/>
      <c r="EG1539" s="101"/>
      <c r="EI1539" s="2689" t="s">
        <v>11858</v>
      </c>
    </row>
    <row r="1540" spans="1:139" s="3593" customFormat="1">
      <c r="A1540" s="2447"/>
      <c r="B1540" s="2744"/>
      <c r="C1540" s="2744"/>
      <c r="D1540" s="2744"/>
      <c r="E1540" s="2091"/>
      <c r="F1540" s="2091"/>
      <c r="G1540" s="2744"/>
      <c r="H1540" s="2744"/>
      <c r="I1540" s="2744"/>
      <c r="J1540" s="2744"/>
      <c r="K1540" s="2744"/>
      <c r="L1540" s="2744"/>
      <c r="M1540" s="2744"/>
      <c r="N1540" s="2744"/>
      <c r="O1540" s="2744"/>
      <c r="P1540" s="2744"/>
      <c r="Q1540" s="2744"/>
      <c r="R1540" s="2744"/>
      <c r="S1540" s="2744"/>
      <c r="T1540" s="2744"/>
      <c r="U1540" s="2744"/>
      <c r="V1540" s="2744"/>
      <c r="W1540" s="2744"/>
      <c r="X1540" s="2744"/>
      <c r="Y1540" s="2744"/>
      <c r="Z1540" s="2744"/>
      <c r="AA1540" s="2744"/>
      <c r="AB1540" s="2744"/>
      <c r="AC1540" s="2744"/>
      <c r="AD1540" s="2744"/>
      <c r="AE1540" s="2745"/>
      <c r="AF1540" s="2744"/>
      <c r="AG1540" s="2744"/>
      <c r="AH1540" s="2744"/>
      <c r="AI1540" s="2744"/>
      <c r="AJ1540" s="2744"/>
      <c r="AK1540" s="2744"/>
      <c r="AL1540" s="2744"/>
      <c r="AM1540" s="2744"/>
      <c r="AN1540" s="2744"/>
      <c r="AO1540" s="2744"/>
      <c r="AP1540" s="2744"/>
      <c r="AQ1540" s="2744"/>
      <c r="AS1540" s="2744"/>
      <c r="AT1540" s="2744"/>
      <c r="AU1540" s="2744"/>
      <c r="AV1540" s="2744"/>
      <c r="AW1540" s="2744"/>
      <c r="AX1540" s="2744"/>
      <c r="AY1540" s="531"/>
      <c r="AZ1540" s="2744"/>
      <c r="BA1540" s="2744"/>
      <c r="BB1540" s="2744"/>
      <c r="BC1540" s="2744"/>
      <c r="BD1540" s="2744"/>
      <c r="BE1540" s="2744"/>
      <c r="BF1540" s="2744"/>
      <c r="BG1540" s="2744"/>
      <c r="BH1540" s="3626"/>
      <c r="BI1540" s="2514"/>
      <c r="BJ1540" s="2514"/>
      <c r="BK1540" s="2744"/>
      <c r="BO1540" s="2535"/>
      <c r="CA1540" s="2744"/>
      <c r="CD1540" s="101"/>
      <c r="CS1540" s="2744"/>
      <c r="CT1540" s="531"/>
      <c r="CX1540" s="166"/>
      <c r="DB1540" s="2745"/>
      <c r="DC1540" s="2535"/>
      <c r="DG1540" s="2535"/>
      <c r="EC1540" s="101"/>
      <c r="EG1540" s="101"/>
      <c r="EI1540" s="2689" t="s">
        <v>11859</v>
      </c>
    </row>
    <row r="1541" spans="1:139" s="3593" customFormat="1" ht="29">
      <c r="A1541" s="2447"/>
      <c r="B1541" s="2744"/>
      <c r="C1541" s="2744"/>
      <c r="D1541" s="2744"/>
      <c r="E1541" s="2091"/>
      <c r="F1541" s="2091"/>
      <c r="G1541" s="2744"/>
      <c r="H1541" s="2744"/>
      <c r="I1541" s="2744"/>
      <c r="J1541" s="2744"/>
      <c r="K1541" s="2744"/>
      <c r="L1541" s="2744"/>
      <c r="M1541" s="2744"/>
      <c r="N1541" s="2744"/>
      <c r="O1541" s="2744"/>
      <c r="P1541" s="2744"/>
      <c r="Q1541" s="2744"/>
      <c r="R1541" s="2744"/>
      <c r="S1541" s="2744"/>
      <c r="T1541" s="2744"/>
      <c r="U1541" s="2744"/>
      <c r="V1541" s="2744"/>
      <c r="W1541" s="2744"/>
      <c r="X1541" s="2744"/>
      <c r="Y1541" s="2744"/>
      <c r="Z1541" s="2744"/>
      <c r="AA1541" s="2744"/>
      <c r="AB1541" s="2744"/>
      <c r="AC1541" s="2744"/>
      <c r="AD1541" s="2744"/>
      <c r="AE1541" s="2745"/>
      <c r="AF1541" s="2744"/>
      <c r="AG1541" s="2744"/>
      <c r="AH1541" s="2744"/>
      <c r="AI1541" s="2744"/>
      <c r="AJ1541" s="2744"/>
      <c r="AK1541" s="2744"/>
      <c r="AL1541" s="2744"/>
      <c r="AM1541" s="2744"/>
      <c r="AN1541" s="2744"/>
      <c r="AO1541" s="2744"/>
      <c r="AP1541" s="2744"/>
      <c r="AQ1541" s="2744"/>
      <c r="AS1541" s="2744"/>
      <c r="AT1541" s="2744"/>
      <c r="AU1541" s="2744"/>
      <c r="AV1541" s="2744"/>
      <c r="AW1541" s="2744"/>
      <c r="AX1541" s="2744"/>
      <c r="AY1541" s="531"/>
      <c r="AZ1541" s="2744"/>
      <c r="BA1541" s="2744"/>
      <c r="BB1541" s="2744"/>
      <c r="BC1541" s="2744"/>
      <c r="BD1541" s="2744"/>
      <c r="BE1541" s="2744"/>
      <c r="BF1541" s="2744"/>
      <c r="BG1541" s="2744"/>
      <c r="BH1541" s="3626"/>
      <c r="BI1541" s="2514"/>
      <c r="BJ1541" s="2514"/>
      <c r="BK1541" s="2744"/>
      <c r="BO1541" s="2535"/>
      <c r="CA1541" s="2744"/>
      <c r="CD1541" s="101"/>
      <c r="CS1541" s="2744"/>
      <c r="CT1541" s="531"/>
      <c r="CX1541" s="166"/>
      <c r="DB1541" s="2745"/>
      <c r="DC1541" s="2535"/>
      <c r="DG1541" s="2535"/>
      <c r="EC1541" s="101"/>
      <c r="EG1541" s="101"/>
      <c r="EI1541" s="2689" t="s">
        <v>11860</v>
      </c>
    </row>
    <row r="1542" spans="1:139" s="3593" customFormat="1">
      <c r="A1542" s="2447"/>
      <c r="B1542" s="2744"/>
      <c r="C1542" s="2744"/>
      <c r="D1542" s="2744"/>
      <c r="E1542" s="2091"/>
      <c r="F1542" s="2091"/>
      <c r="G1542" s="2744"/>
      <c r="H1542" s="2744"/>
      <c r="I1542" s="2744"/>
      <c r="J1542" s="2744"/>
      <c r="K1542" s="2744"/>
      <c r="L1542" s="2744"/>
      <c r="M1542" s="2744"/>
      <c r="N1542" s="2744"/>
      <c r="O1542" s="2744"/>
      <c r="P1542" s="2744"/>
      <c r="Q1542" s="2744"/>
      <c r="R1542" s="2744"/>
      <c r="S1542" s="2744"/>
      <c r="T1542" s="2744"/>
      <c r="U1542" s="2744"/>
      <c r="V1542" s="2744"/>
      <c r="W1542" s="2744"/>
      <c r="X1542" s="2744"/>
      <c r="Y1542" s="2744"/>
      <c r="Z1542" s="2744"/>
      <c r="AA1542" s="2744"/>
      <c r="AB1542" s="2744"/>
      <c r="AC1542" s="2744"/>
      <c r="AD1542" s="2744"/>
      <c r="AE1542" s="2745"/>
      <c r="AF1542" s="2744"/>
      <c r="AG1542" s="2744"/>
      <c r="AH1542" s="2744"/>
      <c r="AI1542" s="2744"/>
      <c r="AJ1542" s="2744"/>
      <c r="AK1542" s="2744"/>
      <c r="AL1542" s="2744"/>
      <c r="AM1542" s="2744"/>
      <c r="AN1542" s="2744"/>
      <c r="AO1542" s="2744"/>
      <c r="AP1542" s="2744"/>
      <c r="AQ1542" s="2744"/>
      <c r="AS1542" s="2744"/>
      <c r="AT1542" s="2744"/>
      <c r="AU1542" s="2744"/>
      <c r="AV1542" s="2744"/>
      <c r="AW1542" s="2744"/>
      <c r="AX1542" s="2744"/>
      <c r="AY1542" s="531"/>
      <c r="AZ1542" s="2744"/>
      <c r="BA1542" s="2744"/>
      <c r="BB1542" s="2744"/>
      <c r="BC1542" s="2744"/>
      <c r="BD1542" s="2744"/>
      <c r="BE1542" s="2744"/>
      <c r="BF1542" s="2744"/>
      <c r="BG1542" s="2744"/>
      <c r="BH1542" s="3626"/>
      <c r="BI1542" s="2514"/>
      <c r="BJ1542" s="2514"/>
      <c r="BK1542" s="2744"/>
      <c r="BO1542" s="2535"/>
      <c r="CA1542" s="2744"/>
      <c r="CD1542" s="101"/>
      <c r="CS1542" s="2744"/>
      <c r="CT1542" s="531"/>
      <c r="CX1542" s="166"/>
      <c r="DB1542" s="2745"/>
      <c r="DC1542" s="2535"/>
      <c r="DG1542" s="2535"/>
      <c r="EC1542" s="101"/>
      <c r="EG1542" s="101"/>
      <c r="EI1542" s="2689" t="s">
        <v>11861</v>
      </c>
    </row>
    <row r="1543" spans="1:139" s="3593" customFormat="1">
      <c r="A1543" s="2447"/>
      <c r="B1543" s="2744"/>
      <c r="C1543" s="2744"/>
      <c r="D1543" s="2744"/>
      <c r="E1543" s="2091"/>
      <c r="F1543" s="2091"/>
      <c r="G1543" s="2744"/>
      <c r="H1543" s="2744"/>
      <c r="I1543" s="2744"/>
      <c r="J1543" s="2744"/>
      <c r="K1543" s="2744"/>
      <c r="L1543" s="2744"/>
      <c r="M1543" s="2744"/>
      <c r="N1543" s="2744"/>
      <c r="O1543" s="2744"/>
      <c r="P1543" s="2744"/>
      <c r="Q1543" s="2744"/>
      <c r="R1543" s="2744"/>
      <c r="S1543" s="2744"/>
      <c r="T1543" s="2744"/>
      <c r="U1543" s="2744"/>
      <c r="V1543" s="2744"/>
      <c r="W1543" s="2744"/>
      <c r="X1543" s="2744"/>
      <c r="Y1543" s="2744"/>
      <c r="Z1543" s="2744"/>
      <c r="AA1543" s="2744"/>
      <c r="AB1543" s="2744"/>
      <c r="AC1543" s="2744"/>
      <c r="AD1543" s="2744"/>
      <c r="AE1543" s="2745"/>
      <c r="AF1543" s="2744"/>
      <c r="AG1543" s="2744"/>
      <c r="AH1543" s="2744"/>
      <c r="AI1543" s="2744"/>
      <c r="AJ1543" s="2744"/>
      <c r="AK1543" s="2744"/>
      <c r="AL1543" s="2744"/>
      <c r="AM1543" s="2744"/>
      <c r="AN1543" s="2744"/>
      <c r="AO1543" s="2744"/>
      <c r="AP1543" s="2744"/>
      <c r="AQ1543" s="2744"/>
      <c r="AS1543" s="2744"/>
      <c r="AT1543" s="2744"/>
      <c r="AU1543" s="2744"/>
      <c r="AV1543" s="2744"/>
      <c r="AW1543" s="2744"/>
      <c r="AX1543" s="2744"/>
      <c r="AY1543" s="531"/>
      <c r="AZ1543" s="2744"/>
      <c r="BA1543" s="2744"/>
      <c r="BB1543" s="2744"/>
      <c r="BC1543" s="2744"/>
      <c r="BD1543" s="2744"/>
      <c r="BE1543" s="2744"/>
      <c r="BF1543" s="2744"/>
      <c r="BG1543" s="2744"/>
      <c r="BH1543" s="3626"/>
      <c r="BI1543" s="2514"/>
      <c r="BJ1543" s="2514"/>
      <c r="BK1543" s="2744"/>
      <c r="BO1543" s="2535"/>
      <c r="CA1543" s="2744"/>
      <c r="CD1543" s="101"/>
      <c r="CS1543" s="2744"/>
      <c r="CT1543" s="531"/>
      <c r="CX1543" s="166"/>
      <c r="DB1543" s="2745"/>
      <c r="DC1543" s="2535"/>
      <c r="DG1543" s="2535"/>
      <c r="EC1543" s="101"/>
      <c r="EG1543" s="101"/>
      <c r="EI1543" s="2689" t="s">
        <v>11862</v>
      </c>
    </row>
    <row r="1544" spans="1:139" s="3593" customFormat="1">
      <c r="A1544" s="2447"/>
      <c r="B1544" s="2744"/>
      <c r="C1544" s="2744"/>
      <c r="D1544" s="2744"/>
      <c r="E1544" s="2091"/>
      <c r="F1544" s="2091"/>
      <c r="G1544" s="2744"/>
      <c r="H1544" s="2744"/>
      <c r="I1544" s="2744"/>
      <c r="J1544" s="2744"/>
      <c r="K1544" s="2744"/>
      <c r="L1544" s="2744"/>
      <c r="M1544" s="2744"/>
      <c r="N1544" s="2744"/>
      <c r="O1544" s="2744"/>
      <c r="P1544" s="2744"/>
      <c r="Q1544" s="2744"/>
      <c r="R1544" s="2744"/>
      <c r="S1544" s="2744"/>
      <c r="T1544" s="2744"/>
      <c r="U1544" s="2744"/>
      <c r="V1544" s="2744"/>
      <c r="W1544" s="2744"/>
      <c r="X1544" s="2744"/>
      <c r="Y1544" s="2744"/>
      <c r="Z1544" s="2744"/>
      <c r="AA1544" s="2744"/>
      <c r="AB1544" s="2744"/>
      <c r="AC1544" s="2744"/>
      <c r="AD1544" s="2744"/>
      <c r="AE1544" s="2745"/>
      <c r="AF1544" s="2744"/>
      <c r="AG1544" s="2744"/>
      <c r="AH1544" s="2744"/>
      <c r="AI1544" s="2744"/>
      <c r="AJ1544" s="2744"/>
      <c r="AK1544" s="2744"/>
      <c r="AL1544" s="2744"/>
      <c r="AM1544" s="2744"/>
      <c r="AN1544" s="2744"/>
      <c r="AO1544" s="2744"/>
      <c r="AP1544" s="2744"/>
      <c r="AQ1544" s="2744"/>
      <c r="AS1544" s="2744"/>
      <c r="AT1544" s="2744"/>
      <c r="AU1544" s="2744"/>
      <c r="AV1544" s="2744"/>
      <c r="AW1544" s="2744"/>
      <c r="AX1544" s="2744"/>
      <c r="AY1544" s="531"/>
      <c r="AZ1544" s="2744"/>
      <c r="BA1544" s="2744"/>
      <c r="BB1544" s="2744"/>
      <c r="BC1544" s="2744"/>
      <c r="BD1544" s="2744"/>
      <c r="BE1544" s="2744"/>
      <c r="BF1544" s="2744"/>
      <c r="BG1544" s="2744"/>
      <c r="BH1544" s="3626"/>
      <c r="BI1544" s="2514"/>
      <c r="BJ1544" s="2514"/>
      <c r="BK1544" s="2744"/>
      <c r="BO1544" s="2535"/>
      <c r="CA1544" s="2744"/>
      <c r="CD1544" s="101"/>
      <c r="CS1544" s="2744"/>
      <c r="CT1544" s="531"/>
      <c r="CX1544" s="166"/>
      <c r="DB1544" s="2745"/>
      <c r="DC1544" s="2535"/>
      <c r="DG1544" s="2535"/>
      <c r="EC1544" s="101"/>
      <c r="EG1544" s="101"/>
      <c r="EI1544" s="2689" t="s">
        <v>11863</v>
      </c>
    </row>
    <row r="1545" spans="1:139" s="3593" customFormat="1" ht="29">
      <c r="A1545" s="2447"/>
      <c r="B1545" s="2744"/>
      <c r="C1545" s="2744"/>
      <c r="D1545" s="2744"/>
      <c r="E1545" s="2091"/>
      <c r="F1545" s="2091"/>
      <c r="G1545" s="2744"/>
      <c r="H1545" s="2744"/>
      <c r="I1545" s="2744"/>
      <c r="J1545" s="2744"/>
      <c r="K1545" s="2744"/>
      <c r="L1545" s="2744"/>
      <c r="M1545" s="2744"/>
      <c r="N1545" s="2744"/>
      <c r="O1545" s="2744"/>
      <c r="P1545" s="2744"/>
      <c r="Q1545" s="2744"/>
      <c r="R1545" s="2744"/>
      <c r="S1545" s="2744"/>
      <c r="T1545" s="2744"/>
      <c r="U1545" s="2744"/>
      <c r="V1545" s="2744"/>
      <c r="W1545" s="2744"/>
      <c r="X1545" s="2744"/>
      <c r="Y1545" s="2744"/>
      <c r="Z1545" s="2744"/>
      <c r="AA1545" s="2744"/>
      <c r="AB1545" s="2744"/>
      <c r="AC1545" s="2744"/>
      <c r="AD1545" s="2744"/>
      <c r="AE1545" s="2745"/>
      <c r="AF1545" s="2744"/>
      <c r="AG1545" s="2744"/>
      <c r="AH1545" s="2744"/>
      <c r="AI1545" s="2744"/>
      <c r="AJ1545" s="2744"/>
      <c r="AK1545" s="2744"/>
      <c r="AL1545" s="2744"/>
      <c r="AM1545" s="2744"/>
      <c r="AN1545" s="2744"/>
      <c r="AO1545" s="2744"/>
      <c r="AP1545" s="2744"/>
      <c r="AQ1545" s="2744"/>
      <c r="AS1545" s="2744"/>
      <c r="AT1545" s="2744"/>
      <c r="AU1545" s="2744"/>
      <c r="AV1545" s="2744"/>
      <c r="AW1545" s="2744"/>
      <c r="AX1545" s="2744"/>
      <c r="AY1545" s="531"/>
      <c r="AZ1545" s="2744"/>
      <c r="BA1545" s="2744"/>
      <c r="BB1545" s="2744"/>
      <c r="BC1545" s="2744"/>
      <c r="BD1545" s="2744"/>
      <c r="BE1545" s="2744"/>
      <c r="BF1545" s="2744"/>
      <c r="BG1545" s="2744"/>
      <c r="BH1545" s="3626"/>
      <c r="BI1545" s="2514"/>
      <c r="BJ1545" s="2514"/>
      <c r="BK1545" s="2744"/>
      <c r="BO1545" s="2535"/>
      <c r="CA1545" s="2744"/>
      <c r="CD1545" s="101"/>
      <c r="CS1545" s="2744"/>
      <c r="CT1545" s="531"/>
      <c r="CX1545" s="166"/>
      <c r="DB1545" s="2745"/>
      <c r="DC1545" s="2535"/>
      <c r="DG1545" s="2535"/>
      <c r="EC1545" s="101"/>
      <c r="EG1545" s="101"/>
      <c r="EI1545" s="2689" t="s">
        <v>11864</v>
      </c>
    </row>
    <row r="1546" spans="1:139" s="3593" customFormat="1" ht="43.5">
      <c r="A1546" s="2447"/>
      <c r="B1546" s="2744"/>
      <c r="C1546" s="2744"/>
      <c r="D1546" s="2744"/>
      <c r="E1546" s="2091"/>
      <c r="F1546" s="2091"/>
      <c r="G1546" s="2744"/>
      <c r="H1546" s="2744"/>
      <c r="I1546" s="2744"/>
      <c r="J1546" s="2744"/>
      <c r="K1546" s="2744"/>
      <c r="L1546" s="2744"/>
      <c r="M1546" s="2744"/>
      <c r="N1546" s="2744"/>
      <c r="O1546" s="2744"/>
      <c r="P1546" s="2744"/>
      <c r="Q1546" s="2744"/>
      <c r="R1546" s="2744"/>
      <c r="S1546" s="2744"/>
      <c r="T1546" s="2744"/>
      <c r="U1546" s="2744"/>
      <c r="V1546" s="2744"/>
      <c r="W1546" s="2744"/>
      <c r="X1546" s="2744"/>
      <c r="Y1546" s="2744"/>
      <c r="Z1546" s="2744"/>
      <c r="AA1546" s="2744"/>
      <c r="AB1546" s="2744"/>
      <c r="AC1546" s="2744"/>
      <c r="AD1546" s="2744"/>
      <c r="AE1546" s="2745"/>
      <c r="AF1546" s="2744"/>
      <c r="AG1546" s="2744"/>
      <c r="AH1546" s="2744"/>
      <c r="AI1546" s="2744"/>
      <c r="AJ1546" s="2744"/>
      <c r="AK1546" s="2744"/>
      <c r="AL1546" s="2744"/>
      <c r="AM1546" s="2744"/>
      <c r="AN1546" s="2744"/>
      <c r="AO1546" s="2744"/>
      <c r="AP1546" s="2744"/>
      <c r="AQ1546" s="2744"/>
      <c r="AS1546" s="2744"/>
      <c r="AT1546" s="2744"/>
      <c r="AU1546" s="2744"/>
      <c r="AV1546" s="2744"/>
      <c r="AW1546" s="2744"/>
      <c r="AX1546" s="2744"/>
      <c r="AY1546" s="531"/>
      <c r="AZ1546" s="2744"/>
      <c r="BA1546" s="2744"/>
      <c r="BB1546" s="2744"/>
      <c r="BC1546" s="2744"/>
      <c r="BD1546" s="2744"/>
      <c r="BE1546" s="2744"/>
      <c r="BF1546" s="2744"/>
      <c r="BG1546" s="2744"/>
      <c r="BH1546" s="3626"/>
      <c r="BI1546" s="2514"/>
      <c r="BJ1546" s="2514"/>
      <c r="BK1546" s="2744"/>
      <c r="BO1546" s="2535"/>
      <c r="CA1546" s="2744"/>
      <c r="CD1546" s="101"/>
      <c r="CS1546" s="2744"/>
      <c r="CT1546" s="531"/>
      <c r="CX1546" s="166"/>
      <c r="DB1546" s="2745"/>
      <c r="DC1546" s="2535"/>
      <c r="DG1546" s="2535"/>
      <c r="EC1546" s="101"/>
      <c r="EG1546" s="101"/>
      <c r="EI1546" s="2689" t="s">
        <v>11865</v>
      </c>
    </row>
    <row r="1547" spans="1:139" s="3593" customFormat="1" ht="58">
      <c r="A1547" s="2447"/>
      <c r="B1547" s="2744"/>
      <c r="C1547" s="2744"/>
      <c r="D1547" s="2744"/>
      <c r="E1547" s="2091"/>
      <c r="F1547" s="2091"/>
      <c r="G1547" s="2744"/>
      <c r="H1547" s="2744"/>
      <c r="I1547" s="2744"/>
      <c r="J1547" s="2744"/>
      <c r="K1547" s="2744"/>
      <c r="L1547" s="2744"/>
      <c r="M1547" s="2744"/>
      <c r="N1547" s="2744"/>
      <c r="O1547" s="2744"/>
      <c r="P1547" s="2744"/>
      <c r="Q1547" s="2744"/>
      <c r="R1547" s="2744"/>
      <c r="S1547" s="2744"/>
      <c r="T1547" s="2744"/>
      <c r="U1547" s="2744"/>
      <c r="V1547" s="2744"/>
      <c r="W1547" s="2744"/>
      <c r="X1547" s="2744"/>
      <c r="Y1547" s="2744"/>
      <c r="Z1547" s="2744"/>
      <c r="AA1547" s="2744"/>
      <c r="AB1547" s="2744"/>
      <c r="AC1547" s="2744"/>
      <c r="AD1547" s="2744"/>
      <c r="AE1547" s="2745"/>
      <c r="AF1547" s="2744"/>
      <c r="AG1547" s="2744"/>
      <c r="AH1547" s="2744"/>
      <c r="AI1547" s="2744"/>
      <c r="AJ1547" s="2744"/>
      <c r="AK1547" s="2744"/>
      <c r="AL1547" s="2744"/>
      <c r="AM1547" s="2744"/>
      <c r="AN1547" s="2744"/>
      <c r="AO1547" s="2744"/>
      <c r="AP1547" s="2744"/>
      <c r="AQ1547" s="2744"/>
      <c r="AS1547" s="2744"/>
      <c r="AT1547" s="2744"/>
      <c r="AU1547" s="2744"/>
      <c r="AV1547" s="2744"/>
      <c r="AW1547" s="2744"/>
      <c r="AX1547" s="2744"/>
      <c r="AY1547" s="531"/>
      <c r="AZ1547" s="2744"/>
      <c r="BA1547" s="2744"/>
      <c r="BB1547" s="2744"/>
      <c r="BC1547" s="2744"/>
      <c r="BD1547" s="2744"/>
      <c r="BE1547" s="2744"/>
      <c r="BF1547" s="2744"/>
      <c r="BG1547" s="2744"/>
      <c r="BH1547" s="3626"/>
      <c r="BI1547" s="2514"/>
      <c r="BJ1547" s="2514"/>
      <c r="BK1547" s="2744"/>
      <c r="BO1547" s="2535"/>
      <c r="CA1547" s="2744"/>
      <c r="CD1547" s="101"/>
      <c r="CS1547" s="2744"/>
      <c r="CT1547" s="531"/>
      <c r="CX1547" s="166"/>
      <c r="DB1547" s="2745"/>
      <c r="DC1547" s="2535"/>
      <c r="DG1547" s="2535"/>
      <c r="EC1547" s="101"/>
      <c r="EG1547" s="101"/>
      <c r="EI1547" s="2689" t="s">
        <v>11866</v>
      </c>
    </row>
    <row r="1548" spans="1:139" s="3593" customFormat="1" ht="58">
      <c r="A1548" s="2447"/>
      <c r="B1548" s="2744"/>
      <c r="C1548" s="2744"/>
      <c r="D1548" s="2744"/>
      <c r="E1548" s="2091"/>
      <c r="F1548" s="2091"/>
      <c r="G1548" s="2744"/>
      <c r="H1548" s="2744"/>
      <c r="I1548" s="2744"/>
      <c r="J1548" s="2744"/>
      <c r="K1548" s="2744"/>
      <c r="L1548" s="2744"/>
      <c r="M1548" s="2744"/>
      <c r="N1548" s="2744"/>
      <c r="O1548" s="2744"/>
      <c r="P1548" s="2744"/>
      <c r="Q1548" s="2744"/>
      <c r="R1548" s="2744"/>
      <c r="S1548" s="2744"/>
      <c r="T1548" s="2744"/>
      <c r="U1548" s="2744"/>
      <c r="V1548" s="2744"/>
      <c r="W1548" s="2744"/>
      <c r="X1548" s="2744"/>
      <c r="Y1548" s="2744"/>
      <c r="Z1548" s="2744"/>
      <c r="AA1548" s="2744"/>
      <c r="AB1548" s="2744"/>
      <c r="AC1548" s="2744"/>
      <c r="AD1548" s="2744"/>
      <c r="AE1548" s="2745"/>
      <c r="AF1548" s="2744"/>
      <c r="AG1548" s="2744"/>
      <c r="AH1548" s="2744"/>
      <c r="AI1548" s="2744"/>
      <c r="AJ1548" s="2744"/>
      <c r="AK1548" s="2744"/>
      <c r="AL1548" s="2744"/>
      <c r="AM1548" s="2744"/>
      <c r="AN1548" s="2744"/>
      <c r="AO1548" s="2744"/>
      <c r="AP1548" s="2744"/>
      <c r="AQ1548" s="2744"/>
      <c r="AS1548" s="2744"/>
      <c r="AT1548" s="2744"/>
      <c r="AU1548" s="2744"/>
      <c r="AV1548" s="2744"/>
      <c r="AW1548" s="2744"/>
      <c r="AX1548" s="2744"/>
      <c r="AY1548" s="531"/>
      <c r="AZ1548" s="2744"/>
      <c r="BA1548" s="2744"/>
      <c r="BB1548" s="2744"/>
      <c r="BC1548" s="2744"/>
      <c r="BD1548" s="2744"/>
      <c r="BE1548" s="2744"/>
      <c r="BF1548" s="2744"/>
      <c r="BG1548" s="2744"/>
      <c r="BH1548" s="3626"/>
      <c r="BI1548" s="2514"/>
      <c r="BJ1548" s="2514"/>
      <c r="BK1548" s="2744"/>
      <c r="BO1548" s="2535"/>
      <c r="CA1548" s="2744"/>
      <c r="CD1548" s="101"/>
      <c r="CS1548" s="2744"/>
      <c r="CT1548" s="531"/>
      <c r="CX1548" s="166"/>
      <c r="DB1548" s="2745"/>
      <c r="DC1548" s="2535"/>
      <c r="DG1548" s="2535"/>
      <c r="EC1548" s="101"/>
      <c r="EG1548" s="101"/>
      <c r="EI1548" s="2689" t="s">
        <v>11867</v>
      </c>
    </row>
    <row r="1549" spans="1:139" s="3593" customFormat="1" ht="43.5">
      <c r="A1549" s="2447"/>
      <c r="B1549" s="2744"/>
      <c r="C1549" s="2744"/>
      <c r="D1549" s="2744"/>
      <c r="E1549" s="2091"/>
      <c r="F1549" s="2091"/>
      <c r="G1549" s="2744"/>
      <c r="H1549" s="2744"/>
      <c r="I1549" s="2744"/>
      <c r="J1549" s="2744"/>
      <c r="K1549" s="2744"/>
      <c r="L1549" s="2744"/>
      <c r="M1549" s="2744"/>
      <c r="N1549" s="2744"/>
      <c r="O1549" s="2744"/>
      <c r="P1549" s="2744"/>
      <c r="Q1549" s="2744"/>
      <c r="R1549" s="2744"/>
      <c r="S1549" s="2744"/>
      <c r="T1549" s="2744"/>
      <c r="U1549" s="2744"/>
      <c r="V1549" s="2744"/>
      <c r="W1549" s="2744"/>
      <c r="X1549" s="2744"/>
      <c r="Y1549" s="2744"/>
      <c r="Z1549" s="2744"/>
      <c r="AA1549" s="2744"/>
      <c r="AB1549" s="2744"/>
      <c r="AC1549" s="2744"/>
      <c r="AD1549" s="2744"/>
      <c r="AE1549" s="2745"/>
      <c r="AF1549" s="2744"/>
      <c r="AG1549" s="2744"/>
      <c r="AH1549" s="2744"/>
      <c r="AI1549" s="2744"/>
      <c r="AJ1549" s="2744"/>
      <c r="AK1549" s="2744"/>
      <c r="AL1549" s="2744"/>
      <c r="AM1549" s="2744"/>
      <c r="AN1549" s="2744"/>
      <c r="AO1549" s="2744"/>
      <c r="AP1549" s="2744"/>
      <c r="AQ1549" s="2744"/>
      <c r="AS1549" s="2744"/>
      <c r="AT1549" s="2744"/>
      <c r="AU1549" s="2744"/>
      <c r="AV1549" s="2744"/>
      <c r="AW1549" s="2744"/>
      <c r="AX1549" s="2744"/>
      <c r="AY1549" s="531"/>
      <c r="AZ1549" s="2744"/>
      <c r="BA1549" s="2744"/>
      <c r="BB1549" s="2744"/>
      <c r="BC1549" s="2744"/>
      <c r="BD1549" s="2744"/>
      <c r="BE1549" s="2744"/>
      <c r="BF1549" s="2744"/>
      <c r="BG1549" s="2744"/>
      <c r="BH1549" s="3626"/>
      <c r="BI1549" s="2514"/>
      <c r="BJ1549" s="2514"/>
      <c r="BK1549" s="2744"/>
      <c r="BO1549" s="2535"/>
      <c r="CA1549" s="2744"/>
      <c r="CD1549" s="101"/>
      <c r="CS1549" s="2744"/>
      <c r="CT1549" s="531"/>
      <c r="CX1549" s="166"/>
      <c r="DB1549" s="2745"/>
      <c r="DC1549" s="2535"/>
      <c r="DG1549" s="2535"/>
      <c r="EC1549" s="101"/>
      <c r="EG1549" s="101"/>
      <c r="EI1549" s="2689" t="s">
        <v>11868</v>
      </c>
    </row>
    <row r="1550" spans="1:139" s="3593" customFormat="1">
      <c r="A1550" s="2447"/>
      <c r="B1550" s="2744"/>
      <c r="C1550" s="2744"/>
      <c r="D1550" s="2744"/>
      <c r="E1550" s="2091"/>
      <c r="F1550" s="2091"/>
      <c r="G1550" s="2744"/>
      <c r="H1550" s="2744"/>
      <c r="I1550" s="2744"/>
      <c r="J1550" s="2744"/>
      <c r="K1550" s="2744"/>
      <c r="L1550" s="2744"/>
      <c r="M1550" s="2744"/>
      <c r="N1550" s="2744"/>
      <c r="O1550" s="2744"/>
      <c r="P1550" s="2744"/>
      <c r="Q1550" s="2744"/>
      <c r="R1550" s="2744"/>
      <c r="S1550" s="2744"/>
      <c r="T1550" s="2744"/>
      <c r="U1550" s="2744"/>
      <c r="V1550" s="2744"/>
      <c r="W1550" s="2744"/>
      <c r="X1550" s="2744"/>
      <c r="Y1550" s="2744"/>
      <c r="Z1550" s="2744"/>
      <c r="AA1550" s="2744"/>
      <c r="AB1550" s="2744"/>
      <c r="AC1550" s="2744"/>
      <c r="AD1550" s="2744"/>
      <c r="AE1550" s="2745"/>
      <c r="AF1550" s="2744"/>
      <c r="AG1550" s="2744"/>
      <c r="AH1550" s="2744"/>
      <c r="AI1550" s="2744"/>
      <c r="AJ1550" s="2744"/>
      <c r="AK1550" s="2744"/>
      <c r="AL1550" s="2744"/>
      <c r="AM1550" s="2744"/>
      <c r="AN1550" s="2744"/>
      <c r="AO1550" s="2744"/>
      <c r="AP1550" s="2744"/>
      <c r="AQ1550" s="2744"/>
      <c r="AS1550" s="2744"/>
      <c r="AT1550" s="2744"/>
      <c r="AU1550" s="2744"/>
      <c r="AV1550" s="2744"/>
      <c r="AW1550" s="2744"/>
      <c r="AX1550" s="2744"/>
      <c r="AY1550" s="531"/>
      <c r="AZ1550" s="2744"/>
      <c r="BA1550" s="2744"/>
      <c r="BB1550" s="2744"/>
      <c r="BC1550" s="2744"/>
      <c r="BD1550" s="2744"/>
      <c r="BE1550" s="2744"/>
      <c r="BF1550" s="2744"/>
      <c r="BG1550" s="2744"/>
      <c r="BH1550" s="3626"/>
      <c r="BI1550" s="2514"/>
      <c r="BJ1550" s="2514"/>
      <c r="BK1550" s="2744"/>
      <c r="BO1550" s="2535"/>
      <c r="CA1550" s="2744"/>
      <c r="CD1550" s="101"/>
      <c r="CS1550" s="2744"/>
      <c r="CT1550" s="531"/>
      <c r="CX1550" s="166"/>
      <c r="DB1550" s="2745"/>
      <c r="DC1550" s="2535"/>
      <c r="DG1550" s="2535"/>
      <c r="EC1550" s="101"/>
      <c r="EG1550" s="101"/>
      <c r="EI1550" s="2689" t="s">
        <v>11869</v>
      </c>
    </row>
    <row r="1551" spans="1:139" s="3593" customFormat="1" ht="43.5">
      <c r="A1551" s="2447"/>
      <c r="B1551" s="2744"/>
      <c r="C1551" s="2744"/>
      <c r="D1551" s="2744"/>
      <c r="E1551" s="2091"/>
      <c r="F1551" s="2091"/>
      <c r="G1551" s="2744"/>
      <c r="H1551" s="2744"/>
      <c r="I1551" s="2744"/>
      <c r="J1551" s="2744"/>
      <c r="K1551" s="2744"/>
      <c r="L1551" s="2744"/>
      <c r="M1551" s="2744"/>
      <c r="N1551" s="2744"/>
      <c r="O1551" s="2744"/>
      <c r="P1551" s="2744"/>
      <c r="Q1551" s="2744"/>
      <c r="R1551" s="2744"/>
      <c r="S1551" s="2744"/>
      <c r="T1551" s="2744"/>
      <c r="U1551" s="2744"/>
      <c r="V1551" s="2744"/>
      <c r="W1551" s="2744"/>
      <c r="X1551" s="2744"/>
      <c r="Y1551" s="2744"/>
      <c r="Z1551" s="2744"/>
      <c r="AA1551" s="2744"/>
      <c r="AB1551" s="2744"/>
      <c r="AC1551" s="2744"/>
      <c r="AD1551" s="2744"/>
      <c r="AE1551" s="2745"/>
      <c r="AF1551" s="2744"/>
      <c r="AG1551" s="2744"/>
      <c r="AH1551" s="2744"/>
      <c r="AI1551" s="2744"/>
      <c r="AJ1551" s="2744"/>
      <c r="AK1551" s="2744"/>
      <c r="AL1551" s="2744"/>
      <c r="AM1551" s="2744"/>
      <c r="AN1551" s="2744"/>
      <c r="AO1551" s="2744"/>
      <c r="AP1551" s="2744"/>
      <c r="AQ1551" s="2744"/>
      <c r="AS1551" s="2744"/>
      <c r="AT1551" s="2744"/>
      <c r="AU1551" s="2744"/>
      <c r="AV1551" s="2744"/>
      <c r="AW1551" s="2744"/>
      <c r="AX1551" s="2744"/>
      <c r="AY1551" s="531"/>
      <c r="AZ1551" s="2744"/>
      <c r="BA1551" s="2744"/>
      <c r="BB1551" s="2744"/>
      <c r="BC1551" s="2744"/>
      <c r="BD1551" s="2744"/>
      <c r="BE1551" s="2744"/>
      <c r="BF1551" s="2744"/>
      <c r="BG1551" s="2744"/>
      <c r="BH1551" s="3626"/>
      <c r="BI1551" s="2514"/>
      <c r="BJ1551" s="2514"/>
      <c r="BK1551" s="2744"/>
      <c r="BO1551" s="2535"/>
      <c r="CA1551" s="2744"/>
      <c r="CD1551" s="101"/>
      <c r="CS1551" s="2744"/>
      <c r="CT1551" s="531"/>
      <c r="CX1551" s="166"/>
      <c r="DB1551" s="2745"/>
      <c r="DC1551" s="2535"/>
      <c r="DG1551" s="2535"/>
      <c r="EC1551" s="101"/>
      <c r="EG1551" s="101"/>
      <c r="EI1551" s="2689" t="s">
        <v>11870</v>
      </c>
    </row>
    <row r="1552" spans="1:139" s="3593" customFormat="1" ht="43.5">
      <c r="A1552" s="2447"/>
      <c r="B1552" s="2744"/>
      <c r="C1552" s="2744"/>
      <c r="D1552" s="2744"/>
      <c r="E1552" s="2091"/>
      <c r="F1552" s="2091"/>
      <c r="G1552" s="2744"/>
      <c r="H1552" s="2744"/>
      <c r="I1552" s="2744"/>
      <c r="J1552" s="2744"/>
      <c r="K1552" s="2744"/>
      <c r="L1552" s="2744"/>
      <c r="M1552" s="2744"/>
      <c r="N1552" s="2744"/>
      <c r="O1552" s="2744"/>
      <c r="P1552" s="2744"/>
      <c r="Q1552" s="2744"/>
      <c r="R1552" s="2744"/>
      <c r="S1552" s="2744"/>
      <c r="T1552" s="2744"/>
      <c r="U1552" s="2744"/>
      <c r="V1552" s="2744"/>
      <c r="W1552" s="2744"/>
      <c r="X1552" s="2744"/>
      <c r="Y1552" s="2744"/>
      <c r="Z1552" s="2744"/>
      <c r="AA1552" s="2744"/>
      <c r="AB1552" s="2744"/>
      <c r="AC1552" s="2744"/>
      <c r="AD1552" s="2744"/>
      <c r="AE1552" s="2745"/>
      <c r="AF1552" s="2744"/>
      <c r="AG1552" s="2744"/>
      <c r="AH1552" s="2744"/>
      <c r="AI1552" s="2744"/>
      <c r="AJ1552" s="2744"/>
      <c r="AK1552" s="2744"/>
      <c r="AL1552" s="2744"/>
      <c r="AM1552" s="2744"/>
      <c r="AN1552" s="2744"/>
      <c r="AO1552" s="2744"/>
      <c r="AP1552" s="2744"/>
      <c r="AQ1552" s="2744"/>
      <c r="AS1552" s="2744"/>
      <c r="AT1552" s="2744"/>
      <c r="AU1552" s="2744"/>
      <c r="AV1552" s="2744"/>
      <c r="AW1552" s="2744"/>
      <c r="AX1552" s="2744"/>
      <c r="AY1552" s="531"/>
      <c r="AZ1552" s="2744"/>
      <c r="BA1552" s="2744"/>
      <c r="BB1552" s="2744"/>
      <c r="BC1552" s="2744"/>
      <c r="BD1552" s="2744"/>
      <c r="BE1552" s="2744"/>
      <c r="BF1552" s="2744"/>
      <c r="BG1552" s="2744"/>
      <c r="BH1552" s="3626"/>
      <c r="BI1552" s="2514"/>
      <c r="BJ1552" s="2514"/>
      <c r="BK1552" s="2744"/>
      <c r="BO1552" s="2535"/>
      <c r="CA1552" s="2744"/>
      <c r="CD1552" s="101"/>
      <c r="CS1552" s="2744"/>
      <c r="CT1552" s="531"/>
      <c r="CX1552" s="166"/>
      <c r="DB1552" s="2745"/>
      <c r="DC1552" s="2535"/>
      <c r="DG1552" s="2535"/>
      <c r="EC1552" s="101"/>
      <c r="EG1552" s="101"/>
      <c r="EI1552" s="2689" t="s">
        <v>11871</v>
      </c>
    </row>
    <row r="1553" spans="1:139" s="3593" customFormat="1" ht="43.5">
      <c r="A1553" s="2447"/>
      <c r="B1553" s="2744"/>
      <c r="C1553" s="2744"/>
      <c r="D1553" s="2744"/>
      <c r="E1553" s="2091"/>
      <c r="F1553" s="2091"/>
      <c r="G1553" s="2744"/>
      <c r="H1553" s="2744"/>
      <c r="I1553" s="2744"/>
      <c r="J1553" s="2744"/>
      <c r="K1553" s="2744"/>
      <c r="L1553" s="2744"/>
      <c r="M1553" s="2744"/>
      <c r="N1553" s="2744"/>
      <c r="O1553" s="2744"/>
      <c r="P1553" s="2744"/>
      <c r="Q1553" s="2744"/>
      <c r="R1553" s="2744"/>
      <c r="S1553" s="2744"/>
      <c r="T1553" s="2744"/>
      <c r="U1553" s="2744"/>
      <c r="V1553" s="2744"/>
      <c r="W1553" s="2744"/>
      <c r="X1553" s="2744"/>
      <c r="Y1553" s="2744"/>
      <c r="Z1553" s="2744"/>
      <c r="AA1553" s="2744"/>
      <c r="AB1553" s="2744"/>
      <c r="AC1553" s="2744"/>
      <c r="AD1553" s="2744"/>
      <c r="AE1553" s="2745"/>
      <c r="AF1553" s="2744"/>
      <c r="AG1553" s="2744"/>
      <c r="AH1553" s="2744"/>
      <c r="AI1553" s="2744"/>
      <c r="AJ1553" s="2744"/>
      <c r="AK1553" s="2744"/>
      <c r="AL1553" s="2744"/>
      <c r="AM1553" s="2744"/>
      <c r="AN1553" s="2744"/>
      <c r="AO1553" s="2744"/>
      <c r="AP1553" s="2744"/>
      <c r="AQ1553" s="2744"/>
      <c r="AS1553" s="2744"/>
      <c r="AT1553" s="2744"/>
      <c r="AU1553" s="2744"/>
      <c r="AV1553" s="2744"/>
      <c r="AW1553" s="2744"/>
      <c r="AX1553" s="2744"/>
      <c r="AY1553" s="531"/>
      <c r="AZ1553" s="2744"/>
      <c r="BA1553" s="2744"/>
      <c r="BB1553" s="2744"/>
      <c r="BC1553" s="2744"/>
      <c r="BD1553" s="2744"/>
      <c r="BE1553" s="2744"/>
      <c r="BF1553" s="2744"/>
      <c r="BG1553" s="2744"/>
      <c r="BH1553" s="3626"/>
      <c r="BI1553" s="2514"/>
      <c r="BJ1553" s="2514"/>
      <c r="BK1553" s="2744"/>
      <c r="BO1553" s="2535"/>
      <c r="CA1553" s="2744"/>
      <c r="CD1553" s="101"/>
      <c r="CS1553" s="2744"/>
      <c r="CT1553" s="531"/>
      <c r="CX1553" s="166"/>
      <c r="DB1553" s="2745"/>
      <c r="DC1553" s="2535"/>
      <c r="DG1553" s="2535"/>
      <c r="EC1553" s="101"/>
      <c r="EG1553" s="101"/>
      <c r="EI1553" s="2689" t="s">
        <v>11872</v>
      </c>
    </row>
    <row r="1554" spans="1:139" s="3593" customFormat="1" ht="101.5">
      <c r="A1554" s="2447"/>
      <c r="B1554" s="2744"/>
      <c r="C1554" s="2744"/>
      <c r="D1554" s="2744"/>
      <c r="E1554" s="2091"/>
      <c r="F1554" s="2091"/>
      <c r="G1554" s="2744"/>
      <c r="H1554" s="2744"/>
      <c r="I1554" s="2744"/>
      <c r="J1554" s="2744"/>
      <c r="K1554" s="2744"/>
      <c r="L1554" s="2744"/>
      <c r="M1554" s="2744"/>
      <c r="N1554" s="2744"/>
      <c r="O1554" s="2744"/>
      <c r="P1554" s="2744"/>
      <c r="Q1554" s="2744"/>
      <c r="R1554" s="2744"/>
      <c r="S1554" s="2744"/>
      <c r="T1554" s="2744"/>
      <c r="U1554" s="2744"/>
      <c r="V1554" s="2744"/>
      <c r="W1554" s="2744"/>
      <c r="X1554" s="2744"/>
      <c r="Y1554" s="2744"/>
      <c r="Z1554" s="2744"/>
      <c r="AA1554" s="2744"/>
      <c r="AB1554" s="2744"/>
      <c r="AC1554" s="2744"/>
      <c r="AD1554" s="2744"/>
      <c r="AE1554" s="2745"/>
      <c r="AF1554" s="2744"/>
      <c r="AG1554" s="2744"/>
      <c r="AH1554" s="2744"/>
      <c r="AI1554" s="2744"/>
      <c r="AJ1554" s="2744"/>
      <c r="AK1554" s="2744"/>
      <c r="AL1554" s="2744"/>
      <c r="AM1554" s="2744"/>
      <c r="AN1554" s="2744"/>
      <c r="AO1554" s="2744"/>
      <c r="AP1554" s="2744"/>
      <c r="AQ1554" s="2744"/>
      <c r="AS1554" s="2744"/>
      <c r="AT1554" s="2744"/>
      <c r="AU1554" s="2744"/>
      <c r="AV1554" s="2744"/>
      <c r="AW1554" s="2744"/>
      <c r="AX1554" s="2744"/>
      <c r="AY1554" s="531"/>
      <c r="AZ1554" s="2744"/>
      <c r="BA1554" s="2744"/>
      <c r="BB1554" s="2744"/>
      <c r="BC1554" s="2744"/>
      <c r="BD1554" s="2744"/>
      <c r="BE1554" s="2744"/>
      <c r="BF1554" s="2744"/>
      <c r="BG1554" s="2744"/>
      <c r="BH1554" s="3626"/>
      <c r="BI1554" s="2514"/>
      <c r="BJ1554" s="2514"/>
      <c r="BK1554" s="2744"/>
      <c r="BO1554" s="2535"/>
      <c r="CA1554" s="2744"/>
      <c r="CD1554" s="101"/>
      <c r="CS1554" s="2744"/>
      <c r="CT1554" s="531"/>
      <c r="CX1554" s="166"/>
      <c r="DB1554" s="2745"/>
      <c r="DC1554" s="2535"/>
      <c r="DG1554" s="2535"/>
      <c r="EC1554" s="101"/>
      <c r="EG1554" s="101"/>
      <c r="EI1554" s="2689" t="s">
        <v>11873</v>
      </c>
    </row>
    <row r="1555" spans="1:139" s="3593" customFormat="1" ht="43.5">
      <c r="A1555" s="2447"/>
      <c r="B1555" s="2744"/>
      <c r="C1555" s="2744"/>
      <c r="D1555" s="2744"/>
      <c r="E1555" s="2091"/>
      <c r="F1555" s="2091"/>
      <c r="G1555" s="2744"/>
      <c r="H1555" s="2744"/>
      <c r="I1555" s="2744"/>
      <c r="J1555" s="2744"/>
      <c r="K1555" s="2744"/>
      <c r="L1555" s="2744"/>
      <c r="M1555" s="2744"/>
      <c r="N1555" s="2744"/>
      <c r="O1555" s="2744"/>
      <c r="P1555" s="2744"/>
      <c r="Q1555" s="2744"/>
      <c r="R1555" s="2744"/>
      <c r="S1555" s="2744"/>
      <c r="T1555" s="2744"/>
      <c r="U1555" s="2744"/>
      <c r="V1555" s="2744"/>
      <c r="W1555" s="2744"/>
      <c r="X1555" s="2744"/>
      <c r="Y1555" s="2744"/>
      <c r="Z1555" s="2744"/>
      <c r="AA1555" s="2744"/>
      <c r="AB1555" s="2744"/>
      <c r="AC1555" s="2744"/>
      <c r="AD1555" s="2744"/>
      <c r="AE1555" s="2745"/>
      <c r="AF1555" s="2744"/>
      <c r="AG1555" s="2744"/>
      <c r="AH1555" s="2744"/>
      <c r="AI1555" s="2744"/>
      <c r="AJ1555" s="2744"/>
      <c r="AK1555" s="2744"/>
      <c r="AL1555" s="2744"/>
      <c r="AM1555" s="2744"/>
      <c r="AN1555" s="2744"/>
      <c r="AO1555" s="2744"/>
      <c r="AP1555" s="2744"/>
      <c r="AQ1555" s="2744"/>
      <c r="AS1555" s="2744"/>
      <c r="AT1555" s="2744"/>
      <c r="AU1555" s="2744"/>
      <c r="AV1555" s="2744"/>
      <c r="AW1555" s="2744"/>
      <c r="AX1555" s="2744"/>
      <c r="AY1555" s="531"/>
      <c r="AZ1555" s="2744"/>
      <c r="BA1555" s="2744"/>
      <c r="BB1555" s="2744"/>
      <c r="BC1555" s="2744"/>
      <c r="BD1555" s="2744"/>
      <c r="BE1555" s="2744"/>
      <c r="BF1555" s="2744"/>
      <c r="BG1555" s="2744"/>
      <c r="BH1555" s="3626"/>
      <c r="BI1555" s="2514"/>
      <c r="BJ1555" s="2514"/>
      <c r="BK1555" s="2744"/>
      <c r="BO1555" s="2535"/>
      <c r="CA1555" s="2744"/>
      <c r="CD1555" s="101"/>
      <c r="CS1555" s="2744"/>
      <c r="CT1555" s="531"/>
      <c r="CX1555" s="166"/>
      <c r="DB1555" s="2745"/>
      <c r="DC1555" s="2535"/>
      <c r="DG1555" s="2535"/>
      <c r="EC1555" s="101"/>
      <c r="EG1555" s="101"/>
      <c r="EI1555" s="2689" t="s">
        <v>11874</v>
      </c>
    </row>
    <row r="1556" spans="1:139" s="3593" customFormat="1">
      <c r="A1556" s="2447"/>
      <c r="B1556" s="2744"/>
      <c r="C1556" s="2744"/>
      <c r="D1556" s="2744"/>
      <c r="E1556" s="2091"/>
      <c r="F1556" s="2091"/>
      <c r="G1556" s="2744"/>
      <c r="H1556" s="2744"/>
      <c r="I1556" s="2744"/>
      <c r="J1556" s="2744"/>
      <c r="K1556" s="2744"/>
      <c r="L1556" s="2744"/>
      <c r="M1556" s="2744"/>
      <c r="N1556" s="2744"/>
      <c r="O1556" s="2744"/>
      <c r="P1556" s="2744"/>
      <c r="Q1556" s="2744"/>
      <c r="R1556" s="2744"/>
      <c r="S1556" s="2744"/>
      <c r="T1556" s="2744"/>
      <c r="U1556" s="2744"/>
      <c r="V1556" s="2744"/>
      <c r="W1556" s="2744"/>
      <c r="X1556" s="2744"/>
      <c r="Y1556" s="2744"/>
      <c r="Z1556" s="2744"/>
      <c r="AA1556" s="2744"/>
      <c r="AB1556" s="2744"/>
      <c r="AC1556" s="2744"/>
      <c r="AD1556" s="2744"/>
      <c r="AE1556" s="2745"/>
      <c r="AF1556" s="2744"/>
      <c r="AG1556" s="2744"/>
      <c r="AH1556" s="2744"/>
      <c r="AI1556" s="2744"/>
      <c r="AJ1556" s="2744"/>
      <c r="AK1556" s="2744"/>
      <c r="AL1556" s="2744"/>
      <c r="AM1556" s="2744"/>
      <c r="AN1556" s="2744"/>
      <c r="AO1556" s="2744"/>
      <c r="AP1556" s="2744"/>
      <c r="AQ1556" s="2744"/>
      <c r="AS1556" s="2744"/>
      <c r="AT1556" s="2744"/>
      <c r="AU1556" s="2744"/>
      <c r="AV1556" s="2744"/>
      <c r="AW1556" s="2744"/>
      <c r="AX1556" s="2744"/>
      <c r="AY1556" s="531"/>
      <c r="AZ1556" s="2744"/>
      <c r="BA1556" s="2744"/>
      <c r="BB1556" s="2744"/>
      <c r="BC1556" s="2744"/>
      <c r="BD1556" s="2744"/>
      <c r="BE1556" s="2744"/>
      <c r="BF1556" s="2744"/>
      <c r="BG1556" s="2744"/>
      <c r="BH1556" s="3626"/>
      <c r="BI1556" s="2514"/>
      <c r="BJ1556" s="2514"/>
      <c r="BK1556" s="2744"/>
      <c r="BO1556" s="2535"/>
      <c r="CA1556" s="2744"/>
      <c r="CD1556" s="101"/>
      <c r="CS1556" s="2744"/>
      <c r="CT1556" s="531"/>
      <c r="CX1556" s="166"/>
      <c r="DB1556" s="2745"/>
      <c r="DC1556" s="2535"/>
      <c r="DG1556" s="2535"/>
      <c r="EC1556" s="101"/>
      <c r="EG1556" s="101"/>
      <c r="EI1556" s="2689" t="s">
        <v>11875</v>
      </c>
    </row>
    <row r="1557" spans="1:139" s="3593" customFormat="1" ht="43.5">
      <c r="A1557" s="2447"/>
      <c r="B1557" s="2744"/>
      <c r="C1557" s="2744"/>
      <c r="D1557" s="2744"/>
      <c r="E1557" s="2091"/>
      <c r="F1557" s="2091"/>
      <c r="G1557" s="2744"/>
      <c r="H1557" s="2744"/>
      <c r="I1557" s="2744"/>
      <c r="J1557" s="2744"/>
      <c r="K1557" s="2744"/>
      <c r="L1557" s="2744"/>
      <c r="M1557" s="2744"/>
      <c r="N1557" s="2744"/>
      <c r="O1557" s="2744"/>
      <c r="P1557" s="2744"/>
      <c r="Q1557" s="2744"/>
      <c r="R1557" s="2744"/>
      <c r="S1557" s="2744"/>
      <c r="T1557" s="2744"/>
      <c r="U1557" s="2744"/>
      <c r="V1557" s="2744"/>
      <c r="W1557" s="2744"/>
      <c r="X1557" s="2744"/>
      <c r="Y1557" s="2744"/>
      <c r="Z1557" s="2744"/>
      <c r="AA1557" s="2744"/>
      <c r="AB1557" s="2744"/>
      <c r="AC1557" s="2744"/>
      <c r="AD1557" s="2744"/>
      <c r="AE1557" s="2745"/>
      <c r="AF1557" s="2744"/>
      <c r="AG1557" s="2744"/>
      <c r="AH1557" s="2744"/>
      <c r="AI1557" s="2744"/>
      <c r="AJ1557" s="2744"/>
      <c r="AK1557" s="2744"/>
      <c r="AL1557" s="2744"/>
      <c r="AM1557" s="2744"/>
      <c r="AN1557" s="2744"/>
      <c r="AO1557" s="2744"/>
      <c r="AP1557" s="2744"/>
      <c r="AQ1557" s="2744"/>
      <c r="AS1557" s="2744"/>
      <c r="AT1557" s="2744"/>
      <c r="AU1557" s="2744"/>
      <c r="AV1557" s="2744"/>
      <c r="AW1557" s="2744"/>
      <c r="AX1557" s="2744"/>
      <c r="AY1557" s="531"/>
      <c r="AZ1557" s="2744"/>
      <c r="BA1557" s="2744"/>
      <c r="BB1557" s="2744"/>
      <c r="BC1557" s="2744"/>
      <c r="BD1557" s="2744"/>
      <c r="BE1557" s="2744"/>
      <c r="BF1557" s="2744"/>
      <c r="BG1557" s="2744"/>
      <c r="BH1557" s="3626"/>
      <c r="BI1557" s="2514"/>
      <c r="BJ1557" s="2514"/>
      <c r="BK1557" s="2744"/>
      <c r="BO1557" s="2535"/>
      <c r="CA1557" s="2744"/>
      <c r="CD1557" s="101"/>
      <c r="CS1557" s="2744"/>
      <c r="CT1557" s="531"/>
      <c r="CX1557" s="166"/>
      <c r="DB1557" s="2745"/>
      <c r="DC1557" s="2535"/>
      <c r="DG1557" s="2535"/>
      <c r="EC1557" s="101"/>
      <c r="EG1557" s="101"/>
      <c r="EI1557" s="2689" t="s">
        <v>11876</v>
      </c>
    </row>
    <row r="1558" spans="1:139" s="3593" customFormat="1" ht="43.5">
      <c r="A1558" s="2447"/>
      <c r="B1558" s="2744"/>
      <c r="C1558" s="2744"/>
      <c r="D1558" s="2744"/>
      <c r="E1558" s="2091"/>
      <c r="F1558" s="2091"/>
      <c r="G1558" s="2744"/>
      <c r="H1558" s="2744"/>
      <c r="I1558" s="2744"/>
      <c r="J1558" s="2744"/>
      <c r="K1558" s="2744"/>
      <c r="L1558" s="2744"/>
      <c r="M1558" s="2744"/>
      <c r="N1558" s="2744"/>
      <c r="O1558" s="2744"/>
      <c r="P1558" s="2744"/>
      <c r="Q1558" s="2744"/>
      <c r="R1558" s="2744"/>
      <c r="S1558" s="2744"/>
      <c r="T1558" s="2744"/>
      <c r="U1558" s="2744"/>
      <c r="V1558" s="2744"/>
      <c r="W1558" s="2744"/>
      <c r="X1558" s="2744"/>
      <c r="Y1558" s="2744"/>
      <c r="Z1558" s="2744"/>
      <c r="AA1558" s="2744"/>
      <c r="AB1558" s="2744"/>
      <c r="AC1558" s="2744"/>
      <c r="AD1558" s="2744"/>
      <c r="AE1558" s="2745"/>
      <c r="AF1558" s="2744"/>
      <c r="AG1558" s="2744"/>
      <c r="AH1558" s="2744"/>
      <c r="AI1558" s="2744"/>
      <c r="AJ1558" s="2744"/>
      <c r="AK1558" s="2744"/>
      <c r="AL1558" s="2744"/>
      <c r="AM1558" s="2744"/>
      <c r="AN1558" s="2744"/>
      <c r="AO1558" s="2744"/>
      <c r="AP1558" s="2744"/>
      <c r="AQ1558" s="2744"/>
      <c r="AS1558" s="2744"/>
      <c r="AT1558" s="2744"/>
      <c r="AU1558" s="2744"/>
      <c r="AV1558" s="2744"/>
      <c r="AW1558" s="2744"/>
      <c r="AX1558" s="2744"/>
      <c r="AY1558" s="531"/>
      <c r="AZ1558" s="2744"/>
      <c r="BA1558" s="2744"/>
      <c r="BB1558" s="2744"/>
      <c r="BC1558" s="2744"/>
      <c r="BD1558" s="2744"/>
      <c r="BE1558" s="2744"/>
      <c r="BF1558" s="2744"/>
      <c r="BG1558" s="2744"/>
      <c r="BH1558" s="3626"/>
      <c r="BI1558" s="2514"/>
      <c r="BJ1558" s="2514"/>
      <c r="BK1558" s="2744"/>
      <c r="BO1558" s="2535"/>
      <c r="CA1558" s="2744"/>
      <c r="CD1558" s="101"/>
      <c r="CS1558" s="2744"/>
      <c r="CT1558" s="531"/>
      <c r="CX1558" s="166"/>
      <c r="DB1558" s="2745"/>
      <c r="DC1558" s="2535"/>
      <c r="DG1558" s="2535"/>
      <c r="EC1558" s="101"/>
      <c r="EG1558" s="101"/>
      <c r="EI1558" s="2689" t="s">
        <v>11877</v>
      </c>
    </row>
    <row r="1559" spans="1:139" s="3593" customFormat="1" ht="43.5">
      <c r="A1559" s="2447"/>
      <c r="B1559" s="2744"/>
      <c r="C1559" s="2744"/>
      <c r="D1559" s="2744"/>
      <c r="E1559" s="2091"/>
      <c r="F1559" s="2091"/>
      <c r="G1559" s="2744"/>
      <c r="H1559" s="2744"/>
      <c r="I1559" s="2744"/>
      <c r="J1559" s="2744"/>
      <c r="K1559" s="2744"/>
      <c r="L1559" s="2744"/>
      <c r="M1559" s="2744"/>
      <c r="N1559" s="2744"/>
      <c r="O1559" s="2744"/>
      <c r="P1559" s="2744"/>
      <c r="Q1559" s="2744"/>
      <c r="R1559" s="2744"/>
      <c r="S1559" s="2744"/>
      <c r="T1559" s="2744"/>
      <c r="U1559" s="2744"/>
      <c r="V1559" s="2744"/>
      <c r="W1559" s="2744"/>
      <c r="X1559" s="2744"/>
      <c r="Y1559" s="2744"/>
      <c r="Z1559" s="2744"/>
      <c r="AA1559" s="2744"/>
      <c r="AB1559" s="2744"/>
      <c r="AC1559" s="2744"/>
      <c r="AD1559" s="2744"/>
      <c r="AE1559" s="2745"/>
      <c r="AF1559" s="2744"/>
      <c r="AG1559" s="2744"/>
      <c r="AH1559" s="2744"/>
      <c r="AI1559" s="2744"/>
      <c r="AJ1559" s="2744"/>
      <c r="AK1559" s="2744"/>
      <c r="AL1559" s="2744"/>
      <c r="AM1559" s="2744"/>
      <c r="AN1559" s="2744"/>
      <c r="AO1559" s="2744"/>
      <c r="AP1559" s="2744"/>
      <c r="AQ1559" s="2744"/>
      <c r="AS1559" s="2744"/>
      <c r="AT1559" s="2744"/>
      <c r="AU1559" s="2744"/>
      <c r="AV1559" s="2744"/>
      <c r="AW1559" s="2744"/>
      <c r="AX1559" s="2744"/>
      <c r="AY1559" s="531"/>
      <c r="AZ1559" s="2744"/>
      <c r="BA1559" s="2744"/>
      <c r="BB1559" s="2744"/>
      <c r="BC1559" s="2744"/>
      <c r="BD1559" s="2744"/>
      <c r="BE1559" s="2744"/>
      <c r="BF1559" s="2744"/>
      <c r="BG1559" s="2744"/>
      <c r="BH1559" s="3626"/>
      <c r="BI1559" s="2514"/>
      <c r="BJ1559" s="2514"/>
      <c r="BK1559" s="2744"/>
      <c r="BO1559" s="2535"/>
      <c r="CA1559" s="2744"/>
      <c r="CD1559" s="101"/>
      <c r="CS1559" s="2744"/>
      <c r="CT1559" s="531"/>
      <c r="CX1559" s="166"/>
      <c r="DB1559" s="2745"/>
      <c r="DC1559" s="2535"/>
      <c r="DG1559" s="2535"/>
      <c r="EC1559" s="101"/>
      <c r="EG1559" s="101"/>
      <c r="EI1559" s="2689" t="s">
        <v>11878</v>
      </c>
    </row>
    <row r="1560" spans="1:139" s="3593" customFormat="1">
      <c r="A1560" s="2447"/>
      <c r="B1560" s="2744"/>
      <c r="C1560" s="2744"/>
      <c r="D1560" s="2744"/>
      <c r="E1560" s="2091"/>
      <c r="F1560" s="2091"/>
      <c r="G1560" s="2744"/>
      <c r="H1560" s="2744"/>
      <c r="I1560" s="2744"/>
      <c r="J1560" s="2744"/>
      <c r="K1560" s="2744"/>
      <c r="L1560" s="2744"/>
      <c r="M1560" s="2744"/>
      <c r="N1560" s="2744"/>
      <c r="O1560" s="2744"/>
      <c r="P1560" s="2744"/>
      <c r="Q1560" s="2744"/>
      <c r="R1560" s="2744"/>
      <c r="S1560" s="2744"/>
      <c r="T1560" s="2744"/>
      <c r="U1560" s="2744"/>
      <c r="V1560" s="2744"/>
      <c r="W1560" s="2744"/>
      <c r="X1560" s="2744"/>
      <c r="Y1560" s="2744"/>
      <c r="Z1560" s="2744"/>
      <c r="AA1560" s="2744"/>
      <c r="AB1560" s="2744"/>
      <c r="AC1560" s="2744"/>
      <c r="AD1560" s="2744"/>
      <c r="AE1560" s="2745"/>
      <c r="AF1560" s="2744"/>
      <c r="AG1560" s="2744"/>
      <c r="AH1560" s="2744"/>
      <c r="AI1560" s="2744"/>
      <c r="AJ1560" s="2744"/>
      <c r="AK1560" s="2744"/>
      <c r="AL1560" s="2744"/>
      <c r="AM1560" s="2744"/>
      <c r="AN1560" s="2744"/>
      <c r="AO1560" s="2744"/>
      <c r="AP1560" s="2744"/>
      <c r="AQ1560" s="2744"/>
      <c r="AS1560" s="2744"/>
      <c r="AT1560" s="2744"/>
      <c r="AU1560" s="2744"/>
      <c r="AV1560" s="2744"/>
      <c r="AW1560" s="2744"/>
      <c r="AX1560" s="2744"/>
      <c r="AY1560" s="531"/>
      <c r="AZ1560" s="2744"/>
      <c r="BA1560" s="2744"/>
      <c r="BB1560" s="2744"/>
      <c r="BC1560" s="2744"/>
      <c r="BD1560" s="2744"/>
      <c r="BE1560" s="2744"/>
      <c r="BF1560" s="2744"/>
      <c r="BG1560" s="2744"/>
      <c r="BH1560" s="3626"/>
      <c r="BI1560" s="2514"/>
      <c r="BJ1560" s="2514"/>
      <c r="BK1560" s="2744"/>
      <c r="BO1560" s="2535"/>
      <c r="CA1560" s="2744"/>
      <c r="CD1560" s="101"/>
      <c r="CS1560" s="2744"/>
      <c r="CT1560" s="531"/>
      <c r="CX1560" s="166"/>
      <c r="DB1560" s="2745"/>
      <c r="DC1560" s="2535"/>
      <c r="DG1560" s="2535"/>
      <c r="EC1560" s="101"/>
      <c r="EG1560" s="101"/>
      <c r="EI1560" s="2689" t="s">
        <v>11879</v>
      </c>
    </row>
    <row r="1561" spans="1:139" s="3593" customFormat="1">
      <c r="A1561" s="2447"/>
      <c r="B1561" s="2744"/>
      <c r="C1561" s="2744"/>
      <c r="D1561" s="2744"/>
      <c r="E1561" s="2091"/>
      <c r="F1561" s="2091"/>
      <c r="G1561" s="2744"/>
      <c r="H1561" s="2744"/>
      <c r="I1561" s="2744"/>
      <c r="J1561" s="2744"/>
      <c r="K1561" s="2744"/>
      <c r="L1561" s="2744"/>
      <c r="M1561" s="2744"/>
      <c r="N1561" s="2744"/>
      <c r="O1561" s="2744"/>
      <c r="P1561" s="2744"/>
      <c r="Q1561" s="2744"/>
      <c r="R1561" s="2744"/>
      <c r="S1561" s="2744"/>
      <c r="T1561" s="2744"/>
      <c r="U1561" s="2744"/>
      <c r="V1561" s="2744"/>
      <c r="W1561" s="2744"/>
      <c r="X1561" s="2744"/>
      <c r="Y1561" s="2744"/>
      <c r="Z1561" s="2744"/>
      <c r="AA1561" s="2744"/>
      <c r="AB1561" s="2744"/>
      <c r="AC1561" s="2744"/>
      <c r="AD1561" s="2744"/>
      <c r="AE1561" s="2745"/>
      <c r="AF1561" s="2744"/>
      <c r="AG1561" s="2744"/>
      <c r="AH1561" s="2744"/>
      <c r="AI1561" s="2744"/>
      <c r="AJ1561" s="2744"/>
      <c r="AK1561" s="2744"/>
      <c r="AL1561" s="2744"/>
      <c r="AM1561" s="2744"/>
      <c r="AN1561" s="2744"/>
      <c r="AO1561" s="2744"/>
      <c r="AP1561" s="2744"/>
      <c r="AQ1561" s="2744"/>
      <c r="AS1561" s="2744"/>
      <c r="AT1561" s="2744"/>
      <c r="AU1561" s="2744"/>
      <c r="AV1561" s="2744"/>
      <c r="AW1561" s="2744"/>
      <c r="AX1561" s="2744"/>
      <c r="AY1561" s="531"/>
      <c r="AZ1561" s="2744"/>
      <c r="BA1561" s="2744"/>
      <c r="BB1561" s="2744"/>
      <c r="BC1561" s="2744"/>
      <c r="BD1561" s="2744"/>
      <c r="BE1561" s="2744"/>
      <c r="BF1561" s="2744"/>
      <c r="BG1561" s="2744"/>
      <c r="BH1561" s="3626"/>
      <c r="BI1561" s="2514"/>
      <c r="BJ1561" s="2514"/>
      <c r="BK1561" s="2744"/>
      <c r="BO1561" s="2535"/>
      <c r="CA1561" s="2744"/>
      <c r="CD1561" s="101"/>
      <c r="CS1561" s="2744"/>
      <c r="CT1561" s="531"/>
      <c r="CX1561" s="166"/>
      <c r="DB1561" s="2745"/>
      <c r="DC1561" s="2535"/>
      <c r="DG1561" s="2535"/>
      <c r="EC1561" s="101"/>
      <c r="EG1561" s="101"/>
      <c r="EI1561" s="2689" t="s">
        <v>11880</v>
      </c>
    </row>
    <row r="1562" spans="1:139" s="3593" customFormat="1">
      <c r="A1562" s="2447"/>
      <c r="B1562" s="2744"/>
      <c r="C1562" s="2744"/>
      <c r="D1562" s="2744"/>
      <c r="E1562" s="2091"/>
      <c r="F1562" s="2091"/>
      <c r="G1562" s="2744"/>
      <c r="H1562" s="2744"/>
      <c r="I1562" s="2744"/>
      <c r="J1562" s="2744"/>
      <c r="K1562" s="2744"/>
      <c r="L1562" s="2744"/>
      <c r="M1562" s="2744"/>
      <c r="N1562" s="2744"/>
      <c r="O1562" s="2744"/>
      <c r="P1562" s="2744"/>
      <c r="Q1562" s="2744"/>
      <c r="R1562" s="2744"/>
      <c r="S1562" s="2744"/>
      <c r="T1562" s="2744"/>
      <c r="U1562" s="2744"/>
      <c r="V1562" s="2744"/>
      <c r="W1562" s="2744"/>
      <c r="X1562" s="2744"/>
      <c r="Y1562" s="2744"/>
      <c r="Z1562" s="2744"/>
      <c r="AA1562" s="2744"/>
      <c r="AB1562" s="2744"/>
      <c r="AC1562" s="2744"/>
      <c r="AD1562" s="2744"/>
      <c r="AE1562" s="2745"/>
      <c r="AF1562" s="2744"/>
      <c r="AG1562" s="2744"/>
      <c r="AH1562" s="2744"/>
      <c r="AI1562" s="2744"/>
      <c r="AJ1562" s="2744"/>
      <c r="AK1562" s="2744"/>
      <c r="AL1562" s="2744"/>
      <c r="AM1562" s="2744"/>
      <c r="AN1562" s="2744"/>
      <c r="AO1562" s="2744"/>
      <c r="AP1562" s="2744"/>
      <c r="AQ1562" s="2744"/>
      <c r="AS1562" s="2744"/>
      <c r="AT1562" s="2744"/>
      <c r="AU1562" s="2744"/>
      <c r="AV1562" s="2744"/>
      <c r="AW1562" s="2744"/>
      <c r="AX1562" s="2744"/>
      <c r="AY1562" s="531"/>
      <c r="AZ1562" s="2744"/>
      <c r="BA1562" s="2744"/>
      <c r="BB1562" s="2744"/>
      <c r="BC1562" s="2744"/>
      <c r="BD1562" s="2744"/>
      <c r="BE1562" s="2744"/>
      <c r="BF1562" s="2744"/>
      <c r="BG1562" s="2744"/>
      <c r="BH1562" s="3626"/>
      <c r="BI1562" s="2514"/>
      <c r="BJ1562" s="2514"/>
      <c r="BK1562" s="2744"/>
      <c r="BO1562" s="2535"/>
      <c r="CA1562" s="2744"/>
      <c r="CD1562" s="101"/>
      <c r="CS1562" s="2744"/>
      <c r="CT1562" s="531"/>
      <c r="CX1562" s="166"/>
      <c r="DB1562" s="2745"/>
      <c r="DC1562" s="2535"/>
      <c r="DG1562" s="2535"/>
      <c r="EC1562" s="101"/>
      <c r="EG1562" s="101"/>
      <c r="EI1562" s="2689" t="s">
        <v>11881</v>
      </c>
    </row>
    <row r="1563" spans="1:139" s="3593" customFormat="1" ht="29">
      <c r="A1563" s="2447"/>
      <c r="B1563" s="2744"/>
      <c r="C1563" s="2744"/>
      <c r="D1563" s="2744"/>
      <c r="E1563" s="2091"/>
      <c r="F1563" s="2091"/>
      <c r="G1563" s="2744"/>
      <c r="H1563" s="2744"/>
      <c r="I1563" s="2744"/>
      <c r="J1563" s="2744"/>
      <c r="K1563" s="2744"/>
      <c r="L1563" s="2744"/>
      <c r="M1563" s="2744"/>
      <c r="N1563" s="2744"/>
      <c r="O1563" s="2744"/>
      <c r="P1563" s="2744"/>
      <c r="Q1563" s="2744"/>
      <c r="R1563" s="2744"/>
      <c r="S1563" s="2744"/>
      <c r="T1563" s="2744"/>
      <c r="U1563" s="2744"/>
      <c r="V1563" s="2744"/>
      <c r="W1563" s="2744"/>
      <c r="X1563" s="2744"/>
      <c r="Y1563" s="2744"/>
      <c r="Z1563" s="2744"/>
      <c r="AA1563" s="2744"/>
      <c r="AB1563" s="2744"/>
      <c r="AC1563" s="2744"/>
      <c r="AD1563" s="2744"/>
      <c r="AE1563" s="2745"/>
      <c r="AF1563" s="2744"/>
      <c r="AG1563" s="2744"/>
      <c r="AH1563" s="2744"/>
      <c r="AI1563" s="2744"/>
      <c r="AJ1563" s="2744"/>
      <c r="AK1563" s="2744"/>
      <c r="AL1563" s="2744"/>
      <c r="AM1563" s="2744"/>
      <c r="AN1563" s="2744"/>
      <c r="AO1563" s="2744"/>
      <c r="AP1563" s="2744"/>
      <c r="AQ1563" s="2744"/>
      <c r="AS1563" s="2744"/>
      <c r="AT1563" s="2744"/>
      <c r="AU1563" s="2744"/>
      <c r="AV1563" s="2744"/>
      <c r="AW1563" s="2744"/>
      <c r="AX1563" s="2744"/>
      <c r="AY1563" s="531"/>
      <c r="AZ1563" s="2744"/>
      <c r="BA1563" s="2744"/>
      <c r="BB1563" s="2744"/>
      <c r="BC1563" s="2744"/>
      <c r="BD1563" s="2744"/>
      <c r="BE1563" s="2744"/>
      <c r="BF1563" s="2744"/>
      <c r="BG1563" s="2744"/>
      <c r="BH1563" s="3626"/>
      <c r="BI1563" s="2514"/>
      <c r="BJ1563" s="2514"/>
      <c r="BK1563" s="2744"/>
      <c r="BO1563" s="2535"/>
      <c r="CA1563" s="2744"/>
      <c r="CD1563" s="101"/>
      <c r="CS1563" s="2744"/>
      <c r="CT1563" s="531"/>
      <c r="CX1563" s="166"/>
      <c r="DB1563" s="2745"/>
      <c r="DC1563" s="2535"/>
      <c r="DG1563" s="2535"/>
      <c r="EC1563" s="101"/>
      <c r="EG1563" s="101"/>
      <c r="EI1563" s="2689" t="s">
        <v>11882</v>
      </c>
    </row>
    <row r="1564" spans="1:139" s="3593" customFormat="1" ht="43.5">
      <c r="A1564" s="2447"/>
      <c r="B1564" s="2744"/>
      <c r="C1564" s="2744"/>
      <c r="D1564" s="2744"/>
      <c r="E1564" s="2091"/>
      <c r="F1564" s="2091"/>
      <c r="G1564" s="2744"/>
      <c r="H1564" s="2744"/>
      <c r="I1564" s="2744"/>
      <c r="J1564" s="2744"/>
      <c r="K1564" s="2744"/>
      <c r="L1564" s="2744"/>
      <c r="M1564" s="2744"/>
      <c r="N1564" s="2744"/>
      <c r="O1564" s="2744"/>
      <c r="P1564" s="2744"/>
      <c r="Q1564" s="2744"/>
      <c r="R1564" s="2744"/>
      <c r="S1564" s="2744"/>
      <c r="T1564" s="2744"/>
      <c r="U1564" s="2744"/>
      <c r="V1564" s="2744"/>
      <c r="W1564" s="2744"/>
      <c r="X1564" s="2744"/>
      <c r="Y1564" s="2744"/>
      <c r="Z1564" s="2744"/>
      <c r="AA1564" s="2744"/>
      <c r="AB1564" s="2744"/>
      <c r="AC1564" s="2744"/>
      <c r="AD1564" s="2744"/>
      <c r="AE1564" s="2745"/>
      <c r="AF1564" s="2744"/>
      <c r="AG1564" s="2744"/>
      <c r="AH1564" s="2744"/>
      <c r="AI1564" s="2744"/>
      <c r="AJ1564" s="2744"/>
      <c r="AK1564" s="2744"/>
      <c r="AL1564" s="2744"/>
      <c r="AM1564" s="2744"/>
      <c r="AN1564" s="2744"/>
      <c r="AO1564" s="2744"/>
      <c r="AP1564" s="2744"/>
      <c r="AQ1564" s="2744"/>
      <c r="AS1564" s="2744"/>
      <c r="AT1564" s="2744"/>
      <c r="AU1564" s="2744"/>
      <c r="AV1564" s="2744"/>
      <c r="AW1564" s="2744"/>
      <c r="AX1564" s="2744"/>
      <c r="AY1564" s="531"/>
      <c r="AZ1564" s="2744"/>
      <c r="BA1564" s="2744"/>
      <c r="BB1564" s="2744"/>
      <c r="BC1564" s="2744"/>
      <c r="BD1564" s="2744"/>
      <c r="BE1564" s="2744"/>
      <c r="BF1564" s="2744"/>
      <c r="BG1564" s="2744"/>
      <c r="BH1564" s="3626"/>
      <c r="BI1564" s="2514"/>
      <c r="BJ1564" s="2514"/>
      <c r="BK1564" s="2744"/>
      <c r="BO1564" s="2535"/>
      <c r="CA1564" s="2744"/>
      <c r="CD1564" s="101"/>
      <c r="CS1564" s="2744"/>
      <c r="CT1564" s="531"/>
      <c r="CX1564" s="166"/>
      <c r="DB1564" s="2745"/>
      <c r="DC1564" s="2535"/>
      <c r="DG1564" s="2535"/>
      <c r="EC1564" s="101"/>
      <c r="EG1564" s="101"/>
      <c r="EI1564" s="2689" t="s">
        <v>11883</v>
      </c>
    </row>
    <row r="1565" spans="1:139" s="3593" customFormat="1" ht="58">
      <c r="A1565" s="2447"/>
      <c r="B1565" s="2744"/>
      <c r="C1565" s="2744"/>
      <c r="D1565" s="2744"/>
      <c r="E1565" s="2091"/>
      <c r="F1565" s="2091"/>
      <c r="G1565" s="2744"/>
      <c r="H1565" s="2744"/>
      <c r="I1565" s="2744"/>
      <c r="J1565" s="2744"/>
      <c r="K1565" s="2744"/>
      <c r="L1565" s="2744"/>
      <c r="M1565" s="2744"/>
      <c r="N1565" s="2744"/>
      <c r="O1565" s="2744"/>
      <c r="P1565" s="2744"/>
      <c r="Q1565" s="2744"/>
      <c r="R1565" s="2744"/>
      <c r="S1565" s="2744"/>
      <c r="T1565" s="2744"/>
      <c r="U1565" s="2744"/>
      <c r="V1565" s="2744"/>
      <c r="W1565" s="2744"/>
      <c r="X1565" s="2744"/>
      <c r="Y1565" s="2744"/>
      <c r="Z1565" s="2744"/>
      <c r="AA1565" s="2744"/>
      <c r="AB1565" s="2744"/>
      <c r="AC1565" s="2744"/>
      <c r="AD1565" s="2744"/>
      <c r="AE1565" s="2745"/>
      <c r="AF1565" s="2744"/>
      <c r="AG1565" s="2744"/>
      <c r="AH1565" s="2744"/>
      <c r="AI1565" s="2744"/>
      <c r="AJ1565" s="2744"/>
      <c r="AK1565" s="2744"/>
      <c r="AL1565" s="2744"/>
      <c r="AM1565" s="2744"/>
      <c r="AN1565" s="2744"/>
      <c r="AO1565" s="2744"/>
      <c r="AP1565" s="2744"/>
      <c r="AQ1565" s="2744"/>
      <c r="AS1565" s="2744"/>
      <c r="AT1565" s="2744"/>
      <c r="AU1565" s="2744"/>
      <c r="AV1565" s="2744"/>
      <c r="AW1565" s="2744"/>
      <c r="AX1565" s="2744"/>
      <c r="AY1565" s="531"/>
      <c r="AZ1565" s="2744"/>
      <c r="BA1565" s="2744"/>
      <c r="BB1565" s="2744"/>
      <c r="BC1565" s="2744"/>
      <c r="BD1565" s="2744"/>
      <c r="BE1565" s="2744"/>
      <c r="BF1565" s="2744"/>
      <c r="BG1565" s="2744"/>
      <c r="BH1565" s="3626"/>
      <c r="BI1565" s="2514"/>
      <c r="BJ1565" s="2514"/>
      <c r="BK1565" s="2744"/>
      <c r="BO1565" s="2535"/>
      <c r="CA1565" s="2744"/>
      <c r="CD1565" s="101"/>
      <c r="CS1565" s="2744"/>
      <c r="CT1565" s="531"/>
      <c r="CX1565" s="166"/>
      <c r="DB1565" s="2745"/>
      <c r="DC1565" s="2535"/>
      <c r="DG1565" s="2535"/>
      <c r="EC1565" s="101"/>
      <c r="EG1565" s="101"/>
      <c r="EI1565" s="2689" t="s">
        <v>11884</v>
      </c>
    </row>
    <row r="1566" spans="1:139" s="3593" customFormat="1" ht="43.5">
      <c r="A1566" s="2447"/>
      <c r="B1566" s="2744"/>
      <c r="C1566" s="2744"/>
      <c r="D1566" s="2744"/>
      <c r="E1566" s="2091"/>
      <c r="F1566" s="2091"/>
      <c r="G1566" s="2744"/>
      <c r="H1566" s="511"/>
      <c r="I1566" s="511"/>
      <c r="J1566" s="511"/>
      <c r="K1566" s="2744"/>
      <c r="L1566" s="2744"/>
      <c r="M1566" s="2744"/>
      <c r="N1566" s="2744"/>
      <c r="O1566" s="2744"/>
      <c r="P1566" s="2744"/>
      <c r="Q1566" s="2744"/>
      <c r="R1566" s="2744"/>
      <c r="S1566" s="2744"/>
      <c r="T1566" s="2744"/>
      <c r="U1566" s="2744"/>
      <c r="V1566" s="2744"/>
      <c r="W1566" s="2744"/>
      <c r="X1566" s="2744"/>
      <c r="Y1566" s="2744"/>
      <c r="Z1566" s="2744"/>
      <c r="AA1566" s="2744"/>
      <c r="AB1566" s="2744"/>
      <c r="AC1566" s="2744"/>
      <c r="AD1566" s="2744"/>
      <c r="AE1566" s="2745"/>
      <c r="AF1566" s="2744"/>
      <c r="AG1566" s="2744"/>
      <c r="AH1566" s="2744"/>
      <c r="AI1566" s="2744"/>
      <c r="AJ1566" s="2744"/>
      <c r="AK1566" s="2744"/>
      <c r="AL1566" s="2744"/>
      <c r="AM1566" s="2744"/>
      <c r="AN1566" s="2744"/>
      <c r="AO1566" s="2744"/>
      <c r="AP1566" s="2744"/>
      <c r="AQ1566" s="2744"/>
      <c r="AS1566" s="2744"/>
      <c r="AT1566" s="2744"/>
      <c r="AU1566" s="2744"/>
      <c r="AV1566" s="2744"/>
      <c r="AW1566" s="2744"/>
      <c r="AX1566" s="2744"/>
      <c r="AY1566" s="531"/>
      <c r="AZ1566" s="2744"/>
      <c r="BA1566" s="2744"/>
      <c r="BB1566" s="2744"/>
      <c r="BC1566" s="2744"/>
      <c r="BD1566" s="2744"/>
      <c r="BE1566" s="2744"/>
      <c r="BF1566" s="2744"/>
      <c r="BG1566" s="2744"/>
      <c r="BH1566" s="3626"/>
      <c r="BI1566" s="2514"/>
      <c r="BJ1566" s="2514"/>
      <c r="BK1566" s="2744"/>
      <c r="BO1566" s="2535"/>
      <c r="CA1566" s="2744"/>
      <c r="CD1566" s="101"/>
      <c r="CS1566" s="2744"/>
      <c r="CT1566" s="531"/>
      <c r="CX1566" s="166"/>
      <c r="DB1566" s="2745"/>
      <c r="DC1566" s="2535"/>
      <c r="DG1566" s="2535"/>
      <c r="EC1566" s="101"/>
      <c r="EG1566" s="101"/>
      <c r="EI1566" s="2689" t="s">
        <v>11885</v>
      </c>
    </row>
    <row r="1567" spans="1:139" ht="43.5">
      <c r="A1567" s="532"/>
      <c r="AR1567" s="3593"/>
      <c r="CP1567" s="3593"/>
      <c r="CT1567" s="531"/>
      <c r="DK1567" s="3593"/>
      <c r="DL1567" s="3593"/>
      <c r="DM1567" s="3593"/>
      <c r="DO1567" s="3593"/>
      <c r="DP1567" s="3593"/>
      <c r="EI1567" s="2689" t="s">
        <v>11886</v>
      </c>
    </row>
    <row r="1568" spans="1:139" ht="29">
      <c r="A1568" s="532"/>
      <c r="AR1568" s="3593"/>
      <c r="CT1568" s="531"/>
      <c r="EI1568" s="2689" t="s">
        <v>11887</v>
      </c>
    </row>
    <row r="1569" spans="1:139" ht="58">
      <c r="A1569" s="532"/>
      <c r="AR1569" s="3593"/>
      <c r="CT1569" s="531"/>
      <c r="EI1569" s="2689" t="s">
        <v>11888</v>
      </c>
    </row>
    <row r="1570" spans="1:139" ht="43.5">
      <c r="A1570" s="532"/>
      <c r="AR1570" s="3593"/>
      <c r="CT1570" s="531"/>
      <c r="EI1570" s="2689" t="s">
        <v>11889</v>
      </c>
    </row>
    <row r="1571" spans="1:139" ht="43.5">
      <c r="A1571" s="532"/>
      <c r="AR1571" s="3593"/>
      <c r="CT1571" s="531"/>
      <c r="EI1571" s="2689" t="s">
        <v>11890</v>
      </c>
    </row>
    <row r="1572" spans="1:139" ht="29">
      <c r="A1572" s="532"/>
      <c r="AR1572" s="3593"/>
      <c r="CT1572" s="531"/>
      <c r="EI1572" s="2689" t="s">
        <v>11891</v>
      </c>
    </row>
    <row r="1573" spans="1:139" ht="29">
      <c r="A1573" s="532"/>
      <c r="AR1573" s="2513"/>
      <c r="CT1573" s="531"/>
      <c r="EI1573" s="2689" t="s">
        <v>11892</v>
      </c>
    </row>
    <row r="1574" spans="1:139" ht="29">
      <c r="A1574" s="532"/>
      <c r="AR1574" s="2513"/>
      <c r="CT1574" s="531"/>
      <c r="EI1574" s="2689" t="s">
        <v>11893</v>
      </c>
    </row>
    <row r="1575" spans="1:139">
      <c r="A1575" s="532"/>
      <c r="AR1575" s="2513"/>
      <c r="CT1575" s="531"/>
      <c r="EI1575" s="2689" t="s">
        <v>11894</v>
      </c>
    </row>
    <row r="1576" spans="1:139" ht="29">
      <c r="A1576" s="532"/>
      <c r="AR1576" s="2513"/>
      <c r="CT1576" s="531"/>
      <c r="EI1576" s="2689" t="s">
        <v>11895</v>
      </c>
    </row>
    <row r="1577" spans="1:139" ht="43.5">
      <c r="A1577" s="532"/>
      <c r="AR1577" s="2513"/>
      <c r="CT1577" s="531"/>
      <c r="EI1577" s="2689" t="s">
        <v>11896</v>
      </c>
    </row>
    <row r="1578" spans="1:139" ht="43.5">
      <c r="A1578" s="532"/>
      <c r="AR1578" s="2513"/>
      <c r="CT1578" s="531"/>
      <c r="EI1578" s="2689" t="s">
        <v>11897</v>
      </c>
    </row>
    <row r="1579" spans="1:139" ht="43.5">
      <c r="A1579" s="532"/>
      <c r="AR1579" s="2513"/>
      <c r="CT1579" s="531"/>
      <c r="EI1579" s="2689" t="s">
        <v>11898</v>
      </c>
    </row>
    <row r="1580" spans="1:139">
      <c r="A1580" s="532"/>
      <c r="AR1580" s="2513"/>
      <c r="CT1580" s="531"/>
      <c r="EI1580" s="2689" t="s">
        <v>11899</v>
      </c>
    </row>
    <row r="1581" spans="1:139">
      <c r="A1581" s="532"/>
      <c r="AR1581" s="2513"/>
      <c r="CT1581" s="531"/>
      <c r="EI1581" s="2689" t="s">
        <v>11900</v>
      </c>
    </row>
    <row r="1582" spans="1:139" ht="43.5">
      <c r="A1582" s="532"/>
      <c r="AR1582" s="2513"/>
      <c r="CT1582" s="531"/>
      <c r="EI1582" s="2689" t="s">
        <v>11901</v>
      </c>
    </row>
    <row r="1583" spans="1:139" ht="43.5">
      <c r="A1583" s="532"/>
      <c r="AR1583" s="2513"/>
      <c r="CT1583" s="531"/>
      <c r="EI1583" s="2689" t="s">
        <v>11902</v>
      </c>
    </row>
    <row r="1584" spans="1:139" ht="29">
      <c r="A1584" s="532"/>
      <c r="AR1584" s="2513"/>
      <c r="CT1584" s="531"/>
      <c r="EI1584" s="2689" t="s">
        <v>11903</v>
      </c>
    </row>
    <row r="1585" spans="1:139">
      <c r="A1585" s="532"/>
      <c r="AR1585" s="2513"/>
      <c r="CT1585" s="531"/>
      <c r="EI1585" s="2689" t="s">
        <v>11904</v>
      </c>
    </row>
    <row r="1586" spans="1:139" ht="58">
      <c r="A1586" s="532"/>
      <c r="AR1586" s="2513"/>
      <c r="CT1586" s="531"/>
      <c r="EI1586" s="2689" t="s">
        <v>11905</v>
      </c>
    </row>
    <row r="1587" spans="1:139" ht="58">
      <c r="A1587" s="532"/>
      <c r="AR1587" s="2513"/>
      <c r="CT1587" s="531"/>
      <c r="EI1587" s="2689" t="s">
        <v>11906</v>
      </c>
    </row>
    <row r="1588" spans="1:139" ht="43.5">
      <c r="A1588" s="532"/>
      <c r="AR1588" s="2513"/>
      <c r="CT1588" s="531"/>
      <c r="EI1588" s="2689" t="s">
        <v>11907</v>
      </c>
    </row>
    <row r="1589" spans="1:139" ht="58">
      <c r="A1589" s="532"/>
      <c r="AR1589" s="2513"/>
      <c r="CT1589" s="531"/>
      <c r="EI1589" s="2689" t="s">
        <v>11908</v>
      </c>
    </row>
    <row r="1590" spans="1:139" ht="29">
      <c r="A1590" s="532"/>
      <c r="AR1590" s="2513"/>
      <c r="CT1590" s="531"/>
      <c r="EI1590" s="2689" t="s">
        <v>11909</v>
      </c>
    </row>
    <row r="1591" spans="1:139" ht="29">
      <c r="A1591" s="532"/>
      <c r="AR1591" s="2513"/>
      <c r="CT1591" s="531"/>
      <c r="EI1591" s="2689" t="s">
        <v>11910</v>
      </c>
    </row>
    <row r="1592" spans="1:139">
      <c r="A1592" s="532"/>
      <c r="AR1592" s="2513"/>
      <c r="CT1592" s="531"/>
      <c r="EI1592" s="2689" t="s">
        <v>11911</v>
      </c>
    </row>
    <row r="1593" spans="1:139" ht="58">
      <c r="A1593" s="532"/>
      <c r="AR1593" s="2513"/>
      <c r="CT1593" s="531"/>
      <c r="EI1593" s="2689" t="s">
        <v>11912</v>
      </c>
    </row>
    <row r="1594" spans="1:139" ht="29">
      <c r="A1594" s="532"/>
      <c r="AR1594" s="2513"/>
      <c r="CT1594" s="531"/>
      <c r="EI1594" s="2689" t="s">
        <v>11913</v>
      </c>
    </row>
    <row r="1595" spans="1:139" ht="29">
      <c r="A1595" s="532"/>
      <c r="AR1595" s="2513"/>
      <c r="CT1595" s="531"/>
      <c r="EI1595" s="2689" t="s">
        <v>11914</v>
      </c>
    </row>
    <row r="1596" spans="1:139" ht="43.5">
      <c r="A1596" s="532"/>
      <c r="AR1596" s="2513"/>
      <c r="CT1596" s="531"/>
      <c r="EI1596" s="2689" t="s">
        <v>11915</v>
      </c>
    </row>
    <row r="1597" spans="1:139" ht="87">
      <c r="A1597" s="532"/>
      <c r="AR1597" s="2513"/>
      <c r="CT1597" s="531"/>
      <c r="EI1597" s="2689" t="s">
        <v>11916</v>
      </c>
    </row>
    <row r="1598" spans="1:139" ht="29">
      <c r="A1598" s="532"/>
      <c r="AR1598" s="2513"/>
      <c r="CT1598" s="531"/>
      <c r="EI1598" s="2689" t="s">
        <v>11917</v>
      </c>
    </row>
    <row r="1599" spans="1:139" ht="43.5">
      <c r="A1599" s="532"/>
      <c r="AR1599" s="2513"/>
      <c r="CT1599" s="531"/>
      <c r="EI1599" s="2689" t="s">
        <v>11918</v>
      </c>
    </row>
    <row r="1600" spans="1:139" ht="29">
      <c r="A1600" s="532"/>
      <c r="AR1600" s="2513"/>
      <c r="CT1600" s="531"/>
      <c r="EI1600" s="2689" t="s">
        <v>11919</v>
      </c>
    </row>
    <row r="1601" spans="1:139" ht="43.5">
      <c r="A1601" s="532"/>
      <c r="AR1601" s="2513"/>
      <c r="CT1601" s="531"/>
      <c r="EI1601" s="2689" t="s">
        <v>11920</v>
      </c>
    </row>
    <row r="1602" spans="1:139" ht="58">
      <c r="A1602" s="532"/>
      <c r="AR1602" s="2513"/>
      <c r="CT1602" s="531"/>
      <c r="EI1602" s="2689" t="s">
        <v>11921</v>
      </c>
    </row>
    <row r="1603" spans="1:139" ht="58">
      <c r="A1603" s="532"/>
      <c r="AR1603" s="2513"/>
      <c r="CT1603" s="531"/>
      <c r="EI1603" s="2689" t="s">
        <v>11922</v>
      </c>
    </row>
    <row r="1604" spans="1:139" ht="43.5">
      <c r="A1604" s="532"/>
      <c r="AR1604" s="2513"/>
      <c r="CT1604" s="531"/>
      <c r="EI1604" s="2689" t="s">
        <v>11923</v>
      </c>
    </row>
    <row r="1605" spans="1:139" ht="29">
      <c r="A1605" s="532"/>
      <c r="AR1605" s="2513"/>
      <c r="CT1605" s="531"/>
      <c r="EI1605" s="2689" t="s">
        <v>11924</v>
      </c>
    </row>
    <row r="1606" spans="1:139" ht="43.5">
      <c r="A1606" s="532"/>
      <c r="AR1606" s="2513"/>
      <c r="CT1606" s="531"/>
      <c r="EI1606" s="2689" t="s">
        <v>11925</v>
      </c>
    </row>
    <row r="1607" spans="1:139" ht="58">
      <c r="A1607" s="532"/>
      <c r="AR1607" s="2513"/>
      <c r="CT1607" s="531"/>
      <c r="EI1607" s="2689" t="s">
        <v>11926</v>
      </c>
    </row>
    <row r="1608" spans="1:139" ht="87">
      <c r="A1608" s="532"/>
      <c r="AR1608" s="2513"/>
      <c r="CT1608" s="531"/>
      <c r="EI1608" s="2689" t="s">
        <v>11927</v>
      </c>
    </row>
    <row r="1609" spans="1:139" ht="43.5">
      <c r="A1609" s="532"/>
      <c r="AR1609" s="2513"/>
      <c r="CT1609" s="531"/>
      <c r="EI1609" s="2689" t="s">
        <v>11928</v>
      </c>
    </row>
    <row r="1610" spans="1:139" ht="29">
      <c r="A1610" s="532"/>
      <c r="AR1610" s="2513"/>
      <c r="CT1610" s="531"/>
      <c r="EI1610" s="2689" t="s">
        <v>11929</v>
      </c>
    </row>
    <row r="1611" spans="1:139" ht="43.5">
      <c r="A1611" s="532"/>
      <c r="AR1611" s="2513"/>
      <c r="CT1611" s="531"/>
      <c r="EI1611" s="2689" t="s">
        <v>11930</v>
      </c>
    </row>
    <row r="1612" spans="1:139" ht="43.5">
      <c r="A1612" s="532"/>
      <c r="AR1612" s="2513"/>
      <c r="CT1612" s="531"/>
      <c r="EI1612" s="2689" t="s">
        <v>11931</v>
      </c>
    </row>
    <row r="1613" spans="1:139" ht="72.5">
      <c r="A1613" s="532"/>
      <c r="AR1613" s="2513"/>
      <c r="CT1613" s="531"/>
      <c r="EI1613" s="2689" t="s">
        <v>11932</v>
      </c>
    </row>
    <row r="1614" spans="1:139" ht="58">
      <c r="A1614" s="532"/>
      <c r="AR1614" s="2513"/>
      <c r="CT1614" s="531"/>
      <c r="EI1614" s="2689" t="s">
        <v>11933</v>
      </c>
    </row>
    <row r="1615" spans="1:139" ht="43.5">
      <c r="A1615" s="532"/>
      <c r="AR1615" s="2513"/>
      <c r="CT1615" s="531"/>
      <c r="EI1615" s="2689" t="s">
        <v>11934</v>
      </c>
    </row>
    <row r="1616" spans="1:139" ht="58">
      <c r="A1616" s="532"/>
      <c r="AR1616" s="2513"/>
      <c r="CT1616" s="531"/>
      <c r="EI1616" s="2689" t="s">
        <v>11935</v>
      </c>
    </row>
    <row r="1617" spans="1:139" ht="43.5">
      <c r="A1617" s="532"/>
      <c r="AR1617" s="2513"/>
      <c r="CT1617" s="531"/>
      <c r="EI1617" s="2689" t="s">
        <v>11936</v>
      </c>
    </row>
    <row r="1618" spans="1:139" ht="72.5">
      <c r="A1618" s="532"/>
      <c r="AR1618" s="2513"/>
      <c r="CT1618" s="531"/>
      <c r="EI1618" s="2689" t="s">
        <v>11937</v>
      </c>
    </row>
    <row r="1619" spans="1:139">
      <c r="A1619" s="532"/>
      <c r="AR1619" s="2513"/>
      <c r="CT1619" s="531"/>
      <c r="EI1619" s="2689" t="s">
        <v>11938</v>
      </c>
    </row>
    <row r="1620" spans="1:139">
      <c r="A1620" s="532"/>
      <c r="AR1620" s="2513"/>
      <c r="CT1620" s="531"/>
      <c r="EI1620" s="2689" t="s">
        <v>11939</v>
      </c>
    </row>
    <row r="1621" spans="1:139">
      <c r="A1621" s="532"/>
      <c r="AR1621" s="2513"/>
      <c r="CT1621" s="531"/>
      <c r="EI1621" s="2689" t="s">
        <v>11940</v>
      </c>
    </row>
    <row r="1622" spans="1:139" ht="29">
      <c r="A1622" s="532"/>
      <c r="AR1622" s="2513"/>
      <c r="CT1622" s="531"/>
      <c r="EI1622" s="2689" t="s">
        <v>11941</v>
      </c>
    </row>
    <row r="1623" spans="1:139">
      <c r="A1623" s="532"/>
      <c r="AR1623" s="2513"/>
      <c r="CT1623" s="531"/>
      <c r="EI1623" s="2689" t="s">
        <v>11942</v>
      </c>
    </row>
    <row r="1624" spans="1:139">
      <c r="A1624" s="532"/>
      <c r="AR1624" s="2513"/>
      <c r="CT1624" s="531"/>
      <c r="EI1624" s="2689" t="s">
        <v>11943</v>
      </c>
    </row>
    <row r="1625" spans="1:139">
      <c r="A1625" s="532"/>
      <c r="AR1625" s="2513"/>
      <c r="CT1625" s="531"/>
      <c r="EI1625" s="2689" t="s">
        <v>11944</v>
      </c>
    </row>
    <row r="1626" spans="1:139">
      <c r="A1626" s="532"/>
      <c r="AR1626" s="2513"/>
      <c r="CT1626" s="531"/>
      <c r="EI1626" s="2689" t="s">
        <v>11945</v>
      </c>
    </row>
    <row r="1627" spans="1:139" ht="29">
      <c r="A1627" s="532"/>
      <c r="AR1627" s="2513"/>
      <c r="CT1627" s="531"/>
      <c r="EI1627" s="2689" t="s">
        <v>11946</v>
      </c>
    </row>
    <row r="1628" spans="1:139" ht="72.5">
      <c r="A1628" s="532"/>
      <c r="AR1628" s="2513"/>
      <c r="CT1628" s="531"/>
      <c r="EI1628" s="2689" t="s">
        <v>11947</v>
      </c>
    </row>
    <row r="1629" spans="1:139">
      <c r="A1629" s="532"/>
      <c r="AR1629" s="2513"/>
      <c r="CT1629" s="531"/>
      <c r="EI1629" s="2689" t="s">
        <v>11948</v>
      </c>
    </row>
    <row r="1630" spans="1:139">
      <c r="A1630" s="532"/>
      <c r="AR1630" s="2513"/>
      <c r="CT1630" s="531"/>
      <c r="EI1630" s="2689" t="s">
        <v>11949</v>
      </c>
    </row>
    <row r="1631" spans="1:139">
      <c r="A1631" s="532"/>
      <c r="AR1631" s="2513"/>
      <c r="CT1631" s="531"/>
      <c r="EI1631" s="2689" t="s">
        <v>11950</v>
      </c>
    </row>
    <row r="1632" spans="1:139">
      <c r="A1632" s="532"/>
      <c r="AR1632" s="2513"/>
      <c r="CT1632" s="531"/>
      <c r="EI1632" s="2689" t="s">
        <v>11951</v>
      </c>
    </row>
    <row r="1633" spans="1:139">
      <c r="A1633" s="532"/>
      <c r="AR1633" s="2513"/>
      <c r="CT1633" s="531"/>
      <c r="EI1633" s="2689" t="s">
        <v>11952</v>
      </c>
    </row>
    <row r="1634" spans="1:139">
      <c r="A1634" s="532"/>
      <c r="AR1634" s="2513"/>
      <c r="CT1634" s="531"/>
      <c r="EI1634" s="2689" t="s">
        <v>11953</v>
      </c>
    </row>
    <row r="1635" spans="1:139" ht="43.5">
      <c r="A1635" s="532"/>
      <c r="AR1635" s="2513"/>
      <c r="CT1635" s="531"/>
      <c r="EI1635" s="2689" t="s">
        <v>11954</v>
      </c>
    </row>
    <row r="1636" spans="1:139" ht="29">
      <c r="A1636" s="532"/>
      <c r="AR1636" s="2513"/>
      <c r="CT1636" s="531"/>
      <c r="EI1636" s="2689" t="s">
        <v>11955</v>
      </c>
    </row>
    <row r="1637" spans="1:139" ht="29">
      <c r="A1637" s="532"/>
      <c r="AR1637" s="2513"/>
      <c r="CT1637" s="531"/>
      <c r="EI1637" s="2689" t="s">
        <v>11956</v>
      </c>
    </row>
    <row r="1638" spans="1:139" ht="43.5">
      <c r="A1638" s="532"/>
      <c r="AR1638" s="2513"/>
      <c r="CT1638" s="531"/>
      <c r="EI1638" s="2689" t="s">
        <v>11957</v>
      </c>
    </row>
    <row r="1639" spans="1:139">
      <c r="A1639" s="532"/>
      <c r="AR1639" s="2513"/>
      <c r="CT1639" s="531"/>
      <c r="EI1639" s="2689" t="s">
        <v>11958</v>
      </c>
    </row>
    <row r="1640" spans="1:139" ht="29">
      <c r="A1640" s="532"/>
      <c r="AR1640" s="2513"/>
      <c r="CT1640" s="531"/>
      <c r="EI1640" s="2689" t="s">
        <v>11959</v>
      </c>
    </row>
    <row r="1641" spans="1:139" ht="72.5">
      <c r="A1641" s="532"/>
      <c r="AR1641" s="2513"/>
      <c r="CT1641" s="531"/>
      <c r="EI1641" s="2689" t="s">
        <v>11960</v>
      </c>
    </row>
    <row r="1642" spans="1:139" ht="29">
      <c r="A1642" s="532"/>
      <c r="AR1642" s="2513"/>
      <c r="CT1642" s="531"/>
      <c r="EI1642" s="2689" t="s">
        <v>11961</v>
      </c>
    </row>
    <row r="1643" spans="1:139" ht="58">
      <c r="A1643" s="532"/>
      <c r="AR1643" s="2513"/>
      <c r="CT1643" s="531"/>
      <c r="EI1643" s="2689" t="s">
        <v>11962</v>
      </c>
    </row>
    <row r="1644" spans="1:139" ht="58">
      <c r="A1644" s="532"/>
      <c r="AR1644" s="2513"/>
      <c r="CT1644" s="531"/>
      <c r="EI1644" s="2689" t="s">
        <v>11963</v>
      </c>
    </row>
    <row r="1645" spans="1:139" ht="29">
      <c r="A1645" s="532"/>
      <c r="AR1645" s="2513"/>
      <c r="CT1645" s="531"/>
      <c r="EI1645" s="2689" t="s">
        <v>11964</v>
      </c>
    </row>
    <row r="1646" spans="1:139" ht="58">
      <c r="A1646" s="532"/>
      <c r="AR1646" s="2513"/>
      <c r="CT1646" s="531"/>
      <c r="EI1646" s="2689" t="s">
        <v>11965</v>
      </c>
    </row>
    <row r="1647" spans="1:139" ht="43.5">
      <c r="A1647" s="532"/>
      <c r="AR1647" s="2513"/>
      <c r="CT1647" s="531"/>
      <c r="EI1647" s="2689" t="s">
        <v>11966</v>
      </c>
    </row>
    <row r="1648" spans="1:139" ht="29">
      <c r="A1648" s="532"/>
      <c r="AR1648" s="2513"/>
      <c r="CT1648" s="531"/>
      <c r="EI1648" s="2689" t="s">
        <v>11967</v>
      </c>
    </row>
    <row r="1649" spans="1:139">
      <c r="A1649" s="532"/>
      <c r="AR1649" s="2513"/>
      <c r="CT1649" s="531"/>
      <c r="EI1649" s="2689" t="s">
        <v>11968</v>
      </c>
    </row>
    <row r="1650" spans="1:139" ht="43.5">
      <c r="A1650" s="532"/>
      <c r="AR1650" s="2513"/>
      <c r="CT1650" s="531"/>
      <c r="EI1650" s="2689" t="s">
        <v>11969</v>
      </c>
    </row>
    <row r="1651" spans="1:139" ht="29">
      <c r="A1651" s="532"/>
      <c r="AR1651" s="2513"/>
      <c r="CT1651" s="531"/>
      <c r="EI1651" s="2689" t="s">
        <v>11970</v>
      </c>
    </row>
    <row r="1652" spans="1:139" ht="29">
      <c r="A1652" s="532"/>
      <c r="AR1652" s="2513"/>
      <c r="CT1652" s="531"/>
      <c r="EI1652" s="2689" t="s">
        <v>11971</v>
      </c>
    </row>
    <row r="1653" spans="1:139" ht="43.5">
      <c r="A1653" s="532"/>
      <c r="AR1653" s="2513"/>
      <c r="CT1653" s="531"/>
      <c r="EI1653" s="2689" t="s">
        <v>11972</v>
      </c>
    </row>
    <row r="1654" spans="1:139">
      <c r="A1654" s="532"/>
      <c r="AR1654" s="2513"/>
      <c r="CT1654" s="531"/>
      <c r="EI1654" s="2689" t="s">
        <v>11973</v>
      </c>
    </row>
    <row r="1655" spans="1:139" ht="29">
      <c r="A1655" s="532"/>
      <c r="AR1655" s="2513"/>
      <c r="CT1655" s="531"/>
      <c r="EI1655" s="2689" t="s">
        <v>11974</v>
      </c>
    </row>
    <row r="1656" spans="1:139" ht="29">
      <c r="A1656" s="532"/>
      <c r="AR1656" s="2513"/>
      <c r="CT1656" s="531"/>
      <c r="EI1656" s="2689" t="s">
        <v>11975</v>
      </c>
    </row>
    <row r="1657" spans="1:139" ht="29">
      <c r="A1657" s="532"/>
      <c r="AR1657" s="2513"/>
      <c r="CT1657" s="531"/>
      <c r="EI1657" s="2689" t="s">
        <v>11976</v>
      </c>
    </row>
    <row r="1658" spans="1:139">
      <c r="A1658" s="532"/>
      <c r="AR1658" s="2513"/>
      <c r="CT1658" s="531"/>
      <c r="EI1658" s="2689" t="s">
        <v>11977</v>
      </c>
    </row>
    <row r="1659" spans="1:139" ht="43.5">
      <c r="A1659" s="532"/>
      <c r="AR1659" s="2513"/>
      <c r="CT1659" s="531"/>
      <c r="EI1659" s="2689" t="s">
        <v>11978</v>
      </c>
    </row>
    <row r="1660" spans="1:139" ht="29">
      <c r="A1660" s="532"/>
      <c r="AR1660" s="2513"/>
      <c r="CT1660" s="531"/>
      <c r="EI1660" s="2689" t="s">
        <v>11979</v>
      </c>
    </row>
    <row r="1661" spans="1:139" ht="43.5">
      <c r="A1661" s="532"/>
      <c r="AR1661" s="2513"/>
      <c r="CT1661" s="531"/>
      <c r="EI1661" s="2689" t="s">
        <v>11980</v>
      </c>
    </row>
    <row r="1662" spans="1:139" ht="29">
      <c r="A1662" s="532"/>
      <c r="AR1662" s="2513"/>
      <c r="CT1662" s="531"/>
      <c r="EI1662" s="2689" t="s">
        <v>11981</v>
      </c>
    </row>
    <row r="1663" spans="1:139" ht="29">
      <c r="A1663" s="532"/>
      <c r="AR1663" s="2513"/>
      <c r="CT1663" s="531"/>
      <c r="EI1663" s="2689" t="s">
        <v>11982</v>
      </c>
    </row>
    <row r="1664" spans="1:139" ht="29">
      <c r="A1664" s="532"/>
      <c r="AR1664" s="2513"/>
      <c r="CT1664" s="531"/>
      <c r="EI1664" s="2689" t="s">
        <v>11983</v>
      </c>
    </row>
    <row r="1665" spans="1:139" ht="43.5">
      <c r="A1665" s="532"/>
      <c r="AR1665" s="2513"/>
      <c r="CT1665" s="531"/>
      <c r="EI1665" s="2689" t="s">
        <v>11984</v>
      </c>
    </row>
    <row r="1666" spans="1:139" ht="29">
      <c r="A1666" s="532"/>
      <c r="AR1666" s="2513"/>
      <c r="CT1666" s="531"/>
      <c r="EI1666" s="2689" t="s">
        <v>11985</v>
      </c>
    </row>
    <row r="1667" spans="1:139" ht="29">
      <c r="A1667" s="532"/>
      <c r="AR1667" s="2513"/>
      <c r="CT1667" s="531"/>
      <c r="EI1667" s="2689" t="s">
        <v>11986</v>
      </c>
    </row>
    <row r="1668" spans="1:139" ht="43.5">
      <c r="A1668" s="532"/>
      <c r="AR1668" s="2513"/>
      <c r="CT1668" s="531"/>
      <c r="EI1668" s="2689" t="s">
        <v>11987</v>
      </c>
    </row>
    <row r="1669" spans="1:139" ht="43.5">
      <c r="A1669" s="532"/>
      <c r="AR1669" s="2513"/>
      <c r="CT1669" s="531"/>
      <c r="EI1669" s="2689" t="s">
        <v>11988</v>
      </c>
    </row>
    <row r="1670" spans="1:139" ht="58">
      <c r="A1670" s="532"/>
      <c r="AR1670" s="2513"/>
      <c r="CT1670" s="531"/>
      <c r="EI1670" s="2689" t="s">
        <v>11989</v>
      </c>
    </row>
    <row r="1671" spans="1:139" ht="58">
      <c r="A1671" s="532"/>
      <c r="AR1671" s="2513"/>
      <c r="CT1671" s="531"/>
      <c r="EI1671" s="2689" t="s">
        <v>11990</v>
      </c>
    </row>
    <row r="1672" spans="1:139" ht="58">
      <c r="A1672" s="532"/>
      <c r="AR1672" s="2513"/>
      <c r="CT1672" s="531"/>
      <c r="EI1672" s="2689" t="s">
        <v>11991</v>
      </c>
    </row>
    <row r="1673" spans="1:139" ht="29">
      <c r="A1673" s="532"/>
      <c r="AR1673" s="2513"/>
      <c r="CT1673" s="531"/>
      <c r="EI1673" s="2689" t="s">
        <v>11992</v>
      </c>
    </row>
    <row r="1674" spans="1:139" ht="29">
      <c r="A1674" s="532"/>
      <c r="AR1674" s="2513"/>
      <c r="CT1674" s="531"/>
      <c r="EI1674" s="2689" t="s">
        <v>11993</v>
      </c>
    </row>
    <row r="1675" spans="1:139" ht="29">
      <c r="A1675" s="532"/>
      <c r="AR1675" s="2513"/>
      <c r="CT1675" s="531"/>
      <c r="EI1675" s="2689" t="s">
        <v>11994</v>
      </c>
    </row>
    <row r="1676" spans="1:139" ht="43.5">
      <c r="A1676" s="532"/>
      <c r="AR1676" s="2513"/>
      <c r="CT1676" s="531"/>
      <c r="EI1676" s="2689" t="s">
        <v>11995</v>
      </c>
    </row>
    <row r="1677" spans="1:139" ht="29">
      <c r="A1677" s="532"/>
      <c r="AR1677" s="2513"/>
      <c r="CT1677" s="531"/>
      <c r="EI1677" s="2689" t="s">
        <v>11996</v>
      </c>
    </row>
    <row r="1678" spans="1:139" ht="43.5">
      <c r="A1678" s="532"/>
      <c r="AR1678" s="2513"/>
      <c r="CT1678" s="531"/>
      <c r="EI1678" s="2689" t="s">
        <v>11997</v>
      </c>
    </row>
    <row r="1679" spans="1:139" ht="43.5">
      <c r="A1679" s="532"/>
      <c r="AR1679" s="2513"/>
      <c r="CT1679" s="531"/>
      <c r="EI1679" s="2689" t="s">
        <v>11998</v>
      </c>
    </row>
    <row r="1680" spans="1:139" ht="43.5">
      <c r="A1680" s="532"/>
      <c r="AR1680" s="2513"/>
      <c r="CT1680" s="531"/>
      <c r="EI1680" s="2689" t="s">
        <v>11999</v>
      </c>
    </row>
    <row r="1681" spans="1:139" ht="58">
      <c r="A1681" s="532"/>
      <c r="AR1681" s="2513"/>
      <c r="CT1681" s="531"/>
      <c r="EI1681" s="2689" t="s">
        <v>12000</v>
      </c>
    </row>
    <row r="1682" spans="1:139" ht="58">
      <c r="A1682" s="532"/>
      <c r="AR1682" s="2513"/>
      <c r="CT1682" s="531"/>
      <c r="EI1682" s="2689" t="s">
        <v>12001</v>
      </c>
    </row>
    <row r="1683" spans="1:139" ht="29">
      <c r="A1683" s="532"/>
      <c r="AR1683" s="2513"/>
      <c r="CT1683" s="531"/>
      <c r="EI1683" s="2689" t="s">
        <v>12002</v>
      </c>
    </row>
    <row r="1684" spans="1:139" ht="72.5">
      <c r="A1684" s="532"/>
      <c r="AR1684" s="2513"/>
      <c r="CT1684" s="531"/>
      <c r="EI1684" s="2689" t="s">
        <v>12003</v>
      </c>
    </row>
    <row r="1685" spans="1:139" ht="29">
      <c r="A1685" s="532"/>
      <c r="AR1685" s="2513"/>
      <c r="CT1685" s="531"/>
      <c r="EI1685" s="2689" t="s">
        <v>12004</v>
      </c>
    </row>
    <row r="1686" spans="1:139" ht="29">
      <c r="A1686" s="532"/>
      <c r="AR1686" s="2513"/>
      <c r="CT1686" s="531"/>
      <c r="EI1686" s="2689" t="s">
        <v>12005</v>
      </c>
    </row>
    <row r="1687" spans="1:139" ht="29">
      <c r="A1687" s="532"/>
      <c r="AR1687" s="2513"/>
      <c r="CT1687" s="531"/>
      <c r="EI1687" s="2689" t="s">
        <v>12006</v>
      </c>
    </row>
    <row r="1688" spans="1:139" ht="72.5">
      <c r="A1688" s="532"/>
      <c r="AR1688" s="2513"/>
      <c r="CT1688" s="531"/>
      <c r="EI1688" s="2689" t="s">
        <v>12007</v>
      </c>
    </row>
    <row r="1689" spans="1:139" ht="43.5">
      <c r="A1689" s="532"/>
      <c r="AR1689" s="2513"/>
      <c r="CT1689" s="531"/>
      <c r="EI1689" s="2689" t="s">
        <v>12008</v>
      </c>
    </row>
    <row r="1690" spans="1:139" ht="29">
      <c r="A1690" s="532"/>
      <c r="AR1690" s="2513"/>
      <c r="CT1690" s="531"/>
      <c r="EI1690" s="2689" t="s">
        <v>12009</v>
      </c>
    </row>
    <row r="1691" spans="1:139" ht="58">
      <c r="A1691" s="532"/>
      <c r="AR1691" s="2513"/>
      <c r="CT1691" s="531"/>
      <c r="EI1691" s="2689" t="s">
        <v>12010</v>
      </c>
    </row>
    <row r="1692" spans="1:139" ht="58">
      <c r="A1692" s="532"/>
      <c r="AR1692" s="2513"/>
      <c r="CT1692" s="531"/>
      <c r="EI1692" s="2689" t="s">
        <v>12011</v>
      </c>
    </row>
    <row r="1693" spans="1:139" ht="43.5">
      <c r="A1693" s="532"/>
      <c r="AR1693" s="2513"/>
      <c r="CT1693" s="531"/>
      <c r="EI1693" s="2689" t="s">
        <v>12012</v>
      </c>
    </row>
    <row r="1694" spans="1:139" ht="43.5">
      <c r="A1694" s="532"/>
      <c r="AR1694" s="2513"/>
      <c r="CT1694" s="531"/>
      <c r="EI1694" s="2689" t="s">
        <v>12013</v>
      </c>
    </row>
    <row r="1695" spans="1:139" ht="29">
      <c r="A1695" s="532"/>
      <c r="AR1695" s="2513"/>
      <c r="CT1695" s="531"/>
      <c r="EI1695" s="2689" t="s">
        <v>12014</v>
      </c>
    </row>
    <row r="1696" spans="1:139">
      <c r="A1696" s="532"/>
      <c r="AR1696" s="2513"/>
      <c r="CT1696" s="531"/>
      <c r="EI1696" s="2689" t="s">
        <v>12015</v>
      </c>
    </row>
    <row r="1697" spans="1:139" ht="43.5">
      <c r="A1697" s="532"/>
      <c r="AR1697" s="2513"/>
      <c r="CT1697" s="531"/>
      <c r="EI1697" s="2689" t="s">
        <v>12016</v>
      </c>
    </row>
    <row r="1698" spans="1:139" ht="58">
      <c r="A1698" s="532"/>
      <c r="AR1698" s="2513"/>
      <c r="CT1698" s="531"/>
      <c r="EI1698" s="2689" t="s">
        <v>12017</v>
      </c>
    </row>
    <row r="1699" spans="1:139" ht="43.5">
      <c r="A1699" s="532"/>
      <c r="AR1699" s="2513"/>
      <c r="CT1699" s="531"/>
      <c r="EI1699" s="2689" t="s">
        <v>12018</v>
      </c>
    </row>
    <row r="1700" spans="1:139" ht="29">
      <c r="A1700" s="532"/>
      <c r="AR1700" s="2513"/>
      <c r="CT1700" s="531"/>
      <c r="EI1700" s="2689" t="s">
        <v>12019</v>
      </c>
    </row>
    <row r="1701" spans="1:139" ht="43.5">
      <c r="A1701" s="532"/>
      <c r="AR1701" s="2513"/>
      <c r="CT1701" s="531"/>
      <c r="EI1701" s="2689" t="s">
        <v>12020</v>
      </c>
    </row>
    <row r="1702" spans="1:139" ht="29">
      <c r="A1702" s="532"/>
      <c r="AR1702" s="2513"/>
      <c r="CT1702" s="531"/>
      <c r="EI1702" s="2689" t="s">
        <v>12021</v>
      </c>
    </row>
    <row r="1703" spans="1:139" ht="29">
      <c r="A1703" s="532"/>
      <c r="AR1703" s="2513"/>
      <c r="CT1703" s="531"/>
      <c r="EI1703" s="2689" t="s">
        <v>12022</v>
      </c>
    </row>
    <row r="1704" spans="1:139" ht="29">
      <c r="A1704" s="532"/>
      <c r="AR1704" s="2513"/>
      <c r="CT1704" s="531"/>
      <c r="EI1704" s="2689" t="s">
        <v>12023</v>
      </c>
    </row>
    <row r="1705" spans="1:139">
      <c r="A1705" s="532"/>
      <c r="AR1705" s="2513"/>
      <c r="CT1705" s="531"/>
      <c r="EI1705" s="2689" t="s">
        <v>12024</v>
      </c>
    </row>
    <row r="1706" spans="1:139" ht="29">
      <c r="A1706" s="532"/>
      <c r="AR1706" s="2513"/>
      <c r="CT1706" s="531"/>
      <c r="EI1706" s="2689" t="s">
        <v>12025</v>
      </c>
    </row>
    <row r="1707" spans="1:139" ht="29">
      <c r="A1707" s="532"/>
      <c r="AR1707" s="2513"/>
      <c r="CT1707" s="531"/>
      <c r="EI1707" s="2689" t="s">
        <v>12026</v>
      </c>
    </row>
    <row r="1708" spans="1:139" ht="29">
      <c r="A1708" s="532"/>
      <c r="AR1708" s="2513"/>
      <c r="CT1708" s="531"/>
      <c r="EI1708" s="2689" t="s">
        <v>12027</v>
      </c>
    </row>
    <row r="1709" spans="1:139" ht="58">
      <c r="A1709" s="532"/>
      <c r="AR1709" s="2513"/>
      <c r="CT1709" s="531"/>
      <c r="EI1709" s="2689" t="s">
        <v>12028</v>
      </c>
    </row>
    <row r="1710" spans="1:139" ht="43.5">
      <c r="A1710" s="532"/>
      <c r="AR1710" s="2513"/>
      <c r="CT1710" s="531"/>
      <c r="EI1710" s="2689" t="s">
        <v>12029</v>
      </c>
    </row>
    <row r="1711" spans="1:139" ht="43.5">
      <c r="A1711" s="532"/>
      <c r="AR1711" s="2513"/>
      <c r="CT1711" s="531"/>
      <c r="EI1711" s="2689" t="s">
        <v>12030</v>
      </c>
    </row>
    <row r="1712" spans="1:139" ht="87">
      <c r="A1712" s="532"/>
      <c r="AR1712" s="2513"/>
      <c r="CT1712" s="531"/>
      <c r="EI1712" s="2689" t="s">
        <v>12031</v>
      </c>
    </row>
    <row r="1713" spans="1:139">
      <c r="A1713" s="532"/>
      <c r="AR1713" s="2513"/>
      <c r="CT1713" s="531"/>
      <c r="EI1713" s="2689" t="s">
        <v>12032</v>
      </c>
    </row>
    <row r="1714" spans="1:139" ht="29">
      <c r="A1714" s="532"/>
      <c r="AR1714" s="2513"/>
      <c r="CT1714" s="531"/>
      <c r="EI1714" s="2689" t="s">
        <v>12033</v>
      </c>
    </row>
    <row r="1715" spans="1:139">
      <c r="A1715" s="532"/>
      <c r="AR1715" s="2513"/>
      <c r="CT1715" s="531"/>
      <c r="EI1715" s="2689" t="s">
        <v>12034</v>
      </c>
    </row>
    <row r="1716" spans="1:139" ht="29">
      <c r="A1716" s="532"/>
      <c r="AR1716" s="2513"/>
      <c r="CT1716" s="531"/>
      <c r="EI1716" s="2689" t="s">
        <v>12035</v>
      </c>
    </row>
    <row r="1717" spans="1:139" ht="29">
      <c r="A1717" s="532"/>
      <c r="AR1717" s="2513"/>
      <c r="CT1717" s="531"/>
      <c r="EI1717" s="2689" t="s">
        <v>12036</v>
      </c>
    </row>
    <row r="1718" spans="1:139">
      <c r="A1718" s="532"/>
      <c r="AR1718" s="2513"/>
      <c r="CT1718" s="531"/>
      <c r="EI1718" s="2689" t="s">
        <v>12037</v>
      </c>
    </row>
    <row r="1719" spans="1:139" ht="43.5">
      <c r="A1719" s="532"/>
      <c r="AR1719" s="2513"/>
      <c r="CT1719" s="531"/>
      <c r="EI1719" s="2689" t="s">
        <v>12038</v>
      </c>
    </row>
    <row r="1720" spans="1:139">
      <c r="A1720" s="532"/>
      <c r="AR1720" s="2513"/>
      <c r="CT1720" s="531"/>
      <c r="EI1720" s="2689" t="s">
        <v>12039</v>
      </c>
    </row>
    <row r="1721" spans="1:139">
      <c r="A1721" s="532"/>
      <c r="AR1721" s="2513"/>
      <c r="CT1721" s="531"/>
      <c r="EI1721" s="2689" t="s">
        <v>12040</v>
      </c>
    </row>
    <row r="1722" spans="1:139">
      <c r="A1722" s="532"/>
      <c r="AR1722" s="2513"/>
      <c r="CT1722" s="531"/>
      <c r="EI1722" s="2689" t="s">
        <v>12041</v>
      </c>
    </row>
    <row r="1723" spans="1:139" ht="29">
      <c r="A1723" s="532"/>
      <c r="AR1723" s="2513"/>
      <c r="CT1723" s="531"/>
      <c r="EI1723" s="2689" t="s">
        <v>12042</v>
      </c>
    </row>
    <row r="1724" spans="1:139" ht="43.5">
      <c r="A1724" s="532"/>
      <c r="AR1724" s="2513"/>
      <c r="CT1724" s="531"/>
      <c r="EI1724" s="2689" t="s">
        <v>12043</v>
      </c>
    </row>
    <row r="1725" spans="1:139" ht="29">
      <c r="A1725" s="532"/>
      <c r="AR1725" s="2513"/>
      <c r="CT1725" s="531"/>
      <c r="EI1725" s="2689" t="s">
        <v>12044</v>
      </c>
    </row>
    <row r="1726" spans="1:139" ht="29">
      <c r="A1726" s="532"/>
      <c r="AR1726" s="2513"/>
      <c r="CT1726" s="531"/>
      <c r="EI1726" s="2689" t="s">
        <v>12045</v>
      </c>
    </row>
    <row r="1727" spans="1:139" ht="43.5">
      <c r="A1727" s="532"/>
      <c r="AR1727" s="2513"/>
      <c r="CT1727" s="531"/>
      <c r="EI1727" s="2689" t="s">
        <v>12046</v>
      </c>
    </row>
    <row r="1728" spans="1:139" ht="58">
      <c r="A1728" s="532"/>
      <c r="AR1728" s="2513"/>
      <c r="CT1728" s="531"/>
      <c r="EI1728" s="2689" t="s">
        <v>12047</v>
      </c>
    </row>
    <row r="1729" spans="1:139" ht="43.5">
      <c r="A1729" s="532"/>
      <c r="AR1729" s="2513"/>
      <c r="CT1729" s="531"/>
      <c r="EI1729" s="2689" t="s">
        <v>12048</v>
      </c>
    </row>
    <row r="1730" spans="1:139" ht="29">
      <c r="A1730" s="532"/>
      <c r="AR1730" s="2513"/>
      <c r="CT1730" s="531"/>
      <c r="EI1730" s="2689" t="s">
        <v>12049</v>
      </c>
    </row>
    <row r="1731" spans="1:139" ht="29">
      <c r="A1731" s="532"/>
      <c r="AR1731" s="2513"/>
      <c r="CT1731" s="531"/>
      <c r="EI1731" s="2689" t="s">
        <v>12050</v>
      </c>
    </row>
    <row r="1732" spans="1:139" ht="29">
      <c r="A1732" s="532"/>
      <c r="AR1732" s="2513"/>
      <c r="CT1732" s="531"/>
      <c r="EI1732" s="2689" t="s">
        <v>12051</v>
      </c>
    </row>
    <row r="1733" spans="1:139" ht="29">
      <c r="A1733" s="532"/>
      <c r="AR1733" s="2513"/>
      <c r="CT1733" s="531"/>
      <c r="EI1733" s="2689" t="s">
        <v>12052</v>
      </c>
    </row>
    <row r="1734" spans="1:139">
      <c r="A1734" s="532"/>
      <c r="AR1734" s="2513"/>
      <c r="CT1734" s="531"/>
      <c r="EI1734" s="2689" t="s">
        <v>12053</v>
      </c>
    </row>
    <row r="1735" spans="1:139" ht="43.5">
      <c r="A1735" s="532"/>
      <c r="AR1735" s="2513"/>
      <c r="CT1735" s="531"/>
      <c r="EI1735" s="2689" t="s">
        <v>12054</v>
      </c>
    </row>
    <row r="1736" spans="1:139" ht="29">
      <c r="A1736" s="532"/>
      <c r="AR1736" s="2513"/>
      <c r="CT1736" s="531"/>
      <c r="EI1736" s="2689" t="s">
        <v>12055</v>
      </c>
    </row>
    <row r="1737" spans="1:139">
      <c r="A1737" s="532"/>
      <c r="AR1737" s="2513"/>
      <c r="CT1737" s="531"/>
      <c r="EI1737" s="2689" t="s">
        <v>12056</v>
      </c>
    </row>
    <row r="1738" spans="1:139" ht="43.5">
      <c r="A1738" s="532"/>
      <c r="AR1738" s="2513"/>
      <c r="CT1738" s="531"/>
      <c r="EI1738" s="2689" t="s">
        <v>12057</v>
      </c>
    </row>
    <row r="1739" spans="1:139" ht="58">
      <c r="A1739" s="532"/>
      <c r="AR1739" s="2513"/>
      <c r="CT1739" s="531"/>
      <c r="EI1739" s="2689" t="s">
        <v>12058</v>
      </c>
    </row>
    <row r="1740" spans="1:139" ht="29">
      <c r="A1740" s="532"/>
      <c r="AR1740" s="2513"/>
      <c r="CT1740" s="531"/>
      <c r="EI1740" s="2689" t="s">
        <v>12059</v>
      </c>
    </row>
    <row r="1741" spans="1:139" ht="29">
      <c r="A1741" s="532"/>
      <c r="AR1741" s="2513"/>
      <c r="CT1741" s="531"/>
      <c r="EI1741" s="2689" t="s">
        <v>12060</v>
      </c>
    </row>
    <row r="1742" spans="1:139" ht="43.5">
      <c r="A1742" s="532"/>
      <c r="AR1742" s="2513"/>
      <c r="CT1742" s="531"/>
      <c r="EI1742" s="2689" t="s">
        <v>12061</v>
      </c>
    </row>
    <row r="1743" spans="1:139" ht="43.5">
      <c r="A1743" s="532"/>
      <c r="AR1743" s="2513"/>
      <c r="CT1743" s="531"/>
      <c r="EI1743" s="2689" t="s">
        <v>12062</v>
      </c>
    </row>
    <row r="1744" spans="1:139" ht="43.5">
      <c r="A1744" s="532"/>
      <c r="AR1744" s="2513"/>
      <c r="CT1744" s="531"/>
      <c r="EI1744" s="2689" t="s">
        <v>12063</v>
      </c>
    </row>
    <row r="1745" spans="1:139" ht="29">
      <c r="A1745" s="532"/>
      <c r="AR1745" s="2513"/>
      <c r="CT1745" s="531"/>
      <c r="EI1745" s="2689" t="s">
        <v>12064</v>
      </c>
    </row>
    <row r="1746" spans="1:139" ht="29">
      <c r="A1746" s="532"/>
      <c r="AR1746" s="2513"/>
      <c r="CT1746" s="531"/>
      <c r="EI1746" s="2689" t="s">
        <v>12065</v>
      </c>
    </row>
    <row r="1747" spans="1:139" ht="58">
      <c r="A1747" s="532"/>
      <c r="AR1747" s="2513"/>
      <c r="CT1747" s="531"/>
      <c r="EI1747" s="2689" t="s">
        <v>12066</v>
      </c>
    </row>
    <row r="1748" spans="1:139" ht="58">
      <c r="A1748" s="532"/>
      <c r="AR1748" s="2513"/>
      <c r="CT1748" s="531"/>
      <c r="EI1748" s="2689" t="s">
        <v>12067</v>
      </c>
    </row>
    <row r="1749" spans="1:139" ht="43.5">
      <c r="A1749" s="532"/>
      <c r="AR1749" s="2513"/>
      <c r="CT1749" s="531"/>
      <c r="EI1749" s="2689" t="s">
        <v>12068</v>
      </c>
    </row>
    <row r="1750" spans="1:139" ht="29">
      <c r="A1750" s="532"/>
      <c r="AR1750" s="2513"/>
      <c r="CT1750" s="531"/>
      <c r="EI1750" s="2689" t="s">
        <v>12069</v>
      </c>
    </row>
    <row r="1751" spans="1:139" ht="43.5">
      <c r="A1751" s="532"/>
      <c r="AR1751" s="2513"/>
      <c r="CT1751" s="531"/>
      <c r="EI1751" s="2689" t="s">
        <v>12070</v>
      </c>
    </row>
    <row r="1752" spans="1:139" ht="43.5">
      <c r="A1752" s="532"/>
      <c r="AR1752" s="2513"/>
      <c r="CT1752" s="531"/>
      <c r="EI1752" s="2689" t="s">
        <v>12071</v>
      </c>
    </row>
    <row r="1753" spans="1:139">
      <c r="A1753" s="532"/>
      <c r="AR1753" s="2513"/>
      <c r="CT1753" s="531"/>
      <c r="EI1753" s="2689" t="s">
        <v>12072</v>
      </c>
    </row>
    <row r="1754" spans="1:139" ht="58">
      <c r="A1754" s="532"/>
      <c r="AR1754" s="2513"/>
      <c r="CT1754" s="531"/>
      <c r="EI1754" s="2689" t="s">
        <v>12073</v>
      </c>
    </row>
    <row r="1755" spans="1:139" ht="29">
      <c r="A1755" s="532"/>
      <c r="AR1755" s="2513"/>
      <c r="CT1755" s="531"/>
      <c r="EI1755" s="2689" t="s">
        <v>12074</v>
      </c>
    </row>
    <row r="1756" spans="1:139" ht="43.5">
      <c r="A1756" s="532"/>
      <c r="AR1756" s="2513"/>
      <c r="CT1756" s="531"/>
      <c r="EI1756" s="2689" t="s">
        <v>12075</v>
      </c>
    </row>
    <row r="1757" spans="1:139" ht="43.5">
      <c r="A1757" s="532"/>
      <c r="AR1757" s="2513"/>
      <c r="CT1757" s="531"/>
      <c r="EI1757" s="2689" t="s">
        <v>12076</v>
      </c>
    </row>
    <row r="1758" spans="1:139" ht="72.5">
      <c r="A1758" s="532"/>
      <c r="AR1758" s="2513"/>
      <c r="CT1758" s="531"/>
      <c r="EI1758" s="2689" t="s">
        <v>12077</v>
      </c>
    </row>
    <row r="1759" spans="1:139">
      <c r="A1759" s="532"/>
      <c r="AR1759" s="2513"/>
      <c r="CT1759" s="531"/>
      <c r="EI1759" s="2689" t="s">
        <v>12078</v>
      </c>
    </row>
    <row r="1760" spans="1:139">
      <c r="A1760" s="532"/>
      <c r="AR1760" s="2513"/>
      <c r="CT1760" s="531"/>
      <c r="EI1760" s="2689" t="s">
        <v>12079</v>
      </c>
    </row>
    <row r="1761" spans="1:139" ht="43.5">
      <c r="A1761" s="532"/>
      <c r="AR1761" s="2513"/>
      <c r="CT1761" s="531"/>
      <c r="EI1761" s="2689" t="s">
        <v>12080</v>
      </c>
    </row>
    <row r="1762" spans="1:139" ht="72.5">
      <c r="A1762" s="532"/>
      <c r="AR1762" s="2513"/>
      <c r="CT1762" s="531"/>
      <c r="EI1762" s="2689" t="s">
        <v>12081</v>
      </c>
    </row>
    <row r="1763" spans="1:139" ht="29">
      <c r="A1763" s="532"/>
      <c r="AR1763" s="2513"/>
      <c r="CT1763" s="531"/>
      <c r="EI1763" s="2689" t="s">
        <v>12082</v>
      </c>
    </row>
    <row r="1764" spans="1:139" ht="29">
      <c r="A1764" s="532"/>
      <c r="AR1764" s="2513"/>
      <c r="CT1764" s="531"/>
      <c r="EI1764" s="2689" t="s">
        <v>12083</v>
      </c>
    </row>
    <row r="1765" spans="1:139" ht="58">
      <c r="A1765" s="532"/>
      <c r="AR1765" s="2513"/>
      <c r="CT1765" s="531"/>
      <c r="EI1765" s="2689" t="s">
        <v>12084</v>
      </c>
    </row>
    <row r="1766" spans="1:139" ht="72.5">
      <c r="A1766" s="532"/>
      <c r="AR1766" s="2513"/>
      <c r="CT1766" s="531"/>
      <c r="EI1766" s="2689" t="s">
        <v>12085</v>
      </c>
    </row>
    <row r="1767" spans="1:139" ht="58">
      <c r="A1767" s="532"/>
      <c r="AR1767" s="2513"/>
      <c r="CT1767" s="531"/>
      <c r="EI1767" s="2689" t="s">
        <v>12086</v>
      </c>
    </row>
    <row r="1768" spans="1:139" ht="72.5">
      <c r="A1768" s="532"/>
      <c r="AR1768" s="2513"/>
      <c r="CT1768" s="531"/>
      <c r="EI1768" s="2689" t="s">
        <v>12087</v>
      </c>
    </row>
    <row r="1769" spans="1:139" ht="29">
      <c r="A1769" s="532"/>
      <c r="AR1769" s="2513"/>
      <c r="CT1769" s="531"/>
      <c r="EI1769" s="2689" t="s">
        <v>12088</v>
      </c>
    </row>
    <row r="1770" spans="1:139" ht="43.5">
      <c r="A1770" s="532"/>
      <c r="AR1770" s="2513"/>
      <c r="CT1770" s="531"/>
      <c r="EI1770" s="2689" t="s">
        <v>12089</v>
      </c>
    </row>
    <row r="1771" spans="1:139" ht="43.5">
      <c r="A1771" s="532"/>
      <c r="AR1771" s="2513"/>
      <c r="CT1771" s="531"/>
      <c r="EI1771" s="2689" t="s">
        <v>12090</v>
      </c>
    </row>
    <row r="1772" spans="1:139" ht="43.5">
      <c r="A1772" s="532"/>
      <c r="AR1772" s="2513"/>
      <c r="CT1772" s="531"/>
      <c r="EI1772" s="2689" t="s">
        <v>12091</v>
      </c>
    </row>
    <row r="1773" spans="1:139" ht="29">
      <c r="A1773" s="532"/>
      <c r="AR1773" s="2513"/>
      <c r="CT1773" s="531"/>
      <c r="EI1773" s="2689" t="s">
        <v>12092</v>
      </c>
    </row>
    <row r="1774" spans="1:139" ht="58">
      <c r="A1774" s="532"/>
      <c r="AR1774" s="2513"/>
      <c r="CT1774" s="531"/>
      <c r="EI1774" s="2689" t="s">
        <v>12093</v>
      </c>
    </row>
    <row r="1775" spans="1:139" ht="29">
      <c r="A1775" s="532"/>
      <c r="AR1775" s="2513"/>
      <c r="CT1775" s="531"/>
      <c r="EI1775" s="2689" t="s">
        <v>12094</v>
      </c>
    </row>
    <row r="1776" spans="1:139" ht="43.5">
      <c r="A1776" s="532"/>
      <c r="AR1776" s="2513"/>
      <c r="CT1776" s="531"/>
      <c r="EI1776" s="2689" t="s">
        <v>12095</v>
      </c>
    </row>
    <row r="1777" spans="1:139" ht="43.5">
      <c r="A1777" s="532"/>
      <c r="AR1777" s="2513"/>
      <c r="CT1777" s="531"/>
      <c r="EI1777" s="2689" t="s">
        <v>12096</v>
      </c>
    </row>
    <row r="1778" spans="1:139" ht="29">
      <c r="A1778" s="532"/>
      <c r="AR1778" s="2513"/>
      <c r="CT1778" s="531"/>
      <c r="EI1778" s="2689" t="s">
        <v>12097</v>
      </c>
    </row>
    <row r="1779" spans="1:139" ht="43.5">
      <c r="A1779" s="532"/>
      <c r="AR1779" s="2513"/>
      <c r="CT1779" s="531"/>
      <c r="EI1779" s="2689" t="s">
        <v>12098</v>
      </c>
    </row>
    <row r="1780" spans="1:139" ht="116">
      <c r="A1780" s="532"/>
      <c r="AR1780" s="2513"/>
      <c r="CT1780" s="531"/>
      <c r="EI1780" s="2689" t="s">
        <v>12099</v>
      </c>
    </row>
    <row r="1781" spans="1:139" ht="43.5">
      <c r="A1781" s="532"/>
      <c r="AR1781" s="2513"/>
      <c r="CT1781" s="531"/>
      <c r="EI1781" s="2689" t="s">
        <v>12100</v>
      </c>
    </row>
    <row r="1782" spans="1:139" ht="29">
      <c r="A1782" s="532"/>
      <c r="AR1782" s="2513"/>
      <c r="CT1782" s="531"/>
      <c r="EI1782" s="2689" t="s">
        <v>12101</v>
      </c>
    </row>
    <row r="1783" spans="1:139" ht="72.5">
      <c r="A1783" s="532"/>
      <c r="AR1783" s="2513"/>
      <c r="CT1783" s="531"/>
      <c r="EI1783" s="2689" t="s">
        <v>12102</v>
      </c>
    </row>
    <row r="1784" spans="1:139" ht="43.5">
      <c r="A1784" s="532"/>
      <c r="AR1784" s="2513"/>
      <c r="CT1784" s="531"/>
      <c r="EI1784" s="2689" t="s">
        <v>12103</v>
      </c>
    </row>
    <row r="1785" spans="1:139" ht="43.5">
      <c r="A1785" s="532"/>
      <c r="AR1785" s="2513"/>
      <c r="CT1785" s="531"/>
      <c r="EI1785" s="2689" t="s">
        <v>12104</v>
      </c>
    </row>
    <row r="1786" spans="1:139">
      <c r="A1786" s="532"/>
      <c r="AR1786" s="2513"/>
      <c r="CT1786" s="531"/>
      <c r="EI1786" s="2689" t="s">
        <v>12105</v>
      </c>
    </row>
    <row r="1787" spans="1:139" ht="29">
      <c r="A1787" s="532"/>
      <c r="AR1787" s="2513"/>
      <c r="CT1787" s="531"/>
      <c r="EI1787" s="2689" t="s">
        <v>12106</v>
      </c>
    </row>
    <row r="1788" spans="1:139" ht="43.5">
      <c r="A1788" s="532"/>
      <c r="AR1788" s="2513"/>
      <c r="CT1788" s="531"/>
      <c r="EI1788" s="2689" t="s">
        <v>12107</v>
      </c>
    </row>
    <row r="1789" spans="1:139" ht="72.5">
      <c r="A1789" s="532"/>
      <c r="AR1789" s="2513"/>
      <c r="CT1789" s="531"/>
      <c r="EI1789" s="2689" t="s">
        <v>12108</v>
      </c>
    </row>
    <row r="1790" spans="1:139" ht="101.5">
      <c r="A1790" s="532"/>
      <c r="AR1790" s="2513"/>
      <c r="CT1790" s="531"/>
      <c r="EI1790" s="2689" t="s">
        <v>12109</v>
      </c>
    </row>
    <row r="1791" spans="1:139" ht="43.5">
      <c r="A1791" s="532"/>
      <c r="AR1791" s="2513"/>
      <c r="CT1791" s="531"/>
      <c r="EI1791" s="2689" t="s">
        <v>12110</v>
      </c>
    </row>
    <row r="1792" spans="1:139" ht="43.5">
      <c r="A1792" s="532"/>
      <c r="AR1792" s="2513"/>
      <c r="CT1792" s="531"/>
      <c r="EI1792" s="2689" t="s">
        <v>12111</v>
      </c>
    </row>
    <row r="1793" spans="1:139" ht="72.5">
      <c r="A1793" s="532"/>
      <c r="AR1793" s="2513"/>
      <c r="CT1793" s="531"/>
      <c r="EI1793" s="2689" t="s">
        <v>12112</v>
      </c>
    </row>
    <row r="1794" spans="1:139" ht="58">
      <c r="A1794" s="532"/>
      <c r="AR1794" s="2513"/>
      <c r="CT1794" s="531"/>
      <c r="EI1794" s="2689" t="s">
        <v>12113</v>
      </c>
    </row>
    <row r="1795" spans="1:139" ht="43.5">
      <c r="A1795" s="532"/>
      <c r="AR1795" s="2513"/>
      <c r="CT1795" s="531"/>
      <c r="EI1795" s="2689" t="s">
        <v>12114</v>
      </c>
    </row>
    <row r="1796" spans="1:139" ht="29">
      <c r="A1796" s="532"/>
      <c r="AR1796" s="2513"/>
      <c r="CT1796" s="531"/>
      <c r="EI1796" s="2689" t="s">
        <v>12115</v>
      </c>
    </row>
    <row r="1797" spans="1:139" ht="29">
      <c r="A1797" s="532"/>
      <c r="AR1797" s="2513"/>
      <c r="CT1797" s="531"/>
      <c r="EI1797" s="2689" t="s">
        <v>12116</v>
      </c>
    </row>
    <row r="1798" spans="1:139">
      <c r="A1798" s="532"/>
      <c r="AR1798" s="2513"/>
      <c r="CT1798" s="531"/>
      <c r="EI1798" s="2689" t="s">
        <v>12117</v>
      </c>
    </row>
    <row r="1799" spans="1:139" ht="87">
      <c r="A1799" s="532"/>
      <c r="AR1799" s="2513"/>
      <c r="CT1799" s="531"/>
      <c r="EI1799" s="2689" t="s">
        <v>12118</v>
      </c>
    </row>
    <row r="1800" spans="1:139" ht="43.5">
      <c r="A1800" s="532"/>
      <c r="AR1800" s="2513"/>
      <c r="CT1800" s="531"/>
      <c r="EI1800" s="2689" t="s">
        <v>12119</v>
      </c>
    </row>
    <row r="1801" spans="1:139" ht="43.5">
      <c r="A1801" s="532"/>
      <c r="AR1801" s="2513"/>
      <c r="CT1801" s="531"/>
      <c r="EI1801" s="2689" t="s">
        <v>12120</v>
      </c>
    </row>
    <row r="1802" spans="1:139" ht="29">
      <c r="A1802" s="532"/>
      <c r="AR1802" s="2513"/>
      <c r="CT1802" s="531"/>
      <c r="EI1802" s="2689" t="s">
        <v>12121</v>
      </c>
    </row>
    <row r="1803" spans="1:139" ht="29">
      <c r="A1803" s="532"/>
      <c r="AR1803" s="2513"/>
      <c r="CT1803" s="531"/>
      <c r="EI1803" s="2689" t="s">
        <v>12122</v>
      </c>
    </row>
    <row r="1804" spans="1:139" ht="29">
      <c r="A1804" s="532"/>
      <c r="AR1804" s="2513"/>
      <c r="CT1804" s="531"/>
      <c r="EI1804" s="2689" t="s">
        <v>12123</v>
      </c>
    </row>
    <row r="1805" spans="1:139" ht="87">
      <c r="A1805" s="532"/>
      <c r="AR1805" s="2513"/>
      <c r="CT1805" s="531"/>
      <c r="EI1805" s="2689" t="s">
        <v>12124</v>
      </c>
    </row>
    <row r="1806" spans="1:139" ht="43.5">
      <c r="A1806" s="532"/>
      <c r="AR1806" s="2513"/>
      <c r="CT1806" s="531"/>
      <c r="EI1806" s="2689" t="s">
        <v>12125</v>
      </c>
    </row>
    <row r="1807" spans="1:139" ht="43.5">
      <c r="A1807" s="532"/>
      <c r="AR1807" s="2513"/>
      <c r="CT1807" s="531"/>
      <c r="EI1807" s="2689" t="s">
        <v>12126</v>
      </c>
    </row>
    <row r="1808" spans="1:139" ht="29">
      <c r="A1808" s="532"/>
      <c r="AR1808" s="2513"/>
      <c r="CT1808" s="531"/>
      <c r="EI1808" s="2689" t="s">
        <v>12127</v>
      </c>
    </row>
    <row r="1809" spans="1:139" ht="58">
      <c r="A1809" s="532"/>
      <c r="AR1809" s="2513"/>
      <c r="CT1809" s="531"/>
      <c r="EI1809" s="2689" t="s">
        <v>12128</v>
      </c>
    </row>
    <row r="1810" spans="1:139">
      <c r="A1810" s="532"/>
      <c r="AR1810" s="2513"/>
      <c r="CT1810" s="531"/>
      <c r="EI1810" s="2689" t="s">
        <v>12129</v>
      </c>
    </row>
    <row r="1811" spans="1:139" ht="43.5">
      <c r="A1811" s="532"/>
      <c r="AR1811" s="2513"/>
      <c r="CT1811" s="531"/>
      <c r="EI1811" s="2689" t="s">
        <v>12130</v>
      </c>
    </row>
    <row r="1812" spans="1:139" ht="58">
      <c r="A1812" s="532"/>
      <c r="AR1812" s="2513"/>
      <c r="CT1812" s="531"/>
      <c r="EI1812" s="2689" t="s">
        <v>12131</v>
      </c>
    </row>
    <row r="1813" spans="1:139" ht="43.5">
      <c r="A1813" s="532"/>
      <c r="AR1813" s="2513"/>
      <c r="CT1813" s="531"/>
      <c r="EI1813" s="2689" t="s">
        <v>12132</v>
      </c>
    </row>
    <row r="1814" spans="1:139" ht="43.5">
      <c r="A1814" s="532"/>
      <c r="AR1814" s="2513"/>
      <c r="CT1814" s="531"/>
      <c r="EI1814" s="2689" t="s">
        <v>12133</v>
      </c>
    </row>
    <row r="1815" spans="1:139" ht="43.5">
      <c r="A1815" s="532"/>
      <c r="AR1815" s="2513"/>
      <c r="CT1815" s="531"/>
      <c r="EI1815" s="2689" t="s">
        <v>12134</v>
      </c>
    </row>
    <row r="1816" spans="1:139" ht="29">
      <c r="A1816" s="532"/>
      <c r="AR1816" s="2513"/>
      <c r="CT1816" s="531"/>
      <c r="EI1816" s="2689" t="s">
        <v>12135</v>
      </c>
    </row>
    <row r="1817" spans="1:139" ht="43.5">
      <c r="A1817" s="532"/>
      <c r="AR1817" s="2513"/>
      <c r="CT1817" s="531"/>
      <c r="EI1817" s="2689" t="s">
        <v>12136</v>
      </c>
    </row>
    <row r="1818" spans="1:139">
      <c r="A1818" s="532"/>
      <c r="AR1818" s="2513"/>
      <c r="CT1818" s="531"/>
      <c r="EI1818" s="2689" t="s">
        <v>12137</v>
      </c>
    </row>
    <row r="1819" spans="1:139" ht="29">
      <c r="A1819" s="532"/>
      <c r="AR1819" s="2513"/>
      <c r="CT1819" s="531"/>
      <c r="EI1819" s="2689" t="s">
        <v>12138</v>
      </c>
    </row>
    <row r="1820" spans="1:139" ht="43.5">
      <c r="A1820" s="532"/>
      <c r="AR1820" s="2513"/>
      <c r="CT1820" s="531"/>
      <c r="EI1820" s="2689" t="s">
        <v>12139</v>
      </c>
    </row>
    <row r="1821" spans="1:139" ht="87">
      <c r="A1821" s="532"/>
      <c r="AR1821" s="2513"/>
      <c r="CT1821" s="531"/>
      <c r="EI1821" s="2689" t="s">
        <v>12140</v>
      </c>
    </row>
    <row r="1822" spans="1:139" ht="58">
      <c r="A1822" s="532"/>
      <c r="AR1822" s="2513"/>
      <c r="CT1822" s="531"/>
      <c r="EI1822" s="2689" t="s">
        <v>12141</v>
      </c>
    </row>
    <row r="1823" spans="1:139" ht="43.5">
      <c r="A1823" s="532"/>
      <c r="AR1823" s="2513"/>
      <c r="CT1823" s="531"/>
      <c r="EI1823" s="2689" t="s">
        <v>12142</v>
      </c>
    </row>
    <row r="1824" spans="1:139" ht="87">
      <c r="A1824" s="532"/>
      <c r="AR1824" s="2513"/>
      <c r="CT1824" s="531"/>
      <c r="EI1824" s="2689" t="s">
        <v>12143</v>
      </c>
    </row>
    <row r="1825" spans="1:139" ht="87">
      <c r="A1825" s="532"/>
      <c r="AR1825" s="2513"/>
      <c r="CT1825" s="531"/>
      <c r="EI1825" s="2689" t="s">
        <v>12144</v>
      </c>
    </row>
    <row r="1826" spans="1:139" ht="58">
      <c r="A1826" s="532"/>
      <c r="AR1826" s="2513"/>
      <c r="CT1826" s="531"/>
      <c r="EI1826" s="2689" t="s">
        <v>12145</v>
      </c>
    </row>
    <row r="1827" spans="1:139" ht="43.5">
      <c r="A1827" s="532"/>
      <c r="AR1827" s="2513"/>
      <c r="CT1827" s="531"/>
      <c r="EI1827" s="2689" t="s">
        <v>12146</v>
      </c>
    </row>
    <row r="1828" spans="1:139" ht="29">
      <c r="A1828" s="532"/>
      <c r="AR1828" s="2513"/>
      <c r="CT1828" s="531"/>
      <c r="EI1828" s="2689" t="s">
        <v>12147</v>
      </c>
    </row>
    <row r="1829" spans="1:139">
      <c r="A1829" s="532"/>
      <c r="AR1829" s="2513"/>
      <c r="CT1829" s="531"/>
      <c r="EI1829" s="2689" t="s">
        <v>12148</v>
      </c>
    </row>
    <row r="1830" spans="1:139" ht="43.5">
      <c r="A1830" s="532"/>
      <c r="AR1830" s="2513"/>
      <c r="CT1830" s="531"/>
      <c r="EI1830" s="2689" t="s">
        <v>12149</v>
      </c>
    </row>
    <row r="1831" spans="1:139" ht="43.5">
      <c r="A1831" s="532"/>
      <c r="AR1831" s="2513"/>
      <c r="CT1831" s="531"/>
      <c r="EI1831" s="2689" t="s">
        <v>12150</v>
      </c>
    </row>
    <row r="1832" spans="1:139" ht="43.5">
      <c r="A1832" s="532"/>
      <c r="AR1832" s="2513"/>
      <c r="CT1832" s="531"/>
      <c r="EI1832" s="2689" t="s">
        <v>12151</v>
      </c>
    </row>
    <row r="1833" spans="1:139" ht="29">
      <c r="A1833" s="532"/>
      <c r="AR1833" s="2513"/>
      <c r="CT1833" s="531"/>
      <c r="EI1833" s="2689" t="s">
        <v>12152</v>
      </c>
    </row>
    <row r="1834" spans="1:139" ht="43.5">
      <c r="A1834" s="532"/>
      <c r="AR1834" s="2513"/>
      <c r="CT1834" s="531"/>
      <c r="EI1834" s="2689" t="s">
        <v>12153</v>
      </c>
    </row>
    <row r="1835" spans="1:139" ht="58">
      <c r="A1835" s="532"/>
      <c r="AR1835" s="2513"/>
      <c r="CT1835" s="531"/>
      <c r="EI1835" s="2689" t="s">
        <v>12154</v>
      </c>
    </row>
    <row r="1836" spans="1:139" ht="43.5">
      <c r="A1836" s="532"/>
      <c r="AR1836" s="2513"/>
      <c r="CT1836" s="531"/>
      <c r="EI1836" s="2689" t="s">
        <v>12155</v>
      </c>
    </row>
    <row r="1837" spans="1:139" ht="58">
      <c r="A1837" s="532"/>
      <c r="AR1837" s="2513"/>
      <c r="CT1837" s="531"/>
      <c r="EI1837" s="2689" t="s">
        <v>12156</v>
      </c>
    </row>
    <row r="1838" spans="1:139" ht="43.5">
      <c r="A1838" s="532"/>
      <c r="AR1838" s="2513"/>
      <c r="CT1838" s="531"/>
      <c r="EI1838" s="2689" t="s">
        <v>12157</v>
      </c>
    </row>
    <row r="1839" spans="1:139" ht="58">
      <c r="A1839" s="532"/>
      <c r="AR1839" s="2513"/>
      <c r="CT1839" s="531"/>
      <c r="EI1839" s="2689" t="s">
        <v>12158</v>
      </c>
    </row>
    <row r="1840" spans="1:139" ht="43.5">
      <c r="A1840" s="532"/>
      <c r="AR1840" s="2513"/>
      <c r="CT1840" s="531"/>
      <c r="EI1840" s="2689" t="s">
        <v>12159</v>
      </c>
    </row>
    <row r="1841" spans="1:139" ht="58">
      <c r="A1841" s="532"/>
      <c r="AR1841" s="2513"/>
      <c r="CT1841" s="531"/>
      <c r="EI1841" s="2689" t="s">
        <v>12160</v>
      </c>
    </row>
    <row r="1842" spans="1:139" ht="43.5">
      <c r="A1842" s="532"/>
      <c r="AR1842" s="2513"/>
      <c r="CT1842" s="531"/>
      <c r="EI1842" s="2689" t="s">
        <v>12161</v>
      </c>
    </row>
    <row r="1843" spans="1:139" ht="43.5">
      <c r="A1843" s="532"/>
      <c r="AR1843" s="2513"/>
      <c r="CT1843" s="531"/>
      <c r="EI1843" s="2689" t="s">
        <v>12162</v>
      </c>
    </row>
    <row r="1844" spans="1:139" ht="43.5">
      <c r="A1844" s="532"/>
      <c r="AR1844" s="2513"/>
      <c r="CT1844" s="531"/>
      <c r="EI1844" s="2689" t="s">
        <v>12163</v>
      </c>
    </row>
    <row r="1845" spans="1:139" ht="58">
      <c r="A1845" s="532"/>
      <c r="AR1845" s="2513"/>
      <c r="CT1845" s="531"/>
      <c r="EI1845" s="2689" t="s">
        <v>12164</v>
      </c>
    </row>
    <row r="1846" spans="1:139" ht="43.5">
      <c r="A1846" s="532"/>
      <c r="AR1846" s="2513"/>
      <c r="CT1846" s="531"/>
      <c r="EI1846" s="2689" t="s">
        <v>12165</v>
      </c>
    </row>
    <row r="1847" spans="1:139">
      <c r="A1847" s="532"/>
      <c r="AR1847" s="2513"/>
      <c r="CT1847" s="531"/>
      <c r="EI1847" s="2689" t="s">
        <v>12166</v>
      </c>
    </row>
    <row r="1848" spans="1:139" ht="29">
      <c r="A1848" s="532"/>
      <c r="AR1848" s="2513"/>
      <c r="CT1848" s="531"/>
      <c r="EI1848" s="2689" t="s">
        <v>12167</v>
      </c>
    </row>
    <row r="1849" spans="1:139">
      <c r="A1849" s="532"/>
      <c r="AR1849" s="2513"/>
      <c r="CT1849" s="531"/>
      <c r="EI1849" s="2689" t="s">
        <v>12168</v>
      </c>
    </row>
    <row r="1850" spans="1:139" ht="29">
      <c r="A1850" s="532"/>
      <c r="AR1850" s="2513"/>
      <c r="CT1850" s="531"/>
      <c r="EI1850" s="2689" t="s">
        <v>12169</v>
      </c>
    </row>
    <row r="1851" spans="1:139">
      <c r="A1851" s="532"/>
      <c r="AR1851" s="2513"/>
      <c r="CT1851" s="531"/>
      <c r="EI1851" s="2689" t="s">
        <v>12170</v>
      </c>
    </row>
    <row r="1852" spans="1:139" ht="43.5">
      <c r="A1852" s="532"/>
      <c r="AR1852" s="2513"/>
      <c r="CT1852" s="531"/>
      <c r="EI1852" s="2689" t="s">
        <v>12171</v>
      </c>
    </row>
    <row r="1853" spans="1:139" ht="29">
      <c r="A1853" s="532"/>
      <c r="AR1853" s="2513"/>
      <c r="CT1853" s="531"/>
      <c r="EI1853" s="2689" t="s">
        <v>12172</v>
      </c>
    </row>
    <row r="1854" spans="1:139" ht="43.5">
      <c r="A1854" s="532"/>
      <c r="AR1854" s="2513"/>
      <c r="CT1854" s="531"/>
      <c r="EI1854" s="2689" t="s">
        <v>12173</v>
      </c>
    </row>
    <row r="1855" spans="1:139" ht="43.5">
      <c r="A1855" s="532"/>
      <c r="AR1855" s="2513"/>
      <c r="CT1855" s="531"/>
      <c r="EI1855" s="2689" t="s">
        <v>12174</v>
      </c>
    </row>
    <row r="1856" spans="1:139" ht="43.5">
      <c r="A1856" s="532"/>
      <c r="AR1856" s="2513"/>
      <c r="CT1856" s="531"/>
      <c r="EI1856" s="2689" t="s">
        <v>12175</v>
      </c>
    </row>
    <row r="1857" spans="1:139" ht="87">
      <c r="A1857" s="532"/>
      <c r="AR1857" s="2513"/>
      <c r="CT1857" s="531"/>
      <c r="EI1857" s="2689" t="s">
        <v>12176</v>
      </c>
    </row>
    <row r="1858" spans="1:139">
      <c r="A1858" s="532"/>
      <c r="AR1858" s="2513"/>
      <c r="CT1858" s="531"/>
      <c r="EI1858" s="2689" t="s">
        <v>12177</v>
      </c>
    </row>
    <row r="1859" spans="1:139">
      <c r="A1859" s="532"/>
      <c r="AR1859" s="2513"/>
      <c r="CT1859" s="531"/>
      <c r="EI1859" s="2689" t="s">
        <v>12178</v>
      </c>
    </row>
    <row r="1860" spans="1:139">
      <c r="A1860" s="532"/>
      <c r="AR1860" s="2513"/>
      <c r="CT1860" s="531"/>
      <c r="EI1860" s="2689" t="s">
        <v>12179</v>
      </c>
    </row>
    <row r="1861" spans="1:139" ht="29">
      <c r="A1861" s="532"/>
      <c r="AR1861" s="2513"/>
      <c r="CT1861" s="531"/>
      <c r="EI1861" s="2689" t="s">
        <v>12180</v>
      </c>
    </row>
    <row r="1862" spans="1:139" ht="72.5">
      <c r="A1862" s="532"/>
      <c r="AR1862" s="2513"/>
      <c r="CT1862" s="531"/>
      <c r="EI1862" s="2689" t="s">
        <v>12181</v>
      </c>
    </row>
    <row r="1863" spans="1:139" ht="43.5">
      <c r="A1863" s="532"/>
      <c r="AR1863" s="2513"/>
      <c r="CT1863" s="531"/>
      <c r="EI1863" s="2689" t="s">
        <v>12182</v>
      </c>
    </row>
    <row r="1864" spans="1:139" ht="58">
      <c r="A1864" s="532"/>
      <c r="AR1864" s="2513"/>
      <c r="CT1864" s="531"/>
      <c r="EI1864" s="2689" t="s">
        <v>12183</v>
      </c>
    </row>
    <row r="1865" spans="1:139" ht="58">
      <c r="A1865" s="532"/>
      <c r="AR1865" s="2513"/>
      <c r="CT1865" s="531"/>
      <c r="EI1865" s="2689" t="s">
        <v>12184</v>
      </c>
    </row>
    <row r="1866" spans="1:139" ht="72.5">
      <c r="A1866" s="532"/>
      <c r="AR1866" s="2513"/>
      <c r="CT1866" s="531"/>
      <c r="EI1866" s="2689" t="s">
        <v>12185</v>
      </c>
    </row>
    <row r="1867" spans="1:139" ht="87">
      <c r="A1867" s="532"/>
      <c r="AR1867" s="2513"/>
      <c r="CT1867" s="531"/>
      <c r="EI1867" s="2689" t="s">
        <v>12186</v>
      </c>
    </row>
    <row r="1868" spans="1:139" ht="43.5">
      <c r="A1868" s="532"/>
      <c r="AR1868" s="2513"/>
      <c r="CT1868" s="531"/>
      <c r="EI1868" s="2689" t="s">
        <v>12187</v>
      </c>
    </row>
    <row r="1869" spans="1:139" ht="29">
      <c r="A1869" s="532"/>
      <c r="AR1869" s="2513"/>
      <c r="CT1869" s="531"/>
      <c r="EI1869" s="2689" t="s">
        <v>12188</v>
      </c>
    </row>
    <row r="1870" spans="1:139" ht="58">
      <c r="A1870" s="532"/>
      <c r="AR1870" s="2513"/>
      <c r="CT1870" s="531"/>
      <c r="EI1870" s="2689" t="s">
        <v>12189</v>
      </c>
    </row>
    <row r="1871" spans="1:139">
      <c r="A1871" s="532"/>
      <c r="AR1871" s="2513"/>
      <c r="CT1871" s="531"/>
      <c r="EI1871" s="2689" t="s">
        <v>12190</v>
      </c>
    </row>
    <row r="1872" spans="1:139" ht="43.5">
      <c r="A1872" s="532"/>
      <c r="AR1872" s="2513"/>
      <c r="CT1872" s="531"/>
      <c r="EI1872" s="2689" t="s">
        <v>12191</v>
      </c>
    </row>
    <row r="1873" spans="1:139" ht="43.5">
      <c r="A1873" s="532"/>
      <c r="AR1873" s="2513"/>
      <c r="CT1873" s="531"/>
      <c r="EI1873" s="2689" t="s">
        <v>12192</v>
      </c>
    </row>
    <row r="1874" spans="1:139" ht="43.5">
      <c r="A1874" s="532"/>
      <c r="AR1874" s="2513"/>
      <c r="CT1874" s="531"/>
      <c r="EI1874" s="2689" t="s">
        <v>12193</v>
      </c>
    </row>
    <row r="1875" spans="1:139" ht="43.5">
      <c r="A1875" s="532"/>
      <c r="AR1875" s="2513"/>
      <c r="CT1875" s="531"/>
      <c r="EI1875" s="2689" t="s">
        <v>12194</v>
      </c>
    </row>
    <row r="1876" spans="1:139" ht="58">
      <c r="A1876" s="532"/>
      <c r="AR1876" s="2513"/>
      <c r="CT1876" s="531"/>
      <c r="EI1876" s="2689" t="s">
        <v>12195</v>
      </c>
    </row>
    <row r="1877" spans="1:139" ht="87">
      <c r="A1877" s="532"/>
      <c r="AR1877" s="2513"/>
      <c r="CT1877" s="531"/>
      <c r="EI1877" s="2689" t="s">
        <v>12196</v>
      </c>
    </row>
    <row r="1878" spans="1:139" ht="87">
      <c r="A1878" s="532"/>
      <c r="AR1878" s="2513"/>
      <c r="CT1878" s="531"/>
      <c r="EI1878" s="2689" t="s">
        <v>12197</v>
      </c>
    </row>
    <row r="1879" spans="1:139" ht="43.5">
      <c r="A1879" s="532"/>
      <c r="AR1879" s="2513"/>
      <c r="CT1879" s="531"/>
      <c r="EI1879" s="2689" t="s">
        <v>12198</v>
      </c>
    </row>
    <row r="1880" spans="1:139" ht="58">
      <c r="A1880" s="532"/>
      <c r="AR1880" s="2513"/>
      <c r="CT1880" s="531"/>
      <c r="EI1880" s="2689" t="s">
        <v>12199</v>
      </c>
    </row>
    <row r="1881" spans="1:139">
      <c r="A1881" s="532"/>
      <c r="AR1881" s="2513"/>
      <c r="CT1881" s="531"/>
      <c r="EI1881" s="2689" t="s">
        <v>12200</v>
      </c>
    </row>
    <row r="1882" spans="1:139" ht="29">
      <c r="A1882" s="532"/>
      <c r="AR1882" s="2513"/>
      <c r="CT1882" s="531"/>
      <c r="EI1882" s="2689" t="s">
        <v>12201</v>
      </c>
    </row>
    <row r="1883" spans="1:139" ht="29">
      <c r="A1883" s="532"/>
      <c r="AR1883" s="2513"/>
      <c r="CT1883" s="531"/>
      <c r="EI1883" s="2689" t="s">
        <v>12202</v>
      </c>
    </row>
    <row r="1884" spans="1:139">
      <c r="A1884" s="532"/>
      <c r="AR1884" s="2513"/>
      <c r="CT1884" s="531"/>
      <c r="EI1884" s="2689" t="s">
        <v>12203</v>
      </c>
    </row>
    <row r="1885" spans="1:139">
      <c r="A1885" s="532"/>
      <c r="AR1885" s="2513"/>
      <c r="CT1885" s="531"/>
      <c r="EI1885" s="2689" t="s">
        <v>12204</v>
      </c>
    </row>
    <row r="1886" spans="1:139" ht="43.5">
      <c r="A1886" s="532"/>
      <c r="AR1886" s="2513"/>
      <c r="CT1886" s="531"/>
      <c r="EI1886" s="2689" t="s">
        <v>12205</v>
      </c>
    </row>
    <row r="1887" spans="1:139" ht="29">
      <c r="A1887" s="532"/>
      <c r="AR1887" s="2513"/>
      <c r="CT1887" s="531"/>
      <c r="EI1887" s="2689" t="s">
        <v>12206</v>
      </c>
    </row>
    <row r="1888" spans="1:139" ht="29">
      <c r="A1888" s="532"/>
      <c r="AR1888" s="2513"/>
      <c r="CT1888" s="531"/>
      <c r="EI1888" s="2689" t="s">
        <v>12207</v>
      </c>
    </row>
    <row r="1889" spans="1:139" ht="29">
      <c r="A1889" s="532"/>
      <c r="AR1889" s="2513"/>
      <c r="CT1889" s="531"/>
      <c r="EI1889" s="2689" t="s">
        <v>12208</v>
      </c>
    </row>
    <row r="1890" spans="1:139" ht="43.5">
      <c r="A1890" s="532"/>
      <c r="AR1890" s="2513"/>
      <c r="CT1890" s="531"/>
      <c r="EI1890" s="2689" t="s">
        <v>12209</v>
      </c>
    </row>
    <row r="1891" spans="1:139" ht="29">
      <c r="A1891" s="532"/>
      <c r="AR1891" s="2513"/>
      <c r="CT1891" s="531"/>
      <c r="EI1891" s="2689" t="s">
        <v>12210</v>
      </c>
    </row>
    <row r="1892" spans="1:139" ht="29">
      <c r="A1892" s="532"/>
      <c r="AR1892" s="2513"/>
      <c r="CT1892" s="531"/>
      <c r="EI1892" s="2689" t="s">
        <v>12211</v>
      </c>
    </row>
    <row r="1893" spans="1:139" ht="29">
      <c r="A1893" s="532"/>
      <c r="AR1893" s="2513"/>
      <c r="CT1893" s="531"/>
      <c r="EI1893" s="2689" t="s">
        <v>12212</v>
      </c>
    </row>
    <row r="1894" spans="1:139" ht="72.5">
      <c r="A1894" s="532"/>
      <c r="AR1894" s="2513"/>
      <c r="CT1894" s="531"/>
      <c r="EI1894" s="2689" t="s">
        <v>12213</v>
      </c>
    </row>
    <row r="1895" spans="1:139" ht="43.5">
      <c r="A1895" s="532"/>
      <c r="AR1895" s="2513"/>
      <c r="CT1895" s="531"/>
      <c r="EI1895" s="2689" t="s">
        <v>12214</v>
      </c>
    </row>
    <row r="1896" spans="1:139" ht="72.5">
      <c r="A1896" s="532"/>
      <c r="AR1896" s="2513"/>
      <c r="CT1896" s="531"/>
      <c r="EI1896" s="2689" t="s">
        <v>12215</v>
      </c>
    </row>
    <row r="1897" spans="1:139" ht="29">
      <c r="A1897" s="532"/>
      <c r="AR1897" s="2513"/>
      <c r="CT1897" s="531"/>
      <c r="EI1897" s="2689" t="s">
        <v>12216</v>
      </c>
    </row>
    <row r="1898" spans="1:139" ht="29">
      <c r="A1898" s="532"/>
      <c r="AR1898" s="2513"/>
      <c r="CT1898" s="531"/>
      <c r="EI1898" s="2689" t="s">
        <v>12217</v>
      </c>
    </row>
    <row r="1899" spans="1:139" ht="29">
      <c r="A1899" s="532"/>
      <c r="AR1899" s="2513"/>
      <c r="CT1899" s="531"/>
      <c r="EI1899" s="2689" t="s">
        <v>12218</v>
      </c>
    </row>
    <row r="1900" spans="1:139">
      <c r="A1900" s="532"/>
      <c r="AR1900" s="2513"/>
      <c r="CT1900" s="531"/>
      <c r="EI1900" s="2689" t="s">
        <v>12219</v>
      </c>
    </row>
    <row r="1901" spans="1:139" ht="43.5">
      <c r="A1901" s="532"/>
      <c r="AR1901" s="2513"/>
      <c r="CT1901" s="531"/>
      <c r="EI1901" s="2689" t="s">
        <v>12220</v>
      </c>
    </row>
    <row r="1902" spans="1:139" ht="43.5">
      <c r="A1902" s="532"/>
      <c r="AR1902" s="2513"/>
      <c r="CT1902" s="531"/>
      <c r="EI1902" s="2689" t="s">
        <v>12221</v>
      </c>
    </row>
    <row r="1903" spans="1:139" ht="29">
      <c r="A1903" s="532"/>
      <c r="AR1903" s="2513"/>
      <c r="CT1903" s="531"/>
      <c r="EI1903" s="2689" t="s">
        <v>12222</v>
      </c>
    </row>
    <row r="1904" spans="1:139" ht="29">
      <c r="A1904" s="532"/>
      <c r="AR1904" s="2513"/>
      <c r="CT1904" s="531"/>
      <c r="EI1904" s="2689" t="s">
        <v>12223</v>
      </c>
    </row>
    <row r="1905" spans="1:139" ht="29">
      <c r="A1905" s="532"/>
      <c r="AR1905" s="2513"/>
      <c r="CT1905" s="531"/>
      <c r="EI1905" s="2689" t="s">
        <v>12224</v>
      </c>
    </row>
    <row r="1906" spans="1:139">
      <c r="A1906" s="532"/>
      <c r="AR1906" s="2513"/>
      <c r="CT1906" s="531"/>
      <c r="EI1906" s="2689" t="s">
        <v>12225</v>
      </c>
    </row>
    <row r="1907" spans="1:139" ht="29">
      <c r="A1907" s="532"/>
      <c r="AR1907" s="2513"/>
      <c r="CT1907" s="531"/>
      <c r="EI1907" s="2689" t="s">
        <v>12226</v>
      </c>
    </row>
    <row r="1908" spans="1:139" ht="43.5">
      <c r="A1908" s="532"/>
      <c r="AR1908" s="2513"/>
      <c r="CT1908" s="531"/>
      <c r="EI1908" s="2689" t="s">
        <v>12227</v>
      </c>
    </row>
    <row r="1909" spans="1:139" ht="43.5">
      <c r="A1909" s="532"/>
      <c r="AR1909" s="2513"/>
      <c r="CT1909" s="531"/>
      <c r="EI1909" s="2689" t="s">
        <v>12228</v>
      </c>
    </row>
    <row r="1910" spans="1:139" ht="58">
      <c r="A1910" s="532"/>
      <c r="AR1910" s="2513"/>
      <c r="CT1910" s="531"/>
      <c r="EI1910" s="2689" t="s">
        <v>12229</v>
      </c>
    </row>
    <row r="1911" spans="1:139">
      <c r="A1911" s="532"/>
      <c r="AR1911" s="2513"/>
      <c r="CT1911" s="531"/>
      <c r="EI1911" s="2689" t="s">
        <v>12230</v>
      </c>
    </row>
    <row r="1912" spans="1:139" ht="87">
      <c r="A1912" s="532"/>
      <c r="AR1912" s="2513"/>
      <c r="CT1912" s="531"/>
      <c r="EI1912" s="2689" t="s">
        <v>12231</v>
      </c>
    </row>
    <row r="1913" spans="1:139">
      <c r="A1913" s="532"/>
      <c r="AR1913" s="2513"/>
      <c r="CT1913" s="531"/>
      <c r="EI1913" s="2689" t="s">
        <v>12232</v>
      </c>
    </row>
    <row r="1914" spans="1:139">
      <c r="A1914" s="532"/>
      <c r="AR1914" s="2513"/>
      <c r="CT1914" s="531"/>
      <c r="EI1914" s="2689" t="s">
        <v>12233</v>
      </c>
    </row>
    <row r="1915" spans="1:139">
      <c r="A1915" s="532"/>
      <c r="AR1915" s="2513"/>
      <c r="CT1915" s="531"/>
      <c r="EI1915" s="2689" t="s">
        <v>12234</v>
      </c>
    </row>
    <row r="1916" spans="1:139" ht="58">
      <c r="A1916" s="532"/>
      <c r="AR1916" s="2513"/>
      <c r="CT1916" s="531"/>
      <c r="EI1916" s="2689" t="s">
        <v>12235</v>
      </c>
    </row>
    <row r="1917" spans="1:139" ht="43.5">
      <c r="A1917" s="532"/>
      <c r="AR1917" s="2513"/>
      <c r="CT1917" s="531"/>
      <c r="EI1917" s="2689" t="s">
        <v>12236</v>
      </c>
    </row>
    <row r="1918" spans="1:139" ht="43.5">
      <c r="A1918" s="532"/>
      <c r="AR1918" s="2513"/>
      <c r="CT1918" s="531"/>
      <c r="EI1918" s="2689" t="s">
        <v>12237</v>
      </c>
    </row>
    <row r="1919" spans="1:139" ht="29">
      <c r="A1919" s="532"/>
      <c r="AR1919" s="2513"/>
      <c r="CT1919" s="531"/>
      <c r="EI1919" s="2689" t="s">
        <v>12238</v>
      </c>
    </row>
    <row r="1920" spans="1:139" ht="43.5">
      <c r="A1920" s="532"/>
      <c r="AR1920" s="2513"/>
      <c r="CT1920" s="531"/>
      <c r="EI1920" s="2689" t="s">
        <v>12239</v>
      </c>
    </row>
    <row r="1921" spans="1:139" ht="72.5">
      <c r="A1921" s="532"/>
      <c r="AR1921" s="2513"/>
      <c r="CT1921" s="531"/>
      <c r="EI1921" s="2689" t="s">
        <v>12240</v>
      </c>
    </row>
    <row r="1922" spans="1:139" ht="43.5">
      <c r="A1922" s="532"/>
      <c r="AR1922" s="2513"/>
      <c r="CT1922" s="531"/>
      <c r="EI1922" s="2689" t="s">
        <v>12241</v>
      </c>
    </row>
    <row r="1923" spans="1:139" ht="43.5">
      <c r="A1923" s="532"/>
      <c r="AR1923" s="2513"/>
      <c r="CT1923" s="531"/>
      <c r="EI1923" s="2689" t="s">
        <v>12242</v>
      </c>
    </row>
    <row r="1924" spans="1:139" ht="29">
      <c r="A1924" s="532"/>
      <c r="AR1924" s="2513"/>
      <c r="CT1924" s="531"/>
      <c r="EI1924" s="2689" t="s">
        <v>12243</v>
      </c>
    </row>
    <row r="1925" spans="1:139" ht="58">
      <c r="A1925" s="532"/>
      <c r="AR1925" s="2513"/>
      <c r="CT1925" s="531"/>
      <c r="EI1925" s="2689" t="s">
        <v>12244</v>
      </c>
    </row>
    <row r="1926" spans="1:139" ht="58">
      <c r="A1926" s="532"/>
      <c r="AR1926" s="2513"/>
      <c r="CT1926" s="531"/>
      <c r="EI1926" s="2689" t="s">
        <v>12245</v>
      </c>
    </row>
    <row r="1927" spans="1:139" ht="58">
      <c r="A1927" s="532"/>
      <c r="AR1927" s="2513"/>
      <c r="CT1927" s="531"/>
      <c r="EI1927" s="2689" t="s">
        <v>12246</v>
      </c>
    </row>
    <row r="1928" spans="1:139" ht="72.5">
      <c r="A1928" s="532"/>
      <c r="AR1928" s="2513"/>
      <c r="CT1928" s="531"/>
      <c r="EI1928" s="2689" t="s">
        <v>12247</v>
      </c>
    </row>
    <row r="1929" spans="1:139" ht="101.5">
      <c r="A1929" s="532"/>
      <c r="AR1929" s="2513"/>
      <c r="CT1929" s="531"/>
      <c r="EI1929" s="2689" t="s">
        <v>12248</v>
      </c>
    </row>
    <row r="1930" spans="1:139" ht="72.5">
      <c r="A1930" s="532"/>
      <c r="AR1930" s="2513"/>
      <c r="CT1930" s="531"/>
      <c r="EI1930" s="2689" t="s">
        <v>12249</v>
      </c>
    </row>
    <row r="1931" spans="1:139" ht="87">
      <c r="A1931" s="532"/>
      <c r="AR1931" s="2513"/>
      <c r="CT1931" s="531"/>
      <c r="EI1931" s="2689" t="s">
        <v>12250</v>
      </c>
    </row>
    <row r="1932" spans="1:139" ht="58">
      <c r="A1932" s="532"/>
      <c r="AR1932" s="2513"/>
      <c r="CT1932" s="531"/>
      <c r="EI1932" s="2689" t="s">
        <v>12251</v>
      </c>
    </row>
    <row r="1933" spans="1:139" ht="87">
      <c r="A1933" s="532"/>
      <c r="AR1933" s="2513"/>
      <c r="CT1933" s="531"/>
      <c r="EI1933" s="2689" t="s">
        <v>12252</v>
      </c>
    </row>
    <row r="1934" spans="1:139" ht="116">
      <c r="A1934" s="532"/>
      <c r="AR1934" s="2513"/>
      <c r="CT1934" s="531"/>
      <c r="EI1934" s="2689" t="s">
        <v>12253</v>
      </c>
    </row>
    <row r="1935" spans="1:139" ht="43.5">
      <c r="A1935" s="532"/>
      <c r="AR1935" s="2513"/>
      <c r="CT1935" s="531"/>
      <c r="EI1935" s="2689" t="s">
        <v>12254</v>
      </c>
    </row>
    <row r="1936" spans="1:139" ht="58">
      <c r="A1936" s="532"/>
      <c r="AR1936" s="2513"/>
      <c r="CT1936" s="531"/>
      <c r="EI1936" s="2689" t="s">
        <v>12255</v>
      </c>
    </row>
    <row r="1937" spans="1:139" ht="58">
      <c r="A1937" s="532"/>
      <c r="AR1937" s="2513"/>
      <c r="CT1937" s="531"/>
      <c r="EI1937" s="2689" t="s">
        <v>12256</v>
      </c>
    </row>
    <row r="1938" spans="1:139" ht="72.5">
      <c r="A1938" s="532"/>
      <c r="AR1938" s="2513"/>
      <c r="CT1938" s="531"/>
      <c r="EI1938" s="2689" t="s">
        <v>12257</v>
      </c>
    </row>
    <row r="1939" spans="1:139">
      <c r="A1939" s="532"/>
      <c r="AR1939" s="2513"/>
      <c r="CT1939" s="531"/>
      <c r="EI1939" s="2689" t="s">
        <v>12258</v>
      </c>
    </row>
    <row r="1940" spans="1:139" ht="72.5">
      <c r="A1940" s="532"/>
      <c r="AR1940" s="2513"/>
      <c r="CT1940" s="531"/>
      <c r="EI1940" s="2689" t="s">
        <v>12259</v>
      </c>
    </row>
    <row r="1941" spans="1:139">
      <c r="A1941" s="532"/>
      <c r="AR1941" s="2513"/>
      <c r="CT1941" s="531"/>
      <c r="EI1941" s="2689" t="s">
        <v>12260</v>
      </c>
    </row>
    <row r="1942" spans="1:139" ht="72.5">
      <c r="A1942" s="532"/>
      <c r="AR1942" s="2513"/>
      <c r="CT1942" s="531"/>
      <c r="EI1942" s="2689" t="s">
        <v>12261</v>
      </c>
    </row>
    <row r="1943" spans="1:139" ht="43.5">
      <c r="A1943" s="532"/>
      <c r="AR1943" s="2513"/>
      <c r="CT1943" s="531"/>
      <c r="EI1943" s="2689" t="s">
        <v>12262</v>
      </c>
    </row>
    <row r="1944" spans="1:139" ht="29">
      <c r="A1944" s="532"/>
      <c r="AR1944" s="2513"/>
      <c r="CT1944" s="531"/>
      <c r="EI1944" s="2689" t="s">
        <v>12263</v>
      </c>
    </row>
    <row r="1945" spans="1:139" ht="87">
      <c r="A1945" s="532"/>
      <c r="AR1945" s="2513"/>
      <c r="CT1945" s="531"/>
      <c r="EI1945" s="2689" t="s">
        <v>12264</v>
      </c>
    </row>
    <row r="1946" spans="1:139" ht="43.5">
      <c r="A1946" s="532"/>
      <c r="AR1946" s="2513"/>
      <c r="CT1946" s="531"/>
      <c r="EI1946" s="2689" t="s">
        <v>12265</v>
      </c>
    </row>
    <row r="1947" spans="1:139" ht="29">
      <c r="A1947" s="532"/>
      <c r="AR1947" s="2513"/>
      <c r="CT1947" s="531"/>
      <c r="EI1947" s="2689" t="s">
        <v>12266</v>
      </c>
    </row>
    <row r="1948" spans="1:139" ht="58">
      <c r="A1948" s="532"/>
      <c r="AR1948" s="2513"/>
      <c r="CT1948" s="531"/>
      <c r="EI1948" s="2689" t="s">
        <v>12267</v>
      </c>
    </row>
    <row r="1949" spans="1:139" ht="87">
      <c r="A1949" s="532"/>
      <c r="AR1949" s="2513"/>
      <c r="CT1949" s="531"/>
      <c r="EI1949" s="2689" t="s">
        <v>12268</v>
      </c>
    </row>
    <row r="1950" spans="1:139" ht="58">
      <c r="A1950" s="532"/>
      <c r="AR1950" s="2513"/>
      <c r="CT1950" s="531"/>
      <c r="EI1950" s="2689" t="s">
        <v>12269</v>
      </c>
    </row>
    <row r="1951" spans="1:139" ht="29">
      <c r="A1951" s="532"/>
      <c r="AR1951" s="2513"/>
      <c r="CT1951" s="531"/>
      <c r="EI1951" s="2689" t="s">
        <v>12270</v>
      </c>
    </row>
    <row r="1952" spans="1:139" ht="58">
      <c r="A1952" s="532"/>
      <c r="AR1952" s="2513"/>
      <c r="CT1952" s="531"/>
      <c r="EI1952" s="2689" t="s">
        <v>12271</v>
      </c>
    </row>
    <row r="1953" spans="1:139" ht="58">
      <c r="A1953" s="532"/>
      <c r="AR1953" s="2513"/>
      <c r="CT1953" s="531"/>
      <c r="EI1953" s="2689" t="s">
        <v>12272</v>
      </c>
    </row>
    <row r="1954" spans="1:139" ht="43.5">
      <c r="A1954" s="532"/>
      <c r="AR1954" s="2513"/>
      <c r="CT1954" s="531"/>
      <c r="EI1954" s="2689" t="s">
        <v>12273</v>
      </c>
    </row>
    <row r="1955" spans="1:139" ht="72.5">
      <c r="A1955" s="532"/>
      <c r="AR1955" s="2513"/>
      <c r="CT1955" s="531"/>
      <c r="EI1955" s="2689" t="s">
        <v>12274</v>
      </c>
    </row>
    <row r="1956" spans="1:139" ht="58">
      <c r="A1956" s="532"/>
      <c r="AR1956" s="2513"/>
      <c r="CT1956" s="531"/>
      <c r="EI1956" s="2689" t="s">
        <v>12275</v>
      </c>
    </row>
    <row r="1957" spans="1:139" ht="43.5">
      <c r="A1957" s="532"/>
      <c r="AR1957" s="2513"/>
      <c r="CT1957" s="531"/>
      <c r="EI1957" s="2689" t="s">
        <v>12276</v>
      </c>
    </row>
    <row r="1958" spans="1:139" ht="72.5">
      <c r="A1958" s="532"/>
      <c r="AR1958" s="2513"/>
      <c r="CT1958" s="531"/>
      <c r="EI1958" s="2689" t="s">
        <v>12277</v>
      </c>
    </row>
    <row r="1959" spans="1:139" ht="29">
      <c r="A1959" s="532"/>
      <c r="AR1959" s="2513"/>
      <c r="CT1959" s="531"/>
      <c r="EI1959" s="2689" t="s">
        <v>12278</v>
      </c>
    </row>
    <row r="1960" spans="1:139" ht="29">
      <c r="A1960" s="532"/>
      <c r="AR1960" s="2513"/>
      <c r="CT1960" s="531"/>
      <c r="EI1960" s="2689" t="s">
        <v>12279</v>
      </c>
    </row>
    <row r="1961" spans="1:139" ht="29">
      <c r="A1961" s="532"/>
      <c r="AR1961" s="2513"/>
      <c r="CT1961" s="531"/>
      <c r="EI1961" s="2689" t="s">
        <v>12280</v>
      </c>
    </row>
    <row r="1962" spans="1:139" ht="29">
      <c r="A1962" s="532"/>
      <c r="AR1962" s="2513"/>
      <c r="CT1962" s="531"/>
      <c r="EI1962" s="2689" t="s">
        <v>12281</v>
      </c>
    </row>
    <row r="1963" spans="1:139" ht="72.5">
      <c r="A1963" s="532"/>
      <c r="AR1963" s="2513"/>
      <c r="CT1963" s="531"/>
      <c r="EI1963" s="2689" t="s">
        <v>12282</v>
      </c>
    </row>
    <row r="1964" spans="1:139" ht="43.5">
      <c r="A1964" s="532"/>
      <c r="AR1964" s="2513"/>
      <c r="CT1964" s="531"/>
      <c r="EI1964" s="2689" t="s">
        <v>12283</v>
      </c>
    </row>
    <row r="1965" spans="1:139" ht="29">
      <c r="A1965" s="532"/>
      <c r="AR1965" s="2513"/>
      <c r="CT1965" s="531"/>
      <c r="EI1965" s="2689" t="s">
        <v>12284</v>
      </c>
    </row>
    <row r="1966" spans="1:139">
      <c r="A1966" s="532"/>
      <c r="AR1966" s="2513"/>
      <c r="CT1966" s="531"/>
      <c r="EI1966" s="2689" t="s">
        <v>12285</v>
      </c>
    </row>
    <row r="1967" spans="1:139" ht="29">
      <c r="A1967" s="532"/>
      <c r="AR1967" s="2513"/>
      <c r="CT1967" s="531"/>
      <c r="EI1967" s="2689" t="s">
        <v>12286</v>
      </c>
    </row>
    <row r="1968" spans="1:139" ht="72.5">
      <c r="A1968" s="532"/>
      <c r="AR1968" s="2513"/>
      <c r="CT1968" s="531"/>
      <c r="EI1968" s="2689" t="s">
        <v>12287</v>
      </c>
    </row>
    <row r="1969" spans="1:139">
      <c r="A1969" s="532"/>
      <c r="AR1969" s="2513"/>
      <c r="CT1969" s="531"/>
      <c r="EI1969" s="2689" t="s">
        <v>12288</v>
      </c>
    </row>
    <row r="1970" spans="1:139" ht="29">
      <c r="A1970" s="532"/>
      <c r="AR1970" s="2513"/>
      <c r="CT1970" s="531"/>
      <c r="EI1970" s="2689" t="s">
        <v>12289</v>
      </c>
    </row>
    <row r="1971" spans="1:139" ht="87">
      <c r="A1971" s="532"/>
      <c r="AR1971" s="2513"/>
      <c r="CT1971" s="531"/>
      <c r="EI1971" s="2689" t="s">
        <v>12290</v>
      </c>
    </row>
    <row r="1972" spans="1:139" ht="87">
      <c r="A1972" s="532"/>
      <c r="AR1972" s="2513"/>
      <c r="CT1972" s="531"/>
      <c r="EI1972" s="2689" t="s">
        <v>12291</v>
      </c>
    </row>
    <row r="1973" spans="1:139" ht="29">
      <c r="A1973" s="532"/>
      <c r="AR1973" s="2513"/>
      <c r="CT1973" s="531"/>
      <c r="EI1973" s="2689" t="s">
        <v>12292</v>
      </c>
    </row>
    <row r="1974" spans="1:139" ht="43.5">
      <c r="A1974" s="532"/>
      <c r="AR1974" s="2513"/>
      <c r="CT1974" s="531"/>
      <c r="EI1974" s="2689" t="s">
        <v>12293</v>
      </c>
    </row>
    <row r="1975" spans="1:139">
      <c r="A1975" s="532"/>
      <c r="AR1975" s="2513"/>
      <c r="CT1975" s="531"/>
      <c r="EI1975" s="2689" t="s">
        <v>12294</v>
      </c>
    </row>
    <row r="1976" spans="1:139" ht="29">
      <c r="A1976" s="532"/>
      <c r="AR1976" s="2513"/>
      <c r="CT1976" s="531"/>
      <c r="EI1976" s="2689" t="s">
        <v>12295</v>
      </c>
    </row>
    <row r="1977" spans="1:139" ht="58">
      <c r="A1977" s="532"/>
      <c r="AR1977" s="2513"/>
      <c r="CT1977" s="531"/>
      <c r="EI1977" s="2689" t="s">
        <v>12296</v>
      </c>
    </row>
    <row r="1978" spans="1:139" ht="58">
      <c r="A1978" s="532"/>
      <c r="AR1978" s="2513"/>
      <c r="CT1978" s="531"/>
      <c r="EI1978" s="2689" t="s">
        <v>12297</v>
      </c>
    </row>
    <row r="1979" spans="1:139" ht="43.5">
      <c r="A1979" s="532"/>
      <c r="AR1979" s="2513"/>
      <c r="CT1979" s="531"/>
      <c r="EI1979" s="2689" t="s">
        <v>12298</v>
      </c>
    </row>
    <row r="1980" spans="1:139" ht="29">
      <c r="A1980" s="532"/>
      <c r="AR1980" s="2513"/>
      <c r="CT1980" s="531"/>
      <c r="EI1980" s="2689" t="s">
        <v>12299</v>
      </c>
    </row>
    <row r="1981" spans="1:139" ht="43.5">
      <c r="A1981" s="532"/>
      <c r="AR1981" s="2513"/>
      <c r="CT1981" s="531"/>
      <c r="EI1981" s="2689" t="s">
        <v>12300</v>
      </c>
    </row>
    <row r="1982" spans="1:139" ht="43.5">
      <c r="A1982" s="532"/>
      <c r="AR1982" s="2513"/>
      <c r="CT1982" s="531"/>
      <c r="EI1982" s="2689" t="s">
        <v>12301</v>
      </c>
    </row>
    <row r="1983" spans="1:139" ht="58">
      <c r="A1983" s="532"/>
      <c r="AR1983" s="2513"/>
      <c r="CT1983" s="531"/>
      <c r="EI1983" s="2689" t="s">
        <v>12302</v>
      </c>
    </row>
    <row r="1984" spans="1:139" ht="43.5">
      <c r="A1984" s="532"/>
      <c r="AR1984" s="2513"/>
      <c r="CT1984" s="531"/>
      <c r="EI1984" s="2689" t="s">
        <v>12303</v>
      </c>
    </row>
    <row r="1985" spans="1:139" ht="87">
      <c r="A1985" s="532"/>
      <c r="AR1985" s="2513"/>
      <c r="CT1985" s="531"/>
      <c r="EI1985" s="2689" t="s">
        <v>12304</v>
      </c>
    </row>
    <row r="1986" spans="1:139" ht="43.5">
      <c r="A1986" s="532"/>
      <c r="AR1986" s="2513"/>
      <c r="CT1986" s="531"/>
      <c r="EI1986" s="2689" t="s">
        <v>12305</v>
      </c>
    </row>
    <row r="1987" spans="1:139" ht="29">
      <c r="A1987" s="532"/>
      <c r="AR1987" s="2513"/>
      <c r="CT1987" s="531"/>
      <c r="EI1987" s="2689" t="s">
        <v>12306</v>
      </c>
    </row>
    <row r="1988" spans="1:139" ht="43.5">
      <c r="A1988" s="532"/>
      <c r="AR1988" s="2513"/>
      <c r="CT1988" s="531"/>
      <c r="EI1988" s="2689" t="s">
        <v>12307</v>
      </c>
    </row>
    <row r="1989" spans="1:139" ht="43.5">
      <c r="A1989" s="532"/>
      <c r="AR1989" s="2513"/>
      <c r="CT1989" s="531"/>
      <c r="EI1989" s="2689" t="s">
        <v>12308</v>
      </c>
    </row>
    <row r="1990" spans="1:139" ht="43.5">
      <c r="A1990" s="532"/>
      <c r="AR1990" s="2513"/>
      <c r="CT1990" s="531"/>
      <c r="EI1990" s="2689" t="s">
        <v>12309</v>
      </c>
    </row>
    <row r="1991" spans="1:139" ht="58">
      <c r="A1991" s="532"/>
      <c r="AR1991" s="2513"/>
      <c r="CT1991" s="531"/>
      <c r="EI1991" s="2689" t="s">
        <v>12310</v>
      </c>
    </row>
    <row r="1992" spans="1:139" ht="43.5">
      <c r="A1992" s="532"/>
      <c r="AR1992" s="2513"/>
      <c r="CT1992" s="531"/>
      <c r="EI1992" s="2689" t="s">
        <v>12311</v>
      </c>
    </row>
    <row r="1993" spans="1:139" ht="29">
      <c r="A1993" s="532"/>
      <c r="AR1993" s="2513"/>
      <c r="CT1993" s="531"/>
      <c r="EI1993" s="2689" t="s">
        <v>12312</v>
      </c>
    </row>
    <row r="1994" spans="1:139" ht="29">
      <c r="A1994" s="532"/>
      <c r="AR1994" s="2513"/>
      <c r="CT1994" s="531"/>
      <c r="EI1994" s="2689" t="s">
        <v>12313</v>
      </c>
    </row>
    <row r="1995" spans="1:139" ht="58">
      <c r="A1995" s="532"/>
      <c r="AR1995" s="2513"/>
      <c r="CT1995" s="531"/>
      <c r="EI1995" s="2689" t="s">
        <v>12314</v>
      </c>
    </row>
    <row r="1996" spans="1:139" ht="29">
      <c r="A1996" s="532"/>
      <c r="AR1996" s="2513"/>
      <c r="CT1996" s="531"/>
      <c r="EI1996" s="2689" t="s">
        <v>12315</v>
      </c>
    </row>
    <row r="1997" spans="1:139" ht="58">
      <c r="A1997" s="532"/>
      <c r="AR1997" s="2513"/>
      <c r="CT1997" s="531"/>
      <c r="EI1997" s="2689" t="s">
        <v>12316</v>
      </c>
    </row>
    <row r="1998" spans="1:139" ht="29">
      <c r="A1998" s="532"/>
      <c r="AR1998" s="2513"/>
      <c r="CT1998" s="531"/>
      <c r="EI1998" s="2689" t="s">
        <v>12317</v>
      </c>
    </row>
    <row r="1999" spans="1:139" ht="29">
      <c r="A1999" s="532"/>
      <c r="AR1999" s="2513"/>
      <c r="CT1999" s="531"/>
      <c r="EI1999" s="2689" t="s">
        <v>12318</v>
      </c>
    </row>
    <row r="2000" spans="1:139" ht="29">
      <c r="A2000" s="532"/>
      <c r="AR2000" s="2513"/>
      <c r="CT2000" s="531"/>
      <c r="EI2000" s="2689" t="s">
        <v>12319</v>
      </c>
    </row>
    <row r="2001" spans="1:139">
      <c r="A2001" s="532"/>
      <c r="AR2001" s="2513"/>
      <c r="CT2001" s="531"/>
      <c r="EI2001" s="2689" t="s">
        <v>12320</v>
      </c>
    </row>
    <row r="2002" spans="1:139" ht="29">
      <c r="A2002" s="532"/>
      <c r="AR2002" s="2513"/>
      <c r="CT2002" s="531"/>
      <c r="EI2002" s="2689" t="s">
        <v>12321</v>
      </c>
    </row>
    <row r="2003" spans="1:139" ht="29">
      <c r="A2003" s="532"/>
      <c r="AR2003" s="2513"/>
      <c r="CT2003" s="531"/>
      <c r="EI2003" s="2689" t="s">
        <v>12322</v>
      </c>
    </row>
    <row r="2004" spans="1:139" ht="58">
      <c r="A2004" s="532"/>
      <c r="AR2004" s="2513"/>
      <c r="CT2004" s="531"/>
      <c r="EI2004" s="2689" t="s">
        <v>12323</v>
      </c>
    </row>
    <row r="2005" spans="1:139" ht="58">
      <c r="A2005" s="532"/>
      <c r="AR2005" s="2513"/>
      <c r="CT2005" s="531"/>
      <c r="EI2005" s="2689" t="s">
        <v>12324</v>
      </c>
    </row>
    <row r="2006" spans="1:139" ht="29">
      <c r="A2006" s="532"/>
      <c r="AR2006" s="2513"/>
      <c r="CT2006" s="531"/>
      <c r="EI2006" s="2689" t="s">
        <v>12325</v>
      </c>
    </row>
    <row r="2007" spans="1:139" ht="29">
      <c r="A2007" s="532"/>
      <c r="AR2007" s="2513"/>
      <c r="CT2007" s="531"/>
      <c r="EI2007" s="2689" t="s">
        <v>12326</v>
      </c>
    </row>
    <row r="2008" spans="1:139" ht="29">
      <c r="A2008" s="532"/>
      <c r="AR2008" s="2513"/>
      <c r="CT2008" s="531"/>
      <c r="EI2008" s="2689" t="s">
        <v>12327</v>
      </c>
    </row>
    <row r="2009" spans="1:139" ht="43.5">
      <c r="A2009" s="532"/>
      <c r="AR2009" s="2513"/>
      <c r="CT2009" s="531"/>
      <c r="EI2009" s="2689" t="s">
        <v>12328</v>
      </c>
    </row>
    <row r="2010" spans="1:139" ht="29">
      <c r="A2010" s="532"/>
      <c r="AR2010" s="2513"/>
      <c r="CT2010" s="531"/>
      <c r="EI2010" s="2689" t="s">
        <v>12329</v>
      </c>
    </row>
    <row r="2011" spans="1:139" ht="58">
      <c r="A2011" s="532"/>
      <c r="AR2011" s="2513"/>
      <c r="CT2011" s="531"/>
      <c r="EI2011" s="2689" t="s">
        <v>12330</v>
      </c>
    </row>
    <row r="2012" spans="1:139" ht="29">
      <c r="A2012" s="532"/>
      <c r="AR2012" s="2513"/>
      <c r="CT2012" s="531"/>
      <c r="EI2012" s="2689" t="s">
        <v>12331</v>
      </c>
    </row>
    <row r="2013" spans="1:139" ht="43.5">
      <c r="A2013" s="532"/>
      <c r="AR2013" s="2513"/>
      <c r="CT2013" s="531"/>
      <c r="EI2013" s="2689" t="s">
        <v>12332</v>
      </c>
    </row>
    <row r="2014" spans="1:139" ht="29">
      <c r="A2014" s="532"/>
      <c r="AR2014" s="2513"/>
      <c r="CT2014" s="531"/>
      <c r="EI2014" s="2689" t="s">
        <v>12333</v>
      </c>
    </row>
    <row r="2015" spans="1:139" ht="43.5">
      <c r="A2015" s="532"/>
      <c r="AR2015" s="2513"/>
      <c r="CT2015" s="531"/>
      <c r="EI2015" s="2689" t="s">
        <v>12334</v>
      </c>
    </row>
    <row r="2016" spans="1:139" ht="72.5">
      <c r="A2016" s="532"/>
      <c r="AR2016" s="2513"/>
      <c r="CT2016" s="531"/>
      <c r="EI2016" s="2689" t="s">
        <v>12335</v>
      </c>
    </row>
    <row r="2017" spans="1:139" ht="43.5">
      <c r="A2017" s="532"/>
      <c r="AR2017" s="2513"/>
      <c r="CT2017" s="531"/>
      <c r="EI2017" s="2689" t="s">
        <v>12336</v>
      </c>
    </row>
    <row r="2018" spans="1:139" ht="58">
      <c r="A2018" s="532"/>
      <c r="AR2018" s="2513"/>
      <c r="CT2018" s="531"/>
      <c r="EI2018" s="2689" t="s">
        <v>12337</v>
      </c>
    </row>
    <row r="2019" spans="1:139" ht="29">
      <c r="A2019" s="532"/>
      <c r="AR2019" s="2513"/>
      <c r="CT2019" s="531"/>
      <c r="EI2019" s="2689" t="s">
        <v>12338</v>
      </c>
    </row>
    <row r="2020" spans="1:139" ht="29">
      <c r="A2020" s="532"/>
      <c r="AR2020" s="2513"/>
      <c r="CT2020" s="531"/>
      <c r="EI2020" s="2689" t="s">
        <v>12339</v>
      </c>
    </row>
    <row r="2021" spans="1:139" ht="29">
      <c r="A2021" s="532"/>
      <c r="AR2021" s="2513"/>
      <c r="CT2021" s="531"/>
      <c r="EI2021" s="2689" t="s">
        <v>12340</v>
      </c>
    </row>
    <row r="2022" spans="1:139">
      <c r="A2022" s="532"/>
      <c r="AR2022" s="2513"/>
      <c r="CT2022" s="531"/>
      <c r="EI2022" s="2689" t="s">
        <v>12341</v>
      </c>
    </row>
    <row r="2023" spans="1:139">
      <c r="A2023" s="532"/>
      <c r="AR2023" s="2513"/>
      <c r="CT2023" s="531"/>
      <c r="EI2023" s="2689" t="s">
        <v>12342</v>
      </c>
    </row>
    <row r="2024" spans="1:139" ht="43.5">
      <c r="A2024" s="532"/>
      <c r="AR2024" s="2513"/>
      <c r="CT2024" s="531"/>
      <c r="EI2024" s="2689" t="s">
        <v>12343</v>
      </c>
    </row>
    <row r="2025" spans="1:139" ht="29">
      <c r="A2025" s="532"/>
      <c r="AR2025" s="2513"/>
      <c r="CT2025" s="531"/>
      <c r="EI2025" s="2689" t="s">
        <v>12344</v>
      </c>
    </row>
    <row r="2026" spans="1:139" ht="72.5">
      <c r="A2026" s="532"/>
      <c r="AR2026" s="2513"/>
      <c r="CT2026" s="531"/>
      <c r="EI2026" s="2689" t="s">
        <v>12345</v>
      </c>
    </row>
    <row r="2027" spans="1:139" ht="72.5">
      <c r="A2027" s="532"/>
      <c r="AR2027" s="2513"/>
      <c r="CT2027" s="531"/>
      <c r="EI2027" s="2689" t="s">
        <v>12346</v>
      </c>
    </row>
    <row r="2028" spans="1:139" ht="29">
      <c r="A2028" s="532"/>
      <c r="AR2028" s="2513"/>
      <c r="CT2028" s="531"/>
      <c r="EI2028" s="2689" t="s">
        <v>12347</v>
      </c>
    </row>
    <row r="2029" spans="1:139" ht="29">
      <c r="A2029" s="532"/>
      <c r="AR2029" s="2513"/>
      <c r="CT2029" s="531"/>
      <c r="EI2029" s="2689" t="s">
        <v>12348</v>
      </c>
    </row>
    <row r="2030" spans="1:139" ht="29">
      <c r="A2030" s="532"/>
      <c r="AR2030" s="2513"/>
      <c r="CT2030" s="531"/>
      <c r="EI2030" s="2689" t="s">
        <v>12349</v>
      </c>
    </row>
    <row r="2031" spans="1:139" ht="72.5">
      <c r="A2031" s="532"/>
      <c r="AR2031" s="2513"/>
      <c r="CT2031" s="531"/>
      <c r="EI2031" s="2689" t="s">
        <v>12350</v>
      </c>
    </row>
    <row r="2032" spans="1:139">
      <c r="A2032" s="532"/>
      <c r="AR2032" s="2513"/>
      <c r="CT2032" s="531"/>
      <c r="EI2032" s="2689" t="s">
        <v>12351</v>
      </c>
    </row>
    <row r="2033" spans="1:139" ht="58">
      <c r="A2033" s="532"/>
      <c r="AR2033" s="2513"/>
      <c r="CT2033" s="531"/>
      <c r="EI2033" s="2689" t="s">
        <v>12352</v>
      </c>
    </row>
    <row r="2034" spans="1:139">
      <c r="A2034" s="532"/>
      <c r="AR2034" s="2513"/>
      <c r="CT2034" s="531"/>
      <c r="EI2034" s="2689" t="s">
        <v>12353</v>
      </c>
    </row>
    <row r="2035" spans="1:139">
      <c r="A2035" s="532"/>
      <c r="AR2035" s="2513"/>
      <c r="CT2035" s="531"/>
      <c r="EI2035" s="2689" t="s">
        <v>12354</v>
      </c>
    </row>
    <row r="2036" spans="1:139">
      <c r="A2036" s="532"/>
      <c r="AR2036" s="2513"/>
      <c r="CT2036" s="531"/>
      <c r="EI2036" s="2689" t="s">
        <v>12355</v>
      </c>
    </row>
    <row r="2037" spans="1:139">
      <c r="A2037" s="532"/>
      <c r="AR2037" s="2513"/>
      <c r="CT2037" s="531"/>
      <c r="EI2037" s="2689" t="s">
        <v>12356</v>
      </c>
    </row>
    <row r="2038" spans="1:139">
      <c r="A2038" s="532"/>
      <c r="AR2038" s="2513"/>
      <c r="CT2038" s="531"/>
      <c r="EI2038" s="2689" t="s">
        <v>12357</v>
      </c>
    </row>
    <row r="2039" spans="1:139">
      <c r="A2039" s="532"/>
      <c r="AR2039" s="2513"/>
      <c r="CT2039" s="531"/>
      <c r="EI2039" s="2689" t="s">
        <v>12358</v>
      </c>
    </row>
    <row r="2040" spans="1:139" ht="58">
      <c r="A2040" s="532"/>
      <c r="AR2040" s="2513"/>
      <c r="CT2040" s="531"/>
      <c r="EI2040" s="2689" t="s">
        <v>12359</v>
      </c>
    </row>
    <row r="2041" spans="1:139" ht="29">
      <c r="A2041" s="532"/>
      <c r="AR2041" s="2513"/>
      <c r="CT2041" s="531"/>
      <c r="EI2041" s="2689" t="s">
        <v>12360</v>
      </c>
    </row>
    <row r="2042" spans="1:139">
      <c r="A2042" s="532"/>
      <c r="AR2042" s="2513"/>
      <c r="CT2042" s="531"/>
      <c r="EI2042" s="2689" t="s">
        <v>12361</v>
      </c>
    </row>
    <row r="2043" spans="1:139" ht="58">
      <c r="A2043" s="532"/>
      <c r="AR2043" s="2513"/>
      <c r="CT2043" s="531"/>
      <c r="EI2043" s="2689" t="s">
        <v>12362</v>
      </c>
    </row>
    <row r="2044" spans="1:139" ht="43.5">
      <c r="A2044" s="532"/>
      <c r="AR2044" s="2513"/>
      <c r="CT2044" s="531"/>
      <c r="EI2044" s="2689" t="s">
        <v>12363</v>
      </c>
    </row>
    <row r="2045" spans="1:139" ht="43.5">
      <c r="A2045" s="532"/>
      <c r="AR2045" s="2513"/>
      <c r="CT2045" s="531"/>
      <c r="EI2045" s="2689" t="s">
        <v>12364</v>
      </c>
    </row>
    <row r="2046" spans="1:139" ht="43.5">
      <c r="A2046" s="532"/>
      <c r="AR2046" s="2513"/>
      <c r="CT2046" s="531"/>
      <c r="EI2046" s="2689" t="s">
        <v>12365</v>
      </c>
    </row>
    <row r="2047" spans="1:139" ht="43.5">
      <c r="A2047" s="532"/>
      <c r="AR2047" s="2513"/>
      <c r="CT2047" s="531"/>
      <c r="EI2047" s="2689" t="s">
        <v>12366</v>
      </c>
    </row>
    <row r="2048" spans="1:139">
      <c r="A2048" s="532"/>
      <c r="AR2048" s="2513"/>
      <c r="CT2048" s="531"/>
      <c r="EI2048" s="2689" t="s">
        <v>12367</v>
      </c>
    </row>
    <row r="2049" spans="1:139">
      <c r="A2049" s="532"/>
      <c r="AR2049" s="2513"/>
      <c r="CT2049" s="531"/>
      <c r="EI2049" s="2689" t="s">
        <v>12368</v>
      </c>
    </row>
    <row r="2050" spans="1:139" ht="29">
      <c r="A2050" s="532"/>
      <c r="AR2050" s="2513"/>
      <c r="CT2050" s="531"/>
      <c r="EI2050" s="2689" t="s">
        <v>12369</v>
      </c>
    </row>
    <row r="2051" spans="1:139">
      <c r="A2051" s="532"/>
      <c r="AR2051" s="2513"/>
      <c r="CT2051" s="531"/>
      <c r="EI2051" s="2689" t="s">
        <v>12370</v>
      </c>
    </row>
    <row r="2052" spans="1:139" ht="29">
      <c r="A2052" s="532"/>
      <c r="AR2052" s="2513"/>
      <c r="CT2052" s="531"/>
      <c r="EI2052" s="2689" t="s">
        <v>12371</v>
      </c>
    </row>
    <row r="2053" spans="1:139" ht="58">
      <c r="A2053" s="532"/>
      <c r="AR2053" s="2513"/>
      <c r="CT2053" s="531"/>
      <c r="EI2053" s="2689" t="s">
        <v>12372</v>
      </c>
    </row>
    <row r="2054" spans="1:139" ht="29">
      <c r="A2054" s="532"/>
      <c r="AR2054" s="2513"/>
      <c r="CT2054" s="531"/>
      <c r="EI2054" s="2689" t="s">
        <v>12373</v>
      </c>
    </row>
    <row r="2055" spans="1:139" ht="87">
      <c r="A2055" s="532"/>
      <c r="AR2055" s="2513"/>
      <c r="CT2055" s="531"/>
      <c r="EI2055" s="2689" t="s">
        <v>12374</v>
      </c>
    </row>
    <row r="2056" spans="1:139" ht="72.5">
      <c r="A2056" s="532"/>
      <c r="AR2056" s="2513"/>
      <c r="CT2056" s="531"/>
      <c r="EI2056" s="2689" t="s">
        <v>12375</v>
      </c>
    </row>
    <row r="2057" spans="1:139" ht="58">
      <c r="A2057" s="532"/>
      <c r="AR2057" s="2513"/>
      <c r="CT2057" s="531"/>
      <c r="EI2057" s="2689" t="s">
        <v>12376</v>
      </c>
    </row>
    <row r="2058" spans="1:139" ht="43.5">
      <c r="A2058" s="532"/>
      <c r="AR2058" s="2513"/>
      <c r="CT2058" s="531"/>
      <c r="EI2058" s="2689" t="s">
        <v>12377</v>
      </c>
    </row>
    <row r="2059" spans="1:139" ht="29">
      <c r="A2059" s="532"/>
      <c r="AR2059" s="2513"/>
      <c r="CT2059" s="531"/>
      <c r="EI2059" s="2689" t="s">
        <v>12378</v>
      </c>
    </row>
    <row r="2060" spans="1:139" ht="72.5">
      <c r="A2060" s="532"/>
      <c r="AR2060" s="2513"/>
      <c r="CT2060" s="531"/>
      <c r="EI2060" s="2689" t="s">
        <v>12379</v>
      </c>
    </row>
    <row r="2061" spans="1:139" ht="43.5">
      <c r="A2061" s="532"/>
      <c r="AR2061" s="2513"/>
      <c r="CT2061" s="531"/>
      <c r="EI2061" s="2689" t="s">
        <v>12380</v>
      </c>
    </row>
    <row r="2062" spans="1:139" ht="72.5">
      <c r="A2062" s="532"/>
      <c r="AR2062" s="2513"/>
      <c r="CT2062" s="531"/>
      <c r="EI2062" s="2689" t="s">
        <v>12381</v>
      </c>
    </row>
    <row r="2063" spans="1:139" ht="58">
      <c r="A2063" s="532"/>
      <c r="AR2063" s="2513"/>
      <c r="CT2063" s="531"/>
      <c r="EI2063" s="2689" t="s">
        <v>12382</v>
      </c>
    </row>
    <row r="2064" spans="1:139">
      <c r="A2064" s="532"/>
      <c r="AR2064" s="2513"/>
      <c r="CT2064" s="531"/>
      <c r="EI2064" s="2689" t="s">
        <v>12383</v>
      </c>
    </row>
    <row r="2065" spans="1:139" ht="72.5">
      <c r="A2065" s="532"/>
      <c r="AR2065" s="2513"/>
      <c r="CT2065" s="531"/>
      <c r="EI2065" s="2689" t="s">
        <v>12384</v>
      </c>
    </row>
    <row r="2066" spans="1:139" ht="43.5">
      <c r="A2066" s="532"/>
      <c r="AR2066" s="2513"/>
      <c r="CT2066" s="531"/>
      <c r="EI2066" s="2689" t="s">
        <v>12385</v>
      </c>
    </row>
    <row r="2067" spans="1:139" ht="43.5">
      <c r="A2067" s="532"/>
      <c r="AR2067" s="2513"/>
      <c r="CT2067" s="531"/>
      <c r="EI2067" s="2689" t="s">
        <v>12386</v>
      </c>
    </row>
    <row r="2068" spans="1:139" ht="87">
      <c r="A2068" s="532"/>
      <c r="AR2068" s="2513"/>
      <c r="CT2068" s="531"/>
      <c r="EI2068" s="2689" t="s">
        <v>12387</v>
      </c>
    </row>
    <row r="2069" spans="1:139" ht="43.5">
      <c r="A2069" s="532"/>
      <c r="AR2069" s="2513"/>
      <c r="CT2069" s="531"/>
      <c r="EI2069" s="2689" t="s">
        <v>12388</v>
      </c>
    </row>
    <row r="2070" spans="1:139" ht="43.5">
      <c r="A2070" s="532"/>
      <c r="AR2070" s="2513"/>
      <c r="CT2070" s="531"/>
      <c r="EI2070" s="2689" t="s">
        <v>12389</v>
      </c>
    </row>
    <row r="2071" spans="1:139" ht="72.5">
      <c r="A2071" s="532"/>
      <c r="AR2071" s="2513"/>
      <c r="CT2071" s="531"/>
      <c r="EI2071" s="2689" t="s">
        <v>12390</v>
      </c>
    </row>
    <row r="2072" spans="1:139" ht="87">
      <c r="A2072" s="532"/>
      <c r="AR2072" s="2513"/>
      <c r="CT2072" s="531"/>
      <c r="EI2072" s="2689" t="s">
        <v>12391</v>
      </c>
    </row>
    <row r="2073" spans="1:139" ht="43.5">
      <c r="A2073" s="532"/>
      <c r="AR2073" s="2513"/>
      <c r="CT2073" s="531"/>
      <c r="EI2073" s="2689" t="s">
        <v>12392</v>
      </c>
    </row>
    <row r="2074" spans="1:139" ht="29">
      <c r="A2074" s="532"/>
      <c r="AR2074" s="2513"/>
      <c r="CT2074" s="531"/>
      <c r="EI2074" s="2689" t="s">
        <v>12393</v>
      </c>
    </row>
    <row r="2075" spans="1:139" ht="43.5">
      <c r="A2075" s="532"/>
      <c r="AR2075" s="2513"/>
      <c r="CT2075" s="531"/>
      <c r="EI2075" s="2689" t="s">
        <v>12394</v>
      </c>
    </row>
    <row r="2076" spans="1:139" ht="72.5">
      <c r="A2076" s="532"/>
      <c r="AR2076" s="2513"/>
      <c r="CT2076" s="531"/>
      <c r="EI2076" s="2689" t="s">
        <v>12395</v>
      </c>
    </row>
    <row r="2077" spans="1:139" ht="72.5">
      <c r="A2077" s="532"/>
      <c r="AR2077" s="2513"/>
      <c r="CT2077" s="531"/>
      <c r="EI2077" s="2689" t="s">
        <v>12396</v>
      </c>
    </row>
    <row r="2078" spans="1:139" ht="29">
      <c r="A2078" s="532"/>
      <c r="AR2078" s="2513"/>
      <c r="CT2078" s="531"/>
      <c r="EI2078" s="2689" t="s">
        <v>12397</v>
      </c>
    </row>
    <row r="2079" spans="1:139" ht="29">
      <c r="A2079" s="532"/>
      <c r="AR2079" s="2513"/>
      <c r="CT2079" s="531"/>
      <c r="EI2079" s="2689" t="s">
        <v>12398</v>
      </c>
    </row>
    <row r="2080" spans="1:139">
      <c r="A2080" s="532"/>
      <c r="AR2080" s="2513"/>
      <c r="CT2080" s="531"/>
      <c r="EI2080" s="2689" t="s">
        <v>12399</v>
      </c>
    </row>
    <row r="2081" spans="1:139" ht="29">
      <c r="A2081" s="532"/>
      <c r="AR2081" s="2513"/>
      <c r="CT2081" s="531"/>
      <c r="EI2081" s="2689" t="s">
        <v>12400</v>
      </c>
    </row>
    <row r="2082" spans="1:139" ht="58">
      <c r="A2082" s="532"/>
      <c r="AR2082" s="2513"/>
      <c r="CT2082" s="531"/>
      <c r="EI2082" s="2689" t="s">
        <v>12401</v>
      </c>
    </row>
    <row r="2083" spans="1:139" ht="58">
      <c r="A2083" s="532"/>
      <c r="AR2083" s="2513"/>
      <c r="CT2083" s="531"/>
      <c r="EI2083" s="2689" t="s">
        <v>12402</v>
      </c>
    </row>
    <row r="2084" spans="1:139" ht="58">
      <c r="A2084" s="532"/>
      <c r="AR2084" s="2513"/>
      <c r="CT2084" s="531"/>
      <c r="EI2084" s="2689" t="s">
        <v>12403</v>
      </c>
    </row>
    <row r="2085" spans="1:139" ht="43.5">
      <c r="A2085" s="532"/>
      <c r="AR2085" s="2513"/>
      <c r="CT2085" s="531"/>
      <c r="EI2085" s="2689" t="s">
        <v>12404</v>
      </c>
    </row>
    <row r="2086" spans="1:139" ht="29">
      <c r="A2086" s="532"/>
      <c r="AR2086" s="2513"/>
      <c r="CT2086" s="531"/>
      <c r="EI2086" s="2689" t="s">
        <v>12405</v>
      </c>
    </row>
    <row r="2087" spans="1:139" ht="43.5">
      <c r="A2087" s="532"/>
      <c r="AR2087" s="2513"/>
      <c r="CT2087" s="531"/>
      <c r="EI2087" s="2689" t="s">
        <v>12406</v>
      </c>
    </row>
    <row r="2088" spans="1:139" ht="72.5">
      <c r="A2088" s="532"/>
      <c r="AR2088" s="2513"/>
      <c r="CT2088" s="531"/>
      <c r="EI2088" s="2689" t="s">
        <v>12407</v>
      </c>
    </row>
    <row r="2089" spans="1:139">
      <c r="A2089" s="532"/>
      <c r="AR2089" s="2513"/>
      <c r="CT2089" s="531"/>
      <c r="EI2089" s="2689" t="s">
        <v>12408</v>
      </c>
    </row>
    <row r="2090" spans="1:139" ht="29">
      <c r="A2090" s="532"/>
      <c r="AR2090" s="2513"/>
      <c r="CT2090" s="531"/>
      <c r="EI2090" s="2689" t="s">
        <v>12409</v>
      </c>
    </row>
    <row r="2091" spans="1:139" ht="58">
      <c r="A2091" s="532"/>
      <c r="AR2091" s="2513"/>
      <c r="CT2091" s="531"/>
      <c r="EI2091" s="2689" t="s">
        <v>12410</v>
      </c>
    </row>
    <row r="2092" spans="1:139" ht="43.5">
      <c r="A2092" s="532"/>
      <c r="AR2092" s="2513"/>
      <c r="CT2092" s="531"/>
      <c r="EI2092" s="2689" t="s">
        <v>12411</v>
      </c>
    </row>
    <row r="2093" spans="1:139" ht="72.5">
      <c r="A2093" s="532"/>
      <c r="AR2093" s="2513"/>
      <c r="CT2093" s="531"/>
      <c r="EI2093" s="2689" t="s">
        <v>12412</v>
      </c>
    </row>
    <row r="2094" spans="1:139" ht="72.5">
      <c r="A2094" s="532"/>
      <c r="AR2094" s="2513"/>
      <c r="CT2094" s="531"/>
      <c r="EI2094" s="2689" t="s">
        <v>12413</v>
      </c>
    </row>
    <row r="2095" spans="1:139" ht="87">
      <c r="A2095" s="532"/>
      <c r="AR2095" s="2513"/>
      <c r="CT2095" s="531"/>
      <c r="EI2095" s="2689" t="s">
        <v>12414</v>
      </c>
    </row>
    <row r="2096" spans="1:139" ht="145">
      <c r="A2096" s="532"/>
      <c r="AR2096" s="2513"/>
      <c r="CT2096" s="531"/>
      <c r="EI2096" s="2689" t="s">
        <v>12415</v>
      </c>
    </row>
    <row r="2097" spans="1:139" ht="43.5">
      <c r="A2097" s="532"/>
      <c r="AR2097" s="2513"/>
      <c r="CT2097" s="531"/>
      <c r="EI2097" s="2689" t="s">
        <v>12416</v>
      </c>
    </row>
    <row r="2098" spans="1:139" ht="58">
      <c r="A2098" s="532"/>
      <c r="AR2098" s="2513"/>
      <c r="CT2098" s="531"/>
      <c r="EI2098" s="2689" t="s">
        <v>12417</v>
      </c>
    </row>
    <row r="2099" spans="1:139" ht="29">
      <c r="A2099" s="532"/>
      <c r="AR2099" s="2513"/>
      <c r="CT2099" s="531"/>
      <c r="EI2099" s="2689" t="s">
        <v>12418</v>
      </c>
    </row>
    <row r="2100" spans="1:139">
      <c r="A2100" s="532"/>
      <c r="AR2100" s="2513"/>
      <c r="CT2100" s="531"/>
      <c r="EI2100" s="2689" t="s">
        <v>12419</v>
      </c>
    </row>
    <row r="2101" spans="1:139" ht="29">
      <c r="A2101" s="532"/>
      <c r="AR2101" s="2513"/>
      <c r="CT2101" s="531"/>
      <c r="EI2101" s="2689" t="s">
        <v>12420</v>
      </c>
    </row>
    <row r="2102" spans="1:139" ht="159.5">
      <c r="A2102" s="532"/>
      <c r="AR2102" s="2513"/>
      <c r="CT2102" s="531"/>
      <c r="EI2102" s="2689" t="s">
        <v>12421</v>
      </c>
    </row>
    <row r="2103" spans="1:139" ht="203">
      <c r="A2103" s="532"/>
      <c r="AR2103" s="2513"/>
      <c r="CT2103" s="531"/>
      <c r="EI2103" s="2689" t="s">
        <v>12422</v>
      </c>
    </row>
    <row r="2104" spans="1:139" ht="72.5">
      <c r="A2104" s="532"/>
      <c r="AR2104" s="2513"/>
      <c r="CT2104" s="531"/>
      <c r="EI2104" s="2689" t="s">
        <v>12423</v>
      </c>
    </row>
    <row r="2105" spans="1:139" ht="101.5">
      <c r="A2105" s="532"/>
      <c r="AR2105" s="2513"/>
      <c r="CT2105" s="531"/>
      <c r="EI2105" s="2689" t="s">
        <v>12424</v>
      </c>
    </row>
    <row r="2106" spans="1:139" ht="87">
      <c r="A2106" s="532"/>
      <c r="AR2106" s="2513"/>
      <c r="CT2106" s="531"/>
      <c r="EI2106" s="2689" t="s">
        <v>12425</v>
      </c>
    </row>
    <row r="2107" spans="1:139" ht="43.5">
      <c r="A2107" s="532"/>
      <c r="AR2107" s="2513"/>
      <c r="CT2107" s="531"/>
      <c r="EI2107" s="2689" t="s">
        <v>12426</v>
      </c>
    </row>
    <row r="2108" spans="1:139" ht="87">
      <c r="A2108" s="532"/>
      <c r="AR2108" s="2513"/>
      <c r="CT2108" s="531"/>
      <c r="EI2108" s="2689" t="s">
        <v>12427</v>
      </c>
    </row>
    <row r="2109" spans="1:139" ht="116">
      <c r="A2109" s="532"/>
      <c r="AR2109" s="2513"/>
      <c r="CT2109" s="531"/>
      <c r="EI2109" s="2689" t="s">
        <v>12428</v>
      </c>
    </row>
    <row r="2110" spans="1:139" ht="87">
      <c r="A2110" s="532"/>
      <c r="AR2110" s="2513"/>
      <c r="CT2110" s="531"/>
      <c r="EI2110" s="2689" t="s">
        <v>12429</v>
      </c>
    </row>
    <row r="2111" spans="1:139" ht="72.5">
      <c r="A2111" s="532"/>
      <c r="AR2111" s="2513"/>
      <c r="CT2111" s="531"/>
      <c r="EI2111" s="2689" t="s">
        <v>12430</v>
      </c>
    </row>
    <row r="2112" spans="1:139" ht="87">
      <c r="A2112" s="532"/>
      <c r="AR2112" s="2513"/>
      <c r="CT2112" s="531"/>
      <c r="EI2112" s="2689" t="s">
        <v>12431</v>
      </c>
    </row>
    <row r="2113" spans="1:139" ht="29">
      <c r="A2113" s="532"/>
      <c r="AR2113" s="2513"/>
      <c r="CT2113" s="531"/>
      <c r="EI2113" s="2689" t="s">
        <v>12432</v>
      </c>
    </row>
    <row r="2114" spans="1:139" ht="29">
      <c r="A2114" s="532"/>
      <c r="AR2114" s="2513"/>
      <c r="CT2114" s="531"/>
      <c r="EI2114" s="2689" t="s">
        <v>12433</v>
      </c>
    </row>
    <row r="2115" spans="1:139" ht="58">
      <c r="A2115" s="532"/>
      <c r="AR2115" s="2513"/>
      <c r="CT2115" s="531"/>
      <c r="EI2115" s="2689" t="s">
        <v>12434</v>
      </c>
    </row>
    <row r="2116" spans="1:139" ht="43.5">
      <c r="A2116" s="532"/>
      <c r="AR2116" s="2513"/>
      <c r="CT2116" s="531"/>
      <c r="EI2116" s="2689" t="s">
        <v>12435</v>
      </c>
    </row>
    <row r="2117" spans="1:139" ht="29">
      <c r="A2117" s="532"/>
      <c r="AR2117" s="2513"/>
      <c r="CT2117" s="531"/>
      <c r="EI2117" s="2689" t="s">
        <v>12436</v>
      </c>
    </row>
    <row r="2118" spans="1:139" ht="72.5">
      <c r="A2118" s="532"/>
      <c r="AR2118" s="2513"/>
      <c r="CT2118" s="531"/>
      <c r="EI2118" s="2689" t="s">
        <v>12437</v>
      </c>
    </row>
    <row r="2119" spans="1:139" ht="87">
      <c r="A2119" s="532"/>
      <c r="AR2119" s="2513"/>
      <c r="CT2119" s="531"/>
      <c r="EI2119" s="2689" t="s">
        <v>12438</v>
      </c>
    </row>
    <row r="2120" spans="1:139" ht="72.5">
      <c r="A2120" s="532"/>
      <c r="AR2120" s="2513"/>
      <c r="CT2120" s="531"/>
      <c r="EI2120" s="2689" t="s">
        <v>12439</v>
      </c>
    </row>
    <row r="2121" spans="1:139" ht="87">
      <c r="A2121" s="532"/>
      <c r="AR2121" s="2513"/>
      <c r="CT2121" s="531"/>
      <c r="EI2121" s="2689" t="s">
        <v>12440</v>
      </c>
    </row>
    <row r="2122" spans="1:139" ht="29">
      <c r="A2122" s="532"/>
      <c r="AR2122" s="2513"/>
      <c r="CT2122" s="531"/>
      <c r="EI2122" s="2689" t="s">
        <v>12441</v>
      </c>
    </row>
    <row r="2123" spans="1:139" ht="58">
      <c r="A2123" s="532"/>
      <c r="AR2123" s="2513"/>
      <c r="CT2123" s="531"/>
      <c r="EI2123" s="2689" t="s">
        <v>12442</v>
      </c>
    </row>
    <row r="2124" spans="1:139" ht="130.5">
      <c r="A2124" s="532"/>
      <c r="AR2124" s="2513"/>
      <c r="CT2124" s="531"/>
      <c r="EI2124" s="2689" t="s">
        <v>12443</v>
      </c>
    </row>
    <row r="2125" spans="1:139" ht="58">
      <c r="A2125" s="532"/>
      <c r="AR2125" s="2513"/>
      <c r="CT2125" s="531"/>
      <c r="EI2125" s="2689" t="s">
        <v>12444</v>
      </c>
    </row>
    <row r="2126" spans="1:139" ht="58">
      <c r="A2126" s="532"/>
      <c r="AR2126" s="2513"/>
      <c r="CT2126" s="531"/>
      <c r="EI2126" s="2689" t="s">
        <v>12445</v>
      </c>
    </row>
    <row r="2127" spans="1:139" ht="87">
      <c r="A2127" s="532"/>
      <c r="AR2127" s="2513"/>
      <c r="CT2127" s="531"/>
      <c r="EI2127" s="2689" t="s">
        <v>12446</v>
      </c>
    </row>
    <row r="2128" spans="1:139" ht="87">
      <c r="A2128" s="532"/>
      <c r="AR2128" s="2513"/>
      <c r="CT2128" s="531"/>
      <c r="EI2128" s="2689" t="s">
        <v>12447</v>
      </c>
    </row>
    <row r="2129" spans="1:139" ht="58">
      <c r="A2129" s="532"/>
      <c r="AR2129" s="2513"/>
      <c r="CT2129" s="531"/>
      <c r="EI2129" s="2689" t="s">
        <v>12448</v>
      </c>
    </row>
    <row r="2130" spans="1:139" ht="72.5">
      <c r="A2130" s="532"/>
      <c r="AR2130" s="2513"/>
      <c r="CT2130" s="531"/>
      <c r="EI2130" s="2689" t="s">
        <v>12449</v>
      </c>
    </row>
    <row r="2131" spans="1:139" ht="72.5">
      <c r="A2131" s="532"/>
      <c r="AR2131" s="2513"/>
      <c r="CT2131" s="531"/>
      <c r="EI2131" s="2689" t="s">
        <v>12450</v>
      </c>
    </row>
    <row r="2132" spans="1:139" ht="58">
      <c r="A2132" s="532"/>
      <c r="AR2132" s="2513"/>
      <c r="CT2132" s="531"/>
      <c r="EI2132" s="2689" t="s">
        <v>12451</v>
      </c>
    </row>
    <row r="2133" spans="1:139" ht="43.5">
      <c r="A2133" s="532"/>
      <c r="AR2133" s="2513"/>
      <c r="CT2133" s="531"/>
      <c r="EI2133" s="2689" t="s">
        <v>12452</v>
      </c>
    </row>
    <row r="2134" spans="1:139" ht="58">
      <c r="A2134" s="532"/>
      <c r="AR2134" s="2513"/>
      <c r="CT2134" s="531"/>
      <c r="EI2134" s="2689" t="s">
        <v>12453</v>
      </c>
    </row>
    <row r="2135" spans="1:139" ht="58">
      <c r="A2135" s="532"/>
      <c r="AR2135" s="2513"/>
      <c r="CT2135" s="531"/>
      <c r="EI2135" s="2689" t="s">
        <v>12454</v>
      </c>
    </row>
    <row r="2136" spans="1:139" ht="72.5">
      <c r="A2136" s="532"/>
      <c r="AR2136" s="2513"/>
      <c r="CT2136" s="531"/>
      <c r="EI2136" s="2689" t="s">
        <v>12455</v>
      </c>
    </row>
    <row r="2137" spans="1:139" ht="72.5">
      <c r="A2137" s="532"/>
      <c r="AR2137" s="2513"/>
      <c r="CT2137" s="531"/>
      <c r="EI2137" s="2689" t="s">
        <v>12456</v>
      </c>
    </row>
    <row r="2138" spans="1:139" ht="58">
      <c r="A2138" s="532"/>
      <c r="AR2138" s="2513"/>
      <c r="CT2138" s="531"/>
      <c r="EI2138" s="2689" t="s">
        <v>12457</v>
      </c>
    </row>
    <row r="2139" spans="1:139" ht="43.5">
      <c r="A2139" s="532"/>
      <c r="AR2139" s="2513"/>
      <c r="CT2139" s="531"/>
      <c r="EI2139" s="2689" t="s">
        <v>12458</v>
      </c>
    </row>
    <row r="2140" spans="1:139" ht="43.5">
      <c r="A2140" s="532"/>
      <c r="AR2140" s="2513"/>
      <c r="CT2140" s="531"/>
      <c r="EI2140" s="2689" t="s">
        <v>12459</v>
      </c>
    </row>
    <row r="2141" spans="1:139" ht="43.5">
      <c r="A2141" s="532"/>
      <c r="AR2141" s="2513"/>
      <c r="CT2141" s="531"/>
      <c r="EI2141" s="2689" t="s">
        <v>12460</v>
      </c>
    </row>
    <row r="2142" spans="1:139" ht="43.5">
      <c r="A2142" s="532"/>
      <c r="AR2142" s="2513"/>
      <c r="CT2142" s="531"/>
      <c r="EI2142" s="2689" t="s">
        <v>12461</v>
      </c>
    </row>
    <row r="2143" spans="1:139" ht="29">
      <c r="A2143" s="532"/>
      <c r="AR2143" s="2513"/>
      <c r="CT2143" s="531"/>
      <c r="EI2143" s="2689" t="s">
        <v>12462</v>
      </c>
    </row>
    <row r="2144" spans="1:139" ht="43.5">
      <c r="A2144" s="532"/>
      <c r="AR2144" s="2513"/>
      <c r="CT2144" s="531"/>
      <c r="EI2144" s="2689" t="s">
        <v>12463</v>
      </c>
    </row>
    <row r="2145" spans="1:139" ht="43.5">
      <c r="A2145" s="532"/>
      <c r="AR2145" s="2513"/>
      <c r="CT2145" s="531"/>
      <c r="EI2145" s="2689" t="s">
        <v>12464</v>
      </c>
    </row>
    <row r="2146" spans="1:139" ht="43.5">
      <c r="A2146" s="532"/>
      <c r="AR2146" s="2513"/>
      <c r="CT2146" s="531"/>
      <c r="EI2146" s="2689" t="s">
        <v>12465</v>
      </c>
    </row>
    <row r="2147" spans="1:139" ht="43.5">
      <c r="A2147" s="532"/>
      <c r="AR2147" s="2513"/>
      <c r="CT2147" s="531"/>
      <c r="EI2147" s="2689" t="s">
        <v>12466</v>
      </c>
    </row>
    <row r="2148" spans="1:139" ht="43.5">
      <c r="A2148" s="532"/>
      <c r="AR2148" s="2513"/>
      <c r="CT2148" s="531"/>
      <c r="EI2148" s="2689" t="s">
        <v>12467</v>
      </c>
    </row>
    <row r="2149" spans="1:139" ht="43.5">
      <c r="A2149" s="532"/>
      <c r="AR2149" s="2513"/>
      <c r="CT2149" s="531"/>
      <c r="EI2149" s="2689" t="s">
        <v>12468</v>
      </c>
    </row>
    <row r="2150" spans="1:139" ht="58">
      <c r="A2150" s="532"/>
      <c r="AR2150" s="2513"/>
      <c r="CT2150" s="531"/>
      <c r="EI2150" s="2689" t="s">
        <v>12469</v>
      </c>
    </row>
    <row r="2151" spans="1:139" ht="72.5">
      <c r="A2151" s="532"/>
      <c r="AR2151" s="2513"/>
      <c r="CT2151" s="531"/>
      <c r="EI2151" s="2689" t="s">
        <v>12470</v>
      </c>
    </row>
    <row r="2152" spans="1:139" ht="72.5">
      <c r="A2152" s="532"/>
      <c r="AR2152" s="2513"/>
      <c r="CT2152" s="531"/>
      <c r="EI2152" s="2689" t="s">
        <v>12471</v>
      </c>
    </row>
    <row r="2153" spans="1:139" ht="130.5">
      <c r="A2153" s="532"/>
      <c r="AR2153" s="2513"/>
      <c r="CT2153" s="531"/>
      <c r="EI2153" s="2689" t="s">
        <v>12472</v>
      </c>
    </row>
    <row r="2154" spans="1:139" ht="29">
      <c r="A2154" s="532"/>
      <c r="AR2154" s="2513"/>
      <c r="CT2154" s="531"/>
      <c r="EI2154" s="2689" t="s">
        <v>12473</v>
      </c>
    </row>
    <row r="2155" spans="1:139" ht="116">
      <c r="A2155" s="532"/>
      <c r="AR2155" s="2513"/>
      <c r="CT2155" s="531"/>
      <c r="EI2155" s="2689" t="s">
        <v>12474</v>
      </c>
    </row>
    <row r="2156" spans="1:139" ht="130.5">
      <c r="A2156" s="532"/>
      <c r="AR2156" s="2513"/>
      <c r="CT2156" s="531"/>
      <c r="EI2156" s="2689" t="s">
        <v>12475</v>
      </c>
    </row>
    <row r="2157" spans="1:139" ht="130.5">
      <c r="A2157" s="532"/>
      <c r="AR2157" s="2513"/>
      <c r="CT2157" s="531"/>
      <c r="EI2157" s="2689" t="s">
        <v>12476</v>
      </c>
    </row>
    <row r="2158" spans="1:139" ht="58">
      <c r="A2158" s="532"/>
      <c r="AR2158" s="2513"/>
      <c r="CT2158" s="531"/>
      <c r="EI2158" s="2689" t="s">
        <v>12477</v>
      </c>
    </row>
    <row r="2159" spans="1:139" ht="58">
      <c r="A2159" s="532"/>
      <c r="AR2159" s="2513"/>
      <c r="CT2159" s="531"/>
      <c r="EI2159" s="2689" t="s">
        <v>12478</v>
      </c>
    </row>
    <row r="2160" spans="1:139" ht="116">
      <c r="A2160" s="532"/>
      <c r="AR2160" s="2513"/>
      <c r="CT2160" s="531"/>
      <c r="EI2160" s="2689" t="s">
        <v>12479</v>
      </c>
    </row>
    <row r="2161" spans="1:139" ht="159.5">
      <c r="A2161" s="532"/>
      <c r="AR2161" s="2513"/>
      <c r="CT2161" s="531"/>
      <c r="EI2161" s="2689" t="s">
        <v>12480</v>
      </c>
    </row>
    <row r="2162" spans="1:139" ht="174">
      <c r="A2162" s="532"/>
      <c r="AR2162" s="2513"/>
      <c r="CT2162" s="531"/>
      <c r="EI2162" s="2689" t="s">
        <v>12481</v>
      </c>
    </row>
    <row r="2163" spans="1:139" ht="145">
      <c r="A2163" s="532"/>
      <c r="AR2163" s="2513"/>
      <c r="CT2163" s="531"/>
      <c r="EI2163" s="2689" t="s">
        <v>12482</v>
      </c>
    </row>
    <row r="2164" spans="1:139" ht="58">
      <c r="A2164" s="532"/>
      <c r="AR2164" s="2513"/>
      <c r="CT2164" s="531"/>
      <c r="EI2164" s="2689" t="s">
        <v>12483</v>
      </c>
    </row>
    <row r="2165" spans="1:139" ht="72.5">
      <c r="A2165" s="532"/>
      <c r="AR2165" s="2513"/>
      <c r="CT2165" s="531"/>
      <c r="EI2165" s="2689" t="s">
        <v>12484</v>
      </c>
    </row>
    <row r="2166" spans="1:139" ht="58">
      <c r="A2166" s="532"/>
      <c r="AR2166" s="2513"/>
      <c r="CT2166" s="531"/>
      <c r="EI2166" s="2689" t="s">
        <v>12485</v>
      </c>
    </row>
    <row r="2167" spans="1:139" ht="43.5">
      <c r="A2167" s="532"/>
      <c r="AR2167" s="2513"/>
      <c r="CT2167" s="531"/>
      <c r="EI2167" s="2689" t="s">
        <v>12486</v>
      </c>
    </row>
    <row r="2168" spans="1:139" ht="43.5">
      <c r="A2168" s="532"/>
      <c r="AR2168" s="2513"/>
      <c r="CT2168" s="531"/>
      <c r="EI2168" s="2689" t="s">
        <v>12487</v>
      </c>
    </row>
    <row r="2169" spans="1:139" ht="87">
      <c r="A2169" s="532"/>
      <c r="AR2169" s="2513"/>
      <c r="CT2169" s="531"/>
      <c r="EI2169" s="2689" t="s">
        <v>12488</v>
      </c>
    </row>
    <row r="2170" spans="1:139" ht="145">
      <c r="A2170" s="532"/>
      <c r="AR2170" s="2513"/>
      <c r="CT2170" s="531"/>
      <c r="EI2170" s="2689" t="s">
        <v>12489</v>
      </c>
    </row>
    <row r="2171" spans="1:139" ht="145">
      <c r="A2171" s="532"/>
      <c r="AR2171" s="2513"/>
      <c r="CT2171" s="531"/>
      <c r="EI2171" s="2689" t="s">
        <v>12490</v>
      </c>
    </row>
    <row r="2172" spans="1:139" ht="72.5">
      <c r="A2172" s="532"/>
      <c r="AR2172" s="2513"/>
      <c r="CT2172" s="531"/>
      <c r="EI2172" s="2689" t="s">
        <v>12491</v>
      </c>
    </row>
    <row r="2173" spans="1:139" ht="87">
      <c r="A2173" s="532"/>
      <c r="AR2173" s="2513"/>
      <c r="CT2173" s="531"/>
      <c r="EI2173" s="2689" t="s">
        <v>12492</v>
      </c>
    </row>
    <row r="2174" spans="1:139" ht="72.5">
      <c r="A2174" s="532"/>
      <c r="AR2174" s="2513"/>
      <c r="CT2174" s="531"/>
      <c r="EI2174" s="2689" t="s">
        <v>12493</v>
      </c>
    </row>
    <row r="2175" spans="1:139" ht="43.5">
      <c r="A2175" s="532"/>
      <c r="AR2175" s="2513"/>
      <c r="CT2175" s="531"/>
      <c r="EI2175" s="2689" t="s">
        <v>12494</v>
      </c>
    </row>
    <row r="2176" spans="1:139" ht="43.5">
      <c r="A2176" s="532"/>
      <c r="AR2176" s="2513"/>
      <c r="CT2176" s="531"/>
      <c r="EI2176" s="2689" t="s">
        <v>12495</v>
      </c>
    </row>
    <row r="2177" spans="1:139" ht="72.5">
      <c r="A2177" s="532"/>
      <c r="AR2177" s="2513"/>
      <c r="CT2177" s="531"/>
      <c r="EI2177" s="2689" t="s">
        <v>12496</v>
      </c>
    </row>
    <row r="2178" spans="1:139" ht="29">
      <c r="A2178" s="532"/>
      <c r="AR2178" s="2513"/>
      <c r="CT2178" s="531"/>
      <c r="EI2178" s="2689" t="s">
        <v>12497</v>
      </c>
    </row>
    <row r="2179" spans="1:139" ht="29">
      <c r="A2179" s="532"/>
      <c r="AR2179" s="2513"/>
      <c r="CT2179" s="531"/>
      <c r="EI2179" s="2689" t="s">
        <v>12498</v>
      </c>
    </row>
    <row r="2180" spans="1:139" ht="29">
      <c r="A2180" s="532"/>
      <c r="AR2180" s="2513"/>
      <c r="CT2180" s="531"/>
      <c r="EI2180" s="2689" t="s">
        <v>12499</v>
      </c>
    </row>
    <row r="2181" spans="1:139" ht="29">
      <c r="A2181" s="532"/>
      <c r="AR2181" s="2513"/>
      <c r="CT2181" s="531"/>
      <c r="EI2181" s="2689" t="s">
        <v>12500</v>
      </c>
    </row>
    <row r="2182" spans="1:139" ht="29">
      <c r="A2182" s="532"/>
      <c r="AR2182" s="2513"/>
      <c r="CT2182" s="531"/>
      <c r="EI2182" s="2689" t="s">
        <v>12501</v>
      </c>
    </row>
    <row r="2183" spans="1:139">
      <c r="A2183" s="532"/>
      <c r="AR2183" s="2513"/>
      <c r="CT2183" s="531"/>
      <c r="EI2183" s="2689" t="s">
        <v>12502</v>
      </c>
    </row>
    <row r="2184" spans="1:139" ht="43.5">
      <c r="A2184" s="532"/>
      <c r="AR2184" s="2513"/>
      <c r="CT2184" s="531"/>
      <c r="EI2184" s="2689" t="s">
        <v>12503</v>
      </c>
    </row>
    <row r="2185" spans="1:139" ht="58">
      <c r="A2185" s="532"/>
      <c r="AR2185" s="2513"/>
      <c r="CT2185" s="531"/>
      <c r="EI2185" s="2689" t="s">
        <v>12504</v>
      </c>
    </row>
    <row r="2186" spans="1:139" ht="29">
      <c r="A2186" s="532"/>
      <c r="AR2186" s="2513"/>
      <c r="CT2186" s="531"/>
      <c r="EI2186" s="2689" t="s">
        <v>12505</v>
      </c>
    </row>
    <row r="2187" spans="1:139">
      <c r="A2187" s="532"/>
      <c r="AR2187" s="2513"/>
      <c r="CT2187" s="531"/>
      <c r="EI2187" s="2689" t="s">
        <v>12506</v>
      </c>
    </row>
    <row r="2188" spans="1:139" ht="72.5">
      <c r="A2188" s="532"/>
      <c r="AR2188" s="2513"/>
      <c r="CT2188" s="531"/>
      <c r="EI2188" s="2689" t="s">
        <v>12507</v>
      </c>
    </row>
    <row r="2189" spans="1:139" ht="58">
      <c r="A2189" s="532"/>
      <c r="AR2189" s="2513"/>
      <c r="CT2189" s="531"/>
      <c r="EI2189" s="2689" t="s">
        <v>12508</v>
      </c>
    </row>
    <row r="2190" spans="1:139" ht="58">
      <c r="A2190" s="532"/>
      <c r="AR2190" s="2513"/>
      <c r="CT2190" s="531"/>
      <c r="EI2190" s="2689" t="s">
        <v>12509</v>
      </c>
    </row>
    <row r="2191" spans="1:139" ht="130.5">
      <c r="A2191" s="532"/>
      <c r="AR2191" s="2513"/>
      <c r="CT2191" s="531"/>
      <c r="EI2191" s="2689" t="s">
        <v>12510</v>
      </c>
    </row>
    <row r="2192" spans="1:139" ht="72.5">
      <c r="A2192" s="532"/>
      <c r="AR2192" s="2513"/>
      <c r="CT2192" s="531"/>
      <c r="EI2192" s="2689" t="s">
        <v>12511</v>
      </c>
    </row>
    <row r="2193" spans="1:139" ht="58">
      <c r="A2193" s="532"/>
      <c r="AR2193" s="2513"/>
      <c r="CT2193" s="531"/>
      <c r="EI2193" s="2689" t="s">
        <v>12512</v>
      </c>
    </row>
    <row r="2194" spans="1:139" ht="58">
      <c r="A2194" s="532"/>
      <c r="AR2194" s="2513"/>
      <c r="CT2194" s="531"/>
      <c r="EI2194" s="2689" t="s">
        <v>12513</v>
      </c>
    </row>
    <row r="2195" spans="1:139" ht="43.5">
      <c r="A2195" s="532"/>
      <c r="AR2195" s="2513"/>
      <c r="CT2195" s="531"/>
      <c r="EI2195" s="2689" t="s">
        <v>12514</v>
      </c>
    </row>
    <row r="2196" spans="1:139" ht="58">
      <c r="A2196" s="532"/>
      <c r="AR2196" s="2513"/>
      <c r="CT2196" s="531"/>
      <c r="EI2196" s="2689" t="s">
        <v>12515</v>
      </c>
    </row>
    <row r="2197" spans="1:139" ht="72.5">
      <c r="A2197" s="532"/>
      <c r="AR2197" s="2513"/>
      <c r="CT2197" s="531"/>
      <c r="EI2197" s="2689" t="s">
        <v>12516</v>
      </c>
    </row>
    <row r="2198" spans="1:139" ht="58">
      <c r="A2198" s="532"/>
      <c r="AR2198" s="2513"/>
      <c r="CT2198" s="531"/>
      <c r="EI2198" s="2689" t="s">
        <v>12517</v>
      </c>
    </row>
    <row r="2199" spans="1:139" ht="29">
      <c r="A2199" s="532"/>
      <c r="AR2199" s="2513"/>
      <c r="CT2199" s="531"/>
      <c r="EI2199" s="2689" t="s">
        <v>12518</v>
      </c>
    </row>
    <row r="2200" spans="1:139" ht="72.5">
      <c r="A2200" s="532"/>
      <c r="AR2200" s="2513"/>
      <c r="CT2200" s="531"/>
      <c r="EI2200" s="2689" t="s">
        <v>12519</v>
      </c>
    </row>
    <row r="2201" spans="1:139" ht="58">
      <c r="A2201" s="532"/>
      <c r="AR2201" s="2513"/>
      <c r="CT2201" s="531"/>
      <c r="EI2201" s="2689" t="s">
        <v>12520</v>
      </c>
    </row>
    <row r="2202" spans="1:139" ht="58">
      <c r="A2202" s="532"/>
      <c r="AR2202" s="2513"/>
      <c r="CT2202" s="531"/>
      <c r="EI2202" s="2689" t="s">
        <v>12521</v>
      </c>
    </row>
    <row r="2203" spans="1:139" ht="87">
      <c r="A2203" s="532"/>
      <c r="AR2203" s="2513"/>
      <c r="CT2203" s="531"/>
      <c r="EI2203" s="2689" t="s">
        <v>12522</v>
      </c>
    </row>
    <row r="2204" spans="1:139" ht="87">
      <c r="A2204" s="532"/>
      <c r="AR2204" s="2513"/>
      <c r="CT2204" s="531"/>
      <c r="EI2204" s="2689" t="s">
        <v>12523</v>
      </c>
    </row>
    <row r="2205" spans="1:139" ht="72.5">
      <c r="A2205" s="532"/>
      <c r="AR2205" s="2513"/>
      <c r="CT2205" s="531"/>
      <c r="EI2205" s="2689" t="s">
        <v>12524</v>
      </c>
    </row>
    <row r="2206" spans="1:139" ht="58">
      <c r="A2206" s="532"/>
      <c r="AR2206" s="2513"/>
      <c r="CT2206" s="531"/>
      <c r="EI2206" s="2689" t="s">
        <v>12525</v>
      </c>
    </row>
    <row r="2207" spans="1:139" ht="43.5">
      <c r="A2207" s="532"/>
      <c r="AR2207" s="2513"/>
      <c r="CT2207" s="531"/>
      <c r="EI2207" s="2689" t="s">
        <v>12526</v>
      </c>
    </row>
    <row r="2208" spans="1:139" ht="43.5">
      <c r="A2208" s="532"/>
      <c r="AR2208" s="2513"/>
      <c r="CT2208" s="531"/>
      <c r="EI2208" s="2689" t="s">
        <v>12527</v>
      </c>
    </row>
    <row r="2209" spans="1:139" ht="58">
      <c r="A2209" s="532"/>
      <c r="AR2209" s="2513"/>
      <c r="CT2209" s="531"/>
      <c r="EI2209" s="2689" t="s">
        <v>12528</v>
      </c>
    </row>
    <row r="2210" spans="1:139" ht="43.5">
      <c r="A2210" s="532"/>
      <c r="AR2210" s="2513"/>
      <c r="CT2210" s="531"/>
      <c r="EI2210" s="2689" t="s">
        <v>12529</v>
      </c>
    </row>
    <row r="2211" spans="1:139" ht="43.5">
      <c r="A2211" s="532"/>
      <c r="AR2211" s="2513"/>
      <c r="CT2211" s="531"/>
      <c r="EI2211" s="2689" t="s">
        <v>12530</v>
      </c>
    </row>
    <row r="2212" spans="1:139" ht="29">
      <c r="A2212" s="532"/>
      <c r="AR2212" s="2513"/>
      <c r="CT2212" s="531"/>
      <c r="EI2212" s="2689" t="s">
        <v>12531</v>
      </c>
    </row>
    <row r="2213" spans="1:139" ht="58">
      <c r="A2213" s="532"/>
      <c r="AR2213" s="2513"/>
      <c r="CT2213" s="531"/>
      <c r="EI2213" s="2689" t="s">
        <v>12532</v>
      </c>
    </row>
    <row r="2214" spans="1:139" ht="58">
      <c r="A2214" s="532"/>
      <c r="AR2214" s="2513"/>
      <c r="CT2214" s="531"/>
      <c r="EI2214" s="2689" t="s">
        <v>12533</v>
      </c>
    </row>
    <row r="2215" spans="1:139" ht="58">
      <c r="A2215" s="532"/>
      <c r="AR2215" s="2513"/>
      <c r="CT2215" s="531"/>
      <c r="EI2215" s="2689" t="s">
        <v>12534</v>
      </c>
    </row>
    <row r="2216" spans="1:139" ht="58">
      <c r="A2216" s="532"/>
      <c r="AR2216" s="2513"/>
      <c r="CT2216" s="531"/>
      <c r="EI2216" s="2689" t="s">
        <v>12535</v>
      </c>
    </row>
    <row r="2217" spans="1:139" ht="145">
      <c r="A2217" s="532"/>
      <c r="AR2217" s="2513"/>
      <c r="CT2217" s="531"/>
      <c r="EI2217" s="2689" t="s">
        <v>12536</v>
      </c>
    </row>
    <row r="2218" spans="1:139" ht="87">
      <c r="A2218" s="532"/>
      <c r="AR2218" s="2513"/>
      <c r="CT2218" s="531"/>
      <c r="EI2218" s="2689" t="s">
        <v>12537</v>
      </c>
    </row>
    <row r="2219" spans="1:139" ht="72.5">
      <c r="A2219" s="532"/>
      <c r="AR2219" s="2513"/>
      <c r="CT2219" s="531"/>
      <c r="EI2219" s="2689" t="s">
        <v>12538</v>
      </c>
    </row>
    <row r="2220" spans="1:139" ht="58">
      <c r="A2220" s="532"/>
      <c r="AR2220" s="2513"/>
      <c r="CT2220" s="531"/>
      <c r="EI2220" s="2689" t="s">
        <v>12539</v>
      </c>
    </row>
    <row r="2221" spans="1:139" ht="58">
      <c r="A2221" s="532"/>
      <c r="AR2221" s="2513"/>
      <c r="CT2221" s="531"/>
      <c r="EI2221" s="2689" t="s">
        <v>12540</v>
      </c>
    </row>
    <row r="2222" spans="1:139" ht="58">
      <c r="A2222" s="532"/>
      <c r="AR2222" s="2513"/>
      <c r="CT2222" s="531"/>
      <c r="EI2222" s="2689" t="s">
        <v>12541</v>
      </c>
    </row>
    <row r="2223" spans="1:139" ht="72.5">
      <c r="A2223" s="532"/>
      <c r="AR2223" s="2513"/>
      <c r="CT2223" s="531"/>
      <c r="EI2223" s="2689" t="s">
        <v>12542</v>
      </c>
    </row>
    <row r="2224" spans="1:139" ht="58">
      <c r="A2224" s="532"/>
      <c r="AR2224" s="2513"/>
      <c r="CT2224" s="531"/>
      <c r="EI2224" s="2689" t="s">
        <v>12543</v>
      </c>
    </row>
    <row r="2225" spans="1:139" ht="87">
      <c r="A2225" s="532"/>
      <c r="AR2225" s="2513"/>
      <c r="CT2225" s="531"/>
      <c r="EI2225" s="2689" t="s">
        <v>12544</v>
      </c>
    </row>
    <row r="2226" spans="1:139" ht="58">
      <c r="A2226" s="532"/>
      <c r="AR2226" s="2513"/>
      <c r="CT2226" s="531"/>
      <c r="EI2226" s="2689" t="s">
        <v>12545</v>
      </c>
    </row>
    <row r="2227" spans="1:139" ht="43.5">
      <c r="A2227" s="532"/>
      <c r="AR2227" s="2513"/>
      <c r="CT2227" s="531"/>
      <c r="EI2227" s="2689" t="s">
        <v>12546</v>
      </c>
    </row>
    <row r="2228" spans="1:139" ht="87">
      <c r="A2228" s="532"/>
      <c r="AR2228" s="2513"/>
      <c r="CT2228" s="531"/>
      <c r="EI2228" s="2689" t="s">
        <v>12547</v>
      </c>
    </row>
    <row r="2229" spans="1:139" ht="87">
      <c r="A2229" s="532"/>
      <c r="AR2229" s="2513"/>
      <c r="CT2229" s="531"/>
      <c r="EI2229" s="2689" t="s">
        <v>12548</v>
      </c>
    </row>
    <row r="2230" spans="1:139" ht="43.5">
      <c r="A2230" s="532"/>
      <c r="AR2230" s="2513"/>
      <c r="CT2230" s="531"/>
      <c r="EI2230" s="2689" t="s">
        <v>12549</v>
      </c>
    </row>
    <row r="2231" spans="1:139">
      <c r="A2231" s="532"/>
      <c r="AR2231" s="2513"/>
      <c r="CT2231" s="531"/>
      <c r="EI2231" s="2689" t="s">
        <v>12550</v>
      </c>
    </row>
    <row r="2232" spans="1:139" ht="43.5">
      <c r="A2232" s="532"/>
      <c r="AR2232" s="2513"/>
      <c r="CT2232" s="531"/>
      <c r="EI2232" s="2689" t="s">
        <v>12551</v>
      </c>
    </row>
    <row r="2233" spans="1:139" ht="58">
      <c r="A2233" s="532"/>
      <c r="AR2233" s="2513"/>
      <c r="CT2233" s="531"/>
      <c r="EI2233" s="2689" t="s">
        <v>12552</v>
      </c>
    </row>
    <row r="2234" spans="1:139" ht="58">
      <c r="A2234" s="532"/>
      <c r="AR2234" s="2513"/>
      <c r="CT2234" s="531"/>
      <c r="EI2234" s="2689" t="s">
        <v>12553</v>
      </c>
    </row>
    <row r="2235" spans="1:139" ht="72.5">
      <c r="A2235" s="532"/>
      <c r="AR2235" s="2513"/>
      <c r="CT2235" s="531"/>
      <c r="EI2235" s="2689" t="s">
        <v>12554</v>
      </c>
    </row>
    <row r="2236" spans="1:139" ht="29">
      <c r="A2236" s="532"/>
      <c r="AR2236" s="2513"/>
      <c r="CT2236" s="531"/>
      <c r="EI2236" s="2689" t="s">
        <v>12555</v>
      </c>
    </row>
    <row r="2237" spans="1:139" ht="43.5">
      <c r="A2237" s="532"/>
      <c r="AR2237" s="2513"/>
      <c r="CT2237" s="531"/>
      <c r="EI2237" s="2689" t="s">
        <v>12556</v>
      </c>
    </row>
    <row r="2238" spans="1:139" ht="43.5">
      <c r="A2238" s="532"/>
      <c r="AR2238" s="2513"/>
      <c r="CT2238" s="531"/>
      <c r="EI2238" s="2689" t="s">
        <v>12557</v>
      </c>
    </row>
    <row r="2239" spans="1:139" ht="43.5">
      <c r="A2239" s="532"/>
      <c r="AR2239" s="2513"/>
      <c r="CT2239" s="531"/>
      <c r="EI2239" s="2689" t="s">
        <v>12558</v>
      </c>
    </row>
    <row r="2240" spans="1:139" ht="43.5">
      <c r="A2240" s="532"/>
      <c r="AR2240" s="2513"/>
      <c r="CT2240" s="531"/>
      <c r="EI2240" s="2689" t="s">
        <v>12559</v>
      </c>
    </row>
    <row r="2241" spans="1:139" ht="43.5">
      <c r="A2241" s="532"/>
      <c r="AR2241" s="2513"/>
      <c r="CT2241" s="531"/>
      <c r="EI2241" s="2689" t="s">
        <v>12560</v>
      </c>
    </row>
    <row r="2242" spans="1:139" ht="29">
      <c r="A2242" s="532"/>
      <c r="AR2242" s="2513"/>
      <c r="CT2242" s="531"/>
      <c r="EI2242" s="2689" t="s">
        <v>12561</v>
      </c>
    </row>
    <row r="2243" spans="1:139">
      <c r="A2243" s="532"/>
      <c r="AR2243" s="2513"/>
      <c r="CT2243" s="531"/>
      <c r="EI2243" s="2689" t="s">
        <v>12562</v>
      </c>
    </row>
    <row r="2244" spans="1:139">
      <c r="A2244" s="532"/>
      <c r="AR2244" s="2513"/>
      <c r="CT2244" s="531"/>
      <c r="EI2244" s="2689" t="s">
        <v>12563</v>
      </c>
    </row>
    <row r="2245" spans="1:139" ht="58">
      <c r="A2245" s="532"/>
      <c r="AR2245" s="2513"/>
      <c r="CT2245" s="531"/>
      <c r="EI2245" s="2689" t="s">
        <v>12564</v>
      </c>
    </row>
    <row r="2246" spans="1:139" ht="29">
      <c r="A2246" s="532"/>
      <c r="AR2246" s="2513"/>
      <c r="CT2246" s="531"/>
      <c r="EI2246" s="2689" t="s">
        <v>12565</v>
      </c>
    </row>
    <row r="2247" spans="1:139" ht="72.5">
      <c r="A2247" s="532"/>
      <c r="AR2247" s="2513"/>
      <c r="CT2247" s="531"/>
      <c r="EI2247" s="2689" t="s">
        <v>12566</v>
      </c>
    </row>
    <row r="2248" spans="1:139" ht="43.5">
      <c r="A2248" s="532"/>
      <c r="AR2248" s="2513"/>
      <c r="CT2248" s="531"/>
      <c r="EI2248" s="2689" t="s">
        <v>12567</v>
      </c>
    </row>
    <row r="2249" spans="1:139" ht="29">
      <c r="A2249" s="532"/>
      <c r="AR2249" s="2513"/>
      <c r="CT2249" s="531"/>
      <c r="EI2249" s="2689" t="s">
        <v>12568</v>
      </c>
    </row>
    <row r="2250" spans="1:139" ht="58">
      <c r="A2250" s="532"/>
      <c r="AR2250" s="2513"/>
      <c r="CT2250" s="531"/>
      <c r="EI2250" s="2689" t="s">
        <v>12569</v>
      </c>
    </row>
    <row r="2251" spans="1:139" ht="29">
      <c r="A2251" s="532"/>
      <c r="AR2251" s="2513"/>
      <c r="CT2251" s="531"/>
      <c r="EI2251" s="2689" t="s">
        <v>12570</v>
      </c>
    </row>
    <row r="2252" spans="1:139" ht="29">
      <c r="A2252" s="532"/>
      <c r="AR2252" s="2513"/>
      <c r="CT2252" s="531"/>
      <c r="EI2252" s="2689" t="s">
        <v>12571</v>
      </c>
    </row>
    <row r="2253" spans="1:139" ht="29">
      <c r="A2253" s="532"/>
      <c r="AR2253" s="2513"/>
      <c r="CT2253" s="531"/>
      <c r="EI2253" s="2689" t="s">
        <v>12572</v>
      </c>
    </row>
    <row r="2254" spans="1:139">
      <c r="A2254" s="532"/>
      <c r="AR2254" s="2513"/>
      <c r="CT2254" s="531"/>
      <c r="EI2254" s="2689" t="s">
        <v>12573</v>
      </c>
    </row>
    <row r="2255" spans="1:139">
      <c r="A2255" s="532"/>
      <c r="AR2255" s="2513"/>
      <c r="CT2255" s="531"/>
      <c r="EI2255" s="2689" t="s">
        <v>12574</v>
      </c>
    </row>
    <row r="2256" spans="1:139">
      <c r="A2256" s="532"/>
      <c r="AR2256" s="2513"/>
      <c r="CT2256" s="531"/>
      <c r="EI2256" s="2689" t="s">
        <v>12575</v>
      </c>
    </row>
    <row r="2257" spans="1:139">
      <c r="A2257" s="532"/>
      <c r="AR2257" s="2513"/>
      <c r="CT2257" s="531"/>
      <c r="EI2257" s="2689" t="s">
        <v>12576</v>
      </c>
    </row>
    <row r="2258" spans="1:139">
      <c r="A2258" s="532"/>
      <c r="AR2258" s="2513"/>
      <c r="CT2258" s="531"/>
      <c r="EI2258" s="2689" t="s">
        <v>12577</v>
      </c>
    </row>
    <row r="2259" spans="1:139">
      <c r="A2259" s="532"/>
      <c r="AR2259" s="2513"/>
      <c r="CT2259" s="531"/>
      <c r="EI2259" s="2689" t="s">
        <v>12578</v>
      </c>
    </row>
    <row r="2260" spans="1:139">
      <c r="A2260" s="532"/>
      <c r="AR2260" s="2513"/>
      <c r="CT2260" s="531"/>
      <c r="EI2260" s="2689" t="s">
        <v>12579</v>
      </c>
    </row>
    <row r="2261" spans="1:139">
      <c r="A2261" s="532"/>
      <c r="AR2261" s="2513"/>
      <c r="CT2261" s="531"/>
      <c r="EI2261" s="2689" t="s">
        <v>12580</v>
      </c>
    </row>
    <row r="2262" spans="1:139">
      <c r="A2262" s="532"/>
      <c r="AR2262" s="2513"/>
      <c r="CT2262" s="531"/>
      <c r="EI2262" s="2689" t="s">
        <v>12581</v>
      </c>
    </row>
    <row r="2263" spans="1:139" ht="58">
      <c r="A2263" s="532"/>
      <c r="AR2263" s="2513"/>
      <c r="CT2263" s="531"/>
      <c r="EI2263" s="2689" t="s">
        <v>12582</v>
      </c>
    </row>
    <row r="2264" spans="1:139" ht="29">
      <c r="A2264" s="532"/>
      <c r="AR2264" s="2513"/>
      <c r="CT2264" s="531"/>
      <c r="EI2264" s="2689" t="s">
        <v>12583</v>
      </c>
    </row>
    <row r="2265" spans="1:139" ht="29">
      <c r="A2265" s="532"/>
      <c r="AR2265" s="2513"/>
      <c r="CT2265" s="531"/>
      <c r="EI2265" s="2689" t="s">
        <v>12584</v>
      </c>
    </row>
    <row r="2266" spans="1:139" ht="29">
      <c r="A2266" s="532"/>
      <c r="AR2266" s="2513"/>
      <c r="CT2266" s="531"/>
      <c r="EI2266" s="2689" t="s">
        <v>12585</v>
      </c>
    </row>
    <row r="2267" spans="1:139">
      <c r="A2267" s="532"/>
      <c r="AR2267" s="2513"/>
      <c r="CT2267" s="531"/>
      <c r="EI2267" s="2689" t="s">
        <v>12586</v>
      </c>
    </row>
    <row r="2268" spans="1:139" ht="43.5">
      <c r="A2268" s="532"/>
      <c r="AR2268" s="2513"/>
      <c r="CT2268" s="531"/>
      <c r="EI2268" s="2689" t="s">
        <v>12587</v>
      </c>
    </row>
    <row r="2269" spans="1:139" ht="43.5">
      <c r="A2269" s="532"/>
      <c r="AR2269" s="2513"/>
      <c r="CT2269" s="531"/>
      <c r="EI2269" s="2689" t="s">
        <v>12588</v>
      </c>
    </row>
    <row r="2270" spans="1:139" ht="29">
      <c r="A2270" s="532"/>
      <c r="AR2270" s="2513"/>
      <c r="CT2270" s="531"/>
      <c r="EI2270" s="2689" t="s">
        <v>12589</v>
      </c>
    </row>
    <row r="2271" spans="1:139">
      <c r="A2271" s="532"/>
      <c r="AR2271" s="2513"/>
      <c r="CT2271" s="531"/>
      <c r="EI2271" s="2689" t="s">
        <v>12590</v>
      </c>
    </row>
    <row r="2272" spans="1:139">
      <c r="A2272" s="532"/>
      <c r="AR2272" s="2513"/>
      <c r="CT2272" s="531"/>
      <c r="EI2272" s="2689" t="s">
        <v>12591</v>
      </c>
    </row>
    <row r="2273" spans="1:139" ht="29">
      <c r="A2273" s="532"/>
      <c r="AR2273" s="2513"/>
      <c r="CT2273" s="531"/>
      <c r="EI2273" s="2689" t="s">
        <v>12592</v>
      </c>
    </row>
    <row r="2274" spans="1:139" ht="29">
      <c r="A2274" s="532"/>
      <c r="AR2274" s="2513"/>
      <c r="CT2274" s="531"/>
      <c r="EI2274" s="2689" t="s">
        <v>12593</v>
      </c>
    </row>
    <row r="2275" spans="1:139" ht="29">
      <c r="A2275" s="532"/>
      <c r="AR2275" s="2513"/>
      <c r="CT2275" s="531"/>
      <c r="EI2275" s="2689" t="s">
        <v>12594</v>
      </c>
    </row>
    <row r="2276" spans="1:139" ht="29">
      <c r="A2276" s="532"/>
      <c r="AR2276" s="2513"/>
      <c r="CT2276" s="531"/>
      <c r="EI2276" s="2689" t="s">
        <v>12595</v>
      </c>
    </row>
    <row r="2277" spans="1:139" ht="43.5">
      <c r="A2277" s="532"/>
      <c r="AR2277" s="2513"/>
      <c r="CT2277" s="531"/>
      <c r="EI2277" s="2689" t="s">
        <v>12596</v>
      </c>
    </row>
    <row r="2278" spans="1:139" ht="43.5">
      <c r="A2278" s="532"/>
      <c r="AR2278" s="2513"/>
      <c r="CT2278" s="531"/>
      <c r="EI2278" s="2689" t="s">
        <v>12597</v>
      </c>
    </row>
    <row r="2279" spans="1:139" ht="58">
      <c r="A2279" s="532"/>
      <c r="AR2279" s="2513"/>
      <c r="CT2279" s="531"/>
      <c r="EI2279" s="2689" t="s">
        <v>12598</v>
      </c>
    </row>
    <row r="2280" spans="1:139" ht="72.5">
      <c r="A2280" s="532"/>
      <c r="AR2280" s="2513"/>
      <c r="CT2280" s="531"/>
      <c r="EI2280" s="2689" t="s">
        <v>12599</v>
      </c>
    </row>
    <row r="2281" spans="1:139" ht="58">
      <c r="A2281" s="532"/>
      <c r="AR2281" s="2513"/>
      <c r="CT2281" s="531"/>
      <c r="EI2281" s="2689" t="s">
        <v>12600</v>
      </c>
    </row>
    <row r="2282" spans="1:139" ht="72.5">
      <c r="A2282" s="532"/>
      <c r="AR2282" s="2513"/>
      <c r="CT2282" s="531"/>
      <c r="EI2282" s="2689" t="s">
        <v>12601</v>
      </c>
    </row>
    <row r="2283" spans="1:139" ht="58">
      <c r="A2283" s="532"/>
      <c r="AR2283" s="2513"/>
      <c r="CT2283" s="531"/>
      <c r="EI2283" s="2689" t="s">
        <v>12602</v>
      </c>
    </row>
    <row r="2284" spans="1:139" ht="72.5">
      <c r="A2284" s="532"/>
      <c r="AR2284" s="2513"/>
      <c r="CT2284" s="531"/>
      <c r="EI2284" s="2689" t="s">
        <v>12603</v>
      </c>
    </row>
    <row r="2285" spans="1:139" ht="87">
      <c r="A2285" s="532"/>
      <c r="AR2285" s="2513"/>
      <c r="CT2285" s="531"/>
      <c r="EI2285" s="2689" t="s">
        <v>12604</v>
      </c>
    </row>
    <row r="2286" spans="1:139" ht="29">
      <c r="A2286" s="532"/>
      <c r="AR2286" s="2513"/>
      <c r="CT2286" s="531"/>
      <c r="EI2286" s="2689" t="s">
        <v>12605</v>
      </c>
    </row>
    <row r="2287" spans="1:139" ht="43.5">
      <c r="A2287" s="532"/>
      <c r="AR2287" s="2513"/>
      <c r="CT2287" s="531"/>
      <c r="EI2287" s="2689" t="s">
        <v>12606</v>
      </c>
    </row>
    <row r="2288" spans="1:139" ht="43.5">
      <c r="A2288" s="532"/>
      <c r="AR2288" s="2513"/>
      <c r="CT2288" s="531"/>
      <c r="EI2288" s="2689" t="s">
        <v>12607</v>
      </c>
    </row>
    <row r="2289" spans="1:139" ht="43.5">
      <c r="A2289" s="532"/>
      <c r="AR2289" s="2513"/>
      <c r="CT2289" s="531"/>
      <c r="EI2289" s="2689" t="s">
        <v>12608</v>
      </c>
    </row>
    <row r="2290" spans="1:139" ht="43.5">
      <c r="A2290" s="532"/>
      <c r="AR2290" s="2513"/>
      <c r="CT2290" s="531"/>
      <c r="EI2290" s="2689" t="s">
        <v>12609</v>
      </c>
    </row>
    <row r="2291" spans="1:139" ht="58">
      <c r="A2291" s="532"/>
      <c r="AR2291" s="2513"/>
      <c r="CT2291" s="531"/>
      <c r="EI2291" s="2689" t="s">
        <v>12610</v>
      </c>
    </row>
    <row r="2292" spans="1:139" ht="29">
      <c r="A2292" s="532"/>
      <c r="AR2292" s="2513"/>
      <c r="CT2292" s="531"/>
      <c r="EI2292" s="2689" t="s">
        <v>12611</v>
      </c>
    </row>
    <row r="2293" spans="1:139" ht="43.5">
      <c r="A2293" s="532"/>
      <c r="AR2293" s="2513"/>
      <c r="CT2293" s="531"/>
      <c r="EI2293" s="2689" t="s">
        <v>12612</v>
      </c>
    </row>
    <row r="2294" spans="1:139" ht="43.5">
      <c r="A2294" s="532"/>
      <c r="AR2294" s="2513"/>
      <c r="CT2294" s="531"/>
      <c r="EI2294" s="2689" t="s">
        <v>12613</v>
      </c>
    </row>
    <row r="2295" spans="1:139" ht="58">
      <c r="A2295" s="532"/>
      <c r="AR2295" s="2513"/>
      <c r="CT2295" s="531"/>
      <c r="EI2295" s="2689" t="s">
        <v>12614</v>
      </c>
    </row>
    <row r="2296" spans="1:139" ht="29">
      <c r="A2296" s="532"/>
      <c r="AR2296" s="2513"/>
      <c r="CT2296" s="531"/>
      <c r="EI2296" s="2689" t="s">
        <v>12615</v>
      </c>
    </row>
    <row r="2297" spans="1:139" ht="43.5">
      <c r="A2297" s="532"/>
      <c r="AR2297" s="2513"/>
      <c r="CT2297" s="531"/>
      <c r="EI2297" s="2689" t="s">
        <v>12616</v>
      </c>
    </row>
    <row r="2298" spans="1:139" ht="72.5">
      <c r="A2298" s="532"/>
      <c r="AR2298" s="2513"/>
      <c r="CT2298" s="531"/>
      <c r="EI2298" s="2689" t="s">
        <v>12617</v>
      </c>
    </row>
    <row r="2299" spans="1:139" ht="43.5">
      <c r="A2299" s="532"/>
      <c r="AR2299" s="2513"/>
      <c r="CT2299" s="531"/>
      <c r="EI2299" s="2689" t="s">
        <v>12618</v>
      </c>
    </row>
    <row r="2300" spans="1:139" ht="58">
      <c r="A2300" s="532"/>
      <c r="AR2300" s="2513"/>
      <c r="CT2300" s="531"/>
      <c r="EI2300" s="2689" t="s">
        <v>12619</v>
      </c>
    </row>
    <row r="2301" spans="1:139" ht="58">
      <c r="A2301" s="532"/>
      <c r="AR2301" s="2513"/>
      <c r="CT2301" s="531"/>
      <c r="EI2301" s="2689" t="s">
        <v>12620</v>
      </c>
    </row>
    <row r="2302" spans="1:139" ht="29">
      <c r="A2302" s="532"/>
      <c r="AR2302" s="2513"/>
      <c r="CT2302" s="531"/>
      <c r="EI2302" s="2689" t="s">
        <v>12621</v>
      </c>
    </row>
    <row r="2303" spans="1:139" ht="58">
      <c r="A2303" s="532"/>
      <c r="AR2303" s="2513"/>
      <c r="CT2303" s="531"/>
      <c r="EI2303" s="2689" t="s">
        <v>12622</v>
      </c>
    </row>
    <row r="2304" spans="1:139" ht="29">
      <c r="A2304" s="532"/>
      <c r="AR2304" s="2513"/>
      <c r="CT2304" s="531"/>
      <c r="EI2304" s="2689" t="s">
        <v>12623</v>
      </c>
    </row>
    <row r="2305" spans="1:139" ht="72.5">
      <c r="A2305" s="532"/>
      <c r="AR2305" s="2513"/>
      <c r="CT2305" s="531"/>
      <c r="EI2305" s="2689" t="s">
        <v>12624</v>
      </c>
    </row>
    <row r="2306" spans="1:139">
      <c r="A2306" s="532"/>
      <c r="AR2306" s="2513"/>
      <c r="CT2306" s="531"/>
      <c r="EI2306" s="2689" t="s">
        <v>12625</v>
      </c>
    </row>
    <row r="2307" spans="1:139" ht="29">
      <c r="A2307" s="532"/>
      <c r="AR2307" s="2513"/>
      <c r="CT2307" s="531"/>
      <c r="EI2307" s="2689" t="s">
        <v>12626</v>
      </c>
    </row>
    <row r="2308" spans="1:139" ht="58">
      <c r="A2308" s="532"/>
      <c r="AR2308" s="2513"/>
      <c r="CT2308" s="531"/>
      <c r="EI2308" s="2689" t="s">
        <v>12627</v>
      </c>
    </row>
    <row r="2309" spans="1:139" ht="29">
      <c r="A2309" s="532"/>
      <c r="AR2309" s="2513"/>
      <c r="CT2309" s="531"/>
      <c r="EI2309" s="2689" t="s">
        <v>12628</v>
      </c>
    </row>
    <row r="2310" spans="1:139" ht="29">
      <c r="A2310" s="532"/>
      <c r="AR2310" s="2513"/>
      <c r="CT2310" s="531"/>
      <c r="EI2310" s="2689" t="s">
        <v>12629</v>
      </c>
    </row>
    <row r="2311" spans="1:139" ht="29">
      <c r="A2311" s="532"/>
      <c r="AR2311" s="2513"/>
      <c r="CT2311" s="531"/>
      <c r="EI2311" s="2689" t="s">
        <v>12630</v>
      </c>
    </row>
    <row r="2312" spans="1:139" ht="43.5">
      <c r="A2312" s="532"/>
      <c r="AR2312" s="2513"/>
      <c r="CT2312" s="531"/>
      <c r="EI2312" s="2689" t="s">
        <v>12631</v>
      </c>
    </row>
    <row r="2313" spans="1:139" ht="43.5">
      <c r="A2313" s="532"/>
      <c r="AR2313" s="2513"/>
      <c r="CT2313" s="531"/>
      <c r="EI2313" s="2689" t="s">
        <v>12632</v>
      </c>
    </row>
    <row r="2314" spans="1:139" ht="29">
      <c r="A2314" s="532"/>
      <c r="AR2314" s="2513"/>
      <c r="CT2314" s="531"/>
      <c r="EI2314" s="2689" t="s">
        <v>12633</v>
      </c>
    </row>
    <row r="2315" spans="1:139" ht="29">
      <c r="A2315" s="532"/>
      <c r="AR2315" s="2513"/>
      <c r="CT2315" s="531"/>
      <c r="EI2315" s="2689" t="s">
        <v>12634</v>
      </c>
    </row>
    <row r="2316" spans="1:139" ht="29">
      <c r="A2316" s="532"/>
      <c r="AR2316" s="2513"/>
      <c r="CT2316" s="531"/>
      <c r="EI2316" s="2689" t="s">
        <v>12635</v>
      </c>
    </row>
    <row r="2317" spans="1:139" ht="29">
      <c r="A2317" s="532"/>
      <c r="AR2317" s="2513"/>
      <c r="CT2317" s="531"/>
      <c r="EI2317" s="2689" t="s">
        <v>12636</v>
      </c>
    </row>
    <row r="2318" spans="1:139" ht="29">
      <c r="A2318" s="532"/>
      <c r="AR2318" s="2513"/>
      <c r="CT2318" s="531"/>
      <c r="EI2318" s="2689" t="s">
        <v>12637</v>
      </c>
    </row>
    <row r="2319" spans="1:139" ht="29">
      <c r="A2319" s="532"/>
      <c r="AR2319" s="2513"/>
      <c r="CT2319" s="531"/>
      <c r="EI2319" s="2689" t="s">
        <v>12638</v>
      </c>
    </row>
    <row r="2320" spans="1:139" ht="43.5">
      <c r="A2320" s="532"/>
      <c r="AR2320" s="2513"/>
      <c r="CT2320" s="531"/>
      <c r="EI2320" s="2689" t="s">
        <v>12639</v>
      </c>
    </row>
    <row r="2321" spans="1:139" ht="72.5">
      <c r="A2321" s="532"/>
      <c r="AR2321" s="2513"/>
      <c r="CT2321" s="531"/>
      <c r="EI2321" s="2689" t="s">
        <v>12640</v>
      </c>
    </row>
    <row r="2322" spans="1:139" ht="58">
      <c r="A2322" s="532"/>
      <c r="AR2322" s="2513"/>
      <c r="CT2322" s="531"/>
      <c r="EI2322" s="2689" t="s">
        <v>12641</v>
      </c>
    </row>
    <row r="2323" spans="1:139" ht="58">
      <c r="A2323" s="532"/>
      <c r="AR2323" s="2513"/>
      <c r="CT2323" s="531"/>
      <c r="EI2323" s="2689" t="s">
        <v>12642</v>
      </c>
    </row>
    <row r="2324" spans="1:139" ht="29">
      <c r="A2324" s="532"/>
      <c r="AR2324" s="2513"/>
      <c r="CT2324" s="531"/>
      <c r="EI2324" s="2689" t="s">
        <v>12643</v>
      </c>
    </row>
    <row r="2325" spans="1:139" ht="72.5">
      <c r="A2325" s="532"/>
      <c r="AR2325" s="2513"/>
      <c r="CT2325" s="531"/>
      <c r="EI2325" s="2689" t="s">
        <v>12644</v>
      </c>
    </row>
    <row r="2326" spans="1:139">
      <c r="A2326" s="532"/>
      <c r="AR2326" s="2513"/>
      <c r="CT2326" s="531"/>
      <c r="EI2326" s="2689" t="s">
        <v>12645</v>
      </c>
    </row>
    <row r="2327" spans="1:139" ht="87">
      <c r="A2327" s="532"/>
      <c r="AR2327" s="2513"/>
      <c r="CT2327" s="531"/>
      <c r="EI2327" s="2689" t="s">
        <v>12646</v>
      </c>
    </row>
    <row r="2328" spans="1:139" ht="43.5">
      <c r="A2328" s="532"/>
      <c r="AR2328" s="2513"/>
      <c r="CT2328" s="531"/>
      <c r="EI2328" s="2689" t="s">
        <v>12647</v>
      </c>
    </row>
    <row r="2329" spans="1:139" ht="29">
      <c r="A2329" s="532"/>
      <c r="AR2329" s="2513"/>
      <c r="CT2329" s="531"/>
      <c r="EI2329" s="2689" t="s">
        <v>12648</v>
      </c>
    </row>
    <row r="2330" spans="1:139" ht="29">
      <c r="A2330" s="532"/>
      <c r="AR2330" s="2513"/>
      <c r="CT2330" s="531"/>
      <c r="EI2330" s="2689" t="s">
        <v>12649</v>
      </c>
    </row>
    <row r="2331" spans="1:139" ht="58">
      <c r="A2331" s="532"/>
      <c r="AR2331" s="2513"/>
      <c r="CT2331" s="531"/>
      <c r="EI2331" s="2689" t="s">
        <v>12650</v>
      </c>
    </row>
    <row r="2332" spans="1:139" ht="29">
      <c r="A2332" s="532"/>
      <c r="AR2332" s="2513"/>
      <c r="CT2332" s="531"/>
      <c r="EI2332" s="2689" t="s">
        <v>12651</v>
      </c>
    </row>
    <row r="2333" spans="1:139" ht="29">
      <c r="A2333" s="532"/>
      <c r="AR2333" s="2513"/>
      <c r="CT2333" s="531"/>
      <c r="EI2333" s="2689" t="s">
        <v>12652</v>
      </c>
    </row>
    <row r="2334" spans="1:139">
      <c r="A2334" s="532"/>
      <c r="AR2334" s="2513"/>
      <c r="CT2334" s="531"/>
      <c r="EI2334" s="2689" t="s">
        <v>12653</v>
      </c>
    </row>
    <row r="2335" spans="1:139" ht="43.5">
      <c r="A2335" s="532"/>
      <c r="AR2335" s="2513"/>
      <c r="CT2335" s="531"/>
      <c r="EI2335" s="2689" t="s">
        <v>12654</v>
      </c>
    </row>
    <row r="2336" spans="1:139" ht="58">
      <c r="A2336" s="532"/>
      <c r="AR2336" s="2513"/>
      <c r="CT2336" s="531"/>
      <c r="EI2336" s="2689" t="s">
        <v>12655</v>
      </c>
    </row>
    <row r="2337" spans="1:139" ht="29">
      <c r="A2337" s="532"/>
      <c r="AR2337" s="2513"/>
      <c r="CT2337" s="531"/>
      <c r="EI2337" s="2689" t="s">
        <v>12656</v>
      </c>
    </row>
    <row r="2338" spans="1:139" ht="29">
      <c r="A2338" s="532"/>
      <c r="AR2338" s="2513"/>
      <c r="CT2338" s="531"/>
      <c r="EI2338" s="2689" t="s">
        <v>12657</v>
      </c>
    </row>
    <row r="2339" spans="1:139" ht="43.5">
      <c r="A2339" s="532"/>
      <c r="AR2339" s="2513"/>
      <c r="CT2339" s="531"/>
      <c r="EI2339" s="2689" t="s">
        <v>12658</v>
      </c>
    </row>
    <row r="2340" spans="1:139" ht="43.5">
      <c r="A2340" s="532"/>
      <c r="AR2340" s="2513"/>
      <c r="CT2340" s="531"/>
      <c r="EI2340" s="2689" t="s">
        <v>12659</v>
      </c>
    </row>
    <row r="2341" spans="1:139" ht="72.5">
      <c r="A2341" s="532"/>
      <c r="AR2341" s="2513"/>
      <c r="CT2341" s="531"/>
      <c r="EI2341" s="2689" t="s">
        <v>12660</v>
      </c>
    </row>
    <row r="2342" spans="1:139" ht="58">
      <c r="A2342" s="532"/>
      <c r="AR2342" s="2513"/>
      <c r="CT2342" s="531"/>
      <c r="EI2342" s="2689" t="s">
        <v>12661</v>
      </c>
    </row>
    <row r="2343" spans="1:139" ht="29">
      <c r="A2343" s="532"/>
      <c r="AR2343" s="2513"/>
      <c r="CT2343" s="531"/>
      <c r="EI2343" s="2689" t="s">
        <v>12662</v>
      </c>
    </row>
    <row r="2344" spans="1:139" ht="29">
      <c r="A2344" s="532"/>
      <c r="AR2344" s="2513"/>
      <c r="CT2344" s="531"/>
      <c r="EI2344" s="2689" t="s">
        <v>12663</v>
      </c>
    </row>
    <row r="2345" spans="1:139">
      <c r="A2345" s="532"/>
      <c r="AR2345" s="2513"/>
      <c r="CT2345" s="531"/>
      <c r="EI2345" s="2689" t="s">
        <v>12664</v>
      </c>
    </row>
    <row r="2346" spans="1:139" ht="72.5">
      <c r="A2346" s="532"/>
      <c r="AR2346" s="2513"/>
      <c r="CT2346" s="531"/>
      <c r="EI2346" s="2689" t="s">
        <v>12665</v>
      </c>
    </row>
    <row r="2347" spans="1:139" ht="29">
      <c r="A2347" s="532"/>
      <c r="AR2347" s="2513"/>
      <c r="CT2347" s="531"/>
      <c r="EI2347" s="2689" t="s">
        <v>12666</v>
      </c>
    </row>
    <row r="2348" spans="1:139" ht="43.5">
      <c r="A2348" s="532"/>
      <c r="AR2348" s="2513"/>
      <c r="CT2348" s="531"/>
      <c r="EI2348" s="2689" t="s">
        <v>12667</v>
      </c>
    </row>
    <row r="2349" spans="1:139" ht="29">
      <c r="A2349" s="532"/>
      <c r="AR2349" s="2513"/>
      <c r="CT2349" s="531"/>
      <c r="EI2349" s="2689" t="s">
        <v>12668</v>
      </c>
    </row>
    <row r="2350" spans="1:139" ht="43.5">
      <c r="A2350" s="532"/>
      <c r="AR2350" s="2513"/>
      <c r="CT2350" s="531"/>
      <c r="EI2350" s="2689" t="s">
        <v>12669</v>
      </c>
    </row>
    <row r="2351" spans="1:139" ht="43.5">
      <c r="A2351" s="532"/>
      <c r="AR2351" s="2513"/>
      <c r="CT2351" s="531"/>
      <c r="EI2351" s="2689" t="s">
        <v>12670</v>
      </c>
    </row>
    <row r="2352" spans="1:139" ht="43.5">
      <c r="A2352" s="532"/>
      <c r="AR2352" s="2513"/>
      <c r="CT2352" s="531"/>
      <c r="EI2352" s="2689" t="s">
        <v>12671</v>
      </c>
    </row>
    <row r="2353" spans="1:139" ht="43.5">
      <c r="A2353" s="532"/>
      <c r="AR2353" s="2513"/>
      <c r="CT2353" s="531"/>
      <c r="EI2353" s="2689" t="s">
        <v>12672</v>
      </c>
    </row>
    <row r="2354" spans="1:139" ht="29">
      <c r="A2354" s="532"/>
      <c r="AR2354" s="2513"/>
      <c r="CT2354" s="531"/>
      <c r="EI2354" s="2689" t="s">
        <v>12673</v>
      </c>
    </row>
    <row r="2355" spans="1:139" ht="58">
      <c r="A2355" s="532"/>
      <c r="AR2355" s="2513"/>
      <c r="CT2355" s="531"/>
      <c r="EI2355" s="2689" t="s">
        <v>12674</v>
      </c>
    </row>
    <row r="2356" spans="1:139" ht="43.5">
      <c r="A2356" s="532"/>
      <c r="AR2356" s="2513"/>
      <c r="CT2356" s="531"/>
      <c r="EI2356" s="2689" t="s">
        <v>12675</v>
      </c>
    </row>
    <row r="2357" spans="1:139" ht="43.5">
      <c r="A2357" s="532"/>
      <c r="AR2357" s="2513"/>
      <c r="CT2357" s="531"/>
      <c r="EI2357" s="2689" t="s">
        <v>12676</v>
      </c>
    </row>
    <row r="2358" spans="1:139" ht="29">
      <c r="A2358" s="532"/>
      <c r="AR2358" s="2513"/>
      <c r="CT2358" s="531"/>
      <c r="EI2358" s="2689" t="s">
        <v>12677</v>
      </c>
    </row>
    <row r="2359" spans="1:139">
      <c r="A2359" s="532"/>
      <c r="AR2359" s="2513"/>
      <c r="CT2359" s="531"/>
      <c r="EI2359" s="2689" t="s">
        <v>12678</v>
      </c>
    </row>
    <row r="2360" spans="1:139" ht="43.5">
      <c r="A2360" s="532"/>
      <c r="AR2360" s="2513"/>
      <c r="CT2360" s="531"/>
      <c r="EI2360" s="2689" t="s">
        <v>12679</v>
      </c>
    </row>
    <row r="2361" spans="1:139" ht="29">
      <c r="A2361" s="532"/>
      <c r="AR2361" s="2513"/>
      <c r="CT2361" s="531"/>
      <c r="EI2361" s="2689" t="s">
        <v>12680</v>
      </c>
    </row>
    <row r="2362" spans="1:139" ht="29">
      <c r="A2362" s="532"/>
      <c r="AR2362" s="2513"/>
      <c r="CT2362" s="531"/>
      <c r="EI2362" s="2689" t="s">
        <v>12681</v>
      </c>
    </row>
    <row r="2363" spans="1:139">
      <c r="A2363" s="532"/>
      <c r="AR2363" s="2513"/>
      <c r="CT2363" s="531"/>
      <c r="EI2363" s="2689" t="s">
        <v>12682</v>
      </c>
    </row>
    <row r="2364" spans="1:139" ht="58">
      <c r="A2364" s="532"/>
      <c r="AR2364" s="2513"/>
      <c r="CT2364" s="531"/>
      <c r="EI2364" s="2689" t="s">
        <v>12683</v>
      </c>
    </row>
    <row r="2365" spans="1:139" ht="43.5">
      <c r="A2365" s="532"/>
      <c r="AR2365" s="2513"/>
      <c r="CT2365" s="531"/>
      <c r="EI2365" s="2689" t="s">
        <v>12684</v>
      </c>
    </row>
    <row r="2366" spans="1:139" ht="43.5">
      <c r="A2366" s="532"/>
      <c r="AR2366" s="2513"/>
      <c r="CT2366" s="531"/>
      <c r="EI2366" s="2689" t="s">
        <v>12685</v>
      </c>
    </row>
    <row r="2367" spans="1:139" ht="58">
      <c r="A2367" s="532"/>
      <c r="AR2367" s="2513"/>
      <c r="CT2367" s="531"/>
      <c r="EI2367" s="2689" t="s">
        <v>12686</v>
      </c>
    </row>
    <row r="2368" spans="1:139" ht="29">
      <c r="A2368" s="532"/>
      <c r="AR2368" s="2513"/>
      <c r="CT2368" s="531"/>
      <c r="EI2368" s="2689" t="s">
        <v>12687</v>
      </c>
    </row>
    <row r="2369" spans="1:139" ht="58">
      <c r="A2369" s="532"/>
      <c r="AR2369" s="2513"/>
      <c r="CT2369" s="531"/>
      <c r="EI2369" s="2689" t="s">
        <v>12688</v>
      </c>
    </row>
    <row r="2370" spans="1:139" ht="43.5">
      <c r="A2370" s="532"/>
      <c r="AR2370" s="2513"/>
      <c r="CT2370" s="531"/>
      <c r="EI2370" s="2689" t="s">
        <v>12689</v>
      </c>
    </row>
    <row r="2371" spans="1:139" ht="43.5">
      <c r="A2371" s="532"/>
      <c r="AR2371" s="2513"/>
      <c r="CT2371" s="531"/>
      <c r="EI2371" s="2689" t="s">
        <v>12690</v>
      </c>
    </row>
    <row r="2372" spans="1:139">
      <c r="A2372" s="532"/>
      <c r="AR2372" s="2513"/>
      <c r="CT2372" s="531"/>
      <c r="EI2372" s="2689" t="s">
        <v>12691</v>
      </c>
    </row>
    <row r="2373" spans="1:139" ht="29">
      <c r="A2373" s="532"/>
      <c r="AR2373" s="2513"/>
      <c r="CT2373" s="531"/>
      <c r="EI2373" s="2689" t="s">
        <v>12692</v>
      </c>
    </row>
    <row r="2374" spans="1:139">
      <c r="A2374" s="532"/>
      <c r="AR2374" s="2513"/>
      <c r="CT2374" s="531"/>
      <c r="EI2374" s="2689" t="s">
        <v>12693</v>
      </c>
    </row>
    <row r="2375" spans="1:139" ht="87">
      <c r="A2375" s="532"/>
      <c r="AR2375" s="2513"/>
      <c r="CT2375" s="531"/>
      <c r="EI2375" s="2689" t="s">
        <v>12694</v>
      </c>
    </row>
    <row r="2376" spans="1:139" ht="87">
      <c r="A2376" s="532"/>
      <c r="AR2376" s="2513"/>
      <c r="CT2376" s="531"/>
      <c r="EI2376" s="2689" t="s">
        <v>12695</v>
      </c>
    </row>
    <row r="2377" spans="1:139" ht="43.5">
      <c r="A2377" s="532"/>
      <c r="AR2377" s="2513"/>
      <c r="CT2377" s="531"/>
      <c r="EI2377" s="2689" t="s">
        <v>12696</v>
      </c>
    </row>
    <row r="2378" spans="1:139" ht="29">
      <c r="A2378" s="532"/>
      <c r="AR2378" s="2513"/>
      <c r="CT2378" s="531"/>
      <c r="EI2378" s="2689" t="s">
        <v>12697</v>
      </c>
    </row>
    <row r="2379" spans="1:139" ht="159.5">
      <c r="A2379" s="532"/>
      <c r="AR2379" s="2513"/>
      <c r="CT2379" s="531"/>
      <c r="EI2379" s="2689" t="s">
        <v>12698</v>
      </c>
    </row>
    <row r="2380" spans="1:139">
      <c r="A2380" s="532"/>
      <c r="AR2380" s="2513"/>
      <c r="CT2380" s="531"/>
      <c r="EI2380" s="2689" t="s">
        <v>12699</v>
      </c>
    </row>
    <row r="2381" spans="1:139">
      <c r="A2381" s="532"/>
      <c r="AR2381" s="2513"/>
      <c r="CT2381" s="531"/>
      <c r="EI2381" s="2689" t="s">
        <v>12700</v>
      </c>
    </row>
    <row r="2382" spans="1:139">
      <c r="A2382" s="532"/>
      <c r="AR2382" s="2513"/>
      <c r="CT2382" s="531"/>
      <c r="EI2382" s="2689" t="s">
        <v>12701</v>
      </c>
    </row>
    <row r="2383" spans="1:139">
      <c r="A2383" s="532"/>
      <c r="AR2383" s="2513"/>
      <c r="CT2383" s="531"/>
      <c r="EI2383" s="2689" t="s">
        <v>12702</v>
      </c>
    </row>
    <row r="2384" spans="1:139">
      <c r="A2384" s="532"/>
      <c r="AR2384" s="2513"/>
      <c r="CT2384" s="531"/>
      <c r="EI2384" s="2689" t="s">
        <v>12703</v>
      </c>
    </row>
    <row r="2385" spans="1:139">
      <c r="A2385" s="532"/>
      <c r="AR2385" s="2513"/>
      <c r="CT2385" s="531"/>
      <c r="EI2385" s="2689" t="s">
        <v>12704</v>
      </c>
    </row>
    <row r="2386" spans="1:139">
      <c r="A2386" s="532"/>
      <c r="AR2386" s="2513"/>
      <c r="CT2386" s="531"/>
      <c r="EI2386" s="2689" t="s">
        <v>12705</v>
      </c>
    </row>
    <row r="2387" spans="1:139">
      <c r="A2387" s="532"/>
      <c r="AR2387" s="2513"/>
      <c r="CT2387" s="531"/>
      <c r="EI2387" s="2689" t="s">
        <v>12706</v>
      </c>
    </row>
    <row r="2388" spans="1:139">
      <c r="A2388" s="532"/>
      <c r="AR2388" s="2513"/>
      <c r="CT2388" s="531"/>
      <c r="EI2388" s="2689" t="s">
        <v>12707</v>
      </c>
    </row>
    <row r="2389" spans="1:139">
      <c r="A2389" s="532"/>
      <c r="AR2389" s="2513"/>
      <c r="CT2389" s="531"/>
      <c r="EI2389" s="2689" t="s">
        <v>12708</v>
      </c>
    </row>
    <row r="2390" spans="1:139">
      <c r="A2390" s="532"/>
      <c r="AR2390" s="2513"/>
      <c r="CT2390" s="531"/>
      <c r="EI2390" s="2689" t="s">
        <v>12709</v>
      </c>
    </row>
    <row r="2391" spans="1:139">
      <c r="A2391" s="532"/>
      <c r="AR2391" s="2513"/>
      <c r="CT2391" s="531"/>
      <c r="EI2391" s="2689" t="s">
        <v>12710</v>
      </c>
    </row>
    <row r="2392" spans="1:139">
      <c r="A2392" s="532"/>
      <c r="AR2392" s="2513"/>
      <c r="CT2392" s="531"/>
      <c r="EI2392" s="2689" t="s">
        <v>12711</v>
      </c>
    </row>
    <row r="2393" spans="1:139">
      <c r="A2393" s="532"/>
      <c r="AR2393" s="2513"/>
      <c r="CT2393" s="531"/>
      <c r="EI2393" s="2689" t="s">
        <v>12712</v>
      </c>
    </row>
    <row r="2394" spans="1:139">
      <c r="A2394" s="532"/>
      <c r="AR2394" s="2513"/>
      <c r="CT2394" s="531"/>
      <c r="EI2394" s="2689" t="s">
        <v>12713</v>
      </c>
    </row>
    <row r="2395" spans="1:139">
      <c r="A2395" s="532"/>
      <c r="AR2395" s="2513"/>
      <c r="CT2395" s="531"/>
      <c r="EI2395" s="2689" t="s">
        <v>12714</v>
      </c>
    </row>
    <row r="2396" spans="1:139">
      <c r="A2396" s="532"/>
      <c r="AR2396" s="2513"/>
      <c r="CT2396" s="531"/>
      <c r="EI2396" s="2689" t="s">
        <v>12715</v>
      </c>
    </row>
    <row r="2397" spans="1:139">
      <c r="A2397" s="532"/>
      <c r="AR2397" s="2513"/>
      <c r="CT2397" s="531"/>
      <c r="EI2397" s="2689" t="s">
        <v>12716</v>
      </c>
    </row>
    <row r="2398" spans="1:139">
      <c r="A2398" s="532"/>
      <c r="AR2398" s="2513"/>
      <c r="CT2398" s="531"/>
      <c r="EI2398" s="2689" t="s">
        <v>12717</v>
      </c>
    </row>
    <row r="2399" spans="1:139">
      <c r="A2399" s="532"/>
      <c r="AR2399" s="2513"/>
      <c r="CT2399" s="531"/>
      <c r="EI2399" s="2689" t="s">
        <v>12718</v>
      </c>
    </row>
    <row r="2400" spans="1:139" ht="116">
      <c r="A2400" s="532"/>
      <c r="AR2400" s="2513"/>
      <c r="CT2400" s="531"/>
      <c r="EI2400" s="2689" t="s">
        <v>12719</v>
      </c>
    </row>
    <row r="2401" spans="1:139" ht="29">
      <c r="A2401" s="532"/>
      <c r="AR2401" s="2513"/>
      <c r="CT2401" s="531"/>
      <c r="EI2401" s="2689" t="s">
        <v>12720</v>
      </c>
    </row>
    <row r="2402" spans="1:139" ht="58">
      <c r="A2402" s="532"/>
      <c r="AR2402" s="2513"/>
      <c r="CT2402" s="531"/>
      <c r="EI2402" s="2689" t="s">
        <v>12721</v>
      </c>
    </row>
    <row r="2403" spans="1:139" ht="87">
      <c r="A2403" s="532"/>
      <c r="AR2403" s="2513"/>
      <c r="CT2403" s="531"/>
      <c r="EI2403" s="2689" t="s">
        <v>12722</v>
      </c>
    </row>
    <row r="2404" spans="1:139" ht="58">
      <c r="A2404" s="532"/>
      <c r="AR2404" s="2513"/>
      <c r="CT2404" s="531"/>
      <c r="EI2404" s="2689" t="s">
        <v>12723</v>
      </c>
    </row>
    <row r="2405" spans="1:139">
      <c r="A2405" s="532"/>
      <c r="AR2405" s="2513"/>
      <c r="CT2405" s="531"/>
      <c r="EI2405" s="2689" t="s">
        <v>12724</v>
      </c>
    </row>
    <row r="2406" spans="1:139" ht="72.5">
      <c r="A2406" s="532"/>
      <c r="AR2406" s="2513"/>
      <c r="CT2406" s="531"/>
      <c r="EI2406" s="2689" t="s">
        <v>12725</v>
      </c>
    </row>
    <row r="2407" spans="1:139" ht="58">
      <c r="A2407" s="532"/>
      <c r="AR2407" s="2513"/>
      <c r="CT2407" s="531"/>
      <c r="EI2407" s="2689" t="s">
        <v>12726</v>
      </c>
    </row>
    <row r="2408" spans="1:139" ht="72.5">
      <c r="A2408" s="532"/>
      <c r="AR2408" s="2513"/>
      <c r="CT2408" s="531"/>
      <c r="EI2408" s="2689" t="s">
        <v>12727</v>
      </c>
    </row>
    <row r="2409" spans="1:139">
      <c r="A2409" s="532"/>
      <c r="AR2409" s="2513"/>
      <c r="CT2409" s="531"/>
      <c r="EI2409" s="2689" t="s">
        <v>12728</v>
      </c>
    </row>
    <row r="2410" spans="1:139">
      <c r="A2410" s="532"/>
      <c r="AR2410" s="2513"/>
      <c r="CT2410" s="531"/>
      <c r="EI2410" s="2689" t="s">
        <v>12729</v>
      </c>
    </row>
    <row r="2411" spans="1:139" ht="43.5">
      <c r="A2411" s="532"/>
      <c r="AR2411" s="2513"/>
      <c r="CT2411" s="531"/>
      <c r="EI2411" s="2689" t="s">
        <v>12730</v>
      </c>
    </row>
    <row r="2412" spans="1:139" ht="29">
      <c r="A2412" s="532"/>
      <c r="AR2412" s="2513"/>
      <c r="CT2412" s="531"/>
      <c r="EI2412" s="2689" t="s">
        <v>12731</v>
      </c>
    </row>
    <row r="2413" spans="1:139" ht="72.5">
      <c r="A2413" s="532"/>
      <c r="AR2413" s="2513"/>
      <c r="CT2413" s="531"/>
      <c r="EI2413" s="2689" t="s">
        <v>12732</v>
      </c>
    </row>
    <row r="2414" spans="1:139" ht="72.5">
      <c r="A2414" s="532"/>
      <c r="AR2414" s="2513"/>
      <c r="CT2414" s="531"/>
      <c r="EI2414" s="2689" t="s">
        <v>12733</v>
      </c>
    </row>
    <row r="2415" spans="1:139" ht="72.5">
      <c r="A2415" s="532"/>
      <c r="AR2415" s="2513"/>
      <c r="CT2415" s="531"/>
      <c r="EI2415" s="2689" t="s">
        <v>12734</v>
      </c>
    </row>
    <row r="2416" spans="1:139" ht="29">
      <c r="A2416" s="532"/>
      <c r="AR2416" s="2513"/>
      <c r="CT2416" s="531"/>
      <c r="EI2416" s="2689" t="s">
        <v>12735</v>
      </c>
    </row>
    <row r="2417" spans="1:139">
      <c r="A2417" s="532"/>
      <c r="AR2417" s="2513"/>
      <c r="CT2417" s="531"/>
      <c r="EI2417" s="2689" t="s">
        <v>12736</v>
      </c>
    </row>
    <row r="2418" spans="1:139" ht="87">
      <c r="A2418" s="532"/>
      <c r="AR2418" s="2513"/>
      <c r="CT2418" s="531"/>
      <c r="EI2418" s="2689" t="s">
        <v>12737</v>
      </c>
    </row>
    <row r="2419" spans="1:139">
      <c r="A2419" s="532"/>
      <c r="AR2419" s="2513"/>
      <c r="CT2419" s="531"/>
      <c r="EI2419" s="2689" t="s">
        <v>12738</v>
      </c>
    </row>
    <row r="2420" spans="1:139" ht="87">
      <c r="A2420" s="532"/>
      <c r="AR2420" s="2513"/>
      <c r="CT2420" s="531"/>
      <c r="EI2420" s="2689" t="s">
        <v>12739</v>
      </c>
    </row>
    <row r="2421" spans="1:139" ht="72.5">
      <c r="A2421" s="532"/>
      <c r="AR2421" s="2513"/>
      <c r="CT2421" s="531"/>
      <c r="EI2421" s="2689" t="s">
        <v>12740</v>
      </c>
    </row>
    <row r="2422" spans="1:139" ht="72.5">
      <c r="A2422" s="532"/>
      <c r="AR2422" s="2513"/>
      <c r="CT2422" s="531"/>
      <c r="EI2422" s="2689" t="s">
        <v>12741</v>
      </c>
    </row>
    <row r="2423" spans="1:139" ht="29">
      <c r="A2423" s="532"/>
      <c r="AR2423" s="2513"/>
      <c r="CT2423" s="531"/>
      <c r="EI2423" s="2689" t="s">
        <v>12742</v>
      </c>
    </row>
    <row r="2424" spans="1:139" ht="29">
      <c r="A2424" s="532"/>
      <c r="AR2424" s="2513"/>
      <c r="CT2424" s="531"/>
      <c r="EI2424" s="2689" t="s">
        <v>12743</v>
      </c>
    </row>
    <row r="2425" spans="1:139">
      <c r="A2425" s="532"/>
      <c r="AR2425" s="2513"/>
      <c r="CT2425" s="531"/>
      <c r="EI2425" s="2689" t="s">
        <v>12744</v>
      </c>
    </row>
    <row r="2426" spans="1:139" ht="58">
      <c r="A2426" s="532"/>
      <c r="AR2426" s="2513"/>
      <c r="CT2426" s="531"/>
      <c r="EI2426" s="2689" t="s">
        <v>12745</v>
      </c>
    </row>
    <row r="2427" spans="1:139" ht="58">
      <c r="A2427" s="532"/>
      <c r="AR2427" s="2513"/>
      <c r="CT2427" s="531"/>
      <c r="EI2427" s="2689" t="s">
        <v>12746</v>
      </c>
    </row>
    <row r="2428" spans="1:139" ht="87">
      <c r="A2428" s="532"/>
      <c r="AR2428" s="2513"/>
      <c r="CT2428" s="531"/>
      <c r="EI2428" s="2689" t="s">
        <v>12747</v>
      </c>
    </row>
    <row r="2429" spans="1:139" ht="43.5">
      <c r="A2429" s="532"/>
      <c r="AR2429" s="2513"/>
      <c r="CT2429" s="531"/>
      <c r="EI2429" s="2689" t="s">
        <v>12748</v>
      </c>
    </row>
    <row r="2430" spans="1:139" ht="43.5">
      <c r="A2430" s="532"/>
      <c r="AR2430" s="2513"/>
      <c r="CT2430" s="531"/>
      <c r="EI2430" s="2689" t="s">
        <v>12749</v>
      </c>
    </row>
    <row r="2431" spans="1:139">
      <c r="A2431" s="532"/>
      <c r="AR2431" s="2513"/>
      <c r="CT2431" s="531"/>
      <c r="EI2431" s="2689" t="s">
        <v>12750</v>
      </c>
    </row>
    <row r="2432" spans="1:139" ht="58">
      <c r="A2432" s="532"/>
      <c r="AR2432" s="2513"/>
      <c r="CT2432" s="531"/>
      <c r="EI2432" s="2689" t="s">
        <v>12751</v>
      </c>
    </row>
    <row r="2433" spans="1:139" ht="43.5">
      <c r="A2433" s="532"/>
      <c r="AR2433" s="2513"/>
      <c r="CT2433" s="531"/>
      <c r="EI2433" s="2689" t="s">
        <v>12752</v>
      </c>
    </row>
    <row r="2434" spans="1:139" ht="43.5">
      <c r="A2434" s="532"/>
      <c r="AR2434" s="2513"/>
      <c r="CT2434" s="531"/>
      <c r="EI2434" s="2689" t="s">
        <v>12753</v>
      </c>
    </row>
    <row r="2435" spans="1:139" ht="29">
      <c r="A2435" s="532"/>
      <c r="AR2435" s="2513"/>
      <c r="CT2435" s="531"/>
      <c r="EI2435" s="2689" t="s">
        <v>12754</v>
      </c>
    </row>
    <row r="2436" spans="1:139" ht="43.5">
      <c r="A2436" s="532"/>
      <c r="AR2436" s="2513"/>
      <c r="CT2436" s="531"/>
      <c r="EI2436" s="2689" t="s">
        <v>12755</v>
      </c>
    </row>
    <row r="2437" spans="1:139" ht="43.5">
      <c r="A2437" s="532"/>
      <c r="AR2437" s="2513"/>
      <c r="CT2437" s="531"/>
      <c r="EI2437" s="2689" t="s">
        <v>12756</v>
      </c>
    </row>
    <row r="2438" spans="1:139" ht="58">
      <c r="A2438" s="532"/>
      <c r="AR2438" s="2513"/>
      <c r="CT2438" s="531"/>
      <c r="EI2438" s="2689" t="s">
        <v>12757</v>
      </c>
    </row>
    <row r="2439" spans="1:139" ht="29">
      <c r="A2439" s="532"/>
      <c r="AR2439" s="2513"/>
      <c r="CT2439" s="531"/>
      <c r="EI2439" s="2689" t="s">
        <v>12758</v>
      </c>
    </row>
    <row r="2440" spans="1:139" ht="43.5">
      <c r="A2440" s="532"/>
      <c r="AR2440" s="2513"/>
      <c r="CT2440" s="531"/>
      <c r="EI2440" s="2689" t="s">
        <v>12759</v>
      </c>
    </row>
    <row r="2441" spans="1:139" ht="29">
      <c r="A2441" s="532"/>
      <c r="AR2441" s="2513"/>
      <c r="CT2441" s="531"/>
      <c r="EI2441" s="2689" t="s">
        <v>12760</v>
      </c>
    </row>
    <row r="2442" spans="1:139" ht="29">
      <c r="A2442" s="532"/>
      <c r="AR2442" s="2513"/>
      <c r="CT2442" s="531"/>
      <c r="EI2442" s="2689" t="s">
        <v>12761</v>
      </c>
    </row>
    <row r="2443" spans="1:139" ht="29">
      <c r="A2443" s="532"/>
      <c r="AR2443" s="2513"/>
      <c r="CT2443" s="531"/>
      <c r="EI2443" s="2689" t="s">
        <v>12762</v>
      </c>
    </row>
    <row r="2444" spans="1:139" ht="43.5">
      <c r="A2444" s="532"/>
      <c r="AR2444" s="2513"/>
      <c r="CT2444" s="531"/>
      <c r="EI2444" s="2689" t="s">
        <v>12763</v>
      </c>
    </row>
    <row r="2445" spans="1:139" ht="29">
      <c r="A2445" s="532"/>
      <c r="AR2445" s="2513"/>
      <c r="CT2445" s="531"/>
      <c r="EI2445" s="2689" t="s">
        <v>12764</v>
      </c>
    </row>
    <row r="2446" spans="1:139" ht="29">
      <c r="A2446" s="532"/>
      <c r="AR2446" s="2513"/>
      <c r="CT2446" s="531"/>
      <c r="EI2446" s="2689" t="s">
        <v>12765</v>
      </c>
    </row>
    <row r="2447" spans="1:139" ht="72.5">
      <c r="A2447" s="532"/>
      <c r="AR2447" s="2513"/>
      <c r="CT2447" s="531"/>
      <c r="EI2447" s="2689" t="s">
        <v>12766</v>
      </c>
    </row>
    <row r="2448" spans="1:139" ht="87">
      <c r="A2448" s="532"/>
      <c r="AR2448" s="2513"/>
      <c r="CT2448" s="531"/>
      <c r="EI2448" s="2689" t="s">
        <v>12767</v>
      </c>
    </row>
    <row r="2449" spans="1:139" ht="43.5">
      <c r="A2449" s="532"/>
      <c r="AR2449" s="2513"/>
      <c r="CT2449" s="531"/>
      <c r="EI2449" s="2689" t="s">
        <v>12768</v>
      </c>
    </row>
    <row r="2450" spans="1:139" ht="29">
      <c r="A2450" s="532"/>
      <c r="AR2450" s="2513"/>
      <c r="CT2450" s="531"/>
      <c r="EI2450" s="2689" t="s">
        <v>12769</v>
      </c>
    </row>
    <row r="2451" spans="1:139" ht="87">
      <c r="A2451" s="532"/>
      <c r="AR2451" s="2513"/>
      <c r="CT2451" s="531"/>
      <c r="EI2451" s="2689" t="s">
        <v>12770</v>
      </c>
    </row>
    <row r="2452" spans="1:139" ht="29">
      <c r="A2452" s="532"/>
      <c r="AR2452" s="2513"/>
      <c r="CT2452" s="531"/>
      <c r="EI2452" s="2689" t="s">
        <v>12771</v>
      </c>
    </row>
    <row r="2453" spans="1:139" ht="43.5">
      <c r="A2453" s="532"/>
      <c r="AR2453" s="2513"/>
      <c r="CT2453" s="531"/>
      <c r="EI2453" s="2689" t="s">
        <v>12772</v>
      </c>
    </row>
    <row r="2454" spans="1:139" ht="29">
      <c r="A2454" s="532"/>
      <c r="AR2454" s="2513"/>
      <c r="CT2454" s="531"/>
      <c r="EI2454" s="2689" t="s">
        <v>12773</v>
      </c>
    </row>
    <row r="2455" spans="1:139">
      <c r="A2455" s="532"/>
      <c r="AR2455" s="2513"/>
      <c r="CT2455" s="531"/>
      <c r="EI2455" s="2689" t="s">
        <v>12774</v>
      </c>
    </row>
    <row r="2456" spans="1:139" ht="29">
      <c r="A2456" s="532"/>
      <c r="AR2456" s="2513"/>
      <c r="CT2456" s="531"/>
      <c r="EI2456" s="2689" t="s">
        <v>12775</v>
      </c>
    </row>
    <row r="2457" spans="1:139">
      <c r="A2457" s="532"/>
      <c r="AR2457" s="2513"/>
      <c r="CT2457" s="531"/>
      <c r="EI2457" s="2689" t="s">
        <v>12776</v>
      </c>
    </row>
    <row r="2458" spans="1:139" ht="29">
      <c r="A2458" s="532"/>
      <c r="AR2458" s="2513"/>
      <c r="CT2458" s="531"/>
      <c r="EI2458" s="2689" t="s">
        <v>12777</v>
      </c>
    </row>
    <row r="2459" spans="1:139" ht="29">
      <c r="A2459" s="532"/>
      <c r="AR2459" s="2513"/>
      <c r="CT2459" s="531"/>
      <c r="EI2459" s="2689" t="s">
        <v>12778</v>
      </c>
    </row>
    <row r="2460" spans="1:139" ht="29">
      <c r="A2460" s="532"/>
      <c r="AR2460" s="2513"/>
      <c r="CT2460" s="531"/>
      <c r="EI2460" s="2689" t="s">
        <v>12779</v>
      </c>
    </row>
    <row r="2461" spans="1:139">
      <c r="A2461" s="532"/>
      <c r="AR2461" s="2513"/>
      <c r="CT2461" s="531"/>
      <c r="EI2461" s="2689" t="s">
        <v>12780</v>
      </c>
    </row>
    <row r="2462" spans="1:139">
      <c r="A2462" s="532"/>
      <c r="AR2462" s="2513"/>
      <c r="CT2462" s="531"/>
      <c r="EI2462" s="2689" t="s">
        <v>12781</v>
      </c>
    </row>
    <row r="2463" spans="1:139" ht="43.5">
      <c r="A2463" s="532"/>
      <c r="AR2463" s="2513"/>
      <c r="CT2463" s="531"/>
      <c r="EI2463" s="2689" t="s">
        <v>12782</v>
      </c>
    </row>
    <row r="2464" spans="1:139" ht="29">
      <c r="A2464" s="532"/>
      <c r="AR2464" s="2513"/>
      <c r="CT2464" s="531"/>
      <c r="EI2464" s="2689" t="s">
        <v>12783</v>
      </c>
    </row>
    <row r="2465" spans="1:139" ht="43.5">
      <c r="A2465" s="532"/>
      <c r="AR2465" s="2513"/>
      <c r="CT2465" s="531"/>
      <c r="EI2465" s="2689" t="s">
        <v>12784</v>
      </c>
    </row>
    <row r="2466" spans="1:139" ht="58">
      <c r="A2466" s="532"/>
      <c r="AR2466" s="2513"/>
      <c r="CT2466" s="531"/>
      <c r="EI2466" s="2689" t="s">
        <v>12785</v>
      </c>
    </row>
    <row r="2467" spans="1:139" ht="58">
      <c r="A2467" s="532"/>
      <c r="AR2467" s="2513"/>
      <c r="CT2467" s="531"/>
      <c r="EI2467" s="2689" t="s">
        <v>12786</v>
      </c>
    </row>
    <row r="2468" spans="1:139" ht="58">
      <c r="A2468" s="532"/>
      <c r="AR2468" s="2513"/>
      <c r="CT2468" s="531"/>
      <c r="EI2468" s="2689" t="s">
        <v>12787</v>
      </c>
    </row>
    <row r="2469" spans="1:139" ht="43.5">
      <c r="A2469" s="532"/>
      <c r="AR2469" s="2513"/>
      <c r="CT2469" s="531"/>
      <c r="EI2469" s="2689" t="s">
        <v>12788</v>
      </c>
    </row>
    <row r="2470" spans="1:139">
      <c r="A2470" s="532"/>
      <c r="AR2470" s="2513"/>
      <c r="CT2470" s="531"/>
      <c r="EI2470" s="2689" t="s">
        <v>12789</v>
      </c>
    </row>
    <row r="2471" spans="1:139">
      <c r="A2471" s="532"/>
      <c r="AR2471" s="2513"/>
      <c r="CT2471" s="531"/>
      <c r="EI2471" s="2689" t="s">
        <v>12790</v>
      </c>
    </row>
    <row r="2472" spans="1:139">
      <c r="A2472" s="532"/>
      <c r="AR2472" s="2513"/>
      <c r="CT2472" s="531"/>
      <c r="EI2472" s="2689" t="s">
        <v>12791</v>
      </c>
    </row>
    <row r="2473" spans="1:139" ht="29">
      <c r="A2473" s="532"/>
      <c r="AR2473" s="2513"/>
      <c r="CT2473" s="531"/>
      <c r="EI2473" s="2689" t="s">
        <v>12792</v>
      </c>
    </row>
    <row r="2474" spans="1:139" ht="29">
      <c r="A2474" s="532"/>
      <c r="AR2474" s="2513"/>
      <c r="CT2474" s="531"/>
      <c r="EI2474" s="2689" t="s">
        <v>12793</v>
      </c>
    </row>
    <row r="2475" spans="1:139" ht="43.5">
      <c r="A2475" s="532"/>
      <c r="AR2475" s="2513"/>
      <c r="CT2475" s="531"/>
      <c r="EI2475" s="2689" t="s">
        <v>12794</v>
      </c>
    </row>
    <row r="2476" spans="1:139" ht="29">
      <c r="A2476" s="532"/>
      <c r="AR2476" s="2513"/>
      <c r="CT2476" s="531"/>
      <c r="EI2476" s="2689" t="s">
        <v>12795</v>
      </c>
    </row>
    <row r="2477" spans="1:139" ht="43.5">
      <c r="A2477" s="532"/>
      <c r="AR2477" s="2513"/>
      <c r="CT2477" s="531"/>
      <c r="EI2477" s="2689" t="s">
        <v>12796</v>
      </c>
    </row>
    <row r="2478" spans="1:139" ht="58">
      <c r="A2478" s="532"/>
      <c r="AR2478" s="2513"/>
      <c r="CT2478" s="531"/>
      <c r="EI2478" s="2689" t="s">
        <v>12797</v>
      </c>
    </row>
    <row r="2479" spans="1:139" ht="43.5">
      <c r="A2479" s="532"/>
      <c r="AR2479" s="2513"/>
      <c r="CT2479" s="531"/>
      <c r="EI2479" s="2689" t="s">
        <v>12798</v>
      </c>
    </row>
    <row r="2480" spans="1:139" ht="58">
      <c r="A2480" s="532"/>
      <c r="AR2480" s="2513"/>
      <c r="CT2480" s="531"/>
      <c r="EI2480" s="2689" t="s">
        <v>12799</v>
      </c>
    </row>
    <row r="2481" spans="1:139" ht="72.5">
      <c r="A2481" s="532"/>
      <c r="AR2481" s="2513"/>
      <c r="CT2481" s="531"/>
      <c r="EI2481" s="2689" t="s">
        <v>12800</v>
      </c>
    </row>
    <row r="2482" spans="1:139" ht="72.5">
      <c r="A2482" s="532"/>
      <c r="AR2482" s="2513"/>
      <c r="CT2482" s="531"/>
      <c r="EI2482" s="2689" t="s">
        <v>12801</v>
      </c>
    </row>
    <row r="2483" spans="1:139" ht="87">
      <c r="A2483" s="532"/>
      <c r="AR2483" s="2513"/>
      <c r="CT2483" s="531"/>
      <c r="EI2483" s="2689" t="s">
        <v>12802</v>
      </c>
    </row>
    <row r="2484" spans="1:139" ht="58">
      <c r="A2484" s="532"/>
      <c r="AR2484" s="2513"/>
      <c r="CT2484" s="531"/>
      <c r="EI2484" s="2689" t="s">
        <v>12803</v>
      </c>
    </row>
    <row r="2485" spans="1:139" ht="58">
      <c r="A2485" s="532"/>
      <c r="AR2485" s="2513"/>
      <c r="CT2485" s="531"/>
      <c r="EI2485" s="2689" t="s">
        <v>12804</v>
      </c>
    </row>
    <row r="2486" spans="1:139" ht="43.5">
      <c r="A2486" s="532"/>
      <c r="AR2486" s="2513"/>
      <c r="CT2486" s="531"/>
      <c r="EI2486" s="2689" t="s">
        <v>12805</v>
      </c>
    </row>
    <row r="2487" spans="1:139" ht="58">
      <c r="A2487" s="532"/>
      <c r="AR2487" s="2513"/>
      <c r="CT2487" s="531"/>
      <c r="EI2487" s="2689" t="s">
        <v>12806</v>
      </c>
    </row>
    <row r="2488" spans="1:139" ht="43.5">
      <c r="A2488" s="532"/>
      <c r="AR2488" s="2513"/>
      <c r="CT2488" s="531"/>
      <c r="EI2488" s="2689" t="s">
        <v>12807</v>
      </c>
    </row>
    <row r="2489" spans="1:139" ht="29">
      <c r="A2489" s="532"/>
      <c r="AR2489" s="2513"/>
      <c r="CT2489" s="531"/>
      <c r="EI2489" s="2689" t="s">
        <v>12808</v>
      </c>
    </row>
    <row r="2490" spans="1:139" ht="29">
      <c r="A2490" s="532"/>
      <c r="AR2490" s="2513"/>
      <c r="CT2490" s="531"/>
      <c r="EI2490" s="2689" t="s">
        <v>12809</v>
      </c>
    </row>
    <row r="2491" spans="1:139" ht="29">
      <c r="A2491" s="532"/>
      <c r="AR2491" s="2513"/>
      <c r="CT2491" s="531"/>
      <c r="EI2491" s="2689" t="s">
        <v>12810</v>
      </c>
    </row>
    <row r="2492" spans="1:139" ht="29">
      <c r="A2492" s="532"/>
      <c r="AR2492" s="2513"/>
      <c r="CT2492" s="531"/>
      <c r="EI2492" s="2689" t="s">
        <v>12811</v>
      </c>
    </row>
    <row r="2493" spans="1:139" ht="72.5">
      <c r="A2493" s="532"/>
      <c r="AR2493" s="2513"/>
      <c r="CT2493" s="531"/>
      <c r="EI2493" s="2689" t="s">
        <v>12812</v>
      </c>
    </row>
    <row r="2494" spans="1:139" ht="29">
      <c r="A2494" s="532"/>
      <c r="AR2494" s="2513"/>
      <c r="CT2494" s="531"/>
      <c r="EI2494" s="2689" t="s">
        <v>12813</v>
      </c>
    </row>
    <row r="2495" spans="1:139" ht="43.5">
      <c r="A2495" s="532"/>
      <c r="AR2495" s="2513"/>
      <c r="CT2495" s="531"/>
      <c r="EI2495" s="2689" t="s">
        <v>12814</v>
      </c>
    </row>
    <row r="2496" spans="1:139" ht="29">
      <c r="A2496" s="532"/>
      <c r="AR2496" s="2513"/>
      <c r="CT2496" s="531"/>
      <c r="EI2496" s="2689" t="s">
        <v>12815</v>
      </c>
    </row>
    <row r="2497" spans="1:139" ht="29">
      <c r="A2497" s="532"/>
      <c r="AR2497" s="2513"/>
      <c r="CT2497" s="531"/>
      <c r="EI2497" s="2689" t="s">
        <v>12816</v>
      </c>
    </row>
    <row r="2498" spans="1:139">
      <c r="A2498" s="532"/>
      <c r="AR2498" s="2513"/>
      <c r="CT2498" s="531"/>
      <c r="EI2498" s="2689" t="s">
        <v>12817</v>
      </c>
    </row>
    <row r="2499" spans="1:139" ht="29">
      <c r="A2499" s="532"/>
      <c r="AR2499" s="2513"/>
      <c r="CT2499" s="531"/>
      <c r="EI2499" s="2689" t="s">
        <v>12818</v>
      </c>
    </row>
    <row r="2500" spans="1:139" ht="43.5">
      <c r="A2500" s="532"/>
      <c r="AR2500" s="2513"/>
      <c r="CT2500" s="531"/>
      <c r="EI2500" s="2689" t="s">
        <v>12819</v>
      </c>
    </row>
    <row r="2501" spans="1:139">
      <c r="A2501" s="532"/>
      <c r="AR2501" s="2513"/>
      <c r="CT2501" s="531"/>
      <c r="EI2501" s="2689" t="s">
        <v>12820</v>
      </c>
    </row>
    <row r="2502" spans="1:139" ht="43.5">
      <c r="A2502" s="532"/>
      <c r="AR2502" s="2513"/>
      <c r="CT2502" s="531"/>
      <c r="EI2502" s="2689" t="s">
        <v>12821</v>
      </c>
    </row>
    <row r="2503" spans="1:139" ht="29">
      <c r="A2503" s="532"/>
      <c r="AR2503" s="2513"/>
      <c r="CT2503" s="531"/>
      <c r="EI2503" s="2689" t="s">
        <v>12822</v>
      </c>
    </row>
    <row r="2504" spans="1:139" ht="58">
      <c r="A2504" s="532"/>
      <c r="AR2504" s="2513"/>
      <c r="CT2504" s="531"/>
      <c r="EI2504" s="2689" t="s">
        <v>12823</v>
      </c>
    </row>
    <row r="2505" spans="1:139" ht="116">
      <c r="A2505" s="532"/>
      <c r="AR2505" s="2513"/>
      <c r="CT2505" s="531"/>
      <c r="EI2505" s="2689" t="s">
        <v>12824</v>
      </c>
    </row>
    <row r="2506" spans="1:139" ht="72.5">
      <c r="A2506" s="532"/>
      <c r="AR2506" s="2513"/>
      <c r="CT2506" s="531"/>
      <c r="EI2506" s="2689" t="s">
        <v>12825</v>
      </c>
    </row>
    <row r="2507" spans="1:139" ht="58">
      <c r="A2507" s="532"/>
      <c r="AR2507" s="2513"/>
      <c r="CT2507" s="531"/>
      <c r="EI2507" s="2689" t="s">
        <v>12826</v>
      </c>
    </row>
    <row r="2508" spans="1:139" ht="101.5">
      <c r="A2508" s="532"/>
      <c r="AR2508" s="2513"/>
      <c r="CT2508" s="531"/>
      <c r="EI2508" s="2689" t="s">
        <v>12827</v>
      </c>
    </row>
    <row r="2509" spans="1:139" ht="43.5">
      <c r="A2509" s="532"/>
      <c r="AR2509" s="2513"/>
      <c r="CT2509" s="531"/>
      <c r="EI2509" s="2689" t="s">
        <v>12828</v>
      </c>
    </row>
    <row r="2510" spans="1:139" ht="43.5">
      <c r="A2510" s="532"/>
      <c r="AR2510" s="2513"/>
      <c r="CT2510" s="531"/>
      <c r="EI2510" s="2689" t="s">
        <v>12829</v>
      </c>
    </row>
    <row r="2511" spans="1:139" ht="29">
      <c r="A2511" s="532"/>
      <c r="AR2511" s="2513"/>
      <c r="CT2511" s="531"/>
      <c r="EI2511" s="2689" t="s">
        <v>12830</v>
      </c>
    </row>
    <row r="2512" spans="1:139" ht="72.5">
      <c r="A2512" s="532"/>
      <c r="AR2512" s="2513"/>
      <c r="CT2512" s="531"/>
      <c r="EI2512" s="2689" t="s">
        <v>12831</v>
      </c>
    </row>
    <row r="2513" spans="1:139" ht="43.5">
      <c r="A2513" s="532"/>
      <c r="AR2513" s="2513"/>
      <c r="CT2513" s="531"/>
      <c r="EI2513" s="2689" t="s">
        <v>12832</v>
      </c>
    </row>
    <row r="2514" spans="1:139" ht="43.5">
      <c r="A2514" s="532"/>
      <c r="AR2514" s="2513"/>
      <c r="CT2514" s="531"/>
      <c r="EI2514" s="2689" t="s">
        <v>12833</v>
      </c>
    </row>
    <row r="2515" spans="1:139" ht="58">
      <c r="A2515" s="532"/>
      <c r="AR2515" s="2513"/>
      <c r="CT2515" s="531"/>
      <c r="EI2515" s="2689" t="s">
        <v>12834</v>
      </c>
    </row>
    <row r="2516" spans="1:139" ht="87">
      <c r="A2516" s="532"/>
      <c r="AR2516" s="2513"/>
      <c r="CT2516" s="531"/>
      <c r="EI2516" s="2689" t="s">
        <v>12835</v>
      </c>
    </row>
    <row r="2517" spans="1:139" ht="43.5">
      <c r="A2517" s="532"/>
      <c r="AR2517" s="2513"/>
      <c r="CT2517" s="531"/>
      <c r="EI2517" s="2689" t="s">
        <v>12836</v>
      </c>
    </row>
    <row r="2518" spans="1:139">
      <c r="A2518" s="532"/>
      <c r="AR2518" s="2513"/>
      <c r="CT2518" s="531"/>
      <c r="EI2518" s="2689" t="s">
        <v>12837</v>
      </c>
    </row>
    <row r="2519" spans="1:139" ht="29">
      <c r="A2519" s="532"/>
      <c r="AR2519" s="2513"/>
      <c r="CT2519" s="531"/>
      <c r="EI2519" s="2689" t="s">
        <v>12838</v>
      </c>
    </row>
    <row r="2520" spans="1:139">
      <c r="A2520" s="532"/>
      <c r="AR2520" s="2513"/>
      <c r="CT2520" s="531"/>
      <c r="EI2520" s="2689" t="s">
        <v>12839</v>
      </c>
    </row>
    <row r="2521" spans="1:139" ht="29">
      <c r="A2521" s="532"/>
      <c r="AR2521" s="2513"/>
      <c r="CT2521" s="531"/>
      <c r="EI2521" s="2689" t="s">
        <v>12840</v>
      </c>
    </row>
    <row r="2522" spans="1:139" ht="43.5">
      <c r="A2522" s="532"/>
      <c r="AR2522" s="2513"/>
      <c r="CT2522" s="531"/>
      <c r="EI2522" s="2689" t="s">
        <v>12841</v>
      </c>
    </row>
    <row r="2523" spans="1:139">
      <c r="A2523" s="532"/>
      <c r="AR2523" s="2513"/>
      <c r="CT2523" s="531"/>
      <c r="EI2523" s="2689" t="s">
        <v>12842</v>
      </c>
    </row>
    <row r="2524" spans="1:139">
      <c r="A2524" s="532"/>
      <c r="AR2524" s="2513"/>
      <c r="CT2524" s="531"/>
      <c r="EI2524" s="2689" t="s">
        <v>12843</v>
      </c>
    </row>
    <row r="2525" spans="1:139">
      <c r="A2525" s="532"/>
      <c r="AR2525" s="2513"/>
      <c r="CT2525" s="531"/>
      <c r="EI2525" s="2689" t="s">
        <v>12844</v>
      </c>
    </row>
    <row r="2526" spans="1:139" ht="72.5">
      <c r="A2526" s="532"/>
      <c r="AR2526" s="2513"/>
      <c r="CT2526" s="531"/>
      <c r="EI2526" s="2689" t="s">
        <v>12845</v>
      </c>
    </row>
    <row r="2527" spans="1:139" ht="43.5">
      <c r="A2527" s="532"/>
      <c r="AR2527" s="2513"/>
      <c r="CT2527" s="531"/>
      <c r="EI2527" s="2689" t="s">
        <v>12846</v>
      </c>
    </row>
    <row r="2528" spans="1:139" ht="58">
      <c r="A2528" s="532"/>
      <c r="AR2528" s="2513"/>
      <c r="CT2528" s="531"/>
      <c r="EI2528" s="2689" t="s">
        <v>12847</v>
      </c>
    </row>
    <row r="2529" spans="1:139" ht="29">
      <c r="A2529" s="532"/>
      <c r="AR2529" s="2513"/>
      <c r="CT2529" s="531"/>
      <c r="EI2529" s="2689" t="s">
        <v>12848</v>
      </c>
    </row>
    <row r="2530" spans="1:139" ht="58">
      <c r="A2530" s="532"/>
      <c r="AR2530" s="2513"/>
      <c r="CT2530" s="531"/>
      <c r="EI2530" s="2689" t="s">
        <v>12849</v>
      </c>
    </row>
    <row r="2531" spans="1:139" ht="43.5">
      <c r="A2531" s="532"/>
      <c r="AR2531" s="2513"/>
      <c r="CT2531" s="531"/>
      <c r="EI2531" s="2689" t="s">
        <v>12850</v>
      </c>
    </row>
    <row r="2532" spans="1:139">
      <c r="A2532" s="532"/>
      <c r="AR2532" s="2513"/>
      <c r="CT2532" s="531"/>
      <c r="EI2532" s="2689" t="s">
        <v>12851</v>
      </c>
    </row>
    <row r="2533" spans="1:139" ht="58">
      <c r="A2533" s="532"/>
      <c r="AR2533" s="2513"/>
      <c r="CT2533" s="531"/>
      <c r="EI2533" s="2689" t="s">
        <v>12852</v>
      </c>
    </row>
    <row r="2534" spans="1:139">
      <c r="A2534" s="532"/>
      <c r="AR2534" s="2513"/>
      <c r="CT2534" s="531"/>
      <c r="EI2534" s="2689" t="s">
        <v>12853</v>
      </c>
    </row>
    <row r="2535" spans="1:139" ht="29">
      <c r="A2535" s="532"/>
      <c r="AR2535" s="2513"/>
      <c r="CT2535" s="531"/>
      <c r="EI2535" s="2689" t="s">
        <v>12854</v>
      </c>
    </row>
    <row r="2536" spans="1:139" ht="58">
      <c r="A2536" s="532"/>
      <c r="AR2536" s="2513"/>
      <c r="CT2536" s="531"/>
      <c r="EI2536" s="2689" t="s">
        <v>12855</v>
      </c>
    </row>
    <row r="2537" spans="1:139" ht="29">
      <c r="A2537" s="532"/>
      <c r="AR2537" s="2513"/>
      <c r="CT2537" s="531"/>
      <c r="EI2537" s="2689" t="s">
        <v>12856</v>
      </c>
    </row>
    <row r="2538" spans="1:139" ht="58">
      <c r="A2538" s="532"/>
      <c r="AR2538" s="2513"/>
      <c r="CT2538" s="531"/>
      <c r="EI2538" s="2689" t="s">
        <v>12857</v>
      </c>
    </row>
    <row r="2539" spans="1:139" ht="29">
      <c r="A2539" s="532"/>
      <c r="AR2539" s="2513"/>
      <c r="CT2539" s="531"/>
      <c r="EI2539" s="2689" t="s">
        <v>12858</v>
      </c>
    </row>
    <row r="2540" spans="1:139" ht="72.5">
      <c r="A2540" s="532"/>
      <c r="AR2540" s="2513"/>
      <c r="CT2540" s="531"/>
      <c r="EI2540" s="2689" t="s">
        <v>12859</v>
      </c>
    </row>
    <row r="2541" spans="1:139" ht="29">
      <c r="A2541" s="532"/>
      <c r="AR2541" s="2513"/>
      <c r="CT2541" s="531"/>
      <c r="EI2541" s="2689" t="s">
        <v>12860</v>
      </c>
    </row>
    <row r="2542" spans="1:139" ht="43.5">
      <c r="A2542" s="532"/>
      <c r="AR2542" s="2513"/>
      <c r="CT2542" s="531"/>
      <c r="EI2542" s="2689" t="s">
        <v>12861</v>
      </c>
    </row>
    <row r="2543" spans="1:139" ht="72.5">
      <c r="A2543" s="532"/>
      <c r="AR2543" s="2513"/>
      <c r="CT2543" s="531"/>
      <c r="EI2543" s="2689" t="s">
        <v>12862</v>
      </c>
    </row>
    <row r="2544" spans="1:139" ht="43.5">
      <c r="A2544" s="532"/>
      <c r="AR2544" s="2513"/>
      <c r="CT2544" s="531"/>
      <c r="EI2544" s="2689" t="s">
        <v>12863</v>
      </c>
    </row>
    <row r="2545" spans="1:139" ht="43.5">
      <c r="A2545" s="532"/>
      <c r="AR2545" s="2513"/>
      <c r="CT2545" s="531"/>
      <c r="EI2545" s="2689" t="s">
        <v>12864</v>
      </c>
    </row>
    <row r="2546" spans="1:139" ht="43.5">
      <c r="A2546" s="532"/>
      <c r="AR2546" s="2513"/>
      <c r="CT2546" s="531"/>
      <c r="EI2546" s="2689" t="s">
        <v>12865</v>
      </c>
    </row>
    <row r="2547" spans="1:139" ht="58">
      <c r="A2547" s="532"/>
      <c r="AR2547" s="2513"/>
      <c r="CT2547" s="531"/>
      <c r="EI2547" s="2689" t="s">
        <v>12866</v>
      </c>
    </row>
    <row r="2548" spans="1:139" ht="72.5">
      <c r="A2548" s="532"/>
      <c r="AR2548" s="2513"/>
      <c r="CT2548" s="531"/>
      <c r="EI2548" s="2689" t="s">
        <v>12867</v>
      </c>
    </row>
    <row r="2549" spans="1:139">
      <c r="A2549" s="532"/>
      <c r="AR2549" s="2513"/>
      <c r="CT2549" s="531"/>
      <c r="EI2549" s="2689" t="s">
        <v>12868</v>
      </c>
    </row>
    <row r="2550" spans="1:139" ht="58">
      <c r="A2550" s="532"/>
      <c r="AR2550" s="2513"/>
      <c r="CT2550" s="531"/>
      <c r="EI2550" s="2689" t="s">
        <v>12869</v>
      </c>
    </row>
    <row r="2551" spans="1:139" ht="72.5">
      <c r="A2551" s="532"/>
      <c r="AR2551" s="2513"/>
      <c r="CT2551" s="531"/>
      <c r="EI2551" s="2689" t="s">
        <v>12870</v>
      </c>
    </row>
    <row r="2552" spans="1:139" ht="58">
      <c r="A2552" s="532"/>
      <c r="AR2552" s="2513"/>
      <c r="CT2552" s="531"/>
      <c r="EI2552" s="2689" t="s">
        <v>12871</v>
      </c>
    </row>
    <row r="2553" spans="1:139" ht="58">
      <c r="A2553" s="532"/>
      <c r="AR2553" s="2513"/>
      <c r="CT2553" s="531"/>
      <c r="EI2553" s="2689" t="s">
        <v>12872</v>
      </c>
    </row>
    <row r="2554" spans="1:139" ht="58">
      <c r="A2554" s="532"/>
      <c r="AR2554" s="2513"/>
      <c r="CT2554" s="531"/>
      <c r="EI2554" s="2689" t="s">
        <v>12873</v>
      </c>
    </row>
    <row r="2555" spans="1:139" ht="87">
      <c r="A2555" s="532"/>
      <c r="AR2555" s="2513"/>
      <c r="CT2555" s="531"/>
      <c r="EI2555" s="2689" t="s">
        <v>12874</v>
      </c>
    </row>
    <row r="2556" spans="1:139" ht="101.5">
      <c r="A2556" s="532"/>
      <c r="AR2556" s="2513"/>
      <c r="CT2556" s="531"/>
      <c r="EI2556" s="2689" t="s">
        <v>12875</v>
      </c>
    </row>
    <row r="2557" spans="1:139" ht="145">
      <c r="A2557" s="532"/>
      <c r="AR2557" s="2513"/>
      <c r="CT2557" s="531"/>
      <c r="EI2557" s="2689" t="s">
        <v>12876</v>
      </c>
    </row>
    <row r="2558" spans="1:139" ht="43.5">
      <c r="A2558" s="532"/>
      <c r="AR2558" s="2513"/>
      <c r="CT2558" s="531"/>
      <c r="EI2558" s="2689" t="s">
        <v>12877</v>
      </c>
    </row>
    <row r="2559" spans="1:139" ht="29">
      <c r="A2559" s="532"/>
      <c r="AR2559" s="2513"/>
      <c r="CT2559" s="531"/>
      <c r="EI2559" s="2689" t="s">
        <v>12878</v>
      </c>
    </row>
    <row r="2560" spans="1:139" ht="72.5">
      <c r="A2560" s="532"/>
      <c r="AR2560" s="2513"/>
      <c r="CT2560" s="531"/>
      <c r="EI2560" s="2689" t="s">
        <v>12879</v>
      </c>
    </row>
    <row r="2561" spans="1:139" ht="58">
      <c r="A2561" s="532"/>
      <c r="AR2561" s="2513"/>
      <c r="CT2561" s="531"/>
      <c r="EI2561" s="2689" t="s">
        <v>12880</v>
      </c>
    </row>
    <row r="2562" spans="1:139" ht="29">
      <c r="A2562" s="532"/>
      <c r="AR2562" s="2513"/>
      <c r="CT2562" s="531"/>
      <c r="EI2562" s="2689" t="s">
        <v>12881</v>
      </c>
    </row>
    <row r="2563" spans="1:139" ht="58">
      <c r="A2563" s="532"/>
      <c r="AR2563" s="2513"/>
      <c r="CT2563" s="531"/>
      <c r="EI2563" s="2689" t="s">
        <v>12882</v>
      </c>
    </row>
    <row r="2564" spans="1:139" ht="101.5">
      <c r="A2564" s="532"/>
      <c r="AR2564" s="2513"/>
      <c r="CT2564" s="531"/>
      <c r="EI2564" s="2689" t="s">
        <v>12883</v>
      </c>
    </row>
    <row r="2565" spans="1:139" ht="58">
      <c r="A2565" s="532"/>
      <c r="AR2565" s="2513"/>
      <c r="CT2565" s="531"/>
      <c r="EI2565" s="2689" t="s">
        <v>12884</v>
      </c>
    </row>
    <row r="2566" spans="1:139" ht="43.5">
      <c r="A2566" s="532"/>
      <c r="AR2566" s="2513"/>
      <c r="CT2566" s="531"/>
      <c r="EI2566" s="2689" t="s">
        <v>12885</v>
      </c>
    </row>
    <row r="2567" spans="1:139" ht="58">
      <c r="A2567" s="532"/>
      <c r="AR2567" s="2513"/>
      <c r="CT2567" s="531"/>
      <c r="EI2567" s="2689" t="s">
        <v>12886</v>
      </c>
    </row>
    <row r="2568" spans="1:139">
      <c r="A2568" s="532"/>
      <c r="AR2568" s="2513"/>
      <c r="CT2568" s="531"/>
      <c r="EI2568" s="2689" t="s">
        <v>12887</v>
      </c>
    </row>
    <row r="2569" spans="1:139">
      <c r="A2569" s="532"/>
      <c r="AR2569" s="2513"/>
      <c r="CT2569" s="531"/>
      <c r="EI2569" s="2689" t="s">
        <v>12888</v>
      </c>
    </row>
    <row r="2570" spans="1:139" ht="43.5">
      <c r="A2570" s="532"/>
      <c r="AR2570" s="2513"/>
      <c r="CT2570" s="531"/>
      <c r="EI2570" s="2689" t="s">
        <v>12889</v>
      </c>
    </row>
    <row r="2571" spans="1:139" ht="29">
      <c r="A2571" s="532"/>
      <c r="AR2571" s="2513"/>
      <c r="CT2571" s="531"/>
      <c r="EI2571" s="2689" t="s">
        <v>12890</v>
      </c>
    </row>
    <row r="2572" spans="1:139" ht="130.5">
      <c r="A2572" s="532"/>
      <c r="AR2572" s="2513"/>
      <c r="CT2572" s="531"/>
      <c r="EI2572" s="2689" t="s">
        <v>12891</v>
      </c>
    </row>
    <row r="2573" spans="1:139" ht="43.5">
      <c r="A2573" s="532"/>
      <c r="AR2573" s="2513"/>
      <c r="CT2573" s="531"/>
      <c r="EI2573" s="2689" t="s">
        <v>12892</v>
      </c>
    </row>
    <row r="2574" spans="1:139">
      <c r="A2574" s="532"/>
      <c r="AR2574" s="2513"/>
      <c r="CT2574" s="531"/>
      <c r="EI2574" s="2689" t="s">
        <v>12893</v>
      </c>
    </row>
    <row r="2575" spans="1:139" ht="58">
      <c r="A2575" s="532"/>
      <c r="AR2575" s="2513"/>
      <c r="CT2575" s="531"/>
      <c r="EI2575" s="2689" t="s">
        <v>12894</v>
      </c>
    </row>
    <row r="2576" spans="1:139" ht="43.5">
      <c r="A2576" s="532"/>
      <c r="AR2576" s="2513"/>
      <c r="CT2576" s="531"/>
      <c r="EI2576" s="2689" t="s">
        <v>12895</v>
      </c>
    </row>
    <row r="2577" spans="1:139" ht="29">
      <c r="A2577" s="532"/>
      <c r="AR2577" s="2513"/>
      <c r="CT2577" s="531"/>
      <c r="EI2577" s="2689" t="s">
        <v>12896</v>
      </c>
    </row>
    <row r="2578" spans="1:139">
      <c r="A2578" s="532"/>
      <c r="AR2578" s="2513"/>
      <c r="CT2578" s="531"/>
      <c r="EI2578" s="2689" t="s">
        <v>12897</v>
      </c>
    </row>
    <row r="2579" spans="1:139" ht="130.5">
      <c r="A2579" s="532"/>
      <c r="AR2579" s="2513"/>
      <c r="CT2579" s="531"/>
      <c r="EI2579" s="2689" t="s">
        <v>12898</v>
      </c>
    </row>
    <row r="2580" spans="1:139" ht="29">
      <c r="A2580" s="532"/>
      <c r="AR2580" s="2513"/>
      <c r="CT2580" s="531"/>
      <c r="EI2580" s="2689" t="s">
        <v>12899</v>
      </c>
    </row>
    <row r="2581" spans="1:139" ht="29">
      <c r="A2581" s="532"/>
      <c r="AR2581" s="2513"/>
      <c r="CT2581" s="531"/>
      <c r="EI2581" s="2689" t="s">
        <v>12900</v>
      </c>
    </row>
    <row r="2582" spans="1:139" ht="29">
      <c r="A2582" s="532"/>
      <c r="AR2582" s="2513"/>
      <c r="CT2582" s="531"/>
      <c r="EI2582" s="2689" t="s">
        <v>12901</v>
      </c>
    </row>
    <row r="2583" spans="1:139" ht="58">
      <c r="A2583" s="532"/>
      <c r="AR2583" s="2513"/>
      <c r="CT2583" s="531"/>
      <c r="EI2583" s="2689" t="s">
        <v>12902</v>
      </c>
    </row>
    <row r="2584" spans="1:139" ht="43.5">
      <c r="A2584" s="532"/>
      <c r="AR2584" s="2513"/>
      <c r="CT2584" s="531"/>
      <c r="EI2584" s="2689" t="s">
        <v>12903</v>
      </c>
    </row>
    <row r="2585" spans="1:139">
      <c r="A2585" s="532"/>
      <c r="AR2585" s="2513"/>
      <c r="CT2585" s="531"/>
      <c r="EI2585" s="2689" t="s">
        <v>12904</v>
      </c>
    </row>
    <row r="2586" spans="1:139" ht="29">
      <c r="A2586" s="532"/>
      <c r="AR2586" s="2513"/>
      <c r="CT2586" s="531"/>
      <c r="EI2586" s="2689" t="s">
        <v>12905</v>
      </c>
    </row>
    <row r="2587" spans="1:139" ht="29">
      <c r="A2587" s="532"/>
      <c r="AR2587" s="2513"/>
      <c r="CT2587" s="531"/>
      <c r="EI2587" s="2689" t="s">
        <v>12906</v>
      </c>
    </row>
    <row r="2588" spans="1:139">
      <c r="A2588" s="532"/>
      <c r="AR2588" s="2513"/>
      <c r="CT2588" s="531"/>
      <c r="EI2588" s="2689" t="s">
        <v>12907</v>
      </c>
    </row>
    <row r="2589" spans="1:139" ht="43.5">
      <c r="A2589" s="532"/>
      <c r="AR2589" s="2513"/>
      <c r="CT2589" s="531"/>
      <c r="EI2589" s="2689" t="s">
        <v>12908</v>
      </c>
    </row>
    <row r="2590" spans="1:139">
      <c r="A2590" s="532"/>
      <c r="AR2590" s="2513"/>
      <c r="CT2590" s="531"/>
      <c r="EI2590" s="2689" t="s">
        <v>12909</v>
      </c>
    </row>
    <row r="2591" spans="1:139" ht="72.5">
      <c r="A2591" s="532"/>
      <c r="AR2591" s="2513"/>
      <c r="CT2591" s="531"/>
      <c r="EI2591" s="2689" t="s">
        <v>12910</v>
      </c>
    </row>
    <row r="2592" spans="1:139" ht="58">
      <c r="A2592" s="532"/>
      <c r="AR2592" s="2513"/>
      <c r="CT2592" s="531"/>
      <c r="EI2592" s="2689" t="s">
        <v>12911</v>
      </c>
    </row>
    <row r="2593" spans="1:139" ht="87">
      <c r="A2593" s="532"/>
      <c r="AR2593" s="2513"/>
      <c r="CT2593" s="531"/>
      <c r="EI2593" s="2689" t="s">
        <v>12912</v>
      </c>
    </row>
    <row r="2594" spans="1:139" ht="29">
      <c r="A2594" s="532"/>
      <c r="AR2594" s="2513"/>
      <c r="CT2594" s="531"/>
      <c r="EI2594" s="2689" t="s">
        <v>12913</v>
      </c>
    </row>
    <row r="2595" spans="1:139" ht="58">
      <c r="A2595" s="532"/>
      <c r="AR2595" s="2513"/>
      <c r="CT2595" s="531"/>
      <c r="EI2595" s="2689" t="s">
        <v>12914</v>
      </c>
    </row>
    <row r="2596" spans="1:139" ht="87">
      <c r="A2596" s="532"/>
      <c r="AR2596" s="2513"/>
      <c r="CT2596" s="531"/>
      <c r="EI2596" s="2689" t="s">
        <v>12915</v>
      </c>
    </row>
    <row r="2597" spans="1:139" ht="29">
      <c r="A2597" s="532"/>
      <c r="AR2597" s="2513"/>
      <c r="CT2597" s="531"/>
      <c r="EI2597" s="2689" t="s">
        <v>12916</v>
      </c>
    </row>
    <row r="2598" spans="1:139" ht="87">
      <c r="A2598" s="532"/>
      <c r="AR2598" s="2513"/>
      <c r="CT2598" s="531"/>
      <c r="EI2598" s="2689" t="s">
        <v>12917</v>
      </c>
    </row>
    <row r="2599" spans="1:139">
      <c r="A2599" s="532"/>
      <c r="AR2599" s="2513"/>
      <c r="CT2599" s="531"/>
      <c r="EI2599" s="2689" t="s">
        <v>12918</v>
      </c>
    </row>
    <row r="2600" spans="1:139" ht="29">
      <c r="A2600" s="532"/>
      <c r="AR2600" s="2513"/>
      <c r="CT2600" s="531"/>
      <c r="EI2600" s="2689" t="s">
        <v>12919</v>
      </c>
    </row>
    <row r="2601" spans="1:139">
      <c r="A2601" s="532"/>
      <c r="AR2601" s="2513"/>
      <c r="CT2601" s="531"/>
      <c r="EI2601" s="2689" t="s">
        <v>12920</v>
      </c>
    </row>
    <row r="2602" spans="1:139" ht="58">
      <c r="A2602" s="532"/>
      <c r="AR2602" s="2513"/>
      <c r="CT2602" s="531"/>
      <c r="EI2602" s="2689" t="s">
        <v>12921</v>
      </c>
    </row>
    <row r="2603" spans="1:139" ht="29">
      <c r="A2603" s="532"/>
      <c r="AR2603" s="2513"/>
      <c r="CT2603" s="531"/>
      <c r="EI2603" s="2689" t="s">
        <v>12922</v>
      </c>
    </row>
    <row r="2604" spans="1:139" ht="43.5">
      <c r="A2604" s="532"/>
      <c r="AR2604" s="2513"/>
      <c r="CT2604" s="531"/>
      <c r="EI2604" s="2689" t="s">
        <v>12923</v>
      </c>
    </row>
    <row r="2605" spans="1:139">
      <c r="A2605" s="532"/>
      <c r="AR2605" s="2513"/>
      <c r="CT2605" s="531"/>
      <c r="EI2605" s="2689" t="s">
        <v>12924</v>
      </c>
    </row>
    <row r="2606" spans="1:139" ht="72.5">
      <c r="A2606" s="532"/>
      <c r="AR2606" s="2513"/>
      <c r="CT2606" s="531"/>
      <c r="EI2606" s="2689" t="s">
        <v>12925</v>
      </c>
    </row>
    <row r="2607" spans="1:139" ht="29">
      <c r="A2607" s="532"/>
      <c r="AR2607" s="2513"/>
      <c r="CT2607" s="531"/>
      <c r="EI2607" s="2689" t="s">
        <v>12926</v>
      </c>
    </row>
    <row r="2608" spans="1:139" ht="43.5">
      <c r="A2608" s="532"/>
      <c r="AR2608" s="2513"/>
      <c r="CT2608" s="531"/>
      <c r="EI2608" s="2689" t="s">
        <v>12927</v>
      </c>
    </row>
    <row r="2609" spans="1:139" ht="29">
      <c r="A2609" s="532"/>
      <c r="AR2609" s="2513"/>
      <c r="CT2609" s="531"/>
      <c r="EI2609" s="2689" t="s">
        <v>12928</v>
      </c>
    </row>
    <row r="2610" spans="1:139" ht="29">
      <c r="A2610" s="532"/>
      <c r="AR2610" s="2513"/>
      <c r="CT2610" s="531"/>
      <c r="EI2610" s="2689" t="s">
        <v>12929</v>
      </c>
    </row>
    <row r="2611" spans="1:139" ht="43.5">
      <c r="A2611" s="532"/>
      <c r="AR2611" s="2513"/>
      <c r="CT2611" s="531"/>
      <c r="EI2611" s="2689" t="s">
        <v>12930</v>
      </c>
    </row>
    <row r="2612" spans="1:139" ht="43.5">
      <c r="A2612" s="532"/>
      <c r="AR2612" s="2513"/>
      <c r="CT2612" s="531"/>
      <c r="EI2612" s="2689" t="s">
        <v>12931</v>
      </c>
    </row>
    <row r="2613" spans="1:139" ht="29">
      <c r="A2613" s="532"/>
      <c r="AR2613" s="2513"/>
      <c r="CT2613" s="531"/>
      <c r="EI2613" s="2689" t="s">
        <v>12932</v>
      </c>
    </row>
    <row r="2614" spans="1:139">
      <c r="A2614" s="532"/>
      <c r="AR2614" s="2513"/>
      <c r="CT2614" s="531"/>
      <c r="EI2614" s="2689" t="s">
        <v>12933</v>
      </c>
    </row>
    <row r="2615" spans="1:139" ht="29">
      <c r="A2615" s="532"/>
      <c r="AR2615" s="2513"/>
      <c r="CT2615" s="531"/>
      <c r="EI2615" s="2689" t="s">
        <v>12934</v>
      </c>
    </row>
    <row r="2616" spans="1:139" ht="43.5">
      <c r="A2616" s="532"/>
      <c r="AR2616" s="2513"/>
      <c r="CT2616" s="531"/>
      <c r="EI2616" s="2689" t="s">
        <v>12935</v>
      </c>
    </row>
    <row r="2617" spans="1:139" ht="29">
      <c r="A2617" s="532"/>
      <c r="AR2617" s="2513"/>
      <c r="CT2617" s="531"/>
      <c r="EI2617" s="2689" t="s">
        <v>12936</v>
      </c>
    </row>
    <row r="2618" spans="1:139" ht="29">
      <c r="A2618" s="532"/>
      <c r="AR2618" s="2513"/>
      <c r="CT2618" s="531"/>
      <c r="EI2618" s="2689" t="s">
        <v>12937</v>
      </c>
    </row>
    <row r="2619" spans="1:139" ht="43.5">
      <c r="A2619" s="532"/>
      <c r="AR2619" s="2513"/>
      <c r="CT2619" s="531"/>
      <c r="EI2619" s="2689" t="s">
        <v>12938</v>
      </c>
    </row>
    <row r="2620" spans="1:139" ht="29">
      <c r="A2620" s="532"/>
      <c r="AR2620" s="2513"/>
      <c r="CT2620" s="531"/>
      <c r="EI2620" s="2689" t="s">
        <v>12939</v>
      </c>
    </row>
    <row r="2621" spans="1:139" ht="72.5">
      <c r="A2621" s="532"/>
      <c r="AR2621" s="2513"/>
      <c r="CT2621" s="531"/>
      <c r="EI2621" s="2689" t="s">
        <v>12940</v>
      </c>
    </row>
    <row r="2622" spans="1:139" ht="43.5">
      <c r="A2622" s="532"/>
      <c r="AR2622" s="2513"/>
      <c r="CT2622" s="531"/>
      <c r="EI2622" s="2689" t="s">
        <v>12941</v>
      </c>
    </row>
    <row r="2623" spans="1:139" ht="58">
      <c r="A2623" s="532"/>
      <c r="AR2623" s="2513"/>
      <c r="CT2623" s="531"/>
      <c r="EI2623" s="2689" t="s">
        <v>12942</v>
      </c>
    </row>
    <row r="2624" spans="1:139" ht="29">
      <c r="A2624" s="532"/>
      <c r="AR2624" s="2513"/>
      <c r="CT2624" s="531"/>
      <c r="EI2624" s="2689" t="s">
        <v>12943</v>
      </c>
    </row>
    <row r="2625" spans="1:139" ht="29">
      <c r="A2625" s="532"/>
      <c r="AR2625" s="2513"/>
      <c r="CT2625" s="531"/>
      <c r="EI2625" s="2689" t="s">
        <v>12944</v>
      </c>
    </row>
    <row r="2626" spans="1:139" ht="43.5">
      <c r="A2626" s="532"/>
      <c r="AR2626" s="2513"/>
      <c r="CT2626" s="531"/>
      <c r="EI2626" s="2689" t="s">
        <v>12945</v>
      </c>
    </row>
    <row r="2627" spans="1:139">
      <c r="A2627" s="532"/>
      <c r="AR2627" s="2513"/>
      <c r="CT2627" s="531"/>
      <c r="EI2627" s="2689" t="s">
        <v>12946</v>
      </c>
    </row>
    <row r="2628" spans="1:139" ht="29">
      <c r="A2628" s="532"/>
      <c r="AR2628" s="2513"/>
      <c r="CT2628" s="531"/>
      <c r="EI2628" s="2689" t="s">
        <v>12947</v>
      </c>
    </row>
    <row r="2629" spans="1:139" ht="43.5">
      <c r="A2629" s="532"/>
      <c r="AR2629" s="2513"/>
      <c r="CT2629" s="531"/>
      <c r="EI2629" s="2689" t="s">
        <v>12948</v>
      </c>
    </row>
    <row r="2630" spans="1:139" ht="87">
      <c r="A2630" s="532"/>
      <c r="AR2630" s="2513"/>
      <c r="CT2630" s="531"/>
      <c r="EI2630" s="2689" t="s">
        <v>12949</v>
      </c>
    </row>
    <row r="2631" spans="1:139" ht="87">
      <c r="A2631" s="532"/>
      <c r="AR2631" s="2513"/>
      <c r="CT2631" s="531"/>
      <c r="EI2631" s="2689" t="s">
        <v>12950</v>
      </c>
    </row>
    <row r="2632" spans="1:139" ht="58">
      <c r="A2632" s="532"/>
      <c r="AR2632" s="2513"/>
      <c r="CT2632" s="531"/>
      <c r="EI2632" s="2689" t="s">
        <v>12951</v>
      </c>
    </row>
    <row r="2633" spans="1:139" ht="87">
      <c r="A2633" s="532"/>
      <c r="AR2633" s="2513"/>
      <c r="CT2633" s="531"/>
      <c r="EI2633" s="2689" t="s">
        <v>12952</v>
      </c>
    </row>
    <row r="2634" spans="1:139" ht="43.5">
      <c r="A2634" s="532"/>
      <c r="AR2634" s="2513"/>
      <c r="CT2634" s="531"/>
      <c r="EI2634" s="2689" t="s">
        <v>12953</v>
      </c>
    </row>
    <row r="2635" spans="1:139" ht="58">
      <c r="A2635" s="532"/>
      <c r="AR2635" s="2513"/>
      <c r="CT2635" s="531"/>
      <c r="EI2635" s="2689" t="s">
        <v>12954</v>
      </c>
    </row>
    <row r="2636" spans="1:139" ht="43.5">
      <c r="A2636" s="532"/>
      <c r="AR2636" s="2513"/>
      <c r="CT2636" s="531"/>
      <c r="EI2636" s="2689" t="s">
        <v>12955</v>
      </c>
    </row>
    <row r="2637" spans="1:139">
      <c r="A2637" s="532"/>
      <c r="AR2637" s="2513"/>
      <c r="CT2637" s="531"/>
      <c r="EI2637" s="2689" t="s">
        <v>12956</v>
      </c>
    </row>
    <row r="2638" spans="1:139" ht="43.5">
      <c r="A2638" s="532"/>
      <c r="AR2638" s="2513"/>
      <c r="CT2638" s="531"/>
      <c r="EI2638" s="2689" t="s">
        <v>12957</v>
      </c>
    </row>
    <row r="2639" spans="1:139" ht="43.5">
      <c r="A2639" s="532"/>
      <c r="AR2639" s="2513"/>
      <c r="CT2639" s="531"/>
      <c r="EI2639" s="2689" t="s">
        <v>12958</v>
      </c>
    </row>
    <row r="2640" spans="1:139">
      <c r="A2640" s="532"/>
      <c r="AR2640" s="2513"/>
      <c r="CT2640" s="531"/>
      <c r="EI2640" s="2689" t="s">
        <v>12959</v>
      </c>
    </row>
    <row r="2641" spans="1:139" ht="29">
      <c r="A2641" s="532"/>
      <c r="AR2641" s="2513"/>
      <c r="CT2641" s="531"/>
      <c r="EI2641" s="2689" t="s">
        <v>12960</v>
      </c>
    </row>
    <row r="2642" spans="1:139" ht="58">
      <c r="A2642" s="532"/>
      <c r="AR2642" s="2513"/>
      <c r="CT2642" s="531"/>
      <c r="EI2642" s="2689" t="s">
        <v>12961</v>
      </c>
    </row>
    <row r="2643" spans="1:139" ht="43.5">
      <c r="A2643" s="532"/>
      <c r="AR2643" s="2513"/>
      <c r="CT2643" s="531"/>
      <c r="EI2643" s="2689" t="s">
        <v>12962</v>
      </c>
    </row>
    <row r="2644" spans="1:139">
      <c r="A2644" s="532"/>
      <c r="AR2644" s="2513"/>
      <c r="CT2644" s="531"/>
      <c r="EI2644" s="2689" t="s">
        <v>12963</v>
      </c>
    </row>
    <row r="2645" spans="1:139" ht="29">
      <c r="A2645" s="532"/>
      <c r="AR2645" s="2513"/>
      <c r="CT2645" s="531"/>
      <c r="EI2645" s="2689" t="s">
        <v>12964</v>
      </c>
    </row>
    <row r="2646" spans="1:139">
      <c r="A2646" s="532"/>
      <c r="AR2646" s="2513"/>
      <c r="CT2646" s="531"/>
      <c r="EI2646" s="2689" t="s">
        <v>12965</v>
      </c>
    </row>
    <row r="2647" spans="1:139" ht="29">
      <c r="A2647" s="532"/>
      <c r="AR2647" s="2513"/>
      <c r="CT2647" s="531"/>
      <c r="EI2647" s="2689" t="s">
        <v>12966</v>
      </c>
    </row>
    <row r="2648" spans="1:139" ht="43.5">
      <c r="A2648" s="532"/>
      <c r="AR2648" s="2513"/>
      <c r="CT2648" s="531"/>
      <c r="EI2648" s="2689" t="s">
        <v>12967</v>
      </c>
    </row>
    <row r="2649" spans="1:139" ht="43.5">
      <c r="A2649" s="532"/>
      <c r="AR2649" s="2513"/>
      <c r="CT2649" s="531"/>
      <c r="EI2649" s="2689" t="s">
        <v>12968</v>
      </c>
    </row>
    <row r="2650" spans="1:139" ht="43.5">
      <c r="A2650" s="532"/>
      <c r="AR2650" s="2513"/>
      <c r="CT2650" s="531"/>
      <c r="EI2650" s="2689" t="s">
        <v>12969</v>
      </c>
    </row>
    <row r="2651" spans="1:139" ht="29">
      <c r="A2651" s="532"/>
      <c r="AR2651" s="2513"/>
      <c r="CT2651" s="531"/>
      <c r="EI2651" s="2689" t="s">
        <v>12970</v>
      </c>
    </row>
    <row r="2652" spans="1:139" ht="58">
      <c r="A2652" s="532"/>
      <c r="AR2652" s="2513"/>
      <c r="CT2652" s="531"/>
      <c r="EI2652" s="2689" t="s">
        <v>12971</v>
      </c>
    </row>
    <row r="2653" spans="1:139" ht="43.5">
      <c r="A2653" s="532"/>
      <c r="AR2653" s="2513"/>
      <c r="CT2653" s="531"/>
      <c r="EI2653" s="2689" t="s">
        <v>12972</v>
      </c>
    </row>
    <row r="2654" spans="1:139" ht="29">
      <c r="A2654" s="532"/>
      <c r="AR2654" s="2513"/>
      <c r="CT2654" s="531"/>
      <c r="EI2654" s="2689" t="s">
        <v>12973</v>
      </c>
    </row>
    <row r="2655" spans="1:139" ht="43.5">
      <c r="A2655" s="532"/>
      <c r="AR2655" s="2513"/>
      <c r="CT2655" s="531"/>
      <c r="EI2655" s="2689" t="s">
        <v>12974</v>
      </c>
    </row>
    <row r="2656" spans="1:139" ht="72.5">
      <c r="A2656" s="532"/>
      <c r="AR2656" s="2513"/>
      <c r="CT2656" s="531"/>
      <c r="EI2656" s="2689" t="s">
        <v>12975</v>
      </c>
    </row>
    <row r="2657" spans="1:139" ht="43.5">
      <c r="A2657" s="532"/>
      <c r="AR2657" s="2513"/>
      <c r="CT2657" s="531"/>
      <c r="EI2657" s="2689" t="s">
        <v>12976</v>
      </c>
    </row>
    <row r="2658" spans="1:139" ht="29">
      <c r="A2658" s="532"/>
      <c r="AR2658" s="2513"/>
      <c r="CT2658" s="531"/>
      <c r="EI2658" s="2689" t="s">
        <v>12977</v>
      </c>
    </row>
    <row r="2659" spans="1:139" ht="87">
      <c r="A2659" s="532"/>
      <c r="AR2659" s="2513"/>
      <c r="CT2659" s="531"/>
      <c r="EI2659" s="2689" t="s">
        <v>12978</v>
      </c>
    </row>
    <row r="2660" spans="1:139" ht="87">
      <c r="A2660" s="532"/>
      <c r="AR2660" s="2513"/>
      <c r="CT2660" s="531"/>
      <c r="EI2660" s="2689" t="s">
        <v>12979</v>
      </c>
    </row>
    <row r="2661" spans="1:139" ht="87">
      <c r="A2661" s="532"/>
      <c r="AR2661" s="2513"/>
      <c r="CT2661" s="531"/>
      <c r="EI2661" s="2689" t="s">
        <v>12980</v>
      </c>
    </row>
    <row r="2662" spans="1:139" ht="72.5">
      <c r="A2662" s="532"/>
      <c r="AR2662" s="2513"/>
      <c r="CT2662" s="531"/>
      <c r="EI2662" s="2689" t="s">
        <v>12981</v>
      </c>
    </row>
    <row r="2663" spans="1:139" ht="72.5">
      <c r="A2663" s="532"/>
      <c r="AR2663" s="2513"/>
      <c r="CT2663" s="531"/>
      <c r="EI2663" s="2689" t="s">
        <v>12982</v>
      </c>
    </row>
    <row r="2664" spans="1:139" ht="101.5">
      <c r="A2664" s="532"/>
      <c r="AR2664" s="2513"/>
      <c r="CT2664" s="531"/>
      <c r="EI2664" s="2689" t="s">
        <v>12983</v>
      </c>
    </row>
    <row r="2665" spans="1:139" ht="72.5">
      <c r="A2665" s="532"/>
      <c r="AR2665" s="2513"/>
      <c r="CT2665" s="531"/>
      <c r="EI2665" s="2689" t="s">
        <v>12984</v>
      </c>
    </row>
    <row r="2666" spans="1:139" ht="58">
      <c r="A2666" s="532"/>
      <c r="AR2666" s="2513"/>
      <c r="CT2666" s="531"/>
      <c r="EI2666" s="2689" t="s">
        <v>12985</v>
      </c>
    </row>
    <row r="2667" spans="1:139" ht="58">
      <c r="A2667" s="532"/>
      <c r="AR2667" s="2513"/>
      <c r="CT2667" s="531"/>
      <c r="EI2667" s="2689" t="s">
        <v>12986</v>
      </c>
    </row>
    <row r="2668" spans="1:139" ht="87">
      <c r="A2668" s="532"/>
      <c r="AR2668" s="2513"/>
      <c r="CT2668" s="531"/>
      <c r="EI2668" s="2689" t="s">
        <v>12987</v>
      </c>
    </row>
    <row r="2669" spans="1:139" ht="58">
      <c r="A2669" s="532"/>
      <c r="AR2669" s="2513"/>
      <c r="CT2669" s="531"/>
      <c r="EI2669" s="2689" t="s">
        <v>12988</v>
      </c>
    </row>
    <row r="2670" spans="1:139" ht="87">
      <c r="A2670" s="532"/>
      <c r="AR2670" s="2513"/>
      <c r="CT2670" s="531"/>
      <c r="EI2670" s="2689" t="s">
        <v>12989</v>
      </c>
    </row>
    <row r="2671" spans="1:139" ht="58">
      <c r="A2671" s="532"/>
      <c r="AR2671" s="2513"/>
      <c r="CT2671" s="531"/>
      <c r="EI2671" s="2689" t="s">
        <v>12990</v>
      </c>
    </row>
    <row r="2672" spans="1:139" ht="72.5">
      <c r="A2672" s="532"/>
      <c r="AR2672" s="2513"/>
      <c r="CT2672" s="531"/>
      <c r="EI2672" s="2689" t="s">
        <v>12991</v>
      </c>
    </row>
    <row r="2673" spans="1:139" ht="72.5">
      <c r="A2673" s="532"/>
      <c r="AR2673" s="2513"/>
      <c r="CT2673" s="531"/>
      <c r="EI2673" s="2689" t="s">
        <v>12992</v>
      </c>
    </row>
    <row r="2674" spans="1:139" ht="58">
      <c r="A2674" s="532"/>
      <c r="AR2674" s="2513"/>
      <c r="CT2674" s="531"/>
      <c r="EI2674" s="2689" t="s">
        <v>12993</v>
      </c>
    </row>
    <row r="2675" spans="1:139" ht="43.5">
      <c r="A2675" s="532"/>
      <c r="AR2675" s="2513"/>
      <c r="CT2675" s="531"/>
      <c r="EI2675" s="2689" t="s">
        <v>12994</v>
      </c>
    </row>
    <row r="2676" spans="1:139" ht="58">
      <c r="A2676" s="532"/>
      <c r="AR2676" s="2513"/>
      <c r="CT2676" s="531"/>
      <c r="EI2676" s="2689" t="s">
        <v>12995</v>
      </c>
    </row>
    <row r="2677" spans="1:139" ht="87">
      <c r="A2677" s="532"/>
      <c r="AR2677" s="2513"/>
      <c r="CT2677" s="531"/>
      <c r="EI2677" s="2689" t="s">
        <v>12996</v>
      </c>
    </row>
    <row r="2678" spans="1:139" ht="58">
      <c r="A2678" s="532"/>
      <c r="AR2678" s="2513"/>
      <c r="CT2678" s="531"/>
      <c r="EI2678" s="2689" t="s">
        <v>12997</v>
      </c>
    </row>
    <row r="2679" spans="1:139" ht="116">
      <c r="A2679" s="532"/>
      <c r="AR2679" s="2513"/>
      <c r="CT2679" s="531"/>
      <c r="EI2679" s="2689" t="s">
        <v>12998</v>
      </c>
    </row>
    <row r="2680" spans="1:139" ht="58">
      <c r="A2680" s="532"/>
      <c r="AR2680" s="2513"/>
      <c r="CT2680" s="531"/>
      <c r="EI2680" s="2689" t="s">
        <v>12999</v>
      </c>
    </row>
    <row r="2681" spans="1:139" ht="43.5">
      <c r="A2681" s="532"/>
      <c r="AR2681" s="2513"/>
      <c r="CT2681" s="531"/>
      <c r="EI2681" s="2689" t="s">
        <v>13000</v>
      </c>
    </row>
    <row r="2682" spans="1:139" ht="87">
      <c r="A2682" s="532"/>
      <c r="AR2682" s="2513"/>
      <c r="CT2682" s="531"/>
      <c r="EI2682" s="2689" t="s">
        <v>13001</v>
      </c>
    </row>
    <row r="2683" spans="1:139" ht="58">
      <c r="A2683" s="532"/>
      <c r="AR2683" s="2513"/>
      <c r="CT2683" s="531"/>
      <c r="EI2683" s="2689" t="s">
        <v>13002</v>
      </c>
    </row>
    <row r="2684" spans="1:139" ht="58">
      <c r="A2684" s="532"/>
      <c r="AR2684" s="2513"/>
      <c r="CT2684" s="531"/>
      <c r="EI2684" s="2689" t="s">
        <v>13003</v>
      </c>
    </row>
    <row r="2685" spans="1:139" ht="58">
      <c r="A2685" s="532"/>
      <c r="AR2685" s="2513"/>
      <c r="CT2685" s="531"/>
      <c r="EI2685" s="2689" t="s">
        <v>13004</v>
      </c>
    </row>
    <row r="2686" spans="1:139" ht="29">
      <c r="A2686" s="532"/>
      <c r="AR2686" s="2513"/>
      <c r="CT2686" s="531"/>
      <c r="EI2686" s="2689" t="s">
        <v>13005</v>
      </c>
    </row>
    <row r="2687" spans="1:139" ht="43.5">
      <c r="A2687" s="532"/>
      <c r="AR2687" s="2513"/>
      <c r="CT2687" s="531"/>
      <c r="EI2687" s="2689" t="s">
        <v>13006</v>
      </c>
    </row>
    <row r="2688" spans="1:139" ht="72.5">
      <c r="A2688" s="532"/>
      <c r="AR2688" s="2513"/>
      <c r="CT2688" s="531"/>
      <c r="EI2688" s="2689" t="s">
        <v>13007</v>
      </c>
    </row>
    <row r="2689" spans="1:139">
      <c r="A2689" s="532"/>
      <c r="AR2689" s="2513"/>
      <c r="CT2689" s="531"/>
      <c r="EI2689" s="2689" t="s">
        <v>13008</v>
      </c>
    </row>
    <row r="2690" spans="1:139" ht="29">
      <c r="A2690" s="532"/>
      <c r="AR2690" s="2513"/>
      <c r="CT2690" s="531"/>
      <c r="EI2690" s="2689" t="s">
        <v>13009</v>
      </c>
    </row>
    <row r="2691" spans="1:139">
      <c r="A2691" s="532"/>
      <c r="AR2691" s="2513"/>
      <c r="CT2691" s="531"/>
      <c r="EI2691" s="2689" t="s">
        <v>13010</v>
      </c>
    </row>
    <row r="2692" spans="1:139" ht="29">
      <c r="A2692" s="532"/>
      <c r="AR2692" s="2513"/>
      <c r="CT2692" s="531"/>
      <c r="EI2692" s="2689" t="s">
        <v>13011</v>
      </c>
    </row>
    <row r="2693" spans="1:139" ht="43.5">
      <c r="A2693" s="532"/>
      <c r="AR2693" s="2513"/>
      <c r="CT2693" s="531"/>
      <c r="EI2693" s="2689" t="s">
        <v>13012</v>
      </c>
    </row>
    <row r="2694" spans="1:139" ht="29">
      <c r="A2694" s="532"/>
      <c r="AR2694" s="2513"/>
      <c r="CT2694" s="531"/>
      <c r="EI2694" s="2689" t="s">
        <v>13013</v>
      </c>
    </row>
    <row r="2695" spans="1:139" ht="29">
      <c r="A2695" s="532"/>
      <c r="AR2695" s="2513"/>
      <c r="CT2695" s="531"/>
      <c r="EI2695" s="2689" t="s">
        <v>13014</v>
      </c>
    </row>
    <row r="2696" spans="1:139" ht="29">
      <c r="A2696" s="532"/>
      <c r="AR2696" s="2513"/>
      <c r="CT2696" s="531"/>
      <c r="EI2696" s="2689" t="s">
        <v>13015</v>
      </c>
    </row>
    <row r="2697" spans="1:139" ht="43.5">
      <c r="A2697" s="532"/>
      <c r="AR2697" s="2513"/>
      <c r="CT2697" s="531"/>
      <c r="EI2697" s="2689" t="s">
        <v>13016</v>
      </c>
    </row>
    <row r="2698" spans="1:139" ht="58">
      <c r="A2698" s="532"/>
      <c r="AR2698" s="2513"/>
      <c r="CT2698" s="531"/>
      <c r="EI2698" s="2689" t="s">
        <v>13017</v>
      </c>
    </row>
    <row r="2699" spans="1:139" ht="29">
      <c r="A2699" s="532"/>
      <c r="AR2699" s="2513"/>
      <c r="CT2699" s="531"/>
      <c r="EI2699" s="2689" t="s">
        <v>13018</v>
      </c>
    </row>
    <row r="2700" spans="1:139" ht="43.5">
      <c r="A2700" s="532"/>
      <c r="AR2700" s="2513"/>
      <c r="CT2700" s="531"/>
      <c r="EI2700" s="2689" t="s">
        <v>13019</v>
      </c>
    </row>
    <row r="2701" spans="1:139" ht="58">
      <c r="A2701" s="532"/>
      <c r="AR2701" s="2513"/>
      <c r="CT2701" s="531"/>
      <c r="EI2701" s="2689" t="s">
        <v>13020</v>
      </c>
    </row>
    <row r="2702" spans="1:139" ht="29">
      <c r="A2702" s="532"/>
      <c r="AR2702" s="2513"/>
      <c r="CT2702" s="531"/>
      <c r="EI2702" s="2689" t="s">
        <v>13021</v>
      </c>
    </row>
    <row r="2703" spans="1:139">
      <c r="A2703" s="532"/>
      <c r="AR2703" s="2513"/>
      <c r="CT2703" s="531"/>
      <c r="EI2703" s="2689" t="s">
        <v>13022</v>
      </c>
    </row>
    <row r="2704" spans="1:139" ht="43.5">
      <c r="A2704" s="532"/>
      <c r="AR2704" s="2513"/>
      <c r="CT2704" s="531"/>
      <c r="EI2704" s="2689" t="s">
        <v>13023</v>
      </c>
    </row>
    <row r="2705" spans="1:139" ht="29">
      <c r="A2705" s="532"/>
      <c r="AR2705" s="2513"/>
      <c r="CT2705" s="531"/>
      <c r="EI2705" s="2689" t="s">
        <v>13024</v>
      </c>
    </row>
    <row r="2706" spans="1:139" ht="43.5">
      <c r="A2706" s="532"/>
      <c r="AR2706" s="2513"/>
      <c r="CT2706" s="531"/>
      <c r="EI2706" s="2689" t="s">
        <v>13025</v>
      </c>
    </row>
    <row r="2707" spans="1:139" ht="29">
      <c r="A2707" s="532"/>
      <c r="AR2707" s="2513"/>
      <c r="CT2707" s="531"/>
      <c r="EI2707" s="2689" t="s">
        <v>13026</v>
      </c>
    </row>
    <row r="2708" spans="1:139" ht="43.5">
      <c r="A2708" s="532"/>
      <c r="AR2708" s="2513"/>
      <c r="CT2708" s="531"/>
      <c r="EI2708" s="2689" t="s">
        <v>13027</v>
      </c>
    </row>
    <row r="2709" spans="1:139" ht="58">
      <c r="A2709" s="532"/>
      <c r="AR2709" s="2513"/>
      <c r="CT2709" s="531"/>
      <c r="EI2709" s="2689" t="s">
        <v>13028</v>
      </c>
    </row>
    <row r="2710" spans="1:139" ht="29">
      <c r="A2710" s="532"/>
      <c r="AR2710" s="2513"/>
      <c r="CT2710" s="531"/>
      <c r="EI2710" s="2689" t="s">
        <v>13029</v>
      </c>
    </row>
    <row r="2711" spans="1:139" ht="43.5">
      <c r="A2711" s="532"/>
      <c r="AR2711" s="2513"/>
      <c r="CT2711" s="531"/>
      <c r="EI2711" s="2689" t="s">
        <v>13030</v>
      </c>
    </row>
    <row r="2712" spans="1:139" ht="29">
      <c r="A2712" s="532"/>
      <c r="AR2712" s="2513"/>
      <c r="CT2712" s="531"/>
      <c r="EI2712" s="2689" t="s">
        <v>13031</v>
      </c>
    </row>
    <row r="2713" spans="1:139" ht="29">
      <c r="A2713" s="532"/>
      <c r="AR2713" s="2513"/>
      <c r="CT2713" s="531"/>
      <c r="EI2713" s="2689" t="s">
        <v>13032</v>
      </c>
    </row>
    <row r="2714" spans="1:139" ht="43.5">
      <c r="A2714" s="532"/>
      <c r="AR2714" s="2513"/>
      <c r="CT2714" s="531"/>
      <c r="EI2714" s="2689" t="s">
        <v>13033</v>
      </c>
    </row>
    <row r="2715" spans="1:139">
      <c r="A2715" s="532"/>
      <c r="AR2715" s="2513"/>
      <c r="CT2715" s="531"/>
      <c r="EI2715" s="2689" t="s">
        <v>13034</v>
      </c>
    </row>
    <row r="2716" spans="1:139" ht="29">
      <c r="A2716" s="532"/>
      <c r="AR2716" s="2513"/>
      <c r="CT2716" s="531"/>
      <c r="EI2716" s="2689" t="s">
        <v>13035</v>
      </c>
    </row>
    <row r="2717" spans="1:139" ht="43.5">
      <c r="A2717" s="532"/>
      <c r="AR2717" s="2513"/>
      <c r="CT2717" s="531"/>
      <c r="EI2717" s="2689" t="s">
        <v>13036</v>
      </c>
    </row>
    <row r="2718" spans="1:139" ht="72.5">
      <c r="A2718" s="532"/>
      <c r="AR2718" s="2513"/>
      <c r="CT2718" s="531"/>
      <c r="EI2718" s="2689" t="s">
        <v>13037</v>
      </c>
    </row>
    <row r="2719" spans="1:139" ht="29">
      <c r="A2719" s="532"/>
      <c r="AR2719" s="2513"/>
      <c r="CT2719" s="531"/>
      <c r="EI2719" s="2689" t="s">
        <v>13038</v>
      </c>
    </row>
    <row r="2720" spans="1:139">
      <c r="A2720" s="532"/>
      <c r="AR2720" s="2513"/>
      <c r="CT2720" s="531"/>
      <c r="EI2720" s="2689" t="s">
        <v>13039</v>
      </c>
    </row>
    <row r="2721" spans="1:139">
      <c r="A2721" s="532"/>
      <c r="AR2721" s="2513"/>
      <c r="CT2721" s="531"/>
      <c r="EI2721" s="2689" t="s">
        <v>13040</v>
      </c>
    </row>
    <row r="2722" spans="1:139" ht="29">
      <c r="A2722" s="532"/>
      <c r="AR2722" s="2513"/>
      <c r="CT2722" s="531"/>
      <c r="EI2722" s="2689" t="s">
        <v>13041</v>
      </c>
    </row>
    <row r="2723" spans="1:139" ht="43.5">
      <c r="A2723" s="532"/>
      <c r="AR2723" s="2513"/>
      <c r="CT2723" s="531"/>
      <c r="EI2723" s="2689" t="s">
        <v>13042</v>
      </c>
    </row>
    <row r="2724" spans="1:139" ht="43.5">
      <c r="A2724" s="532"/>
      <c r="AR2724" s="2513"/>
      <c r="CT2724" s="531"/>
      <c r="EI2724" s="2689" t="s">
        <v>13043</v>
      </c>
    </row>
    <row r="2725" spans="1:139" ht="29">
      <c r="A2725" s="532"/>
      <c r="AR2725" s="2513"/>
      <c r="CT2725" s="531"/>
      <c r="EI2725" s="2689" t="s">
        <v>13044</v>
      </c>
    </row>
    <row r="2726" spans="1:139" ht="43.5">
      <c r="A2726" s="532"/>
      <c r="AR2726" s="2513"/>
      <c r="CT2726" s="531"/>
      <c r="EI2726" s="2689" t="s">
        <v>13045</v>
      </c>
    </row>
    <row r="2727" spans="1:139" ht="58">
      <c r="A2727" s="532"/>
      <c r="AR2727" s="2513"/>
      <c r="CT2727" s="531"/>
      <c r="EI2727" s="2689" t="s">
        <v>13046</v>
      </c>
    </row>
    <row r="2728" spans="1:139" ht="101.5">
      <c r="A2728" s="532"/>
      <c r="AR2728" s="2513"/>
      <c r="CT2728" s="531"/>
      <c r="EI2728" s="2689" t="s">
        <v>13047</v>
      </c>
    </row>
    <row r="2729" spans="1:139" ht="29">
      <c r="A2729" s="532"/>
      <c r="AR2729" s="2513"/>
      <c r="CT2729" s="531"/>
      <c r="EI2729" s="2689" t="s">
        <v>13048</v>
      </c>
    </row>
    <row r="2730" spans="1:139" ht="43.5">
      <c r="A2730" s="532"/>
      <c r="AR2730" s="2513"/>
      <c r="CT2730" s="531"/>
      <c r="EI2730" s="2689" t="s">
        <v>13049</v>
      </c>
    </row>
    <row r="2731" spans="1:139" ht="29">
      <c r="A2731" s="532"/>
      <c r="AR2731" s="2513"/>
      <c r="CT2731" s="531"/>
      <c r="EI2731" s="2689" t="s">
        <v>13050</v>
      </c>
    </row>
    <row r="2732" spans="1:139" ht="58">
      <c r="A2732" s="532"/>
      <c r="AR2732" s="2513"/>
      <c r="CT2732" s="531"/>
      <c r="EI2732" s="2689" t="s">
        <v>13051</v>
      </c>
    </row>
    <row r="2733" spans="1:139" ht="29">
      <c r="A2733" s="532"/>
      <c r="AR2733" s="2513"/>
      <c r="CT2733" s="531"/>
      <c r="EI2733" s="2689" t="s">
        <v>13052</v>
      </c>
    </row>
    <row r="2734" spans="1:139" ht="43.5">
      <c r="A2734" s="532"/>
      <c r="AR2734" s="2513"/>
      <c r="CT2734" s="531"/>
      <c r="EI2734" s="2689" t="s">
        <v>13053</v>
      </c>
    </row>
    <row r="2735" spans="1:139" ht="43.5">
      <c r="A2735" s="532"/>
      <c r="AR2735" s="2513"/>
      <c r="CT2735" s="531"/>
      <c r="EI2735" s="2689" t="s">
        <v>13054</v>
      </c>
    </row>
    <row r="2736" spans="1:139" ht="43.5">
      <c r="A2736" s="532"/>
      <c r="AR2736" s="2513"/>
      <c r="CT2736" s="531"/>
      <c r="EI2736" s="2689" t="s">
        <v>13055</v>
      </c>
    </row>
    <row r="2737" spans="1:139" ht="87">
      <c r="A2737" s="532"/>
      <c r="AR2737" s="2513"/>
      <c r="CT2737" s="531"/>
      <c r="EI2737" s="2689" t="s">
        <v>13056</v>
      </c>
    </row>
    <row r="2738" spans="1:139" ht="72.5">
      <c r="A2738" s="532"/>
      <c r="AR2738" s="2513"/>
      <c r="CT2738" s="531"/>
      <c r="EI2738" s="2689" t="s">
        <v>13057</v>
      </c>
    </row>
    <row r="2739" spans="1:139" ht="29">
      <c r="A2739" s="532"/>
      <c r="AR2739" s="2513"/>
      <c r="CT2739" s="531"/>
      <c r="EI2739" s="2689" t="s">
        <v>13058</v>
      </c>
    </row>
    <row r="2740" spans="1:139" ht="43.5">
      <c r="A2740" s="532"/>
      <c r="AR2740" s="2513"/>
      <c r="CT2740" s="531"/>
      <c r="EI2740" s="2689" t="s">
        <v>13059</v>
      </c>
    </row>
    <row r="2741" spans="1:139" ht="29">
      <c r="A2741" s="532"/>
      <c r="AR2741" s="2513"/>
      <c r="CT2741" s="531"/>
      <c r="EI2741" s="2689" t="s">
        <v>13060</v>
      </c>
    </row>
    <row r="2742" spans="1:139" ht="29">
      <c r="A2742" s="532"/>
      <c r="AR2742" s="2513"/>
      <c r="CT2742" s="531"/>
      <c r="EI2742" s="2689" t="s">
        <v>13061</v>
      </c>
    </row>
    <row r="2743" spans="1:139" ht="29">
      <c r="A2743" s="532"/>
      <c r="AR2743" s="2513"/>
      <c r="CT2743" s="531"/>
      <c r="EI2743" s="2689" t="s">
        <v>13062</v>
      </c>
    </row>
    <row r="2744" spans="1:139" ht="58">
      <c r="A2744" s="532"/>
      <c r="AR2744" s="2513"/>
      <c r="CT2744" s="531"/>
      <c r="EI2744" s="2689" t="s">
        <v>13063</v>
      </c>
    </row>
    <row r="2745" spans="1:139" ht="43.5">
      <c r="A2745" s="532"/>
      <c r="AR2745" s="2513"/>
      <c r="CT2745" s="531"/>
      <c r="EI2745" s="2689" t="s">
        <v>13064</v>
      </c>
    </row>
    <row r="2746" spans="1:139" ht="43.5">
      <c r="A2746" s="532"/>
      <c r="AR2746" s="2513"/>
      <c r="CT2746" s="531"/>
      <c r="EI2746" s="2689" t="s">
        <v>13065</v>
      </c>
    </row>
    <row r="2747" spans="1:139">
      <c r="A2747" s="532"/>
      <c r="AR2747" s="2513"/>
      <c r="CT2747" s="531"/>
      <c r="EI2747" s="2689" t="s">
        <v>13066</v>
      </c>
    </row>
    <row r="2748" spans="1:139" ht="43.5">
      <c r="A2748" s="532"/>
      <c r="AR2748" s="2513"/>
      <c r="CT2748" s="531"/>
      <c r="EI2748" s="2689" t="s">
        <v>13067</v>
      </c>
    </row>
    <row r="2749" spans="1:139" ht="43.5">
      <c r="A2749" s="532"/>
      <c r="AR2749" s="2513"/>
      <c r="CT2749" s="531"/>
      <c r="EI2749" s="2689" t="s">
        <v>13068</v>
      </c>
    </row>
    <row r="2750" spans="1:139" ht="58">
      <c r="A2750" s="532"/>
      <c r="AR2750" s="2513"/>
      <c r="CT2750" s="531"/>
      <c r="EI2750" s="2689" t="s">
        <v>13069</v>
      </c>
    </row>
    <row r="2751" spans="1:139" ht="43.5">
      <c r="A2751" s="532"/>
      <c r="AR2751" s="2513"/>
      <c r="CT2751" s="531"/>
      <c r="EI2751" s="2689" t="s">
        <v>13070</v>
      </c>
    </row>
    <row r="2752" spans="1:139" ht="43.5">
      <c r="A2752" s="532"/>
      <c r="AR2752" s="2513"/>
      <c r="CT2752" s="531"/>
      <c r="EI2752" s="2689" t="s">
        <v>13071</v>
      </c>
    </row>
    <row r="2753" spans="1:139" ht="29">
      <c r="A2753" s="532"/>
      <c r="AR2753" s="2513"/>
      <c r="CT2753" s="531"/>
      <c r="EI2753" s="2689" t="s">
        <v>13072</v>
      </c>
    </row>
    <row r="2754" spans="1:139" ht="87">
      <c r="A2754" s="532"/>
      <c r="AR2754" s="2513"/>
      <c r="CT2754" s="531"/>
      <c r="EI2754" s="2689" t="s">
        <v>13073</v>
      </c>
    </row>
    <row r="2755" spans="1:139" ht="43.5">
      <c r="A2755" s="532"/>
      <c r="AR2755" s="2513"/>
      <c r="CT2755" s="531"/>
      <c r="EI2755" s="2689" t="s">
        <v>13074</v>
      </c>
    </row>
    <row r="2756" spans="1:139" ht="87">
      <c r="A2756" s="532"/>
      <c r="AR2756" s="2513"/>
      <c r="CT2756" s="531"/>
      <c r="EI2756" s="2689" t="s">
        <v>13075</v>
      </c>
    </row>
    <row r="2757" spans="1:139" ht="58">
      <c r="A2757" s="532"/>
      <c r="AR2757" s="2513"/>
      <c r="CT2757" s="531"/>
      <c r="EI2757" s="2689" t="s">
        <v>13076</v>
      </c>
    </row>
    <row r="2758" spans="1:139" ht="29">
      <c r="A2758" s="532"/>
      <c r="AR2758" s="2513"/>
      <c r="CT2758" s="531"/>
      <c r="EI2758" s="2689" t="s">
        <v>13077</v>
      </c>
    </row>
    <row r="2759" spans="1:139" ht="29">
      <c r="A2759" s="532"/>
      <c r="AR2759" s="2513"/>
      <c r="CT2759" s="531"/>
      <c r="EI2759" s="2689" t="s">
        <v>13078</v>
      </c>
    </row>
    <row r="2760" spans="1:139" ht="43.5">
      <c r="A2760" s="532"/>
      <c r="AR2760" s="2513"/>
      <c r="CT2760" s="531"/>
      <c r="EI2760" s="2689" t="s">
        <v>13079</v>
      </c>
    </row>
    <row r="2761" spans="1:139" ht="43.5">
      <c r="A2761" s="532"/>
      <c r="AR2761" s="2513"/>
      <c r="CT2761" s="531"/>
      <c r="EI2761" s="2689" t="s">
        <v>13080</v>
      </c>
    </row>
    <row r="2762" spans="1:139" ht="43.5">
      <c r="A2762" s="532"/>
      <c r="AR2762" s="2513"/>
      <c r="CT2762" s="531"/>
      <c r="EI2762" s="2689" t="s">
        <v>13081</v>
      </c>
    </row>
    <row r="2763" spans="1:139" ht="29">
      <c r="A2763" s="532"/>
      <c r="AR2763" s="2513"/>
      <c r="CT2763" s="531"/>
      <c r="EI2763" s="2689" t="s">
        <v>13082</v>
      </c>
    </row>
    <row r="2764" spans="1:139" ht="43.5">
      <c r="A2764" s="532"/>
      <c r="AR2764" s="2513"/>
      <c r="CT2764" s="531"/>
      <c r="EI2764" s="2689" t="s">
        <v>13083</v>
      </c>
    </row>
    <row r="2765" spans="1:139" ht="58">
      <c r="A2765" s="532"/>
      <c r="AR2765" s="2513"/>
      <c r="CT2765" s="531"/>
      <c r="EI2765" s="2689" t="s">
        <v>13084</v>
      </c>
    </row>
    <row r="2766" spans="1:139" ht="43.5">
      <c r="A2766" s="532"/>
      <c r="AR2766" s="2513"/>
      <c r="CT2766" s="531"/>
      <c r="EI2766" s="2689" t="s">
        <v>13085</v>
      </c>
    </row>
    <row r="2767" spans="1:139" ht="29">
      <c r="A2767" s="532"/>
      <c r="AR2767" s="2513"/>
      <c r="CT2767" s="531"/>
      <c r="EI2767" s="2689" t="s">
        <v>13086</v>
      </c>
    </row>
    <row r="2768" spans="1:139">
      <c r="A2768" s="532"/>
      <c r="AR2768" s="2513"/>
      <c r="CT2768" s="531"/>
      <c r="EI2768" s="2689" t="s">
        <v>13087</v>
      </c>
    </row>
    <row r="2769" spans="1:139" ht="72.5">
      <c r="A2769" s="532"/>
      <c r="AR2769" s="2513"/>
      <c r="CT2769" s="531"/>
      <c r="EI2769" s="2689" t="s">
        <v>13088</v>
      </c>
    </row>
    <row r="2770" spans="1:139" ht="43.5">
      <c r="A2770" s="532"/>
      <c r="AR2770" s="2513"/>
      <c r="CT2770" s="531"/>
      <c r="EI2770" s="2689" t="s">
        <v>13089</v>
      </c>
    </row>
    <row r="2771" spans="1:139" ht="43.5">
      <c r="A2771" s="532"/>
      <c r="AR2771" s="2513"/>
      <c r="CT2771" s="531"/>
      <c r="EI2771" s="2689" t="s">
        <v>13090</v>
      </c>
    </row>
    <row r="2772" spans="1:139" ht="29">
      <c r="A2772" s="532"/>
      <c r="AR2772" s="2513"/>
      <c r="CT2772" s="531"/>
      <c r="EI2772" s="2689" t="s">
        <v>13091</v>
      </c>
    </row>
    <row r="2773" spans="1:139" ht="72.5">
      <c r="A2773" s="532"/>
      <c r="AR2773" s="2513"/>
      <c r="CT2773" s="531"/>
      <c r="EI2773" s="2689" t="s">
        <v>13092</v>
      </c>
    </row>
    <row r="2774" spans="1:139" ht="72.5">
      <c r="A2774" s="532"/>
      <c r="AR2774" s="2513"/>
      <c r="CT2774" s="531"/>
      <c r="EI2774" s="2689" t="s">
        <v>13093</v>
      </c>
    </row>
    <row r="2775" spans="1:139" ht="29">
      <c r="A2775" s="532"/>
      <c r="AR2775" s="2513"/>
      <c r="CT2775" s="531"/>
      <c r="EI2775" s="2689" t="s">
        <v>13094</v>
      </c>
    </row>
    <row r="2776" spans="1:139" ht="29">
      <c r="A2776" s="532"/>
      <c r="AR2776" s="2513"/>
      <c r="CT2776" s="531"/>
      <c r="EI2776" s="2689" t="s">
        <v>13095</v>
      </c>
    </row>
    <row r="2777" spans="1:139" ht="72.5">
      <c r="A2777" s="532"/>
      <c r="AR2777" s="2513"/>
      <c r="CT2777" s="531"/>
      <c r="EI2777" s="2689" t="s">
        <v>13096</v>
      </c>
    </row>
    <row r="2778" spans="1:139" ht="43.5">
      <c r="A2778" s="532"/>
      <c r="AR2778" s="2513"/>
      <c r="CT2778" s="531"/>
      <c r="EI2778" s="2689" t="s">
        <v>13097</v>
      </c>
    </row>
    <row r="2779" spans="1:139" ht="29">
      <c r="A2779" s="532"/>
      <c r="AR2779" s="2513"/>
      <c r="CT2779" s="531"/>
      <c r="EI2779" s="2689" t="s">
        <v>13098</v>
      </c>
    </row>
    <row r="2780" spans="1:139" ht="58">
      <c r="A2780" s="532"/>
      <c r="AR2780" s="2513"/>
      <c r="CT2780" s="531"/>
      <c r="EI2780" s="2689" t="s">
        <v>13099</v>
      </c>
    </row>
    <row r="2781" spans="1:139" ht="43.5">
      <c r="A2781" s="532"/>
      <c r="AR2781" s="2513"/>
      <c r="CT2781" s="531"/>
      <c r="EI2781" s="2689" t="s">
        <v>13100</v>
      </c>
    </row>
    <row r="2782" spans="1:139" ht="58">
      <c r="A2782" s="532"/>
      <c r="AR2782" s="2513"/>
      <c r="CT2782" s="531"/>
      <c r="EI2782" s="2689" t="s">
        <v>13101</v>
      </c>
    </row>
    <row r="2783" spans="1:139" ht="29">
      <c r="A2783" s="532"/>
      <c r="AR2783" s="2513"/>
      <c r="CT2783" s="531"/>
      <c r="EI2783" s="2689" t="s">
        <v>13102</v>
      </c>
    </row>
    <row r="2784" spans="1:139" ht="72.5">
      <c r="A2784" s="532"/>
      <c r="AR2784" s="2513"/>
      <c r="CT2784" s="531"/>
      <c r="EI2784" s="2689" t="s">
        <v>13103</v>
      </c>
    </row>
    <row r="2785" spans="1:139" ht="101.5">
      <c r="A2785" s="532"/>
      <c r="AR2785" s="2513"/>
      <c r="CT2785" s="531"/>
      <c r="EI2785" s="2689" t="s">
        <v>13104</v>
      </c>
    </row>
    <row r="2786" spans="1:139" ht="43.5">
      <c r="A2786" s="532"/>
      <c r="AR2786" s="2513"/>
      <c r="CT2786" s="531"/>
      <c r="EI2786" s="2689" t="s">
        <v>13105</v>
      </c>
    </row>
    <row r="2787" spans="1:139" ht="29">
      <c r="A2787" s="532"/>
      <c r="AR2787" s="2513"/>
      <c r="CT2787" s="531"/>
      <c r="EI2787" s="2689" t="s">
        <v>13106</v>
      </c>
    </row>
    <row r="2788" spans="1:139" ht="29">
      <c r="A2788" s="532"/>
      <c r="AR2788" s="2513"/>
      <c r="CT2788" s="531"/>
      <c r="EI2788" s="2689" t="s">
        <v>13107</v>
      </c>
    </row>
    <row r="2789" spans="1:139" ht="58">
      <c r="A2789" s="532"/>
      <c r="AR2789" s="2513"/>
      <c r="CT2789" s="531"/>
      <c r="EI2789" s="2689" t="s">
        <v>13108</v>
      </c>
    </row>
    <row r="2790" spans="1:139" ht="29">
      <c r="A2790" s="532"/>
      <c r="AR2790" s="2513"/>
      <c r="CT2790" s="531"/>
      <c r="EI2790" s="2689" t="s">
        <v>13109</v>
      </c>
    </row>
    <row r="2791" spans="1:139" ht="29">
      <c r="A2791" s="532"/>
      <c r="AR2791" s="2513"/>
      <c r="CT2791" s="531"/>
      <c r="EI2791" s="2689" t="s">
        <v>13110</v>
      </c>
    </row>
    <row r="2792" spans="1:139">
      <c r="A2792" s="532"/>
      <c r="AR2792" s="2513"/>
      <c r="CT2792" s="531"/>
      <c r="EI2792" s="2689" t="s">
        <v>13111</v>
      </c>
    </row>
    <row r="2793" spans="1:139" ht="43.5">
      <c r="A2793" s="532"/>
      <c r="AR2793" s="2513"/>
      <c r="CT2793" s="531"/>
      <c r="EI2793" s="2689" t="s">
        <v>13112</v>
      </c>
    </row>
    <row r="2794" spans="1:139" ht="29">
      <c r="A2794" s="532"/>
      <c r="AR2794" s="2513"/>
      <c r="CT2794" s="531"/>
      <c r="EI2794" s="2689" t="s">
        <v>13113</v>
      </c>
    </row>
    <row r="2795" spans="1:139" ht="43.5">
      <c r="A2795" s="532"/>
      <c r="AR2795" s="2513"/>
      <c r="CT2795" s="531"/>
      <c r="EI2795" s="2689" t="s">
        <v>13114</v>
      </c>
    </row>
    <row r="2796" spans="1:139" ht="58">
      <c r="A2796" s="532"/>
      <c r="AR2796" s="2513"/>
      <c r="CT2796" s="531"/>
      <c r="EI2796" s="2689" t="s">
        <v>13115</v>
      </c>
    </row>
    <row r="2797" spans="1:139" ht="43.5">
      <c r="A2797" s="532"/>
      <c r="AR2797" s="2513"/>
      <c r="CT2797" s="531"/>
      <c r="EI2797" s="2689" t="s">
        <v>13116</v>
      </c>
    </row>
    <row r="2798" spans="1:139" ht="29">
      <c r="A2798" s="532"/>
      <c r="AR2798" s="2513"/>
      <c r="CT2798" s="531"/>
      <c r="EI2798" s="2689" t="s">
        <v>13117</v>
      </c>
    </row>
    <row r="2799" spans="1:139" ht="87">
      <c r="A2799" s="532"/>
      <c r="AR2799" s="2513"/>
      <c r="CT2799" s="531"/>
      <c r="EI2799" s="2689" t="s">
        <v>13118</v>
      </c>
    </row>
    <row r="2800" spans="1:139" ht="29">
      <c r="A2800" s="532"/>
      <c r="AR2800" s="2513"/>
      <c r="CT2800" s="531"/>
      <c r="EI2800" s="2689" t="s">
        <v>13119</v>
      </c>
    </row>
    <row r="2801" spans="1:139" ht="72.5">
      <c r="A2801" s="532"/>
      <c r="AR2801" s="2513"/>
      <c r="CT2801" s="531"/>
      <c r="EI2801" s="2689" t="s">
        <v>13120</v>
      </c>
    </row>
    <row r="2802" spans="1:139">
      <c r="A2802" s="532"/>
      <c r="AR2802" s="2513"/>
      <c r="CT2802" s="531"/>
      <c r="EI2802" s="2689" t="s">
        <v>13121</v>
      </c>
    </row>
    <row r="2803" spans="1:139" ht="29">
      <c r="A2803" s="532"/>
      <c r="AR2803" s="2513"/>
      <c r="CT2803" s="531"/>
      <c r="EI2803" s="2689" t="s">
        <v>13122</v>
      </c>
    </row>
    <row r="2804" spans="1:139" ht="43.5">
      <c r="A2804" s="532"/>
      <c r="AR2804" s="2513"/>
      <c r="CT2804" s="531"/>
      <c r="EI2804" s="2689" t="s">
        <v>13123</v>
      </c>
    </row>
    <row r="2805" spans="1:139" ht="29">
      <c r="A2805" s="532"/>
      <c r="AR2805" s="2513"/>
      <c r="CT2805" s="531"/>
      <c r="EI2805" s="2689" t="s">
        <v>13124</v>
      </c>
    </row>
    <row r="2806" spans="1:139" ht="29">
      <c r="A2806" s="532"/>
      <c r="AR2806" s="2513"/>
      <c r="CT2806" s="531"/>
      <c r="EI2806" s="2689" t="s">
        <v>13125</v>
      </c>
    </row>
    <row r="2807" spans="1:139" ht="43.5">
      <c r="A2807" s="532"/>
      <c r="AR2807" s="2513"/>
      <c r="CT2807" s="531"/>
      <c r="EI2807" s="2689" t="s">
        <v>13126</v>
      </c>
    </row>
    <row r="2808" spans="1:139" ht="87">
      <c r="A2808" s="532"/>
      <c r="AR2808" s="2513"/>
      <c r="CT2808" s="531"/>
      <c r="EI2808" s="2689" t="s">
        <v>13127</v>
      </c>
    </row>
    <row r="2809" spans="1:139" ht="72.5">
      <c r="A2809" s="532"/>
      <c r="AR2809" s="2513"/>
      <c r="CT2809" s="531"/>
      <c r="EI2809" s="2689" t="s">
        <v>13128</v>
      </c>
    </row>
    <row r="2810" spans="1:139" ht="87">
      <c r="A2810" s="532"/>
      <c r="AR2810" s="2513"/>
      <c r="CT2810" s="531"/>
      <c r="EI2810" s="2689" t="s">
        <v>13129</v>
      </c>
    </row>
    <row r="2811" spans="1:139" ht="87">
      <c r="A2811" s="532"/>
      <c r="AR2811" s="2513"/>
      <c r="CT2811" s="531"/>
      <c r="EI2811" s="2689" t="s">
        <v>13130</v>
      </c>
    </row>
    <row r="2812" spans="1:139" ht="29">
      <c r="A2812" s="532"/>
      <c r="AR2812" s="2513"/>
      <c r="CT2812" s="531"/>
      <c r="EI2812" s="2689" t="s">
        <v>13131</v>
      </c>
    </row>
    <row r="2813" spans="1:139" ht="29">
      <c r="A2813" s="532"/>
      <c r="AR2813" s="2513"/>
      <c r="CT2813" s="531"/>
      <c r="EI2813" s="2689" t="s">
        <v>13132</v>
      </c>
    </row>
    <row r="2814" spans="1:139" ht="72.5">
      <c r="A2814" s="532"/>
      <c r="AR2814" s="2513"/>
      <c r="CT2814" s="531"/>
      <c r="EI2814" s="2689" t="s">
        <v>13133</v>
      </c>
    </row>
    <row r="2815" spans="1:139" ht="29">
      <c r="A2815" s="532"/>
      <c r="AR2815" s="2513"/>
      <c r="CT2815" s="531"/>
      <c r="EI2815" s="2689" t="s">
        <v>13134</v>
      </c>
    </row>
    <row r="2816" spans="1:139" ht="43.5">
      <c r="A2816" s="532"/>
      <c r="AR2816" s="2513"/>
      <c r="CT2816" s="531"/>
      <c r="EI2816" s="2689" t="s">
        <v>13135</v>
      </c>
    </row>
    <row r="2817" spans="1:139" ht="29">
      <c r="A2817" s="532"/>
      <c r="AR2817" s="2513"/>
      <c r="CT2817" s="531"/>
      <c r="EI2817" s="2689" t="s">
        <v>13136</v>
      </c>
    </row>
    <row r="2818" spans="1:139" ht="29">
      <c r="A2818" s="532"/>
      <c r="AR2818" s="2513"/>
      <c r="CT2818" s="531"/>
      <c r="EI2818" s="2689" t="s">
        <v>13137</v>
      </c>
    </row>
    <row r="2819" spans="1:139" ht="58">
      <c r="A2819" s="532"/>
      <c r="AR2819" s="2513"/>
      <c r="CT2819" s="531"/>
      <c r="EI2819" s="2689" t="s">
        <v>13138</v>
      </c>
    </row>
    <row r="2820" spans="1:139" ht="58">
      <c r="A2820" s="532"/>
      <c r="AR2820" s="2513"/>
      <c r="CT2820" s="531"/>
      <c r="EI2820" s="2689" t="s">
        <v>13139</v>
      </c>
    </row>
    <row r="2821" spans="1:139" ht="29">
      <c r="A2821" s="532"/>
      <c r="AR2821" s="2513"/>
      <c r="CT2821" s="531"/>
      <c r="EI2821" s="2689" t="s">
        <v>13140</v>
      </c>
    </row>
    <row r="2822" spans="1:139" ht="43.5">
      <c r="A2822" s="532"/>
      <c r="AR2822" s="2513"/>
      <c r="CT2822" s="531"/>
      <c r="EI2822" s="2689" t="s">
        <v>13141</v>
      </c>
    </row>
    <row r="2823" spans="1:139" ht="72.5">
      <c r="A2823" s="532"/>
      <c r="AR2823" s="2513"/>
      <c r="CT2823" s="531"/>
      <c r="EI2823" s="2689" t="s">
        <v>13142</v>
      </c>
    </row>
    <row r="2824" spans="1:139" ht="58">
      <c r="A2824" s="532"/>
      <c r="AR2824" s="2513"/>
      <c r="CT2824" s="531"/>
      <c r="EI2824" s="2689" t="s">
        <v>13143</v>
      </c>
    </row>
    <row r="2825" spans="1:139" ht="58">
      <c r="A2825" s="532"/>
      <c r="AR2825" s="2513"/>
      <c r="CT2825" s="531"/>
      <c r="EI2825" s="2689" t="s">
        <v>13144</v>
      </c>
    </row>
    <row r="2826" spans="1:139" ht="58">
      <c r="A2826" s="532"/>
      <c r="AR2826" s="2513"/>
      <c r="CT2826" s="531"/>
      <c r="EI2826" s="2689" t="s">
        <v>13145</v>
      </c>
    </row>
    <row r="2827" spans="1:139" ht="72.5">
      <c r="A2827" s="532"/>
      <c r="AR2827" s="2513"/>
      <c r="CT2827" s="531"/>
      <c r="EI2827" s="2689" t="s">
        <v>13146</v>
      </c>
    </row>
    <row r="2828" spans="1:139" ht="72.5">
      <c r="A2828" s="532"/>
      <c r="AR2828" s="2513"/>
      <c r="CT2828" s="531"/>
      <c r="EI2828" s="2689" t="s">
        <v>13147</v>
      </c>
    </row>
    <row r="2829" spans="1:139" ht="87">
      <c r="A2829" s="532"/>
      <c r="AR2829" s="2513"/>
      <c r="CT2829" s="531"/>
      <c r="EI2829" s="2689" t="s">
        <v>13148</v>
      </c>
    </row>
    <row r="2830" spans="1:139" ht="72.5">
      <c r="A2830" s="532"/>
      <c r="AR2830" s="2513"/>
      <c r="CT2830" s="531"/>
      <c r="EI2830" s="2689" t="s">
        <v>13149</v>
      </c>
    </row>
    <row r="2831" spans="1:139" ht="58">
      <c r="A2831" s="532"/>
      <c r="AR2831" s="2513"/>
      <c r="CT2831" s="531"/>
      <c r="EI2831" s="2689" t="s">
        <v>13150</v>
      </c>
    </row>
    <row r="2832" spans="1:139" ht="29">
      <c r="A2832" s="532"/>
      <c r="AR2832" s="2513"/>
      <c r="CT2832" s="531"/>
      <c r="EI2832" s="2689" t="s">
        <v>13151</v>
      </c>
    </row>
    <row r="2833" spans="1:139" ht="29">
      <c r="A2833" s="532"/>
      <c r="AR2833" s="2513"/>
      <c r="CT2833" s="531"/>
      <c r="EI2833" s="2689" t="s">
        <v>13152</v>
      </c>
    </row>
    <row r="2834" spans="1:139" ht="29">
      <c r="A2834" s="532"/>
      <c r="AR2834" s="2513"/>
      <c r="CT2834" s="531"/>
      <c r="EI2834" s="2689" t="s">
        <v>13153</v>
      </c>
    </row>
    <row r="2835" spans="1:139" ht="29">
      <c r="A2835" s="532"/>
      <c r="AR2835" s="2513"/>
      <c r="CT2835" s="531"/>
      <c r="EI2835" s="2689" t="s">
        <v>13154</v>
      </c>
    </row>
    <row r="2836" spans="1:139" ht="43.5">
      <c r="A2836" s="532"/>
      <c r="AR2836" s="2513"/>
      <c r="CT2836" s="531"/>
      <c r="EI2836" s="2689" t="s">
        <v>13155</v>
      </c>
    </row>
    <row r="2837" spans="1:139" ht="29">
      <c r="A2837" s="532"/>
      <c r="AR2837" s="2513"/>
      <c r="CT2837" s="531"/>
      <c r="EI2837" s="2689" t="s">
        <v>13156</v>
      </c>
    </row>
    <row r="2838" spans="1:139" ht="29">
      <c r="A2838" s="532"/>
      <c r="AR2838" s="2513"/>
      <c r="CT2838" s="531"/>
      <c r="EI2838" s="2689" t="s">
        <v>13157</v>
      </c>
    </row>
    <row r="2839" spans="1:139" ht="29">
      <c r="A2839" s="532"/>
      <c r="AR2839" s="2513"/>
      <c r="CT2839" s="531"/>
      <c r="EI2839" s="2689" t="s">
        <v>13158</v>
      </c>
    </row>
    <row r="2840" spans="1:139" ht="43.5">
      <c r="A2840" s="532"/>
      <c r="AR2840" s="2513"/>
      <c r="CT2840" s="531"/>
      <c r="EI2840" s="2689" t="s">
        <v>13159</v>
      </c>
    </row>
    <row r="2841" spans="1:139" ht="43.5">
      <c r="A2841" s="532"/>
      <c r="AR2841" s="2513"/>
      <c r="CT2841" s="531"/>
      <c r="EI2841" s="2689" t="s">
        <v>13160</v>
      </c>
    </row>
    <row r="2842" spans="1:139" ht="43.5">
      <c r="A2842" s="532"/>
      <c r="AR2842" s="2513"/>
      <c r="CT2842" s="531"/>
      <c r="EI2842" s="2689" t="s">
        <v>13161</v>
      </c>
    </row>
    <row r="2843" spans="1:139" ht="29">
      <c r="A2843" s="532"/>
      <c r="AR2843" s="2513"/>
      <c r="CT2843" s="531"/>
      <c r="EI2843" s="2689" t="s">
        <v>13162</v>
      </c>
    </row>
    <row r="2844" spans="1:139" ht="72.5">
      <c r="A2844" s="532"/>
      <c r="AR2844" s="2513"/>
      <c r="CT2844" s="531"/>
      <c r="EI2844" s="2689" t="s">
        <v>13163</v>
      </c>
    </row>
    <row r="2845" spans="1:139" ht="43.5">
      <c r="A2845" s="532"/>
      <c r="AR2845" s="2513"/>
      <c r="CT2845" s="531"/>
      <c r="EI2845" s="2689" t="s">
        <v>13164</v>
      </c>
    </row>
    <row r="2846" spans="1:139" ht="29">
      <c r="A2846" s="532"/>
      <c r="AR2846" s="2513"/>
      <c r="CT2846" s="531"/>
      <c r="EI2846" s="2689" t="s">
        <v>13165</v>
      </c>
    </row>
    <row r="2847" spans="1:139" ht="72.5">
      <c r="A2847" s="532"/>
      <c r="AR2847" s="2513"/>
      <c r="CT2847" s="531"/>
      <c r="EI2847" s="2689" t="s">
        <v>13166</v>
      </c>
    </row>
    <row r="2848" spans="1:139" ht="43.5">
      <c r="A2848" s="532"/>
      <c r="AR2848" s="2513"/>
      <c r="CT2848" s="531"/>
      <c r="EI2848" s="2689" t="s">
        <v>13167</v>
      </c>
    </row>
    <row r="2849" spans="1:139" ht="29">
      <c r="A2849" s="532"/>
      <c r="AR2849" s="2513"/>
      <c r="CT2849" s="531"/>
      <c r="EI2849" s="2689" t="s">
        <v>13168</v>
      </c>
    </row>
    <row r="2850" spans="1:139">
      <c r="A2850" s="532"/>
      <c r="AR2850" s="2513"/>
      <c r="CT2850" s="531"/>
      <c r="EI2850" s="2689" t="s">
        <v>13169</v>
      </c>
    </row>
    <row r="2851" spans="1:139" ht="58">
      <c r="A2851" s="532"/>
      <c r="AR2851" s="2513"/>
      <c r="CT2851" s="531"/>
      <c r="EI2851" s="2689" t="s">
        <v>13170</v>
      </c>
    </row>
    <row r="2852" spans="1:139" ht="43.5">
      <c r="A2852" s="532"/>
      <c r="AR2852" s="2513"/>
      <c r="CT2852" s="531"/>
      <c r="EI2852" s="2689" t="s">
        <v>13171</v>
      </c>
    </row>
    <row r="2853" spans="1:139" ht="43.5">
      <c r="A2853" s="532"/>
      <c r="AR2853" s="2513"/>
      <c r="CT2853" s="531"/>
      <c r="EI2853" s="2689" t="s">
        <v>13172</v>
      </c>
    </row>
    <row r="2854" spans="1:139" ht="43.5">
      <c r="A2854" s="532"/>
      <c r="AR2854" s="2513"/>
      <c r="CT2854" s="531"/>
      <c r="EI2854" s="2689" t="s">
        <v>13173</v>
      </c>
    </row>
    <row r="2855" spans="1:139" ht="58">
      <c r="A2855" s="532"/>
      <c r="AR2855" s="2513"/>
      <c r="CT2855" s="531"/>
      <c r="EI2855" s="2689" t="s">
        <v>13174</v>
      </c>
    </row>
    <row r="2856" spans="1:139" ht="29">
      <c r="A2856" s="532"/>
      <c r="AR2856" s="2513"/>
      <c r="CT2856" s="531"/>
      <c r="EI2856" s="2689" t="s">
        <v>13175</v>
      </c>
    </row>
    <row r="2857" spans="1:139" ht="58">
      <c r="A2857" s="532"/>
      <c r="AR2857" s="2513"/>
      <c r="CT2857" s="531"/>
      <c r="EI2857" s="2689" t="s">
        <v>13176</v>
      </c>
    </row>
    <row r="2858" spans="1:139" ht="43.5">
      <c r="A2858" s="532"/>
      <c r="AR2858" s="2513"/>
      <c r="CT2858" s="531"/>
      <c r="EI2858" s="2689" t="s">
        <v>13177</v>
      </c>
    </row>
    <row r="2859" spans="1:139" ht="58">
      <c r="A2859" s="532"/>
      <c r="AR2859" s="2513"/>
      <c r="CT2859" s="531"/>
      <c r="EI2859" s="2689" t="s">
        <v>13178</v>
      </c>
    </row>
    <row r="2860" spans="1:139" ht="58">
      <c r="A2860" s="532"/>
      <c r="AR2860" s="2513"/>
      <c r="CT2860" s="531"/>
      <c r="EI2860" s="2689" t="s">
        <v>13179</v>
      </c>
    </row>
    <row r="2861" spans="1:139" ht="43.5">
      <c r="A2861" s="532"/>
      <c r="AR2861" s="2513"/>
      <c r="CT2861" s="531"/>
      <c r="EI2861" s="2689" t="s">
        <v>13180</v>
      </c>
    </row>
    <row r="2862" spans="1:139" ht="43.5">
      <c r="A2862" s="532"/>
      <c r="AR2862" s="2513"/>
      <c r="CT2862" s="531"/>
      <c r="EI2862" s="2689" t="s">
        <v>13181</v>
      </c>
    </row>
    <row r="2863" spans="1:139" ht="29">
      <c r="A2863" s="532"/>
      <c r="AR2863" s="2513"/>
      <c r="CT2863" s="531"/>
      <c r="EI2863" s="2689" t="s">
        <v>13182</v>
      </c>
    </row>
    <row r="2864" spans="1:139" ht="43.5">
      <c r="A2864" s="532"/>
      <c r="AR2864" s="2513"/>
      <c r="CT2864" s="531"/>
      <c r="EI2864" s="2689" t="s">
        <v>13183</v>
      </c>
    </row>
    <row r="2865" spans="1:139" ht="29">
      <c r="A2865" s="532"/>
      <c r="AR2865" s="2513"/>
      <c r="CT2865" s="531"/>
      <c r="EI2865" s="2689" t="s">
        <v>13184</v>
      </c>
    </row>
    <row r="2866" spans="1:139" ht="29">
      <c r="A2866" s="532"/>
      <c r="AR2866" s="2513"/>
      <c r="CT2866" s="531"/>
      <c r="EI2866" s="2689" t="s">
        <v>13185</v>
      </c>
    </row>
    <row r="2867" spans="1:139" ht="29">
      <c r="A2867" s="532"/>
      <c r="AR2867" s="2513"/>
      <c r="CT2867" s="531"/>
      <c r="EI2867" s="2689" t="s">
        <v>13186</v>
      </c>
    </row>
    <row r="2868" spans="1:139" ht="29">
      <c r="A2868" s="532"/>
      <c r="AR2868" s="2513"/>
      <c r="CT2868" s="531"/>
      <c r="EI2868" s="2689" t="s">
        <v>13187</v>
      </c>
    </row>
    <row r="2869" spans="1:139" ht="29">
      <c r="A2869" s="532"/>
      <c r="AR2869" s="2513"/>
      <c r="CT2869" s="531"/>
      <c r="EI2869" s="2689" t="s">
        <v>13188</v>
      </c>
    </row>
    <row r="2870" spans="1:139" ht="43.5">
      <c r="A2870" s="532"/>
      <c r="AR2870" s="2513"/>
      <c r="CT2870" s="531"/>
      <c r="EI2870" s="2689" t="s">
        <v>13189</v>
      </c>
    </row>
    <row r="2871" spans="1:139" ht="29">
      <c r="A2871" s="532"/>
      <c r="AR2871" s="2513"/>
      <c r="CT2871" s="531"/>
      <c r="EI2871" s="2689" t="s">
        <v>13190</v>
      </c>
    </row>
    <row r="2872" spans="1:139" ht="43.5">
      <c r="A2872" s="532"/>
      <c r="AR2872" s="2513"/>
      <c r="CT2872" s="531"/>
      <c r="EI2872" s="2689" t="s">
        <v>13191</v>
      </c>
    </row>
    <row r="2873" spans="1:139" ht="58">
      <c r="A2873" s="532"/>
      <c r="AR2873" s="2513"/>
      <c r="CT2873" s="531"/>
      <c r="EI2873" s="2689" t="s">
        <v>13192</v>
      </c>
    </row>
    <row r="2874" spans="1:139" ht="58">
      <c r="A2874" s="532"/>
      <c r="AR2874" s="2513"/>
      <c r="CT2874" s="531"/>
      <c r="EI2874" s="2689" t="s">
        <v>13193</v>
      </c>
    </row>
    <row r="2875" spans="1:139" ht="58">
      <c r="A2875" s="532"/>
      <c r="AR2875" s="2513"/>
      <c r="CT2875" s="531"/>
      <c r="EI2875" s="2689" t="s">
        <v>13194</v>
      </c>
    </row>
    <row r="2876" spans="1:139" ht="43.5">
      <c r="A2876" s="532"/>
      <c r="AR2876" s="2513"/>
      <c r="CT2876" s="531"/>
      <c r="EI2876" s="2689" t="s">
        <v>13195</v>
      </c>
    </row>
    <row r="2877" spans="1:139" ht="43.5">
      <c r="A2877" s="532"/>
      <c r="AR2877" s="2513"/>
      <c r="CT2877" s="531"/>
      <c r="EI2877" s="2689" t="s">
        <v>13196</v>
      </c>
    </row>
    <row r="2878" spans="1:139" ht="43.5">
      <c r="A2878" s="532"/>
      <c r="AR2878" s="2513"/>
      <c r="CT2878" s="531"/>
      <c r="EI2878" s="2689" t="s">
        <v>13197</v>
      </c>
    </row>
    <row r="2879" spans="1:139" ht="72.5">
      <c r="A2879" s="532"/>
      <c r="AR2879" s="2513"/>
      <c r="CT2879" s="531"/>
      <c r="EI2879" s="2689" t="s">
        <v>13198</v>
      </c>
    </row>
    <row r="2880" spans="1:139" ht="58">
      <c r="A2880" s="532"/>
      <c r="AR2880" s="2513"/>
      <c r="CT2880" s="531"/>
      <c r="EI2880" s="2689" t="s">
        <v>13199</v>
      </c>
    </row>
    <row r="2881" spans="1:139" ht="58">
      <c r="A2881" s="532"/>
      <c r="AR2881" s="2513"/>
      <c r="CT2881" s="531"/>
      <c r="EI2881" s="2689" t="s">
        <v>13200</v>
      </c>
    </row>
    <row r="2882" spans="1:139" ht="58">
      <c r="A2882" s="532"/>
      <c r="AR2882" s="2513"/>
      <c r="CT2882" s="531"/>
      <c r="EI2882" s="2689" t="s">
        <v>13201</v>
      </c>
    </row>
    <row r="2883" spans="1:139" ht="130.5">
      <c r="A2883" s="532"/>
      <c r="AR2883" s="2513"/>
      <c r="CT2883" s="531"/>
      <c r="EI2883" s="2689" t="s">
        <v>13202</v>
      </c>
    </row>
    <row r="2884" spans="1:139" ht="87">
      <c r="A2884" s="532"/>
      <c r="AR2884" s="2513"/>
      <c r="CT2884" s="531"/>
      <c r="EI2884" s="2689" t="s">
        <v>13203</v>
      </c>
    </row>
    <row r="2885" spans="1:139" ht="101.5">
      <c r="A2885" s="532"/>
      <c r="AR2885" s="2513"/>
      <c r="CT2885" s="531"/>
      <c r="EI2885" s="2689" t="s">
        <v>13204</v>
      </c>
    </row>
    <row r="2886" spans="1:139" ht="116">
      <c r="A2886" s="532"/>
      <c r="AR2886" s="2513"/>
      <c r="CT2886" s="531"/>
      <c r="EI2886" s="2689" t="s">
        <v>13205</v>
      </c>
    </row>
    <row r="2887" spans="1:139" ht="58">
      <c r="A2887" s="532"/>
      <c r="AR2887" s="2513"/>
      <c r="CT2887" s="531"/>
      <c r="EI2887" s="2689" t="s">
        <v>13206</v>
      </c>
    </row>
    <row r="2888" spans="1:139" ht="58">
      <c r="A2888" s="532"/>
      <c r="AR2888" s="2513"/>
      <c r="CT2888" s="531"/>
      <c r="EI2888" s="2689" t="s">
        <v>13207</v>
      </c>
    </row>
    <row r="2889" spans="1:139" ht="43.5">
      <c r="A2889" s="532"/>
      <c r="AR2889" s="2513"/>
      <c r="CT2889" s="531"/>
      <c r="EI2889" s="2689" t="s">
        <v>13208</v>
      </c>
    </row>
    <row r="2890" spans="1:139" ht="43.5">
      <c r="A2890" s="532"/>
      <c r="AR2890" s="2513"/>
      <c r="CT2890" s="531"/>
      <c r="EI2890" s="2689" t="s">
        <v>13209</v>
      </c>
    </row>
    <row r="2891" spans="1:139" ht="87">
      <c r="A2891" s="532"/>
      <c r="AR2891" s="2513"/>
      <c r="CT2891" s="531"/>
      <c r="EI2891" s="2689" t="s">
        <v>13210</v>
      </c>
    </row>
    <row r="2892" spans="1:139" ht="58">
      <c r="A2892" s="532"/>
      <c r="AR2892" s="2513"/>
      <c r="CT2892" s="531"/>
      <c r="EI2892" s="2689" t="s">
        <v>13211</v>
      </c>
    </row>
    <row r="2893" spans="1:139" ht="43.5">
      <c r="A2893" s="532"/>
      <c r="AR2893" s="2513"/>
      <c r="CT2893" s="531"/>
      <c r="EI2893" s="2689" t="s">
        <v>13212</v>
      </c>
    </row>
    <row r="2894" spans="1:139" ht="58">
      <c r="A2894" s="532"/>
      <c r="AR2894" s="2513"/>
      <c r="CT2894" s="531"/>
      <c r="EI2894" s="2689" t="s">
        <v>13213</v>
      </c>
    </row>
    <row r="2895" spans="1:139" ht="72.5">
      <c r="A2895" s="532"/>
      <c r="AR2895" s="2513"/>
      <c r="CT2895" s="531"/>
      <c r="EI2895" s="2689" t="s">
        <v>13214</v>
      </c>
    </row>
    <row r="2896" spans="1:139" ht="29">
      <c r="A2896" s="532"/>
      <c r="AR2896" s="2513"/>
      <c r="CT2896" s="531"/>
      <c r="EI2896" s="2689" t="s">
        <v>13215</v>
      </c>
    </row>
    <row r="2897" spans="1:139" ht="43.5">
      <c r="A2897" s="532"/>
      <c r="AR2897" s="2513"/>
      <c r="CT2897" s="531"/>
      <c r="EI2897" s="2689" t="s">
        <v>13216</v>
      </c>
    </row>
    <row r="2898" spans="1:139" ht="101.5">
      <c r="A2898" s="532"/>
      <c r="AR2898" s="2513"/>
      <c r="CT2898" s="531"/>
      <c r="EI2898" s="2689" t="s">
        <v>13217</v>
      </c>
    </row>
    <row r="2899" spans="1:139" ht="29">
      <c r="A2899" s="532"/>
      <c r="AR2899" s="2513"/>
      <c r="CT2899" s="531"/>
      <c r="EI2899" s="2689" t="s">
        <v>13218</v>
      </c>
    </row>
    <row r="2900" spans="1:139" ht="29">
      <c r="A2900" s="532"/>
      <c r="AR2900" s="2513"/>
      <c r="CT2900" s="531"/>
      <c r="EI2900" s="2689" t="s">
        <v>13219</v>
      </c>
    </row>
    <row r="2901" spans="1:139" ht="29">
      <c r="A2901" s="532"/>
      <c r="AR2901" s="2513"/>
      <c r="CT2901" s="531"/>
      <c r="EI2901" s="2689" t="s">
        <v>13220</v>
      </c>
    </row>
    <row r="2902" spans="1:139" ht="43.5">
      <c r="A2902" s="532"/>
      <c r="AR2902" s="2513"/>
      <c r="CT2902" s="531"/>
      <c r="EI2902" s="2689" t="s">
        <v>13221</v>
      </c>
    </row>
    <row r="2903" spans="1:139" ht="43.5">
      <c r="A2903" s="532"/>
      <c r="AR2903" s="2513"/>
      <c r="CT2903" s="531"/>
      <c r="EI2903" s="2689" t="s">
        <v>13222</v>
      </c>
    </row>
    <row r="2904" spans="1:139" ht="29">
      <c r="A2904" s="532"/>
      <c r="AR2904" s="2513"/>
      <c r="CT2904" s="531"/>
      <c r="EI2904" s="2689" t="s">
        <v>13223</v>
      </c>
    </row>
    <row r="2905" spans="1:139" ht="29">
      <c r="A2905" s="532"/>
      <c r="AR2905" s="2513"/>
      <c r="CT2905" s="531"/>
      <c r="EI2905" s="2689" t="s">
        <v>13224</v>
      </c>
    </row>
    <row r="2906" spans="1:139" ht="58">
      <c r="A2906" s="532"/>
      <c r="AR2906" s="2513"/>
      <c r="CT2906" s="531"/>
      <c r="EI2906" s="2689" t="s">
        <v>13225</v>
      </c>
    </row>
    <row r="2907" spans="1:139" ht="43.5">
      <c r="A2907" s="532"/>
      <c r="AR2907" s="2513"/>
      <c r="CT2907" s="531"/>
      <c r="EI2907" s="2689" t="s">
        <v>13226</v>
      </c>
    </row>
    <row r="2908" spans="1:139" ht="43.5">
      <c r="A2908" s="532"/>
      <c r="AR2908" s="2513"/>
      <c r="CT2908" s="531"/>
      <c r="EI2908" s="2689" t="s">
        <v>13227</v>
      </c>
    </row>
    <row r="2909" spans="1:139" ht="29">
      <c r="A2909" s="532"/>
      <c r="AR2909" s="2513"/>
      <c r="CT2909" s="531"/>
      <c r="EI2909" s="2689" t="s">
        <v>13228</v>
      </c>
    </row>
    <row r="2910" spans="1:139" ht="58">
      <c r="A2910" s="532"/>
      <c r="AR2910" s="2513"/>
      <c r="CT2910" s="531"/>
      <c r="EI2910" s="2689" t="s">
        <v>13229</v>
      </c>
    </row>
    <row r="2911" spans="1:139">
      <c r="A2911" s="532"/>
      <c r="AR2911" s="2513"/>
      <c r="CT2911" s="531"/>
      <c r="EI2911" s="2689" t="s">
        <v>13230</v>
      </c>
    </row>
    <row r="2912" spans="1:139" ht="43.5">
      <c r="A2912" s="532"/>
      <c r="AR2912" s="2513"/>
      <c r="CT2912" s="531"/>
      <c r="EI2912" s="2689" t="s">
        <v>13231</v>
      </c>
    </row>
    <row r="2913" spans="1:139" ht="72.5">
      <c r="A2913" s="532"/>
      <c r="AR2913" s="2513"/>
      <c r="CT2913" s="531"/>
      <c r="EI2913" s="2689" t="s">
        <v>13232</v>
      </c>
    </row>
    <row r="2914" spans="1:139" ht="58">
      <c r="A2914" s="532"/>
      <c r="AR2914" s="2513"/>
      <c r="CT2914" s="531"/>
      <c r="EI2914" s="2689" t="s">
        <v>13233</v>
      </c>
    </row>
    <row r="2915" spans="1:139" ht="116">
      <c r="A2915" s="532"/>
      <c r="AR2915" s="2513"/>
      <c r="CT2915" s="531"/>
      <c r="EI2915" s="2689" t="s">
        <v>13234</v>
      </c>
    </row>
    <row r="2916" spans="1:139" ht="174">
      <c r="A2916" s="532"/>
      <c r="AR2916" s="2513"/>
      <c r="CT2916" s="531"/>
      <c r="EI2916" s="2689" t="s">
        <v>13235</v>
      </c>
    </row>
    <row r="2917" spans="1:139" ht="43.5">
      <c r="A2917" s="532"/>
      <c r="AR2917" s="2513"/>
      <c r="CT2917" s="531"/>
      <c r="EI2917" s="2689" t="s">
        <v>13236</v>
      </c>
    </row>
    <row r="2918" spans="1:139" ht="43.5">
      <c r="A2918" s="532"/>
      <c r="AR2918" s="2513"/>
      <c r="CT2918" s="531"/>
      <c r="EI2918" s="2689" t="s">
        <v>13237</v>
      </c>
    </row>
    <row r="2919" spans="1:139" ht="29">
      <c r="A2919" s="532"/>
      <c r="AR2919" s="2513"/>
      <c r="CT2919" s="531"/>
      <c r="EI2919" s="2689" t="s">
        <v>13238</v>
      </c>
    </row>
    <row r="2920" spans="1:139" ht="58">
      <c r="A2920" s="532"/>
      <c r="AR2920" s="2513"/>
      <c r="CT2920" s="531"/>
      <c r="EI2920" s="2689" t="s">
        <v>13239</v>
      </c>
    </row>
    <row r="2921" spans="1:139" ht="43.5">
      <c r="A2921" s="532"/>
      <c r="AR2921" s="2513"/>
      <c r="CT2921" s="531"/>
      <c r="EI2921" s="2689" t="s">
        <v>13240</v>
      </c>
    </row>
    <row r="2922" spans="1:139" ht="43.5">
      <c r="A2922" s="532"/>
      <c r="AR2922" s="2513"/>
      <c r="CT2922" s="531"/>
      <c r="EI2922" s="2689" t="s">
        <v>13241</v>
      </c>
    </row>
    <row r="2923" spans="1:139" ht="58">
      <c r="A2923" s="532"/>
      <c r="AR2923" s="2513"/>
      <c r="CT2923" s="531"/>
      <c r="EI2923" s="2689" t="s">
        <v>13242</v>
      </c>
    </row>
    <row r="2924" spans="1:139" ht="72.5">
      <c r="A2924" s="532"/>
      <c r="AR2924" s="2513"/>
      <c r="CT2924" s="531"/>
      <c r="EI2924" s="2689" t="s">
        <v>13243</v>
      </c>
    </row>
    <row r="2925" spans="1:139" ht="58">
      <c r="A2925" s="532"/>
      <c r="AR2925" s="2513"/>
      <c r="CT2925" s="531"/>
      <c r="EI2925" s="2689" t="s">
        <v>13244</v>
      </c>
    </row>
    <row r="2926" spans="1:139" ht="43.5">
      <c r="A2926" s="532"/>
      <c r="AR2926" s="2513"/>
      <c r="CT2926" s="531"/>
      <c r="EI2926" s="2689" t="s">
        <v>13245</v>
      </c>
    </row>
    <row r="2927" spans="1:139" ht="58">
      <c r="A2927" s="532"/>
      <c r="AR2927" s="2513"/>
      <c r="CT2927" s="531"/>
      <c r="EI2927" s="2689" t="s">
        <v>13246</v>
      </c>
    </row>
    <row r="2928" spans="1:139" ht="58">
      <c r="A2928" s="532"/>
      <c r="AR2928" s="2513"/>
      <c r="CT2928" s="531"/>
      <c r="EI2928" s="2689" t="s">
        <v>13247</v>
      </c>
    </row>
    <row r="2929" spans="1:139" ht="72.5">
      <c r="A2929" s="532"/>
      <c r="AR2929" s="2513"/>
      <c r="CT2929" s="531"/>
      <c r="EI2929" s="2689" t="s">
        <v>13248</v>
      </c>
    </row>
    <row r="2930" spans="1:139" ht="43.5">
      <c r="A2930" s="532"/>
      <c r="AR2930" s="2513"/>
      <c r="CT2930" s="531"/>
      <c r="EI2930" s="2689" t="s">
        <v>13249</v>
      </c>
    </row>
    <row r="2931" spans="1:139" ht="43.5">
      <c r="A2931" s="532"/>
      <c r="AR2931" s="2513"/>
      <c r="CT2931" s="531"/>
      <c r="EI2931" s="2689" t="s">
        <v>13250</v>
      </c>
    </row>
    <row r="2932" spans="1:139" ht="43.5">
      <c r="A2932" s="532"/>
      <c r="AR2932" s="2513"/>
      <c r="CT2932" s="531"/>
      <c r="EI2932" s="2689" t="s">
        <v>13251</v>
      </c>
    </row>
    <row r="2933" spans="1:139" ht="43.5">
      <c r="A2933" s="532"/>
      <c r="AR2933" s="2513"/>
      <c r="CT2933" s="531"/>
      <c r="EI2933" s="2689" t="s">
        <v>13252</v>
      </c>
    </row>
    <row r="2934" spans="1:139" ht="43.5">
      <c r="A2934" s="532"/>
      <c r="AR2934" s="2513"/>
      <c r="CT2934" s="531"/>
      <c r="EI2934" s="2689" t="s">
        <v>13253</v>
      </c>
    </row>
    <row r="2935" spans="1:139" ht="29">
      <c r="A2935" s="532"/>
      <c r="AR2935" s="2513"/>
      <c r="CT2935" s="531"/>
      <c r="EI2935" s="2689" t="s">
        <v>13254</v>
      </c>
    </row>
    <row r="2936" spans="1:139" ht="43.5">
      <c r="A2936" s="532"/>
      <c r="AR2936" s="2513"/>
      <c r="CT2936" s="531"/>
      <c r="EI2936" s="2689" t="s">
        <v>13255</v>
      </c>
    </row>
    <row r="2937" spans="1:139" ht="43.5">
      <c r="A2937" s="532"/>
      <c r="AR2937" s="2513"/>
      <c r="CT2937" s="531"/>
      <c r="EI2937" s="2689" t="s">
        <v>13256</v>
      </c>
    </row>
    <row r="2938" spans="1:139" ht="72.5">
      <c r="A2938" s="532"/>
      <c r="AR2938" s="2513"/>
      <c r="CT2938" s="531"/>
      <c r="EI2938" s="2689" t="s">
        <v>13257</v>
      </c>
    </row>
    <row r="2939" spans="1:139" ht="29">
      <c r="A2939" s="532"/>
      <c r="AR2939" s="2513"/>
      <c r="CT2939" s="531"/>
      <c r="EI2939" s="2689" t="s">
        <v>13258</v>
      </c>
    </row>
    <row r="2940" spans="1:139" ht="43.5">
      <c r="A2940" s="532"/>
      <c r="AR2940" s="2513"/>
      <c r="CT2940" s="531"/>
      <c r="EI2940" s="2689" t="s">
        <v>13259</v>
      </c>
    </row>
    <row r="2941" spans="1:139" ht="58">
      <c r="A2941" s="532"/>
      <c r="AR2941" s="2513"/>
      <c r="CT2941" s="531"/>
      <c r="EI2941" s="2689" t="s">
        <v>13260</v>
      </c>
    </row>
    <row r="2942" spans="1:139" ht="29">
      <c r="A2942" s="532"/>
      <c r="AR2942" s="2513"/>
      <c r="CT2942" s="531"/>
      <c r="EI2942" s="2689" t="s">
        <v>13261</v>
      </c>
    </row>
    <row r="2943" spans="1:139" ht="43.5">
      <c r="A2943" s="532"/>
      <c r="AR2943" s="2513"/>
      <c r="CT2943" s="531"/>
      <c r="EI2943" s="2689" t="s">
        <v>13262</v>
      </c>
    </row>
    <row r="2944" spans="1:139" ht="43.5">
      <c r="A2944" s="532"/>
      <c r="AR2944" s="2513"/>
      <c r="CT2944" s="531"/>
      <c r="EI2944" s="2689" t="s">
        <v>13263</v>
      </c>
    </row>
    <row r="2945" spans="1:139" ht="29">
      <c r="A2945" s="532"/>
      <c r="AR2945" s="2513"/>
      <c r="CT2945" s="531"/>
      <c r="EI2945" s="2689" t="s">
        <v>13264</v>
      </c>
    </row>
    <row r="2946" spans="1:139" ht="58">
      <c r="A2946" s="532"/>
      <c r="AR2946" s="2513"/>
      <c r="CT2946" s="531"/>
      <c r="EI2946" s="2689" t="s">
        <v>13265</v>
      </c>
    </row>
    <row r="2947" spans="1:139" ht="72.5">
      <c r="A2947" s="532"/>
      <c r="AR2947" s="2513"/>
      <c r="CT2947" s="531"/>
      <c r="EI2947" s="2689" t="s">
        <v>13266</v>
      </c>
    </row>
    <row r="2948" spans="1:139" ht="58">
      <c r="A2948" s="532"/>
      <c r="AR2948" s="2513"/>
      <c r="CT2948" s="531"/>
      <c r="EI2948" s="2689" t="s">
        <v>13267</v>
      </c>
    </row>
    <row r="2949" spans="1:139" ht="72.5">
      <c r="A2949" s="532"/>
      <c r="AR2949" s="2513"/>
      <c r="CT2949" s="531"/>
      <c r="EI2949" s="2689" t="s">
        <v>13268</v>
      </c>
    </row>
    <row r="2950" spans="1:139" ht="72.5">
      <c r="A2950" s="532"/>
      <c r="AR2950" s="2513"/>
      <c r="CT2950" s="531"/>
      <c r="EI2950" s="2689" t="s">
        <v>13269</v>
      </c>
    </row>
    <row r="2951" spans="1:139" ht="87">
      <c r="A2951" s="532"/>
      <c r="AR2951" s="2513"/>
      <c r="CT2951" s="531"/>
      <c r="EI2951" s="2689" t="s">
        <v>13270</v>
      </c>
    </row>
    <row r="2952" spans="1:139" ht="58">
      <c r="A2952" s="532"/>
      <c r="AR2952" s="2513"/>
      <c r="CT2952" s="531"/>
      <c r="EI2952" s="2689" t="s">
        <v>13271</v>
      </c>
    </row>
    <row r="2953" spans="1:139" ht="72.5">
      <c r="A2953" s="532"/>
      <c r="AR2953" s="2513"/>
      <c r="CT2953" s="531"/>
      <c r="EI2953" s="2689" t="s">
        <v>13272</v>
      </c>
    </row>
    <row r="2954" spans="1:139" ht="87">
      <c r="A2954" s="532"/>
      <c r="AR2954" s="2513"/>
      <c r="CT2954" s="531"/>
      <c r="EI2954" s="2689" t="s">
        <v>13273</v>
      </c>
    </row>
    <row r="2955" spans="1:139" ht="58">
      <c r="A2955" s="532"/>
      <c r="AR2955" s="2513"/>
      <c r="CT2955" s="531"/>
      <c r="EI2955" s="2689" t="s">
        <v>13274</v>
      </c>
    </row>
    <row r="2956" spans="1:139" ht="43.5">
      <c r="A2956" s="532"/>
      <c r="AR2956" s="2513"/>
      <c r="CT2956" s="531"/>
      <c r="EI2956" s="2689" t="s">
        <v>13275</v>
      </c>
    </row>
    <row r="2957" spans="1:139" ht="43.5">
      <c r="A2957" s="532"/>
      <c r="AR2957" s="2513"/>
      <c r="CT2957" s="531"/>
      <c r="EI2957" s="2689" t="s">
        <v>13276</v>
      </c>
    </row>
    <row r="2958" spans="1:139" ht="43.5">
      <c r="A2958" s="532"/>
      <c r="AR2958" s="2513"/>
      <c r="CT2958" s="531"/>
      <c r="EI2958" s="2689" t="s">
        <v>13277</v>
      </c>
    </row>
    <row r="2959" spans="1:139" ht="43.5">
      <c r="A2959" s="532"/>
      <c r="AR2959" s="2513"/>
      <c r="CT2959" s="531"/>
      <c r="EI2959" s="2689" t="s">
        <v>13278</v>
      </c>
    </row>
    <row r="2960" spans="1:139" ht="58">
      <c r="A2960" s="532"/>
      <c r="AR2960" s="2513"/>
      <c r="CT2960" s="531"/>
      <c r="EI2960" s="2689" t="s">
        <v>13279</v>
      </c>
    </row>
    <row r="2961" spans="1:139" ht="58">
      <c r="A2961" s="532"/>
      <c r="AR2961" s="2513"/>
      <c r="CT2961" s="531"/>
      <c r="EI2961" s="2689" t="s">
        <v>13280</v>
      </c>
    </row>
    <row r="2962" spans="1:139" ht="43.5">
      <c r="A2962" s="532"/>
      <c r="AR2962" s="2513"/>
      <c r="CT2962" s="531"/>
      <c r="EI2962" s="2689" t="s">
        <v>13281</v>
      </c>
    </row>
    <row r="2963" spans="1:139" ht="29">
      <c r="A2963" s="532"/>
      <c r="AR2963" s="2513"/>
      <c r="CT2963" s="531"/>
      <c r="EI2963" s="2689" t="s">
        <v>13282</v>
      </c>
    </row>
    <row r="2964" spans="1:139" ht="43.5">
      <c r="A2964" s="532"/>
      <c r="AR2964" s="2513"/>
      <c r="CT2964" s="531"/>
      <c r="EI2964" s="2689" t="s">
        <v>13283</v>
      </c>
    </row>
    <row r="2965" spans="1:139" ht="58">
      <c r="A2965" s="532"/>
      <c r="AR2965" s="2513"/>
      <c r="CT2965" s="531"/>
      <c r="EI2965" s="2689" t="s">
        <v>13284</v>
      </c>
    </row>
    <row r="2966" spans="1:139">
      <c r="A2966" s="532"/>
      <c r="AR2966" s="2513"/>
      <c r="CT2966" s="531"/>
      <c r="EI2966" s="2689" t="s">
        <v>13285</v>
      </c>
    </row>
    <row r="2967" spans="1:139" ht="29">
      <c r="A2967" s="532"/>
      <c r="AR2967" s="2513"/>
      <c r="CT2967" s="531"/>
      <c r="EI2967" s="2689" t="s">
        <v>13286</v>
      </c>
    </row>
    <row r="2968" spans="1:139" ht="58">
      <c r="A2968" s="532"/>
      <c r="AR2968" s="2513"/>
      <c r="CT2968" s="531"/>
      <c r="EI2968" s="2689" t="s">
        <v>13287</v>
      </c>
    </row>
    <row r="2969" spans="1:139" ht="29">
      <c r="A2969" s="532"/>
      <c r="AR2969" s="2513"/>
      <c r="CT2969" s="531"/>
      <c r="EI2969" s="2689" t="s">
        <v>13288</v>
      </c>
    </row>
    <row r="2970" spans="1:139" ht="43.5">
      <c r="A2970" s="532"/>
      <c r="AR2970" s="2513"/>
      <c r="CT2970" s="531"/>
      <c r="EI2970" s="2689" t="s">
        <v>13289</v>
      </c>
    </row>
    <row r="2971" spans="1:139" ht="72.5">
      <c r="A2971" s="532"/>
      <c r="AR2971" s="2513"/>
      <c r="CT2971" s="531"/>
      <c r="EI2971" s="2689" t="s">
        <v>13290</v>
      </c>
    </row>
    <row r="2972" spans="1:139" ht="58">
      <c r="A2972" s="532"/>
      <c r="AR2972" s="2513"/>
      <c r="CT2972" s="531"/>
      <c r="EI2972" s="2689" t="s">
        <v>13291</v>
      </c>
    </row>
    <row r="2973" spans="1:139" ht="43.5">
      <c r="A2973" s="532"/>
      <c r="AR2973" s="2513"/>
      <c r="CT2973" s="531"/>
      <c r="EI2973" s="2689" t="s">
        <v>13292</v>
      </c>
    </row>
    <row r="2974" spans="1:139" ht="58">
      <c r="A2974" s="532"/>
      <c r="AR2974" s="2513"/>
      <c r="CT2974" s="531"/>
      <c r="EI2974" s="2689" t="s">
        <v>13293</v>
      </c>
    </row>
    <row r="2975" spans="1:139" ht="58">
      <c r="A2975" s="532"/>
      <c r="AR2975" s="2513"/>
      <c r="CT2975" s="531"/>
      <c r="EI2975" s="2689" t="s">
        <v>13294</v>
      </c>
    </row>
    <row r="2976" spans="1:139" ht="87">
      <c r="A2976" s="532"/>
      <c r="AR2976" s="2513"/>
      <c r="CT2976" s="531"/>
      <c r="EI2976" s="2689" t="s">
        <v>13295</v>
      </c>
    </row>
    <row r="2977" spans="1:139" ht="58">
      <c r="A2977" s="532"/>
      <c r="AR2977" s="2513"/>
      <c r="CT2977" s="531"/>
      <c r="EI2977" s="2689" t="s">
        <v>13296</v>
      </c>
    </row>
    <row r="2978" spans="1:139" ht="72.5">
      <c r="A2978" s="532"/>
      <c r="AR2978" s="2513"/>
      <c r="CT2978" s="531"/>
      <c r="EI2978" s="2689" t="s">
        <v>13297</v>
      </c>
    </row>
    <row r="2979" spans="1:139" ht="58">
      <c r="A2979" s="532"/>
      <c r="AR2979" s="2513"/>
      <c r="CT2979" s="531"/>
      <c r="EI2979" s="2689" t="s">
        <v>13298</v>
      </c>
    </row>
    <row r="2980" spans="1:139" ht="43.5">
      <c r="A2980" s="532"/>
      <c r="AR2980" s="2513"/>
      <c r="CT2980" s="531"/>
      <c r="EI2980" s="2689" t="s">
        <v>13299</v>
      </c>
    </row>
    <row r="2981" spans="1:139" ht="29">
      <c r="A2981" s="532"/>
      <c r="AR2981" s="2513"/>
      <c r="CT2981" s="531"/>
      <c r="EI2981" s="2689" t="s">
        <v>13300</v>
      </c>
    </row>
    <row r="2982" spans="1:139" ht="29">
      <c r="A2982" s="532"/>
      <c r="AR2982" s="2513"/>
      <c r="CT2982" s="531"/>
      <c r="EI2982" s="2689" t="s">
        <v>13301</v>
      </c>
    </row>
    <row r="2983" spans="1:139" ht="43.5">
      <c r="A2983" s="532"/>
      <c r="AR2983" s="2513"/>
      <c r="CT2983" s="531"/>
      <c r="EI2983" s="2689" t="s">
        <v>13302</v>
      </c>
    </row>
    <row r="2984" spans="1:139" ht="58">
      <c r="A2984" s="532"/>
      <c r="AR2984" s="2513"/>
      <c r="CT2984" s="531"/>
      <c r="EI2984" s="2689" t="s">
        <v>13303</v>
      </c>
    </row>
    <row r="2985" spans="1:139" ht="43.5">
      <c r="A2985" s="532"/>
      <c r="AR2985" s="2513"/>
      <c r="CT2985" s="531"/>
      <c r="EI2985" s="2689" t="s">
        <v>13304</v>
      </c>
    </row>
    <row r="2986" spans="1:139" ht="29">
      <c r="A2986" s="532"/>
      <c r="AR2986" s="2513"/>
      <c r="CT2986" s="531"/>
      <c r="EI2986" s="2689" t="s">
        <v>13305</v>
      </c>
    </row>
    <row r="2987" spans="1:139" ht="29">
      <c r="A2987" s="532"/>
      <c r="AR2987" s="2513"/>
      <c r="CT2987" s="531"/>
      <c r="EI2987" s="2689" t="s">
        <v>13306</v>
      </c>
    </row>
    <row r="2988" spans="1:139" ht="29">
      <c r="A2988" s="532"/>
      <c r="AR2988" s="2513"/>
      <c r="CT2988" s="531"/>
      <c r="EI2988" s="2689" t="s">
        <v>13307</v>
      </c>
    </row>
    <row r="2989" spans="1:139" ht="43.5">
      <c r="A2989" s="532"/>
      <c r="AR2989" s="2513"/>
      <c r="CT2989" s="531"/>
      <c r="EI2989" s="2689" t="s">
        <v>13308</v>
      </c>
    </row>
    <row r="2990" spans="1:139" ht="58">
      <c r="A2990" s="532"/>
      <c r="AR2990" s="2513"/>
      <c r="CT2990" s="531"/>
      <c r="EI2990" s="2689" t="s">
        <v>13309</v>
      </c>
    </row>
    <row r="2991" spans="1:139" ht="72.5">
      <c r="A2991" s="532"/>
      <c r="AR2991" s="2513"/>
      <c r="CT2991" s="531"/>
      <c r="EI2991" s="2689" t="s">
        <v>13310</v>
      </c>
    </row>
    <row r="2992" spans="1:139" ht="58">
      <c r="A2992" s="532"/>
      <c r="AR2992" s="2513"/>
      <c r="CT2992" s="531"/>
      <c r="EI2992" s="2689" t="s">
        <v>13311</v>
      </c>
    </row>
    <row r="2993" spans="1:139" ht="43.5">
      <c r="A2993" s="532"/>
      <c r="AR2993" s="2513"/>
      <c r="CT2993" s="531"/>
      <c r="EI2993" s="2689" t="s">
        <v>13312</v>
      </c>
    </row>
    <row r="2994" spans="1:139" ht="29">
      <c r="A2994" s="532"/>
      <c r="AR2994" s="2513"/>
      <c r="CT2994" s="531"/>
      <c r="EI2994" s="2689" t="s">
        <v>13313</v>
      </c>
    </row>
    <row r="2995" spans="1:139" ht="101.5">
      <c r="A2995" s="532"/>
      <c r="AR2995" s="2513"/>
      <c r="CT2995" s="531"/>
      <c r="EI2995" s="2689" t="s">
        <v>13314</v>
      </c>
    </row>
    <row r="2996" spans="1:139">
      <c r="A2996" s="532"/>
      <c r="AR2996" s="2513"/>
      <c r="CT2996" s="531"/>
      <c r="EI2996" s="2689" t="s">
        <v>13315</v>
      </c>
    </row>
    <row r="2997" spans="1:139">
      <c r="A2997" s="532"/>
      <c r="AR2997" s="2513"/>
      <c r="CT2997" s="531"/>
      <c r="EI2997" s="2689" t="s">
        <v>13316</v>
      </c>
    </row>
    <row r="2998" spans="1:139" ht="43.5">
      <c r="A2998" s="532"/>
      <c r="AR2998" s="2513"/>
      <c r="CT2998" s="531"/>
      <c r="EI2998" s="2689" t="s">
        <v>13317</v>
      </c>
    </row>
    <row r="2999" spans="1:139" ht="29">
      <c r="A2999" s="532"/>
      <c r="AR2999" s="2513"/>
      <c r="CT2999" s="531"/>
      <c r="EI2999" s="2689" t="s">
        <v>13318</v>
      </c>
    </row>
    <row r="3000" spans="1:139" ht="29">
      <c r="A3000" s="532"/>
      <c r="AR3000" s="2513"/>
      <c r="CT3000" s="531"/>
      <c r="EI3000" s="2689" t="s">
        <v>13319</v>
      </c>
    </row>
    <row r="3001" spans="1:139" ht="58">
      <c r="A3001" s="532"/>
      <c r="AR3001" s="2513"/>
      <c r="CT3001" s="531"/>
      <c r="EI3001" s="2689" t="s">
        <v>13320</v>
      </c>
    </row>
    <row r="3002" spans="1:139" ht="29">
      <c r="A3002" s="532"/>
      <c r="AR3002" s="2513"/>
      <c r="CT3002" s="531"/>
      <c r="EI3002" s="2689" t="s">
        <v>13321</v>
      </c>
    </row>
    <row r="3003" spans="1:139" ht="43.5">
      <c r="A3003" s="532"/>
      <c r="AR3003" s="2513"/>
      <c r="CT3003" s="531"/>
      <c r="EI3003" s="2689" t="s">
        <v>13322</v>
      </c>
    </row>
    <row r="3004" spans="1:139" ht="58">
      <c r="A3004" s="532"/>
      <c r="AR3004" s="2513"/>
      <c r="CT3004" s="531"/>
      <c r="EI3004" s="2689" t="s">
        <v>13323</v>
      </c>
    </row>
    <row r="3005" spans="1:139" ht="72.5">
      <c r="A3005" s="532"/>
      <c r="AR3005" s="2513"/>
      <c r="CT3005" s="531"/>
      <c r="EI3005" s="2689" t="s">
        <v>13324</v>
      </c>
    </row>
    <row r="3006" spans="1:139" ht="58">
      <c r="A3006" s="532"/>
      <c r="AR3006" s="2513"/>
      <c r="CT3006" s="531"/>
      <c r="EI3006" s="2689" t="s">
        <v>13325</v>
      </c>
    </row>
    <row r="3007" spans="1:139" ht="43.5">
      <c r="A3007" s="532"/>
      <c r="AR3007" s="2513"/>
      <c r="CT3007" s="531"/>
      <c r="EI3007" s="2689" t="s">
        <v>13326</v>
      </c>
    </row>
    <row r="3008" spans="1:139" ht="29">
      <c r="A3008" s="532"/>
      <c r="AR3008" s="2513"/>
      <c r="CT3008" s="531"/>
      <c r="EI3008" s="2689" t="s">
        <v>13327</v>
      </c>
    </row>
    <row r="3009" spans="1:139" ht="29">
      <c r="A3009" s="532"/>
      <c r="AR3009" s="2513"/>
      <c r="CT3009" s="531"/>
      <c r="EI3009" s="2689" t="s">
        <v>13328</v>
      </c>
    </row>
    <row r="3010" spans="1:139" ht="43.5">
      <c r="A3010" s="532"/>
      <c r="AR3010" s="2513"/>
      <c r="CT3010" s="531"/>
      <c r="EI3010" s="2689" t="s">
        <v>13329</v>
      </c>
    </row>
    <row r="3011" spans="1:139" ht="58">
      <c r="A3011" s="532"/>
      <c r="AR3011" s="2513"/>
      <c r="CT3011" s="531"/>
      <c r="EI3011" s="2689" t="s">
        <v>13330</v>
      </c>
    </row>
    <row r="3012" spans="1:139" ht="58">
      <c r="A3012" s="532"/>
      <c r="AR3012" s="2513"/>
      <c r="CT3012" s="531"/>
      <c r="EI3012" s="2689" t="s">
        <v>13331</v>
      </c>
    </row>
    <row r="3013" spans="1:139" ht="58">
      <c r="A3013" s="532"/>
      <c r="AR3013" s="2513"/>
      <c r="CT3013" s="531"/>
      <c r="EI3013" s="2689" t="s">
        <v>13332</v>
      </c>
    </row>
    <row r="3014" spans="1:139">
      <c r="A3014" s="532"/>
      <c r="AR3014" s="2513"/>
      <c r="CT3014" s="531"/>
      <c r="EI3014" s="2689" t="s">
        <v>13333</v>
      </c>
    </row>
    <row r="3015" spans="1:139" ht="29">
      <c r="A3015" s="532"/>
      <c r="AR3015" s="2513"/>
      <c r="CT3015" s="531"/>
      <c r="EI3015" s="2689" t="s">
        <v>13334</v>
      </c>
    </row>
    <row r="3016" spans="1:139" ht="43.5">
      <c r="A3016" s="532"/>
      <c r="AR3016" s="2513"/>
      <c r="CT3016" s="531"/>
      <c r="EI3016" s="2689" t="s">
        <v>13335</v>
      </c>
    </row>
    <row r="3017" spans="1:139" ht="116">
      <c r="A3017" s="532"/>
      <c r="AR3017" s="2513"/>
      <c r="CT3017" s="531"/>
      <c r="EI3017" s="2689" t="s">
        <v>13336</v>
      </c>
    </row>
    <row r="3018" spans="1:139" ht="29">
      <c r="A3018" s="532"/>
      <c r="AR3018" s="2513"/>
      <c r="CT3018" s="531"/>
      <c r="EI3018" s="2689" t="s">
        <v>13337</v>
      </c>
    </row>
    <row r="3019" spans="1:139" ht="29">
      <c r="A3019" s="532"/>
      <c r="AR3019" s="2513"/>
      <c r="CT3019" s="531"/>
      <c r="EI3019" s="2689" t="s">
        <v>13338</v>
      </c>
    </row>
    <row r="3020" spans="1:139" ht="43.5">
      <c r="A3020" s="532"/>
      <c r="AR3020" s="2513"/>
      <c r="CT3020" s="531"/>
      <c r="EI3020" s="2689" t="s">
        <v>13339</v>
      </c>
    </row>
    <row r="3021" spans="1:139" ht="72.5">
      <c r="A3021" s="532"/>
      <c r="AR3021" s="2513"/>
      <c r="CT3021" s="531"/>
      <c r="EI3021" s="2689" t="s">
        <v>13340</v>
      </c>
    </row>
    <row r="3022" spans="1:139" ht="29">
      <c r="A3022" s="532"/>
      <c r="AR3022" s="2513"/>
      <c r="CT3022" s="531"/>
      <c r="EI3022" s="2689" t="s">
        <v>13341</v>
      </c>
    </row>
    <row r="3023" spans="1:139" ht="43.5">
      <c r="A3023" s="532"/>
      <c r="AR3023" s="2513"/>
      <c r="CT3023" s="531"/>
      <c r="EI3023" s="2689" t="s">
        <v>13342</v>
      </c>
    </row>
    <row r="3024" spans="1:139" ht="43.5">
      <c r="A3024" s="532"/>
      <c r="AR3024" s="2513"/>
      <c r="CT3024" s="531"/>
      <c r="EI3024" s="2689" t="s">
        <v>13343</v>
      </c>
    </row>
    <row r="3025" spans="1:139" ht="43.5">
      <c r="A3025" s="532"/>
      <c r="AR3025" s="2513"/>
      <c r="CT3025" s="531"/>
      <c r="EI3025" s="2689" t="s">
        <v>13344</v>
      </c>
    </row>
    <row r="3026" spans="1:139" ht="58">
      <c r="A3026" s="532"/>
      <c r="AR3026" s="2513"/>
      <c r="CT3026" s="531"/>
      <c r="EI3026" s="2689" t="s">
        <v>13345</v>
      </c>
    </row>
    <row r="3027" spans="1:139" ht="29">
      <c r="A3027" s="532"/>
      <c r="AR3027" s="2513"/>
      <c r="CT3027" s="531"/>
      <c r="EI3027" s="2689" t="s">
        <v>13346</v>
      </c>
    </row>
    <row r="3028" spans="1:139" ht="29">
      <c r="A3028" s="532"/>
      <c r="AR3028" s="2513"/>
      <c r="CT3028" s="531"/>
      <c r="EI3028" s="2689" t="s">
        <v>13347</v>
      </c>
    </row>
    <row r="3029" spans="1:139" ht="58">
      <c r="A3029" s="532"/>
      <c r="AR3029" s="2513"/>
      <c r="CT3029" s="531"/>
      <c r="EI3029" s="2689" t="s">
        <v>13348</v>
      </c>
    </row>
    <row r="3030" spans="1:139" ht="58">
      <c r="A3030" s="532"/>
      <c r="AR3030" s="2513"/>
      <c r="CT3030" s="531"/>
      <c r="EI3030" s="2689" t="s">
        <v>13349</v>
      </c>
    </row>
    <row r="3031" spans="1:139" ht="29">
      <c r="A3031" s="532"/>
      <c r="AR3031" s="2513"/>
      <c r="CT3031" s="531"/>
      <c r="EI3031" s="2689" t="s">
        <v>13350</v>
      </c>
    </row>
    <row r="3032" spans="1:139" ht="29">
      <c r="A3032" s="532"/>
      <c r="AR3032" s="2513"/>
      <c r="CT3032" s="531"/>
      <c r="EI3032" s="2689" t="s">
        <v>13351</v>
      </c>
    </row>
    <row r="3033" spans="1:139" ht="29">
      <c r="A3033" s="532"/>
      <c r="AR3033" s="2513"/>
      <c r="CT3033" s="531"/>
      <c r="EI3033" s="2689" t="s">
        <v>13352</v>
      </c>
    </row>
    <row r="3034" spans="1:139" ht="58">
      <c r="A3034" s="532"/>
      <c r="AR3034" s="2513"/>
      <c r="CT3034" s="531"/>
      <c r="EI3034" s="2689" t="s">
        <v>13353</v>
      </c>
    </row>
    <row r="3035" spans="1:139" ht="116">
      <c r="A3035" s="532"/>
      <c r="AR3035" s="2513"/>
      <c r="CT3035" s="531"/>
      <c r="EI3035" s="2689" t="s">
        <v>13354</v>
      </c>
    </row>
    <row r="3036" spans="1:139" ht="43.5">
      <c r="A3036" s="532"/>
      <c r="AR3036" s="2513"/>
      <c r="CT3036" s="531"/>
      <c r="EI3036" s="2689" t="s">
        <v>13355</v>
      </c>
    </row>
    <row r="3037" spans="1:139" ht="43.5">
      <c r="A3037" s="532"/>
      <c r="AR3037" s="2513"/>
      <c r="CT3037" s="531"/>
      <c r="EI3037" s="2689" t="s">
        <v>13356</v>
      </c>
    </row>
    <row r="3038" spans="1:139" ht="43.5">
      <c r="A3038" s="532"/>
      <c r="AR3038" s="2513"/>
      <c r="CT3038" s="531"/>
      <c r="EI3038" s="2689" t="s">
        <v>13357</v>
      </c>
    </row>
    <row r="3039" spans="1:139" ht="43.5">
      <c r="A3039" s="532"/>
      <c r="AR3039" s="2513"/>
      <c r="CT3039" s="531"/>
      <c r="EI3039" s="2689" t="s">
        <v>13358</v>
      </c>
    </row>
    <row r="3040" spans="1:139" ht="43.5">
      <c r="A3040" s="532"/>
      <c r="AR3040" s="2513"/>
      <c r="CT3040" s="531"/>
      <c r="EI3040" s="2689" t="s">
        <v>13359</v>
      </c>
    </row>
    <row r="3041" spans="1:139" ht="43.5">
      <c r="A3041" s="532"/>
      <c r="AR3041" s="2513"/>
      <c r="CT3041" s="531"/>
      <c r="EI3041" s="2689" t="s">
        <v>13360</v>
      </c>
    </row>
    <row r="3042" spans="1:139" ht="43.5">
      <c r="A3042" s="532"/>
      <c r="AR3042" s="2513"/>
      <c r="CT3042" s="531"/>
      <c r="EI3042" s="2689" t="s">
        <v>13361</v>
      </c>
    </row>
    <row r="3043" spans="1:139" ht="43.5">
      <c r="A3043" s="532"/>
      <c r="AR3043" s="2513"/>
      <c r="CT3043" s="531"/>
      <c r="EI3043" s="2689" t="s">
        <v>13362</v>
      </c>
    </row>
    <row r="3044" spans="1:139" ht="116">
      <c r="A3044" s="532"/>
      <c r="AR3044" s="2513"/>
      <c r="CT3044" s="531"/>
      <c r="EI3044" s="2689" t="s">
        <v>13363</v>
      </c>
    </row>
    <row r="3045" spans="1:139" ht="43.5">
      <c r="A3045" s="532"/>
      <c r="AR3045" s="2513"/>
      <c r="CT3045" s="531"/>
      <c r="EI3045" s="2689" t="s">
        <v>13364</v>
      </c>
    </row>
    <row r="3046" spans="1:139" ht="29">
      <c r="A3046" s="532"/>
      <c r="AR3046" s="2513"/>
      <c r="CT3046" s="531"/>
      <c r="EI3046" s="2689" t="s">
        <v>13365</v>
      </c>
    </row>
    <row r="3047" spans="1:139" ht="29">
      <c r="A3047" s="532"/>
      <c r="AR3047" s="2513"/>
      <c r="CT3047" s="531"/>
      <c r="EI3047" s="2689" t="s">
        <v>13366</v>
      </c>
    </row>
    <row r="3048" spans="1:139" ht="29">
      <c r="A3048" s="532"/>
      <c r="AR3048" s="2513"/>
      <c r="CT3048" s="531"/>
      <c r="EI3048" s="2689" t="s">
        <v>13367</v>
      </c>
    </row>
    <row r="3049" spans="1:139" ht="29">
      <c r="A3049" s="532"/>
      <c r="AR3049" s="2513"/>
      <c r="CT3049" s="531"/>
      <c r="EI3049" s="2689" t="s">
        <v>13368</v>
      </c>
    </row>
    <row r="3050" spans="1:139" ht="29">
      <c r="A3050" s="532"/>
      <c r="AR3050" s="2513"/>
      <c r="CT3050" s="531"/>
      <c r="EI3050" s="2689" t="s">
        <v>13369</v>
      </c>
    </row>
    <row r="3051" spans="1:139" ht="43.5">
      <c r="A3051" s="532"/>
      <c r="AR3051" s="2513"/>
      <c r="CT3051" s="531"/>
      <c r="EI3051" s="2689" t="s">
        <v>13370</v>
      </c>
    </row>
    <row r="3052" spans="1:139" ht="29">
      <c r="A3052" s="532"/>
      <c r="AR3052" s="2513"/>
      <c r="CT3052" s="531"/>
      <c r="EI3052" s="2689" t="s">
        <v>13371</v>
      </c>
    </row>
    <row r="3053" spans="1:139" ht="72.5">
      <c r="A3053" s="532"/>
      <c r="AR3053" s="2513"/>
      <c r="CT3053" s="531"/>
      <c r="EI3053" s="2689" t="s">
        <v>13372</v>
      </c>
    </row>
    <row r="3054" spans="1:139" ht="116">
      <c r="A3054" s="532"/>
      <c r="AR3054" s="2513"/>
      <c r="CT3054" s="531"/>
      <c r="EI3054" s="2689" t="s">
        <v>13373</v>
      </c>
    </row>
    <row r="3055" spans="1:139" ht="87">
      <c r="A3055" s="532"/>
      <c r="AR3055" s="2513"/>
      <c r="CT3055" s="531"/>
      <c r="EI3055" s="2689" t="s">
        <v>13374</v>
      </c>
    </row>
    <row r="3056" spans="1:139" ht="29">
      <c r="A3056" s="532"/>
      <c r="AR3056" s="2513"/>
      <c r="CT3056" s="531"/>
      <c r="EI3056" s="2689" t="s">
        <v>13375</v>
      </c>
    </row>
    <row r="3057" spans="1:139" ht="43.5">
      <c r="A3057" s="532"/>
      <c r="AR3057" s="2513"/>
      <c r="CT3057" s="531"/>
      <c r="EI3057" s="2689" t="s">
        <v>13376</v>
      </c>
    </row>
    <row r="3058" spans="1:139" ht="58">
      <c r="A3058" s="532"/>
      <c r="AR3058" s="2513"/>
      <c r="CT3058" s="531"/>
      <c r="EI3058" s="2689" t="s">
        <v>13377</v>
      </c>
    </row>
    <row r="3059" spans="1:139" ht="29">
      <c r="A3059" s="532"/>
      <c r="AR3059" s="2513"/>
      <c r="CT3059" s="531"/>
      <c r="EI3059" s="2689" t="s">
        <v>13378</v>
      </c>
    </row>
    <row r="3060" spans="1:139" ht="29">
      <c r="A3060" s="532"/>
      <c r="AR3060" s="2513"/>
      <c r="CT3060" s="531"/>
      <c r="EI3060" s="2689" t="s">
        <v>13379</v>
      </c>
    </row>
    <row r="3061" spans="1:139" ht="29">
      <c r="A3061" s="532"/>
      <c r="AR3061" s="2513"/>
      <c r="CT3061" s="531"/>
      <c r="EI3061" s="2689" t="s">
        <v>13380</v>
      </c>
    </row>
    <row r="3062" spans="1:139" ht="43.5">
      <c r="A3062" s="532"/>
      <c r="AR3062" s="2513"/>
      <c r="CT3062" s="531"/>
      <c r="EI3062" s="2689" t="s">
        <v>13381</v>
      </c>
    </row>
    <row r="3063" spans="1:139" ht="87">
      <c r="A3063" s="532"/>
      <c r="AR3063" s="2513"/>
      <c r="CT3063" s="531"/>
      <c r="EI3063" s="2689" t="s">
        <v>13382</v>
      </c>
    </row>
    <row r="3064" spans="1:139" ht="58">
      <c r="A3064" s="532"/>
      <c r="AR3064" s="2513"/>
      <c r="CT3064" s="531"/>
      <c r="EI3064" s="2689" t="s">
        <v>13383</v>
      </c>
    </row>
    <row r="3065" spans="1:139" ht="130.5">
      <c r="A3065" s="532"/>
      <c r="AR3065" s="2513"/>
      <c r="CT3065" s="531"/>
      <c r="EI3065" s="2689" t="s">
        <v>13384</v>
      </c>
    </row>
    <row r="3066" spans="1:139" ht="101.5">
      <c r="A3066" s="532"/>
      <c r="AR3066" s="2513"/>
      <c r="CT3066" s="531"/>
      <c r="EI3066" s="2689" t="s">
        <v>13385</v>
      </c>
    </row>
    <row r="3067" spans="1:139" ht="29">
      <c r="A3067" s="532"/>
      <c r="AR3067" s="2513"/>
      <c r="CT3067" s="531"/>
      <c r="EI3067" s="2689" t="s">
        <v>13386</v>
      </c>
    </row>
    <row r="3068" spans="1:139" ht="29">
      <c r="A3068" s="532"/>
      <c r="AR3068" s="2513"/>
      <c r="CT3068" s="531"/>
      <c r="EI3068" s="2689" t="s">
        <v>13387</v>
      </c>
    </row>
    <row r="3069" spans="1:139" ht="58">
      <c r="A3069" s="532"/>
      <c r="AR3069" s="2513"/>
      <c r="CT3069" s="531"/>
      <c r="EI3069" s="2689" t="s">
        <v>13388</v>
      </c>
    </row>
    <row r="3070" spans="1:139" ht="29">
      <c r="A3070" s="532"/>
      <c r="AR3070" s="2513"/>
      <c r="CT3070" s="531"/>
      <c r="EI3070" s="2689" t="s">
        <v>13389</v>
      </c>
    </row>
    <row r="3071" spans="1:139">
      <c r="A3071" s="532"/>
      <c r="AR3071" s="2513"/>
      <c r="CT3071" s="531"/>
      <c r="EI3071" s="2689" t="s">
        <v>13390</v>
      </c>
    </row>
    <row r="3072" spans="1:139">
      <c r="A3072" s="532"/>
      <c r="AR3072" s="2513"/>
      <c r="CT3072" s="531"/>
      <c r="EI3072" s="2689" t="s">
        <v>13391</v>
      </c>
    </row>
    <row r="3073" spans="1:139">
      <c r="A3073" s="532"/>
      <c r="AR3073" s="2513"/>
      <c r="CT3073" s="531"/>
      <c r="EI3073" s="2689" t="s">
        <v>13392</v>
      </c>
    </row>
    <row r="3074" spans="1:139">
      <c r="A3074" s="532"/>
      <c r="AR3074" s="2513"/>
      <c r="CT3074" s="531"/>
      <c r="EI3074" s="2689" t="s">
        <v>13393</v>
      </c>
    </row>
    <row r="3075" spans="1:139">
      <c r="A3075" s="532"/>
      <c r="AR3075" s="2513"/>
      <c r="CT3075" s="531"/>
      <c r="EI3075" s="2689" t="s">
        <v>13394</v>
      </c>
    </row>
    <row r="3076" spans="1:139" ht="29">
      <c r="A3076" s="532"/>
      <c r="AR3076" s="2513"/>
      <c r="CT3076" s="531"/>
      <c r="EI3076" s="2689" t="s">
        <v>13395</v>
      </c>
    </row>
    <row r="3077" spans="1:139" ht="43.5">
      <c r="A3077" s="532"/>
      <c r="AR3077" s="2513"/>
      <c r="CT3077" s="531"/>
      <c r="EI3077" s="2689" t="s">
        <v>13396</v>
      </c>
    </row>
    <row r="3078" spans="1:139" ht="43.5">
      <c r="A3078" s="532"/>
      <c r="AR3078" s="2513"/>
      <c r="CT3078" s="531"/>
      <c r="EI3078" s="2689" t="s">
        <v>13397</v>
      </c>
    </row>
    <row r="3079" spans="1:139" ht="29">
      <c r="A3079" s="532"/>
      <c r="AR3079" s="2513"/>
      <c r="CT3079" s="531"/>
      <c r="EI3079" s="2689" t="s">
        <v>13398</v>
      </c>
    </row>
    <row r="3080" spans="1:139" ht="29">
      <c r="A3080" s="532"/>
      <c r="AR3080" s="2513"/>
      <c r="CT3080" s="531"/>
      <c r="EI3080" s="2689" t="s">
        <v>13399</v>
      </c>
    </row>
    <row r="3081" spans="1:139" ht="58">
      <c r="A3081" s="532"/>
      <c r="AR3081" s="2513"/>
      <c r="CT3081" s="531"/>
      <c r="EI3081" s="2689" t="s">
        <v>13400</v>
      </c>
    </row>
    <row r="3082" spans="1:139">
      <c r="A3082" s="532"/>
      <c r="AR3082" s="2513"/>
      <c r="CT3082" s="531"/>
      <c r="EI3082" s="2689" t="s">
        <v>13401</v>
      </c>
    </row>
    <row r="3083" spans="1:139" ht="29">
      <c r="A3083" s="532"/>
      <c r="AR3083" s="2513"/>
      <c r="CT3083" s="531"/>
      <c r="EI3083" s="2689" t="s">
        <v>13402</v>
      </c>
    </row>
    <row r="3084" spans="1:139" ht="29">
      <c r="A3084" s="532"/>
      <c r="AR3084" s="2513"/>
      <c r="CT3084" s="531"/>
      <c r="EI3084" s="2689" t="s">
        <v>13403</v>
      </c>
    </row>
    <row r="3085" spans="1:139" ht="43.5">
      <c r="A3085" s="532"/>
      <c r="AR3085" s="2513"/>
      <c r="CT3085" s="531"/>
      <c r="EI3085" s="2689" t="s">
        <v>13404</v>
      </c>
    </row>
    <row r="3086" spans="1:139" ht="72.5">
      <c r="A3086" s="532"/>
      <c r="AR3086" s="2513"/>
      <c r="CT3086" s="531"/>
      <c r="EI3086" s="2689" t="s">
        <v>13405</v>
      </c>
    </row>
    <row r="3087" spans="1:139" ht="87">
      <c r="A3087" s="532"/>
      <c r="AR3087" s="2513"/>
      <c r="CT3087" s="531"/>
      <c r="EI3087" s="2689" t="s">
        <v>13406</v>
      </c>
    </row>
    <row r="3088" spans="1:139" ht="29">
      <c r="A3088" s="532"/>
      <c r="AR3088" s="2513"/>
      <c r="CT3088" s="531"/>
      <c r="EI3088" s="2689" t="s">
        <v>13407</v>
      </c>
    </row>
    <row r="3089" spans="1:139" ht="29">
      <c r="A3089" s="532"/>
      <c r="AR3089" s="2513"/>
      <c r="CT3089" s="531"/>
      <c r="EI3089" s="2689" t="s">
        <v>13408</v>
      </c>
    </row>
    <row r="3090" spans="1:139" ht="43.5">
      <c r="A3090" s="532"/>
      <c r="AR3090" s="2513"/>
      <c r="CT3090" s="531"/>
      <c r="EI3090" s="2689" t="s">
        <v>13409</v>
      </c>
    </row>
    <row r="3091" spans="1:139" ht="29">
      <c r="A3091" s="532"/>
      <c r="AR3091" s="2513"/>
      <c r="CT3091" s="531"/>
      <c r="EI3091" s="2689" t="s">
        <v>13410</v>
      </c>
    </row>
    <row r="3092" spans="1:139" ht="43.5">
      <c r="A3092" s="532"/>
      <c r="AR3092" s="2513"/>
      <c r="CT3092" s="531"/>
      <c r="EI3092" s="2689" t="s">
        <v>13411</v>
      </c>
    </row>
    <row r="3093" spans="1:139" ht="43.5">
      <c r="A3093" s="532"/>
      <c r="AR3093" s="2513"/>
      <c r="CT3093" s="531"/>
      <c r="EI3093" s="2689" t="s">
        <v>13412</v>
      </c>
    </row>
    <row r="3094" spans="1:139" ht="43.5">
      <c r="A3094" s="532"/>
      <c r="AR3094" s="2513"/>
      <c r="CT3094" s="531"/>
      <c r="EI3094" s="2689" t="s">
        <v>13413</v>
      </c>
    </row>
    <row r="3095" spans="1:139" ht="43.5">
      <c r="A3095" s="532"/>
      <c r="AR3095" s="2513"/>
      <c r="CT3095" s="531"/>
      <c r="EI3095" s="2689" t="s">
        <v>13414</v>
      </c>
    </row>
    <row r="3096" spans="1:139" ht="29">
      <c r="A3096" s="532"/>
      <c r="AR3096" s="2513"/>
      <c r="CT3096" s="531"/>
      <c r="EI3096" s="2689" t="s">
        <v>13415</v>
      </c>
    </row>
    <row r="3097" spans="1:139" ht="58">
      <c r="A3097" s="532"/>
      <c r="AR3097" s="2513"/>
      <c r="CT3097" s="531"/>
      <c r="EI3097" s="2689" t="s">
        <v>13416</v>
      </c>
    </row>
    <row r="3098" spans="1:139" ht="43.5">
      <c r="A3098" s="532"/>
      <c r="AR3098" s="2513"/>
      <c r="CT3098" s="531"/>
      <c r="EI3098" s="2689" t="s">
        <v>13417</v>
      </c>
    </row>
    <row r="3099" spans="1:139" ht="43.5">
      <c r="A3099" s="532"/>
      <c r="AR3099" s="2513"/>
      <c r="CT3099" s="531"/>
      <c r="EI3099" s="2689" t="s">
        <v>13418</v>
      </c>
    </row>
    <row r="3100" spans="1:139" ht="29">
      <c r="A3100" s="532"/>
      <c r="AR3100" s="2513"/>
      <c r="CT3100" s="531"/>
      <c r="EI3100" s="2689" t="s">
        <v>13419</v>
      </c>
    </row>
    <row r="3101" spans="1:139">
      <c r="A3101" s="532"/>
      <c r="AR3101" s="2513"/>
      <c r="CT3101" s="531"/>
      <c r="EI3101" s="2689" t="s">
        <v>13420</v>
      </c>
    </row>
    <row r="3102" spans="1:139" ht="29">
      <c r="A3102" s="532"/>
      <c r="AR3102" s="2513"/>
      <c r="CT3102" s="531"/>
      <c r="EI3102" s="2689" t="s">
        <v>13421</v>
      </c>
    </row>
    <row r="3103" spans="1:139" ht="58">
      <c r="A3103" s="532"/>
      <c r="AR3103" s="2513"/>
      <c r="CT3103" s="531"/>
      <c r="EI3103" s="2689" t="s">
        <v>13422</v>
      </c>
    </row>
    <row r="3104" spans="1:139" ht="58">
      <c r="A3104" s="532"/>
      <c r="AR3104" s="2513"/>
      <c r="CT3104" s="531"/>
      <c r="EI3104" s="2689" t="s">
        <v>13423</v>
      </c>
    </row>
    <row r="3105" spans="1:139">
      <c r="A3105" s="532"/>
      <c r="AR3105" s="2513"/>
      <c r="CT3105" s="531"/>
      <c r="EI3105" s="2689" t="s">
        <v>13424</v>
      </c>
    </row>
    <row r="3106" spans="1:139" ht="43.5">
      <c r="A3106" s="532"/>
      <c r="AR3106" s="2513"/>
      <c r="CT3106" s="531"/>
      <c r="EI3106" s="2689" t="s">
        <v>13425</v>
      </c>
    </row>
    <row r="3107" spans="1:139" ht="29">
      <c r="A3107" s="532"/>
      <c r="AR3107" s="2513"/>
      <c r="CT3107" s="531"/>
      <c r="EI3107" s="2689" t="s">
        <v>13426</v>
      </c>
    </row>
    <row r="3108" spans="1:139">
      <c r="A3108" s="532"/>
      <c r="AR3108" s="2513"/>
      <c r="CT3108" s="531"/>
      <c r="EI3108" s="2689" t="s">
        <v>13427</v>
      </c>
    </row>
    <row r="3109" spans="1:139">
      <c r="A3109" s="532"/>
      <c r="AR3109" s="2513"/>
      <c r="CT3109" s="531"/>
      <c r="EI3109" s="2689" t="s">
        <v>13428</v>
      </c>
    </row>
    <row r="3110" spans="1:139">
      <c r="A3110" s="532"/>
      <c r="AR3110" s="2513"/>
      <c r="CT3110" s="531"/>
      <c r="EI3110" s="2689" t="s">
        <v>13429</v>
      </c>
    </row>
    <row r="3111" spans="1:139" ht="29">
      <c r="A3111" s="532"/>
      <c r="AR3111" s="2513"/>
      <c r="CT3111" s="531"/>
      <c r="EI3111" s="2689" t="s">
        <v>13430</v>
      </c>
    </row>
    <row r="3112" spans="1:139" ht="58">
      <c r="A3112" s="532"/>
      <c r="AR3112" s="2513"/>
      <c r="CT3112" s="531"/>
      <c r="EI3112" s="2689" t="s">
        <v>13431</v>
      </c>
    </row>
    <row r="3113" spans="1:139" ht="29">
      <c r="A3113" s="532"/>
      <c r="AR3113" s="2513"/>
      <c r="CT3113" s="531"/>
      <c r="EI3113" s="2689" t="s">
        <v>13432</v>
      </c>
    </row>
    <row r="3114" spans="1:139" ht="29">
      <c r="A3114" s="532"/>
      <c r="AR3114" s="2513"/>
      <c r="CT3114" s="531"/>
      <c r="EI3114" s="2689" t="s">
        <v>13433</v>
      </c>
    </row>
    <row r="3115" spans="1:139" ht="29">
      <c r="A3115" s="532"/>
      <c r="AR3115" s="2513"/>
      <c r="CT3115" s="531"/>
      <c r="EI3115" s="2689" t="s">
        <v>13434</v>
      </c>
    </row>
    <row r="3116" spans="1:139" ht="43.5">
      <c r="A3116" s="532"/>
      <c r="AR3116" s="2513"/>
      <c r="CT3116" s="531"/>
      <c r="EI3116" s="2689" t="s">
        <v>13435</v>
      </c>
    </row>
    <row r="3117" spans="1:139" ht="29">
      <c r="A3117" s="532"/>
      <c r="AR3117" s="2513"/>
      <c r="CT3117" s="531"/>
      <c r="EI3117" s="2689" t="s">
        <v>13436</v>
      </c>
    </row>
    <row r="3118" spans="1:139" ht="43.5">
      <c r="A3118" s="532"/>
      <c r="AR3118" s="2513"/>
      <c r="CT3118" s="531"/>
      <c r="EI3118" s="2689" t="s">
        <v>13437</v>
      </c>
    </row>
    <row r="3119" spans="1:139" ht="58">
      <c r="A3119" s="532"/>
      <c r="AR3119" s="2513"/>
      <c r="CT3119" s="531"/>
      <c r="EI3119" s="2689" t="s">
        <v>13438</v>
      </c>
    </row>
    <row r="3120" spans="1:139" ht="58">
      <c r="A3120" s="532"/>
      <c r="AR3120" s="2513"/>
      <c r="CT3120" s="531"/>
      <c r="EI3120" s="2689" t="s">
        <v>13439</v>
      </c>
    </row>
    <row r="3121" spans="1:139" ht="43.5">
      <c r="A3121" s="532"/>
      <c r="AR3121" s="2513"/>
      <c r="CT3121" s="531"/>
      <c r="EI3121" s="2689" t="s">
        <v>13440</v>
      </c>
    </row>
    <row r="3122" spans="1:139" ht="43.5">
      <c r="A3122" s="532"/>
      <c r="AR3122" s="2513"/>
      <c r="CT3122" s="531"/>
      <c r="EI3122" s="2689" t="s">
        <v>13441</v>
      </c>
    </row>
    <row r="3123" spans="1:139" ht="72.5">
      <c r="A3123" s="532"/>
      <c r="AR3123" s="2513"/>
      <c r="CT3123" s="531"/>
      <c r="EI3123" s="2689" t="s">
        <v>13442</v>
      </c>
    </row>
    <row r="3124" spans="1:139" ht="43.5">
      <c r="A3124" s="532"/>
      <c r="AR3124" s="2513"/>
      <c r="CT3124" s="531"/>
      <c r="EI3124" s="2689" t="s">
        <v>13443</v>
      </c>
    </row>
    <row r="3125" spans="1:139" ht="29">
      <c r="A3125" s="532"/>
      <c r="AR3125" s="2513"/>
      <c r="CT3125" s="531"/>
      <c r="EI3125" s="2689" t="s">
        <v>13444</v>
      </c>
    </row>
    <row r="3126" spans="1:139" ht="58">
      <c r="A3126" s="532"/>
      <c r="AR3126" s="2513"/>
      <c r="CT3126" s="531"/>
      <c r="EI3126" s="2689" t="s">
        <v>13445</v>
      </c>
    </row>
    <row r="3127" spans="1:139" ht="43.5">
      <c r="A3127" s="532"/>
      <c r="AR3127" s="2513"/>
      <c r="CT3127" s="531"/>
      <c r="EI3127" s="2689" t="s">
        <v>13446</v>
      </c>
    </row>
    <row r="3128" spans="1:139" ht="58">
      <c r="A3128" s="532"/>
      <c r="AR3128" s="2513"/>
      <c r="CT3128" s="531"/>
      <c r="EI3128" s="2689" t="s">
        <v>13447</v>
      </c>
    </row>
    <row r="3129" spans="1:139" ht="43.5">
      <c r="A3129" s="532"/>
      <c r="AR3129" s="2513"/>
      <c r="CT3129" s="531"/>
      <c r="EI3129" s="2689" t="s">
        <v>13448</v>
      </c>
    </row>
    <row r="3130" spans="1:139" ht="72.5">
      <c r="A3130" s="532"/>
      <c r="AR3130" s="2513"/>
      <c r="CT3130" s="531"/>
      <c r="EI3130" s="2689" t="s">
        <v>13449</v>
      </c>
    </row>
    <row r="3131" spans="1:139" ht="43.5">
      <c r="A3131" s="532"/>
      <c r="AR3131" s="2513"/>
      <c r="CT3131" s="531"/>
      <c r="EI3131" s="2689" t="s">
        <v>13450</v>
      </c>
    </row>
    <row r="3132" spans="1:139" ht="58">
      <c r="A3132" s="532"/>
      <c r="AR3132" s="2513"/>
      <c r="CT3132" s="531"/>
      <c r="EI3132" s="2689" t="s">
        <v>13451</v>
      </c>
    </row>
    <row r="3133" spans="1:139" ht="43.5">
      <c r="A3133" s="532"/>
      <c r="AR3133" s="2513"/>
      <c r="CT3133" s="531"/>
      <c r="EI3133" s="2689" t="s">
        <v>13452</v>
      </c>
    </row>
    <row r="3134" spans="1:139" ht="58">
      <c r="A3134" s="532"/>
      <c r="AR3134" s="2513"/>
      <c r="CT3134" s="531"/>
      <c r="EI3134" s="2689" t="s">
        <v>13453</v>
      </c>
    </row>
    <row r="3135" spans="1:139" ht="101.5">
      <c r="A3135" s="532"/>
      <c r="AR3135" s="2513"/>
      <c r="CT3135" s="531"/>
      <c r="EI3135" s="2689" t="s">
        <v>13454</v>
      </c>
    </row>
    <row r="3136" spans="1:139" ht="29">
      <c r="A3136" s="532"/>
      <c r="AR3136" s="2513"/>
      <c r="CT3136" s="531"/>
      <c r="EI3136" s="2689" t="s">
        <v>13455</v>
      </c>
    </row>
    <row r="3137" spans="1:139" ht="43.5">
      <c r="A3137" s="532"/>
      <c r="AR3137" s="2513"/>
      <c r="CT3137" s="531"/>
      <c r="EI3137" s="2689" t="s">
        <v>13456</v>
      </c>
    </row>
    <row r="3138" spans="1:139" ht="43.5">
      <c r="A3138" s="532"/>
      <c r="AR3138" s="2513"/>
      <c r="CT3138" s="531"/>
      <c r="EI3138" s="2689" t="s">
        <v>13457</v>
      </c>
    </row>
    <row r="3139" spans="1:139" ht="58">
      <c r="A3139" s="532"/>
      <c r="AR3139" s="2513"/>
      <c r="CT3139" s="531"/>
      <c r="EI3139" s="2689" t="s">
        <v>13458</v>
      </c>
    </row>
    <row r="3140" spans="1:139" ht="29">
      <c r="A3140" s="532"/>
      <c r="AR3140" s="2513"/>
      <c r="CT3140" s="531"/>
      <c r="EI3140" s="2689" t="s">
        <v>13459</v>
      </c>
    </row>
    <row r="3141" spans="1:139" ht="43.5">
      <c r="A3141" s="532"/>
      <c r="AR3141" s="2513"/>
      <c r="CT3141" s="531"/>
      <c r="EI3141" s="2689" t="s">
        <v>13460</v>
      </c>
    </row>
    <row r="3142" spans="1:139" ht="58">
      <c r="A3142" s="532"/>
      <c r="AR3142" s="2513"/>
      <c r="CT3142" s="531"/>
      <c r="EI3142" s="2689" t="s">
        <v>13461</v>
      </c>
    </row>
    <row r="3143" spans="1:139" ht="58">
      <c r="A3143" s="532"/>
      <c r="AR3143" s="2513"/>
      <c r="CT3143" s="531"/>
      <c r="EI3143" s="2689" t="s">
        <v>13462</v>
      </c>
    </row>
    <row r="3144" spans="1:139" ht="72.5">
      <c r="A3144" s="532"/>
      <c r="AR3144" s="2513"/>
      <c r="CT3144" s="531"/>
      <c r="EI3144" s="2689" t="s">
        <v>13463</v>
      </c>
    </row>
    <row r="3145" spans="1:139">
      <c r="A3145" s="532"/>
      <c r="AR3145" s="2513"/>
      <c r="CT3145" s="531"/>
      <c r="EI3145" s="2689" t="s">
        <v>13464</v>
      </c>
    </row>
    <row r="3146" spans="1:139" ht="43.5">
      <c r="A3146" s="532"/>
      <c r="AR3146" s="2513"/>
      <c r="CT3146" s="531"/>
      <c r="EI3146" s="2689" t="s">
        <v>13465</v>
      </c>
    </row>
    <row r="3147" spans="1:139" ht="116">
      <c r="A3147" s="532"/>
      <c r="AR3147" s="2513"/>
      <c r="CT3147" s="531"/>
      <c r="EI3147" s="2689" t="s">
        <v>13466</v>
      </c>
    </row>
    <row r="3148" spans="1:139" ht="43.5">
      <c r="A3148" s="532"/>
      <c r="AR3148" s="2513"/>
      <c r="CT3148" s="531"/>
      <c r="EI3148" s="2689" t="s">
        <v>13467</v>
      </c>
    </row>
    <row r="3149" spans="1:139" ht="29">
      <c r="A3149" s="532"/>
      <c r="AR3149" s="2513"/>
      <c r="CT3149" s="531"/>
      <c r="EI3149" s="2689" t="s">
        <v>13468</v>
      </c>
    </row>
    <row r="3150" spans="1:139" ht="29">
      <c r="A3150" s="532"/>
      <c r="AR3150" s="2513"/>
      <c r="CT3150" s="531"/>
      <c r="EI3150" s="2689" t="s">
        <v>13469</v>
      </c>
    </row>
    <row r="3151" spans="1:139" ht="29">
      <c r="A3151" s="532"/>
      <c r="AR3151" s="2513"/>
      <c r="CT3151" s="531"/>
      <c r="EI3151" s="2689" t="s">
        <v>13470</v>
      </c>
    </row>
    <row r="3152" spans="1:139" ht="43.5">
      <c r="A3152" s="532"/>
      <c r="AR3152" s="2513"/>
      <c r="CT3152" s="531"/>
      <c r="EI3152" s="2689" t="s">
        <v>13471</v>
      </c>
    </row>
    <row r="3153" spans="1:139" ht="43.5">
      <c r="A3153" s="532"/>
      <c r="AR3153" s="2513"/>
      <c r="CT3153" s="531"/>
      <c r="EI3153" s="2689" t="s">
        <v>13472</v>
      </c>
    </row>
    <row r="3154" spans="1:139" ht="29">
      <c r="A3154" s="532"/>
      <c r="AR3154" s="2513"/>
      <c r="CT3154" s="531"/>
      <c r="EI3154" s="2689" t="s">
        <v>13473</v>
      </c>
    </row>
    <row r="3155" spans="1:139" ht="58">
      <c r="A3155" s="532"/>
      <c r="AR3155" s="2513"/>
      <c r="CT3155" s="531"/>
      <c r="EI3155" s="2689" t="s">
        <v>13474</v>
      </c>
    </row>
    <row r="3156" spans="1:139" ht="43.5">
      <c r="A3156" s="532"/>
      <c r="AR3156" s="2513"/>
      <c r="CT3156" s="531"/>
      <c r="EI3156" s="2689" t="s">
        <v>13475</v>
      </c>
    </row>
    <row r="3157" spans="1:139">
      <c r="A3157" s="532"/>
      <c r="AR3157" s="2513"/>
      <c r="CT3157" s="531"/>
      <c r="EI3157" s="2689" t="s">
        <v>13476</v>
      </c>
    </row>
    <row r="3158" spans="1:139" ht="72.5">
      <c r="A3158" s="532"/>
      <c r="AR3158" s="2513"/>
      <c r="CT3158" s="531"/>
      <c r="EI3158" s="2689" t="s">
        <v>13477</v>
      </c>
    </row>
    <row r="3159" spans="1:139" ht="29">
      <c r="A3159" s="532"/>
      <c r="AR3159" s="2513"/>
      <c r="CT3159" s="531"/>
      <c r="EI3159" s="2689" t="s">
        <v>13478</v>
      </c>
    </row>
    <row r="3160" spans="1:139">
      <c r="A3160" s="532"/>
      <c r="AR3160" s="2513"/>
      <c r="CT3160" s="531"/>
      <c r="EI3160" s="2689" t="s">
        <v>13479</v>
      </c>
    </row>
    <row r="3161" spans="1:139" ht="29">
      <c r="A3161" s="532"/>
      <c r="AR3161" s="2513"/>
      <c r="CT3161" s="531"/>
      <c r="EI3161" s="2689" t="s">
        <v>13480</v>
      </c>
    </row>
    <row r="3162" spans="1:139" ht="29">
      <c r="A3162" s="532"/>
      <c r="AR3162" s="2513"/>
      <c r="CT3162" s="531"/>
      <c r="EI3162" s="2689" t="s">
        <v>13481</v>
      </c>
    </row>
    <row r="3163" spans="1:139" ht="43.5">
      <c r="A3163" s="532"/>
      <c r="AR3163" s="2513"/>
      <c r="CT3163" s="531"/>
      <c r="EI3163" s="2689" t="s">
        <v>13482</v>
      </c>
    </row>
    <row r="3164" spans="1:139" ht="29">
      <c r="A3164" s="532"/>
      <c r="AR3164" s="2513"/>
      <c r="CT3164" s="531"/>
      <c r="EI3164" s="2689" t="s">
        <v>13483</v>
      </c>
    </row>
    <row r="3165" spans="1:139">
      <c r="A3165" s="532"/>
      <c r="AR3165" s="2513"/>
      <c r="CT3165" s="531"/>
      <c r="EI3165" s="2689" t="s">
        <v>13484</v>
      </c>
    </row>
    <row r="3166" spans="1:139" ht="87">
      <c r="A3166" s="532"/>
      <c r="AR3166" s="2513"/>
      <c r="CT3166" s="531"/>
      <c r="EI3166" s="2689" t="s">
        <v>13485</v>
      </c>
    </row>
    <row r="3167" spans="1:139" ht="43.5">
      <c r="A3167" s="532"/>
      <c r="AR3167" s="2513"/>
      <c r="CT3167" s="531"/>
      <c r="EI3167" s="2689" t="s">
        <v>13486</v>
      </c>
    </row>
    <row r="3168" spans="1:139" ht="29">
      <c r="A3168" s="532"/>
      <c r="AR3168" s="2513"/>
      <c r="CT3168" s="531"/>
      <c r="EI3168" s="2689" t="s">
        <v>13487</v>
      </c>
    </row>
    <row r="3169" spans="1:139" ht="29">
      <c r="A3169" s="532"/>
      <c r="AR3169" s="2513"/>
      <c r="CT3169" s="531"/>
      <c r="EI3169" s="2689" t="s">
        <v>13488</v>
      </c>
    </row>
    <row r="3170" spans="1:139" ht="58">
      <c r="A3170" s="532"/>
      <c r="AR3170" s="2513"/>
      <c r="CT3170" s="531"/>
      <c r="EI3170" s="2689" t="s">
        <v>13489</v>
      </c>
    </row>
    <row r="3171" spans="1:139" ht="72.5">
      <c r="A3171" s="532"/>
      <c r="AR3171" s="2513"/>
      <c r="CT3171" s="531"/>
      <c r="EI3171" s="2689" t="s">
        <v>13490</v>
      </c>
    </row>
    <row r="3172" spans="1:139" ht="29">
      <c r="A3172" s="532"/>
      <c r="AR3172" s="2513"/>
      <c r="CT3172" s="531"/>
      <c r="EI3172" s="2689" t="s">
        <v>13491</v>
      </c>
    </row>
    <row r="3173" spans="1:139" ht="29">
      <c r="A3173" s="532"/>
      <c r="AR3173" s="2513"/>
      <c r="CT3173" s="531"/>
      <c r="EI3173" s="2689" t="s">
        <v>13492</v>
      </c>
    </row>
    <row r="3174" spans="1:139" ht="101.5">
      <c r="A3174" s="532"/>
      <c r="AR3174" s="2513"/>
      <c r="CT3174" s="531"/>
      <c r="EI3174" s="2689" t="s">
        <v>13493</v>
      </c>
    </row>
    <row r="3175" spans="1:139" ht="43.5">
      <c r="A3175" s="532"/>
      <c r="AR3175" s="2513"/>
      <c r="CT3175" s="531"/>
      <c r="EI3175" s="2689" t="s">
        <v>13494</v>
      </c>
    </row>
    <row r="3176" spans="1:139" ht="29">
      <c r="A3176" s="532"/>
      <c r="AR3176" s="2513"/>
      <c r="CT3176" s="531"/>
      <c r="EI3176" s="2689" t="s">
        <v>13495</v>
      </c>
    </row>
    <row r="3177" spans="1:139" ht="58">
      <c r="A3177" s="532"/>
      <c r="AR3177" s="2513"/>
      <c r="CT3177" s="531"/>
      <c r="EI3177" s="2689" t="s">
        <v>13496</v>
      </c>
    </row>
    <row r="3178" spans="1:139" ht="29">
      <c r="A3178" s="532"/>
      <c r="AR3178" s="2513"/>
      <c r="CT3178" s="531"/>
      <c r="EI3178" s="2689" t="s">
        <v>13497</v>
      </c>
    </row>
    <row r="3179" spans="1:139" ht="72.5">
      <c r="A3179" s="532"/>
      <c r="AR3179" s="2513"/>
      <c r="CT3179" s="531"/>
      <c r="EI3179" s="2689" t="s">
        <v>13498</v>
      </c>
    </row>
    <row r="3180" spans="1:139">
      <c r="A3180" s="532"/>
      <c r="AR3180" s="2513"/>
      <c r="CT3180" s="531"/>
      <c r="EI3180" s="2689" t="s">
        <v>13499</v>
      </c>
    </row>
    <row r="3181" spans="1:139">
      <c r="A3181" s="532"/>
      <c r="AR3181" s="2513"/>
      <c r="CT3181" s="531"/>
      <c r="EI3181" s="2689" t="s">
        <v>13500</v>
      </c>
    </row>
    <row r="3182" spans="1:139">
      <c r="A3182" s="532"/>
      <c r="AR3182" s="2513"/>
      <c r="CT3182" s="531"/>
      <c r="EI3182" s="2689" t="s">
        <v>13501</v>
      </c>
    </row>
    <row r="3183" spans="1:139">
      <c r="A3183" s="532"/>
      <c r="AR3183" s="2513"/>
      <c r="CT3183" s="531"/>
      <c r="EI3183" s="2689" t="s">
        <v>13502</v>
      </c>
    </row>
    <row r="3184" spans="1:139">
      <c r="A3184" s="532"/>
      <c r="AR3184" s="2513"/>
      <c r="CT3184" s="531"/>
      <c r="EI3184" s="2689" t="s">
        <v>13503</v>
      </c>
    </row>
    <row r="3185" spans="1:139">
      <c r="A3185" s="532"/>
      <c r="AR3185" s="2513"/>
      <c r="CT3185" s="531"/>
      <c r="EI3185" s="2689" t="s">
        <v>13504</v>
      </c>
    </row>
    <row r="3186" spans="1:139">
      <c r="A3186" s="532"/>
      <c r="AR3186" s="2513"/>
      <c r="CT3186" s="531"/>
      <c r="EI3186" s="2689" t="s">
        <v>13505</v>
      </c>
    </row>
    <row r="3187" spans="1:139" ht="43.5">
      <c r="A3187" s="532"/>
      <c r="AR3187" s="2513"/>
      <c r="CT3187" s="531"/>
      <c r="EI3187" s="2689" t="s">
        <v>13506</v>
      </c>
    </row>
    <row r="3188" spans="1:139" ht="43.5">
      <c r="A3188" s="532"/>
      <c r="AR3188" s="2513"/>
      <c r="CT3188" s="531"/>
      <c r="EI3188" s="2689" t="s">
        <v>13507</v>
      </c>
    </row>
    <row r="3189" spans="1:139">
      <c r="A3189" s="532"/>
      <c r="AR3189" s="2513"/>
      <c r="CT3189" s="531"/>
      <c r="EI3189" s="2689" t="s">
        <v>13508</v>
      </c>
    </row>
    <row r="3190" spans="1:139" ht="43.5">
      <c r="A3190" s="532"/>
      <c r="AR3190" s="2513"/>
      <c r="CT3190" s="531"/>
      <c r="EI3190" s="2689" t="s">
        <v>13509</v>
      </c>
    </row>
    <row r="3191" spans="1:139">
      <c r="A3191" s="532"/>
      <c r="AR3191" s="2513"/>
      <c r="CT3191" s="531"/>
      <c r="EI3191" s="2689" t="s">
        <v>13510</v>
      </c>
    </row>
    <row r="3192" spans="1:139" ht="43.5">
      <c r="A3192" s="532"/>
      <c r="AR3192" s="2513"/>
      <c r="CT3192" s="531"/>
      <c r="EI3192" s="2689" t="s">
        <v>13511</v>
      </c>
    </row>
    <row r="3193" spans="1:139" ht="58">
      <c r="A3193" s="532"/>
      <c r="AR3193" s="2513"/>
      <c r="CT3193" s="531"/>
      <c r="EI3193" s="2689" t="s">
        <v>13512</v>
      </c>
    </row>
    <row r="3194" spans="1:139" ht="72.5">
      <c r="A3194" s="532"/>
      <c r="AR3194" s="2513"/>
      <c r="CT3194" s="531"/>
      <c r="EI3194" s="2689" t="s">
        <v>13513</v>
      </c>
    </row>
    <row r="3195" spans="1:139" ht="29">
      <c r="A3195" s="532"/>
      <c r="AR3195" s="2513"/>
      <c r="CT3195" s="531"/>
      <c r="EI3195" s="2689" t="s">
        <v>13514</v>
      </c>
    </row>
    <row r="3196" spans="1:139">
      <c r="A3196" s="532"/>
      <c r="AR3196" s="2513"/>
      <c r="CT3196" s="531"/>
      <c r="EI3196" s="2689" t="s">
        <v>13515</v>
      </c>
    </row>
    <row r="3197" spans="1:139" ht="58">
      <c r="A3197" s="532"/>
      <c r="AR3197" s="2513"/>
      <c r="CT3197" s="531"/>
      <c r="EI3197" s="2689" t="s">
        <v>13516</v>
      </c>
    </row>
    <row r="3198" spans="1:139" ht="72.5">
      <c r="A3198" s="532"/>
      <c r="AR3198" s="2513"/>
      <c r="CT3198" s="531"/>
      <c r="EI3198" s="2689" t="s">
        <v>13517</v>
      </c>
    </row>
    <row r="3199" spans="1:139" ht="29">
      <c r="A3199" s="532"/>
      <c r="AR3199" s="2513"/>
      <c r="CT3199" s="531"/>
      <c r="EI3199" s="2689" t="s">
        <v>13518</v>
      </c>
    </row>
    <row r="3200" spans="1:139" ht="29">
      <c r="A3200" s="532"/>
      <c r="AR3200" s="2513"/>
      <c r="CT3200" s="531"/>
      <c r="EI3200" s="2689" t="s">
        <v>13519</v>
      </c>
    </row>
    <row r="3201" spans="1:139" ht="72.5">
      <c r="A3201" s="532"/>
      <c r="AR3201" s="2513"/>
      <c r="CT3201" s="531"/>
      <c r="EI3201" s="2689" t="s">
        <v>13520</v>
      </c>
    </row>
    <row r="3202" spans="1:139" ht="43.5">
      <c r="A3202" s="532"/>
      <c r="AR3202" s="2513"/>
      <c r="CT3202" s="531"/>
      <c r="EI3202" s="2689" t="s">
        <v>13521</v>
      </c>
    </row>
    <row r="3203" spans="1:139">
      <c r="A3203" s="532"/>
      <c r="AR3203" s="2513"/>
      <c r="CT3203" s="531"/>
      <c r="EI3203" s="2689" t="s">
        <v>13522</v>
      </c>
    </row>
    <row r="3204" spans="1:139" ht="43.5">
      <c r="A3204" s="532"/>
      <c r="AR3204" s="2513"/>
      <c r="CT3204" s="531"/>
      <c r="EI3204" s="2689" t="s">
        <v>13523</v>
      </c>
    </row>
    <row r="3205" spans="1:139" ht="29">
      <c r="A3205" s="532"/>
      <c r="AR3205" s="2513"/>
      <c r="CT3205" s="531"/>
      <c r="EI3205" s="2689" t="s">
        <v>13524</v>
      </c>
    </row>
    <row r="3206" spans="1:139" ht="43.5">
      <c r="A3206" s="532"/>
      <c r="AR3206" s="2513"/>
      <c r="CT3206" s="531"/>
      <c r="EI3206" s="2689" t="s">
        <v>13525</v>
      </c>
    </row>
    <row r="3207" spans="1:139" ht="29">
      <c r="A3207" s="532"/>
      <c r="AR3207" s="2513"/>
      <c r="CT3207" s="531"/>
      <c r="EI3207" s="2689" t="s">
        <v>13526</v>
      </c>
    </row>
    <row r="3208" spans="1:139" ht="58">
      <c r="A3208" s="532"/>
      <c r="AR3208" s="2513"/>
      <c r="CT3208" s="531"/>
      <c r="EI3208" s="2689" t="s">
        <v>13527</v>
      </c>
    </row>
    <row r="3209" spans="1:139" ht="29">
      <c r="A3209" s="532"/>
      <c r="AR3209" s="2513"/>
      <c r="CT3209" s="531"/>
      <c r="EI3209" s="2689" t="s">
        <v>13528</v>
      </c>
    </row>
    <row r="3210" spans="1:139" ht="116">
      <c r="A3210" s="532"/>
      <c r="AR3210" s="2513"/>
      <c r="CT3210" s="531"/>
      <c r="EI3210" s="2689" t="s">
        <v>13529</v>
      </c>
    </row>
    <row r="3211" spans="1:139" ht="29">
      <c r="A3211" s="532"/>
      <c r="AR3211" s="2513"/>
      <c r="CT3211" s="531"/>
      <c r="EI3211" s="2689" t="s">
        <v>13530</v>
      </c>
    </row>
    <row r="3212" spans="1:139" ht="43.5">
      <c r="A3212" s="532"/>
      <c r="AR3212" s="2513"/>
      <c r="CT3212" s="531"/>
      <c r="EI3212" s="2689" t="s">
        <v>13531</v>
      </c>
    </row>
    <row r="3213" spans="1:139" ht="58">
      <c r="A3213" s="532"/>
      <c r="AR3213" s="2513"/>
      <c r="CT3213" s="531"/>
      <c r="EI3213" s="2689" t="s">
        <v>13532</v>
      </c>
    </row>
    <row r="3214" spans="1:139" ht="101.5">
      <c r="A3214" s="532"/>
      <c r="AR3214" s="2513"/>
      <c r="CT3214" s="531"/>
      <c r="EI3214" s="2689" t="s">
        <v>13533</v>
      </c>
    </row>
    <row r="3215" spans="1:139" ht="58">
      <c r="A3215" s="532"/>
      <c r="AR3215" s="2513"/>
      <c r="CT3215" s="531"/>
      <c r="EI3215" s="2689" t="s">
        <v>13534</v>
      </c>
    </row>
    <row r="3216" spans="1:139" ht="29">
      <c r="A3216" s="532"/>
      <c r="AR3216" s="2513"/>
      <c r="CT3216" s="531"/>
      <c r="EI3216" s="2689" t="s">
        <v>13535</v>
      </c>
    </row>
    <row r="3217" spans="1:139" ht="29">
      <c r="A3217" s="532"/>
      <c r="AR3217" s="2513"/>
      <c r="CT3217" s="531"/>
      <c r="EI3217" s="2689" t="s">
        <v>13536</v>
      </c>
    </row>
    <row r="3218" spans="1:139" ht="43.5">
      <c r="A3218" s="532"/>
      <c r="AR3218" s="2513"/>
      <c r="CT3218" s="531"/>
      <c r="EI3218" s="2689" t="s">
        <v>13537</v>
      </c>
    </row>
    <row r="3219" spans="1:139" ht="72.5">
      <c r="A3219" s="532"/>
      <c r="AR3219" s="2513"/>
      <c r="CT3219" s="531"/>
      <c r="EI3219" s="2689" t="s">
        <v>13538</v>
      </c>
    </row>
    <row r="3220" spans="1:139" ht="58">
      <c r="A3220" s="532"/>
      <c r="AR3220" s="2513"/>
      <c r="CT3220" s="531"/>
      <c r="EI3220" s="2689" t="s">
        <v>13539</v>
      </c>
    </row>
    <row r="3221" spans="1:139" ht="29">
      <c r="A3221" s="532"/>
      <c r="AR3221" s="2513"/>
      <c r="CT3221" s="531"/>
      <c r="EI3221" s="2689" t="s">
        <v>13540</v>
      </c>
    </row>
    <row r="3222" spans="1:139" ht="43.5">
      <c r="A3222" s="532"/>
      <c r="AR3222" s="2513"/>
      <c r="CT3222" s="531"/>
      <c r="EI3222" s="2689" t="s">
        <v>13541</v>
      </c>
    </row>
    <row r="3223" spans="1:139" ht="29">
      <c r="A3223" s="532"/>
      <c r="AR3223" s="2513"/>
      <c r="CT3223" s="531"/>
      <c r="EI3223" s="2689" t="s">
        <v>13542</v>
      </c>
    </row>
    <row r="3224" spans="1:139">
      <c r="A3224" s="532"/>
      <c r="AR3224" s="2513"/>
      <c r="CT3224" s="531"/>
      <c r="EI3224" s="2689" t="s">
        <v>13543</v>
      </c>
    </row>
    <row r="3225" spans="1:139">
      <c r="A3225" s="532"/>
      <c r="AR3225" s="2513"/>
      <c r="CT3225" s="531"/>
      <c r="EI3225" s="2689" t="s">
        <v>13544</v>
      </c>
    </row>
    <row r="3226" spans="1:139" ht="29">
      <c r="A3226" s="532"/>
      <c r="AR3226" s="2513"/>
      <c r="CT3226" s="531"/>
      <c r="EI3226" s="2689" t="s">
        <v>13545</v>
      </c>
    </row>
    <row r="3227" spans="1:139" ht="58">
      <c r="A3227" s="532"/>
      <c r="AR3227" s="2513"/>
      <c r="CT3227" s="531"/>
      <c r="EI3227" s="2689" t="s">
        <v>13546</v>
      </c>
    </row>
    <row r="3228" spans="1:139" ht="58">
      <c r="A3228" s="532"/>
      <c r="AR3228" s="2513"/>
      <c r="CT3228" s="531"/>
      <c r="EI3228" s="2689" t="s">
        <v>13547</v>
      </c>
    </row>
    <row r="3229" spans="1:139" ht="87">
      <c r="A3229" s="532"/>
      <c r="AR3229" s="2513"/>
      <c r="CT3229" s="531"/>
      <c r="EI3229" s="2689" t="s">
        <v>13548</v>
      </c>
    </row>
    <row r="3230" spans="1:139" ht="58">
      <c r="A3230" s="532"/>
      <c r="AR3230" s="2513"/>
      <c r="CT3230" s="531"/>
      <c r="EI3230" s="2689" t="s">
        <v>13549</v>
      </c>
    </row>
    <row r="3231" spans="1:139" ht="101.5">
      <c r="A3231" s="532"/>
      <c r="AR3231" s="2513"/>
      <c r="CT3231" s="531"/>
      <c r="EI3231" s="2689" t="s">
        <v>13550</v>
      </c>
    </row>
    <row r="3232" spans="1:139" ht="58">
      <c r="A3232" s="532"/>
      <c r="AR3232" s="2513"/>
      <c r="CT3232" s="531"/>
      <c r="EI3232" s="2689" t="s">
        <v>13551</v>
      </c>
    </row>
    <row r="3233" spans="1:139" ht="72.5">
      <c r="A3233" s="532"/>
      <c r="AR3233" s="2513"/>
      <c r="CT3233" s="531"/>
      <c r="EI3233" s="2689" t="s">
        <v>13552</v>
      </c>
    </row>
    <row r="3234" spans="1:139" ht="101.5">
      <c r="A3234" s="532"/>
      <c r="AR3234" s="2513"/>
      <c r="CT3234" s="531"/>
      <c r="EI3234" s="2689" t="s">
        <v>13553</v>
      </c>
    </row>
    <row r="3235" spans="1:139" ht="58">
      <c r="A3235" s="532"/>
      <c r="AR3235" s="2513"/>
      <c r="CT3235" s="531"/>
      <c r="EI3235" s="2689" t="s">
        <v>13554</v>
      </c>
    </row>
    <row r="3236" spans="1:139" ht="58">
      <c r="A3236" s="532"/>
      <c r="AR3236" s="2513"/>
      <c r="CT3236" s="531"/>
      <c r="EI3236" s="2689" t="s">
        <v>13555</v>
      </c>
    </row>
    <row r="3237" spans="1:139" ht="58">
      <c r="A3237" s="532"/>
      <c r="AR3237" s="2513"/>
      <c r="CT3237" s="531"/>
      <c r="EI3237" s="2689" t="s">
        <v>13556</v>
      </c>
    </row>
    <row r="3238" spans="1:139" ht="58">
      <c r="A3238" s="532"/>
      <c r="AR3238" s="2513"/>
      <c r="CT3238" s="531"/>
      <c r="EI3238" s="2689" t="s">
        <v>13557</v>
      </c>
    </row>
    <row r="3239" spans="1:139" ht="43.5">
      <c r="A3239" s="532"/>
      <c r="AR3239" s="2513"/>
      <c r="CT3239" s="531"/>
      <c r="EI3239" s="2689" t="s">
        <v>13558</v>
      </c>
    </row>
    <row r="3240" spans="1:139" ht="43.5">
      <c r="A3240" s="532"/>
      <c r="AR3240" s="2513"/>
      <c r="CT3240" s="531"/>
      <c r="EI3240" s="2689" t="s">
        <v>13559</v>
      </c>
    </row>
    <row r="3241" spans="1:139" ht="101.5">
      <c r="A3241" s="532"/>
      <c r="AR3241" s="2513"/>
      <c r="CT3241" s="531"/>
      <c r="EI3241" s="2689" t="s">
        <v>13560</v>
      </c>
    </row>
    <row r="3242" spans="1:139" ht="72.5">
      <c r="A3242" s="532"/>
      <c r="AR3242" s="2513"/>
      <c r="CT3242" s="531"/>
      <c r="EI3242" s="2689" t="s">
        <v>13561</v>
      </c>
    </row>
    <row r="3243" spans="1:139" ht="43.5">
      <c r="A3243" s="532"/>
      <c r="AR3243" s="2513"/>
      <c r="CT3243" s="531"/>
      <c r="EI3243" s="2689" t="s">
        <v>13562</v>
      </c>
    </row>
    <row r="3244" spans="1:139" ht="87">
      <c r="A3244" s="532"/>
      <c r="AR3244" s="2513"/>
      <c r="CT3244" s="531"/>
      <c r="EI3244" s="2689" t="s">
        <v>13563</v>
      </c>
    </row>
    <row r="3245" spans="1:139" ht="43.5">
      <c r="A3245" s="532"/>
      <c r="AR3245" s="2513"/>
      <c r="CT3245" s="531"/>
      <c r="EI3245" s="2689" t="s">
        <v>13564</v>
      </c>
    </row>
    <row r="3246" spans="1:139" ht="29">
      <c r="A3246" s="532"/>
      <c r="AR3246" s="2513"/>
      <c r="CT3246" s="531"/>
      <c r="EI3246" s="2689" t="s">
        <v>13565</v>
      </c>
    </row>
    <row r="3247" spans="1:139" ht="87">
      <c r="A3247" s="532"/>
      <c r="AR3247" s="2513"/>
      <c r="CT3247" s="531"/>
      <c r="EI3247" s="2689" t="s">
        <v>13566</v>
      </c>
    </row>
    <row r="3248" spans="1:139" ht="43.5">
      <c r="A3248" s="532"/>
      <c r="AR3248" s="2513"/>
      <c r="CT3248" s="531"/>
      <c r="EI3248" s="2689" t="s">
        <v>13567</v>
      </c>
    </row>
    <row r="3249" spans="1:139" ht="58">
      <c r="A3249" s="532"/>
      <c r="AR3249" s="2513"/>
      <c r="CT3249" s="531"/>
      <c r="EI3249" s="2689" t="s">
        <v>13568</v>
      </c>
    </row>
    <row r="3250" spans="1:139" ht="43.5">
      <c r="A3250" s="532"/>
      <c r="AR3250" s="2513"/>
      <c r="CT3250" s="531"/>
      <c r="EI3250" s="2689" t="s">
        <v>13569</v>
      </c>
    </row>
    <row r="3251" spans="1:139">
      <c r="A3251" s="532"/>
      <c r="AR3251" s="2513"/>
      <c r="CT3251" s="531"/>
      <c r="EI3251" s="2689" t="s">
        <v>13570</v>
      </c>
    </row>
    <row r="3252" spans="1:139">
      <c r="A3252" s="532"/>
      <c r="AR3252" s="2513"/>
      <c r="CT3252" s="531"/>
      <c r="EI3252" s="2689" t="s">
        <v>13571</v>
      </c>
    </row>
    <row r="3253" spans="1:139">
      <c r="A3253" s="532"/>
      <c r="AR3253" s="2513"/>
      <c r="CT3253" s="531"/>
      <c r="EI3253" s="2689" t="s">
        <v>13572</v>
      </c>
    </row>
    <row r="3254" spans="1:139">
      <c r="A3254" s="532"/>
      <c r="AR3254" s="2513"/>
      <c r="CT3254" s="531"/>
      <c r="EI3254" s="2689" t="s">
        <v>13573</v>
      </c>
    </row>
    <row r="3255" spans="1:139">
      <c r="A3255" s="532"/>
      <c r="AR3255" s="2513"/>
      <c r="CT3255" s="531"/>
      <c r="EI3255" s="2689" t="s">
        <v>13574</v>
      </c>
    </row>
    <row r="3256" spans="1:139">
      <c r="A3256" s="532"/>
      <c r="AR3256" s="2513"/>
      <c r="CT3256" s="531"/>
      <c r="EI3256" s="2689" t="s">
        <v>13575</v>
      </c>
    </row>
    <row r="3257" spans="1:139" ht="87">
      <c r="A3257" s="532"/>
      <c r="AR3257" s="2513"/>
      <c r="CT3257" s="531"/>
      <c r="EI3257" s="2689" t="s">
        <v>13576</v>
      </c>
    </row>
    <row r="3258" spans="1:139" ht="72.5">
      <c r="A3258" s="532"/>
      <c r="AR3258" s="2513"/>
      <c r="CT3258" s="531"/>
      <c r="EI3258" s="2689" t="s">
        <v>13577</v>
      </c>
    </row>
    <row r="3259" spans="1:139" ht="58">
      <c r="A3259" s="532"/>
      <c r="AR3259" s="2513"/>
      <c r="CT3259" s="531"/>
      <c r="EI3259" s="2689" t="s">
        <v>13578</v>
      </c>
    </row>
    <row r="3260" spans="1:139" ht="72.5">
      <c r="A3260" s="532"/>
      <c r="AR3260" s="2513"/>
      <c r="CT3260" s="531"/>
      <c r="EI3260" s="2689" t="s">
        <v>13579</v>
      </c>
    </row>
    <row r="3261" spans="1:139" ht="87">
      <c r="A3261" s="532"/>
      <c r="AR3261" s="2513"/>
      <c r="CT3261" s="531"/>
      <c r="EI3261" s="2689" t="s">
        <v>13580</v>
      </c>
    </row>
    <row r="3262" spans="1:139">
      <c r="A3262" s="532"/>
      <c r="AR3262" s="2513"/>
      <c r="CT3262" s="531"/>
      <c r="EI3262" s="2689" t="s">
        <v>13581</v>
      </c>
    </row>
    <row r="3263" spans="1:139" ht="72.5">
      <c r="A3263" s="532"/>
      <c r="AR3263" s="2513"/>
      <c r="CT3263" s="531"/>
      <c r="EI3263" s="2689" t="s">
        <v>13582</v>
      </c>
    </row>
    <row r="3264" spans="1:139" ht="145">
      <c r="A3264" s="532"/>
      <c r="AR3264" s="2513"/>
      <c r="CT3264" s="531"/>
      <c r="EI3264" s="2689" t="s">
        <v>13583</v>
      </c>
    </row>
    <row r="3265" spans="1:139" ht="43.5">
      <c r="A3265" s="532"/>
      <c r="AR3265" s="2513"/>
      <c r="CT3265" s="531"/>
      <c r="EI3265" s="2689" t="s">
        <v>13584</v>
      </c>
    </row>
    <row r="3266" spans="1:139" ht="43.5">
      <c r="A3266" s="532"/>
      <c r="AR3266" s="2513"/>
      <c r="CT3266" s="531"/>
      <c r="EI3266" s="2689" t="s">
        <v>13585</v>
      </c>
    </row>
    <row r="3267" spans="1:139" ht="43.5">
      <c r="A3267" s="532"/>
      <c r="AR3267" s="2513"/>
      <c r="CT3267" s="531"/>
      <c r="EI3267" s="2689" t="s">
        <v>13586</v>
      </c>
    </row>
    <row r="3268" spans="1:139" ht="29">
      <c r="A3268" s="532"/>
      <c r="AR3268" s="2513"/>
      <c r="CT3268" s="531"/>
      <c r="EI3268" s="2689" t="s">
        <v>13587</v>
      </c>
    </row>
    <row r="3269" spans="1:139" ht="29">
      <c r="A3269" s="532"/>
      <c r="AR3269" s="2513"/>
      <c r="CT3269" s="531"/>
      <c r="EI3269" s="2689" t="s">
        <v>13588</v>
      </c>
    </row>
    <row r="3270" spans="1:139">
      <c r="A3270" s="532"/>
      <c r="AR3270" s="2513"/>
      <c r="CT3270" s="531"/>
      <c r="EI3270" s="2689" t="s">
        <v>13589</v>
      </c>
    </row>
    <row r="3271" spans="1:139" ht="29">
      <c r="A3271" s="532"/>
      <c r="AR3271" s="2513"/>
      <c r="CT3271" s="531"/>
      <c r="EI3271" s="2689" t="s">
        <v>13590</v>
      </c>
    </row>
    <row r="3272" spans="1:139" ht="43.5">
      <c r="A3272" s="532"/>
      <c r="AR3272" s="2513"/>
      <c r="CT3272" s="531"/>
      <c r="EI3272" s="2689" t="s">
        <v>13591</v>
      </c>
    </row>
    <row r="3273" spans="1:139" ht="43.5">
      <c r="A3273" s="532"/>
      <c r="AR3273" s="2513"/>
      <c r="CT3273" s="531"/>
      <c r="EI3273" s="2689" t="s">
        <v>13592</v>
      </c>
    </row>
    <row r="3274" spans="1:139" ht="29">
      <c r="A3274" s="532"/>
      <c r="AR3274" s="2513"/>
      <c r="CT3274" s="531"/>
      <c r="EI3274" s="2689" t="s">
        <v>13593</v>
      </c>
    </row>
    <row r="3275" spans="1:139">
      <c r="A3275" s="532"/>
      <c r="AR3275" s="2513"/>
      <c r="CT3275" s="531"/>
      <c r="EI3275" s="2689" t="s">
        <v>13594</v>
      </c>
    </row>
    <row r="3276" spans="1:139" ht="43.5">
      <c r="A3276" s="532"/>
      <c r="AR3276" s="2513"/>
      <c r="CT3276" s="531"/>
      <c r="EI3276" s="2689" t="s">
        <v>13595</v>
      </c>
    </row>
    <row r="3277" spans="1:139" ht="58">
      <c r="A3277" s="532"/>
      <c r="AR3277" s="2513"/>
      <c r="CT3277" s="531"/>
      <c r="EI3277" s="2689" t="s">
        <v>13596</v>
      </c>
    </row>
    <row r="3278" spans="1:139" ht="29">
      <c r="A3278" s="532"/>
      <c r="AR3278" s="2513"/>
      <c r="CT3278" s="531"/>
      <c r="EI3278" s="2689" t="s">
        <v>13597</v>
      </c>
    </row>
    <row r="3279" spans="1:139" ht="43.5">
      <c r="A3279" s="532"/>
      <c r="AR3279" s="2513"/>
      <c r="CT3279" s="531"/>
      <c r="EI3279" s="2689" t="s">
        <v>13598</v>
      </c>
    </row>
    <row r="3280" spans="1:139" ht="43.5">
      <c r="A3280" s="532"/>
      <c r="AR3280" s="2513"/>
      <c r="CT3280" s="531"/>
      <c r="EI3280" s="2689" t="s">
        <v>13599</v>
      </c>
    </row>
    <row r="3281" spans="1:139">
      <c r="A3281" s="532"/>
      <c r="AR3281" s="2513"/>
      <c r="CT3281" s="531"/>
      <c r="EI3281" s="2689" t="s">
        <v>13600</v>
      </c>
    </row>
    <row r="3282" spans="1:139" ht="29">
      <c r="A3282" s="532"/>
      <c r="AR3282" s="2513"/>
      <c r="CT3282" s="531"/>
      <c r="EI3282" s="2689" t="s">
        <v>13601</v>
      </c>
    </row>
    <row r="3283" spans="1:139">
      <c r="A3283" s="532"/>
      <c r="AR3283" s="2513"/>
      <c r="CT3283" s="531"/>
      <c r="EI3283" s="2689" t="s">
        <v>13602</v>
      </c>
    </row>
    <row r="3284" spans="1:139" ht="43.5">
      <c r="A3284" s="532"/>
      <c r="AR3284" s="2513"/>
      <c r="CT3284" s="531"/>
      <c r="EI3284" s="2689" t="s">
        <v>13603</v>
      </c>
    </row>
    <row r="3285" spans="1:139" ht="29">
      <c r="A3285" s="532"/>
      <c r="AR3285" s="2513"/>
      <c r="CT3285" s="531"/>
      <c r="EI3285" s="2689" t="s">
        <v>13604</v>
      </c>
    </row>
    <row r="3286" spans="1:139" ht="29">
      <c r="A3286" s="532"/>
      <c r="AR3286" s="2513"/>
      <c r="CT3286" s="531"/>
      <c r="EI3286" s="2689" t="s">
        <v>13605</v>
      </c>
    </row>
    <row r="3287" spans="1:139" ht="29">
      <c r="A3287" s="532"/>
      <c r="AR3287" s="2513"/>
      <c r="CT3287" s="531"/>
      <c r="EI3287" s="2689" t="s">
        <v>13606</v>
      </c>
    </row>
    <row r="3288" spans="1:139" ht="43.5">
      <c r="A3288" s="532"/>
      <c r="AR3288" s="2513"/>
      <c r="CT3288" s="531"/>
      <c r="EI3288" s="2689" t="s">
        <v>13607</v>
      </c>
    </row>
    <row r="3289" spans="1:139" ht="29">
      <c r="A3289" s="532"/>
      <c r="AR3289" s="2513"/>
      <c r="CT3289" s="531"/>
      <c r="EI3289" s="2689" t="s">
        <v>13608</v>
      </c>
    </row>
    <row r="3290" spans="1:139" ht="29">
      <c r="A3290" s="532"/>
      <c r="AR3290" s="2513"/>
      <c r="CT3290" s="531"/>
      <c r="EI3290" s="2689" t="s">
        <v>13609</v>
      </c>
    </row>
    <row r="3291" spans="1:139" ht="29">
      <c r="A3291" s="532"/>
      <c r="AR3291" s="2513"/>
      <c r="CT3291" s="531"/>
      <c r="EI3291" s="2689" t="s">
        <v>13610</v>
      </c>
    </row>
    <row r="3292" spans="1:139" ht="72.5">
      <c r="A3292" s="532"/>
      <c r="AR3292" s="2513"/>
      <c r="CT3292" s="531"/>
      <c r="EI3292" s="2689" t="s">
        <v>13611</v>
      </c>
    </row>
    <row r="3293" spans="1:139" ht="29">
      <c r="A3293" s="532"/>
      <c r="AR3293" s="2513"/>
      <c r="CT3293" s="531"/>
      <c r="EI3293" s="2689" t="s">
        <v>13612</v>
      </c>
    </row>
    <row r="3294" spans="1:139" ht="101.5">
      <c r="A3294" s="532"/>
      <c r="AR3294" s="2513"/>
      <c r="CT3294" s="531"/>
      <c r="EI3294" s="2689" t="s">
        <v>13613</v>
      </c>
    </row>
    <row r="3295" spans="1:139" ht="58">
      <c r="A3295" s="532"/>
      <c r="AR3295" s="2513"/>
      <c r="CT3295" s="531"/>
      <c r="EI3295" s="2689" t="s">
        <v>13614</v>
      </c>
    </row>
    <row r="3296" spans="1:139" ht="29">
      <c r="A3296" s="532"/>
      <c r="AR3296" s="2513"/>
      <c r="CT3296" s="531"/>
      <c r="EI3296" s="2689" t="s">
        <v>13615</v>
      </c>
    </row>
    <row r="3297" spans="1:139" ht="43.5">
      <c r="A3297" s="532"/>
      <c r="AR3297" s="2513"/>
      <c r="CT3297" s="531"/>
      <c r="EI3297" s="2689" t="s">
        <v>13616</v>
      </c>
    </row>
    <row r="3298" spans="1:139" ht="43.5">
      <c r="A3298" s="532"/>
      <c r="AR3298" s="2513"/>
      <c r="CT3298" s="531"/>
      <c r="EI3298" s="2689" t="s">
        <v>13617</v>
      </c>
    </row>
    <row r="3299" spans="1:139" ht="29">
      <c r="A3299" s="532"/>
      <c r="AR3299" s="2513"/>
      <c r="CT3299" s="531"/>
      <c r="EI3299" s="2689" t="s">
        <v>13618</v>
      </c>
    </row>
    <row r="3300" spans="1:139" ht="43.5">
      <c r="A3300" s="532"/>
      <c r="AR3300" s="2513"/>
      <c r="CT3300" s="531"/>
      <c r="EI3300" s="2689" t="s">
        <v>13619</v>
      </c>
    </row>
    <row r="3301" spans="1:139" ht="87">
      <c r="A3301" s="532"/>
      <c r="AR3301" s="2513"/>
      <c r="CT3301" s="531"/>
      <c r="EI3301" s="2689" t="s">
        <v>13620</v>
      </c>
    </row>
    <row r="3302" spans="1:139" ht="43.5">
      <c r="A3302" s="532"/>
      <c r="AR3302" s="2513"/>
      <c r="CT3302" s="531"/>
      <c r="EI3302" s="2689" t="s">
        <v>13621</v>
      </c>
    </row>
    <row r="3303" spans="1:139" ht="43.5">
      <c r="A3303" s="532"/>
      <c r="AR3303" s="2513"/>
      <c r="CT3303" s="531"/>
      <c r="EI3303" s="2689" t="s">
        <v>13622</v>
      </c>
    </row>
    <row r="3304" spans="1:139" ht="43.5">
      <c r="A3304" s="532"/>
      <c r="AR3304" s="2513"/>
      <c r="CT3304" s="531"/>
      <c r="EI3304" s="2689" t="s">
        <v>13623</v>
      </c>
    </row>
    <row r="3305" spans="1:139" ht="43.5">
      <c r="A3305" s="532"/>
      <c r="AR3305" s="2513"/>
      <c r="CT3305" s="531"/>
      <c r="EI3305" s="2689" t="s">
        <v>13624</v>
      </c>
    </row>
    <row r="3306" spans="1:139" ht="43.5">
      <c r="A3306" s="532"/>
      <c r="AR3306" s="2513"/>
      <c r="CT3306" s="531"/>
      <c r="EI3306" s="2689" t="s">
        <v>13625</v>
      </c>
    </row>
    <row r="3307" spans="1:139" ht="29">
      <c r="A3307" s="532"/>
      <c r="AR3307" s="2513"/>
      <c r="CT3307" s="531"/>
      <c r="EI3307" s="2689" t="s">
        <v>13626</v>
      </c>
    </row>
    <row r="3308" spans="1:139" ht="29">
      <c r="A3308" s="532"/>
      <c r="AR3308" s="2513"/>
      <c r="CT3308" s="531"/>
      <c r="EI3308" s="2689" t="s">
        <v>13627</v>
      </c>
    </row>
    <row r="3309" spans="1:139">
      <c r="A3309" s="532"/>
      <c r="AR3309" s="2513"/>
      <c r="CT3309" s="531"/>
      <c r="EI3309" s="2689" t="s">
        <v>13628</v>
      </c>
    </row>
    <row r="3310" spans="1:139">
      <c r="A3310" s="532"/>
      <c r="AR3310" s="2513"/>
      <c r="CT3310" s="531"/>
      <c r="EI3310" s="2689" t="s">
        <v>13629</v>
      </c>
    </row>
    <row r="3311" spans="1:139">
      <c r="A3311" s="532"/>
      <c r="AR3311" s="2513"/>
      <c r="CT3311" s="531"/>
      <c r="EI3311" s="2689" t="s">
        <v>13630</v>
      </c>
    </row>
    <row r="3312" spans="1:139" ht="29">
      <c r="A3312" s="532"/>
      <c r="AR3312" s="2513"/>
      <c r="CT3312" s="531"/>
      <c r="EI3312" s="2689" t="s">
        <v>13631</v>
      </c>
    </row>
    <row r="3313" spans="1:139" ht="29">
      <c r="A3313" s="532"/>
      <c r="AR3313" s="2513"/>
      <c r="CT3313" s="531"/>
      <c r="EI3313" s="2689" t="s">
        <v>13632</v>
      </c>
    </row>
    <row r="3314" spans="1:139" ht="43.5">
      <c r="A3314" s="532"/>
      <c r="AR3314" s="2513"/>
      <c r="CT3314" s="531"/>
      <c r="EI3314" s="2689" t="s">
        <v>13633</v>
      </c>
    </row>
    <row r="3315" spans="1:139" ht="58">
      <c r="A3315" s="532"/>
      <c r="AR3315" s="2513"/>
      <c r="CT3315" s="531"/>
      <c r="EI3315" s="2689" t="s">
        <v>13634</v>
      </c>
    </row>
    <row r="3316" spans="1:139" ht="58">
      <c r="A3316" s="532"/>
      <c r="AR3316" s="2513"/>
      <c r="CT3316" s="531"/>
      <c r="EI3316" s="2689" t="s">
        <v>13635</v>
      </c>
    </row>
    <row r="3317" spans="1:139" ht="58">
      <c r="A3317" s="532"/>
      <c r="AR3317" s="2513"/>
      <c r="CT3317" s="531"/>
      <c r="EI3317" s="2689" t="s">
        <v>13636</v>
      </c>
    </row>
    <row r="3318" spans="1:139" ht="29">
      <c r="A3318" s="532"/>
      <c r="AR3318" s="2513"/>
      <c r="CT3318" s="531"/>
      <c r="EI3318" s="2689" t="s">
        <v>13637</v>
      </c>
    </row>
    <row r="3319" spans="1:139" ht="116">
      <c r="A3319" s="532"/>
      <c r="AR3319" s="2513"/>
      <c r="CT3319" s="531"/>
      <c r="EI3319" s="2689" t="s">
        <v>13638</v>
      </c>
    </row>
    <row r="3320" spans="1:139" ht="72.5">
      <c r="A3320" s="532"/>
      <c r="AR3320" s="2513"/>
      <c r="CT3320" s="531"/>
      <c r="EI3320" s="2689" t="s">
        <v>13639</v>
      </c>
    </row>
    <row r="3321" spans="1:139" ht="43.5">
      <c r="A3321" s="532"/>
      <c r="AR3321" s="2513"/>
      <c r="CT3321" s="531"/>
      <c r="EI3321" s="2689" t="s">
        <v>13640</v>
      </c>
    </row>
    <row r="3322" spans="1:139" ht="58">
      <c r="A3322" s="532"/>
      <c r="AR3322" s="2513"/>
      <c r="CT3322" s="531"/>
      <c r="EI3322" s="2689" t="s">
        <v>13641</v>
      </c>
    </row>
    <row r="3323" spans="1:139" ht="58">
      <c r="A3323" s="532"/>
      <c r="AR3323" s="2513"/>
      <c r="CT3323" s="531"/>
      <c r="EI3323" s="2689" t="s">
        <v>13642</v>
      </c>
    </row>
    <row r="3324" spans="1:139" ht="87">
      <c r="A3324" s="532"/>
      <c r="AR3324" s="2513"/>
      <c r="CT3324" s="531"/>
      <c r="EI3324" s="2689" t="s">
        <v>13643</v>
      </c>
    </row>
    <row r="3325" spans="1:139" ht="58">
      <c r="A3325" s="532"/>
      <c r="AR3325" s="2513"/>
      <c r="CT3325" s="531"/>
      <c r="EI3325" s="2689" t="s">
        <v>13644</v>
      </c>
    </row>
    <row r="3326" spans="1:139" ht="43.5">
      <c r="A3326" s="532"/>
      <c r="AR3326" s="2513"/>
      <c r="CT3326" s="531"/>
      <c r="EI3326" s="2689" t="s">
        <v>13645</v>
      </c>
    </row>
    <row r="3327" spans="1:139" ht="145">
      <c r="A3327" s="532"/>
      <c r="AR3327" s="2513"/>
      <c r="CT3327" s="531"/>
      <c r="EI3327" s="2689" t="s">
        <v>13646</v>
      </c>
    </row>
    <row r="3328" spans="1:139" ht="58">
      <c r="A3328" s="532"/>
      <c r="AR3328" s="2513"/>
      <c r="CT3328" s="531"/>
      <c r="EI3328" s="2689" t="s">
        <v>13647</v>
      </c>
    </row>
    <row r="3329" spans="1:139" ht="58">
      <c r="A3329" s="532"/>
      <c r="AR3329" s="2513"/>
      <c r="CT3329" s="531"/>
      <c r="EI3329" s="2689" t="s">
        <v>13648</v>
      </c>
    </row>
    <row r="3330" spans="1:139" ht="29">
      <c r="A3330" s="532"/>
      <c r="AR3330" s="2513"/>
      <c r="CT3330" s="531"/>
      <c r="EI3330" s="2689" t="s">
        <v>13649</v>
      </c>
    </row>
    <row r="3331" spans="1:139" ht="43.5">
      <c r="A3331" s="532"/>
      <c r="AR3331" s="2513"/>
      <c r="CT3331" s="531"/>
      <c r="EI3331" s="2689" t="s">
        <v>13650</v>
      </c>
    </row>
    <row r="3332" spans="1:139" ht="58">
      <c r="A3332" s="532"/>
      <c r="AR3332" s="2513"/>
      <c r="CT3332" s="531"/>
      <c r="EI3332" s="2689" t="s">
        <v>13651</v>
      </c>
    </row>
    <row r="3333" spans="1:139" ht="43.5">
      <c r="A3333" s="532"/>
      <c r="AR3333" s="2513"/>
      <c r="CT3333" s="531"/>
      <c r="EI3333" s="2689" t="s">
        <v>13652</v>
      </c>
    </row>
    <row r="3334" spans="1:139" ht="72.5">
      <c r="A3334" s="532"/>
      <c r="AR3334" s="2513"/>
      <c r="CT3334" s="531"/>
      <c r="EI3334" s="2689" t="s">
        <v>13653</v>
      </c>
    </row>
    <row r="3335" spans="1:139" ht="29">
      <c r="A3335" s="532"/>
      <c r="AR3335" s="2513"/>
      <c r="CT3335" s="531"/>
      <c r="EI3335" s="2689" t="s">
        <v>13654</v>
      </c>
    </row>
    <row r="3336" spans="1:139" ht="43.5">
      <c r="A3336" s="532"/>
      <c r="AR3336" s="2513"/>
      <c r="CT3336" s="531"/>
      <c r="EI3336" s="2689" t="s">
        <v>13655</v>
      </c>
    </row>
    <row r="3337" spans="1:139" ht="58">
      <c r="A3337" s="532"/>
      <c r="AR3337" s="2513"/>
      <c r="CT3337" s="531"/>
      <c r="EI3337" s="2689" t="s">
        <v>13656</v>
      </c>
    </row>
    <row r="3338" spans="1:139" ht="43.5">
      <c r="A3338" s="532"/>
      <c r="AR3338" s="2513"/>
      <c r="CT3338" s="531"/>
      <c r="EI3338" s="2689" t="s">
        <v>13657</v>
      </c>
    </row>
    <row r="3339" spans="1:139" ht="58">
      <c r="A3339" s="532"/>
      <c r="AR3339" s="2513"/>
      <c r="CT3339" s="531"/>
      <c r="EI3339" s="2689" t="s">
        <v>13658</v>
      </c>
    </row>
    <row r="3340" spans="1:139" ht="72.5">
      <c r="A3340" s="532"/>
      <c r="AR3340" s="2513"/>
      <c r="CT3340" s="531"/>
      <c r="EI3340" s="2689" t="s">
        <v>13659</v>
      </c>
    </row>
    <row r="3341" spans="1:139" ht="72.5">
      <c r="A3341" s="532"/>
      <c r="AR3341" s="2513"/>
      <c r="CT3341" s="531"/>
      <c r="EI3341" s="2689" t="s">
        <v>13660</v>
      </c>
    </row>
    <row r="3342" spans="1:139" ht="43.5">
      <c r="A3342" s="532"/>
      <c r="AR3342" s="2513"/>
      <c r="CT3342" s="531"/>
      <c r="EI3342" s="2689" t="s">
        <v>13661</v>
      </c>
    </row>
    <row r="3343" spans="1:139" ht="87">
      <c r="A3343" s="532"/>
      <c r="AR3343" s="2513"/>
      <c r="CT3343" s="531"/>
      <c r="EI3343" s="2689" t="s">
        <v>13662</v>
      </c>
    </row>
    <row r="3344" spans="1:139" ht="29">
      <c r="A3344" s="532"/>
      <c r="AR3344" s="2513"/>
      <c r="CT3344" s="531"/>
      <c r="EI3344" s="2689" t="s">
        <v>13663</v>
      </c>
    </row>
    <row r="3345" spans="1:139" ht="58">
      <c r="A3345" s="532"/>
      <c r="AR3345" s="2513"/>
      <c r="CT3345" s="531"/>
      <c r="EI3345" s="2689" t="s">
        <v>13664</v>
      </c>
    </row>
    <row r="3346" spans="1:139" ht="43.5">
      <c r="A3346" s="532"/>
      <c r="AR3346" s="2513"/>
      <c r="CT3346" s="531"/>
      <c r="EI3346" s="2689" t="s">
        <v>13665</v>
      </c>
    </row>
    <row r="3347" spans="1:139" ht="29">
      <c r="A3347" s="532"/>
      <c r="AR3347" s="2513"/>
      <c r="CT3347" s="531"/>
      <c r="EI3347" s="2689" t="s">
        <v>13666</v>
      </c>
    </row>
    <row r="3348" spans="1:139" ht="29">
      <c r="A3348" s="532"/>
      <c r="AR3348" s="2513"/>
      <c r="CT3348" s="531"/>
      <c r="EI3348" s="2689" t="s">
        <v>13667</v>
      </c>
    </row>
    <row r="3349" spans="1:139">
      <c r="A3349" s="532"/>
      <c r="AR3349" s="2513"/>
      <c r="CT3349" s="531"/>
      <c r="EI3349" s="2689" t="s">
        <v>13668</v>
      </c>
    </row>
    <row r="3350" spans="1:139" ht="72.5">
      <c r="A3350" s="532"/>
      <c r="AR3350" s="2513"/>
      <c r="CT3350" s="531"/>
      <c r="EI3350" s="2689" t="s">
        <v>13669</v>
      </c>
    </row>
    <row r="3351" spans="1:139" ht="43.5">
      <c r="A3351" s="532"/>
      <c r="AR3351" s="2513"/>
      <c r="CT3351" s="531"/>
      <c r="EI3351" s="2689" t="s">
        <v>13670</v>
      </c>
    </row>
    <row r="3352" spans="1:139" ht="43.5">
      <c r="A3352" s="532"/>
      <c r="AR3352" s="2513"/>
      <c r="CT3352" s="531"/>
      <c r="EI3352" s="2689" t="s">
        <v>13671</v>
      </c>
    </row>
    <row r="3353" spans="1:139" ht="29">
      <c r="A3353" s="532"/>
      <c r="AR3353" s="2513"/>
      <c r="CT3353" s="531"/>
      <c r="EI3353" s="2689" t="s">
        <v>13672</v>
      </c>
    </row>
    <row r="3354" spans="1:139" ht="29">
      <c r="A3354" s="532"/>
      <c r="AR3354" s="2513"/>
      <c r="CT3354" s="531"/>
      <c r="EI3354" s="2689" t="s">
        <v>13673</v>
      </c>
    </row>
    <row r="3355" spans="1:139" ht="29">
      <c r="A3355" s="532"/>
      <c r="AR3355" s="2513"/>
      <c r="CT3355" s="531"/>
      <c r="EI3355" s="2689" t="s">
        <v>13674</v>
      </c>
    </row>
    <row r="3356" spans="1:139" ht="58">
      <c r="A3356" s="532"/>
      <c r="AR3356" s="2513"/>
      <c r="CT3356" s="531"/>
      <c r="EI3356" s="2689" t="s">
        <v>13675</v>
      </c>
    </row>
    <row r="3357" spans="1:139" ht="43.5">
      <c r="A3357" s="532"/>
      <c r="AR3357" s="2513"/>
      <c r="CT3357" s="531"/>
      <c r="EI3357" s="2689" t="s">
        <v>13676</v>
      </c>
    </row>
    <row r="3358" spans="1:139" ht="43.5">
      <c r="A3358" s="532"/>
      <c r="AR3358" s="2513"/>
      <c r="CT3358" s="531"/>
      <c r="EI3358" s="2689" t="s">
        <v>13677</v>
      </c>
    </row>
    <row r="3359" spans="1:139" ht="43.5">
      <c r="A3359" s="532"/>
      <c r="AR3359" s="2513"/>
      <c r="CT3359" s="531"/>
      <c r="EI3359" s="2689" t="s">
        <v>13678</v>
      </c>
    </row>
    <row r="3360" spans="1:139" ht="29">
      <c r="A3360" s="532"/>
      <c r="AR3360" s="2513"/>
      <c r="CT3360" s="531"/>
      <c r="EI3360" s="2689" t="s">
        <v>13679</v>
      </c>
    </row>
    <row r="3361" spans="1:139" ht="43.5">
      <c r="A3361" s="532"/>
      <c r="AR3361" s="2513"/>
      <c r="CT3361" s="531"/>
      <c r="EI3361" s="2689" t="s">
        <v>13680</v>
      </c>
    </row>
    <row r="3362" spans="1:139" ht="72.5">
      <c r="A3362" s="532"/>
      <c r="AR3362" s="2513"/>
      <c r="CT3362" s="531"/>
      <c r="EI3362" s="2689" t="s">
        <v>13681</v>
      </c>
    </row>
    <row r="3363" spans="1:139" ht="29">
      <c r="A3363" s="532"/>
      <c r="AR3363" s="2513"/>
      <c r="CT3363" s="531"/>
      <c r="EI3363" s="2689" t="s">
        <v>13682</v>
      </c>
    </row>
    <row r="3364" spans="1:139" ht="43.5">
      <c r="A3364" s="532"/>
      <c r="AR3364" s="2513"/>
      <c r="CT3364" s="531"/>
      <c r="EI3364" s="2689" t="s">
        <v>13683</v>
      </c>
    </row>
    <row r="3365" spans="1:139" ht="58">
      <c r="A3365" s="532"/>
      <c r="AR3365" s="2513"/>
      <c r="CT3365" s="531"/>
      <c r="EI3365" s="2689" t="s">
        <v>13684</v>
      </c>
    </row>
    <row r="3366" spans="1:139" ht="29">
      <c r="A3366" s="532"/>
      <c r="AR3366" s="2513"/>
      <c r="CT3366" s="531"/>
      <c r="EI3366" s="2689" t="s">
        <v>13685</v>
      </c>
    </row>
    <row r="3367" spans="1:139" ht="43.5">
      <c r="A3367" s="532"/>
      <c r="AR3367" s="2513"/>
      <c r="CT3367" s="531"/>
      <c r="EI3367" s="2689" t="s">
        <v>13686</v>
      </c>
    </row>
    <row r="3368" spans="1:139" ht="72.5">
      <c r="A3368" s="532"/>
      <c r="AR3368" s="2513"/>
      <c r="CT3368" s="531"/>
      <c r="EI3368" s="2689" t="s">
        <v>13687</v>
      </c>
    </row>
    <row r="3369" spans="1:139" ht="29">
      <c r="A3369" s="532"/>
      <c r="AR3369" s="2513"/>
      <c r="CT3369" s="531"/>
      <c r="EI3369" s="2689" t="s">
        <v>13688</v>
      </c>
    </row>
    <row r="3370" spans="1:139" ht="58">
      <c r="A3370" s="532"/>
      <c r="AR3370" s="2513"/>
      <c r="CT3370" s="531"/>
      <c r="EI3370" s="2689" t="s">
        <v>13689</v>
      </c>
    </row>
    <row r="3371" spans="1:139">
      <c r="A3371" s="532"/>
      <c r="AR3371" s="2513"/>
      <c r="CT3371" s="531"/>
      <c r="EI3371" s="2689" t="s">
        <v>13690</v>
      </c>
    </row>
    <row r="3372" spans="1:139" ht="29">
      <c r="A3372" s="532"/>
      <c r="AR3372" s="2513"/>
      <c r="CT3372" s="531"/>
      <c r="EI3372" s="2689" t="s">
        <v>13691</v>
      </c>
    </row>
    <row r="3373" spans="1:139" ht="29">
      <c r="A3373" s="532"/>
      <c r="AR3373" s="2513"/>
      <c r="CT3373" s="531"/>
      <c r="EI3373" s="2689" t="s">
        <v>13692</v>
      </c>
    </row>
    <row r="3374" spans="1:139" ht="29">
      <c r="A3374" s="532"/>
      <c r="AR3374" s="2513"/>
      <c r="CT3374" s="531"/>
      <c r="EI3374" s="2689" t="s">
        <v>13693</v>
      </c>
    </row>
    <row r="3375" spans="1:139" ht="43.5">
      <c r="A3375" s="532"/>
      <c r="AR3375" s="2513"/>
      <c r="CT3375" s="531"/>
      <c r="EI3375" s="2689" t="s">
        <v>13694</v>
      </c>
    </row>
    <row r="3376" spans="1:139" ht="43.5">
      <c r="A3376" s="532"/>
      <c r="AR3376" s="2513"/>
      <c r="CT3376" s="531"/>
      <c r="EI3376" s="2689" t="s">
        <v>13695</v>
      </c>
    </row>
    <row r="3377" spans="1:139" ht="72.5">
      <c r="A3377" s="532"/>
      <c r="AR3377" s="2513"/>
      <c r="CT3377" s="531"/>
      <c r="EI3377" s="2689" t="s">
        <v>13696</v>
      </c>
    </row>
    <row r="3378" spans="1:139" ht="72.5">
      <c r="A3378" s="532"/>
      <c r="AR3378" s="2513"/>
      <c r="CT3378" s="531"/>
      <c r="EI3378" s="2689" t="s">
        <v>13697</v>
      </c>
    </row>
    <row r="3379" spans="1:139" ht="101.5">
      <c r="A3379" s="532"/>
      <c r="AR3379" s="2513"/>
      <c r="CT3379" s="531"/>
      <c r="EI3379" s="2689" t="s">
        <v>13698</v>
      </c>
    </row>
    <row r="3380" spans="1:139">
      <c r="A3380" s="532"/>
      <c r="AR3380" s="2513"/>
      <c r="CT3380" s="531"/>
      <c r="EI3380" s="2689" t="s">
        <v>13699</v>
      </c>
    </row>
    <row r="3381" spans="1:139" ht="43.5">
      <c r="A3381" s="532"/>
      <c r="AR3381" s="2513"/>
      <c r="CT3381" s="531"/>
      <c r="EI3381" s="2689" t="s">
        <v>13700</v>
      </c>
    </row>
    <row r="3382" spans="1:139" ht="43.5">
      <c r="A3382" s="532"/>
      <c r="AR3382" s="2513"/>
      <c r="CT3382" s="531"/>
      <c r="EI3382" s="2689" t="s">
        <v>13701</v>
      </c>
    </row>
    <row r="3383" spans="1:139" ht="43.5">
      <c r="A3383" s="532"/>
      <c r="AR3383" s="2513"/>
      <c r="CT3383" s="531"/>
      <c r="EI3383" s="2689" t="s">
        <v>13702</v>
      </c>
    </row>
    <row r="3384" spans="1:139" ht="87">
      <c r="A3384" s="532"/>
      <c r="AR3384" s="2513"/>
      <c r="CT3384" s="531"/>
      <c r="EI3384" s="2689" t="s">
        <v>13703</v>
      </c>
    </row>
    <row r="3385" spans="1:139" ht="29">
      <c r="A3385" s="532"/>
      <c r="AR3385" s="2513"/>
      <c r="CT3385" s="531"/>
      <c r="EI3385" s="2689" t="s">
        <v>13704</v>
      </c>
    </row>
    <row r="3386" spans="1:139" ht="29">
      <c r="A3386" s="532"/>
      <c r="AR3386" s="2513"/>
      <c r="CT3386" s="531"/>
      <c r="EI3386" s="2689" t="s">
        <v>13705</v>
      </c>
    </row>
    <row r="3387" spans="1:139" ht="29">
      <c r="A3387" s="532"/>
      <c r="AR3387" s="2513"/>
      <c r="CT3387" s="531"/>
      <c r="EI3387" s="2689" t="s">
        <v>13706</v>
      </c>
    </row>
    <row r="3388" spans="1:139" ht="29">
      <c r="A3388" s="532"/>
      <c r="AR3388" s="2513"/>
      <c r="CT3388" s="531"/>
      <c r="EI3388" s="2689" t="s">
        <v>13707</v>
      </c>
    </row>
    <row r="3389" spans="1:139" ht="159.5">
      <c r="A3389" s="532"/>
      <c r="AR3389" s="2513"/>
      <c r="CT3389" s="531"/>
      <c r="EI3389" s="2689" t="s">
        <v>13708</v>
      </c>
    </row>
    <row r="3390" spans="1:139" ht="58">
      <c r="A3390" s="532"/>
      <c r="AR3390" s="2513"/>
      <c r="CT3390" s="531"/>
      <c r="EI3390" s="2689" t="s">
        <v>13709</v>
      </c>
    </row>
    <row r="3391" spans="1:139" ht="58">
      <c r="A3391" s="532"/>
      <c r="AR3391" s="2513"/>
      <c r="CT3391" s="531"/>
      <c r="EI3391" s="2689" t="s">
        <v>13710</v>
      </c>
    </row>
    <row r="3392" spans="1:139" ht="58">
      <c r="A3392" s="532"/>
      <c r="AR3392" s="2513"/>
      <c r="CT3392" s="531"/>
      <c r="EI3392" s="2689" t="s">
        <v>13711</v>
      </c>
    </row>
    <row r="3393" spans="1:139">
      <c r="A3393" s="532"/>
      <c r="AR3393" s="2513"/>
      <c r="CT3393" s="531"/>
      <c r="EI3393" s="2689" t="s">
        <v>13712</v>
      </c>
    </row>
    <row r="3394" spans="1:139" ht="29">
      <c r="A3394" s="532"/>
      <c r="AR3394" s="2513"/>
      <c r="CT3394" s="531"/>
      <c r="EI3394" s="2689" t="s">
        <v>13713</v>
      </c>
    </row>
    <row r="3395" spans="1:139" ht="29">
      <c r="A3395" s="532"/>
      <c r="AR3395" s="2513"/>
      <c r="CT3395" s="531"/>
      <c r="EI3395" s="2689" t="s">
        <v>13714</v>
      </c>
    </row>
    <row r="3396" spans="1:139" ht="29">
      <c r="A3396" s="532"/>
      <c r="AR3396" s="2513"/>
      <c r="CT3396" s="531"/>
      <c r="EI3396" s="2689" t="s">
        <v>13715</v>
      </c>
    </row>
    <row r="3397" spans="1:139" ht="29">
      <c r="A3397" s="532"/>
      <c r="AR3397" s="2513"/>
      <c r="CT3397" s="531"/>
      <c r="EI3397" s="2689" t="s">
        <v>13716</v>
      </c>
    </row>
    <row r="3398" spans="1:139" ht="29">
      <c r="A3398" s="532"/>
      <c r="AR3398" s="2513"/>
      <c r="CT3398" s="531"/>
      <c r="EI3398" s="2689" t="s">
        <v>13717</v>
      </c>
    </row>
    <row r="3399" spans="1:139" ht="72.5">
      <c r="A3399" s="532"/>
      <c r="AR3399" s="2513"/>
      <c r="CT3399" s="531"/>
      <c r="EI3399" s="2689" t="s">
        <v>13718</v>
      </c>
    </row>
    <row r="3400" spans="1:139" ht="43.5">
      <c r="A3400" s="532"/>
      <c r="AR3400" s="2513"/>
      <c r="CT3400" s="531"/>
      <c r="EI3400" s="2689" t="s">
        <v>13719</v>
      </c>
    </row>
    <row r="3401" spans="1:139" ht="29">
      <c r="A3401" s="532"/>
      <c r="AR3401" s="2513"/>
      <c r="CT3401" s="531"/>
      <c r="EI3401" s="2689" t="s">
        <v>13720</v>
      </c>
    </row>
    <row r="3402" spans="1:139" ht="43.5">
      <c r="A3402" s="532"/>
      <c r="AR3402" s="2513"/>
      <c r="CT3402" s="531"/>
      <c r="EI3402" s="2689" t="s">
        <v>13721</v>
      </c>
    </row>
    <row r="3403" spans="1:139" ht="29">
      <c r="A3403" s="532"/>
      <c r="AR3403" s="2513"/>
      <c r="CT3403" s="531"/>
      <c r="EI3403" s="2689" t="s">
        <v>13722</v>
      </c>
    </row>
    <row r="3404" spans="1:139" ht="101.5">
      <c r="A3404" s="532"/>
      <c r="AR3404" s="2513"/>
      <c r="CT3404" s="531"/>
      <c r="EI3404" s="2689" t="s">
        <v>13723</v>
      </c>
    </row>
    <row r="3405" spans="1:139" ht="87">
      <c r="A3405" s="532"/>
      <c r="AR3405" s="2513"/>
      <c r="CT3405" s="531"/>
      <c r="EI3405" s="2689" t="s">
        <v>13724</v>
      </c>
    </row>
    <row r="3406" spans="1:139" ht="29">
      <c r="A3406" s="532"/>
      <c r="AR3406" s="2513"/>
      <c r="CT3406" s="531"/>
      <c r="EI3406" s="2689" t="s">
        <v>13725</v>
      </c>
    </row>
    <row r="3407" spans="1:139" ht="29">
      <c r="A3407" s="532"/>
      <c r="AR3407" s="2513"/>
      <c r="CT3407" s="531"/>
      <c r="EI3407" s="2689" t="s">
        <v>13726</v>
      </c>
    </row>
    <row r="3408" spans="1:139" ht="87">
      <c r="A3408" s="532"/>
      <c r="AR3408" s="2513"/>
      <c r="CT3408" s="531"/>
      <c r="EI3408" s="2689" t="s">
        <v>13727</v>
      </c>
    </row>
    <row r="3409" spans="1:139" ht="43.5">
      <c r="A3409" s="532"/>
      <c r="AR3409" s="2513"/>
      <c r="CT3409" s="531"/>
      <c r="EI3409" s="2689" t="s">
        <v>13728</v>
      </c>
    </row>
    <row r="3410" spans="1:139" ht="87">
      <c r="A3410" s="532"/>
      <c r="AR3410" s="2513"/>
      <c r="CT3410" s="531"/>
      <c r="EI3410" s="2689" t="s">
        <v>13729</v>
      </c>
    </row>
    <row r="3411" spans="1:139" ht="43.5">
      <c r="A3411" s="532"/>
      <c r="AR3411" s="2513"/>
      <c r="CT3411" s="531"/>
      <c r="EI3411" s="2689" t="s">
        <v>13730</v>
      </c>
    </row>
    <row r="3412" spans="1:139" ht="43.5">
      <c r="A3412" s="532"/>
      <c r="AR3412" s="2513"/>
      <c r="CT3412" s="531"/>
      <c r="EI3412" s="2689" t="s">
        <v>13731</v>
      </c>
    </row>
    <row r="3413" spans="1:139" ht="29">
      <c r="A3413" s="532"/>
      <c r="AR3413" s="2513"/>
      <c r="CT3413" s="531"/>
      <c r="EI3413" s="2689" t="s">
        <v>13732</v>
      </c>
    </row>
    <row r="3414" spans="1:139" ht="58">
      <c r="A3414" s="532"/>
      <c r="AR3414" s="2513"/>
      <c r="CT3414" s="531"/>
      <c r="EI3414" s="2689" t="s">
        <v>13733</v>
      </c>
    </row>
    <row r="3415" spans="1:139" ht="72.5">
      <c r="A3415" s="532"/>
      <c r="AR3415" s="2513"/>
      <c r="CT3415" s="531"/>
      <c r="EI3415" s="2689" t="s">
        <v>13734</v>
      </c>
    </row>
    <row r="3416" spans="1:139">
      <c r="A3416" s="532"/>
      <c r="AR3416" s="2513"/>
      <c r="CT3416" s="531"/>
      <c r="EI3416" s="2689" t="s">
        <v>13735</v>
      </c>
    </row>
    <row r="3417" spans="1:139">
      <c r="A3417" s="532"/>
      <c r="AR3417" s="2513"/>
      <c r="CT3417" s="531"/>
      <c r="EI3417" s="2689" t="s">
        <v>13736</v>
      </c>
    </row>
    <row r="3418" spans="1:139">
      <c r="A3418" s="532"/>
      <c r="AR3418" s="2513"/>
      <c r="CT3418" s="531"/>
      <c r="EI3418" s="2689" t="s">
        <v>13737</v>
      </c>
    </row>
    <row r="3419" spans="1:139" ht="29">
      <c r="A3419" s="532"/>
      <c r="AR3419" s="2513"/>
      <c r="CT3419" s="531"/>
      <c r="EI3419" s="2689" t="s">
        <v>13738</v>
      </c>
    </row>
    <row r="3420" spans="1:139" ht="43.5">
      <c r="A3420" s="532"/>
      <c r="AR3420" s="2513"/>
      <c r="CT3420" s="531"/>
      <c r="EI3420" s="2689" t="s">
        <v>13739</v>
      </c>
    </row>
    <row r="3421" spans="1:139" ht="43.5">
      <c r="A3421" s="532"/>
      <c r="AR3421" s="2513"/>
      <c r="CT3421" s="531"/>
      <c r="EI3421" s="2689" t="s">
        <v>13740</v>
      </c>
    </row>
    <row r="3422" spans="1:139" ht="29">
      <c r="A3422" s="532"/>
      <c r="AR3422" s="2513"/>
      <c r="CT3422" s="531"/>
      <c r="EI3422" s="2689" t="s">
        <v>13741</v>
      </c>
    </row>
    <row r="3423" spans="1:139" ht="58">
      <c r="A3423" s="532"/>
      <c r="AR3423" s="2513"/>
      <c r="CT3423" s="531"/>
      <c r="EI3423" s="2689" t="s">
        <v>13742</v>
      </c>
    </row>
    <row r="3424" spans="1:139" ht="72.5">
      <c r="A3424" s="532"/>
      <c r="AR3424" s="2513"/>
      <c r="CT3424" s="531"/>
      <c r="EI3424" s="2689" t="s">
        <v>13743</v>
      </c>
    </row>
    <row r="3425" spans="1:139" ht="72.5">
      <c r="A3425" s="532"/>
      <c r="AR3425" s="2513"/>
      <c r="CT3425" s="531"/>
      <c r="EI3425" s="2689" t="s">
        <v>13744</v>
      </c>
    </row>
    <row r="3426" spans="1:139" ht="58">
      <c r="A3426" s="532"/>
      <c r="AR3426" s="2513"/>
      <c r="CT3426" s="531"/>
      <c r="EI3426" s="2689" t="s">
        <v>13745</v>
      </c>
    </row>
    <row r="3427" spans="1:139" ht="72.5">
      <c r="A3427" s="532"/>
      <c r="AR3427" s="2513"/>
      <c r="CT3427" s="531"/>
      <c r="EI3427" s="2689" t="s">
        <v>13746</v>
      </c>
    </row>
    <row r="3428" spans="1:139" ht="87">
      <c r="A3428" s="532"/>
      <c r="AR3428" s="2513"/>
      <c r="CT3428" s="531"/>
      <c r="EI3428" s="2689" t="s">
        <v>13747</v>
      </c>
    </row>
    <row r="3429" spans="1:139" ht="43.5">
      <c r="A3429" s="532"/>
      <c r="AR3429" s="2513"/>
      <c r="CT3429" s="531"/>
      <c r="EI3429" s="2689" t="s">
        <v>13748</v>
      </c>
    </row>
    <row r="3430" spans="1:139" ht="72.5">
      <c r="A3430" s="532"/>
      <c r="AR3430" s="2513"/>
      <c r="CT3430" s="531"/>
      <c r="EI3430" s="2689" t="s">
        <v>13749</v>
      </c>
    </row>
    <row r="3431" spans="1:139" ht="72.5">
      <c r="A3431" s="532"/>
      <c r="AR3431" s="2513"/>
      <c r="CT3431" s="531"/>
      <c r="EI3431" s="2689" t="s">
        <v>13750</v>
      </c>
    </row>
    <row r="3432" spans="1:139" ht="29">
      <c r="A3432" s="532"/>
      <c r="AR3432" s="2513"/>
      <c r="CT3432" s="531"/>
      <c r="EI3432" s="2689" t="s">
        <v>13751</v>
      </c>
    </row>
    <row r="3433" spans="1:139" ht="29">
      <c r="A3433" s="532"/>
      <c r="AR3433" s="2513"/>
      <c r="CT3433" s="531"/>
      <c r="EI3433" s="2689" t="s">
        <v>13752</v>
      </c>
    </row>
    <row r="3434" spans="1:139" ht="43.5">
      <c r="A3434" s="532"/>
      <c r="AR3434" s="2513"/>
      <c r="CT3434" s="531"/>
      <c r="EI3434" s="2689" t="s">
        <v>13753</v>
      </c>
    </row>
    <row r="3435" spans="1:139" ht="101.5">
      <c r="A3435" s="532"/>
      <c r="AR3435" s="2513"/>
      <c r="CT3435" s="531"/>
      <c r="EI3435" s="2689" t="s">
        <v>13754</v>
      </c>
    </row>
    <row r="3436" spans="1:139" ht="58">
      <c r="A3436" s="532"/>
      <c r="AR3436" s="2513"/>
      <c r="CT3436" s="531"/>
      <c r="EI3436" s="2689" t="s">
        <v>13755</v>
      </c>
    </row>
    <row r="3437" spans="1:139" ht="43.5">
      <c r="A3437" s="532"/>
      <c r="AR3437" s="2513"/>
      <c r="CT3437" s="531"/>
      <c r="EI3437" s="2689" t="s">
        <v>13756</v>
      </c>
    </row>
    <row r="3438" spans="1:139" ht="58">
      <c r="A3438" s="532"/>
      <c r="AR3438" s="2513"/>
      <c r="CT3438" s="531"/>
      <c r="EI3438" s="2689" t="s">
        <v>13757</v>
      </c>
    </row>
    <row r="3439" spans="1:139" ht="72.5">
      <c r="A3439" s="532"/>
      <c r="AR3439" s="2513"/>
      <c r="CT3439" s="531"/>
      <c r="EI3439" s="2689" t="s">
        <v>13758</v>
      </c>
    </row>
    <row r="3440" spans="1:139">
      <c r="A3440" s="532"/>
      <c r="AR3440" s="2513"/>
      <c r="CT3440" s="531"/>
      <c r="EI3440" s="2689" t="s">
        <v>13759</v>
      </c>
    </row>
    <row r="3441" spans="1:139" ht="58">
      <c r="A3441" s="532"/>
      <c r="AR3441" s="2513"/>
      <c r="CT3441" s="531"/>
      <c r="EI3441" s="2689" t="s">
        <v>13760</v>
      </c>
    </row>
    <row r="3442" spans="1:139" ht="29">
      <c r="A3442" s="532"/>
      <c r="AR3442" s="2513"/>
      <c r="CT3442" s="531"/>
      <c r="EI3442" s="2689" t="s">
        <v>13761</v>
      </c>
    </row>
    <row r="3443" spans="1:139" ht="43.5">
      <c r="A3443" s="532"/>
      <c r="AR3443" s="2513"/>
      <c r="CT3443" s="531"/>
      <c r="EI3443" s="2689" t="s">
        <v>13762</v>
      </c>
    </row>
    <row r="3444" spans="1:139" ht="87">
      <c r="A3444" s="532"/>
      <c r="AR3444" s="2513"/>
      <c r="CT3444" s="531"/>
      <c r="EI3444" s="2689" t="s">
        <v>13763</v>
      </c>
    </row>
    <row r="3445" spans="1:139" ht="87">
      <c r="A3445" s="532"/>
      <c r="AR3445" s="2513"/>
      <c r="CT3445" s="531"/>
      <c r="EI3445" s="2689" t="s">
        <v>13764</v>
      </c>
    </row>
    <row r="3446" spans="1:139" ht="101.5">
      <c r="A3446" s="532"/>
      <c r="AR3446" s="2513"/>
      <c r="CT3446" s="531"/>
      <c r="EI3446" s="2689" t="s">
        <v>13765</v>
      </c>
    </row>
    <row r="3447" spans="1:139" ht="43.5">
      <c r="A3447" s="532"/>
      <c r="AR3447" s="2513"/>
      <c r="CT3447" s="531"/>
      <c r="EI3447" s="2689" t="s">
        <v>13766</v>
      </c>
    </row>
    <row r="3448" spans="1:139" ht="29">
      <c r="A3448" s="532"/>
      <c r="AR3448" s="2513"/>
      <c r="CT3448" s="531"/>
      <c r="EI3448" s="2689" t="s">
        <v>13767</v>
      </c>
    </row>
    <row r="3449" spans="1:139" ht="29">
      <c r="A3449" s="532"/>
      <c r="AR3449" s="2513"/>
      <c r="CT3449" s="531"/>
      <c r="EI3449" s="2689" t="s">
        <v>13768</v>
      </c>
    </row>
    <row r="3450" spans="1:139" ht="29">
      <c r="A3450" s="532"/>
      <c r="AR3450" s="2513"/>
      <c r="CT3450" s="531"/>
      <c r="EI3450" s="2689" t="s">
        <v>13769</v>
      </c>
    </row>
    <row r="3451" spans="1:139" ht="43.5">
      <c r="A3451" s="532"/>
      <c r="AR3451" s="2513"/>
      <c r="CT3451" s="531"/>
      <c r="EI3451" s="2689" t="s">
        <v>13770</v>
      </c>
    </row>
    <row r="3452" spans="1:139" ht="58">
      <c r="A3452" s="532"/>
      <c r="AR3452" s="2513"/>
      <c r="CT3452" s="531"/>
      <c r="EI3452" s="2689" t="s">
        <v>13771</v>
      </c>
    </row>
    <row r="3453" spans="1:139" ht="29">
      <c r="A3453" s="532"/>
      <c r="AR3453" s="2513"/>
      <c r="CT3453" s="531"/>
      <c r="EI3453" s="2689" t="s">
        <v>13772</v>
      </c>
    </row>
    <row r="3454" spans="1:139" ht="43.5">
      <c r="A3454" s="532"/>
      <c r="AR3454" s="2513"/>
      <c r="CT3454" s="531"/>
      <c r="EI3454" s="2689" t="s">
        <v>13773</v>
      </c>
    </row>
    <row r="3455" spans="1:139" ht="58">
      <c r="A3455" s="532"/>
      <c r="AR3455" s="2513"/>
      <c r="CT3455" s="531"/>
      <c r="EI3455" s="2689" t="s">
        <v>13774</v>
      </c>
    </row>
    <row r="3456" spans="1:139" ht="29">
      <c r="A3456" s="532"/>
      <c r="AR3456" s="2513"/>
      <c r="CT3456" s="531"/>
      <c r="EI3456" s="2689" t="s">
        <v>13775</v>
      </c>
    </row>
    <row r="3457" spans="1:139" ht="29">
      <c r="A3457" s="532"/>
      <c r="AR3457" s="2513"/>
      <c r="CT3457" s="531"/>
      <c r="EI3457" s="2689" t="s">
        <v>13776</v>
      </c>
    </row>
    <row r="3458" spans="1:139" ht="72.5">
      <c r="A3458" s="532"/>
      <c r="AR3458" s="2513"/>
      <c r="CT3458" s="531"/>
      <c r="EI3458" s="2689" t="s">
        <v>13777</v>
      </c>
    </row>
    <row r="3459" spans="1:139" ht="29">
      <c r="A3459" s="532"/>
      <c r="AR3459" s="2513"/>
      <c r="CT3459" s="531"/>
      <c r="EI3459" s="2689" t="s">
        <v>13778</v>
      </c>
    </row>
    <row r="3460" spans="1:139" ht="43.5">
      <c r="A3460" s="532"/>
      <c r="AR3460" s="2513"/>
      <c r="CT3460" s="531"/>
      <c r="EI3460" s="2689" t="s">
        <v>13779</v>
      </c>
    </row>
    <row r="3461" spans="1:139" ht="29">
      <c r="A3461" s="532"/>
      <c r="AR3461" s="2513"/>
      <c r="CT3461" s="531"/>
      <c r="EI3461" s="2689" t="s">
        <v>13780</v>
      </c>
    </row>
    <row r="3462" spans="1:139">
      <c r="A3462" s="532"/>
      <c r="AR3462" s="2513"/>
      <c r="CT3462" s="531"/>
      <c r="EI3462" s="2689" t="s">
        <v>13781</v>
      </c>
    </row>
    <row r="3463" spans="1:139" ht="29">
      <c r="A3463" s="532"/>
      <c r="AR3463" s="2513"/>
      <c r="CT3463" s="531"/>
      <c r="EI3463" s="2689" t="s">
        <v>13782</v>
      </c>
    </row>
    <row r="3464" spans="1:139" ht="43.5">
      <c r="A3464" s="532"/>
      <c r="AR3464" s="2513"/>
      <c r="CT3464" s="531"/>
      <c r="EI3464" s="2689" t="s">
        <v>13783</v>
      </c>
    </row>
    <row r="3465" spans="1:139" ht="72.5">
      <c r="A3465" s="532"/>
      <c r="AR3465" s="2513"/>
      <c r="CT3465" s="531"/>
      <c r="EI3465" s="2689" t="s">
        <v>13784</v>
      </c>
    </row>
    <row r="3466" spans="1:139" ht="43.5">
      <c r="A3466" s="532"/>
      <c r="AR3466" s="2513"/>
      <c r="CT3466" s="531"/>
      <c r="EI3466" s="2689" t="s">
        <v>13785</v>
      </c>
    </row>
    <row r="3467" spans="1:139" ht="72.5">
      <c r="A3467" s="532"/>
      <c r="AR3467" s="2513"/>
      <c r="CT3467" s="531"/>
      <c r="EI3467" s="2689" t="s">
        <v>13786</v>
      </c>
    </row>
    <row r="3468" spans="1:139">
      <c r="A3468" s="532"/>
      <c r="AR3468" s="2513"/>
      <c r="CT3468" s="531"/>
      <c r="EI3468" s="2689" t="s">
        <v>13787</v>
      </c>
    </row>
    <row r="3469" spans="1:139" ht="29">
      <c r="A3469" s="532"/>
      <c r="AR3469" s="2513"/>
      <c r="CT3469" s="531"/>
      <c r="EI3469" s="2689" t="s">
        <v>13788</v>
      </c>
    </row>
    <row r="3470" spans="1:139" ht="72.5">
      <c r="A3470" s="532"/>
      <c r="AR3470" s="2513"/>
      <c r="CT3470" s="531"/>
      <c r="EI3470" s="2689" t="s">
        <v>13789</v>
      </c>
    </row>
    <row r="3471" spans="1:139" ht="72.5">
      <c r="A3471" s="532"/>
      <c r="AR3471" s="2513"/>
      <c r="CT3471" s="531"/>
      <c r="EI3471" s="2689" t="s">
        <v>13790</v>
      </c>
    </row>
    <row r="3472" spans="1:139" ht="58">
      <c r="A3472" s="532"/>
      <c r="AR3472" s="2513"/>
      <c r="CT3472" s="531"/>
      <c r="EI3472" s="2689" t="s">
        <v>13791</v>
      </c>
    </row>
    <row r="3473" spans="1:139" ht="29">
      <c r="A3473" s="532"/>
      <c r="AR3473" s="2513"/>
      <c r="CT3473" s="531"/>
      <c r="EI3473" s="2689" t="s">
        <v>13792</v>
      </c>
    </row>
    <row r="3474" spans="1:139" ht="43.5">
      <c r="A3474" s="532"/>
      <c r="AR3474" s="2513"/>
      <c r="CT3474" s="531"/>
      <c r="EI3474" s="2689" t="s">
        <v>13793</v>
      </c>
    </row>
    <row r="3475" spans="1:139" ht="58">
      <c r="A3475" s="532"/>
      <c r="AR3475" s="2513"/>
      <c r="CT3475" s="531"/>
      <c r="EI3475" s="2689" t="s">
        <v>13794</v>
      </c>
    </row>
    <row r="3476" spans="1:139">
      <c r="A3476" s="532"/>
      <c r="AR3476" s="2513"/>
      <c r="CT3476" s="531"/>
      <c r="EI3476" s="2689" t="s">
        <v>13795</v>
      </c>
    </row>
    <row r="3477" spans="1:139">
      <c r="A3477" s="532"/>
      <c r="AR3477" s="2513"/>
      <c r="CT3477" s="531"/>
      <c r="EI3477" s="2689" t="s">
        <v>13796</v>
      </c>
    </row>
    <row r="3478" spans="1:139" ht="101.5">
      <c r="A3478" s="532"/>
      <c r="AR3478" s="2513"/>
      <c r="CT3478" s="531"/>
      <c r="EI3478" s="2689" t="s">
        <v>13797</v>
      </c>
    </row>
    <row r="3479" spans="1:139" ht="29">
      <c r="A3479" s="532"/>
      <c r="AR3479" s="2513"/>
      <c r="CT3479" s="531"/>
      <c r="EI3479" s="2689" t="s">
        <v>13798</v>
      </c>
    </row>
    <row r="3480" spans="1:139" ht="29">
      <c r="A3480" s="532"/>
      <c r="AR3480" s="2513"/>
      <c r="CT3480" s="531"/>
      <c r="EI3480" s="2689" t="s">
        <v>13799</v>
      </c>
    </row>
    <row r="3481" spans="1:139" ht="29">
      <c r="A3481" s="532"/>
      <c r="AR3481" s="2513"/>
      <c r="CT3481" s="531"/>
      <c r="EI3481" s="2689" t="s">
        <v>13800</v>
      </c>
    </row>
    <row r="3482" spans="1:139" ht="29">
      <c r="A3482" s="532"/>
      <c r="AR3482" s="2513"/>
      <c r="CT3482" s="531"/>
      <c r="EI3482" s="2689" t="s">
        <v>13801</v>
      </c>
    </row>
    <row r="3483" spans="1:139" ht="43.5">
      <c r="A3483" s="532"/>
      <c r="AR3483" s="2513"/>
      <c r="CT3483" s="531"/>
      <c r="EI3483" s="2689" t="s">
        <v>13802</v>
      </c>
    </row>
    <row r="3484" spans="1:139" ht="87">
      <c r="A3484" s="532"/>
      <c r="AR3484" s="2513"/>
      <c r="CT3484" s="531"/>
      <c r="EI3484" s="2689" t="s">
        <v>13803</v>
      </c>
    </row>
    <row r="3485" spans="1:139" ht="58">
      <c r="A3485" s="532"/>
      <c r="AR3485" s="2513"/>
      <c r="CT3485" s="531"/>
      <c r="EI3485" s="2689" t="s">
        <v>13804</v>
      </c>
    </row>
    <row r="3486" spans="1:139" ht="58">
      <c r="A3486" s="532"/>
      <c r="AR3486" s="2513"/>
      <c r="CT3486" s="531"/>
      <c r="EI3486" s="2689" t="s">
        <v>13805</v>
      </c>
    </row>
    <row r="3487" spans="1:139" ht="58">
      <c r="A3487" s="532"/>
      <c r="AR3487" s="2513"/>
      <c r="CT3487" s="531"/>
      <c r="EI3487" s="2689" t="s">
        <v>13806</v>
      </c>
    </row>
    <row r="3488" spans="1:139" ht="43.5">
      <c r="A3488" s="532"/>
      <c r="AR3488" s="2513"/>
      <c r="CT3488" s="531"/>
      <c r="EI3488" s="2689" t="s">
        <v>13807</v>
      </c>
    </row>
    <row r="3489" spans="1:139" ht="29">
      <c r="A3489" s="532"/>
      <c r="AR3489" s="2513"/>
      <c r="CT3489" s="531"/>
      <c r="EI3489" s="2689" t="s">
        <v>13808</v>
      </c>
    </row>
    <row r="3490" spans="1:139" ht="43.5">
      <c r="A3490" s="532"/>
      <c r="AR3490" s="2513"/>
      <c r="CT3490" s="531"/>
      <c r="EI3490" s="2689" t="s">
        <v>13809</v>
      </c>
    </row>
    <row r="3491" spans="1:139" ht="29">
      <c r="A3491" s="532"/>
      <c r="AR3491" s="2513"/>
      <c r="CT3491" s="531"/>
      <c r="EI3491" s="2689" t="s">
        <v>13810</v>
      </c>
    </row>
    <row r="3492" spans="1:139" ht="43.5">
      <c r="A3492" s="532"/>
      <c r="AR3492" s="2513"/>
      <c r="CT3492" s="531"/>
      <c r="EI3492" s="2689" t="s">
        <v>13811</v>
      </c>
    </row>
    <row r="3493" spans="1:139" ht="29">
      <c r="A3493" s="532"/>
      <c r="AR3493" s="2513"/>
      <c r="CT3493" s="531"/>
      <c r="EI3493" s="2689" t="s">
        <v>13812</v>
      </c>
    </row>
    <row r="3494" spans="1:139" ht="43.5">
      <c r="A3494" s="532"/>
      <c r="AR3494" s="2513"/>
      <c r="CT3494" s="531"/>
      <c r="EI3494" s="2689" t="s">
        <v>13813</v>
      </c>
    </row>
    <row r="3495" spans="1:139" ht="43.5">
      <c r="A3495" s="532"/>
      <c r="AR3495" s="2513"/>
      <c r="CT3495" s="531"/>
      <c r="EI3495" s="2689" t="s">
        <v>13814</v>
      </c>
    </row>
    <row r="3496" spans="1:139" ht="29">
      <c r="A3496" s="532"/>
      <c r="AR3496" s="2513"/>
      <c r="CT3496" s="531"/>
      <c r="EI3496" s="2689" t="s">
        <v>13815</v>
      </c>
    </row>
    <row r="3497" spans="1:139" ht="29">
      <c r="A3497" s="532"/>
      <c r="AR3497" s="2513"/>
      <c r="CT3497" s="531"/>
      <c r="EI3497" s="2689" t="s">
        <v>13816</v>
      </c>
    </row>
    <row r="3498" spans="1:139" ht="29">
      <c r="A3498" s="532"/>
      <c r="AR3498" s="2513"/>
      <c r="CT3498" s="531"/>
      <c r="EI3498" s="2689" t="s">
        <v>13817</v>
      </c>
    </row>
    <row r="3499" spans="1:139" ht="29">
      <c r="A3499" s="532"/>
      <c r="AR3499" s="2513"/>
      <c r="CT3499" s="531"/>
      <c r="EI3499" s="2689" t="s">
        <v>13818</v>
      </c>
    </row>
    <row r="3500" spans="1:139" ht="29">
      <c r="A3500" s="532"/>
      <c r="AR3500" s="2513"/>
      <c r="CT3500" s="531"/>
      <c r="EI3500" s="2689" t="s">
        <v>13819</v>
      </c>
    </row>
    <row r="3501" spans="1:139" ht="43.5">
      <c r="A3501" s="532"/>
      <c r="AR3501" s="2513"/>
      <c r="CT3501" s="531"/>
      <c r="EI3501" s="2689" t="s">
        <v>13820</v>
      </c>
    </row>
    <row r="3502" spans="1:139" ht="29">
      <c r="A3502" s="532"/>
      <c r="AR3502" s="2513"/>
      <c r="CT3502" s="531"/>
      <c r="EI3502" s="2689" t="s">
        <v>13821</v>
      </c>
    </row>
    <row r="3503" spans="1:139">
      <c r="A3503" s="532"/>
      <c r="AR3503" s="2513"/>
      <c r="CT3503" s="531"/>
      <c r="EI3503" s="2689" t="s">
        <v>13822</v>
      </c>
    </row>
    <row r="3504" spans="1:139" ht="29">
      <c r="A3504" s="532"/>
      <c r="AR3504" s="2513"/>
      <c r="CT3504" s="531"/>
      <c r="EI3504" s="2689" t="s">
        <v>13823</v>
      </c>
    </row>
    <row r="3505" spans="1:139" ht="29">
      <c r="A3505" s="532"/>
      <c r="AR3505" s="2513"/>
      <c r="CT3505" s="531"/>
      <c r="EI3505" s="2689" t="s">
        <v>13824</v>
      </c>
    </row>
    <row r="3506" spans="1:139" ht="72.5">
      <c r="A3506" s="532"/>
      <c r="AR3506" s="2513"/>
      <c r="CT3506" s="531"/>
      <c r="EI3506" s="2689" t="s">
        <v>13825</v>
      </c>
    </row>
    <row r="3507" spans="1:139" ht="58">
      <c r="A3507" s="532"/>
      <c r="AR3507" s="2513"/>
      <c r="CT3507" s="531"/>
      <c r="EI3507" s="2689" t="s">
        <v>13826</v>
      </c>
    </row>
    <row r="3508" spans="1:139">
      <c r="A3508" s="532"/>
      <c r="AR3508" s="2513"/>
      <c r="CT3508" s="531"/>
      <c r="EI3508" s="2689" t="s">
        <v>13827</v>
      </c>
    </row>
    <row r="3509" spans="1:139" ht="29">
      <c r="A3509" s="532"/>
      <c r="AR3509" s="2513"/>
      <c r="CT3509" s="531"/>
      <c r="EI3509" s="2689" t="s">
        <v>13828</v>
      </c>
    </row>
    <row r="3510" spans="1:139">
      <c r="A3510" s="532"/>
      <c r="AR3510" s="2513"/>
      <c r="CT3510" s="531"/>
      <c r="EI3510" s="2689" t="s">
        <v>13829</v>
      </c>
    </row>
    <row r="3511" spans="1:139" ht="29">
      <c r="A3511" s="532"/>
      <c r="AR3511" s="2513"/>
      <c r="CT3511" s="531"/>
      <c r="EI3511" s="2689" t="s">
        <v>13830</v>
      </c>
    </row>
    <row r="3512" spans="1:139" ht="72.5">
      <c r="A3512" s="532"/>
      <c r="AR3512" s="2513"/>
      <c r="CT3512" s="531"/>
      <c r="EI3512" s="2689" t="s">
        <v>13831</v>
      </c>
    </row>
    <row r="3513" spans="1:139" ht="43.5">
      <c r="A3513" s="532"/>
      <c r="AR3513" s="2513"/>
      <c r="CT3513" s="531"/>
      <c r="EI3513" s="2689" t="s">
        <v>13832</v>
      </c>
    </row>
    <row r="3514" spans="1:139" ht="29">
      <c r="A3514" s="532"/>
      <c r="AR3514" s="2513"/>
      <c r="CT3514" s="531"/>
      <c r="EI3514" s="2689" t="s">
        <v>13833</v>
      </c>
    </row>
    <row r="3515" spans="1:139" ht="29">
      <c r="A3515" s="532"/>
      <c r="AR3515" s="2513"/>
      <c r="CT3515" s="531"/>
      <c r="EI3515" s="2689" t="s">
        <v>13834</v>
      </c>
    </row>
    <row r="3516" spans="1:139" ht="72.5">
      <c r="A3516" s="532"/>
      <c r="AR3516" s="2513"/>
      <c r="CT3516" s="531"/>
      <c r="EI3516" s="2689" t="s">
        <v>13835</v>
      </c>
    </row>
    <row r="3517" spans="1:139" ht="72.5">
      <c r="A3517" s="532"/>
      <c r="AR3517" s="2513"/>
      <c r="CT3517" s="531"/>
      <c r="EI3517" s="2689" t="s">
        <v>13836</v>
      </c>
    </row>
    <row r="3518" spans="1:139" ht="43.5">
      <c r="A3518" s="532"/>
      <c r="AR3518" s="2513"/>
      <c r="CT3518" s="531"/>
      <c r="EI3518" s="2689" t="s">
        <v>13837</v>
      </c>
    </row>
    <row r="3519" spans="1:139" ht="43.5">
      <c r="A3519" s="532"/>
      <c r="AR3519" s="2513"/>
      <c r="CT3519" s="531"/>
      <c r="EI3519" s="2689" t="s">
        <v>13838</v>
      </c>
    </row>
    <row r="3520" spans="1:139" ht="29">
      <c r="A3520" s="532"/>
      <c r="AR3520" s="2513"/>
      <c r="CT3520" s="531"/>
      <c r="EI3520" s="2689" t="s">
        <v>13839</v>
      </c>
    </row>
    <row r="3521" spans="1:139" ht="29">
      <c r="A3521" s="532"/>
      <c r="AR3521" s="2513"/>
      <c r="CT3521" s="531"/>
      <c r="EI3521" s="2689" t="s">
        <v>13840</v>
      </c>
    </row>
    <row r="3522" spans="1:139" ht="43.5">
      <c r="A3522" s="532"/>
      <c r="AR3522" s="2513"/>
      <c r="CT3522" s="531"/>
      <c r="EI3522" s="2689" t="s">
        <v>13841</v>
      </c>
    </row>
    <row r="3523" spans="1:139" ht="29">
      <c r="A3523" s="532"/>
      <c r="AR3523" s="2513"/>
      <c r="CT3523" s="531"/>
      <c r="EI3523" s="2689" t="s">
        <v>13842</v>
      </c>
    </row>
    <row r="3524" spans="1:139" ht="72.5">
      <c r="A3524" s="532"/>
      <c r="AR3524" s="2513"/>
      <c r="CT3524" s="531"/>
      <c r="EI3524" s="2689" t="s">
        <v>13843</v>
      </c>
    </row>
    <row r="3525" spans="1:139" ht="43.5">
      <c r="A3525" s="532"/>
      <c r="AR3525" s="2513"/>
      <c r="CT3525" s="531"/>
      <c r="EI3525" s="2689" t="s">
        <v>13844</v>
      </c>
    </row>
    <row r="3526" spans="1:139" ht="58">
      <c r="A3526" s="532"/>
      <c r="AR3526" s="2513"/>
      <c r="CT3526" s="531"/>
      <c r="EI3526" s="2689" t="s">
        <v>13845</v>
      </c>
    </row>
    <row r="3527" spans="1:139" ht="72.5">
      <c r="A3527" s="532"/>
      <c r="AR3527" s="2513"/>
      <c r="CT3527" s="531"/>
      <c r="EI3527" s="2689" t="s">
        <v>13846</v>
      </c>
    </row>
    <row r="3528" spans="1:139" ht="72.5">
      <c r="A3528" s="532"/>
      <c r="AR3528" s="2513"/>
      <c r="CT3528" s="531"/>
      <c r="EI3528" s="2689" t="s">
        <v>13847</v>
      </c>
    </row>
    <row r="3529" spans="1:139" ht="87">
      <c r="A3529" s="532"/>
      <c r="AR3529" s="2513"/>
      <c r="CT3529" s="531"/>
      <c r="EI3529" s="2689" t="s">
        <v>13848</v>
      </c>
    </row>
    <row r="3530" spans="1:139" ht="101.5">
      <c r="A3530" s="532"/>
      <c r="AR3530" s="2513"/>
      <c r="CT3530" s="531"/>
      <c r="EI3530" s="2689" t="s">
        <v>13849</v>
      </c>
    </row>
    <row r="3531" spans="1:139" ht="43.5">
      <c r="A3531" s="532"/>
      <c r="AR3531" s="2513"/>
      <c r="CT3531" s="531"/>
      <c r="EI3531" s="2689" t="s">
        <v>13850</v>
      </c>
    </row>
    <row r="3532" spans="1:139" ht="58">
      <c r="A3532" s="532"/>
      <c r="AR3532" s="2513"/>
      <c r="CT3532" s="531"/>
      <c r="EI3532" s="2689" t="s">
        <v>13851</v>
      </c>
    </row>
    <row r="3533" spans="1:139" ht="58">
      <c r="A3533" s="532"/>
      <c r="AR3533" s="2513"/>
      <c r="CT3533" s="531"/>
      <c r="EI3533" s="2689" t="s">
        <v>13852</v>
      </c>
    </row>
    <row r="3534" spans="1:139" ht="58">
      <c r="A3534" s="532"/>
      <c r="AR3534" s="2513"/>
      <c r="CT3534" s="531"/>
      <c r="EI3534" s="2689" t="s">
        <v>13853</v>
      </c>
    </row>
    <row r="3535" spans="1:139" ht="72.5">
      <c r="A3535" s="532"/>
      <c r="AR3535" s="2513"/>
      <c r="CT3535" s="531"/>
      <c r="EI3535" s="2689" t="s">
        <v>13854</v>
      </c>
    </row>
    <row r="3536" spans="1:139" ht="43.5">
      <c r="A3536" s="532"/>
      <c r="AR3536" s="2513"/>
      <c r="CT3536" s="531"/>
      <c r="EI3536" s="2689" t="s">
        <v>13855</v>
      </c>
    </row>
    <row r="3537" spans="1:139" ht="72.5">
      <c r="A3537" s="532"/>
      <c r="AR3537" s="2513"/>
      <c r="CT3537" s="531"/>
      <c r="EI3537" s="2689" t="s">
        <v>13856</v>
      </c>
    </row>
    <row r="3538" spans="1:139" ht="72.5">
      <c r="A3538" s="532"/>
      <c r="AR3538" s="2513"/>
      <c r="CT3538" s="531"/>
      <c r="EI3538" s="2689" t="s">
        <v>13857</v>
      </c>
    </row>
    <row r="3539" spans="1:139" ht="58">
      <c r="A3539" s="532"/>
      <c r="AR3539" s="2513"/>
      <c r="CT3539" s="531"/>
      <c r="EI3539" s="2689" t="s">
        <v>13858</v>
      </c>
    </row>
    <row r="3540" spans="1:139" ht="58">
      <c r="A3540" s="532"/>
      <c r="AR3540" s="2513"/>
      <c r="CT3540" s="531"/>
      <c r="EI3540" s="2689" t="s">
        <v>13859</v>
      </c>
    </row>
    <row r="3541" spans="1:139" ht="43.5">
      <c r="A3541" s="532"/>
      <c r="AR3541" s="2513"/>
      <c r="CT3541" s="531"/>
      <c r="EI3541" s="2689" t="s">
        <v>13860</v>
      </c>
    </row>
    <row r="3542" spans="1:139" ht="43.5">
      <c r="A3542" s="532"/>
      <c r="AR3542" s="2513"/>
      <c r="CT3542" s="531"/>
      <c r="EI3542" s="2689" t="s">
        <v>13861</v>
      </c>
    </row>
    <row r="3543" spans="1:139" ht="87">
      <c r="A3543" s="532"/>
      <c r="AR3543" s="2513"/>
      <c r="CT3543" s="531"/>
      <c r="EI3543" s="2689" t="s">
        <v>13862</v>
      </c>
    </row>
    <row r="3544" spans="1:139" ht="72.5">
      <c r="A3544" s="532"/>
      <c r="AR3544" s="2513"/>
      <c r="CT3544" s="531"/>
      <c r="EI3544" s="2689" t="s">
        <v>13863</v>
      </c>
    </row>
    <row r="3545" spans="1:139" ht="43.5">
      <c r="A3545" s="532"/>
      <c r="AR3545" s="2513"/>
      <c r="CT3545" s="531"/>
      <c r="EI3545" s="2689" t="s">
        <v>13864</v>
      </c>
    </row>
    <row r="3546" spans="1:139" ht="58">
      <c r="A3546" s="532"/>
      <c r="AR3546" s="2513"/>
      <c r="CT3546" s="531"/>
      <c r="EI3546" s="2689" t="s">
        <v>13865</v>
      </c>
    </row>
    <row r="3547" spans="1:139" ht="58">
      <c r="A3547" s="532"/>
      <c r="AR3547" s="2513"/>
      <c r="CT3547" s="531"/>
      <c r="EI3547" s="2689" t="s">
        <v>13866</v>
      </c>
    </row>
    <row r="3548" spans="1:139" ht="72.5">
      <c r="A3548" s="532"/>
      <c r="AR3548" s="2513"/>
      <c r="CT3548" s="531"/>
      <c r="EI3548" s="2689" t="s">
        <v>13867</v>
      </c>
    </row>
    <row r="3549" spans="1:139" ht="58">
      <c r="A3549" s="532"/>
      <c r="AR3549" s="2513"/>
      <c r="CT3549" s="531"/>
      <c r="EI3549" s="2689" t="s">
        <v>13868</v>
      </c>
    </row>
    <row r="3550" spans="1:139" ht="72.5">
      <c r="A3550" s="532"/>
      <c r="AR3550" s="2513"/>
      <c r="CT3550" s="531"/>
      <c r="EI3550" s="2689" t="s">
        <v>13869</v>
      </c>
    </row>
    <row r="3551" spans="1:139" ht="72.5">
      <c r="A3551" s="532"/>
      <c r="AR3551" s="2513"/>
      <c r="CT3551" s="531"/>
      <c r="EI3551" s="2689" t="s">
        <v>13870</v>
      </c>
    </row>
    <row r="3552" spans="1:139" ht="29">
      <c r="A3552" s="532"/>
      <c r="AR3552" s="2513"/>
      <c r="CT3552" s="531"/>
      <c r="EI3552" s="2689" t="s">
        <v>13871</v>
      </c>
    </row>
    <row r="3553" spans="1:139" ht="58">
      <c r="A3553" s="532"/>
      <c r="AR3553" s="2513"/>
      <c r="CT3553" s="531"/>
      <c r="EI3553" s="2689" t="s">
        <v>13872</v>
      </c>
    </row>
    <row r="3554" spans="1:139" ht="87">
      <c r="A3554" s="532"/>
      <c r="AR3554" s="2513"/>
      <c r="CT3554" s="531"/>
      <c r="EI3554" s="2689" t="s">
        <v>13873</v>
      </c>
    </row>
    <row r="3555" spans="1:139">
      <c r="A3555" s="532"/>
      <c r="AR3555" s="2513"/>
      <c r="CT3555" s="531"/>
      <c r="EI3555" s="2689" t="s">
        <v>13874</v>
      </c>
    </row>
    <row r="3556" spans="1:139" ht="29">
      <c r="A3556" s="532"/>
      <c r="AR3556" s="2513"/>
      <c r="CT3556" s="531"/>
      <c r="EI3556" s="2689" t="s">
        <v>13875</v>
      </c>
    </row>
    <row r="3557" spans="1:139" ht="43.5">
      <c r="A3557" s="532"/>
      <c r="AR3557" s="2513"/>
      <c r="CT3557" s="531"/>
      <c r="EI3557" s="2689" t="s">
        <v>13876</v>
      </c>
    </row>
    <row r="3558" spans="1:139" ht="43.5">
      <c r="A3558" s="532"/>
      <c r="AR3558" s="2513"/>
      <c r="CT3558" s="531"/>
      <c r="EI3558" s="2689" t="s">
        <v>13877</v>
      </c>
    </row>
    <row r="3559" spans="1:139" ht="43.5">
      <c r="A3559" s="532"/>
      <c r="AR3559" s="2513"/>
      <c r="CT3559" s="531"/>
      <c r="EI3559" s="2689" t="s">
        <v>13878</v>
      </c>
    </row>
    <row r="3560" spans="1:139" ht="72.5">
      <c r="A3560" s="532"/>
      <c r="AR3560" s="2513"/>
      <c r="CT3560" s="531"/>
      <c r="EI3560" s="2689" t="s">
        <v>13879</v>
      </c>
    </row>
    <row r="3561" spans="1:139" ht="43.5">
      <c r="A3561" s="532"/>
      <c r="AR3561" s="2513"/>
      <c r="CT3561" s="531"/>
      <c r="EI3561" s="2689" t="s">
        <v>13880</v>
      </c>
    </row>
    <row r="3562" spans="1:139" ht="29">
      <c r="A3562" s="532"/>
      <c r="AR3562" s="2513"/>
      <c r="CT3562" s="531"/>
      <c r="EI3562" s="2689" t="s">
        <v>13881</v>
      </c>
    </row>
    <row r="3563" spans="1:139" ht="72.5">
      <c r="A3563" s="532"/>
      <c r="AR3563" s="2513"/>
      <c r="CT3563" s="531"/>
      <c r="EI3563" s="2689" t="s">
        <v>13882</v>
      </c>
    </row>
    <row r="3564" spans="1:139" ht="43.5">
      <c r="A3564" s="532"/>
      <c r="AR3564" s="2513"/>
      <c r="CT3564" s="531"/>
      <c r="EI3564" s="2689" t="s">
        <v>13883</v>
      </c>
    </row>
    <row r="3565" spans="1:139" ht="29">
      <c r="A3565" s="532"/>
      <c r="AR3565" s="2513"/>
      <c r="CT3565" s="531"/>
      <c r="EI3565" s="2689" t="s">
        <v>13884</v>
      </c>
    </row>
    <row r="3566" spans="1:139" ht="72.5">
      <c r="A3566" s="532"/>
      <c r="AR3566" s="2513"/>
      <c r="CT3566" s="531"/>
      <c r="EI3566" s="2689" t="s">
        <v>13885</v>
      </c>
    </row>
    <row r="3567" spans="1:139" ht="58">
      <c r="A3567" s="532"/>
      <c r="AR3567" s="2513"/>
      <c r="CT3567" s="531"/>
      <c r="EI3567" s="2689" t="s">
        <v>13886</v>
      </c>
    </row>
    <row r="3568" spans="1:139" ht="72.5">
      <c r="A3568" s="532"/>
      <c r="AR3568" s="2513"/>
      <c r="CT3568" s="531"/>
      <c r="EI3568" s="2689" t="s">
        <v>13887</v>
      </c>
    </row>
    <row r="3569" spans="1:139" ht="87">
      <c r="A3569" s="532"/>
      <c r="AR3569" s="2513"/>
      <c r="CT3569" s="531"/>
      <c r="EI3569" s="2689" t="s">
        <v>13888</v>
      </c>
    </row>
    <row r="3570" spans="1:139" ht="58">
      <c r="A3570" s="532"/>
      <c r="AR3570" s="2513"/>
      <c r="CT3570" s="531"/>
      <c r="EI3570" s="2689" t="s">
        <v>13889</v>
      </c>
    </row>
    <row r="3571" spans="1:139" ht="29">
      <c r="A3571" s="532"/>
      <c r="AR3571" s="2513"/>
      <c r="CT3571" s="531"/>
      <c r="EI3571" s="2689" t="s">
        <v>13890</v>
      </c>
    </row>
    <row r="3572" spans="1:139" ht="29">
      <c r="A3572" s="532"/>
      <c r="AR3572" s="2513"/>
      <c r="CT3572" s="531"/>
      <c r="EI3572" s="2689" t="s">
        <v>13891</v>
      </c>
    </row>
    <row r="3573" spans="1:139" ht="72.5">
      <c r="A3573" s="532"/>
      <c r="AR3573" s="2513"/>
      <c r="CT3573" s="531"/>
      <c r="EI3573" s="2689" t="s">
        <v>13892</v>
      </c>
    </row>
    <row r="3574" spans="1:139" ht="29">
      <c r="A3574" s="532"/>
      <c r="AR3574" s="2513"/>
      <c r="CT3574" s="531"/>
      <c r="EI3574" s="2689" t="s">
        <v>13893</v>
      </c>
    </row>
    <row r="3575" spans="1:139" ht="72.5">
      <c r="A3575" s="532"/>
      <c r="AR3575" s="2513"/>
      <c r="CT3575" s="531"/>
      <c r="EI3575" s="2689" t="s">
        <v>13894</v>
      </c>
    </row>
    <row r="3576" spans="1:139" ht="29">
      <c r="A3576" s="532"/>
      <c r="AR3576" s="2513"/>
      <c r="CT3576" s="531"/>
      <c r="EI3576" s="2689" t="s">
        <v>13895</v>
      </c>
    </row>
    <row r="3577" spans="1:139">
      <c r="A3577" s="532"/>
      <c r="AR3577" s="2513"/>
      <c r="CT3577" s="531"/>
      <c r="EI3577" s="2689" t="s">
        <v>13896</v>
      </c>
    </row>
    <row r="3578" spans="1:139" ht="29">
      <c r="A3578" s="532"/>
      <c r="AR3578" s="2513"/>
      <c r="CT3578" s="531"/>
      <c r="EI3578" s="2689" t="s">
        <v>13897</v>
      </c>
    </row>
    <row r="3579" spans="1:139" ht="29">
      <c r="A3579" s="532"/>
      <c r="AR3579" s="2513"/>
      <c r="CT3579" s="531"/>
      <c r="EI3579" s="2689" t="s">
        <v>13898</v>
      </c>
    </row>
    <row r="3580" spans="1:139">
      <c r="A3580" s="532"/>
      <c r="AR3580" s="2513"/>
      <c r="CT3580" s="531"/>
      <c r="EI3580" s="2689" t="s">
        <v>13899</v>
      </c>
    </row>
    <row r="3581" spans="1:139" ht="29">
      <c r="A3581" s="532"/>
      <c r="AR3581" s="2513"/>
      <c r="CT3581" s="531"/>
      <c r="EI3581" s="2689" t="s">
        <v>13900</v>
      </c>
    </row>
    <row r="3582" spans="1:139" ht="29">
      <c r="A3582" s="532"/>
      <c r="AR3582" s="2513"/>
      <c r="CT3582" s="531"/>
      <c r="EI3582" s="2689" t="s">
        <v>13901</v>
      </c>
    </row>
    <row r="3583" spans="1:139" ht="29">
      <c r="A3583" s="532"/>
      <c r="AR3583" s="2513"/>
      <c r="CT3583" s="531"/>
      <c r="EI3583" s="2689" t="s">
        <v>13902</v>
      </c>
    </row>
    <row r="3584" spans="1:139" ht="43.5">
      <c r="A3584" s="532"/>
      <c r="AR3584" s="2513"/>
      <c r="CT3584" s="531"/>
      <c r="EI3584" s="2689" t="s">
        <v>13903</v>
      </c>
    </row>
    <row r="3585" spans="1:139" ht="43.5">
      <c r="A3585" s="532"/>
      <c r="AR3585" s="2513"/>
      <c r="CT3585" s="531"/>
      <c r="EI3585" s="2689" t="s">
        <v>13904</v>
      </c>
    </row>
    <row r="3586" spans="1:139" ht="43.5">
      <c r="A3586" s="532"/>
      <c r="AR3586" s="2513"/>
      <c r="CT3586" s="531"/>
      <c r="EI3586" s="2689" t="s">
        <v>13905</v>
      </c>
    </row>
    <row r="3587" spans="1:139" ht="58">
      <c r="A3587" s="532"/>
      <c r="AR3587" s="2513"/>
      <c r="CT3587" s="531"/>
      <c r="EI3587" s="2689" t="s">
        <v>13906</v>
      </c>
    </row>
    <row r="3588" spans="1:139" ht="58">
      <c r="A3588" s="532"/>
      <c r="AR3588" s="2513"/>
      <c r="CT3588" s="531"/>
      <c r="EI3588" s="2689" t="s">
        <v>13907</v>
      </c>
    </row>
    <row r="3589" spans="1:139" ht="58">
      <c r="A3589" s="532"/>
      <c r="AR3589" s="2513"/>
      <c r="CT3589" s="531"/>
      <c r="EI3589" s="2689" t="s">
        <v>13908</v>
      </c>
    </row>
    <row r="3590" spans="1:139" ht="29">
      <c r="A3590" s="532"/>
      <c r="AR3590" s="2513"/>
      <c r="CT3590" s="531"/>
      <c r="EI3590" s="2689" t="s">
        <v>13909</v>
      </c>
    </row>
    <row r="3591" spans="1:139" ht="72.5">
      <c r="A3591" s="532"/>
      <c r="AR3591" s="2513"/>
      <c r="CT3591" s="531"/>
      <c r="EI3591" s="2689" t="s">
        <v>13910</v>
      </c>
    </row>
    <row r="3592" spans="1:139" ht="58">
      <c r="A3592" s="532"/>
      <c r="AR3592" s="2513"/>
      <c r="CT3592" s="531"/>
      <c r="EI3592" s="2689" t="s">
        <v>13911</v>
      </c>
    </row>
    <row r="3593" spans="1:139" ht="58">
      <c r="A3593" s="532"/>
      <c r="AR3593" s="2513"/>
      <c r="CT3593" s="531"/>
      <c r="EI3593" s="2689" t="s">
        <v>13912</v>
      </c>
    </row>
    <row r="3594" spans="1:139" ht="58">
      <c r="A3594" s="532"/>
      <c r="AR3594" s="2513"/>
      <c r="CT3594" s="531"/>
      <c r="EI3594" s="2689" t="s">
        <v>13913</v>
      </c>
    </row>
    <row r="3595" spans="1:139" ht="29">
      <c r="A3595" s="532"/>
      <c r="AR3595" s="2513"/>
      <c r="CT3595" s="531"/>
      <c r="EI3595" s="2689" t="s">
        <v>13914</v>
      </c>
    </row>
    <row r="3596" spans="1:139" ht="29">
      <c r="A3596" s="532"/>
      <c r="AR3596" s="2513"/>
      <c r="CT3596" s="531"/>
      <c r="EI3596" s="2689" t="s">
        <v>13915</v>
      </c>
    </row>
    <row r="3597" spans="1:139" ht="58">
      <c r="A3597" s="532"/>
      <c r="AR3597" s="2513"/>
      <c r="CT3597" s="531"/>
      <c r="EI3597" s="2689" t="s">
        <v>13916</v>
      </c>
    </row>
    <row r="3598" spans="1:139" ht="29">
      <c r="A3598" s="532"/>
      <c r="AR3598" s="2513"/>
      <c r="CT3598" s="531"/>
      <c r="EI3598" s="2689" t="s">
        <v>13917</v>
      </c>
    </row>
    <row r="3599" spans="1:139" ht="29">
      <c r="A3599" s="532"/>
      <c r="AR3599" s="2513"/>
      <c r="CT3599" s="531"/>
      <c r="EI3599" s="2689" t="s">
        <v>13918</v>
      </c>
    </row>
    <row r="3600" spans="1:139" ht="43.5">
      <c r="A3600" s="532"/>
      <c r="AR3600" s="2513"/>
      <c r="CT3600" s="531"/>
      <c r="EI3600" s="2689" t="s">
        <v>13919</v>
      </c>
    </row>
    <row r="3601" spans="1:139" ht="43.5">
      <c r="A3601" s="532"/>
      <c r="AR3601" s="2513"/>
      <c r="CT3601" s="531"/>
      <c r="EI3601" s="2689" t="s">
        <v>13920</v>
      </c>
    </row>
    <row r="3602" spans="1:139" ht="43.5">
      <c r="A3602" s="532"/>
      <c r="AR3602" s="2513"/>
      <c r="CT3602" s="531"/>
      <c r="EI3602" s="2689" t="s">
        <v>13921</v>
      </c>
    </row>
    <row r="3603" spans="1:139" ht="43.5">
      <c r="A3603" s="532"/>
      <c r="AR3603" s="2513"/>
      <c r="CT3603" s="531"/>
      <c r="EI3603" s="2689" t="s">
        <v>13922</v>
      </c>
    </row>
    <row r="3604" spans="1:139" ht="72.5">
      <c r="A3604" s="532"/>
      <c r="AR3604" s="2513"/>
      <c r="CT3604" s="531"/>
      <c r="EI3604" s="2689" t="s">
        <v>13923</v>
      </c>
    </row>
    <row r="3605" spans="1:139" ht="43.5">
      <c r="A3605" s="532"/>
      <c r="AR3605" s="2513"/>
      <c r="CT3605" s="531"/>
      <c r="EI3605" s="2689" t="s">
        <v>13924</v>
      </c>
    </row>
    <row r="3606" spans="1:139" ht="29">
      <c r="A3606" s="532"/>
      <c r="AR3606" s="2513"/>
      <c r="CT3606" s="531"/>
      <c r="EI3606" s="2689" t="s">
        <v>13925</v>
      </c>
    </row>
    <row r="3607" spans="1:139" ht="29">
      <c r="A3607" s="532"/>
      <c r="AR3607" s="2513"/>
      <c r="CT3607" s="531"/>
      <c r="EI3607" s="2689" t="s">
        <v>13926</v>
      </c>
    </row>
    <row r="3608" spans="1:139" ht="43.5">
      <c r="A3608" s="532"/>
      <c r="AR3608" s="2513"/>
      <c r="CT3608" s="531"/>
      <c r="EI3608" s="2689" t="s">
        <v>13927</v>
      </c>
    </row>
    <row r="3609" spans="1:139" ht="43.5">
      <c r="A3609" s="532"/>
      <c r="AR3609" s="2513"/>
      <c r="CT3609" s="531"/>
      <c r="EI3609" s="2689" t="s">
        <v>13928</v>
      </c>
    </row>
    <row r="3610" spans="1:139" ht="29">
      <c r="A3610" s="532"/>
      <c r="AR3610" s="2513"/>
      <c r="CT3610" s="531"/>
      <c r="EI3610" s="2689" t="s">
        <v>13929</v>
      </c>
    </row>
    <row r="3611" spans="1:139" ht="72.5">
      <c r="A3611" s="532"/>
      <c r="AR3611" s="2513"/>
      <c r="CT3611" s="531"/>
      <c r="EI3611" s="2689" t="s">
        <v>13930</v>
      </c>
    </row>
    <row r="3612" spans="1:139" ht="72.5">
      <c r="A3612" s="532"/>
      <c r="AR3612" s="2513"/>
      <c r="CT3612" s="531"/>
      <c r="EI3612" s="2689" t="s">
        <v>13931</v>
      </c>
    </row>
    <row r="3613" spans="1:139" ht="72.5">
      <c r="A3613" s="532"/>
      <c r="AR3613" s="2513"/>
      <c r="CT3613" s="531"/>
      <c r="EI3613" s="2689" t="s">
        <v>13932</v>
      </c>
    </row>
    <row r="3614" spans="1:139" ht="29">
      <c r="A3614" s="532"/>
      <c r="AR3614" s="2513"/>
      <c r="CT3614" s="531"/>
      <c r="EI3614" s="2689" t="s">
        <v>13933</v>
      </c>
    </row>
    <row r="3615" spans="1:139" ht="145">
      <c r="A3615" s="532"/>
      <c r="AR3615" s="2513"/>
      <c r="CT3615" s="531"/>
      <c r="EI3615" s="2689" t="s">
        <v>13934</v>
      </c>
    </row>
    <row r="3616" spans="1:139" ht="43.5">
      <c r="A3616" s="532"/>
      <c r="AR3616" s="2513"/>
      <c r="CT3616" s="531"/>
      <c r="EI3616" s="2689" t="s">
        <v>13935</v>
      </c>
    </row>
    <row r="3617" spans="1:139" ht="58">
      <c r="A3617" s="532"/>
      <c r="AR3617" s="2513"/>
      <c r="CT3617" s="531"/>
      <c r="EI3617" s="2689" t="s">
        <v>13936</v>
      </c>
    </row>
    <row r="3618" spans="1:139" ht="43.5">
      <c r="A3618" s="532"/>
      <c r="AR3618" s="2513"/>
      <c r="CT3618" s="531"/>
      <c r="EI3618" s="2689" t="s">
        <v>13937</v>
      </c>
    </row>
    <row r="3619" spans="1:139" ht="58">
      <c r="A3619" s="532"/>
      <c r="AR3619" s="2513"/>
      <c r="CT3619" s="531"/>
      <c r="EI3619" s="2689" t="s">
        <v>13938</v>
      </c>
    </row>
    <row r="3620" spans="1:139" ht="72.5">
      <c r="A3620" s="532"/>
      <c r="AR3620" s="2513"/>
      <c r="CT3620" s="531"/>
      <c r="EI3620" s="2689" t="s">
        <v>13939</v>
      </c>
    </row>
    <row r="3621" spans="1:139" ht="29">
      <c r="A3621" s="532"/>
      <c r="AR3621" s="2513"/>
      <c r="CT3621" s="531"/>
      <c r="EI3621" s="2689" t="s">
        <v>13940</v>
      </c>
    </row>
    <row r="3622" spans="1:139" ht="29">
      <c r="A3622" s="532"/>
      <c r="AR3622" s="2513"/>
      <c r="CT3622" s="531"/>
      <c r="EI3622" s="2689" t="s">
        <v>13941</v>
      </c>
    </row>
    <row r="3623" spans="1:139" ht="29">
      <c r="A3623" s="532"/>
      <c r="AR3623" s="2513"/>
      <c r="CT3623" s="531"/>
      <c r="EI3623" s="2689" t="s">
        <v>13942</v>
      </c>
    </row>
    <row r="3624" spans="1:139" ht="29">
      <c r="A3624" s="532"/>
      <c r="AR3624" s="2513"/>
      <c r="CT3624" s="531"/>
      <c r="EI3624" s="2689" t="s">
        <v>13943</v>
      </c>
    </row>
    <row r="3625" spans="1:139">
      <c r="A3625" s="532"/>
      <c r="AR3625" s="2513"/>
      <c r="CT3625" s="531"/>
      <c r="EI3625" s="2689" t="s">
        <v>13944</v>
      </c>
    </row>
    <row r="3626" spans="1:139" ht="43.5">
      <c r="A3626" s="532"/>
      <c r="AR3626" s="2513"/>
      <c r="CT3626" s="531"/>
      <c r="EI3626" s="2689" t="s">
        <v>13945</v>
      </c>
    </row>
    <row r="3627" spans="1:139" ht="72.5">
      <c r="A3627" s="532"/>
      <c r="AR3627" s="2513"/>
      <c r="CT3627" s="531"/>
      <c r="EI3627" s="2689" t="s">
        <v>13946</v>
      </c>
    </row>
    <row r="3628" spans="1:139" ht="87">
      <c r="A3628" s="532"/>
      <c r="AR3628" s="2513"/>
      <c r="CT3628" s="531"/>
      <c r="EI3628" s="2689" t="s">
        <v>13947</v>
      </c>
    </row>
    <row r="3629" spans="1:139" ht="58">
      <c r="A3629" s="532"/>
      <c r="AR3629" s="2513"/>
      <c r="CT3629" s="531"/>
      <c r="EI3629" s="2689" t="s">
        <v>13948</v>
      </c>
    </row>
    <row r="3630" spans="1:139" ht="58">
      <c r="A3630" s="532"/>
      <c r="AR3630" s="2513"/>
      <c r="CT3630" s="531"/>
      <c r="EI3630" s="2689" t="s">
        <v>13949</v>
      </c>
    </row>
    <row r="3631" spans="1:139" ht="29">
      <c r="A3631" s="532"/>
      <c r="AR3631" s="2513"/>
      <c r="CT3631" s="531"/>
      <c r="EI3631" s="2689" t="s">
        <v>13950</v>
      </c>
    </row>
    <row r="3632" spans="1:139" ht="29">
      <c r="A3632" s="532"/>
      <c r="AR3632" s="2513"/>
      <c r="CT3632" s="531"/>
      <c r="EI3632" s="2689" t="s">
        <v>13951</v>
      </c>
    </row>
    <row r="3633" spans="1:139" ht="58">
      <c r="A3633" s="532"/>
      <c r="AR3633" s="2513"/>
      <c r="CT3633" s="531"/>
      <c r="EI3633" s="2689" t="s">
        <v>13952</v>
      </c>
    </row>
    <row r="3634" spans="1:139" ht="58">
      <c r="A3634" s="532"/>
      <c r="AR3634" s="2513"/>
      <c r="CT3634" s="531"/>
      <c r="EI3634" s="2689" t="s">
        <v>13953</v>
      </c>
    </row>
    <row r="3635" spans="1:139" ht="58">
      <c r="A3635" s="532"/>
      <c r="AR3635" s="2513"/>
      <c r="CT3635" s="531"/>
      <c r="EI3635" s="2689" t="s">
        <v>13954</v>
      </c>
    </row>
    <row r="3636" spans="1:139" ht="58">
      <c r="A3636" s="532"/>
      <c r="AR3636" s="2513"/>
      <c r="CT3636" s="531"/>
      <c r="EI3636" s="2689" t="s">
        <v>13955</v>
      </c>
    </row>
    <row r="3637" spans="1:139" ht="29">
      <c r="A3637" s="532"/>
      <c r="AR3637" s="2513"/>
      <c r="CT3637" s="531"/>
      <c r="EI3637" s="2689" t="s">
        <v>13956</v>
      </c>
    </row>
    <row r="3638" spans="1:139" ht="58">
      <c r="A3638" s="532"/>
      <c r="AR3638" s="2513"/>
      <c r="CT3638" s="531"/>
      <c r="EI3638" s="2689" t="s">
        <v>13957</v>
      </c>
    </row>
    <row r="3639" spans="1:139" ht="43.5">
      <c r="A3639" s="532"/>
      <c r="AR3639" s="2513"/>
      <c r="CT3639" s="531"/>
      <c r="EI3639" s="2689" t="s">
        <v>13958</v>
      </c>
    </row>
    <row r="3640" spans="1:139" ht="29">
      <c r="A3640" s="532"/>
      <c r="AR3640" s="2513"/>
      <c r="CT3640" s="531"/>
      <c r="EI3640" s="2689" t="s">
        <v>13959</v>
      </c>
    </row>
    <row r="3641" spans="1:139" ht="43.5">
      <c r="A3641" s="532"/>
      <c r="AR3641" s="2513"/>
      <c r="CT3641" s="531"/>
      <c r="EI3641" s="2689" t="s">
        <v>13960</v>
      </c>
    </row>
    <row r="3642" spans="1:139" ht="29">
      <c r="A3642" s="532"/>
      <c r="AR3642" s="2513"/>
      <c r="CT3642" s="531"/>
      <c r="EI3642" s="2689" t="s">
        <v>13961</v>
      </c>
    </row>
    <row r="3643" spans="1:139">
      <c r="A3643" s="532"/>
      <c r="AR3643" s="2513"/>
      <c r="CT3643" s="531"/>
      <c r="EI3643" s="2689" t="s">
        <v>13962</v>
      </c>
    </row>
    <row r="3644" spans="1:139" ht="43.5">
      <c r="A3644" s="532"/>
      <c r="AR3644" s="2513"/>
      <c r="CT3644" s="531"/>
      <c r="EI3644" s="2689" t="s">
        <v>13963</v>
      </c>
    </row>
    <row r="3645" spans="1:139" ht="43.5">
      <c r="A3645" s="532"/>
      <c r="AR3645" s="2513"/>
      <c r="CT3645" s="531"/>
      <c r="EI3645" s="2689" t="s">
        <v>13964</v>
      </c>
    </row>
    <row r="3646" spans="1:139" ht="43.5">
      <c r="A3646" s="532"/>
      <c r="AR3646" s="2513"/>
      <c r="CT3646" s="531"/>
      <c r="EI3646" s="2689" t="s">
        <v>13965</v>
      </c>
    </row>
    <row r="3647" spans="1:139">
      <c r="A3647" s="532"/>
      <c r="AR3647" s="2513"/>
      <c r="CT3647" s="531"/>
      <c r="EI3647" s="2689" t="s">
        <v>13966</v>
      </c>
    </row>
    <row r="3648" spans="1:139" ht="43.5">
      <c r="A3648" s="532"/>
      <c r="AR3648" s="2513"/>
      <c r="CT3648" s="531"/>
      <c r="EI3648" s="2689" t="s">
        <v>13967</v>
      </c>
    </row>
    <row r="3649" spans="1:139" ht="72.5">
      <c r="A3649" s="532"/>
      <c r="AR3649" s="2513"/>
      <c r="CT3649" s="531"/>
      <c r="EI3649" s="2689" t="s">
        <v>13968</v>
      </c>
    </row>
    <row r="3650" spans="1:139" ht="87">
      <c r="A3650" s="532"/>
      <c r="AR3650" s="2513"/>
      <c r="CT3650" s="531"/>
      <c r="EI3650" s="2689" t="s">
        <v>13969</v>
      </c>
    </row>
    <row r="3651" spans="1:139">
      <c r="A3651" s="532"/>
      <c r="AR3651" s="2513"/>
      <c r="CT3651" s="531"/>
      <c r="EI3651" s="2689" t="s">
        <v>13970</v>
      </c>
    </row>
    <row r="3652" spans="1:139">
      <c r="A3652" s="532"/>
      <c r="AR3652" s="2513"/>
      <c r="CT3652" s="531"/>
      <c r="EI3652" s="2689" t="s">
        <v>13971</v>
      </c>
    </row>
    <row r="3653" spans="1:139">
      <c r="A3653" s="532"/>
      <c r="AR3653" s="2513"/>
      <c r="CT3653" s="531"/>
      <c r="EI3653" s="2689" t="s">
        <v>13972</v>
      </c>
    </row>
    <row r="3654" spans="1:139">
      <c r="A3654" s="532"/>
      <c r="AR3654" s="2513"/>
      <c r="CT3654" s="531"/>
      <c r="EI3654" s="2689" t="s">
        <v>13973</v>
      </c>
    </row>
    <row r="3655" spans="1:139" ht="58">
      <c r="A3655" s="532"/>
      <c r="AR3655" s="2513"/>
      <c r="CT3655" s="531"/>
      <c r="EI3655" s="2689" t="s">
        <v>13974</v>
      </c>
    </row>
    <row r="3656" spans="1:139" ht="58">
      <c r="A3656" s="532"/>
      <c r="AR3656" s="2513"/>
      <c r="CT3656" s="531"/>
      <c r="EI3656" s="2689" t="s">
        <v>13975</v>
      </c>
    </row>
    <row r="3657" spans="1:139" ht="29">
      <c r="A3657" s="532"/>
      <c r="AR3657" s="2513"/>
      <c r="CT3657" s="531"/>
      <c r="EI3657" s="2689" t="s">
        <v>13976</v>
      </c>
    </row>
    <row r="3658" spans="1:139" ht="58">
      <c r="A3658" s="532"/>
      <c r="AR3658" s="2513"/>
      <c r="CT3658" s="531"/>
      <c r="EI3658" s="2689" t="s">
        <v>13977</v>
      </c>
    </row>
    <row r="3659" spans="1:139" ht="29">
      <c r="A3659" s="532"/>
      <c r="AR3659" s="2513"/>
      <c r="CT3659" s="531"/>
      <c r="EI3659" s="2689" t="s">
        <v>13978</v>
      </c>
    </row>
    <row r="3660" spans="1:139" ht="43.5">
      <c r="A3660" s="532"/>
      <c r="AR3660" s="2513"/>
      <c r="CT3660" s="531"/>
      <c r="EI3660" s="2689" t="s">
        <v>13979</v>
      </c>
    </row>
    <row r="3661" spans="1:139" ht="29">
      <c r="A3661" s="532"/>
      <c r="AR3661" s="2513"/>
      <c r="CT3661" s="531"/>
      <c r="EI3661" s="2689" t="s">
        <v>13980</v>
      </c>
    </row>
    <row r="3662" spans="1:139" ht="29">
      <c r="A3662" s="532"/>
      <c r="AR3662" s="2513"/>
      <c r="CT3662" s="531"/>
      <c r="EI3662" s="2689" t="s">
        <v>13981</v>
      </c>
    </row>
    <row r="3663" spans="1:139" ht="43.5">
      <c r="A3663" s="532"/>
      <c r="AR3663" s="2513"/>
      <c r="CT3663" s="531"/>
      <c r="EI3663" s="2689" t="s">
        <v>13982</v>
      </c>
    </row>
    <row r="3664" spans="1:139" ht="43.5">
      <c r="A3664" s="532"/>
      <c r="AR3664" s="2513"/>
      <c r="CT3664" s="531"/>
      <c r="EI3664" s="2689" t="s">
        <v>13983</v>
      </c>
    </row>
    <row r="3665" spans="1:139" ht="72.5">
      <c r="A3665" s="532"/>
      <c r="AR3665" s="2513"/>
      <c r="CT3665" s="531"/>
      <c r="EI3665" s="2689" t="s">
        <v>13984</v>
      </c>
    </row>
    <row r="3666" spans="1:139" ht="43.5">
      <c r="A3666" s="532"/>
      <c r="AR3666" s="2513"/>
      <c r="CT3666" s="531"/>
      <c r="EI3666" s="2689" t="s">
        <v>13985</v>
      </c>
    </row>
    <row r="3667" spans="1:139" ht="58">
      <c r="A3667" s="532"/>
      <c r="AR3667" s="2513"/>
      <c r="CT3667" s="531"/>
      <c r="EI3667" s="2689" t="s">
        <v>13986</v>
      </c>
    </row>
    <row r="3668" spans="1:139" ht="43.5">
      <c r="A3668" s="532"/>
      <c r="AR3668" s="2513"/>
      <c r="CT3668" s="531"/>
      <c r="EI3668" s="2689" t="s">
        <v>13987</v>
      </c>
    </row>
    <row r="3669" spans="1:139" ht="101.5">
      <c r="A3669" s="532"/>
      <c r="AR3669" s="2513"/>
      <c r="CT3669" s="531"/>
      <c r="EI3669" s="2689" t="s">
        <v>13988</v>
      </c>
    </row>
    <row r="3670" spans="1:139" ht="72.5">
      <c r="A3670" s="532"/>
      <c r="AR3670" s="2513"/>
      <c r="CT3670" s="531"/>
      <c r="EI3670" s="2689" t="s">
        <v>13989</v>
      </c>
    </row>
    <row r="3671" spans="1:139" ht="58">
      <c r="A3671" s="532"/>
      <c r="AR3671" s="2513"/>
      <c r="CT3671" s="531"/>
      <c r="EI3671" s="2689" t="s">
        <v>13990</v>
      </c>
    </row>
    <row r="3672" spans="1:139">
      <c r="A3672" s="532"/>
      <c r="AR3672" s="2513"/>
      <c r="CT3672" s="531"/>
      <c r="EI3672" s="2689" t="s">
        <v>13991</v>
      </c>
    </row>
    <row r="3673" spans="1:139" ht="58">
      <c r="A3673" s="532"/>
      <c r="AR3673" s="2513"/>
      <c r="CT3673" s="531"/>
      <c r="EI3673" s="2689" t="s">
        <v>13992</v>
      </c>
    </row>
    <row r="3674" spans="1:139" ht="29">
      <c r="A3674" s="532"/>
      <c r="AR3674" s="2513"/>
      <c r="CT3674" s="531"/>
      <c r="EI3674" s="2689" t="s">
        <v>13993</v>
      </c>
    </row>
    <row r="3675" spans="1:139" ht="43.5">
      <c r="A3675" s="532"/>
      <c r="AR3675" s="2513"/>
      <c r="CT3675" s="531"/>
      <c r="EI3675" s="2689" t="s">
        <v>13994</v>
      </c>
    </row>
    <row r="3676" spans="1:139" ht="43.5">
      <c r="A3676" s="532"/>
      <c r="AR3676" s="2513"/>
      <c r="CT3676" s="531"/>
      <c r="EI3676" s="2689" t="s">
        <v>13995</v>
      </c>
    </row>
    <row r="3677" spans="1:139" ht="43.5">
      <c r="A3677" s="532"/>
      <c r="AR3677" s="2513"/>
      <c r="CT3677" s="531"/>
      <c r="EI3677" s="2689" t="s">
        <v>13996</v>
      </c>
    </row>
    <row r="3678" spans="1:139" ht="43.5">
      <c r="A3678" s="532"/>
      <c r="AR3678" s="2513"/>
      <c r="CT3678" s="531"/>
      <c r="EI3678" s="2689" t="s">
        <v>13997</v>
      </c>
    </row>
    <row r="3679" spans="1:139" ht="101.5">
      <c r="A3679" s="532"/>
      <c r="AR3679" s="2513"/>
      <c r="CT3679" s="531"/>
      <c r="EI3679" s="2689" t="s">
        <v>13998</v>
      </c>
    </row>
    <row r="3680" spans="1:139" ht="29">
      <c r="A3680" s="532"/>
      <c r="AR3680" s="2513"/>
      <c r="CT3680" s="531"/>
      <c r="EI3680" s="2689" t="s">
        <v>13999</v>
      </c>
    </row>
    <row r="3681" spans="1:139">
      <c r="A3681" s="532"/>
      <c r="AR3681" s="2513"/>
      <c r="CT3681" s="531"/>
      <c r="EI3681" s="2689" t="s">
        <v>14000</v>
      </c>
    </row>
    <row r="3682" spans="1:139" ht="72.5">
      <c r="A3682" s="532"/>
      <c r="AR3682" s="2513"/>
      <c r="CT3682" s="531"/>
      <c r="EI3682" s="2689" t="s">
        <v>14001</v>
      </c>
    </row>
    <row r="3683" spans="1:139" ht="43.5">
      <c r="A3683" s="532"/>
      <c r="AR3683" s="2513"/>
      <c r="CT3683" s="531"/>
      <c r="EI3683" s="2689" t="s">
        <v>14002</v>
      </c>
    </row>
    <row r="3684" spans="1:139" ht="29">
      <c r="A3684" s="532"/>
      <c r="AR3684" s="2513"/>
      <c r="CT3684" s="531"/>
      <c r="EI3684" s="2689" t="s">
        <v>14003</v>
      </c>
    </row>
    <row r="3685" spans="1:139" ht="43.5">
      <c r="A3685" s="532"/>
      <c r="AR3685" s="2513"/>
      <c r="CT3685" s="531"/>
      <c r="EI3685" s="2689" t="s">
        <v>14004</v>
      </c>
    </row>
    <row r="3686" spans="1:139" ht="43.5">
      <c r="A3686" s="532"/>
      <c r="AR3686" s="2513"/>
      <c r="CT3686" s="531"/>
      <c r="EI3686" s="2689" t="s">
        <v>14005</v>
      </c>
    </row>
    <row r="3687" spans="1:139" ht="58">
      <c r="A3687" s="532"/>
      <c r="AR3687" s="2513"/>
      <c r="CT3687" s="531"/>
      <c r="EI3687" s="2689" t="s">
        <v>14006</v>
      </c>
    </row>
    <row r="3688" spans="1:139" ht="58">
      <c r="A3688" s="532"/>
      <c r="AR3688" s="2513"/>
      <c r="CT3688" s="531"/>
      <c r="EI3688" s="2689" t="s">
        <v>14007</v>
      </c>
    </row>
    <row r="3689" spans="1:139" ht="43.5">
      <c r="A3689" s="532"/>
      <c r="AR3689" s="2513"/>
      <c r="CT3689" s="531"/>
      <c r="EI3689" s="2689" t="s">
        <v>14008</v>
      </c>
    </row>
    <row r="3690" spans="1:139" ht="43.5">
      <c r="A3690" s="532"/>
      <c r="AR3690" s="2513"/>
      <c r="CT3690" s="531"/>
      <c r="EI3690" s="2689" t="s">
        <v>14009</v>
      </c>
    </row>
    <row r="3691" spans="1:139" ht="58">
      <c r="A3691" s="532"/>
      <c r="AR3691" s="2513"/>
      <c r="CT3691" s="531"/>
      <c r="EI3691" s="2689" t="s">
        <v>14010</v>
      </c>
    </row>
    <row r="3692" spans="1:139" ht="43.5">
      <c r="A3692" s="532"/>
      <c r="AR3692" s="2513"/>
      <c r="CT3692" s="531"/>
      <c r="EI3692" s="2689" t="s">
        <v>14011</v>
      </c>
    </row>
    <row r="3693" spans="1:139" ht="72.5">
      <c r="A3693" s="532"/>
      <c r="AR3693" s="2513"/>
      <c r="CT3693" s="531"/>
      <c r="EI3693" s="2689" t="s">
        <v>14012</v>
      </c>
    </row>
    <row r="3694" spans="1:139" ht="29">
      <c r="A3694" s="532"/>
      <c r="AR3694" s="2513"/>
      <c r="CT3694" s="531"/>
      <c r="EI3694" s="2689" t="s">
        <v>14013</v>
      </c>
    </row>
    <row r="3695" spans="1:139" ht="29">
      <c r="A3695" s="532"/>
      <c r="AR3695" s="2513"/>
      <c r="CT3695" s="531"/>
      <c r="EI3695" s="2689" t="s">
        <v>14014</v>
      </c>
    </row>
    <row r="3696" spans="1:139">
      <c r="A3696" s="532"/>
      <c r="AR3696" s="2513"/>
      <c r="CT3696" s="531"/>
      <c r="EI3696" s="2689" t="s">
        <v>14015</v>
      </c>
    </row>
    <row r="3697" spans="1:139" ht="29">
      <c r="A3697" s="532"/>
      <c r="AR3697" s="2513"/>
      <c r="CT3697" s="531"/>
      <c r="EI3697" s="2689" t="s">
        <v>14016</v>
      </c>
    </row>
    <row r="3698" spans="1:139" ht="29">
      <c r="A3698" s="532"/>
      <c r="AR3698" s="2513"/>
      <c r="CT3698" s="531"/>
      <c r="EI3698" s="2689" t="s">
        <v>14017</v>
      </c>
    </row>
    <row r="3699" spans="1:139" ht="29">
      <c r="A3699" s="532"/>
      <c r="AR3699" s="2513"/>
      <c r="CT3699" s="531"/>
      <c r="EI3699" s="2689" t="s">
        <v>14018</v>
      </c>
    </row>
    <row r="3700" spans="1:139" ht="87">
      <c r="A3700" s="532"/>
      <c r="AR3700" s="2513"/>
      <c r="CT3700" s="531"/>
      <c r="EI3700" s="2689" t="s">
        <v>14019</v>
      </c>
    </row>
    <row r="3701" spans="1:139" ht="43.5">
      <c r="A3701" s="532"/>
      <c r="AR3701" s="2513"/>
      <c r="CT3701" s="531"/>
      <c r="EI3701" s="2689" t="s">
        <v>14020</v>
      </c>
    </row>
    <row r="3702" spans="1:139" ht="43.5">
      <c r="A3702" s="532"/>
      <c r="AR3702" s="2513"/>
      <c r="CT3702" s="531"/>
      <c r="EI3702" s="2689" t="s">
        <v>14021</v>
      </c>
    </row>
    <row r="3703" spans="1:139" ht="43.5">
      <c r="A3703" s="532"/>
      <c r="AR3703" s="2513"/>
      <c r="CT3703" s="531"/>
      <c r="EI3703" s="2689" t="s">
        <v>14022</v>
      </c>
    </row>
    <row r="3704" spans="1:139" ht="29">
      <c r="A3704" s="532"/>
      <c r="AR3704" s="2513"/>
      <c r="CT3704" s="531"/>
      <c r="EI3704" s="2689" t="s">
        <v>14023</v>
      </c>
    </row>
    <row r="3705" spans="1:139">
      <c r="A3705" s="532"/>
      <c r="AR3705" s="2513"/>
      <c r="CT3705" s="531"/>
      <c r="EI3705" s="2689" t="s">
        <v>14024</v>
      </c>
    </row>
    <row r="3706" spans="1:139" ht="43.5">
      <c r="A3706" s="532"/>
      <c r="AR3706" s="2513"/>
      <c r="CT3706" s="531"/>
      <c r="EI3706" s="2689" t="s">
        <v>14025</v>
      </c>
    </row>
    <row r="3707" spans="1:139">
      <c r="A3707" s="532"/>
      <c r="AR3707" s="2513"/>
      <c r="CT3707" s="531"/>
      <c r="EI3707" s="2689" t="s">
        <v>14026</v>
      </c>
    </row>
    <row r="3708" spans="1:139">
      <c r="A3708" s="532"/>
      <c r="AR3708" s="2513"/>
      <c r="CT3708" s="531"/>
      <c r="EI3708" s="2689" t="s">
        <v>14027</v>
      </c>
    </row>
    <row r="3709" spans="1:139" ht="29">
      <c r="A3709" s="532"/>
      <c r="AR3709" s="2513"/>
      <c r="CT3709" s="531"/>
      <c r="EI3709" s="2689" t="s">
        <v>14028</v>
      </c>
    </row>
    <row r="3710" spans="1:139" ht="72.5">
      <c r="A3710" s="532"/>
      <c r="AR3710" s="2513"/>
      <c r="CT3710" s="531"/>
      <c r="EI3710" s="2689" t="s">
        <v>14029</v>
      </c>
    </row>
    <row r="3711" spans="1:139" ht="58">
      <c r="A3711" s="532"/>
      <c r="AR3711" s="2513"/>
      <c r="CT3711" s="531"/>
      <c r="EI3711" s="2689" t="s">
        <v>14030</v>
      </c>
    </row>
    <row r="3712" spans="1:139" ht="58">
      <c r="A3712" s="532"/>
      <c r="AR3712" s="2513"/>
      <c r="CT3712" s="531"/>
      <c r="EI3712" s="2689" t="s">
        <v>14031</v>
      </c>
    </row>
    <row r="3713" spans="1:139" ht="58">
      <c r="A3713" s="532"/>
      <c r="AR3713" s="2513"/>
      <c r="CT3713" s="531"/>
      <c r="EI3713" s="2689" t="s">
        <v>14032</v>
      </c>
    </row>
    <row r="3714" spans="1:139" ht="29">
      <c r="A3714" s="532"/>
      <c r="AR3714" s="2513"/>
      <c r="CT3714" s="531"/>
      <c r="EI3714" s="2689" t="s">
        <v>14033</v>
      </c>
    </row>
    <row r="3715" spans="1:139" ht="58">
      <c r="A3715" s="532"/>
      <c r="AR3715" s="2513"/>
      <c r="CT3715" s="531"/>
      <c r="EI3715" s="2689" t="s">
        <v>14034</v>
      </c>
    </row>
    <row r="3716" spans="1:139" ht="58">
      <c r="A3716" s="532"/>
      <c r="AR3716" s="2513"/>
      <c r="CT3716" s="531"/>
      <c r="EI3716" s="2689" t="s">
        <v>14035</v>
      </c>
    </row>
    <row r="3717" spans="1:139" ht="58">
      <c r="A3717" s="532"/>
      <c r="AR3717" s="2513"/>
      <c r="CT3717" s="531"/>
      <c r="EI3717" s="2689" t="s">
        <v>14036</v>
      </c>
    </row>
    <row r="3718" spans="1:139" ht="58">
      <c r="A3718" s="532"/>
      <c r="AR3718" s="2513"/>
      <c r="CT3718" s="531"/>
      <c r="EI3718" s="2689" t="s">
        <v>14037</v>
      </c>
    </row>
    <row r="3719" spans="1:139" ht="29">
      <c r="A3719" s="532"/>
      <c r="AR3719" s="2513"/>
      <c r="CT3719" s="531"/>
      <c r="EI3719" s="2689" t="s">
        <v>14038</v>
      </c>
    </row>
    <row r="3720" spans="1:139" ht="58">
      <c r="A3720" s="532"/>
      <c r="AR3720" s="2513"/>
      <c r="CT3720" s="531"/>
      <c r="EI3720" s="2689" t="s">
        <v>14039</v>
      </c>
    </row>
    <row r="3721" spans="1:139" ht="58">
      <c r="A3721" s="532"/>
      <c r="AR3721" s="2513"/>
      <c r="CT3721" s="531"/>
      <c r="EI3721" s="2689" t="s">
        <v>14040</v>
      </c>
    </row>
    <row r="3722" spans="1:139" ht="29">
      <c r="A3722" s="532"/>
      <c r="AR3722" s="2513"/>
      <c r="CT3722" s="531"/>
      <c r="EI3722" s="2689" t="s">
        <v>14041</v>
      </c>
    </row>
    <row r="3723" spans="1:139" ht="58">
      <c r="A3723" s="532"/>
      <c r="AR3723" s="2513"/>
      <c r="CT3723" s="531"/>
      <c r="EI3723" s="2689" t="s">
        <v>14042</v>
      </c>
    </row>
    <row r="3724" spans="1:139" ht="43.5">
      <c r="A3724" s="532"/>
      <c r="AR3724" s="2513"/>
      <c r="CT3724" s="531"/>
      <c r="EI3724" s="2689" t="s">
        <v>14043</v>
      </c>
    </row>
    <row r="3725" spans="1:139" ht="58">
      <c r="A3725" s="532"/>
      <c r="AR3725" s="2513"/>
      <c r="CT3725" s="531"/>
      <c r="EI3725" s="2689" t="s">
        <v>14044</v>
      </c>
    </row>
    <row r="3726" spans="1:139">
      <c r="A3726" s="532"/>
      <c r="AR3726" s="2513"/>
      <c r="CT3726" s="531"/>
      <c r="EI3726" s="2689" t="s">
        <v>14045</v>
      </c>
    </row>
    <row r="3727" spans="1:139" ht="29">
      <c r="A3727" s="532"/>
      <c r="AR3727" s="2513"/>
      <c r="CT3727" s="531"/>
      <c r="EI3727" s="2689" t="s">
        <v>14046</v>
      </c>
    </row>
    <row r="3728" spans="1:139">
      <c r="A3728" s="532"/>
      <c r="AR3728" s="2513"/>
      <c r="CT3728" s="531"/>
      <c r="EI3728" s="2689" t="s">
        <v>14047</v>
      </c>
    </row>
    <row r="3729" spans="1:139" ht="29">
      <c r="A3729" s="532"/>
      <c r="AR3729" s="2513"/>
      <c r="CT3729" s="531"/>
      <c r="EI3729" s="2689" t="s">
        <v>14048</v>
      </c>
    </row>
    <row r="3730" spans="1:139" ht="29">
      <c r="A3730" s="532"/>
      <c r="AR3730" s="2513"/>
      <c r="CT3730" s="531"/>
      <c r="EI3730" s="2689" t="s">
        <v>14049</v>
      </c>
    </row>
    <row r="3731" spans="1:139">
      <c r="A3731" s="532"/>
      <c r="AR3731" s="2513"/>
      <c r="CT3731" s="531"/>
      <c r="EI3731" s="2689" t="s">
        <v>14050</v>
      </c>
    </row>
    <row r="3732" spans="1:139" ht="58">
      <c r="A3732" s="532"/>
      <c r="AR3732" s="2513"/>
      <c r="CT3732" s="531"/>
      <c r="EI3732" s="2689" t="s">
        <v>14051</v>
      </c>
    </row>
    <row r="3733" spans="1:139" ht="29">
      <c r="A3733" s="532"/>
      <c r="AR3733" s="2513"/>
      <c r="CT3733" s="531"/>
      <c r="EI3733" s="2689" t="s">
        <v>14052</v>
      </c>
    </row>
    <row r="3734" spans="1:139" ht="58">
      <c r="A3734" s="532"/>
      <c r="AR3734" s="2513"/>
      <c r="CT3734" s="531"/>
      <c r="EI3734" s="2689" t="s">
        <v>14053</v>
      </c>
    </row>
    <row r="3735" spans="1:139" ht="29">
      <c r="A3735" s="532"/>
      <c r="AR3735" s="2513"/>
      <c r="CT3735" s="531"/>
      <c r="EI3735" s="2689" t="s">
        <v>14054</v>
      </c>
    </row>
    <row r="3736" spans="1:139" ht="43.5">
      <c r="A3736" s="532"/>
      <c r="AR3736" s="2513"/>
      <c r="CT3736" s="531"/>
      <c r="EI3736" s="2689" t="s">
        <v>14055</v>
      </c>
    </row>
    <row r="3737" spans="1:139" ht="29">
      <c r="A3737" s="532"/>
      <c r="AR3737" s="2513"/>
      <c r="CT3737" s="531"/>
      <c r="EI3737" s="2689" t="s">
        <v>14056</v>
      </c>
    </row>
    <row r="3738" spans="1:139" ht="43.5">
      <c r="A3738" s="532"/>
      <c r="AR3738" s="2513"/>
      <c r="CT3738" s="531"/>
      <c r="EI3738" s="2689" t="s">
        <v>14057</v>
      </c>
    </row>
    <row r="3739" spans="1:139" ht="29">
      <c r="A3739" s="532"/>
      <c r="AR3739" s="2513"/>
      <c r="CT3739" s="531"/>
      <c r="EI3739" s="2689" t="s">
        <v>14058</v>
      </c>
    </row>
    <row r="3740" spans="1:139">
      <c r="A3740" s="532"/>
      <c r="AR3740" s="2513"/>
      <c r="CT3740" s="531"/>
      <c r="EI3740" s="2689" t="s">
        <v>14059</v>
      </c>
    </row>
    <row r="3741" spans="1:139" ht="29">
      <c r="A3741" s="532"/>
      <c r="AR3741" s="2513"/>
      <c r="CT3741" s="531"/>
      <c r="EI3741" s="2689" t="s">
        <v>14060</v>
      </c>
    </row>
    <row r="3742" spans="1:139" ht="29">
      <c r="A3742" s="532"/>
      <c r="AR3742" s="2513"/>
      <c r="CT3742" s="531"/>
      <c r="EI3742" s="2689" t="s">
        <v>14061</v>
      </c>
    </row>
    <row r="3743" spans="1:139" ht="29">
      <c r="A3743" s="532"/>
      <c r="AR3743" s="2513"/>
      <c r="CT3743" s="531"/>
      <c r="EI3743" s="2689" t="s">
        <v>14062</v>
      </c>
    </row>
    <row r="3744" spans="1:139" ht="29">
      <c r="A3744" s="532"/>
      <c r="AR3744" s="2513"/>
      <c r="CT3744" s="531"/>
      <c r="EI3744" s="2689" t="s">
        <v>14063</v>
      </c>
    </row>
    <row r="3745" spans="1:139">
      <c r="A3745" s="532"/>
      <c r="AR3745" s="2513"/>
      <c r="CT3745" s="531"/>
      <c r="EI3745" s="2689" t="s">
        <v>14064</v>
      </c>
    </row>
    <row r="3746" spans="1:139" ht="29">
      <c r="A3746" s="532"/>
      <c r="AR3746" s="2513"/>
      <c r="CT3746" s="531"/>
      <c r="EI3746" s="2689" t="s">
        <v>14065</v>
      </c>
    </row>
    <row r="3747" spans="1:139" ht="29">
      <c r="A3747" s="532"/>
      <c r="AR3747" s="2513"/>
      <c r="CT3747" s="531"/>
      <c r="EI3747" s="2689" t="s">
        <v>14066</v>
      </c>
    </row>
    <row r="3748" spans="1:139">
      <c r="A3748" s="532"/>
      <c r="AR3748" s="2513"/>
      <c r="CT3748" s="531"/>
      <c r="EI3748" s="2689" t="s">
        <v>14067</v>
      </c>
    </row>
    <row r="3749" spans="1:139">
      <c r="A3749" s="532"/>
      <c r="AR3749" s="2513"/>
      <c r="CT3749" s="531"/>
      <c r="EI3749" s="2689" t="s">
        <v>14068</v>
      </c>
    </row>
    <row r="3750" spans="1:139" ht="29">
      <c r="A3750" s="532"/>
      <c r="AR3750" s="2513"/>
      <c r="CT3750" s="531"/>
      <c r="EI3750" s="2689" t="s">
        <v>14069</v>
      </c>
    </row>
    <row r="3751" spans="1:139">
      <c r="A3751" s="532"/>
      <c r="AR3751" s="2513"/>
      <c r="CT3751" s="531"/>
      <c r="EI3751" s="2689" t="s">
        <v>14070</v>
      </c>
    </row>
    <row r="3752" spans="1:139" ht="29">
      <c r="A3752" s="532"/>
      <c r="AR3752" s="2513"/>
      <c r="CT3752" s="531"/>
      <c r="EI3752" s="2689" t="s">
        <v>14071</v>
      </c>
    </row>
    <row r="3753" spans="1:139">
      <c r="A3753" s="532"/>
      <c r="AR3753" s="2513"/>
      <c r="CT3753" s="531"/>
      <c r="EI3753" s="2689" t="s">
        <v>14072</v>
      </c>
    </row>
    <row r="3754" spans="1:139" ht="29">
      <c r="A3754" s="532"/>
      <c r="AR3754" s="2513"/>
      <c r="CT3754" s="531"/>
      <c r="EI3754" s="2689" t="s">
        <v>14073</v>
      </c>
    </row>
    <row r="3755" spans="1:139">
      <c r="A3755" s="532"/>
      <c r="AR3755" s="2513"/>
      <c r="CT3755" s="531"/>
      <c r="EI3755" s="2689" t="s">
        <v>14074</v>
      </c>
    </row>
    <row r="3756" spans="1:139">
      <c r="A3756" s="532"/>
      <c r="AR3756" s="2513"/>
      <c r="CT3756" s="531"/>
      <c r="EI3756" s="2689" t="s">
        <v>14075</v>
      </c>
    </row>
    <row r="3757" spans="1:139">
      <c r="A3757" s="532"/>
      <c r="AR3757" s="2513"/>
      <c r="CT3757" s="531"/>
      <c r="EI3757" s="2689" t="s">
        <v>14076</v>
      </c>
    </row>
    <row r="3758" spans="1:139">
      <c r="A3758" s="532"/>
      <c r="AR3758" s="2513"/>
      <c r="CT3758" s="531"/>
      <c r="EI3758" s="2689" t="s">
        <v>14077</v>
      </c>
    </row>
    <row r="3759" spans="1:139">
      <c r="A3759" s="532"/>
      <c r="AR3759" s="2513"/>
      <c r="CT3759" s="531"/>
      <c r="EI3759" s="2689" t="s">
        <v>14078</v>
      </c>
    </row>
    <row r="3760" spans="1:139" ht="29">
      <c r="A3760" s="532"/>
      <c r="AR3760" s="2513"/>
      <c r="CT3760" s="531"/>
      <c r="EI3760" s="2689" t="s">
        <v>14079</v>
      </c>
    </row>
    <row r="3761" spans="1:139" ht="29">
      <c r="A3761" s="532"/>
      <c r="AR3761" s="2513"/>
      <c r="CT3761" s="531"/>
      <c r="EI3761" s="2689" t="s">
        <v>14080</v>
      </c>
    </row>
    <row r="3762" spans="1:139">
      <c r="A3762" s="532"/>
      <c r="AR3762" s="2513"/>
      <c r="CT3762" s="531"/>
      <c r="EI3762" s="2689" t="s">
        <v>14081</v>
      </c>
    </row>
    <row r="3763" spans="1:139">
      <c r="A3763" s="532"/>
      <c r="AR3763" s="2513"/>
      <c r="CT3763" s="531"/>
      <c r="EI3763" s="2689" t="s">
        <v>14082</v>
      </c>
    </row>
    <row r="3764" spans="1:139">
      <c r="A3764" s="532"/>
      <c r="AR3764" s="2513"/>
      <c r="CT3764" s="531"/>
      <c r="EI3764" s="2689" t="s">
        <v>14083</v>
      </c>
    </row>
    <row r="3765" spans="1:139">
      <c r="A3765" s="532"/>
      <c r="AR3765" s="2513"/>
      <c r="CT3765" s="531"/>
      <c r="EI3765" s="2689" t="s">
        <v>14084</v>
      </c>
    </row>
    <row r="3766" spans="1:139">
      <c r="A3766" s="532"/>
      <c r="AR3766" s="2513"/>
      <c r="CT3766" s="531"/>
      <c r="EI3766" s="2689" t="s">
        <v>14085</v>
      </c>
    </row>
    <row r="3767" spans="1:139">
      <c r="A3767" s="532"/>
      <c r="AR3767" s="2513"/>
      <c r="CT3767" s="531"/>
      <c r="EI3767" s="2689" t="s">
        <v>14086</v>
      </c>
    </row>
    <row r="3768" spans="1:139">
      <c r="A3768" s="532"/>
      <c r="AR3768" s="2513"/>
      <c r="CT3768" s="531"/>
      <c r="EI3768" s="2689" t="s">
        <v>14087</v>
      </c>
    </row>
    <row r="3769" spans="1:139" ht="29">
      <c r="A3769" s="532"/>
      <c r="AR3769" s="2513"/>
      <c r="CT3769" s="531"/>
      <c r="EI3769" s="2689" t="s">
        <v>14088</v>
      </c>
    </row>
    <row r="3770" spans="1:139" ht="29">
      <c r="A3770" s="532"/>
      <c r="AR3770" s="2513"/>
      <c r="CT3770" s="531"/>
      <c r="EI3770" s="2689" t="s">
        <v>14089</v>
      </c>
    </row>
    <row r="3771" spans="1:139" ht="29">
      <c r="A3771" s="532"/>
      <c r="AR3771" s="2513"/>
      <c r="CT3771" s="531"/>
      <c r="EI3771" s="2689" t="s">
        <v>14090</v>
      </c>
    </row>
    <row r="3772" spans="1:139">
      <c r="A3772" s="532"/>
      <c r="AR3772" s="2513"/>
      <c r="CT3772" s="531"/>
      <c r="EI3772" s="2689" t="s">
        <v>14091</v>
      </c>
    </row>
    <row r="3773" spans="1:139">
      <c r="A3773" s="532"/>
      <c r="AR3773" s="2513"/>
      <c r="CT3773" s="531"/>
      <c r="EI3773" s="2689" t="s">
        <v>14092</v>
      </c>
    </row>
    <row r="3774" spans="1:139">
      <c r="A3774" s="532"/>
      <c r="AR3774" s="2513"/>
      <c r="CT3774" s="531"/>
      <c r="EI3774" s="2689" t="s">
        <v>14093</v>
      </c>
    </row>
    <row r="3775" spans="1:139">
      <c r="A3775" s="532"/>
      <c r="AR3775" s="2513"/>
      <c r="CT3775" s="531"/>
      <c r="EI3775" s="2689" t="s">
        <v>14094</v>
      </c>
    </row>
    <row r="3776" spans="1:139">
      <c r="A3776" s="532"/>
      <c r="AR3776" s="2513"/>
      <c r="CT3776" s="531"/>
      <c r="EI3776" s="2689" t="s">
        <v>14095</v>
      </c>
    </row>
    <row r="3777" spans="1:139">
      <c r="A3777" s="532"/>
      <c r="AR3777" s="2513"/>
      <c r="CT3777" s="531"/>
      <c r="EI3777" s="2689" t="s">
        <v>14096</v>
      </c>
    </row>
    <row r="3778" spans="1:139">
      <c r="A3778" s="532"/>
      <c r="AR3778" s="2513"/>
      <c r="CT3778" s="531"/>
      <c r="EI3778" s="2689" t="s">
        <v>14097</v>
      </c>
    </row>
    <row r="3779" spans="1:139">
      <c r="A3779" s="532"/>
      <c r="AR3779" s="2513"/>
      <c r="CT3779" s="531"/>
      <c r="EI3779" s="2689" t="s">
        <v>14098</v>
      </c>
    </row>
    <row r="3780" spans="1:139">
      <c r="A3780" s="532"/>
      <c r="AR3780" s="2513"/>
      <c r="CT3780" s="531"/>
      <c r="EI3780" s="2689" t="s">
        <v>14099</v>
      </c>
    </row>
    <row r="3781" spans="1:139">
      <c r="A3781" s="532"/>
      <c r="AR3781" s="2513"/>
      <c r="CT3781" s="531"/>
      <c r="EI3781" s="2689" t="s">
        <v>14100</v>
      </c>
    </row>
    <row r="3782" spans="1:139">
      <c r="A3782" s="532"/>
      <c r="AR3782" s="2513"/>
      <c r="CT3782" s="531"/>
      <c r="EI3782" s="2689" t="s">
        <v>14101</v>
      </c>
    </row>
    <row r="3783" spans="1:139">
      <c r="A3783" s="532"/>
      <c r="AR3783" s="2513"/>
      <c r="CT3783" s="531"/>
      <c r="EI3783" s="2689" t="s">
        <v>14102</v>
      </c>
    </row>
    <row r="3784" spans="1:139">
      <c r="A3784" s="532"/>
      <c r="AR3784" s="2513"/>
      <c r="CT3784" s="531"/>
      <c r="EI3784" s="2689" t="s">
        <v>14103</v>
      </c>
    </row>
    <row r="3785" spans="1:139" ht="29">
      <c r="A3785" s="532"/>
      <c r="AR3785" s="2513"/>
      <c r="CT3785" s="531"/>
      <c r="EI3785" s="2689" t="s">
        <v>14104</v>
      </c>
    </row>
    <row r="3786" spans="1:139" ht="29">
      <c r="A3786" s="532"/>
      <c r="AR3786" s="2513"/>
      <c r="CT3786" s="531"/>
      <c r="EI3786" s="2689" t="s">
        <v>14105</v>
      </c>
    </row>
    <row r="3787" spans="1:139" ht="29">
      <c r="A3787" s="532"/>
      <c r="AR3787" s="2513"/>
      <c r="CT3787" s="531"/>
      <c r="EI3787" s="2689" t="s">
        <v>14106</v>
      </c>
    </row>
    <row r="3788" spans="1:139">
      <c r="A3788" s="532"/>
      <c r="AR3788" s="2513"/>
      <c r="CT3788" s="531"/>
      <c r="EI3788" s="2689" t="s">
        <v>14107</v>
      </c>
    </row>
    <row r="3789" spans="1:139">
      <c r="A3789" s="532"/>
      <c r="AR3789" s="2513"/>
      <c r="CT3789" s="531"/>
      <c r="EI3789" s="2689" t="s">
        <v>14108</v>
      </c>
    </row>
    <row r="3790" spans="1:139">
      <c r="A3790" s="532"/>
      <c r="AR3790" s="2513"/>
      <c r="CT3790" s="531"/>
      <c r="EI3790" s="2689" t="s">
        <v>14109</v>
      </c>
    </row>
    <row r="3791" spans="1:139">
      <c r="A3791" s="532"/>
      <c r="AR3791" s="2513"/>
      <c r="CT3791" s="531"/>
      <c r="EI3791" s="2689" t="s">
        <v>14110</v>
      </c>
    </row>
    <row r="3792" spans="1:139" ht="29">
      <c r="A3792" s="532"/>
      <c r="AR3792" s="2513"/>
      <c r="CT3792" s="531"/>
      <c r="EI3792" s="2689" t="s">
        <v>14111</v>
      </c>
    </row>
    <row r="3793" spans="1:139" ht="29">
      <c r="A3793" s="532"/>
      <c r="AR3793" s="2513"/>
      <c r="CT3793" s="531"/>
      <c r="EI3793" s="2689" t="s">
        <v>14112</v>
      </c>
    </row>
    <row r="3794" spans="1:139">
      <c r="A3794" s="532"/>
      <c r="AR3794" s="2513"/>
      <c r="CT3794" s="531"/>
      <c r="EI3794" s="2689" t="s">
        <v>14113</v>
      </c>
    </row>
    <row r="3795" spans="1:139">
      <c r="A3795" s="532"/>
      <c r="AR3795" s="2513"/>
      <c r="CT3795" s="531"/>
      <c r="EI3795" s="2689" t="s">
        <v>14114</v>
      </c>
    </row>
    <row r="3796" spans="1:139">
      <c r="A3796" s="532"/>
      <c r="AR3796" s="2513"/>
      <c r="CT3796" s="531"/>
      <c r="EI3796" s="2689" t="s">
        <v>14115</v>
      </c>
    </row>
    <row r="3797" spans="1:139">
      <c r="A3797" s="532"/>
      <c r="AR3797" s="2513"/>
      <c r="CT3797" s="531"/>
      <c r="EI3797" s="2689" t="s">
        <v>14116</v>
      </c>
    </row>
    <row r="3798" spans="1:139">
      <c r="A3798" s="532"/>
      <c r="AR3798" s="2513"/>
      <c r="CT3798" s="531"/>
      <c r="EI3798" s="2689" t="s">
        <v>14117</v>
      </c>
    </row>
    <row r="3799" spans="1:139">
      <c r="A3799" s="532"/>
      <c r="AR3799" s="2513"/>
      <c r="CT3799" s="531"/>
      <c r="EI3799" s="2689" t="s">
        <v>14118</v>
      </c>
    </row>
    <row r="3800" spans="1:139">
      <c r="A3800" s="532"/>
      <c r="AR3800" s="2513"/>
      <c r="CT3800" s="531"/>
      <c r="EI3800" s="2689" t="s">
        <v>14119</v>
      </c>
    </row>
    <row r="3801" spans="1:139">
      <c r="A3801" s="532"/>
      <c r="AR3801" s="2513"/>
      <c r="CT3801" s="531"/>
      <c r="EI3801" s="2689" t="s">
        <v>14120</v>
      </c>
    </row>
    <row r="3802" spans="1:139" ht="29">
      <c r="A3802" s="532"/>
      <c r="AR3802" s="2513"/>
      <c r="CT3802" s="531"/>
      <c r="EI3802" s="2689" t="s">
        <v>14121</v>
      </c>
    </row>
    <row r="3803" spans="1:139" ht="29">
      <c r="A3803" s="532"/>
      <c r="AR3803" s="2513"/>
      <c r="CT3803" s="531"/>
      <c r="EI3803" s="2689" t="s">
        <v>14122</v>
      </c>
    </row>
    <row r="3804" spans="1:139" ht="29">
      <c r="A3804" s="532"/>
      <c r="AR3804" s="2513"/>
      <c r="CT3804" s="531"/>
      <c r="EI3804" s="2689" t="s">
        <v>14123</v>
      </c>
    </row>
    <row r="3805" spans="1:139">
      <c r="A3805" s="532"/>
      <c r="AR3805" s="2513"/>
      <c r="CT3805" s="531"/>
      <c r="EI3805" s="2689" t="s">
        <v>14124</v>
      </c>
    </row>
    <row r="3806" spans="1:139">
      <c r="A3806" s="532"/>
      <c r="AR3806" s="2513"/>
      <c r="CT3806" s="531"/>
      <c r="EI3806" s="2689" t="s">
        <v>14125</v>
      </c>
    </row>
    <row r="3807" spans="1:139">
      <c r="A3807" s="532"/>
      <c r="AR3807" s="2513"/>
      <c r="CT3807" s="531"/>
      <c r="EI3807" s="2689" t="s">
        <v>14126</v>
      </c>
    </row>
    <row r="3808" spans="1:139" ht="29">
      <c r="A3808" s="532"/>
      <c r="AR3808" s="2513"/>
      <c r="CT3808" s="531"/>
      <c r="EI3808" s="2689" t="s">
        <v>14127</v>
      </c>
    </row>
    <row r="3809" spans="1:139" ht="29">
      <c r="A3809" s="532"/>
      <c r="AR3809" s="2513"/>
      <c r="CT3809" s="531"/>
      <c r="EI3809" s="2689" t="s">
        <v>14128</v>
      </c>
    </row>
    <row r="3810" spans="1:139" ht="29">
      <c r="A3810" s="532"/>
      <c r="AR3810" s="2513"/>
      <c r="CT3810" s="531"/>
      <c r="EI3810" s="2689" t="s">
        <v>14129</v>
      </c>
    </row>
    <row r="3811" spans="1:139" ht="29">
      <c r="A3811" s="532"/>
      <c r="AR3811" s="2513"/>
      <c r="CT3811" s="531"/>
      <c r="EI3811" s="2689" t="s">
        <v>14130</v>
      </c>
    </row>
    <row r="3812" spans="1:139" ht="29">
      <c r="A3812" s="532"/>
      <c r="AR3812" s="2513"/>
      <c r="CT3812" s="531"/>
      <c r="EI3812" s="2689" t="s">
        <v>14131</v>
      </c>
    </row>
    <row r="3813" spans="1:139" ht="29">
      <c r="A3813" s="532"/>
      <c r="AR3813" s="2513"/>
      <c r="CT3813" s="531"/>
      <c r="EI3813" s="2689" t="s">
        <v>14132</v>
      </c>
    </row>
    <row r="3814" spans="1:139" ht="29">
      <c r="A3814" s="532"/>
      <c r="AR3814" s="2513"/>
      <c r="CT3814" s="531"/>
      <c r="EI3814" s="2689" t="s">
        <v>14133</v>
      </c>
    </row>
    <row r="3815" spans="1:139" ht="29">
      <c r="A3815" s="532"/>
      <c r="AR3815" s="2513"/>
      <c r="CT3815" s="531"/>
      <c r="EI3815" s="2689" t="s">
        <v>14134</v>
      </c>
    </row>
    <row r="3816" spans="1:139" ht="29">
      <c r="A3816" s="532"/>
      <c r="AR3816" s="2513"/>
      <c r="CT3816" s="531"/>
      <c r="EI3816" s="2689" t="s">
        <v>14135</v>
      </c>
    </row>
    <row r="3817" spans="1:139" ht="29">
      <c r="A3817" s="532"/>
      <c r="AR3817" s="2513"/>
      <c r="CT3817" s="531"/>
      <c r="EI3817" s="2689" t="s">
        <v>14136</v>
      </c>
    </row>
    <row r="3818" spans="1:139" ht="29">
      <c r="A3818" s="532"/>
      <c r="AR3818" s="2513"/>
      <c r="CT3818" s="531"/>
      <c r="EI3818" s="2689" t="s">
        <v>14137</v>
      </c>
    </row>
    <row r="3819" spans="1:139" ht="29">
      <c r="A3819" s="532"/>
      <c r="AR3819" s="2513"/>
      <c r="CT3819" s="531"/>
      <c r="EI3819" s="2689" t="s">
        <v>14138</v>
      </c>
    </row>
    <row r="3820" spans="1:139" ht="29">
      <c r="A3820" s="532"/>
      <c r="AR3820" s="2513"/>
      <c r="CT3820" s="531"/>
      <c r="EI3820" s="2689" t="s">
        <v>14139</v>
      </c>
    </row>
    <row r="3821" spans="1:139" ht="29">
      <c r="A3821" s="532"/>
      <c r="AR3821" s="2513"/>
      <c r="CT3821" s="531"/>
      <c r="EI3821" s="2689" t="s">
        <v>14140</v>
      </c>
    </row>
    <row r="3822" spans="1:139" ht="29">
      <c r="A3822" s="532"/>
      <c r="AR3822" s="2513"/>
      <c r="CT3822" s="531"/>
      <c r="EI3822" s="2689" t="s">
        <v>14141</v>
      </c>
    </row>
    <row r="3823" spans="1:139" ht="29">
      <c r="A3823" s="532"/>
      <c r="AR3823" s="2513"/>
      <c r="CT3823" s="531"/>
      <c r="EI3823" s="2689" t="s">
        <v>14142</v>
      </c>
    </row>
    <row r="3824" spans="1:139" ht="29">
      <c r="A3824" s="532"/>
      <c r="AR3824" s="2513"/>
      <c r="CT3824" s="531"/>
      <c r="EI3824" s="2689" t="s">
        <v>14143</v>
      </c>
    </row>
    <row r="3825" spans="1:139" ht="29">
      <c r="A3825" s="532"/>
      <c r="AR3825" s="2513"/>
      <c r="CT3825" s="531"/>
      <c r="EI3825" s="2689" t="s">
        <v>14144</v>
      </c>
    </row>
    <row r="3826" spans="1:139" ht="29">
      <c r="A3826" s="532"/>
      <c r="AR3826" s="2513"/>
      <c r="CT3826" s="531"/>
      <c r="EI3826" s="2689" t="s">
        <v>14145</v>
      </c>
    </row>
    <row r="3827" spans="1:139" ht="29">
      <c r="A3827" s="532"/>
      <c r="AR3827" s="2513"/>
      <c r="CT3827" s="531"/>
      <c r="EI3827" s="2689" t="s">
        <v>14146</v>
      </c>
    </row>
    <row r="3828" spans="1:139">
      <c r="A3828" s="532"/>
      <c r="AR3828" s="2513"/>
      <c r="CT3828" s="531"/>
      <c r="EI3828" s="2689" t="s">
        <v>14147</v>
      </c>
    </row>
    <row r="3829" spans="1:139" ht="29">
      <c r="A3829" s="532"/>
      <c r="AR3829" s="2513"/>
      <c r="CT3829" s="531"/>
      <c r="EI3829" s="2689" t="s">
        <v>14148</v>
      </c>
    </row>
    <row r="3830" spans="1:139" ht="29">
      <c r="A3830" s="532"/>
      <c r="AR3830" s="2513"/>
      <c r="CT3830" s="531"/>
      <c r="EI3830" s="2689" t="s">
        <v>14149</v>
      </c>
    </row>
    <row r="3831" spans="1:139" ht="29">
      <c r="A3831" s="532"/>
      <c r="AR3831" s="2513"/>
      <c r="CT3831" s="531"/>
      <c r="EI3831" s="2689" t="s">
        <v>14150</v>
      </c>
    </row>
    <row r="3832" spans="1:139" ht="29">
      <c r="A3832" s="532"/>
      <c r="AR3832" s="2513"/>
      <c r="CT3832" s="531"/>
      <c r="EI3832" s="2689" t="s">
        <v>14151</v>
      </c>
    </row>
    <row r="3833" spans="1:139">
      <c r="A3833" s="532"/>
      <c r="AR3833" s="2513"/>
      <c r="CT3833" s="531"/>
      <c r="EI3833" s="2689" t="s">
        <v>14152</v>
      </c>
    </row>
    <row r="3834" spans="1:139">
      <c r="A3834" s="532"/>
      <c r="AR3834" s="2513"/>
      <c r="CT3834" s="531"/>
      <c r="EI3834" s="2689" t="s">
        <v>14153</v>
      </c>
    </row>
    <row r="3835" spans="1:139">
      <c r="A3835" s="532"/>
      <c r="AR3835" s="2513"/>
      <c r="CT3835" s="531"/>
      <c r="EI3835" s="2689" t="s">
        <v>14154</v>
      </c>
    </row>
    <row r="3836" spans="1:139">
      <c r="A3836" s="532"/>
      <c r="AR3836" s="2513"/>
      <c r="CT3836" s="531"/>
      <c r="EI3836" s="2689" t="s">
        <v>14155</v>
      </c>
    </row>
    <row r="3837" spans="1:139" ht="29">
      <c r="A3837" s="532"/>
      <c r="AR3837" s="2513"/>
      <c r="CT3837" s="531"/>
      <c r="EI3837" s="2689" t="s">
        <v>14156</v>
      </c>
    </row>
    <row r="3838" spans="1:139" ht="29">
      <c r="A3838" s="532"/>
      <c r="AR3838" s="2513"/>
      <c r="CT3838" s="531"/>
      <c r="EI3838" s="2689" t="s">
        <v>14157</v>
      </c>
    </row>
    <row r="3839" spans="1:139" ht="29">
      <c r="A3839" s="532"/>
      <c r="AR3839" s="2513"/>
      <c r="CT3839" s="531"/>
      <c r="EI3839" s="2689" t="s">
        <v>14158</v>
      </c>
    </row>
    <row r="3840" spans="1:139" ht="29">
      <c r="A3840" s="532"/>
      <c r="AR3840" s="2513"/>
      <c r="CT3840" s="531"/>
      <c r="EI3840" s="2689" t="s">
        <v>14159</v>
      </c>
    </row>
    <row r="3841" spans="1:139" ht="29">
      <c r="A3841" s="532"/>
      <c r="AR3841" s="2513"/>
      <c r="CT3841" s="531"/>
      <c r="EI3841" s="2689" t="s">
        <v>14160</v>
      </c>
    </row>
    <row r="3842" spans="1:139" ht="29">
      <c r="A3842" s="532"/>
      <c r="AR3842" s="2513"/>
      <c r="CT3842" s="531"/>
      <c r="EI3842" s="2689" t="s">
        <v>14161</v>
      </c>
    </row>
    <row r="3843" spans="1:139" ht="29">
      <c r="A3843" s="532"/>
      <c r="AR3843" s="2513"/>
      <c r="CT3843" s="531"/>
      <c r="EI3843" s="2689" t="s">
        <v>14162</v>
      </c>
    </row>
    <row r="3844" spans="1:139" ht="29">
      <c r="A3844" s="532"/>
      <c r="AR3844" s="2513"/>
      <c r="CT3844" s="531"/>
      <c r="EI3844" s="2689" t="s">
        <v>14163</v>
      </c>
    </row>
    <row r="3845" spans="1:139" ht="29">
      <c r="A3845" s="532"/>
      <c r="AR3845" s="2513"/>
      <c r="CT3845" s="531"/>
      <c r="EI3845" s="2689" t="s">
        <v>14164</v>
      </c>
    </row>
    <row r="3846" spans="1:139" ht="29">
      <c r="A3846" s="532"/>
      <c r="AR3846" s="2513"/>
      <c r="CT3846" s="531"/>
      <c r="EI3846" s="2689" t="s">
        <v>14165</v>
      </c>
    </row>
    <row r="3847" spans="1:139" ht="29">
      <c r="A3847" s="532"/>
      <c r="AR3847" s="2513"/>
      <c r="CT3847" s="531"/>
      <c r="EI3847" s="2689" t="s">
        <v>14166</v>
      </c>
    </row>
    <row r="3848" spans="1:139" ht="29">
      <c r="A3848" s="532"/>
      <c r="AR3848" s="2513"/>
      <c r="CT3848" s="531"/>
      <c r="EI3848" s="2689" t="s">
        <v>14167</v>
      </c>
    </row>
    <row r="3849" spans="1:139" ht="29">
      <c r="A3849" s="532"/>
      <c r="AR3849" s="2513"/>
      <c r="CT3849" s="531"/>
      <c r="EI3849" s="2689" t="s">
        <v>14168</v>
      </c>
    </row>
    <row r="3850" spans="1:139" ht="29">
      <c r="A3850" s="532"/>
      <c r="AR3850" s="2513"/>
      <c r="CT3850" s="531"/>
      <c r="EI3850" s="2689" t="s">
        <v>14169</v>
      </c>
    </row>
    <row r="3851" spans="1:139">
      <c r="A3851" s="532"/>
      <c r="AR3851" s="2513"/>
      <c r="CT3851" s="531"/>
      <c r="EI3851" s="2689" t="s">
        <v>14170</v>
      </c>
    </row>
    <row r="3852" spans="1:139">
      <c r="A3852" s="532"/>
      <c r="AR3852" s="2513"/>
      <c r="CT3852" s="531"/>
      <c r="EI3852" s="2689" t="s">
        <v>14171</v>
      </c>
    </row>
    <row r="3853" spans="1:139" ht="29">
      <c r="A3853" s="532"/>
      <c r="AR3853" s="2513"/>
      <c r="CT3853" s="531"/>
      <c r="EI3853" s="2689" t="s">
        <v>14172</v>
      </c>
    </row>
    <row r="3854" spans="1:139" ht="29">
      <c r="A3854" s="532"/>
      <c r="AR3854" s="2513"/>
      <c r="CT3854" s="531"/>
      <c r="EI3854" s="2689" t="s">
        <v>14173</v>
      </c>
    </row>
    <row r="3855" spans="1:139" ht="29">
      <c r="A3855" s="532"/>
      <c r="AR3855" s="2513"/>
      <c r="CT3855" s="531"/>
      <c r="EI3855" s="2689" t="s">
        <v>14174</v>
      </c>
    </row>
    <row r="3856" spans="1:139" ht="29">
      <c r="A3856" s="532"/>
      <c r="AR3856" s="2513"/>
      <c r="CT3856" s="531"/>
      <c r="EI3856" s="2689" t="s">
        <v>14175</v>
      </c>
    </row>
    <row r="3857" spans="1:139" ht="29">
      <c r="A3857" s="532"/>
      <c r="AR3857" s="2513"/>
      <c r="CT3857" s="531"/>
      <c r="EI3857" s="2689" t="s">
        <v>14176</v>
      </c>
    </row>
    <row r="3858" spans="1:139" ht="29">
      <c r="A3858" s="532"/>
      <c r="AR3858" s="2513"/>
      <c r="CT3858" s="531"/>
      <c r="EI3858" s="2689" t="s">
        <v>14177</v>
      </c>
    </row>
    <row r="3859" spans="1:139" ht="29">
      <c r="A3859" s="532"/>
      <c r="AR3859" s="2513"/>
      <c r="CT3859" s="531"/>
      <c r="EI3859" s="2689" t="s">
        <v>14178</v>
      </c>
    </row>
    <row r="3860" spans="1:139" ht="29">
      <c r="A3860" s="532"/>
      <c r="AR3860" s="2513"/>
      <c r="CT3860" s="531"/>
      <c r="EI3860" s="2689" t="s">
        <v>14179</v>
      </c>
    </row>
    <row r="3861" spans="1:139">
      <c r="A3861" s="532"/>
      <c r="AR3861" s="2513"/>
      <c r="CT3861" s="531"/>
      <c r="EI3861" s="2689" t="s">
        <v>14180</v>
      </c>
    </row>
    <row r="3862" spans="1:139" ht="29">
      <c r="A3862" s="532"/>
      <c r="AR3862" s="2513"/>
      <c r="CT3862" s="531"/>
      <c r="EI3862" s="2689" t="s">
        <v>14181</v>
      </c>
    </row>
    <row r="3863" spans="1:139" ht="29">
      <c r="A3863" s="532"/>
      <c r="AR3863" s="2513"/>
      <c r="CT3863" s="531"/>
      <c r="EI3863" s="2689" t="s">
        <v>14182</v>
      </c>
    </row>
    <row r="3864" spans="1:139" ht="29">
      <c r="A3864" s="532"/>
      <c r="AR3864" s="2513"/>
      <c r="CT3864" s="531"/>
      <c r="EI3864" s="2689" t="s">
        <v>14183</v>
      </c>
    </row>
    <row r="3865" spans="1:139" ht="29">
      <c r="A3865" s="532"/>
      <c r="AR3865" s="2513"/>
      <c r="CT3865" s="531"/>
      <c r="EI3865" s="2689" t="s">
        <v>14184</v>
      </c>
    </row>
    <row r="3866" spans="1:139" ht="29">
      <c r="A3866" s="532"/>
      <c r="AR3866" s="2513"/>
      <c r="CT3866" s="531"/>
      <c r="EI3866" s="2689" t="s">
        <v>14185</v>
      </c>
    </row>
    <row r="3867" spans="1:139" ht="29">
      <c r="A3867" s="532"/>
      <c r="AR3867" s="2513"/>
      <c r="CT3867" s="531"/>
      <c r="EI3867" s="2689" t="s">
        <v>14186</v>
      </c>
    </row>
    <row r="3868" spans="1:139" ht="29">
      <c r="A3868" s="532"/>
      <c r="AR3868" s="2513"/>
      <c r="CT3868" s="531"/>
      <c r="EI3868" s="2689" t="s">
        <v>14187</v>
      </c>
    </row>
    <row r="3869" spans="1:139" ht="29">
      <c r="A3869" s="532"/>
      <c r="AR3869" s="2513"/>
      <c r="CT3869" s="531"/>
      <c r="EI3869" s="2689" t="s">
        <v>14188</v>
      </c>
    </row>
    <row r="3870" spans="1:139" ht="29">
      <c r="A3870" s="532"/>
      <c r="AR3870" s="2513"/>
      <c r="CT3870" s="531"/>
      <c r="EI3870" s="2689" t="s">
        <v>14189</v>
      </c>
    </row>
    <row r="3871" spans="1:139" ht="29">
      <c r="A3871" s="532"/>
      <c r="AR3871" s="2513"/>
      <c r="CT3871" s="531"/>
      <c r="EI3871" s="2689" t="s">
        <v>14190</v>
      </c>
    </row>
    <row r="3872" spans="1:139" ht="29">
      <c r="A3872" s="532"/>
      <c r="AR3872" s="2513"/>
      <c r="CT3872" s="531"/>
      <c r="EI3872" s="2689" t="s">
        <v>14191</v>
      </c>
    </row>
    <row r="3873" spans="1:139" ht="29">
      <c r="A3873" s="532"/>
      <c r="AR3873" s="2513"/>
      <c r="CT3873" s="531"/>
      <c r="EI3873" s="2689" t="s">
        <v>14192</v>
      </c>
    </row>
    <row r="3874" spans="1:139" ht="29">
      <c r="A3874" s="532"/>
      <c r="AR3874" s="2513"/>
      <c r="CT3874" s="531"/>
      <c r="EI3874" s="2689" t="s">
        <v>14193</v>
      </c>
    </row>
    <row r="3875" spans="1:139" ht="29">
      <c r="A3875" s="532"/>
      <c r="AR3875" s="2513"/>
      <c r="CT3875" s="531"/>
      <c r="EI3875" s="2689" t="s">
        <v>14194</v>
      </c>
    </row>
    <row r="3876" spans="1:139" ht="29">
      <c r="A3876" s="532"/>
      <c r="AR3876" s="2513"/>
      <c r="CT3876" s="531"/>
      <c r="EI3876" s="2689" t="s">
        <v>14195</v>
      </c>
    </row>
    <row r="3877" spans="1:139" ht="29">
      <c r="A3877" s="532"/>
      <c r="AR3877" s="2513"/>
      <c r="CT3877" s="531"/>
      <c r="EI3877" s="2689" t="s">
        <v>14196</v>
      </c>
    </row>
    <row r="3878" spans="1:139" ht="29">
      <c r="A3878" s="532"/>
      <c r="AR3878" s="2513"/>
      <c r="CT3878" s="531"/>
      <c r="EI3878" s="2689" t="s">
        <v>14197</v>
      </c>
    </row>
    <row r="3879" spans="1:139" ht="29">
      <c r="A3879" s="532"/>
      <c r="AR3879" s="2513"/>
      <c r="CT3879" s="531"/>
      <c r="EI3879" s="2689" t="s">
        <v>14198</v>
      </c>
    </row>
    <row r="3880" spans="1:139" ht="29">
      <c r="A3880" s="532"/>
      <c r="AR3880" s="2513"/>
      <c r="CT3880" s="531"/>
      <c r="EI3880" s="2689" t="s">
        <v>14199</v>
      </c>
    </row>
    <row r="3881" spans="1:139" ht="29">
      <c r="A3881" s="532"/>
      <c r="AR3881" s="2513"/>
      <c r="CT3881" s="531"/>
      <c r="EI3881" s="2689" t="s">
        <v>14200</v>
      </c>
    </row>
    <row r="3882" spans="1:139" ht="29">
      <c r="A3882" s="532"/>
      <c r="AR3882" s="2513"/>
      <c r="CT3882" s="531"/>
      <c r="EI3882" s="2689" t="s">
        <v>14201</v>
      </c>
    </row>
    <row r="3883" spans="1:139" ht="29">
      <c r="A3883" s="532"/>
      <c r="AR3883" s="2513"/>
      <c r="CT3883" s="531"/>
      <c r="EI3883" s="2689" t="s">
        <v>14202</v>
      </c>
    </row>
    <row r="3884" spans="1:139" ht="29">
      <c r="A3884" s="532"/>
      <c r="AR3884" s="2513"/>
      <c r="CT3884" s="531"/>
      <c r="EI3884" s="2689" t="s">
        <v>14203</v>
      </c>
    </row>
    <row r="3885" spans="1:139" ht="29">
      <c r="A3885" s="532"/>
      <c r="AR3885" s="2513"/>
      <c r="CT3885" s="531"/>
      <c r="EI3885" s="2689" t="s">
        <v>14204</v>
      </c>
    </row>
    <row r="3886" spans="1:139">
      <c r="A3886" s="532"/>
      <c r="AR3886" s="2513"/>
      <c r="CT3886" s="531"/>
      <c r="EI3886" s="2689" t="s">
        <v>14205</v>
      </c>
    </row>
    <row r="3887" spans="1:139">
      <c r="A3887" s="532"/>
      <c r="AR3887" s="2513"/>
      <c r="CT3887" s="531"/>
      <c r="EI3887" s="2689" t="s">
        <v>14206</v>
      </c>
    </row>
    <row r="3888" spans="1:139">
      <c r="A3888" s="532"/>
      <c r="AR3888" s="2513"/>
      <c r="CT3888" s="531"/>
      <c r="EI3888" s="2689" t="s">
        <v>14207</v>
      </c>
    </row>
    <row r="3889" spans="1:139" ht="29">
      <c r="A3889" s="532"/>
      <c r="AR3889" s="2513"/>
      <c r="CT3889" s="531"/>
      <c r="EI3889" s="2689" t="s">
        <v>14208</v>
      </c>
    </row>
    <row r="3890" spans="1:139" ht="29">
      <c r="A3890" s="532"/>
      <c r="AR3890" s="2513"/>
      <c r="CT3890" s="531"/>
      <c r="EI3890" s="2689" t="s">
        <v>14209</v>
      </c>
    </row>
    <row r="3891" spans="1:139">
      <c r="A3891" s="532"/>
      <c r="AR3891" s="2513"/>
      <c r="CT3891" s="531"/>
    </row>
    <row r="3892" spans="1:139">
      <c r="A3892" s="532"/>
      <c r="AR3892" s="2513"/>
      <c r="CT3892" s="531"/>
    </row>
    <row r="3893" spans="1:139">
      <c r="A3893" s="532"/>
      <c r="AR3893" s="2513"/>
      <c r="CT3893" s="531"/>
    </row>
    <row r="3894" spans="1:139">
      <c r="A3894" s="532"/>
      <c r="AR3894" s="2513"/>
      <c r="CT3894" s="531"/>
    </row>
    <row r="3895" spans="1:139">
      <c r="A3895" s="532"/>
      <c r="AR3895" s="2513"/>
      <c r="CT3895" s="531"/>
    </row>
    <row r="3896" spans="1:139">
      <c r="A3896" s="532"/>
      <c r="AR3896" s="2513"/>
      <c r="CT3896" s="531"/>
    </row>
    <row r="3897" spans="1:139">
      <c r="A3897" s="532"/>
      <c r="AR3897" s="2513"/>
      <c r="CT3897" s="531"/>
    </row>
    <row r="3898" spans="1:139">
      <c r="A3898" s="532"/>
      <c r="AR3898" s="2513"/>
      <c r="CT3898" s="531"/>
    </row>
    <row r="3899" spans="1:139">
      <c r="A3899" s="532"/>
      <c r="AR3899" s="2513"/>
      <c r="CT3899" s="531"/>
    </row>
    <row r="3900" spans="1:139">
      <c r="A3900" s="532"/>
      <c r="AR3900" s="2513"/>
      <c r="CT3900" s="531"/>
    </row>
    <row r="3901" spans="1:139">
      <c r="A3901" s="532"/>
      <c r="AR3901" s="2513"/>
      <c r="CT3901" s="531"/>
    </row>
    <row r="3902" spans="1:139">
      <c r="A3902" s="532"/>
      <c r="AR3902" s="2513"/>
      <c r="CT3902" s="531"/>
    </row>
    <row r="3903" spans="1:139">
      <c r="A3903" s="532"/>
      <c r="AR3903" s="2513"/>
      <c r="CT3903" s="531"/>
    </row>
    <row r="3904" spans="1:139">
      <c r="A3904" s="532"/>
      <c r="AR3904" s="2513"/>
      <c r="CT3904" s="531"/>
    </row>
    <row r="3905" spans="1:98">
      <c r="A3905" s="532"/>
      <c r="AR3905" s="2513"/>
      <c r="CT3905" s="531"/>
    </row>
    <row r="3906" spans="1:98">
      <c r="A3906" s="532"/>
      <c r="AR3906" s="2513"/>
      <c r="CT3906" s="531"/>
    </row>
    <row r="3907" spans="1:98">
      <c r="A3907" s="532"/>
      <c r="AR3907" s="2513"/>
      <c r="CT3907" s="531"/>
    </row>
    <row r="3908" spans="1:98">
      <c r="A3908" s="532"/>
      <c r="AR3908" s="2513"/>
      <c r="CT3908" s="531"/>
    </row>
    <row r="3909" spans="1:98">
      <c r="A3909" s="532"/>
      <c r="AR3909" s="2513"/>
      <c r="CT3909" s="531"/>
    </row>
    <row r="3910" spans="1:98">
      <c r="A3910" s="532"/>
      <c r="AR3910" s="2513"/>
      <c r="CT3910" s="531"/>
    </row>
    <row r="3911" spans="1:98">
      <c r="A3911" s="532"/>
      <c r="AR3911" s="2513"/>
      <c r="CT3911" s="531"/>
    </row>
    <row r="3912" spans="1:98">
      <c r="A3912" s="532"/>
      <c r="AR3912" s="2513"/>
      <c r="CT3912" s="531"/>
    </row>
    <row r="3913" spans="1:98">
      <c r="A3913" s="532"/>
      <c r="AR3913" s="2513"/>
      <c r="CT3913" s="531"/>
    </row>
    <row r="3914" spans="1:98">
      <c r="A3914" s="532"/>
      <c r="AR3914" s="2513"/>
      <c r="CT3914" s="531"/>
    </row>
    <row r="3915" spans="1:98">
      <c r="A3915" s="532"/>
      <c r="AR3915" s="2513"/>
      <c r="CT3915" s="531"/>
    </row>
    <row r="3916" spans="1:98">
      <c r="A3916" s="532"/>
      <c r="AR3916" s="2513"/>
      <c r="CT3916" s="531"/>
    </row>
    <row r="3917" spans="1:98">
      <c r="A3917" s="532"/>
      <c r="AR3917" s="2513"/>
      <c r="CT3917" s="531"/>
    </row>
    <row r="3918" spans="1:98">
      <c r="A3918" s="532"/>
      <c r="AR3918" s="2513"/>
      <c r="CT3918" s="531"/>
    </row>
    <row r="3919" spans="1:98">
      <c r="A3919" s="532"/>
      <c r="AR3919" s="2513"/>
      <c r="CT3919" s="531"/>
    </row>
    <row r="3920" spans="1:98">
      <c r="A3920" s="532"/>
      <c r="AR3920" s="2513"/>
      <c r="CT3920" s="531"/>
    </row>
    <row r="3921" spans="1:98">
      <c r="A3921" s="532"/>
      <c r="AR3921" s="2513"/>
      <c r="CT3921" s="531"/>
    </row>
    <row r="3922" spans="1:98">
      <c r="A3922" s="532"/>
      <c r="AR3922" s="2513"/>
      <c r="CT3922" s="531"/>
    </row>
    <row r="3923" spans="1:98">
      <c r="A3923" s="532"/>
      <c r="AR3923" s="2513"/>
      <c r="CT3923" s="531"/>
    </row>
    <row r="3924" spans="1:98">
      <c r="A3924" s="532"/>
      <c r="AR3924" s="2513"/>
      <c r="CT3924" s="531"/>
    </row>
    <row r="3925" spans="1:98">
      <c r="A3925" s="532"/>
      <c r="AR3925" s="2513"/>
      <c r="CT3925" s="531"/>
    </row>
    <row r="3926" spans="1:98">
      <c r="A3926" s="532"/>
      <c r="AR3926" s="2513"/>
      <c r="CT3926" s="531"/>
    </row>
    <row r="3927" spans="1:98">
      <c r="A3927" s="532"/>
      <c r="AR3927" s="2513"/>
      <c r="CT3927" s="531"/>
    </row>
    <row r="3928" spans="1:98">
      <c r="A3928" s="532"/>
      <c r="AR3928" s="2513"/>
      <c r="CT3928" s="531"/>
    </row>
    <row r="3929" spans="1:98">
      <c r="A3929" s="532"/>
      <c r="AR3929" s="2513"/>
      <c r="CT3929" s="531"/>
    </row>
    <row r="3930" spans="1:98">
      <c r="A3930" s="532"/>
      <c r="AR3930" s="2513"/>
      <c r="CT3930" s="531"/>
    </row>
    <row r="3931" spans="1:98">
      <c r="A3931" s="532"/>
      <c r="AR3931" s="2513"/>
      <c r="CT3931" s="531"/>
    </row>
    <row r="3932" spans="1:98">
      <c r="A3932" s="532"/>
      <c r="AR3932" s="2513"/>
      <c r="CT3932" s="531"/>
    </row>
    <row r="3933" spans="1:98">
      <c r="A3933" s="532"/>
      <c r="AR3933" s="2513"/>
      <c r="CT3933" s="531"/>
    </row>
    <row r="3934" spans="1:98">
      <c r="A3934" s="532"/>
      <c r="AR3934" s="2513"/>
      <c r="CT3934" s="531"/>
    </row>
    <row r="3935" spans="1:98">
      <c r="A3935" s="532"/>
      <c r="AR3935" s="2513"/>
      <c r="CT3935" s="531"/>
    </row>
    <row r="3936" spans="1:98">
      <c r="A3936" s="532"/>
      <c r="AR3936" s="2513"/>
      <c r="CT3936" s="531"/>
    </row>
    <row r="3937" spans="1:98">
      <c r="A3937" s="532"/>
      <c r="AR3937" s="2513"/>
      <c r="CT3937" s="531"/>
    </row>
    <row r="3938" spans="1:98">
      <c r="A3938" s="532"/>
      <c r="AR3938" s="2513"/>
      <c r="CT3938" s="531"/>
    </row>
    <row r="3939" spans="1:98">
      <c r="A3939" s="532"/>
      <c r="AR3939" s="2513"/>
      <c r="CT3939" s="531"/>
    </row>
    <row r="3940" spans="1:98">
      <c r="A3940" s="532"/>
      <c r="AR3940" s="2513"/>
      <c r="CT3940" s="531"/>
    </row>
    <row r="3941" spans="1:98">
      <c r="A3941" s="532"/>
      <c r="AR3941" s="2513"/>
      <c r="CT3941" s="531"/>
    </row>
    <row r="3942" spans="1:98">
      <c r="A3942" s="532"/>
      <c r="AR3942" s="2513"/>
      <c r="CT3942" s="531"/>
    </row>
    <row r="3943" spans="1:98">
      <c r="A3943" s="532"/>
      <c r="AR3943" s="2513"/>
      <c r="CT3943" s="531"/>
    </row>
    <row r="3944" spans="1:98">
      <c r="A3944" s="532"/>
      <c r="AR3944" s="2513"/>
      <c r="CT3944" s="531"/>
    </row>
    <row r="3945" spans="1:98">
      <c r="A3945" s="532"/>
      <c r="AR3945" s="2513"/>
      <c r="CT3945" s="531"/>
    </row>
    <row r="3946" spans="1:98">
      <c r="A3946" s="532"/>
      <c r="AR3946" s="2513"/>
      <c r="CT3946" s="531"/>
    </row>
    <row r="3947" spans="1:98">
      <c r="A3947" s="532"/>
      <c r="AR3947" s="2513"/>
      <c r="CT3947" s="531"/>
    </row>
    <row r="3948" spans="1:98">
      <c r="A3948" s="532"/>
      <c r="AR3948" s="2513"/>
      <c r="CT3948" s="531"/>
    </row>
    <row r="3949" spans="1:98">
      <c r="A3949" s="532"/>
      <c r="AR3949" s="2513"/>
      <c r="CT3949" s="531"/>
    </row>
    <row r="3950" spans="1:98">
      <c r="A3950" s="532"/>
      <c r="AR3950" s="2513"/>
      <c r="CT3950" s="531"/>
    </row>
    <row r="3951" spans="1:98">
      <c r="A3951" s="532"/>
      <c r="AR3951" s="2513"/>
      <c r="CT3951" s="531"/>
    </row>
    <row r="3952" spans="1:98">
      <c r="A3952" s="532"/>
      <c r="AR3952" s="2513"/>
      <c r="CT3952" s="531"/>
    </row>
    <row r="3953" spans="1:98">
      <c r="A3953" s="532"/>
      <c r="AR3953" s="2513"/>
      <c r="CT3953" s="531"/>
    </row>
    <row r="3954" spans="1:98">
      <c r="A3954" s="532"/>
      <c r="AR3954" s="2513"/>
      <c r="CT3954" s="531"/>
    </row>
    <row r="3955" spans="1:98">
      <c r="A3955" s="532"/>
      <c r="AR3955" s="2513"/>
      <c r="CT3955" s="531"/>
    </row>
    <row r="3956" spans="1:98">
      <c r="A3956" s="532"/>
      <c r="AR3956" s="2513"/>
      <c r="CT3956" s="531"/>
    </row>
    <row r="3957" spans="1:98">
      <c r="A3957" s="532"/>
      <c r="AR3957" s="2513"/>
      <c r="CT3957" s="531"/>
    </row>
    <row r="3958" spans="1:98">
      <c r="A3958" s="532"/>
      <c r="AR3958" s="2513"/>
      <c r="CT3958" s="531"/>
    </row>
    <row r="3959" spans="1:98">
      <c r="A3959" s="532"/>
      <c r="AR3959" s="2513"/>
      <c r="CT3959" s="531"/>
    </row>
    <row r="3960" spans="1:98">
      <c r="A3960" s="532"/>
      <c r="AR3960" s="2513"/>
      <c r="CT3960" s="531"/>
    </row>
    <row r="3961" spans="1:98">
      <c r="A3961" s="532"/>
      <c r="AR3961" s="2513"/>
      <c r="CT3961" s="531"/>
    </row>
    <row r="3962" spans="1:98">
      <c r="A3962" s="532"/>
      <c r="AR3962" s="2513"/>
      <c r="CT3962" s="531"/>
    </row>
    <row r="3963" spans="1:98">
      <c r="A3963" s="532"/>
      <c r="AR3963" s="2513"/>
      <c r="CT3963" s="531"/>
    </row>
    <row r="3964" spans="1:98">
      <c r="A3964" s="532"/>
      <c r="AR3964" s="2513"/>
      <c r="CT3964" s="531"/>
    </row>
    <row r="3965" spans="1:98">
      <c r="A3965" s="532"/>
      <c r="AR3965" s="2513"/>
      <c r="CT3965" s="531"/>
    </row>
    <row r="3966" spans="1:98">
      <c r="A3966" s="532"/>
      <c r="AR3966" s="2513"/>
      <c r="CT3966" s="531"/>
    </row>
    <row r="3967" spans="1:98">
      <c r="A3967" s="532"/>
      <c r="AR3967" s="2513"/>
      <c r="CT3967" s="531"/>
    </row>
    <row r="3968" spans="1:98">
      <c r="A3968" s="532"/>
      <c r="AR3968" s="2513"/>
      <c r="CT3968" s="531"/>
    </row>
    <row r="3969" spans="1:98">
      <c r="A3969" s="532"/>
      <c r="AR3969" s="2513"/>
      <c r="CT3969" s="531"/>
    </row>
    <row r="3970" spans="1:98">
      <c r="A3970" s="532"/>
      <c r="AR3970" s="2513"/>
      <c r="CT3970" s="531"/>
    </row>
    <row r="3971" spans="1:98">
      <c r="A3971" s="532"/>
      <c r="AR3971" s="2513"/>
      <c r="CT3971" s="531"/>
    </row>
    <row r="3972" spans="1:98">
      <c r="A3972" s="532"/>
      <c r="AR3972" s="2513"/>
      <c r="CT3972" s="531"/>
    </row>
    <row r="3973" spans="1:98">
      <c r="A3973" s="532"/>
      <c r="AR3973" s="2513"/>
      <c r="CT3973" s="531"/>
    </row>
    <row r="3974" spans="1:98">
      <c r="A3974" s="532"/>
      <c r="AR3974" s="2513"/>
      <c r="CT3974" s="531"/>
    </row>
    <row r="3975" spans="1:98">
      <c r="A3975" s="532"/>
      <c r="AR3975" s="2513"/>
      <c r="CT3975" s="531"/>
    </row>
    <row r="3976" spans="1:98">
      <c r="A3976" s="532"/>
      <c r="AR3976" s="2513"/>
      <c r="CT3976" s="531"/>
    </row>
    <row r="3977" spans="1:98">
      <c r="A3977" s="532"/>
      <c r="AR3977" s="2513"/>
      <c r="CT3977" s="531"/>
    </row>
    <row r="3978" spans="1:98">
      <c r="A3978" s="532"/>
      <c r="AR3978" s="2513"/>
      <c r="CT3978" s="531"/>
    </row>
    <row r="3979" spans="1:98">
      <c r="A3979" s="532"/>
      <c r="AR3979" s="2513"/>
      <c r="CT3979" s="531"/>
    </row>
    <row r="3980" spans="1:98">
      <c r="A3980" s="532"/>
      <c r="AR3980" s="2513"/>
      <c r="CT3980" s="531"/>
    </row>
    <row r="3981" spans="1:98">
      <c r="A3981" s="532"/>
      <c r="AR3981" s="2513"/>
      <c r="CT3981" s="531"/>
    </row>
    <row r="3982" spans="1:98">
      <c r="A3982" s="532"/>
      <c r="AR3982" s="2513"/>
      <c r="CT3982" s="531"/>
    </row>
    <row r="3983" spans="1:98">
      <c r="A3983" s="532"/>
      <c r="AR3983" s="2513"/>
      <c r="CT3983" s="531"/>
    </row>
    <row r="3984" spans="1:98">
      <c r="A3984" s="532"/>
      <c r="AR3984" s="2513"/>
      <c r="CT3984" s="531"/>
    </row>
    <row r="3985" spans="1:98">
      <c r="A3985" s="532"/>
      <c r="AR3985" s="2513"/>
      <c r="CT3985" s="531"/>
    </row>
    <row r="3986" spans="1:98">
      <c r="A3986" s="532"/>
      <c r="AR3986" s="2513"/>
      <c r="CT3986" s="531"/>
    </row>
    <row r="3987" spans="1:98">
      <c r="A3987" s="532"/>
      <c r="AR3987" s="2513"/>
      <c r="CT3987" s="531"/>
    </row>
    <row r="3988" spans="1:98">
      <c r="A3988" s="532"/>
      <c r="AR3988" s="2513"/>
      <c r="CT3988" s="531"/>
    </row>
    <row r="3989" spans="1:98">
      <c r="A3989" s="532"/>
      <c r="AR3989" s="2513"/>
      <c r="CT3989" s="531"/>
    </row>
    <row r="3990" spans="1:98">
      <c r="A3990" s="532"/>
      <c r="AR3990" s="2513"/>
      <c r="CT3990" s="531"/>
    </row>
    <row r="3991" spans="1:98">
      <c r="A3991" s="532"/>
      <c r="AR3991" s="2513"/>
      <c r="CT3991" s="531"/>
    </row>
    <row r="3992" spans="1:98">
      <c r="A3992" s="532"/>
      <c r="AR3992" s="2513"/>
      <c r="CT3992" s="531"/>
    </row>
    <row r="3993" spans="1:98">
      <c r="A3993" s="532"/>
      <c r="AR3993" s="2513"/>
      <c r="CT3993" s="531"/>
    </row>
    <row r="3994" spans="1:98">
      <c r="A3994" s="532"/>
      <c r="AR3994" s="2513"/>
      <c r="CT3994" s="531"/>
    </row>
    <row r="3995" spans="1:98">
      <c r="A3995" s="532"/>
      <c r="AR3995" s="2513"/>
      <c r="CT3995" s="531"/>
    </row>
    <row r="3996" spans="1:98">
      <c r="A3996" s="532"/>
      <c r="AR3996" s="2513"/>
      <c r="CT3996" s="531"/>
    </row>
    <row r="3997" spans="1:98">
      <c r="A3997" s="532"/>
      <c r="AR3997" s="2513"/>
      <c r="CT3997" s="531"/>
    </row>
    <row r="3998" spans="1:98">
      <c r="A3998" s="532"/>
      <c r="AR3998" s="2513"/>
      <c r="CT3998" s="531"/>
    </row>
    <row r="3999" spans="1:98">
      <c r="A3999" s="532"/>
      <c r="AR3999" s="2513"/>
      <c r="CT3999" s="531"/>
    </row>
    <row r="4000" spans="1:98">
      <c r="A4000" s="532"/>
      <c r="AR4000" s="2513"/>
      <c r="CT4000" s="531"/>
    </row>
    <row r="4001" spans="1:98">
      <c r="A4001" s="532"/>
      <c r="AR4001" s="2513"/>
      <c r="CT4001" s="531"/>
    </row>
    <row r="4002" spans="1:98">
      <c r="A4002" s="532"/>
      <c r="AR4002" s="2513"/>
      <c r="CT4002" s="531"/>
    </row>
    <row r="4003" spans="1:98">
      <c r="A4003" s="532"/>
      <c r="AR4003" s="2513"/>
      <c r="CT4003" s="531"/>
    </row>
    <row r="4004" spans="1:98">
      <c r="A4004" s="532"/>
      <c r="AR4004" s="2513"/>
      <c r="CT4004" s="531"/>
    </row>
    <row r="4005" spans="1:98">
      <c r="A4005" s="532"/>
      <c r="AR4005" s="2513"/>
      <c r="CT4005" s="531"/>
    </row>
    <row r="4006" spans="1:98">
      <c r="A4006" s="532"/>
      <c r="AR4006" s="2513"/>
      <c r="CT4006" s="531"/>
    </row>
    <row r="4007" spans="1:98">
      <c r="A4007" s="532"/>
      <c r="AR4007" s="2513"/>
      <c r="CT4007" s="531"/>
    </row>
    <row r="4008" spans="1:98">
      <c r="A4008" s="532"/>
      <c r="AR4008" s="2513"/>
      <c r="CT4008" s="531"/>
    </row>
    <row r="4009" spans="1:98">
      <c r="A4009" s="532"/>
      <c r="AR4009" s="2513"/>
      <c r="CT4009" s="531"/>
    </row>
    <row r="4010" spans="1:98">
      <c r="A4010" s="532"/>
      <c r="AR4010" s="2513"/>
      <c r="CT4010" s="531"/>
    </row>
    <row r="4011" spans="1:98">
      <c r="A4011" s="532"/>
      <c r="AR4011" s="2513"/>
      <c r="CT4011" s="531"/>
    </row>
    <row r="4012" spans="1:98">
      <c r="A4012" s="532"/>
      <c r="AR4012" s="2513"/>
      <c r="CT4012" s="531"/>
    </row>
    <row r="4013" spans="1:98">
      <c r="A4013" s="532"/>
      <c r="AR4013" s="2513"/>
      <c r="CT4013" s="531"/>
    </row>
    <row r="4014" spans="1:98">
      <c r="A4014" s="532"/>
      <c r="AR4014" s="2513"/>
      <c r="CT4014" s="531"/>
    </row>
    <row r="4015" spans="1:98">
      <c r="A4015" s="532"/>
      <c r="AR4015" s="2513"/>
      <c r="CT4015" s="531"/>
    </row>
    <row r="4016" spans="1:98">
      <c r="A4016" s="532"/>
      <c r="AR4016" s="2513"/>
      <c r="CT4016" s="531"/>
    </row>
    <row r="4017" spans="1:98">
      <c r="A4017" s="532"/>
      <c r="AR4017" s="2513"/>
      <c r="CT4017" s="531"/>
    </row>
    <row r="4018" spans="1:98">
      <c r="A4018" s="532"/>
      <c r="AR4018" s="2513"/>
      <c r="CT4018" s="531"/>
    </row>
    <row r="4019" spans="1:98">
      <c r="A4019" s="532"/>
      <c r="AR4019" s="2513"/>
      <c r="CT4019" s="531"/>
    </row>
    <row r="4020" spans="1:98">
      <c r="A4020" s="532"/>
      <c r="AR4020" s="2513"/>
      <c r="CT4020" s="531"/>
    </row>
    <row r="4021" spans="1:98">
      <c r="A4021" s="532"/>
      <c r="AR4021" s="2513"/>
      <c r="CT4021" s="531"/>
    </row>
    <row r="4022" spans="1:98">
      <c r="A4022" s="532"/>
      <c r="AR4022" s="2513"/>
      <c r="CT4022" s="531"/>
    </row>
    <row r="4023" spans="1:98">
      <c r="A4023" s="532"/>
      <c r="AR4023" s="2513"/>
      <c r="CT4023" s="531"/>
    </row>
    <row r="4024" spans="1:98">
      <c r="A4024" s="532"/>
      <c r="AR4024" s="2513"/>
      <c r="CT4024" s="531"/>
    </row>
    <row r="4025" spans="1:98">
      <c r="A4025" s="532"/>
      <c r="AR4025" s="2513"/>
      <c r="CT4025" s="531"/>
    </row>
    <row r="4026" spans="1:98">
      <c r="A4026" s="532"/>
      <c r="AR4026" s="2513"/>
      <c r="CT4026" s="531"/>
    </row>
    <row r="4027" spans="1:98">
      <c r="A4027" s="532"/>
      <c r="AR4027" s="2513"/>
      <c r="CT4027" s="531"/>
    </row>
    <row r="4028" spans="1:98">
      <c r="A4028" s="532"/>
      <c r="AR4028" s="2513"/>
      <c r="CT4028" s="531"/>
    </row>
    <row r="4029" spans="1:98">
      <c r="A4029" s="532"/>
      <c r="AR4029" s="2513"/>
      <c r="CT4029" s="531"/>
    </row>
    <row r="4030" spans="1:98">
      <c r="A4030" s="532"/>
      <c r="AR4030" s="2513"/>
      <c r="CT4030" s="531"/>
    </row>
    <row r="4031" spans="1:98">
      <c r="A4031" s="532"/>
      <c r="AR4031" s="2513"/>
      <c r="CT4031" s="531"/>
    </row>
    <row r="4032" spans="1:98">
      <c r="A4032" s="532"/>
      <c r="AR4032" s="2513"/>
      <c r="CT4032" s="531"/>
    </row>
    <row r="4033" spans="1:98">
      <c r="A4033" s="532"/>
      <c r="AR4033" s="2513"/>
      <c r="CT4033" s="531"/>
    </row>
    <row r="4034" spans="1:98">
      <c r="A4034" s="532"/>
      <c r="AR4034" s="2513"/>
      <c r="CT4034" s="531"/>
    </row>
    <row r="4035" spans="1:98">
      <c r="A4035" s="532"/>
      <c r="AR4035" s="2513"/>
      <c r="CT4035" s="531"/>
    </row>
    <row r="4036" spans="1:98">
      <c r="A4036" s="532"/>
      <c r="AR4036" s="2513"/>
      <c r="CT4036" s="531"/>
    </row>
    <row r="4037" spans="1:98">
      <c r="A4037" s="532"/>
      <c r="AR4037" s="2513"/>
      <c r="CT4037" s="531"/>
    </row>
    <row r="4038" spans="1:98">
      <c r="A4038" s="532"/>
      <c r="AR4038" s="2513"/>
      <c r="CT4038" s="531"/>
    </row>
    <row r="4039" spans="1:98">
      <c r="A4039" s="532"/>
      <c r="AR4039" s="2513"/>
      <c r="CT4039" s="531"/>
    </row>
    <row r="4040" spans="1:98">
      <c r="A4040" s="532"/>
      <c r="AR4040" s="2513"/>
      <c r="CT4040" s="531"/>
    </row>
    <row r="4041" spans="1:98">
      <c r="A4041" s="532"/>
      <c r="AR4041" s="2513"/>
      <c r="CT4041" s="531"/>
    </row>
    <row r="4042" spans="1:98">
      <c r="A4042" s="532"/>
      <c r="AR4042" s="2513"/>
      <c r="CT4042" s="531"/>
    </row>
    <row r="4043" spans="1:98">
      <c r="A4043" s="532"/>
      <c r="AR4043" s="2513"/>
      <c r="CT4043" s="531"/>
    </row>
    <row r="4044" spans="1:98">
      <c r="A4044" s="532"/>
      <c r="AR4044" s="2513"/>
      <c r="CT4044" s="531"/>
    </row>
    <row r="4045" spans="1:98">
      <c r="A4045" s="532"/>
      <c r="AR4045" s="2513"/>
      <c r="CT4045" s="531"/>
    </row>
    <row r="4046" spans="1:98">
      <c r="A4046" s="532"/>
      <c r="AR4046" s="2513"/>
      <c r="CT4046" s="531"/>
    </row>
    <row r="4047" spans="1:98">
      <c r="A4047" s="532"/>
      <c r="AR4047" s="2513"/>
      <c r="CT4047" s="531"/>
    </row>
    <row r="4048" spans="1:98">
      <c r="A4048" s="532"/>
      <c r="AR4048" s="2513"/>
      <c r="CT4048" s="531"/>
    </row>
    <row r="4049" spans="1:98">
      <c r="A4049" s="532"/>
      <c r="AR4049" s="2513"/>
      <c r="CT4049" s="531"/>
    </row>
    <row r="4050" spans="1:98">
      <c r="A4050" s="532"/>
      <c r="AR4050" s="2513"/>
      <c r="CT4050" s="531"/>
    </row>
    <row r="4051" spans="1:98">
      <c r="A4051" s="532"/>
      <c r="AR4051" s="2513"/>
      <c r="CT4051" s="531"/>
    </row>
    <row r="4052" spans="1:98">
      <c r="A4052" s="532"/>
      <c r="AR4052" s="2513"/>
      <c r="CT4052" s="531"/>
    </row>
    <row r="4053" spans="1:98">
      <c r="A4053" s="532"/>
      <c r="AR4053" s="2513"/>
      <c r="CT4053" s="531"/>
    </row>
    <row r="4054" spans="1:98">
      <c r="A4054" s="532"/>
      <c r="AR4054" s="2513"/>
      <c r="CT4054" s="531"/>
    </row>
    <row r="4055" spans="1:98">
      <c r="A4055" s="532"/>
      <c r="AR4055" s="2513"/>
      <c r="CT4055" s="531"/>
    </row>
    <row r="4056" spans="1:98">
      <c r="A4056" s="532"/>
      <c r="AR4056" s="2513"/>
      <c r="CT4056" s="531"/>
    </row>
    <row r="4057" spans="1:98">
      <c r="A4057" s="532"/>
      <c r="AR4057" s="2513"/>
      <c r="CT4057" s="531"/>
    </row>
    <row r="4058" spans="1:98">
      <c r="A4058" s="532"/>
      <c r="AR4058" s="2513"/>
      <c r="CT4058" s="531"/>
    </row>
    <row r="4059" spans="1:98">
      <c r="A4059" s="532"/>
      <c r="AR4059" s="2513"/>
      <c r="CT4059" s="531"/>
    </row>
    <row r="4060" spans="1:98">
      <c r="A4060" s="532"/>
      <c r="AR4060" s="2513"/>
      <c r="CT4060" s="531"/>
    </row>
    <row r="4061" spans="1:98">
      <c r="A4061" s="532"/>
      <c r="AR4061" s="2513"/>
      <c r="CT4061" s="531"/>
    </row>
    <row r="4062" spans="1:98">
      <c r="A4062" s="532"/>
      <c r="AR4062" s="2513"/>
      <c r="CT4062" s="531"/>
    </row>
    <row r="4063" spans="1:98">
      <c r="A4063" s="532"/>
      <c r="AR4063" s="2513"/>
      <c r="CT4063" s="531"/>
    </row>
    <row r="4064" spans="1:98">
      <c r="A4064" s="532"/>
      <c r="AR4064" s="2513"/>
      <c r="CT4064" s="531"/>
    </row>
    <row r="4065" spans="1:98">
      <c r="A4065" s="532"/>
      <c r="AR4065" s="2513"/>
      <c r="CT4065" s="531"/>
    </row>
    <row r="4066" spans="1:98">
      <c r="A4066" s="532"/>
      <c r="AR4066" s="2513"/>
      <c r="CT4066" s="531"/>
    </row>
    <row r="4067" spans="1:98">
      <c r="A4067" s="532"/>
      <c r="AR4067" s="2513"/>
      <c r="CT4067" s="531"/>
    </row>
    <row r="4068" spans="1:98">
      <c r="A4068" s="532"/>
      <c r="AR4068" s="2513"/>
      <c r="CT4068" s="531"/>
    </row>
    <row r="4069" spans="1:98">
      <c r="A4069" s="532"/>
      <c r="AR4069" s="2513"/>
      <c r="CT4069" s="531"/>
    </row>
    <row r="4070" spans="1:98">
      <c r="A4070" s="532"/>
      <c r="AR4070" s="2513"/>
      <c r="CT4070" s="531"/>
    </row>
    <row r="4071" spans="1:98">
      <c r="A4071" s="532"/>
      <c r="AR4071" s="2513"/>
      <c r="CT4071" s="531"/>
    </row>
    <row r="4072" spans="1:98">
      <c r="A4072" s="532"/>
      <c r="AR4072" s="2513"/>
      <c r="CT4072" s="531"/>
    </row>
    <row r="4073" spans="1:98">
      <c r="A4073" s="532"/>
      <c r="AR4073" s="2513"/>
      <c r="CT4073" s="531"/>
    </row>
    <row r="4074" spans="1:98">
      <c r="A4074" s="532"/>
      <c r="AR4074" s="2513"/>
      <c r="CT4074" s="531"/>
    </row>
    <row r="4075" spans="1:98">
      <c r="A4075" s="532"/>
      <c r="AR4075" s="2513"/>
      <c r="CT4075" s="531"/>
    </row>
    <row r="4076" spans="1:98">
      <c r="A4076" s="532"/>
      <c r="AR4076" s="2513"/>
      <c r="CT4076" s="531"/>
    </row>
    <row r="4077" spans="1:98">
      <c r="A4077" s="532"/>
      <c r="AR4077" s="2513"/>
      <c r="CT4077" s="531"/>
    </row>
    <row r="4078" spans="1:98">
      <c r="A4078" s="532"/>
      <c r="AR4078" s="2513"/>
      <c r="CT4078" s="531"/>
    </row>
    <row r="4079" spans="1:98">
      <c r="A4079" s="532"/>
      <c r="AR4079" s="2513"/>
      <c r="CT4079" s="531"/>
    </row>
    <row r="4080" spans="1:98">
      <c r="A4080" s="532"/>
      <c r="AR4080" s="2513"/>
      <c r="CT4080" s="531"/>
    </row>
    <row r="4081" spans="1:98">
      <c r="A4081" s="532"/>
      <c r="AR4081" s="2513"/>
      <c r="CT4081" s="531"/>
    </row>
    <row r="4082" spans="1:98">
      <c r="A4082" s="532"/>
      <c r="AR4082" s="2513"/>
      <c r="CT4082" s="531"/>
    </row>
    <row r="4083" spans="1:98">
      <c r="A4083" s="532"/>
      <c r="AR4083" s="2513"/>
      <c r="CT4083" s="531"/>
    </row>
    <row r="4084" spans="1:98">
      <c r="A4084" s="532"/>
      <c r="AR4084" s="2513"/>
      <c r="CT4084" s="531"/>
    </row>
    <row r="4085" spans="1:98">
      <c r="A4085" s="532"/>
      <c r="AR4085" s="2513"/>
      <c r="CT4085" s="531"/>
    </row>
    <row r="4086" spans="1:98">
      <c r="A4086" s="532"/>
      <c r="AR4086" s="2513"/>
      <c r="CT4086" s="531"/>
    </row>
    <row r="4087" spans="1:98">
      <c r="A4087" s="532"/>
      <c r="AR4087" s="2513"/>
      <c r="CT4087" s="531"/>
    </row>
    <row r="4088" spans="1:98">
      <c r="A4088" s="532"/>
      <c r="AR4088" s="2513"/>
      <c r="CT4088" s="531"/>
    </row>
    <row r="4089" spans="1:98">
      <c r="A4089" s="532"/>
      <c r="AR4089" s="2513"/>
      <c r="CT4089" s="531"/>
    </row>
    <row r="4090" spans="1:98">
      <c r="A4090" s="532"/>
      <c r="AR4090" s="2513"/>
      <c r="CT4090" s="531"/>
    </row>
    <row r="4091" spans="1:98">
      <c r="A4091" s="532"/>
      <c r="AR4091" s="2513"/>
      <c r="CT4091" s="531"/>
    </row>
    <row r="4092" spans="1:98">
      <c r="A4092" s="532"/>
      <c r="AR4092" s="2513"/>
      <c r="CT4092" s="531"/>
    </row>
    <row r="4093" spans="1:98">
      <c r="A4093" s="532"/>
      <c r="AR4093" s="2513"/>
      <c r="CT4093" s="531"/>
    </row>
    <row r="4094" spans="1:98">
      <c r="A4094" s="532"/>
      <c r="AR4094" s="2513"/>
      <c r="CT4094" s="531"/>
    </row>
    <row r="4095" spans="1:98">
      <c r="A4095" s="532"/>
      <c r="AR4095" s="2513"/>
      <c r="CT4095" s="531"/>
    </row>
    <row r="4096" spans="1:98">
      <c r="A4096" s="532"/>
      <c r="AR4096" s="2513"/>
      <c r="CT4096" s="531"/>
    </row>
    <row r="4097" spans="1:98">
      <c r="A4097" s="532"/>
      <c r="AR4097" s="2513"/>
      <c r="CT4097" s="531"/>
    </row>
    <row r="4098" spans="1:98">
      <c r="A4098" s="532"/>
      <c r="AR4098" s="2513"/>
      <c r="CT4098" s="531"/>
    </row>
    <row r="4099" spans="1:98">
      <c r="A4099" s="532"/>
      <c r="AR4099" s="2513"/>
      <c r="CT4099" s="531"/>
    </row>
    <row r="4100" spans="1:98">
      <c r="A4100" s="532"/>
      <c r="AR4100" s="2513"/>
      <c r="CT4100" s="531"/>
    </row>
    <row r="4101" spans="1:98">
      <c r="A4101" s="532"/>
      <c r="AR4101" s="2513"/>
      <c r="CT4101" s="531"/>
    </row>
    <row r="4102" spans="1:98">
      <c r="A4102" s="532"/>
      <c r="AR4102" s="2513"/>
      <c r="CT4102" s="531"/>
    </row>
    <row r="4103" spans="1:98">
      <c r="A4103" s="532"/>
      <c r="AR4103" s="2513"/>
      <c r="CT4103" s="531"/>
    </row>
    <row r="4104" spans="1:98">
      <c r="A4104" s="532"/>
      <c r="AR4104" s="2513"/>
      <c r="CT4104" s="531"/>
    </row>
    <row r="4105" spans="1:98">
      <c r="A4105" s="532"/>
      <c r="AR4105" s="2513"/>
      <c r="CT4105" s="531"/>
    </row>
    <row r="4106" spans="1:98">
      <c r="A4106" s="532"/>
      <c r="AR4106" s="2513"/>
      <c r="CT4106" s="531"/>
    </row>
    <row r="4107" spans="1:98">
      <c r="A4107" s="532"/>
      <c r="AR4107" s="2513"/>
      <c r="CT4107" s="531"/>
    </row>
    <row r="4108" spans="1:98">
      <c r="A4108" s="532"/>
      <c r="AR4108" s="2513"/>
      <c r="CT4108" s="531"/>
    </row>
    <row r="4109" spans="1:98">
      <c r="A4109" s="532"/>
      <c r="AR4109" s="2513"/>
      <c r="CT4109" s="531"/>
    </row>
    <row r="4110" spans="1:98">
      <c r="A4110" s="532"/>
      <c r="AR4110" s="2513"/>
      <c r="CT4110" s="531"/>
    </row>
    <row r="4111" spans="1:98">
      <c r="A4111" s="532"/>
      <c r="AR4111" s="2513"/>
      <c r="CT4111" s="531"/>
    </row>
    <row r="4112" spans="1:98">
      <c r="A4112" s="532"/>
      <c r="AR4112" s="2513"/>
      <c r="CT4112" s="531"/>
    </row>
    <row r="4113" spans="1:98">
      <c r="A4113" s="532"/>
      <c r="AR4113" s="2513"/>
      <c r="CT4113" s="531"/>
    </row>
    <row r="4114" spans="1:98">
      <c r="A4114" s="532"/>
      <c r="AR4114" s="2513"/>
      <c r="CT4114" s="531"/>
    </row>
    <row r="4115" spans="1:98">
      <c r="A4115" s="532"/>
      <c r="AR4115" s="2513"/>
      <c r="CT4115" s="531"/>
    </row>
    <row r="4116" spans="1:98">
      <c r="A4116" s="532"/>
      <c r="AR4116" s="2513"/>
      <c r="CT4116" s="531"/>
    </row>
    <row r="4117" spans="1:98">
      <c r="A4117" s="532"/>
      <c r="AR4117" s="2513"/>
      <c r="CT4117" s="531"/>
    </row>
    <row r="4118" spans="1:98">
      <c r="A4118" s="532"/>
      <c r="AR4118" s="2513"/>
      <c r="CT4118" s="531"/>
    </row>
    <row r="4119" spans="1:98">
      <c r="A4119" s="532"/>
      <c r="AR4119" s="2513"/>
      <c r="CT4119" s="531"/>
    </row>
    <row r="4120" spans="1:98">
      <c r="A4120" s="532"/>
      <c r="AR4120" s="2513"/>
      <c r="CT4120" s="531"/>
    </row>
    <row r="4121" spans="1:98">
      <c r="A4121" s="532"/>
      <c r="AR4121" s="2513"/>
      <c r="CT4121" s="531"/>
    </row>
    <row r="4122" spans="1:98">
      <c r="A4122" s="532"/>
      <c r="AR4122" s="2513"/>
      <c r="CT4122" s="531"/>
    </row>
    <row r="4123" spans="1:98">
      <c r="A4123" s="532"/>
      <c r="AR4123" s="2513"/>
      <c r="CT4123" s="531"/>
    </row>
    <row r="4124" spans="1:98">
      <c r="A4124" s="532"/>
      <c r="AR4124" s="2513"/>
      <c r="CT4124" s="531"/>
    </row>
    <row r="4125" spans="1:98">
      <c r="A4125" s="532"/>
      <c r="AR4125" s="2513"/>
      <c r="CT4125" s="531"/>
    </row>
    <row r="4126" spans="1:98">
      <c r="A4126" s="532"/>
      <c r="AR4126" s="2513"/>
      <c r="CT4126" s="531"/>
    </row>
    <row r="4127" spans="1:98">
      <c r="A4127" s="532"/>
      <c r="AR4127" s="2513"/>
      <c r="CT4127" s="531"/>
    </row>
    <row r="4128" spans="1:98">
      <c r="A4128" s="532"/>
      <c r="AR4128" s="2513"/>
      <c r="CT4128" s="531"/>
    </row>
    <row r="4129" spans="1:98">
      <c r="A4129" s="532"/>
      <c r="AR4129" s="2513"/>
      <c r="CT4129" s="531"/>
    </row>
    <row r="4130" spans="1:98">
      <c r="A4130" s="532"/>
      <c r="AR4130" s="2513"/>
      <c r="CT4130" s="531"/>
    </row>
    <row r="4131" spans="1:98">
      <c r="A4131" s="532"/>
      <c r="AR4131" s="2513"/>
      <c r="CT4131" s="531"/>
    </row>
    <row r="4132" spans="1:98">
      <c r="A4132" s="532"/>
      <c r="AR4132" s="2513"/>
      <c r="CT4132" s="531"/>
    </row>
    <row r="4133" spans="1:98">
      <c r="A4133" s="532"/>
      <c r="AR4133" s="2513"/>
      <c r="CT4133" s="531"/>
    </row>
    <row r="4134" spans="1:98">
      <c r="A4134" s="532"/>
      <c r="AR4134" s="2513"/>
      <c r="CT4134" s="531"/>
    </row>
    <row r="4135" spans="1:98">
      <c r="A4135" s="532"/>
      <c r="AR4135" s="2513"/>
      <c r="CT4135" s="531"/>
    </row>
    <row r="4136" spans="1:98">
      <c r="A4136" s="532"/>
      <c r="AR4136" s="2513"/>
      <c r="CT4136" s="531"/>
    </row>
    <row r="4137" spans="1:98">
      <c r="A4137" s="532"/>
      <c r="AR4137" s="2513"/>
      <c r="CT4137" s="531"/>
    </row>
    <row r="4138" spans="1:98">
      <c r="A4138" s="532"/>
      <c r="AR4138" s="2513"/>
      <c r="CT4138" s="531"/>
    </row>
    <row r="4139" spans="1:98">
      <c r="A4139" s="532"/>
      <c r="AR4139" s="2513"/>
      <c r="CT4139" s="531"/>
    </row>
    <row r="4140" spans="1:98">
      <c r="A4140" s="532"/>
      <c r="AR4140" s="2513"/>
      <c r="CT4140" s="531"/>
    </row>
    <row r="4141" spans="1:98">
      <c r="A4141" s="532"/>
      <c r="AR4141" s="2513"/>
      <c r="CT4141" s="531"/>
    </row>
    <row r="4142" spans="1:98">
      <c r="A4142" s="532"/>
      <c r="AR4142" s="2513"/>
      <c r="CT4142" s="531"/>
    </row>
    <row r="4143" spans="1:98">
      <c r="A4143" s="532"/>
      <c r="AR4143" s="2513"/>
      <c r="CT4143" s="531"/>
    </row>
    <row r="4144" spans="1:98">
      <c r="A4144" s="532"/>
      <c r="AR4144" s="2513"/>
      <c r="CT4144" s="531"/>
    </row>
    <row r="4145" spans="1:98">
      <c r="A4145" s="532"/>
      <c r="AR4145" s="2513"/>
      <c r="CT4145" s="531"/>
    </row>
    <row r="4146" spans="1:98">
      <c r="A4146" s="532"/>
      <c r="AR4146" s="2513"/>
      <c r="CT4146" s="531"/>
    </row>
    <row r="4147" spans="1:98">
      <c r="A4147" s="532"/>
      <c r="AR4147" s="2513"/>
      <c r="CT4147" s="531"/>
    </row>
    <row r="4148" spans="1:98">
      <c r="A4148" s="532"/>
      <c r="AR4148" s="2513"/>
      <c r="CT4148" s="531"/>
    </row>
    <row r="4149" spans="1:98">
      <c r="A4149" s="532"/>
      <c r="AR4149" s="2513"/>
      <c r="CT4149" s="531"/>
    </row>
    <row r="4150" spans="1:98">
      <c r="A4150" s="532"/>
      <c r="AR4150" s="2513"/>
      <c r="CT4150" s="531"/>
    </row>
    <row r="4151" spans="1:98">
      <c r="A4151" s="532"/>
      <c r="AR4151" s="2513"/>
      <c r="CT4151" s="531"/>
    </row>
    <row r="4152" spans="1:98">
      <c r="A4152" s="532"/>
      <c r="AR4152" s="2513"/>
      <c r="CT4152" s="531"/>
    </row>
    <row r="4153" spans="1:98">
      <c r="A4153" s="532"/>
      <c r="AR4153" s="2513"/>
      <c r="CT4153" s="531"/>
    </row>
    <row r="4154" spans="1:98">
      <c r="A4154" s="532"/>
      <c r="AR4154" s="2513"/>
      <c r="CT4154" s="531"/>
    </row>
    <row r="4155" spans="1:98">
      <c r="A4155" s="532"/>
      <c r="AR4155" s="2513"/>
      <c r="CT4155" s="531"/>
    </row>
    <row r="4156" spans="1:98">
      <c r="A4156" s="532"/>
      <c r="AR4156" s="2513"/>
      <c r="CT4156" s="531"/>
    </row>
    <row r="4157" spans="1:98">
      <c r="A4157" s="532"/>
      <c r="AR4157" s="2513"/>
      <c r="CT4157" s="531"/>
    </row>
    <row r="4158" spans="1:98">
      <c r="A4158" s="532"/>
      <c r="AR4158" s="2513"/>
      <c r="CT4158" s="531"/>
    </row>
    <row r="4159" spans="1:98">
      <c r="A4159" s="532"/>
      <c r="AR4159" s="2513"/>
      <c r="CT4159" s="531"/>
    </row>
    <row r="4160" spans="1:98">
      <c r="A4160" s="532"/>
      <c r="AR4160" s="2513"/>
      <c r="CT4160" s="531"/>
    </row>
    <row r="4161" spans="1:98">
      <c r="A4161" s="532"/>
      <c r="AR4161" s="2513"/>
      <c r="CT4161" s="531"/>
    </row>
    <row r="4162" spans="1:98">
      <c r="A4162" s="532"/>
      <c r="AR4162" s="2513"/>
      <c r="CT4162" s="531"/>
    </row>
    <row r="4163" spans="1:98">
      <c r="A4163" s="532"/>
      <c r="AR4163" s="2513"/>
      <c r="CT4163" s="531"/>
    </row>
    <row r="4164" spans="1:98">
      <c r="A4164" s="532"/>
      <c r="AR4164" s="2513"/>
      <c r="CT4164" s="531"/>
    </row>
    <row r="4165" spans="1:98">
      <c r="A4165" s="532"/>
      <c r="AR4165" s="2513"/>
      <c r="CT4165" s="531"/>
    </row>
    <row r="4166" spans="1:98">
      <c r="A4166" s="532"/>
      <c r="AR4166" s="2513"/>
      <c r="CT4166" s="531"/>
    </row>
    <row r="4167" spans="1:98">
      <c r="A4167" s="532"/>
      <c r="AR4167" s="2513"/>
      <c r="CT4167" s="531"/>
    </row>
    <row r="4168" spans="1:98">
      <c r="A4168" s="532"/>
      <c r="AR4168" s="2513"/>
      <c r="CT4168" s="531"/>
    </row>
    <row r="4169" spans="1:98">
      <c r="A4169" s="532"/>
      <c r="AR4169" s="2513"/>
      <c r="CT4169" s="531"/>
    </row>
    <row r="4170" spans="1:98">
      <c r="A4170" s="532"/>
      <c r="AR4170" s="2513"/>
      <c r="CT4170" s="531"/>
    </row>
    <row r="4171" spans="1:98">
      <c r="A4171" s="532"/>
      <c r="AR4171" s="2513"/>
      <c r="CT4171" s="531"/>
    </row>
    <row r="4172" spans="1:98">
      <c r="A4172" s="532"/>
      <c r="AR4172" s="2513"/>
      <c r="CT4172" s="531"/>
    </row>
    <row r="4173" spans="1:98">
      <c r="A4173" s="532"/>
      <c r="AR4173" s="2513"/>
      <c r="CT4173" s="531"/>
    </row>
    <row r="4174" spans="1:98">
      <c r="A4174" s="532"/>
      <c r="AR4174" s="2513"/>
      <c r="CT4174" s="531"/>
    </row>
    <row r="4175" spans="1:98">
      <c r="A4175" s="532"/>
      <c r="AR4175" s="2513"/>
      <c r="CT4175" s="531"/>
    </row>
    <row r="4176" spans="1:98">
      <c r="A4176" s="532"/>
      <c r="AR4176" s="2513"/>
      <c r="CT4176" s="531"/>
    </row>
    <row r="4177" spans="1:98">
      <c r="A4177" s="532"/>
      <c r="AR4177" s="2513"/>
      <c r="CT4177" s="531"/>
    </row>
    <row r="4178" spans="1:98">
      <c r="A4178" s="532"/>
      <c r="AR4178" s="2513"/>
      <c r="CT4178" s="531"/>
    </row>
    <row r="4179" spans="1:98">
      <c r="A4179" s="532"/>
      <c r="AR4179" s="2513"/>
      <c r="CT4179" s="531"/>
    </row>
    <row r="4180" spans="1:98">
      <c r="A4180" s="532"/>
      <c r="AR4180" s="2513"/>
      <c r="CT4180" s="531"/>
    </row>
    <row r="4181" spans="1:98">
      <c r="A4181" s="532"/>
      <c r="AR4181" s="2513"/>
      <c r="CT4181" s="531"/>
    </row>
    <row r="4182" spans="1:98">
      <c r="A4182" s="532"/>
      <c r="AR4182" s="2513"/>
      <c r="CT4182" s="531"/>
    </row>
    <row r="4183" spans="1:98">
      <c r="A4183" s="532"/>
      <c r="AR4183" s="2513"/>
      <c r="CT4183" s="531"/>
    </row>
    <row r="4184" spans="1:98">
      <c r="A4184" s="532"/>
      <c r="AR4184" s="2513"/>
      <c r="CT4184" s="531"/>
    </row>
    <row r="4185" spans="1:98">
      <c r="A4185" s="532"/>
      <c r="AR4185" s="2513"/>
      <c r="CT4185" s="531"/>
    </row>
    <row r="4186" spans="1:98">
      <c r="A4186" s="532"/>
      <c r="AR4186" s="2513"/>
      <c r="CT4186" s="531"/>
    </row>
    <row r="4187" spans="1:98">
      <c r="A4187" s="532"/>
      <c r="AR4187" s="2513"/>
      <c r="CT4187" s="531"/>
    </row>
    <row r="4188" spans="1:98">
      <c r="A4188" s="532"/>
      <c r="AR4188" s="2513"/>
      <c r="CT4188" s="531"/>
    </row>
    <row r="4189" spans="1:98">
      <c r="A4189" s="532"/>
      <c r="AR4189" s="2513"/>
      <c r="CT4189" s="531"/>
    </row>
    <row r="4190" spans="1:98">
      <c r="A4190" s="532"/>
      <c r="AR4190" s="2513"/>
      <c r="CT4190" s="531"/>
    </row>
    <row r="4191" spans="1:98">
      <c r="A4191" s="532"/>
      <c r="AR4191" s="2513"/>
      <c r="CT4191" s="531"/>
    </row>
    <row r="4192" spans="1:98">
      <c r="A4192" s="532"/>
      <c r="AR4192" s="2513"/>
      <c r="CT4192" s="531"/>
    </row>
    <row r="4193" spans="1:98">
      <c r="A4193" s="532"/>
      <c r="AR4193" s="2513"/>
      <c r="CT4193" s="531"/>
    </row>
    <row r="4194" spans="1:98">
      <c r="A4194" s="532"/>
      <c r="AR4194" s="2513"/>
      <c r="CT4194" s="531"/>
    </row>
    <row r="4195" spans="1:98">
      <c r="A4195" s="532"/>
      <c r="AR4195" s="2513"/>
      <c r="CT4195" s="531"/>
    </row>
    <row r="4196" spans="1:98">
      <c r="A4196" s="532"/>
      <c r="AR4196" s="2513"/>
      <c r="CT4196" s="531"/>
    </row>
    <row r="4197" spans="1:98">
      <c r="A4197" s="532"/>
      <c r="AR4197" s="2513"/>
      <c r="CT4197" s="531"/>
    </row>
    <row r="4198" spans="1:98">
      <c r="A4198" s="532"/>
      <c r="AR4198" s="2513"/>
      <c r="CT4198" s="531"/>
    </row>
    <row r="4199" spans="1:98">
      <c r="A4199" s="532"/>
      <c r="AR4199" s="2513"/>
      <c r="CT4199" s="531"/>
    </row>
    <row r="4200" spans="1:98">
      <c r="A4200" s="532"/>
      <c r="AR4200" s="2513"/>
      <c r="CT4200" s="531"/>
    </row>
    <row r="4201" spans="1:98">
      <c r="A4201" s="532"/>
      <c r="AR4201" s="2513"/>
      <c r="CT4201" s="531"/>
    </row>
    <row r="4202" spans="1:98">
      <c r="A4202" s="532"/>
      <c r="AR4202" s="2513"/>
      <c r="CT4202" s="531"/>
    </row>
    <row r="4203" spans="1:98">
      <c r="A4203" s="532"/>
      <c r="AR4203" s="2513"/>
      <c r="CT4203" s="531"/>
    </row>
    <row r="4204" spans="1:98">
      <c r="A4204" s="532"/>
      <c r="AR4204" s="2513"/>
      <c r="CT4204" s="531"/>
    </row>
    <row r="4205" spans="1:98">
      <c r="A4205" s="532"/>
      <c r="AR4205" s="2513"/>
      <c r="CT4205" s="531"/>
    </row>
    <row r="4206" spans="1:98">
      <c r="A4206" s="532"/>
      <c r="AR4206" s="2513"/>
      <c r="CT4206" s="531"/>
    </row>
    <row r="4207" spans="1:98">
      <c r="A4207" s="532"/>
      <c r="AR4207" s="2513"/>
      <c r="CT4207" s="531"/>
    </row>
    <row r="4208" spans="1:98">
      <c r="A4208" s="532"/>
      <c r="AR4208" s="2513"/>
      <c r="CT4208" s="531"/>
    </row>
    <row r="4209" spans="1:98">
      <c r="A4209" s="532"/>
      <c r="AR4209" s="2513"/>
      <c r="CT4209" s="531"/>
    </row>
    <row r="4210" spans="1:98">
      <c r="A4210" s="532"/>
      <c r="AR4210" s="2513"/>
      <c r="CT4210" s="531"/>
    </row>
    <row r="4211" spans="1:98">
      <c r="A4211" s="532"/>
      <c r="AR4211" s="2513"/>
      <c r="CT4211" s="531"/>
    </row>
    <row r="4212" spans="1:98">
      <c r="A4212" s="532"/>
      <c r="AR4212" s="2513"/>
      <c r="CT4212" s="531"/>
    </row>
    <row r="4213" spans="1:98">
      <c r="A4213" s="532"/>
      <c r="AR4213" s="2513"/>
      <c r="CT4213" s="531"/>
    </row>
    <row r="4214" spans="1:98">
      <c r="A4214" s="532"/>
      <c r="AR4214" s="2513"/>
      <c r="CT4214" s="531"/>
    </row>
    <row r="4215" spans="1:98">
      <c r="A4215" s="532"/>
      <c r="AR4215" s="2513"/>
      <c r="CT4215" s="531"/>
    </row>
    <row r="4216" spans="1:98">
      <c r="A4216" s="532"/>
      <c r="AR4216" s="2513"/>
      <c r="CT4216" s="531"/>
    </row>
    <row r="4217" spans="1:98">
      <c r="A4217" s="532"/>
      <c r="AR4217" s="2513"/>
      <c r="CT4217" s="531"/>
    </row>
    <row r="4218" spans="1:98">
      <c r="A4218" s="532"/>
      <c r="AR4218" s="2513"/>
      <c r="CT4218" s="531"/>
    </row>
    <row r="4219" spans="1:98">
      <c r="A4219" s="532"/>
      <c r="AR4219" s="2513"/>
      <c r="CT4219" s="531"/>
    </row>
    <row r="4220" spans="1:98">
      <c r="A4220" s="532"/>
      <c r="AR4220" s="2513"/>
      <c r="CT4220" s="531"/>
    </row>
    <row r="4221" spans="1:98">
      <c r="A4221" s="532"/>
      <c r="AR4221" s="2513"/>
      <c r="CT4221" s="531"/>
    </row>
    <row r="4222" spans="1:98">
      <c r="A4222" s="532"/>
      <c r="AR4222" s="2513"/>
      <c r="CT4222" s="531"/>
    </row>
    <row r="4223" spans="1:98">
      <c r="A4223" s="532"/>
      <c r="AR4223" s="2513"/>
      <c r="CT4223" s="531"/>
    </row>
    <row r="4224" spans="1:98">
      <c r="A4224" s="532"/>
      <c r="AR4224" s="2513"/>
      <c r="CT4224" s="531"/>
    </row>
    <row r="4225" spans="1:98">
      <c r="A4225" s="532"/>
      <c r="AR4225" s="2513"/>
      <c r="CT4225" s="531"/>
    </row>
    <row r="4226" spans="1:98">
      <c r="A4226" s="532"/>
      <c r="AR4226" s="2513"/>
      <c r="CT4226" s="531"/>
    </row>
    <row r="4227" spans="1:98">
      <c r="A4227" s="532"/>
      <c r="AR4227" s="2513"/>
      <c r="CT4227" s="531"/>
    </row>
    <row r="4228" spans="1:98">
      <c r="A4228" s="532"/>
      <c r="AR4228" s="2513"/>
      <c r="CT4228" s="531"/>
    </row>
    <row r="4229" spans="1:98">
      <c r="A4229" s="532"/>
      <c r="AR4229" s="2513"/>
      <c r="CT4229" s="531"/>
    </row>
    <row r="4230" spans="1:98">
      <c r="A4230" s="532"/>
      <c r="AR4230" s="2513"/>
      <c r="CT4230" s="531"/>
    </row>
    <row r="4231" spans="1:98">
      <c r="A4231" s="532"/>
      <c r="AR4231" s="2513"/>
      <c r="CT4231" s="531"/>
    </row>
    <row r="4232" spans="1:98">
      <c r="A4232" s="532"/>
      <c r="AR4232" s="2513"/>
      <c r="CT4232" s="531"/>
    </row>
    <row r="4233" spans="1:98">
      <c r="A4233" s="532"/>
      <c r="AR4233" s="2513"/>
      <c r="CT4233" s="531"/>
    </row>
    <row r="4234" spans="1:98">
      <c r="A4234" s="532"/>
      <c r="AR4234" s="2513"/>
      <c r="CT4234" s="531"/>
    </row>
    <row r="4235" spans="1:98">
      <c r="A4235" s="532"/>
      <c r="AR4235" s="2513"/>
      <c r="CT4235" s="531"/>
    </row>
    <row r="4236" spans="1:98">
      <c r="A4236" s="532"/>
      <c r="AR4236" s="2513"/>
      <c r="CT4236" s="531"/>
    </row>
    <row r="4237" spans="1:98">
      <c r="A4237" s="532"/>
      <c r="AR4237" s="2513"/>
      <c r="CT4237" s="531"/>
    </row>
    <row r="4238" spans="1:98">
      <c r="A4238" s="532"/>
      <c r="AR4238" s="2513"/>
      <c r="CT4238" s="531"/>
    </row>
    <row r="4239" spans="1:98">
      <c r="A4239" s="532"/>
      <c r="AR4239" s="2513"/>
      <c r="CT4239" s="531"/>
    </row>
    <row r="4240" spans="1:98">
      <c r="A4240" s="532"/>
      <c r="AR4240" s="2513"/>
      <c r="CT4240" s="531"/>
    </row>
    <row r="4241" spans="1:98">
      <c r="A4241" s="532"/>
      <c r="AR4241" s="2513"/>
      <c r="CT4241" s="531"/>
    </row>
    <row r="4242" spans="1:98">
      <c r="A4242" s="532"/>
      <c r="AR4242" s="2513"/>
      <c r="CT4242" s="531"/>
    </row>
    <row r="4243" spans="1:98">
      <c r="A4243" s="532"/>
      <c r="AR4243" s="2513"/>
      <c r="CT4243" s="531"/>
    </row>
    <row r="4244" spans="1:98">
      <c r="A4244" s="532"/>
      <c r="AR4244" s="2513"/>
      <c r="CT4244" s="531"/>
    </row>
    <row r="4245" spans="1:98">
      <c r="A4245" s="532"/>
      <c r="AR4245" s="2513"/>
      <c r="CT4245" s="531"/>
    </row>
    <row r="4246" spans="1:98">
      <c r="A4246" s="532"/>
      <c r="AR4246" s="2513"/>
      <c r="CT4246" s="531"/>
    </row>
    <row r="4247" spans="1:98">
      <c r="A4247" s="532"/>
      <c r="AR4247" s="2513"/>
      <c r="CT4247" s="531"/>
    </row>
    <row r="4248" spans="1:98">
      <c r="A4248" s="532"/>
      <c r="AR4248" s="2513"/>
      <c r="CT4248" s="531"/>
    </row>
    <row r="4249" spans="1:98">
      <c r="A4249" s="532"/>
      <c r="AR4249" s="2513"/>
      <c r="CT4249" s="531"/>
    </row>
    <row r="4250" spans="1:98">
      <c r="A4250" s="532"/>
      <c r="AR4250" s="2513"/>
      <c r="CT4250" s="531"/>
    </row>
    <row r="4251" spans="1:98">
      <c r="A4251" s="532"/>
      <c r="AR4251" s="2513"/>
      <c r="CT4251" s="531"/>
    </row>
    <row r="4252" spans="1:98">
      <c r="A4252" s="532"/>
      <c r="AR4252" s="2513"/>
      <c r="CT4252" s="531"/>
    </row>
    <row r="4253" spans="1:98">
      <c r="A4253" s="532"/>
      <c r="AR4253" s="2513"/>
      <c r="CT4253" s="531"/>
    </row>
    <row r="4254" spans="1:98">
      <c r="A4254" s="532"/>
      <c r="AR4254" s="2513"/>
      <c r="CT4254" s="531"/>
    </row>
    <row r="4255" spans="1:98">
      <c r="A4255" s="532"/>
      <c r="AR4255" s="2513"/>
      <c r="CT4255" s="531"/>
    </row>
    <row r="4256" spans="1:98">
      <c r="A4256" s="532"/>
      <c r="AR4256" s="2513"/>
      <c r="CT4256" s="531"/>
    </row>
    <row r="4257" spans="1:98">
      <c r="A4257" s="532"/>
      <c r="AR4257" s="2513"/>
      <c r="CT4257" s="531"/>
    </row>
    <row r="4258" spans="1:98">
      <c r="A4258" s="532"/>
      <c r="AR4258" s="2513"/>
      <c r="CT4258" s="531"/>
    </row>
    <row r="4259" spans="1:98">
      <c r="A4259" s="532"/>
      <c r="AR4259" s="2513"/>
      <c r="CT4259" s="531"/>
    </row>
    <row r="4260" spans="1:98">
      <c r="A4260" s="532"/>
      <c r="AR4260" s="2513"/>
      <c r="CT4260" s="531"/>
    </row>
    <row r="4261" spans="1:98">
      <c r="A4261" s="532"/>
      <c r="AR4261" s="2513"/>
      <c r="CT4261" s="531"/>
    </row>
    <row r="4262" spans="1:98">
      <c r="A4262" s="532"/>
      <c r="AR4262" s="2513"/>
      <c r="CT4262" s="531"/>
    </row>
    <row r="4263" spans="1:98">
      <c r="A4263" s="532"/>
      <c r="AR4263" s="2513"/>
      <c r="CT4263" s="531"/>
    </row>
    <row r="4264" spans="1:98">
      <c r="A4264" s="532"/>
      <c r="AR4264" s="2513"/>
      <c r="CT4264" s="531"/>
    </row>
    <row r="4265" spans="1:98">
      <c r="A4265" s="532"/>
      <c r="AR4265" s="2513"/>
      <c r="CT4265" s="531"/>
    </row>
    <row r="4266" spans="1:98">
      <c r="A4266" s="532"/>
      <c r="AR4266" s="2513"/>
      <c r="CT4266" s="531"/>
    </row>
    <row r="4267" spans="1:98">
      <c r="A4267" s="532"/>
      <c r="AR4267" s="2513"/>
      <c r="CT4267" s="531"/>
    </row>
    <row r="4268" spans="1:98">
      <c r="A4268" s="532"/>
      <c r="AR4268" s="2513"/>
      <c r="CT4268" s="531"/>
    </row>
    <row r="4269" spans="1:98">
      <c r="A4269" s="532"/>
      <c r="AR4269" s="2513"/>
      <c r="CT4269" s="531"/>
    </row>
    <row r="4270" spans="1:98">
      <c r="A4270" s="532"/>
      <c r="AR4270" s="2513"/>
      <c r="CT4270" s="531"/>
    </row>
    <row r="4271" spans="1:98">
      <c r="A4271" s="532"/>
      <c r="AR4271" s="2513"/>
      <c r="CT4271" s="531"/>
    </row>
    <row r="4272" spans="1:98">
      <c r="A4272" s="532"/>
      <c r="AR4272" s="2513"/>
      <c r="CT4272" s="531"/>
    </row>
    <row r="4273" spans="1:98">
      <c r="A4273" s="532"/>
      <c r="AR4273" s="2513"/>
      <c r="CT4273" s="531"/>
    </row>
    <row r="4274" spans="1:98">
      <c r="A4274" s="532"/>
      <c r="AR4274" s="2513"/>
      <c r="CT4274" s="531"/>
    </row>
    <row r="4275" spans="1:98">
      <c r="A4275" s="532"/>
      <c r="AR4275" s="2513"/>
      <c r="CT4275" s="531"/>
    </row>
    <row r="4276" spans="1:98">
      <c r="A4276" s="532"/>
      <c r="AR4276" s="2513"/>
      <c r="CT4276" s="531"/>
    </row>
    <row r="4277" spans="1:98">
      <c r="A4277" s="532"/>
      <c r="AR4277" s="2513"/>
      <c r="CT4277" s="531"/>
    </row>
    <row r="4278" spans="1:98">
      <c r="A4278" s="532"/>
      <c r="AR4278" s="2513"/>
      <c r="CT4278" s="531"/>
    </row>
    <row r="4279" spans="1:98">
      <c r="A4279" s="532"/>
      <c r="AR4279" s="2513"/>
      <c r="CT4279" s="531"/>
    </row>
    <row r="4280" spans="1:98">
      <c r="A4280" s="532"/>
      <c r="AR4280" s="2513"/>
      <c r="CT4280" s="531"/>
    </row>
    <row r="4281" spans="1:98">
      <c r="A4281" s="532"/>
      <c r="AR4281" s="2513"/>
      <c r="CT4281" s="531"/>
    </row>
    <row r="4282" spans="1:98">
      <c r="A4282" s="532"/>
      <c r="AR4282" s="2513"/>
      <c r="CT4282" s="531"/>
    </row>
    <row r="4283" spans="1:98">
      <c r="A4283" s="532"/>
      <c r="AR4283" s="2513"/>
      <c r="CT4283" s="531"/>
    </row>
    <row r="4284" spans="1:98">
      <c r="A4284" s="532"/>
      <c r="AR4284" s="2513"/>
      <c r="CT4284" s="531"/>
    </row>
    <row r="4285" spans="1:98">
      <c r="A4285" s="532"/>
      <c r="AR4285" s="2513"/>
      <c r="CT4285" s="531"/>
    </row>
    <row r="4286" spans="1:98">
      <c r="A4286" s="532"/>
      <c r="AR4286" s="2513"/>
      <c r="CT4286" s="531"/>
    </row>
    <row r="4287" spans="1:98">
      <c r="A4287" s="532"/>
      <c r="AR4287" s="2513"/>
      <c r="CT4287" s="531"/>
    </row>
    <row r="4288" spans="1:98">
      <c r="A4288" s="532"/>
      <c r="AR4288" s="2513"/>
      <c r="CT4288" s="531"/>
    </row>
    <row r="4289" spans="1:98">
      <c r="A4289" s="532"/>
      <c r="AR4289" s="2513"/>
      <c r="CT4289" s="531"/>
    </row>
    <row r="4290" spans="1:98">
      <c r="A4290" s="532"/>
      <c r="AR4290" s="2513"/>
      <c r="CT4290" s="531"/>
    </row>
    <row r="4291" spans="1:98">
      <c r="A4291" s="532"/>
      <c r="AR4291" s="2513"/>
      <c r="CT4291" s="531"/>
    </row>
    <row r="4292" spans="1:98">
      <c r="A4292" s="532"/>
      <c r="AR4292" s="2513"/>
      <c r="CT4292" s="531"/>
    </row>
    <row r="4293" spans="1:98">
      <c r="A4293" s="532"/>
      <c r="AR4293" s="2513"/>
      <c r="CT4293" s="531"/>
    </row>
    <row r="4294" spans="1:98">
      <c r="A4294" s="532"/>
      <c r="AR4294" s="2513"/>
      <c r="CT4294" s="531"/>
    </row>
    <row r="4295" spans="1:98">
      <c r="A4295" s="532"/>
      <c r="AR4295" s="2513"/>
      <c r="CT4295" s="531"/>
    </row>
    <row r="4296" spans="1:98">
      <c r="A4296" s="532"/>
      <c r="AR4296" s="2513"/>
      <c r="CT4296" s="531"/>
    </row>
    <row r="4297" spans="1:98">
      <c r="A4297" s="532"/>
      <c r="AR4297" s="2513"/>
      <c r="CT4297" s="531"/>
    </row>
    <row r="4298" spans="1:98">
      <c r="A4298" s="532"/>
      <c r="AR4298" s="2513"/>
      <c r="CT4298" s="531"/>
    </row>
    <row r="4299" spans="1:98">
      <c r="A4299" s="532"/>
      <c r="AR4299" s="2513"/>
      <c r="CT4299" s="531"/>
    </row>
    <row r="4300" spans="1:98">
      <c r="A4300" s="532"/>
      <c r="AR4300" s="2513"/>
      <c r="CT4300" s="531"/>
    </row>
    <row r="4301" spans="1:98">
      <c r="A4301" s="532"/>
      <c r="AR4301" s="2513"/>
      <c r="CT4301" s="531"/>
    </row>
    <row r="4302" spans="1:98">
      <c r="A4302" s="532"/>
      <c r="AR4302" s="2513"/>
      <c r="CT4302" s="531"/>
    </row>
    <row r="4303" spans="1:98">
      <c r="A4303" s="532"/>
      <c r="AR4303" s="2513"/>
      <c r="CT4303" s="531"/>
    </row>
    <row r="4304" spans="1:98">
      <c r="A4304" s="532"/>
      <c r="AR4304" s="2513"/>
      <c r="CT4304" s="531"/>
    </row>
    <row r="4305" spans="1:98">
      <c r="A4305" s="532"/>
      <c r="AR4305" s="2513"/>
      <c r="CT4305" s="531"/>
    </row>
    <row r="4306" spans="1:98">
      <c r="A4306" s="532"/>
      <c r="AR4306" s="2513"/>
      <c r="CT4306" s="531"/>
    </row>
    <row r="4307" spans="1:98">
      <c r="A4307" s="532"/>
      <c r="AR4307" s="2513"/>
      <c r="CT4307" s="531"/>
    </row>
    <row r="4308" spans="1:98">
      <c r="A4308" s="532"/>
      <c r="AR4308" s="2513"/>
      <c r="CT4308" s="531"/>
    </row>
    <row r="4309" spans="1:98">
      <c r="A4309" s="532"/>
      <c r="AR4309" s="2513"/>
      <c r="CT4309" s="531"/>
    </row>
    <row r="4310" spans="1:98">
      <c r="A4310" s="532"/>
      <c r="AR4310" s="2513"/>
      <c r="CT4310" s="531"/>
    </row>
    <row r="4311" spans="1:98">
      <c r="A4311" s="532"/>
      <c r="AR4311" s="2513"/>
      <c r="CT4311" s="531"/>
    </row>
    <row r="4312" spans="1:98">
      <c r="A4312" s="532"/>
      <c r="AR4312" s="2513"/>
      <c r="CT4312" s="531"/>
    </row>
    <row r="4313" spans="1:98">
      <c r="A4313" s="532"/>
      <c r="AR4313" s="2513"/>
      <c r="CT4313" s="531"/>
    </row>
    <row r="4314" spans="1:98">
      <c r="A4314" s="532"/>
      <c r="AR4314" s="2513"/>
      <c r="CT4314" s="531"/>
    </row>
    <row r="4315" spans="1:98">
      <c r="A4315" s="532"/>
      <c r="AR4315" s="2513"/>
      <c r="CT4315" s="531"/>
    </row>
    <row r="4316" spans="1:98">
      <c r="A4316" s="532"/>
      <c r="AR4316" s="2513"/>
      <c r="CT4316" s="531"/>
    </row>
    <row r="4317" spans="1:98">
      <c r="A4317" s="532"/>
      <c r="AR4317" s="2513"/>
      <c r="CT4317" s="531"/>
    </row>
    <row r="4318" spans="1:98">
      <c r="A4318" s="532"/>
      <c r="AR4318" s="2513"/>
      <c r="CT4318" s="531"/>
    </row>
    <row r="4319" spans="1:98">
      <c r="A4319" s="532"/>
      <c r="AR4319" s="2513"/>
      <c r="CT4319" s="531"/>
    </row>
    <row r="4320" spans="1:98">
      <c r="A4320" s="532"/>
      <c r="AR4320" s="2513"/>
      <c r="CT4320" s="531"/>
    </row>
    <row r="4321" spans="1:98">
      <c r="A4321" s="532"/>
      <c r="AR4321" s="2513"/>
      <c r="CT4321" s="531"/>
    </row>
    <row r="4322" spans="1:98">
      <c r="A4322" s="532"/>
      <c r="AR4322" s="2513"/>
      <c r="CT4322" s="531"/>
    </row>
    <row r="4323" spans="1:98">
      <c r="A4323" s="532"/>
      <c r="AR4323" s="2513"/>
      <c r="CT4323" s="531"/>
    </row>
    <row r="4324" spans="1:98">
      <c r="A4324" s="532"/>
      <c r="AR4324" s="2513"/>
      <c r="CT4324" s="531"/>
    </row>
    <row r="4325" spans="1:98">
      <c r="A4325" s="532"/>
      <c r="AR4325" s="2513"/>
      <c r="CT4325" s="531"/>
    </row>
    <row r="4326" spans="1:98">
      <c r="A4326" s="532"/>
      <c r="AR4326" s="2513"/>
      <c r="CT4326" s="531"/>
    </row>
    <row r="4327" spans="1:98">
      <c r="A4327" s="532"/>
      <c r="AR4327" s="2513"/>
      <c r="CT4327" s="531"/>
    </row>
    <row r="4328" spans="1:98">
      <c r="A4328" s="532"/>
      <c r="AR4328" s="2513"/>
      <c r="CT4328" s="531"/>
    </row>
    <row r="4329" spans="1:98">
      <c r="A4329" s="532"/>
      <c r="AR4329" s="2513"/>
      <c r="CT4329" s="531"/>
    </row>
    <row r="4330" spans="1:98">
      <c r="A4330" s="532"/>
      <c r="AR4330" s="2513"/>
      <c r="CT4330" s="531"/>
    </row>
    <row r="4331" spans="1:98">
      <c r="A4331" s="532"/>
      <c r="AR4331" s="2513"/>
      <c r="CT4331" s="531"/>
    </row>
    <row r="4332" spans="1:98">
      <c r="A4332" s="532"/>
      <c r="AR4332" s="2513"/>
      <c r="CT4332" s="531"/>
    </row>
    <row r="4333" spans="1:98">
      <c r="A4333" s="532"/>
      <c r="AR4333" s="2513"/>
      <c r="CT4333" s="531"/>
    </row>
    <row r="4334" spans="1:98">
      <c r="A4334" s="532"/>
      <c r="AR4334" s="2513"/>
      <c r="CT4334" s="531"/>
    </row>
    <row r="4335" spans="1:98">
      <c r="A4335" s="532"/>
      <c r="AR4335" s="2513"/>
      <c r="CT4335" s="531"/>
    </row>
    <row r="4336" spans="1:98">
      <c r="A4336" s="532"/>
      <c r="AR4336" s="2513"/>
      <c r="CT4336" s="531"/>
    </row>
    <row r="4337" spans="1:98">
      <c r="A4337" s="532"/>
      <c r="AR4337" s="2513"/>
      <c r="CT4337" s="531"/>
    </row>
    <row r="4338" spans="1:98">
      <c r="A4338" s="532"/>
      <c r="AR4338" s="2513"/>
      <c r="CT4338" s="531"/>
    </row>
    <row r="4339" spans="1:98">
      <c r="A4339" s="532"/>
      <c r="AR4339" s="2513"/>
      <c r="CT4339" s="531"/>
    </row>
    <row r="4340" spans="1:98">
      <c r="A4340" s="532"/>
      <c r="AR4340" s="2513"/>
      <c r="CT4340" s="531"/>
    </row>
    <row r="4341" spans="1:98">
      <c r="A4341" s="532"/>
      <c r="AR4341" s="2513"/>
      <c r="CT4341" s="531"/>
    </row>
    <row r="4342" spans="1:98">
      <c r="A4342" s="532"/>
      <c r="AR4342" s="2513"/>
      <c r="CT4342" s="531"/>
    </row>
    <row r="4343" spans="1:98">
      <c r="A4343" s="532"/>
      <c r="AR4343" s="2513"/>
      <c r="CT4343" s="531"/>
    </row>
    <row r="4344" spans="1:98">
      <c r="A4344" s="532"/>
      <c r="AR4344" s="2513"/>
      <c r="CT4344" s="531"/>
    </row>
    <row r="4345" spans="1:98">
      <c r="A4345" s="532"/>
      <c r="AR4345" s="2513"/>
      <c r="CT4345" s="531"/>
    </row>
    <row r="4346" spans="1:98">
      <c r="A4346" s="532"/>
      <c r="AR4346" s="2513"/>
      <c r="CT4346" s="531"/>
    </row>
    <row r="4347" spans="1:98">
      <c r="A4347" s="532"/>
      <c r="AR4347" s="2513"/>
      <c r="CT4347" s="531"/>
    </row>
    <row r="4348" spans="1:98">
      <c r="A4348" s="532"/>
      <c r="AR4348" s="2513"/>
      <c r="CT4348" s="531"/>
    </row>
    <row r="4349" spans="1:98">
      <c r="A4349" s="532"/>
      <c r="AR4349" s="2513"/>
      <c r="CT4349" s="531"/>
    </row>
    <row r="4350" spans="1:98">
      <c r="A4350" s="532"/>
      <c r="AR4350" s="2513"/>
      <c r="CT4350" s="531"/>
    </row>
    <row r="4351" spans="1:98">
      <c r="A4351" s="532"/>
      <c r="AR4351" s="2513"/>
      <c r="CT4351" s="531"/>
    </row>
    <row r="4352" spans="1:98">
      <c r="A4352" s="532"/>
      <c r="AR4352" s="2513"/>
      <c r="CT4352" s="531"/>
    </row>
    <row r="4353" spans="1:98">
      <c r="A4353" s="532"/>
      <c r="AR4353" s="2513"/>
      <c r="CT4353" s="531"/>
    </row>
    <row r="4354" spans="1:98">
      <c r="A4354" s="532"/>
      <c r="AR4354" s="2513"/>
      <c r="CT4354" s="531"/>
    </row>
    <row r="4355" spans="1:98">
      <c r="A4355" s="532"/>
      <c r="AR4355" s="2513"/>
      <c r="CT4355" s="531"/>
    </row>
    <row r="4356" spans="1:98">
      <c r="A4356" s="532"/>
      <c r="AR4356" s="2513"/>
      <c r="CT4356" s="531"/>
    </row>
    <row r="4357" spans="1:98">
      <c r="A4357" s="532"/>
      <c r="AR4357" s="2513"/>
      <c r="CT4357" s="531"/>
    </row>
    <row r="4358" spans="1:98">
      <c r="A4358" s="532"/>
      <c r="AR4358" s="2513"/>
      <c r="CT4358" s="531"/>
    </row>
    <row r="4359" spans="1:98">
      <c r="A4359" s="532"/>
      <c r="AR4359" s="2513"/>
      <c r="CT4359" s="531"/>
    </row>
    <row r="4360" spans="1:98">
      <c r="A4360" s="532"/>
      <c r="AR4360" s="2513"/>
      <c r="CT4360" s="531"/>
    </row>
    <row r="4361" spans="1:98">
      <c r="A4361" s="532"/>
      <c r="AR4361" s="2513"/>
      <c r="CT4361" s="531"/>
    </row>
    <row r="4362" spans="1:98">
      <c r="A4362" s="532"/>
      <c r="AR4362" s="2513"/>
      <c r="CT4362" s="531"/>
    </row>
    <row r="4363" spans="1:98">
      <c r="A4363" s="532"/>
      <c r="AR4363" s="2513"/>
      <c r="CT4363" s="531"/>
    </row>
    <row r="4364" spans="1:98">
      <c r="A4364" s="532"/>
      <c r="AR4364" s="2513"/>
      <c r="CT4364" s="531"/>
    </row>
    <row r="4365" spans="1:98">
      <c r="A4365" s="532"/>
      <c r="AR4365" s="2513"/>
      <c r="CT4365" s="531"/>
    </row>
    <row r="4366" spans="1:98">
      <c r="A4366" s="532"/>
      <c r="AR4366" s="2513"/>
      <c r="CT4366" s="531"/>
    </row>
    <row r="4367" spans="1:98">
      <c r="A4367" s="532"/>
      <c r="AR4367" s="2513"/>
      <c r="CT4367" s="531"/>
    </row>
    <row r="4368" spans="1:98">
      <c r="A4368" s="532"/>
      <c r="AR4368" s="2513"/>
      <c r="CT4368" s="531"/>
    </row>
    <row r="4369" spans="1:98">
      <c r="A4369" s="532"/>
      <c r="AR4369" s="2513"/>
      <c r="CT4369" s="531"/>
    </row>
    <row r="4370" spans="1:98">
      <c r="A4370" s="532"/>
      <c r="AR4370" s="2513"/>
      <c r="CT4370" s="531"/>
    </row>
    <row r="4371" spans="1:98">
      <c r="A4371" s="532"/>
      <c r="AR4371" s="2513"/>
      <c r="CT4371" s="531"/>
    </row>
    <row r="4372" spans="1:98">
      <c r="A4372" s="532"/>
      <c r="AR4372" s="2513"/>
      <c r="CT4372" s="531"/>
    </row>
    <row r="4373" spans="1:98">
      <c r="A4373" s="532"/>
      <c r="AR4373" s="2513"/>
      <c r="CT4373" s="531"/>
    </row>
    <row r="4374" spans="1:98">
      <c r="A4374" s="532"/>
      <c r="AR4374" s="2513"/>
      <c r="CT4374" s="531"/>
    </row>
    <row r="4375" spans="1:98">
      <c r="A4375" s="532"/>
      <c r="AR4375" s="2513"/>
      <c r="CT4375" s="531"/>
    </row>
    <row r="4376" spans="1:98">
      <c r="A4376" s="532"/>
      <c r="AR4376" s="2513"/>
      <c r="CT4376" s="531"/>
    </row>
    <row r="4377" spans="1:98">
      <c r="A4377" s="532"/>
      <c r="AR4377" s="2513"/>
      <c r="CT4377" s="531"/>
    </row>
    <row r="4378" spans="1:98">
      <c r="A4378" s="532"/>
      <c r="AR4378" s="2513"/>
      <c r="CT4378" s="531"/>
    </row>
    <row r="4379" spans="1:98">
      <c r="A4379" s="532"/>
      <c r="AR4379" s="2513"/>
      <c r="CT4379" s="531"/>
    </row>
    <row r="4380" spans="1:98">
      <c r="A4380" s="532"/>
      <c r="AR4380" s="2513"/>
      <c r="CT4380" s="531"/>
    </row>
    <row r="4381" spans="1:98">
      <c r="A4381" s="532"/>
      <c r="AR4381" s="2513"/>
      <c r="CT4381" s="531"/>
    </row>
    <row r="4382" spans="1:98">
      <c r="A4382" s="532"/>
      <c r="AR4382" s="2513"/>
      <c r="CT4382" s="531"/>
    </row>
    <row r="4383" spans="1:98">
      <c r="A4383" s="532"/>
      <c r="AR4383" s="2513"/>
      <c r="CT4383" s="531"/>
    </row>
    <row r="4384" spans="1:98">
      <c r="A4384" s="532"/>
      <c r="AR4384" s="2513"/>
      <c r="CT4384" s="531"/>
    </row>
    <row r="4385" spans="1:98">
      <c r="A4385" s="532"/>
      <c r="AR4385" s="2513"/>
      <c r="CT4385" s="531"/>
    </row>
    <row r="4386" spans="1:98">
      <c r="A4386" s="532"/>
      <c r="AR4386" s="2513"/>
      <c r="CT4386" s="531"/>
    </row>
    <row r="4387" spans="1:98">
      <c r="A4387" s="532"/>
      <c r="AR4387" s="2513"/>
      <c r="CT4387" s="531"/>
    </row>
    <row r="4388" spans="1:98">
      <c r="A4388" s="532"/>
      <c r="AR4388" s="2513"/>
      <c r="CT4388" s="531"/>
    </row>
    <row r="4389" spans="1:98">
      <c r="A4389" s="532"/>
      <c r="AR4389" s="2513"/>
      <c r="CT4389" s="531"/>
    </row>
    <row r="4390" spans="1:98">
      <c r="A4390" s="532"/>
      <c r="AR4390" s="2513"/>
      <c r="CT4390" s="531"/>
    </row>
    <row r="4391" spans="1:98">
      <c r="A4391" s="532"/>
      <c r="AR4391" s="2513"/>
      <c r="CT4391" s="531"/>
    </row>
    <row r="4392" spans="1:98">
      <c r="A4392" s="532"/>
      <c r="AR4392" s="2513"/>
      <c r="CT4392" s="531"/>
    </row>
    <row r="4393" spans="1:98">
      <c r="A4393" s="532"/>
      <c r="AR4393" s="2513"/>
      <c r="CT4393" s="531"/>
    </row>
    <row r="4394" spans="1:98">
      <c r="A4394" s="532"/>
      <c r="AR4394" s="2513"/>
      <c r="CT4394" s="531"/>
    </row>
    <row r="4395" spans="1:98">
      <c r="A4395" s="532"/>
      <c r="AR4395" s="2513"/>
      <c r="CT4395" s="531"/>
    </row>
    <row r="4396" spans="1:98">
      <c r="A4396" s="532"/>
      <c r="AR4396" s="2513"/>
      <c r="CT4396" s="531"/>
    </row>
    <row r="4397" spans="1:98">
      <c r="A4397" s="532"/>
      <c r="AR4397" s="2513"/>
      <c r="CT4397" s="531"/>
    </row>
    <row r="4398" spans="1:98">
      <c r="A4398" s="532"/>
      <c r="AR4398" s="2513"/>
      <c r="CT4398" s="531"/>
    </row>
    <row r="4399" spans="1:98">
      <c r="A4399" s="532"/>
      <c r="AR4399" s="2513"/>
      <c r="CT4399" s="531"/>
    </row>
    <row r="4400" spans="1:98">
      <c r="A4400" s="532"/>
      <c r="AR4400" s="2513"/>
      <c r="CT4400" s="531"/>
    </row>
    <row r="4401" spans="1:98">
      <c r="A4401" s="532"/>
      <c r="AR4401" s="2513"/>
      <c r="CT4401" s="531"/>
    </row>
    <row r="4402" spans="1:98">
      <c r="A4402" s="532"/>
      <c r="AR4402" s="2513"/>
      <c r="CT4402" s="531"/>
    </row>
    <row r="4403" spans="1:98">
      <c r="A4403" s="532"/>
      <c r="AR4403" s="2513"/>
      <c r="CT4403" s="531"/>
    </row>
    <row r="4404" spans="1:98">
      <c r="A4404" s="532"/>
      <c r="AR4404" s="2513"/>
      <c r="CT4404" s="531"/>
    </row>
    <row r="4405" spans="1:98">
      <c r="A4405" s="532"/>
      <c r="AR4405" s="2513"/>
      <c r="CT4405" s="531"/>
    </row>
    <row r="4406" spans="1:98">
      <c r="A4406" s="532"/>
      <c r="AR4406" s="2513"/>
      <c r="CT4406" s="531"/>
    </row>
    <row r="4407" spans="1:98">
      <c r="A4407" s="532"/>
      <c r="AR4407" s="2513"/>
      <c r="CT4407" s="531"/>
    </row>
    <row r="4408" spans="1:98">
      <c r="A4408" s="532"/>
      <c r="AR4408" s="2513"/>
      <c r="CT4408" s="531"/>
    </row>
    <row r="4409" spans="1:98">
      <c r="A4409" s="532"/>
      <c r="AR4409" s="2513"/>
      <c r="CT4409" s="531"/>
    </row>
    <row r="4410" spans="1:98">
      <c r="A4410" s="532"/>
      <c r="AR4410" s="2513"/>
      <c r="CT4410" s="531"/>
    </row>
    <row r="4411" spans="1:98">
      <c r="A4411" s="532"/>
      <c r="AR4411" s="2513"/>
      <c r="CT4411" s="531"/>
    </row>
    <row r="4412" spans="1:98">
      <c r="A4412" s="532"/>
      <c r="AR4412" s="2513"/>
      <c r="CT4412" s="531"/>
    </row>
    <row r="4413" spans="1:98">
      <c r="A4413" s="532"/>
      <c r="AR4413" s="2513"/>
      <c r="CT4413" s="531"/>
    </row>
    <row r="4414" spans="1:98">
      <c r="A4414" s="532"/>
      <c r="AR4414" s="2513"/>
      <c r="CT4414" s="531"/>
    </row>
    <row r="4415" spans="1:98">
      <c r="A4415" s="532"/>
      <c r="AR4415" s="2513"/>
      <c r="CT4415" s="531"/>
    </row>
    <row r="4416" spans="1:98">
      <c r="A4416" s="532"/>
      <c r="AR4416" s="2513"/>
      <c r="CT4416" s="531"/>
    </row>
    <row r="4417" spans="1:98">
      <c r="A4417" s="532"/>
      <c r="AR4417" s="2513"/>
      <c r="CT4417" s="531"/>
    </row>
    <row r="4418" spans="1:98">
      <c r="A4418" s="532"/>
      <c r="AR4418" s="2513"/>
      <c r="CT4418" s="531"/>
    </row>
    <row r="4419" spans="1:98">
      <c r="A4419" s="532"/>
      <c r="AR4419" s="2513"/>
      <c r="CT4419" s="531"/>
    </row>
    <row r="4420" spans="1:98">
      <c r="A4420" s="532"/>
      <c r="AR4420" s="2513"/>
      <c r="CT4420" s="531"/>
    </row>
    <row r="4421" spans="1:98">
      <c r="A4421" s="532"/>
      <c r="AR4421" s="2513"/>
      <c r="CT4421" s="531"/>
    </row>
    <row r="4422" spans="1:98">
      <c r="A4422" s="532"/>
      <c r="AR4422" s="2513"/>
      <c r="CT4422" s="531"/>
    </row>
    <row r="4423" spans="1:98">
      <c r="A4423" s="532"/>
      <c r="AR4423" s="2513"/>
      <c r="CT4423" s="531"/>
    </row>
    <row r="4424" spans="1:98">
      <c r="A4424" s="532"/>
      <c r="AR4424" s="2513"/>
      <c r="CT4424" s="531"/>
    </row>
    <row r="4425" spans="1:98">
      <c r="A4425" s="532"/>
      <c r="AR4425" s="2513"/>
      <c r="CT4425" s="531"/>
    </row>
    <row r="4426" spans="1:98">
      <c r="A4426" s="532"/>
      <c r="AR4426" s="2513"/>
      <c r="CT4426" s="531"/>
    </row>
    <row r="4427" spans="1:98">
      <c r="A4427" s="532"/>
      <c r="AR4427" s="2513"/>
      <c r="CT4427" s="531"/>
    </row>
    <row r="4428" spans="1:98">
      <c r="A4428" s="532"/>
      <c r="AR4428" s="2513"/>
      <c r="CT4428" s="531"/>
    </row>
    <row r="4429" spans="1:98">
      <c r="A4429" s="532"/>
      <c r="AR4429" s="2513"/>
      <c r="CT4429" s="531"/>
    </row>
    <row r="4430" spans="1:98">
      <c r="A4430" s="532"/>
      <c r="AR4430" s="2513"/>
      <c r="CT4430" s="531"/>
    </row>
    <row r="4431" spans="1:98">
      <c r="A4431" s="532"/>
      <c r="AR4431" s="2513"/>
      <c r="CT4431" s="531"/>
    </row>
    <row r="4432" spans="1:98">
      <c r="A4432" s="532"/>
      <c r="AR4432" s="2513"/>
      <c r="CT4432" s="531"/>
    </row>
    <row r="4433" spans="1:98">
      <c r="A4433" s="532"/>
      <c r="AR4433" s="2513"/>
      <c r="CT4433" s="531"/>
    </row>
    <row r="4434" spans="1:98">
      <c r="A4434" s="532"/>
      <c r="AR4434" s="2513"/>
      <c r="CT4434" s="531"/>
    </row>
    <row r="4435" spans="1:98">
      <c r="A4435" s="532"/>
      <c r="AR4435" s="2513"/>
      <c r="CT4435" s="531"/>
    </row>
    <row r="4436" spans="1:98">
      <c r="A4436" s="532"/>
      <c r="AR4436" s="2513"/>
      <c r="CT4436" s="531"/>
    </row>
    <row r="4437" spans="1:98">
      <c r="A4437" s="532"/>
      <c r="AR4437" s="2513"/>
      <c r="CT4437" s="531"/>
    </row>
    <row r="4438" spans="1:98">
      <c r="A4438" s="532"/>
      <c r="AR4438" s="2513"/>
      <c r="CT4438" s="531"/>
    </row>
    <row r="4439" spans="1:98">
      <c r="A4439" s="532"/>
      <c r="AR4439" s="2513"/>
      <c r="CT4439" s="531"/>
    </row>
    <row r="4440" spans="1:98">
      <c r="A4440" s="532"/>
      <c r="AR4440" s="2513"/>
      <c r="CT4440" s="531"/>
    </row>
    <row r="4441" spans="1:98">
      <c r="A4441" s="532"/>
      <c r="AR4441" s="2513"/>
      <c r="CT4441" s="531"/>
    </row>
    <row r="4442" spans="1:98">
      <c r="A4442" s="532"/>
      <c r="AR4442" s="2513"/>
      <c r="CT4442" s="531"/>
    </row>
    <row r="4443" spans="1:98">
      <c r="A4443" s="532"/>
      <c r="AR4443" s="2513"/>
      <c r="CT4443" s="531"/>
    </row>
    <row r="4444" spans="1:98">
      <c r="A4444" s="532"/>
      <c r="AR4444" s="2513"/>
      <c r="CT4444" s="531"/>
    </row>
    <row r="4445" spans="1:98">
      <c r="A4445" s="532"/>
      <c r="AR4445" s="2513"/>
      <c r="CT4445" s="531"/>
    </row>
    <row r="4446" spans="1:98">
      <c r="A4446" s="532"/>
      <c r="AR4446" s="2513"/>
      <c r="CT4446" s="531"/>
    </row>
    <row r="4447" spans="1:98">
      <c r="A4447" s="532"/>
      <c r="AR4447" s="2513"/>
      <c r="CT4447" s="531"/>
    </row>
    <row r="4448" spans="1:98">
      <c r="A4448" s="532"/>
      <c r="AR4448" s="2513"/>
      <c r="CT4448" s="531"/>
    </row>
    <row r="4449" spans="1:98">
      <c r="A4449" s="532"/>
      <c r="AR4449" s="2513"/>
      <c r="CT4449" s="531"/>
    </row>
    <row r="4450" spans="1:98">
      <c r="A4450" s="532"/>
      <c r="AR4450" s="2513"/>
      <c r="CT4450" s="531"/>
    </row>
    <row r="4451" spans="1:98">
      <c r="A4451" s="532"/>
      <c r="AR4451" s="2513"/>
      <c r="CT4451" s="531"/>
    </row>
    <row r="4452" spans="1:98">
      <c r="A4452" s="532"/>
      <c r="AR4452" s="2513"/>
      <c r="CT4452" s="531"/>
    </row>
    <row r="4453" spans="1:98">
      <c r="A4453" s="532"/>
      <c r="AR4453" s="2513"/>
      <c r="CT4453" s="531"/>
    </row>
    <row r="4454" spans="1:98">
      <c r="A4454" s="532"/>
      <c r="AR4454" s="2513"/>
      <c r="CT4454" s="531"/>
    </row>
    <row r="4455" spans="1:98">
      <c r="A4455" s="532"/>
      <c r="AR4455" s="2513"/>
      <c r="CT4455" s="531"/>
    </row>
    <row r="4456" spans="1:98">
      <c r="A4456" s="532"/>
      <c r="AR4456" s="2513"/>
      <c r="CT4456" s="531"/>
    </row>
    <row r="4457" spans="1:98">
      <c r="A4457" s="532"/>
      <c r="AR4457" s="2513"/>
      <c r="CT4457" s="531"/>
    </row>
    <row r="4458" spans="1:98">
      <c r="A4458" s="532"/>
      <c r="AR4458" s="2513"/>
      <c r="CT4458" s="531"/>
    </row>
    <row r="4459" spans="1:98">
      <c r="A4459" s="532"/>
      <c r="AR4459" s="2513"/>
      <c r="CT4459" s="531"/>
    </row>
    <row r="4460" spans="1:98">
      <c r="A4460" s="532"/>
      <c r="AR4460" s="2513"/>
      <c r="CT4460" s="531"/>
    </row>
    <row r="4461" spans="1:98">
      <c r="A4461" s="532"/>
      <c r="AR4461" s="2513"/>
      <c r="CT4461" s="531"/>
    </row>
    <row r="4462" spans="1:98">
      <c r="A4462" s="532"/>
      <c r="AR4462" s="2513"/>
      <c r="CT4462" s="531"/>
    </row>
    <row r="4463" spans="1:98">
      <c r="A4463" s="532"/>
      <c r="AR4463" s="2513"/>
      <c r="CT4463" s="531"/>
    </row>
    <row r="4464" spans="1:98">
      <c r="A4464" s="532"/>
      <c r="AR4464" s="2513"/>
      <c r="CT4464" s="531"/>
    </row>
    <row r="4465" spans="1:98">
      <c r="A4465" s="532"/>
      <c r="AR4465" s="2513"/>
      <c r="CT4465" s="531"/>
    </row>
    <row r="4466" spans="1:98">
      <c r="A4466" s="532"/>
      <c r="AR4466" s="2513"/>
      <c r="CT4466" s="531"/>
    </row>
    <row r="4467" spans="1:98">
      <c r="A4467" s="532"/>
      <c r="AR4467" s="2513"/>
      <c r="CT4467" s="531"/>
    </row>
    <row r="4468" spans="1:98">
      <c r="A4468" s="532"/>
      <c r="AR4468" s="2513"/>
      <c r="CT4468" s="531"/>
    </row>
    <row r="4469" spans="1:98">
      <c r="A4469" s="532"/>
      <c r="AR4469" s="2513"/>
      <c r="CT4469" s="531"/>
    </row>
    <row r="4470" spans="1:98">
      <c r="A4470" s="532"/>
      <c r="AR4470" s="2513"/>
      <c r="CT4470" s="531"/>
    </row>
    <row r="4471" spans="1:98">
      <c r="A4471" s="532"/>
      <c r="AR4471" s="2513"/>
      <c r="CT4471" s="531"/>
    </row>
    <row r="4472" spans="1:98">
      <c r="A4472" s="532"/>
      <c r="AR4472" s="2513"/>
      <c r="CT4472" s="531"/>
    </row>
    <row r="4473" spans="1:98">
      <c r="A4473" s="532"/>
      <c r="AR4473" s="2513"/>
      <c r="CT4473" s="531"/>
    </row>
    <row r="4474" spans="1:98">
      <c r="A4474" s="532"/>
      <c r="AR4474" s="2513"/>
      <c r="CT4474" s="531"/>
    </row>
    <row r="4475" spans="1:98">
      <c r="A4475" s="532"/>
      <c r="AR4475" s="2513"/>
      <c r="CT4475" s="531"/>
    </row>
    <row r="4476" spans="1:98">
      <c r="A4476" s="532"/>
      <c r="AR4476" s="2513"/>
      <c r="CT4476" s="531"/>
    </row>
    <row r="4477" spans="1:98">
      <c r="A4477" s="532"/>
      <c r="AR4477" s="2513"/>
      <c r="CT4477" s="531"/>
    </row>
    <row r="4478" spans="1:98">
      <c r="A4478" s="532"/>
      <c r="AR4478" s="2513"/>
      <c r="CT4478" s="531"/>
    </row>
    <row r="4479" spans="1:98">
      <c r="A4479" s="532"/>
      <c r="AR4479" s="2513"/>
      <c r="CT4479" s="531"/>
    </row>
    <row r="4480" spans="1:98">
      <c r="A4480" s="532"/>
      <c r="AR4480" s="2513"/>
      <c r="CT4480" s="531"/>
    </row>
    <row r="4481" spans="1:98">
      <c r="A4481" s="532"/>
      <c r="AR4481" s="2513"/>
      <c r="CT4481" s="531"/>
    </row>
    <row r="4482" spans="1:98">
      <c r="A4482" s="532"/>
      <c r="AR4482" s="2513"/>
      <c r="CT4482" s="531"/>
    </row>
    <row r="4483" spans="1:98">
      <c r="A4483" s="532"/>
      <c r="AR4483" s="2513"/>
      <c r="CT4483" s="531"/>
    </row>
    <row r="4484" spans="1:98">
      <c r="A4484" s="532"/>
      <c r="AR4484" s="2513"/>
      <c r="CT4484" s="531"/>
    </row>
    <row r="4485" spans="1:98">
      <c r="A4485" s="532"/>
      <c r="AR4485" s="2513"/>
      <c r="CT4485" s="531"/>
    </row>
    <row r="4486" spans="1:98">
      <c r="A4486" s="532"/>
      <c r="AR4486" s="2513"/>
      <c r="CT4486" s="531"/>
    </row>
    <row r="4487" spans="1:98">
      <c r="A4487" s="532"/>
      <c r="AR4487" s="2513"/>
      <c r="CT4487" s="531"/>
    </row>
    <row r="4488" spans="1:98">
      <c r="A4488" s="532"/>
      <c r="AR4488" s="2513"/>
      <c r="CT4488" s="531"/>
    </row>
    <row r="4489" spans="1:98">
      <c r="A4489" s="532"/>
      <c r="AR4489" s="2513"/>
      <c r="CT4489" s="531"/>
    </row>
    <row r="4490" spans="1:98">
      <c r="A4490" s="532"/>
      <c r="AR4490" s="2513"/>
      <c r="CT4490" s="531"/>
    </row>
    <row r="4491" spans="1:98">
      <c r="A4491" s="532"/>
      <c r="AR4491" s="2513"/>
      <c r="CT4491" s="531"/>
    </row>
    <row r="4492" spans="1:98">
      <c r="A4492" s="532"/>
      <c r="AR4492" s="2513"/>
      <c r="CT4492" s="531"/>
    </row>
    <row r="4493" spans="1:98">
      <c r="A4493" s="532"/>
      <c r="AR4493" s="2513"/>
      <c r="CT4493" s="531"/>
    </row>
    <row r="4494" spans="1:98">
      <c r="A4494" s="532"/>
      <c r="AR4494" s="2513"/>
      <c r="CT4494" s="531"/>
    </row>
    <row r="4495" spans="1:98">
      <c r="A4495" s="532"/>
      <c r="AR4495" s="2513"/>
      <c r="CT4495" s="531"/>
    </row>
    <row r="4496" spans="1:98">
      <c r="A4496" s="532"/>
      <c r="AR4496" s="2513"/>
      <c r="CT4496" s="531"/>
    </row>
    <row r="4497" spans="1:98">
      <c r="A4497" s="532"/>
      <c r="AR4497" s="2513"/>
      <c r="CT4497" s="531"/>
    </row>
    <row r="4498" spans="1:98">
      <c r="A4498" s="532"/>
      <c r="AR4498" s="2513"/>
      <c r="CT4498" s="531"/>
    </row>
    <row r="4499" spans="1:98">
      <c r="A4499" s="532"/>
      <c r="AR4499" s="2513"/>
      <c r="CT4499" s="531"/>
    </row>
    <row r="4500" spans="1:98">
      <c r="A4500" s="532"/>
      <c r="AR4500" s="2513"/>
      <c r="CT4500" s="531"/>
    </row>
    <row r="4501" spans="1:98">
      <c r="A4501" s="532"/>
      <c r="AR4501" s="2513"/>
      <c r="CT4501" s="531"/>
    </row>
    <row r="4502" spans="1:98">
      <c r="A4502" s="532"/>
      <c r="AR4502" s="2513"/>
      <c r="CT4502" s="531"/>
    </row>
    <row r="4503" spans="1:98">
      <c r="A4503" s="532"/>
      <c r="AR4503" s="2513"/>
      <c r="CT4503" s="531"/>
    </row>
    <row r="4504" spans="1:98">
      <c r="A4504" s="532"/>
      <c r="AR4504" s="2513"/>
      <c r="CT4504" s="531"/>
    </row>
    <row r="4505" spans="1:98">
      <c r="A4505" s="532"/>
      <c r="AR4505" s="2513"/>
      <c r="CT4505" s="531"/>
    </row>
    <row r="4506" spans="1:98">
      <c r="A4506" s="532"/>
      <c r="AR4506" s="2513"/>
      <c r="CT4506" s="531"/>
    </row>
    <row r="4507" spans="1:98">
      <c r="A4507" s="532"/>
      <c r="AR4507" s="2513"/>
      <c r="CT4507" s="531"/>
    </row>
    <row r="4508" spans="1:98">
      <c r="A4508" s="532"/>
      <c r="AR4508" s="2513"/>
      <c r="CT4508" s="531"/>
    </row>
    <row r="4509" spans="1:98">
      <c r="A4509" s="532"/>
      <c r="AR4509" s="2513"/>
      <c r="CT4509" s="531"/>
    </row>
    <row r="4510" spans="1:98">
      <c r="A4510" s="532"/>
      <c r="AR4510" s="2513"/>
      <c r="CT4510" s="531"/>
    </row>
    <row r="4511" spans="1:98">
      <c r="A4511" s="532"/>
      <c r="AR4511" s="2513"/>
      <c r="CT4511" s="531"/>
    </row>
    <row r="4512" spans="1:98">
      <c r="A4512" s="532"/>
      <c r="AR4512" s="2513"/>
      <c r="CT4512" s="531"/>
    </row>
    <row r="4513" spans="1:98">
      <c r="A4513" s="532"/>
      <c r="AR4513" s="2513"/>
      <c r="CT4513" s="531"/>
    </row>
    <row r="4514" spans="1:98">
      <c r="A4514" s="532"/>
      <c r="AR4514" s="2513"/>
      <c r="CT4514" s="531"/>
    </row>
    <row r="4515" spans="1:98">
      <c r="A4515" s="532"/>
      <c r="AR4515" s="2513"/>
      <c r="CT4515" s="531"/>
    </row>
    <row r="4516" spans="1:98">
      <c r="A4516" s="532"/>
      <c r="AR4516" s="2513"/>
      <c r="CT4516" s="531"/>
    </row>
    <row r="4517" spans="1:98">
      <c r="A4517" s="532"/>
      <c r="AR4517" s="2513"/>
      <c r="CT4517" s="531"/>
    </row>
    <row r="4518" spans="1:98">
      <c r="A4518" s="532"/>
      <c r="AR4518" s="2513"/>
      <c r="CT4518" s="531"/>
    </row>
    <row r="4519" spans="1:98">
      <c r="A4519" s="532"/>
      <c r="AR4519" s="2513"/>
      <c r="CT4519" s="531"/>
    </row>
    <row r="4520" spans="1:98">
      <c r="A4520" s="532"/>
      <c r="AR4520" s="2513"/>
      <c r="CT4520" s="531"/>
    </row>
    <row r="4521" spans="1:98">
      <c r="A4521" s="532"/>
      <c r="AR4521" s="2513"/>
      <c r="CT4521" s="531"/>
    </row>
    <row r="4522" spans="1:98">
      <c r="A4522" s="532"/>
      <c r="AR4522" s="2513"/>
      <c r="CT4522" s="531"/>
    </row>
    <row r="4523" spans="1:98">
      <c r="A4523" s="532"/>
      <c r="AR4523" s="2513"/>
      <c r="CT4523" s="531"/>
    </row>
    <row r="4524" spans="1:98">
      <c r="A4524" s="532"/>
      <c r="AR4524" s="2513"/>
      <c r="CT4524" s="531"/>
    </row>
    <row r="4525" spans="1:98">
      <c r="A4525" s="532"/>
      <c r="AR4525" s="2513"/>
      <c r="CT4525" s="531"/>
    </row>
    <row r="4526" spans="1:98">
      <c r="A4526" s="532"/>
      <c r="AR4526" s="2513"/>
      <c r="CT4526" s="531"/>
    </row>
    <row r="4527" spans="1:98">
      <c r="A4527" s="532"/>
      <c r="AR4527" s="2513"/>
      <c r="CT4527" s="531"/>
    </row>
    <row r="4528" spans="1:98">
      <c r="A4528" s="532"/>
      <c r="AR4528" s="2513"/>
      <c r="CT4528" s="531"/>
    </row>
    <row r="4529" spans="1:98">
      <c r="A4529" s="532"/>
      <c r="AR4529" s="2513"/>
      <c r="CT4529" s="531"/>
    </row>
    <row r="4530" spans="1:98">
      <c r="A4530" s="532"/>
      <c r="AR4530" s="2513"/>
      <c r="CT4530" s="531"/>
    </row>
    <row r="4531" spans="1:98">
      <c r="A4531" s="532"/>
      <c r="AR4531" s="2513"/>
      <c r="CT4531" s="531"/>
    </row>
    <row r="4532" spans="1:98">
      <c r="A4532" s="532"/>
      <c r="AR4532" s="2513"/>
      <c r="CT4532" s="531"/>
    </row>
    <row r="4533" spans="1:98">
      <c r="A4533" s="532"/>
      <c r="AR4533" s="2513"/>
      <c r="CT4533" s="531"/>
    </row>
    <row r="4534" spans="1:98">
      <c r="A4534" s="532"/>
      <c r="AR4534" s="2513"/>
      <c r="CT4534" s="531"/>
    </row>
    <row r="4535" spans="1:98">
      <c r="A4535" s="532"/>
      <c r="AR4535" s="2513"/>
      <c r="CT4535" s="531"/>
    </row>
    <row r="4536" spans="1:98">
      <c r="A4536" s="532"/>
      <c r="AR4536" s="2513"/>
      <c r="CT4536" s="531"/>
    </row>
    <row r="4537" spans="1:98">
      <c r="A4537" s="532"/>
      <c r="AR4537" s="2513"/>
      <c r="CT4537" s="531"/>
    </row>
    <row r="4538" spans="1:98">
      <c r="A4538" s="532"/>
      <c r="AR4538" s="2513"/>
      <c r="CT4538" s="531"/>
    </row>
    <row r="4539" spans="1:98">
      <c r="A4539" s="532"/>
      <c r="AR4539" s="2513"/>
      <c r="CT4539" s="531"/>
    </row>
    <row r="4540" spans="1:98">
      <c r="A4540" s="532"/>
      <c r="AR4540" s="2513"/>
      <c r="CT4540" s="531"/>
    </row>
    <row r="4541" spans="1:98">
      <c r="A4541" s="532"/>
      <c r="AR4541" s="2513"/>
      <c r="CT4541" s="531"/>
    </row>
    <row r="4542" spans="1:98">
      <c r="A4542" s="532"/>
      <c r="AR4542" s="2513"/>
      <c r="CT4542" s="531"/>
    </row>
    <row r="4543" spans="1:98">
      <c r="A4543" s="532"/>
      <c r="AR4543" s="2513"/>
      <c r="CT4543" s="531"/>
    </row>
    <row r="4544" spans="1:98">
      <c r="A4544" s="532"/>
      <c r="AR4544" s="2513"/>
      <c r="CT4544" s="531"/>
    </row>
    <row r="4545" spans="1:98">
      <c r="A4545" s="532"/>
      <c r="AR4545" s="2513"/>
      <c r="CT4545" s="531"/>
    </row>
    <row r="4546" spans="1:98">
      <c r="A4546" s="532"/>
      <c r="AR4546" s="2513"/>
      <c r="CT4546" s="531"/>
    </row>
    <row r="4547" spans="1:98">
      <c r="A4547" s="532"/>
      <c r="AR4547" s="2513"/>
      <c r="CT4547" s="531"/>
    </row>
    <row r="4548" spans="1:98">
      <c r="A4548" s="532"/>
      <c r="AR4548" s="2513"/>
      <c r="CT4548" s="531"/>
    </row>
    <row r="4549" spans="1:98">
      <c r="A4549" s="532"/>
      <c r="AR4549" s="2513"/>
      <c r="CT4549" s="531"/>
    </row>
    <row r="4550" spans="1:98">
      <c r="A4550" s="532"/>
      <c r="AR4550" s="2513"/>
      <c r="CT4550" s="531"/>
    </row>
    <row r="4551" spans="1:98">
      <c r="A4551" s="532"/>
      <c r="AR4551" s="2513"/>
      <c r="CT4551" s="531"/>
    </row>
    <row r="4552" spans="1:98">
      <c r="A4552" s="532"/>
      <c r="AR4552" s="2513"/>
      <c r="CT4552" s="531"/>
    </row>
    <row r="4553" spans="1:98">
      <c r="A4553" s="532"/>
      <c r="AR4553" s="2513"/>
      <c r="CT4553" s="531"/>
    </row>
    <row r="4554" spans="1:98">
      <c r="A4554" s="532"/>
      <c r="AR4554" s="2513"/>
      <c r="CT4554" s="531"/>
    </row>
    <row r="4555" spans="1:98">
      <c r="A4555" s="532"/>
      <c r="AR4555" s="2513"/>
      <c r="CT4555" s="531"/>
    </row>
    <row r="4556" spans="1:98">
      <c r="A4556" s="532"/>
      <c r="AR4556" s="2513"/>
      <c r="CT4556" s="531"/>
    </row>
    <row r="4557" spans="1:98">
      <c r="A4557" s="532"/>
      <c r="AR4557" s="2513"/>
      <c r="CT4557" s="531"/>
    </row>
    <row r="4558" spans="1:98">
      <c r="A4558" s="532"/>
      <c r="AR4558" s="2513"/>
      <c r="CT4558" s="531"/>
    </row>
    <row r="4559" spans="1:98">
      <c r="A4559" s="532"/>
      <c r="AR4559" s="2513"/>
      <c r="CT4559" s="531"/>
    </row>
    <row r="4560" spans="1:98">
      <c r="A4560" s="532"/>
      <c r="AR4560" s="2513"/>
      <c r="CT4560" s="531"/>
    </row>
    <row r="4561" spans="1:98">
      <c r="A4561" s="532"/>
      <c r="AR4561" s="2513"/>
      <c r="CT4561" s="531"/>
    </row>
    <row r="4562" spans="1:98">
      <c r="A4562" s="532"/>
      <c r="AR4562" s="2513"/>
      <c r="CT4562" s="531"/>
    </row>
    <row r="4563" spans="1:98">
      <c r="A4563" s="532"/>
      <c r="AR4563" s="2513"/>
      <c r="CT4563" s="531"/>
    </row>
    <row r="4564" spans="1:98">
      <c r="A4564" s="532"/>
      <c r="AR4564" s="2513"/>
      <c r="CT4564" s="531"/>
    </row>
    <row r="4565" spans="1:98">
      <c r="A4565" s="532"/>
      <c r="AR4565" s="2513"/>
      <c r="CT4565" s="531"/>
    </row>
    <row r="4566" spans="1:98">
      <c r="A4566" s="532"/>
      <c r="AR4566" s="2513"/>
      <c r="CT4566" s="531"/>
    </row>
    <row r="4567" spans="1:98">
      <c r="A4567" s="532"/>
      <c r="AR4567" s="2513"/>
      <c r="CT4567" s="531"/>
    </row>
    <row r="4568" spans="1:98">
      <c r="A4568" s="532"/>
      <c r="AR4568" s="2513"/>
      <c r="CT4568" s="531"/>
    </row>
    <row r="4569" spans="1:98">
      <c r="A4569" s="532"/>
      <c r="AR4569" s="2513"/>
      <c r="CT4569" s="531"/>
    </row>
    <row r="4570" spans="1:98">
      <c r="A4570" s="532"/>
      <c r="AR4570" s="2513"/>
      <c r="CT4570" s="531"/>
    </row>
    <row r="4571" spans="1:98">
      <c r="A4571" s="532"/>
      <c r="AR4571" s="2513"/>
      <c r="CT4571" s="531"/>
    </row>
    <row r="4572" spans="1:98">
      <c r="A4572" s="532"/>
      <c r="AR4572" s="2513"/>
      <c r="CT4572" s="531"/>
    </row>
    <row r="4573" spans="1:98">
      <c r="A4573" s="532"/>
      <c r="AR4573" s="2513"/>
      <c r="CT4573" s="531"/>
    </row>
    <row r="4574" spans="1:98">
      <c r="A4574" s="532"/>
      <c r="AR4574" s="2513"/>
      <c r="CT4574" s="531"/>
    </row>
    <row r="4575" spans="1:98">
      <c r="A4575" s="532"/>
      <c r="AR4575" s="2513"/>
      <c r="CT4575" s="531"/>
    </row>
    <row r="4576" spans="1:98">
      <c r="A4576" s="532"/>
      <c r="AR4576" s="2513"/>
      <c r="CT4576" s="531"/>
    </row>
    <row r="4577" spans="1:98">
      <c r="A4577" s="532"/>
      <c r="AR4577" s="2513"/>
      <c r="CT4577" s="531"/>
    </row>
    <row r="4578" spans="1:98">
      <c r="A4578" s="532"/>
      <c r="AR4578" s="2513"/>
      <c r="CT4578" s="531"/>
    </row>
    <row r="4579" spans="1:98">
      <c r="A4579" s="532"/>
      <c r="AR4579" s="2513"/>
      <c r="CT4579" s="531"/>
    </row>
    <row r="4580" spans="1:98">
      <c r="A4580" s="532"/>
      <c r="AR4580" s="2513"/>
      <c r="CT4580" s="531"/>
    </row>
    <row r="4581" spans="1:98">
      <c r="A4581" s="532"/>
      <c r="AR4581" s="2513"/>
      <c r="CT4581" s="531"/>
    </row>
    <row r="4582" spans="1:98">
      <c r="A4582" s="532"/>
      <c r="AR4582" s="2513"/>
      <c r="CT4582" s="531"/>
    </row>
    <row r="4583" spans="1:98">
      <c r="A4583" s="532"/>
      <c r="AR4583" s="2513"/>
      <c r="CT4583" s="531"/>
    </row>
    <row r="4584" spans="1:98">
      <c r="A4584" s="532"/>
      <c r="AR4584" s="2513"/>
      <c r="CT4584" s="531"/>
    </row>
    <row r="4585" spans="1:98">
      <c r="A4585" s="532"/>
      <c r="AR4585" s="2513"/>
      <c r="CT4585" s="531"/>
    </row>
    <row r="4586" spans="1:98">
      <c r="A4586" s="532"/>
      <c r="AR4586" s="2513"/>
      <c r="CT4586" s="531"/>
    </row>
    <row r="4587" spans="1:98">
      <c r="A4587" s="532"/>
      <c r="AR4587" s="2513"/>
      <c r="CT4587" s="531"/>
    </row>
    <row r="4588" spans="1:98">
      <c r="A4588" s="532"/>
      <c r="AR4588" s="2513"/>
      <c r="CT4588" s="531"/>
    </row>
    <row r="4589" spans="1:98">
      <c r="A4589" s="532"/>
      <c r="AR4589" s="2513"/>
      <c r="CT4589" s="531"/>
    </row>
    <row r="4590" spans="1:98">
      <c r="A4590" s="532"/>
      <c r="AR4590" s="2513"/>
      <c r="CT4590" s="531"/>
    </row>
    <row r="4591" spans="1:98">
      <c r="A4591" s="532"/>
      <c r="AR4591" s="2513"/>
      <c r="CT4591" s="531"/>
    </row>
    <row r="4592" spans="1:98">
      <c r="A4592" s="532"/>
      <c r="AR4592" s="2513"/>
      <c r="CT4592" s="531"/>
    </row>
    <row r="4593" spans="1:98">
      <c r="A4593" s="532"/>
      <c r="AR4593" s="2513"/>
      <c r="CT4593" s="531"/>
    </row>
    <row r="4594" spans="1:98">
      <c r="A4594" s="532"/>
      <c r="AR4594" s="2513"/>
      <c r="CT4594" s="531"/>
    </row>
    <row r="4595" spans="1:98">
      <c r="A4595" s="532"/>
      <c r="AR4595" s="2513"/>
      <c r="CT4595" s="531"/>
    </row>
    <row r="4596" spans="1:98">
      <c r="A4596" s="532"/>
      <c r="AR4596" s="2513"/>
      <c r="CT4596" s="531"/>
    </row>
    <row r="4597" spans="1:98">
      <c r="A4597" s="532"/>
      <c r="AR4597" s="2513"/>
      <c r="CT4597" s="531"/>
    </row>
    <row r="4598" spans="1:98">
      <c r="A4598" s="532"/>
      <c r="AR4598" s="2513"/>
      <c r="CT4598" s="531"/>
    </row>
    <row r="4599" spans="1:98">
      <c r="A4599" s="532"/>
      <c r="AR4599" s="2513"/>
      <c r="CT4599" s="531"/>
    </row>
    <row r="4600" spans="1:98">
      <c r="A4600" s="532"/>
      <c r="AR4600" s="2513"/>
      <c r="CT4600" s="531"/>
    </row>
    <row r="4601" spans="1:98">
      <c r="A4601" s="532"/>
      <c r="AR4601" s="2513"/>
      <c r="CT4601" s="531"/>
    </row>
    <row r="4602" spans="1:98">
      <c r="A4602" s="532"/>
      <c r="AR4602" s="2513"/>
      <c r="CT4602" s="531"/>
    </row>
    <row r="4603" spans="1:98">
      <c r="A4603" s="532"/>
      <c r="AR4603" s="2513"/>
      <c r="CT4603" s="531"/>
    </row>
    <row r="4604" spans="1:98">
      <c r="A4604" s="532"/>
      <c r="AR4604" s="2513"/>
      <c r="CT4604" s="531"/>
    </row>
    <row r="4605" spans="1:98">
      <c r="A4605" s="532"/>
      <c r="AR4605" s="2513"/>
      <c r="CT4605" s="531"/>
    </row>
    <row r="4606" spans="1:98">
      <c r="A4606" s="532"/>
      <c r="AR4606" s="2513"/>
      <c r="CT4606" s="531"/>
    </row>
    <row r="4607" spans="1:98">
      <c r="A4607" s="532"/>
      <c r="AR4607" s="2513"/>
      <c r="CT4607" s="531"/>
    </row>
    <row r="4608" spans="1:98">
      <c r="A4608" s="532"/>
      <c r="AR4608" s="2513"/>
      <c r="CT4608" s="531"/>
    </row>
    <row r="4609" spans="1:98">
      <c r="A4609" s="532"/>
      <c r="AR4609" s="2513"/>
      <c r="CT4609" s="531"/>
    </row>
    <row r="4610" spans="1:98">
      <c r="A4610" s="532"/>
      <c r="AR4610" s="2513"/>
      <c r="CT4610" s="531"/>
    </row>
    <row r="4611" spans="1:98">
      <c r="A4611" s="532"/>
      <c r="AR4611" s="2513"/>
      <c r="CT4611" s="531"/>
    </row>
    <row r="4612" spans="1:98">
      <c r="A4612" s="532"/>
      <c r="AR4612" s="2513"/>
      <c r="CT4612" s="531"/>
    </row>
    <row r="4613" spans="1:98">
      <c r="A4613" s="532"/>
      <c r="AR4613" s="2513"/>
      <c r="CT4613" s="531"/>
    </row>
    <row r="4614" spans="1:98">
      <c r="A4614" s="532"/>
      <c r="AR4614" s="2513"/>
      <c r="CT4614" s="531"/>
    </row>
    <row r="4615" spans="1:98">
      <c r="A4615" s="532"/>
      <c r="AR4615" s="2513"/>
      <c r="CT4615" s="531"/>
    </row>
    <row r="4616" spans="1:98">
      <c r="A4616" s="532"/>
      <c r="AR4616" s="2513"/>
      <c r="CT4616" s="531"/>
    </row>
    <row r="4617" spans="1:98">
      <c r="A4617" s="532"/>
      <c r="AR4617" s="2513"/>
      <c r="CT4617" s="531"/>
    </row>
    <row r="4618" spans="1:98">
      <c r="A4618" s="532"/>
      <c r="AR4618" s="2513"/>
      <c r="CT4618" s="531"/>
    </row>
    <row r="4619" spans="1:98">
      <c r="A4619" s="532"/>
      <c r="AR4619" s="2513"/>
      <c r="CT4619" s="531"/>
    </row>
    <row r="4620" spans="1:98">
      <c r="A4620" s="532"/>
      <c r="AR4620" s="2513"/>
      <c r="CT4620" s="531"/>
    </row>
    <row r="4621" spans="1:98">
      <c r="A4621" s="532"/>
      <c r="AR4621" s="2513"/>
      <c r="CT4621" s="531"/>
    </row>
    <row r="4622" spans="1:98">
      <c r="A4622" s="532"/>
      <c r="AR4622" s="2513"/>
      <c r="CT4622" s="531"/>
    </row>
    <row r="4623" spans="1:98">
      <c r="A4623" s="532"/>
      <c r="AR4623" s="2513"/>
      <c r="CT4623" s="531"/>
    </row>
    <row r="4624" spans="1:98">
      <c r="A4624" s="532"/>
      <c r="AR4624" s="2513"/>
      <c r="CT4624" s="531"/>
    </row>
    <row r="4625" spans="1:98">
      <c r="A4625" s="532"/>
      <c r="AR4625" s="2513"/>
      <c r="CT4625" s="531"/>
    </row>
    <row r="4626" spans="1:98">
      <c r="A4626" s="532"/>
      <c r="AR4626" s="2513"/>
      <c r="CT4626" s="531"/>
    </row>
    <row r="4627" spans="1:98">
      <c r="A4627" s="532"/>
      <c r="AR4627" s="2513"/>
      <c r="CT4627" s="531"/>
    </row>
    <row r="4628" spans="1:98">
      <c r="A4628" s="532"/>
      <c r="AR4628" s="2513"/>
      <c r="CT4628" s="531"/>
    </row>
    <row r="4629" spans="1:98">
      <c r="A4629" s="532"/>
      <c r="AR4629" s="2513"/>
      <c r="CT4629" s="531"/>
    </row>
    <row r="4630" spans="1:98">
      <c r="A4630" s="532"/>
      <c r="AR4630" s="2513"/>
      <c r="CT4630" s="531"/>
    </row>
    <row r="4631" spans="1:98">
      <c r="A4631" s="532"/>
      <c r="AR4631" s="2513"/>
      <c r="CT4631" s="531"/>
    </row>
    <row r="4632" spans="1:98">
      <c r="A4632" s="532"/>
      <c r="AR4632" s="2513"/>
      <c r="CT4632" s="531"/>
    </row>
    <row r="4633" spans="1:98">
      <c r="A4633" s="532"/>
      <c r="AR4633" s="2513"/>
      <c r="CT4633" s="531"/>
    </row>
    <row r="4634" spans="1:98">
      <c r="A4634" s="532"/>
      <c r="AR4634" s="2513"/>
      <c r="CT4634" s="531"/>
    </row>
    <row r="4635" spans="1:98">
      <c r="A4635" s="532"/>
      <c r="AR4635" s="2513"/>
      <c r="CT4635" s="531"/>
    </row>
    <row r="4636" spans="1:98">
      <c r="A4636" s="532"/>
      <c r="AR4636" s="2513"/>
      <c r="CT4636" s="531"/>
    </row>
    <row r="4637" spans="1:98">
      <c r="A4637" s="532"/>
      <c r="AR4637" s="2513"/>
      <c r="CT4637" s="531"/>
    </row>
    <row r="4638" spans="1:98">
      <c r="A4638" s="532"/>
      <c r="AR4638" s="2513"/>
      <c r="CT4638" s="531"/>
    </row>
    <row r="4639" spans="1:98">
      <c r="A4639" s="532"/>
      <c r="AR4639" s="2513"/>
      <c r="CT4639" s="531"/>
    </row>
    <row r="4640" spans="1:98">
      <c r="A4640" s="532"/>
      <c r="AR4640" s="2513"/>
      <c r="CT4640" s="531"/>
    </row>
    <row r="4641" spans="1:98">
      <c r="A4641" s="532"/>
      <c r="AR4641" s="2513"/>
      <c r="CT4641" s="531"/>
    </row>
    <row r="4642" spans="1:98">
      <c r="A4642" s="532"/>
      <c r="AR4642" s="2513"/>
      <c r="CT4642" s="531"/>
    </row>
    <row r="4643" spans="1:98">
      <c r="A4643" s="532"/>
      <c r="AR4643" s="2513"/>
      <c r="CT4643" s="531"/>
    </row>
    <row r="4644" spans="1:98">
      <c r="A4644" s="532"/>
      <c r="AR4644" s="2513"/>
      <c r="CT4644" s="531"/>
    </row>
    <row r="4645" spans="1:98">
      <c r="A4645" s="532"/>
      <c r="AR4645" s="2513"/>
      <c r="CT4645" s="531"/>
    </row>
    <row r="4646" spans="1:98">
      <c r="A4646" s="532"/>
      <c r="AR4646" s="2513"/>
      <c r="CT4646" s="531"/>
    </row>
    <row r="4647" spans="1:98">
      <c r="A4647" s="532"/>
      <c r="AR4647" s="2513"/>
      <c r="CT4647" s="531"/>
    </row>
    <row r="4648" spans="1:98">
      <c r="A4648" s="532"/>
      <c r="AR4648" s="2513"/>
      <c r="CT4648" s="531"/>
    </row>
    <row r="4649" spans="1:98">
      <c r="A4649" s="532"/>
      <c r="AR4649" s="2513"/>
      <c r="CT4649" s="531"/>
    </row>
    <row r="4650" spans="1:98">
      <c r="A4650" s="532"/>
      <c r="AR4650" s="2513"/>
      <c r="CT4650" s="531"/>
    </row>
    <row r="4651" spans="1:98">
      <c r="A4651" s="532"/>
      <c r="AR4651" s="2513"/>
      <c r="CT4651" s="531"/>
    </row>
    <row r="4652" spans="1:98">
      <c r="A4652" s="532"/>
      <c r="AR4652" s="2513"/>
      <c r="CT4652" s="531"/>
    </row>
    <row r="4653" spans="1:98">
      <c r="A4653" s="532"/>
      <c r="AR4653" s="2513"/>
      <c r="CT4653" s="531"/>
    </row>
    <row r="4654" spans="1:98">
      <c r="A4654" s="532"/>
      <c r="AR4654" s="2513"/>
      <c r="CT4654" s="531"/>
    </row>
    <row r="4655" spans="1:98">
      <c r="A4655" s="532"/>
      <c r="AR4655" s="2513"/>
      <c r="CT4655" s="531"/>
    </row>
    <row r="4656" spans="1:98">
      <c r="A4656" s="532"/>
      <c r="AR4656" s="2513"/>
      <c r="CT4656" s="531"/>
    </row>
    <row r="4657" spans="1:98">
      <c r="A4657" s="532"/>
      <c r="AR4657" s="2513"/>
      <c r="CT4657" s="531"/>
    </row>
    <row r="4658" spans="1:98">
      <c r="A4658" s="532"/>
      <c r="AR4658" s="2513"/>
      <c r="CT4658" s="531"/>
    </row>
    <row r="4659" spans="1:98">
      <c r="A4659" s="532"/>
      <c r="AR4659" s="2513"/>
      <c r="CT4659" s="531"/>
    </row>
    <row r="4660" spans="1:98">
      <c r="A4660" s="532"/>
      <c r="AR4660" s="2513"/>
      <c r="CT4660" s="531"/>
    </row>
    <row r="4661" spans="1:98">
      <c r="A4661" s="532"/>
      <c r="AR4661" s="2513"/>
      <c r="CT4661" s="531"/>
    </row>
    <row r="4662" spans="1:98">
      <c r="A4662" s="532"/>
      <c r="AR4662" s="2513"/>
      <c r="CT4662" s="531"/>
    </row>
    <row r="4663" spans="1:98">
      <c r="A4663" s="532"/>
      <c r="AR4663" s="2513"/>
      <c r="CT4663" s="531"/>
    </row>
    <row r="4664" spans="1:98">
      <c r="A4664" s="532"/>
      <c r="AR4664" s="2513"/>
      <c r="CT4664" s="531"/>
    </row>
    <row r="4665" spans="1:98">
      <c r="A4665" s="532"/>
      <c r="AR4665" s="2513"/>
      <c r="CT4665" s="531"/>
    </row>
    <row r="4666" spans="1:98">
      <c r="A4666" s="532"/>
      <c r="AR4666" s="2513"/>
      <c r="CT4666" s="531"/>
    </row>
    <row r="4667" spans="1:98">
      <c r="A4667" s="532"/>
      <c r="AR4667" s="2513"/>
      <c r="CT4667" s="531"/>
    </row>
    <row r="4668" spans="1:98">
      <c r="A4668" s="532"/>
      <c r="AR4668" s="2513"/>
      <c r="CT4668" s="531"/>
    </row>
    <row r="4669" spans="1:98">
      <c r="A4669" s="532"/>
      <c r="AR4669" s="2513"/>
      <c r="CT4669" s="531"/>
    </row>
    <row r="4670" spans="1:98">
      <c r="A4670" s="532"/>
      <c r="AR4670" s="2513"/>
      <c r="CT4670" s="531"/>
    </row>
    <row r="4671" spans="1:98">
      <c r="A4671" s="532"/>
      <c r="AR4671" s="2513"/>
      <c r="CT4671" s="531"/>
    </row>
    <row r="4672" spans="1:98">
      <c r="A4672" s="532"/>
      <c r="AR4672" s="2513"/>
      <c r="CT4672" s="531"/>
    </row>
    <row r="4673" spans="1:98">
      <c r="A4673" s="532"/>
      <c r="AR4673" s="2513"/>
      <c r="CT4673" s="531"/>
    </row>
    <row r="4674" spans="1:98">
      <c r="A4674" s="532"/>
      <c r="AR4674" s="2513"/>
      <c r="CT4674" s="531"/>
    </row>
    <row r="4675" spans="1:98">
      <c r="A4675" s="532"/>
      <c r="AR4675" s="2513"/>
      <c r="CT4675" s="531"/>
    </row>
    <row r="4676" spans="1:98">
      <c r="A4676" s="532"/>
      <c r="AR4676" s="2513"/>
      <c r="CT4676" s="531"/>
    </row>
    <row r="4677" spans="1:98">
      <c r="A4677" s="532"/>
      <c r="AR4677" s="2513"/>
      <c r="CT4677" s="531"/>
    </row>
    <row r="4678" spans="1:98">
      <c r="A4678" s="532"/>
      <c r="AR4678" s="2513"/>
      <c r="CT4678" s="531"/>
    </row>
    <row r="4679" spans="1:98">
      <c r="A4679" s="532"/>
      <c r="AR4679" s="2513"/>
      <c r="CT4679" s="531"/>
    </row>
    <row r="4680" spans="1:98">
      <c r="A4680" s="532"/>
      <c r="AR4680" s="2513"/>
      <c r="CT4680" s="531"/>
    </row>
    <row r="4681" spans="1:98">
      <c r="A4681" s="532"/>
      <c r="AR4681" s="2513"/>
      <c r="CT4681" s="531"/>
    </row>
    <row r="4682" spans="1:98">
      <c r="A4682" s="532"/>
      <c r="AR4682" s="2513"/>
      <c r="CT4682" s="531"/>
    </row>
    <row r="4683" spans="1:98">
      <c r="A4683" s="532"/>
      <c r="AR4683" s="2513"/>
      <c r="CT4683" s="531"/>
    </row>
    <row r="4684" spans="1:98">
      <c r="A4684" s="532"/>
      <c r="AR4684" s="2513"/>
      <c r="CT4684" s="531"/>
    </row>
    <row r="4685" spans="1:98">
      <c r="A4685" s="532"/>
      <c r="AR4685" s="2513"/>
      <c r="CT4685" s="531"/>
    </row>
    <row r="4686" spans="1:98">
      <c r="A4686" s="532"/>
      <c r="AR4686" s="2513"/>
      <c r="CT4686" s="531"/>
    </row>
    <row r="4687" spans="1:98">
      <c r="A4687" s="532"/>
      <c r="AR4687" s="2513"/>
      <c r="CT4687" s="531"/>
    </row>
    <row r="4688" spans="1:98">
      <c r="A4688" s="532"/>
      <c r="AR4688" s="2513"/>
      <c r="CT4688" s="531"/>
    </row>
    <row r="4689" spans="1:98">
      <c r="A4689" s="532"/>
      <c r="AR4689" s="2513"/>
      <c r="CT4689" s="531"/>
    </row>
    <row r="4690" spans="1:98">
      <c r="A4690" s="532"/>
      <c r="AR4690" s="2513"/>
      <c r="CT4690" s="531"/>
    </row>
    <row r="4691" spans="1:98">
      <c r="A4691" s="532"/>
      <c r="AR4691" s="2513"/>
      <c r="CT4691" s="531"/>
    </row>
    <row r="4692" spans="1:98">
      <c r="A4692" s="532"/>
      <c r="AR4692" s="2513"/>
      <c r="CT4692" s="531"/>
    </row>
    <row r="4693" spans="1:98">
      <c r="A4693" s="532"/>
      <c r="AR4693" s="2513"/>
      <c r="CT4693" s="531"/>
    </row>
    <row r="4694" spans="1:98">
      <c r="A4694" s="532"/>
      <c r="AR4694" s="2513"/>
      <c r="CT4694" s="531"/>
    </row>
    <row r="4695" spans="1:98">
      <c r="A4695" s="532"/>
      <c r="AR4695" s="2513"/>
      <c r="CT4695" s="531"/>
    </row>
    <row r="4696" spans="1:98">
      <c r="A4696" s="532"/>
      <c r="AR4696" s="2513"/>
      <c r="CT4696" s="531"/>
    </row>
    <row r="4697" spans="1:98">
      <c r="A4697" s="532"/>
      <c r="AR4697" s="2513"/>
      <c r="CT4697" s="531"/>
    </row>
    <row r="4698" spans="1:98">
      <c r="A4698" s="532"/>
      <c r="AR4698" s="2513"/>
      <c r="CT4698" s="531"/>
    </row>
    <row r="4699" spans="1:98">
      <c r="A4699" s="532"/>
      <c r="AR4699" s="2513"/>
      <c r="CT4699" s="531"/>
    </row>
    <row r="4700" spans="1:98">
      <c r="A4700" s="532"/>
      <c r="AR4700" s="2513"/>
      <c r="CT4700" s="531"/>
    </row>
    <row r="4701" spans="1:98">
      <c r="A4701" s="532"/>
      <c r="AR4701" s="2513"/>
      <c r="CT4701" s="531"/>
    </row>
    <row r="4702" spans="1:98">
      <c r="A4702" s="532"/>
      <c r="AR4702" s="2513"/>
      <c r="CT4702" s="531"/>
    </row>
    <row r="4703" spans="1:98">
      <c r="A4703" s="532"/>
      <c r="AR4703" s="2513"/>
      <c r="CT4703" s="531"/>
    </row>
    <row r="4704" spans="1:98">
      <c r="A4704" s="532"/>
      <c r="AR4704" s="2513"/>
      <c r="CT4704" s="531"/>
    </row>
    <row r="4705" spans="1:98">
      <c r="A4705" s="532"/>
      <c r="AR4705" s="2513"/>
      <c r="CT4705" s="531"/>
    </row>
    <row r="4706" spans="1:98">
      <c r="A4706" s="532"/>
      <c r="AR4706" s="2513"/>
      <c r="CT4706" s="531"/>
    </row>
    <row r="4707" spans="1:98">
      <c r="A4707" s="532"/>
      <c r="AR4707" s="2513"/>
      <c r="CT4707" s="531"/>
    </row>
    <row r="4708" spans="1:98">
      <c r="A4708" s="532"/>
      <c r="AR4708" s="2513"/>
      <c r="CT4708" s="531"/>
    </row>
    <row r="4709" spans="1:98">
      <c r="A4709" s="532"/>
      <c r="AR4709" s="2513"/>
      <c r="CT4709" s="531"/>
    </row>
    <row r="4710" spans="1:98">
      <c r="A4710" s="532"/>
      <c r="AR4710" s="2513"/>
      <c r="CT4710" s="531"/>
    </row>
    <row r="4711" spans="1:98">
      <c r="A4711" s="532"/>
      <c r="AR4711" s="2513"/>
      <c r="CT4711" s="531"/>
    </row>
    <row r="4712" spans="1:98">
      <c r="A4712" s="532"/>
      <c r="AR4712" s="2513"/>
      <c r="CT4712" s="531"/>
    </row>
    <row r="4713" spans="1:98">
      <c r="A4713" s="532"/>
      <c r="AR4713" s="2513"/>
      <c r="CT4713" s="531"/>
    </row>
    <row r="4714" spans="1:98">
      <c r="A4714" s="532"/>
      <c r="AR4714" s="2513"/>
      <c r="CT4714" s="531"/>
    </row>
    <row r="4715" spans="1:98">
      <c r="A4715" s="532"/>
      <c r="AR4715" s="2513"/>
      <c r="CT4715" s="531"/>
    </row>
    <row r="4716" spans="1:98">
      <c r="A4716" s="532"/>
      <c r="AR4716" s="2513"/>
      <c r="CT4716" s="531"/>
    </row>
    <row r="4717" spans="1:98">
      <c r="A4717" s="532"/>
      <c r="AR4717" s="2513"/>
      <c r="CT4717" s="531"/>
    </row>
    <row r="4718" spans="1:98">
      <c r="A4718" s="532"/>
      <c r="AR4718" s="2513"/>
      <c r="CT4718" s="531"/>
    </row>
    <row r="4719" spans="1:98">
      <c r="A4719" s="532"/>
      <c r="AR4719" s="2513"/>
      <c r="CT4719" s="531"/>
    </row>
    <row r="4720" spans="1:98">
      <c r="A4720" s="532"/>
      <c r="AR4720" s="2513"/>
      <c r="CT4720" s="531"/>
    </row>
    <row r="4721" spans="1:98">
      <c r="A4721" s="532"/>
      <c r="AR4721" s="2513"/>
      <c r="CT4721" s="531"/>
    </row>
    <row r="4722" spans="1:98">
      <c r="A4722" s="532"/>
      <c r="AR4722" s="2513"/>
      <c r="CT4722" s="531"/>
    </row>
    <row r="4723" spans="1:98">
      <c r="A4723" s="532"/>
      <c r="AR4723" s="2513"/>
      <c r="CT4723" s="531"/>
    </row>
    <row r="4724" spans="1:98">
      <c r="A4724" s="532"/>
      <c r="AR4724" s="2513"/>
      <c r="CT4724" s="531"/>
    </row>
    <row r="4725" spans="1:98">
      <c r="A4725" s="532"/>
      <c r="AR4725" s="2513"/>
      <c r="CT4725" s="531"/>
    </row>
    <row r="4726" spans="1:98">
      <c r="A4726" s="532"/>
      <c r="AR4726" s="2513"/>
      <c r="CT4726" s="531"/>
    </row>
    <row r="4727" spans="1:98">
      <c r="A4727" s="532"/>
      <c r="AR4727" s="2513"/>
      <c r="CT4727" s="531"/>
    </row>
    <row r="4728" spans="1:98">
      <c r="A4728" s="532"/>
      <c r="AR4728" s="2513"/>
      <c r="CT4728" s="531"/>
    </row>
    <row r="4729" spans="1:98">
      <c r="A4729" s="532"/>
      <c r="AR4729" s="2513"/>
      <c r="CT4729" s="531"/>
    </row>
    <row r="4730" spans="1:98">
      <c r="A4730" s="532"/>
      <c r="AR4730" s="2513"/>
      <c r="CT4730" s="531"/>
    </row>
    <row r="4731" spans="1:98">
      <c r="A4731" s="532"/>
      <c r="AR4731" s="2513"/>
      <c r="CT4731" s="531"/>
    </row>
    <row r="4732" spans="1:98">
      <c r="A4732" s="532"/>
      <c r="AR4732" s="2513"/>
      <c r="CT4732" s="531"/>
    </row>
    <row r="4733" spans="1:98">
      <c r="A4733" s="532"/>
      <c r="AR4733" s="2513"/>
      <c r="CT4733" s="531"/>
    </row>
    <row r="4734" spans="1:98">
      <c r="A4734" s="532"/>
      <c r="AR4734" s="2513"/>
      <c r="CT4734" s="531"/>
    </row>
    <row r="4735" spans="1:98">
      <c r="A4735" s="532"/>
      <c r="AR4735" s="2513"/>
      <c r="CT4735" s="531"/>
    </row>
    <row r="4736" spans="1:98">
      <c r="A4736" s="532"/>
      <c r="AR4736" s="2513"/>
      <c r="CT4736" s="531"/>
    </row>
    <row r="4737" spans="1:98">
      <c r="A4737" s="532"/>
      <c r="AR4737" s="2513"/>
      <c r="CT4737" s="531"/>
    </row>
    <row r="4738" spans="1:98">
      <c r="A4738" s="532"/>
      <c r="AR4738" s="2513"/>
      <c r="CT4738" s="531"/>
    </row>
    <row r="4739" spans="1:98">
      <c r="A4739" s="532"/>
      <c r="AR4739" s="2513"/>
      <c r="CT4739" s="531"/>
    </row>
    <row r="4740" spans="1:98">
      <c r="A4740" s="532"/>
      <c r="AR4740" s="2513"/>
      <c r="CT4740" s="531"/>
    </row>
    <row r="4741" spans="1:98">
      <c r="A4741" s="532"/>
      <c r="AR4741" s="2513"/>
      <c r="CT4741" s="531"/>
    </row>
    <row r="4742" spans="1:98">
      <c r="A4742" s="532"/>
      <c r="AR4742" s="2513"/>
      <c r="CT4742" s="531"/>
    </row>
    <row r="4743" spans="1:98">
      <c r="A4743" s="532"/>
      <c r="AR4743" s="2513"/>
      <c r="CT4743" s="531"/>
    </row>
    <row r="4744" spans="1:98">
      <c r="A4744" s="532"/>
      <c r="AR4744" s="2513"/>
      <c r="CT4744" s="531"/>
    </row>
    <row r="4745" spans="1:98">
      <c r="A4745" s="532"/>
      <c r="AR4745" s="2513"/>
      <c r="CT4745" s="531"/>
    </row>
    <row r="4746" spans="1:98">
      <c r="A4746" s="532"/>
      <c r="AR4746" s="2513"/>
      <c r="CT4746" s="531"/>
    </row>
    <row r="4747" spans="1:98">
      <c r="A4747" s="532"/>
      <c r="AR4747" s="2513"/>
      <c r="CT4747" s="531"/>
    </row>
    <row r="4748" spans="1:98">
      <c r="A4748" s="532"/>
      <c r="AR4748" s="2513"/>
      <c r="CT4748" s="531"/>
    </row>
    <row r="4749" spans="1:98">
      <c r="A4749" s="532"/>
      <c r="AR4749" s="2513"/>
      <c r="CT4749" s="531"/>
    </row>
    <row r="4750" spans="1:98">
      <c r="A4750" s="532"/>
      <c r="AR4750" s="2513"/>
      <c r="CT4750" s="531"/>
    </row>
    <row r="4751" spans="1:98">
      <c r="A4751" s="532"/>
      <c r="AR4751" s="2513"/>
      <c r="CT4751" s="531"/>
    </row>
    <row r="4752" spans="1:98">
      <c r="A4752" s="532"/>
      <c r="AR4752" s="2513"/>
      <c r="CT4752" s="531"/>
    </row>
    <row r="4753" spans="1:98">
      <c r="A4753" s="532"/>
      <c r="AR4753" s="2513"/>
      <c r="CT4753" s="531"/>
    </row>
    <row r="4754" spans="1:98">
      <c r="A4754" s="532"/>
      <c r="AR4754" s="2513"/>
      <c r="CT4754" s="531"/>
    </row>
    <row r="4755" spans="1:98">
      <c r="A4755" s="532"/>
      <c r="AR4755" s="2513"/>
      <c r="CT4755" s="531"/>
    </row>
    <row r="4756" spans="1:98">
      <c r="A4756" s="532"/>
      <c r="AR4756" s="2513"/>
      <c r="CT4756" s="531"/>
    </row>
    <row r="4757" spans="1:98">
      <c r="A4757" s="532"/>
      <c r="AR4757" s="2513"/>
      <c r="CT4757" s="531"/>
    </row>
    <row r="4758" spans="1:98">
      <c r="A4758" s="532"/>
      <c r="AR4758" s="2513"/>
      <c r="CT4758" s="531"/>
    </row>
    <row r="4759" spans="1:98">
      <c r="A4759" s="532"/>
      <c r="AR4759" s="2513"/>
      <c r="CT4759" s="531"/>
    </row>
    <row r="4760" spans="1:98">
      <c r="A4760" s="532"/>
      <c r="AR4760" s="2513"/>
      <c r="CT4760" s="531"/>
    </row>
    <row r="4761" spans="1:98">
      <c r="A4761" s="532"/>
      <c r="AR4761" s="2513"/>
      <c r="CT4761" s="531"/>
    </row>
    <row r="4762" spans="1:98">
      <c r="A4762" s="532"/>
      <c r="AR4762" s="2513"/>
      <c r="CT4762" s="531"/>
    </row>
    <row r="4763" spans="1:98">
      <c r="A4763" s="532"/>
      <c r="AR4763" s="2513"/>
      <c r="CT4763" s="531"/>
    </row>
    <row r="4764" spans="1:98">
      <c r="A4764" s="532"/>
      <c r="AR4764" s="2513"/>
      <c r="CT4764" s="531"/>
    </row>
    <row r="4765" spans="1:98">
      <c r="A4765" s="532"/>
      <c r="AR4765" s="2513"/>
      <c r="CT4765" s="531"/>
    </row>
    <row r="4766" spans="1:98">
      <c r="A4766" s="532"/>
      <c r="AR4766" s="2513"/>
      <c r="CT4766" s="531"/>
    </row>
    <row r="4767" spans="1:98">
      <c r="A4767" s="532"/>
      <c r="AR4767" s="2513"/>
      <c r="CT4767" s="531"/>
    </row>
    <row r="4768" spans="1:98">
      <c r="A4768" s="532"/>
      <c r="AR4768" s="2513"/>
      <c r="CT4768" s="531"/>
    </row>
    <row r="4769" spans="1:98">
      <c r="A4769" s="532"/>
      <c r="AR4769" s="2513"/>
      <c r="CT4769" s="531"/>
    </row>
    <row r="4770" spans="1:98">
      <c r="A4770" s="532"/>
      <c r="AR4770" s="2513"/>
      <c r="CT4770" s="531"/>
    </row>
    <row r="4771" spans="1:98">
      <c r="A4771" s="532"/>
      <c r="AR4771" s="2513"/>
      <c r="CT4771" s="531"/>
    </row>
    <row r="4772" spans="1:98">
      <c r="A4772" s="532"/>
      <c r="AR4772" s="2513"/>
      <c r="CT4772" s="531"/>
    </row>
    <row r="4773" spans="1:98">
      <c r="A4773" s="532"/>
      <c r="AR4773" s="2513"/>
      <c r="CT4773" s="531"/>
    </row>
    <row r="4774" spans="1:98">
      <c r="A4774" s="532"/>
      <c r="AR4774" s="2513"/>
      <c r="CT4774" s="531"/>
    </row>
    <row r="4775" spans="1:98">
      <c r="A4775" s="532"/>
      <c r="AR4775" s="2513"/>
      <c r="CT4775" s="531"/>
    </row>
    <row r="4776" spans="1:98">
      <c r="A4776" s="532"/>
      <c r="AR4776" s="2513"/>
      <c r="CT4776" s="531"/>
    </row>
    <row r="4777" spans="1:98">
      <c r="A4777" s="532"/>
      <c r="AR4777" s="2513"/>
      <c r="CT4777" s="531"/>
    </row>
    <row r="4778" spans="1:98">
      <c r="A4778" s="532"/>
      <c r="AR4778" s="2513"/>
      <c r="CT4778" s="531"/>
    </row>
    <row r="4779" spans="1:98">
      <c r="A4779" s="532"/>
      <c r="AR4779" s="2513"/>
      <c r="CT4779" s="531"/>
    </row>
    <row r="4780" spans="1:98">
      <c r="A4780" s="532"/>
      <c r="AR4780" s="2513"/>
      <c r="CT4780" s="531"/>
    </row>
    <row r="4781" spans="1:98">
      <c r="A4781" s="532"/>
      <c r="AR4781" s="2513"/>
      <c r="CT4781" s="531"/>
    </row>
    <row r="4782" spans="1:98">
      <c r="A4782" s="532"/>
      <c r="AR4782" s="2513"/>
      <c r="CT4782" s="531"/>
    </row>
    <row r="4783" spans="1:98">
      <c r="A4783" s="532"/>
      <c r="AR4783" s="2513"/>
      <c r="CT4783" s="531"/>
    </row>
    <row r="4784" spans="1:98">
      <c r="A4784" s="532"/>
      <c r="AR4784" s="2513"/>
      <c r="CT4784" s="531"/>
    </row>
    <row r="4785" spans="1:98">
      <c r="A4785" s="532"/>
      <c r="AR4785" s="2513"/>
      <c r="CT4785" s="531"/>
    </row>
    <row r="4786" spans="1:98">
      <c r="A4786" s="532"/>
      <c r="AR4786" s="2513"/>
      <c r="CT4786" s="531"/>
    </row>
    <row r="4787" spans="1:98">
      <c r="A4787" s="532"/>
      <c r="AR4787" s="2513"/>
      <c r="CT4787" s="531"/>
    </row>
    <row r="4788" spans="1:98">
      <c r="A4788" s="532"/>
      <c r="AR4788" s="2513"/>
      <c r="CT4788" s="531"/>
    </row>
    <row r="4789" spans="1:98">
      <c r="A4789" s="532"/>
      <c r="AR4789" s="2513"/>
      <c r="CT4789" s="531"/>
    </row>
    <row r="4790" spans="1:98">
      <c r="A4790" s="532"/>
      <c r="AR4790" s="2513"/>
      <c r="CT4790" s="531"/>
    </row>
    <row r="4791" spans="1:98">
      <c r="A4791" s="532"/>
      <c r="AR4791" s="2513"/>
      <c r="CT4791" s="531"/>
    </row>
    <row r="4792" spans="1:98">
      <c r="A4792" s="532"/>
      <c r="AR4792" s="2513"/>
      <c r="CT4792" s="531"/>
    </row>
    <row r="4793" spans="1:98">
      <c r="A4793" s="532"/>
      <c r="AR4793" s="2513"/>
      <c r="CT4793" s="531"/>
    </row>
    <row r="4794" spans="1:98">
      <c r="A4794" s="532"/>
      <c r="AR4794" s="2513"/>
      <c r="CT4794" s="531"/>
    </row>
    <row r="4795" spans="1:98">
      <c r="A4795" s="532"/>
      <c r="AR4795" s="2513"/>
      <c r="CT4795" s="531"/>
    </row>
    <row r="4796" spans="1:98">
      <c r="A4796" s="532"/>
      <c r="AR4796" s="2513"/>
      <c r="CT4796" s="531"/>
    </row>
    <row r="4797" spans="1:98">
      <c r="A4797" s="532"/>
      <c r="AR4797" s="2513"/>
      <c r="CT4797" s="531"/>
    </row>
    <row r="4798" spans="1:98">
      <c r="A4798" s="532"/>
      <c r="AR4798" s="2513"/>
      <c r="CT4798" s="531"/>
    </row>
    <row r="4799" spans="1:98">
      <c r="A4799" s="532"/>
      <c r="AR4799" s="2513"/>
      <c r="CT4799" s="531"/>
    </row>
    <row r="4800" spans="1:98">
      <c r="A4800" s="532"/>
      <c r="AR4800" s="2513"/>
      <c r="CT4800" s="531"/>
    </row>
    <row r="4801" spans="1:98">
      <c r="A4801" s="532"/>
      <c r="AR4801" s="2513"/>
      <c r="CT4801" s="531"/>
    </row>
    <row r="4802" spans="1:98">
      <c r="A4802" s="532"/>
      <c r="AR4802" s="2513"/>
      <c r="CT4802" s="531"/>
    </row>
    <row r="4803" spans="1:98">
      <c r="A4803" s="532"/>
      <c r="AR4803" s="2513"/>
      <c r="CT4803" s="531"/>
    </row>
    <row r="4804" spans="1:98">
      <c r="A4804" s="532"/>
      <c r="AR4804" s="2513"/>
      <c r="CT4804" s="531"/>
    </row>
    <row r="4805" spans="1:98">
      <c r="A4805" s="532"/>
      <c r="AR4805" s="2513"/>
      <c r="CT4805" s="531"/>
    </row>
    <row r="4806" spans="1:98">
      <c r="A4806" s="532"/>
      <c r="AR4806" s="2513"/>
      <c r="CT4806" s="531"/>
    </row>
    <row r="4807" spans="1:98">
      <c r="A4807" s="532"/>
      <c r="AR4807" s="2513"/>
      <c r="CT4807" s="531"/>
    </row>
    <row r="4808" spans="1:98">
      <c r="A4808" s="532"/>
      <c r="AR4808" s="2513"/>
      <c r="CT4808" s="531"/>
    </row>
    <row r="4809" spans="1:98">
      <c r="A4809" s="532"/>
      <c r="AR4809" s="2513"/>
      <c r="CT4809" s="531"/>
    </row>
    <row r="4810" spans="1:98">
      <c r="A4810" s="532"/>
      <c r="AR4810" s="2513"/>
      <c r="CT4810" s="531"/>
    </row>
    <row r="4811" spans="1:98">
      <c r="A4811" s="532"/>
      <c r="AR4811" s="2513"/>
      <c r="CT4811" s="531"/>
    </row>
    <row r="4812" spans="1:98">
      <c r="A4812" s="532"/>
      <c r="AR4812" s="2513"/>
      <c r="CT4812" s="531"/>
    </row>
    <row r="4813" spans="1:98">
      <c r="A4813" s="532"/>
      <c r="AR4813" s="2513"/>
      <c r="CT4813" s="531"/>
    </row>
    <row r="4814" spans="1:98">
      <c r="A4814" s="532"/>
      <c r="AR4814" s="2513"/>
      <c r="CT4814" s="531"/>
    </row>
    <row r="4815" spans="1:98">
      <c r="A4815" s="532"/>
      <c r="AR4815" s="2513"/>
      <c r="CT4815" s="531"/>
    </row>
    <row r="4816" spans="1:98">
      <c r="A4816" s="532"/>
      <c r="AR4816" s="2513"/>
      <c r="CT4816" s="531"/>
    </row>
    <row r="4817" spans="1:98">
      <c r="A4817" s="532"/>
      <c r="AR4817" s="2513"/>
      <c r="CT4817" s="531"/>
    </row>
    <row r="4818" spans="1:98">
      <c r="A4818" s="532"/>
      <c r="AR4818" s="2513"/>
      <c r="CT4818" s="531"/>
    </row>
    <row r="4819" spans="1:98">
      <c r="A4819" s="532"/>
      <c r="AR4819" s="2513"/>
      <c r="CT4819" s="531"/>
    </row>
    <row r="4820" spans="1:98">
      <c r="A4820" s="532"/>
      <c r="AR4820" s="2513"/>
      <c r="CT4820" s="531"/>
    </row>
    <row r="4821" spans="1:98">
      <c r="A4821" s="532"/>
      <c r="AR4821" s="2513"/>
      <c r="CT4821" s="531"/>
    </row>
    <row r="4822" spans="1:98">
      <c r="A4822" s="532"/>
      <c r="AR4822" s="2513"/>
      <c r="CT4822" s="531"/>
    </row>
    <row r="4823" spans="1:98">
      <c r="A4823" s="532"/>
      <c r="AR4823" s="2513"/>
      <c r="CT4823" s="531"/>
    </row>
    <row r="4824" spans="1:98">
      <c r="A4824" s="532"/>
      <c r="AR4824" s="2513"/>
      <c r="CT4824" s="531"/>
    </row>
    <row r="4825" spans="1:98">
      <c r="A4825" s="532"/>
      <c r="AR4825" s="2513"/>
      <c r="CT4825" s="531"/>
    </row>
    <row r="4826" spans="1:98">
      <c r="A4826" s="532"/>
      <c r="AR4826" s="2513"/>
      <c r="CT4826" s="531"/>
    </row>
    <row r="4827" spans="1:98">
      <c r="A4827" s="532"/>
      <c r="AR4827" s="2513"/>
      <c r="CT4827" s="531"/>
    </row>
    <row r="4828" spans="1:98">
      <c r="A4828" s="532"/>
      <c r="AR4828" s="2513"/>
      <c r="CT4828" s="531"/>
    </row>
    <row r="4829" spans="1:98">
      <c r="A4829" s="532"/>
      <c r="AR4829" s="2513"/>
      <c r="CT4829" s="531"/>
    </row>
    <row r="4830" spans="1:98">
      <c r="A4830" s="532"/>
      <c r="AR4830" s="2513"/>
      <c r="CT4830" s="531"/>
    </row>
    <row r="4831" spans="1:98">
      <c r="A4831" s="532"/>
      <c r="AR4831" s="2513"/>
      <c r="CT4831" s="531"/>
    </row>
    <row r="4832" spans="1:98">
      <c r="A4832" s="532"/>
      <c r="AR4832" s="2513"/>
      <c r="CT4832" s="531"/>
    </row>
    <row r="4833" spans="1:98">
      <c r="A4833" s="532"/>
      <c r="AR4833" s="2513"/>
      <c r="CT4833" s="531"/>
    </row>
    <row r="4834" spans="1:98">
      <c r="A4834" s="532"/>
      <c r="AR4834" s="2513"/>
      <c r="CT4834" s="531"/>
    </row>
    <row r="4835" spans="1:98">
      <c r="A4835" s="532"/>
      <c r="AR4835" s="2513"/>
      <c r="CT4835" s="531"/>
    </row>
    <row r="4836" spans="1:98">
      <c r="A4836" s="532"/>
      <c r="AR4836" s="2513"/>
      <c r="CT4836" s="531"/>
    </row>
    <row r="4837" spans="1:98">
      <c r="A4837" s="532"/>
      <c r="AR4837" s="2513"/>
      <c r="CT4837" s="531"/>
    </row>
    <row r="4838" spans="1:98">
      <c r="A4838" s="532"/>
      <c r="AR4838" s="2513"/>
      <c r="CT4838" s="531"/>
    </row>
    <row r="4839" spans="1:98">
      <c r="A4839" s="532"/>
      <c r="AR4839" s="2513"/>
      <c r="CT4839" s="531"/>
    </row>
    <row r="4840" spans="1:98">
      <c r="A4840" s="532"/>
      <c r="AR4840" s="2513"/>
      <c r="CT4840" s="531"/>
    </row>
    <row r="4841" spans="1:98">
      <c r="A4841" s="532"/>
      <c r="AR4841" s="2513"/>
      <c r="CT4841" s="531"/>
    </row>
    <row r="4842" spans="1:98">
      <c r="A4842" s="532"/>
      <c r="AR4842" s="2513"/>
      <c r="CT4842" s="531"/>
    </row>
    <row r="4843" spans="1:98">
      <c r="A4843" s="532"/>
      <c r="AR4843" s="2513"/>
      <c r="CT4843" s="531"/>
    </row>
    <row r="4844" spans="1:98">
      <c r="A4844" s="532"/>
      <c r="AR4844" s="2513"/>
      <c r="CT4844" s="531"/>
    </row>
    <row r="4845" spans="1:98">
      <c r="A4845" s="532"/>
      <c r="AR4845" s="2513"/>
      <c r="CT4845" s="531"/>
    </row>
    <row r="4846" spans="1:98">
      <c r="A4846" s="532"/>
      <c r="AR4846" s="2513"/>
      <c r="CT4846" s="531"/>
    </row>
    <row r="4847" spans="1:98">
      <c r="A4847" s="532"/>
      <c r="AR4847" s="2513"/>
      <c r="CT4847" s="531"/>
    </row>
    <row r="4848" spans="1:98">
      <c r="A4848" s="532"/>
      <c r="AR4848" s="2513"/>
      <c r="CT4848" s="531"/>
    </row>
    <row r="4849" spans="1:98">
      <c r="A4849" s="532"/>
      <c r="AR4849" s="2513"/>
      <c r="CT4849" s="531"/>
    </row>
    <row r="4850" spans="1:98">
      <c r="A4850" s="532"/>
      <c r="AR4850" s="2513"/>
      <c r="CT4850" s="531"/>
    </row>
    <row r="4851" spans="1:98">
      <c r="A4851" s="532"/>
      <c r="AR4851" s="2513"/>
      <c r="CT4851" s="531"/>
    </row>
    <row r="4852" spans="1:98">
      <c r="A4852" s="532"/>
      <c r="AR4852" s="2513"/>
      <c r="CT4852" s="531"/>
    </row>
    <row r="4853" spans="1:98">
      <c r="A4853" s="532"/>
      <c r="AR4853" s="2513"/>
      <c r="CT4853" s="531"/>
    </row>
    <row r="4854" spans="1:98">
      <c r="A4854" s="532"/>
      <c r="AR4854" s="2513"/>
      <c r="CT4854" s="531"/>
    </row>
    <row r="4855" spans="1:98">
      <c r="A4855" s="532"/>
      <c r="AR4855" s="2513"/>
      <c r="CT4855" s="531"/>
    </row>
    <row r="4856" spans="1:98">
      <c r="A4856" s="532"/>
      <c r="AR4856" s="2513"/>
      <c r="CT4856" s="531"/>
    </row>
    <row r="4857" spans="1:98">
      <c r="A4857" s="532"/>
      <c r="AR4857" s="2513"/>
      <c r="CT4857" s="531"/>
    </row>
    <row r="4858" spans="1:98">
      <c r="A4858" s="532"/>
      <c r="AR4858" s="2513"/>
      <c r="CT4858" s="531"/>
    </row>
    <row r="4859" spans="1:98">
      <c r="A4859" s="532"/>
      <c r="AR4859" s="2513"/>
      <c r="CT4859" s="531"/>
    </row>
    <row r="4860" spans="1:98">
      <c r="A4860" s="532"/>
      <c r="AR4860" s="2513"/>
      <c r="CT4860" s="531"/>
    </row>
    <row r="4861" spans="1:98">
      <c r="A4861" s="532"/>
      <c r="AR4861" s="2513"/>
      <c r="CT4861" s="531"/>
    </row>
    <row r="4862" spans="1:98">
      <c r="A4862" s="532"/>
      <c r="AR4862" s="2513"/>
      <c r="CT4862" s="531"/>
    </row>
    <row r="4863" spans="1:98">
      <c r="A4863" s="532"/>
      <c r="AR4863" s="2513"/>
      <c r="CT4863" s="531"/>
    </row>
    <row r="4864" spans="1:98">
      <c r="A4864" s="532"/>
      <c r="AR4864" s="2513"/>
      <c r="CT4864" s="531"/>
    </row>
    <row r="4865" spans="1:98">
      <c r="A4865" s="532"/>
      <c r="AR4865" s="2513"/>
      <c r="CT4865" s="531"/>
    </row>
    <row r="4866" spans="1:98">
      <c r="A4866" s="532"/>
      <c r="AR4866" s="2513"/>
      <c r="CT4866" s="531"/>
    </row>
    <row r="4867" spans="1:98">
      <c r="A4867" s="532"/>
      <c r="AR4867" s="2513"/>
      <c r="CT4867" s="531"/>
    </row>
    <row r="4868" spans="1:98">
      <c r="A4868" s="532"/>
      <c r="AR4868" s="2513"/>
      <c r="CT4868" s="531"/>
    </row>
    <row r="4869" spans="1:98">
      <c r="A4869" s="532"/>
      <c r="AR4869" s="2513"/>
      <c r="CT4869" s="531"/>
    </row>
    <row r="4870" spans="1:98">
      <c r="A4870" s="532"/>
      <c r="AR4870" s="2513"/>
      <c r="CT4870" s="531"/>
    </row>
    <row r="4871" spans="1:98">
      <c r="A4871" s="532"/>
      <c r="AR4871" s="2513"/>
      <c r="CT4871" s="531"/>
    </row>
    <row r="4872" spans="1:98">
      <c r="A4872" s="532"/>
      <c r="AR4872" s="2513"/>
      <c r="CT4872" s="531"/>
    </row>
    <row r="4873" spans="1:98">
      <c r="A4873" s="532"/>
      <c r="AR4873" s="2513"/>
      <c r="CT4873" s="531"/>
    </row>
    <row r="4874" spans="1:98">
      <c r="A4874" s="532"/>
      <c r="AR4874" s="2513"/>
      <c r="CT4874" s="531"/>
    </row>
    <row r="4875" spans="1:98">
      <c r="A4875" s="532"/>
      <c r="AR4875" s="2513"/>
      <c r="CT4875" s="531"/>
    </row>
    <row r="4876" spans="1:98">
      <c r="A4876" s="532"/>
      <c r="AR4876" s="2513"/>
      <c r="CT4876" s="531"/>
    </row>
    <row r="4877" spans="1:98">
      <c r="A4877" s="532"/>
      <c r="AR4877" s="2513"/>
      <c r="CT4877" s="531"/>
    </row>
    <row r="4878" spans="1:98">
      <c r="A4878" s="532"/>
      <c r="AR4878" s="2513"/>
      <c r="CT4878" s="531"/>
    </row>
    <row r="4879" spans="1:98">
      <c r="A4879" s="532"/>
      <c r="AR4879" s="2513"/>
      <c r="CT4879" s="531"/>
    </row>
    <row r="4880" spans="1:98">
      <c r="A4880" s="532"/>
      <c r="AR4880" s="2513"/>
      <c r="CT4880" s="531"/>
    </row>
    <row r="4881" spans="1:98">
      <c r="A4881" s="532"/>
      <c r="AR4881" s="2513"/>
      <c r="CT4881" s="531"/>
    </row>
    <row r="4882" spans="1:98">
      <c r="A4882" s="532"/>
      <c r="AR4882" s="2513"/>
      <c r="CT4882" s="531"/>
    </row>
    <row r="4883" spans="1:98">
      <c r="A4883" s="532"/>
      <c r="AR4883" s="2513"/>
      <c r="CT4883" s="531"/>
    </row>
    <row r="4884" spans="1:98">
      <c r="A4884" s="532"/>
      <c r="AR4884" s="2513"/>
      <c r="CT4884" s="531"/>
    </row>
    <row r="4885" spans="1:98">
      <c r="A4885" s="532"/>
      <c r="AR4885" s="2513"/>
      <c r="CT4885" s="531"/>
    </row>
    <row r="4886" spans="1:98">
      <c r="A4886" s="532"/>
      <c r="AR4886" s="2513"/>
      <c r="CT4886" s="531"/>
    </row>
    <row r="4887" spans="1:98">
      <c r="A4887" s="532"/>
      <c r="AR4887" s="2513"/>
      <c r="CT4887" s="531"/>
    </row>
    <row r="4888" spans="1:98">
      <c r="A4888" s="532"/>
      <c r="AR4888" s="2513"/>
      <c r="CT4888" s="531"/>
    </row>
    <row r="4889" spans="1:98">
      <c r="A4889" s="532"/>
      <c r="AR4889" s="2513"/>
      <c r="CT4889" s="531"/>
    </row>
    <row r="4890" spans="1:98">
      <c r="A4890" s="532"/>
      <c r="AR4890" s="2513"/>
      <c r="CT4890" s="531"/>
    </row>
    <row r="4891" spans="1:98">
      <c r="A4891" s="532"/>
      <c r="AR4891" s="2513"/>
      <c r="CT4891" s="531"/>
    </row>
    <row r="4892" spans="1:98">
      <c r="A4892" s="532"/>
      <c r="AR4892" s="2513"/>
      <c r="CT4892" s="531"/>
    </row>
    <row r="4893" spans="1:98">
      <c r="A4893" s="532"/>
      <c r="AR4893" s="2513"/>
      <c r="CT4893" s="531"/>
    </row>
    <row r="4894" spans="1:98">
      <c r="A4894" s="532"/>
      <c r="AR4894" s="2513"/>
      <c r="CT4894" s="531"/>
    </row>
    <row r="4895" spans="1:98">
      <c r="A4895" s="532"/>
      <c r="AR4895" s="2513"/>
      <c r="CT4895" s="531"/>
    </row>
    <row r="4896" spans="1:98">
      <c r="A4896" s="532"/>
      <c r="AR4896" s="2513"/>
      <c r="CT4896" s="531"/>
    </row>
    <row r="4897" spans="1:98">
      <c r="A4897" s="532"/>
      <c r="AR4897" s="2513"/>
      <c r="CT4897" s="531"/>
    </row>
    <row r="4898" spans="1:98">
      <c r="A4898" s="532"/>
      <c r="AR4898" s="2513"/>
      <c r="CT4898" s="531"/>
    </row>
    <row r="4899" spans="1:98">
      <c r="A4899" s="532"/>
      <c r="AR4899" s="2513"/>
      <c r="CT4899" s="531"/>
    </row>
    <row r="4900" spans="1:98">
      <c r="A4900" s="532"/>
      <c r="AR4900" s="2513"/>
      <c r="CT4900" s="531"/>
    </row>
    <row r="4901" spans="1:98">
      <c r="A4901" s="532"/>
      <c r="AR4901" s="2513"/>
      <c r="CT4901" s="531"/>
    </row>
    <row r="4902" spans="1:98">
      <c r="A4902" s="532"/>
      <c r="AR4902" s="2513"/>
      <c r="CT4902" s="531"/>
    </row>
    <row r="4903" spans="1:98">
      <c r="A4903" s="532"/>
      <c r="AR4903" s="2513"/>
      <c r="CT4903" s="531"/>
    </row>
    <row r="4904" spans="1:98">
      <c r="A4904" s="532"/>
      <c r="AR4904" s="2513"/>
      <c r="CT4904" s="531"/>
    </row>
    <row r="4905" spans="1:98">
      <c r="A4905" s="532"/>
      <c r="AR4905" s="2513"/>
      <c r="CT4905" s="531"/>
    </row>
    <row r="4906" spans="1:98">
      <c r="A4906" s="532"/>
      <c r="AR4906" s="2513"/>
      <c r="CT4906" s="531"/>
    </row>
    <row r="4907" spans="1:98">
      <c r="A4907" s="532"/>
      <c r="AR4907" s="2513"/>
      <c r="CT4907" s="531"/>
    </row>
    <row r="4908" spans="1:98">
      <c r="A4908" s="532"/>
      <c r="AR4908" s="2513"/>
      <c r="CT4908" s="531"/>
    </row>
    <row r="4909" spans="1:98">
      <c r="A4909" s="532"/>
      <c r="AR4909" s="2513"/>
      <c r="CT4909" s="531"/>
    </row>
    <row r="4910" spans="1:98">
      <c r="A4910" s="532"/>
      <c r="AR4910" s="2513"/>
      <c r="CT4910" s="531"/>
    </row>
    <row r="4911" spans="1:98">
      <c r="A4911" s="532"/>
      <c r="AR4911" s="2513"/>
      <c r="CT4911" s="531"/>
    </row>
    <row r="4912" spans="1:98">
      <c r="A4912" s="532"/>
      <c r="AR4912" s="2513"/>
      <c r="CT4912" s="531"/>
    </row>
    <row r="4913" spans="1:98">
      <c r="A4913" s="532"/>
      <c r="AR4913" s="2513"/>
      <c r="CT4913" s="531"/>
    </row>
    <row r="4914" spans="1:98">
      <c r="A4914" s="532"/>
      <c r="AR4914" s="2513"/>
      <c r="CT4914" s="531"/>
    </row>
    <row r="4915" spans="1:98">
      <c r="A4915" s="532"/>
      <c r="AR4915" s="2513"/>
      <c r="CT4915" s="531"/>
    </row>
    <row r="4916" spans="1:98">
      <c r="A4916" s="532"/>
      <c r="AR4916" s="2513"/>
      <c r="CT4916" s="531"/>
    </row>
    <row r="4917" spans="1:98">
      <c r="A4917" s="532"/>
      <c r="AR4917" s="2513"/>
      <c r="CT4917" s="531"/>
    </row>
    <row r="4918" spans="1:98">
      <c r="A4918" s="532"/>
      <c r="AR4918" s="2513"/>
      <c r="CT4918" s="531"/>
    </row>
    <row r="4919" spans="1:98">
      <c r="A4919" s="532"/>
      <c r="AR4919" s="2513"/>
      <c r="CT4919" s="531"/>
    </row>
    <row r="4920" spans="1:98">
      <c r="A4920" s="532"/>
      <c r="AR4920" s="2513"/>
      <c r="CT4920" s="531"/>
    </row>
    <row r="4921" spans="1:98">
      <c r="A4921" s="532"/>
      <c r="AR4921" s="2513"/>
      <c r="CT4921" s="531"/>
    </row>
    <row r="4922" spans="1:98">
      <c r="A4922" s="532"/>
      <c r="AR4922" s="2513"/>
      <c r="CT4922" s="531"/>
    </row>
    <row r="4923" spans="1:98">
      <c r="A4923" s="532"/>
      <c r="AR4923" s="2513"/>
      <c r="CT4923" s="531"/>
    </row>
    <row r="4924" spans="1:98">
      <c r="A4924" s="532"/>
      <c r="AR4924" s="2513"/>
      <c r="CT4924" s="531"/>
    </row>
    <row r="4925" spans="1:98">
      <c r="A4925" s="532"/>
      <c r="AR4925" s="2513"/>
      <c r="CT4925" s="531"/>
    </row>
    <row r="4926" spans="1:98">
      <c r="A4926" s="532"/>
      <c r="AR4926" s="2513"/>
      <c r="CT4926" s="531"/>
    </row>
    <row r="4927" spans="1:98">
      <c r="A4927" s="532"/>
      <c r="AR4927" s="2513"/>
      <c r="CT4927" s="531"/>
    </row>
    <row r="4928" spans="1:98">
      <c r="A4928" s="532"/>
      <c r="AR4928" s="2513"/>
      <c r="CT4928" s="531"/>
    </row>
    <row r="4929" spans="1:98">
      <c r="A4929" s="532"/>
      <c r="AR4929" s="2513"/>
      <c r="CT4929" s="531"/>
    </row>
    <row r="4930" spans="1:98">
      <c r="A4930" s="532"/>
      <c r="AR4930" s="2513"/>
      <c r="CT4930" s="531"/>
    </row>
    <row r="4931" spans="1:98">
      <c r="A4931" s="532"/>
      <c r="AR4931" s="2513"/>
      <c r="CT4931" s="531"/>
    </row>
    <row r="4932" spans="1:98">
      <c r="A4932" s="532"/>
      <c r="AR4932" s="2513"/>
      <c r="CT4932" s="531"/>
    </row>
    <row r="4933" spans="1:98">
      <c r="A4933" s="532"/>
      <c r="AR4933" s="2513"/>
      <c r="CT4933" s="531"/>
    </row>
    <row r="4934" spans="1:98">
      <c r="A4934" s="532"/>
      <c r="AR4934" s="2513"/>
      <c r="CT4934" s="531"/>
    </row>
    <row r="4935" spans="1:98">
      <c r="A4935" s="532"/>
      <c r="AR4935" s="2513"/>
      <c r="CT4935" s="531"/>
    </row>
    <row r="4936" spans="1:98">
      <c r="A4936" s="532"/>
      <c r="AR4936" s="2513"/>
      <c r="CT4936" s="531"/>
    </row>
    <row r="4937" spans="1:98">
      <c r="A4937" s="532"/>
      <c r="AR4937" s="2513"/>
      <c r="CT4937" s="531"/>
    </row>
    <row r="4938" spans="1:98">
      <c r="A4938" s="532"/>
      <c r="AR4938" s="2513"/>
      <c r="CT4938" s="531"/>
    </row>
    <row r="4939" spans="1:98">
      <c r="A4939" s="532"/>
      <c r="AR4939" s="2513"/>
      <c r="CT4939" s="531"/>
    </row>
    <row r="4940" spans="1:98">
      <c r="A4940" s="532"/>
      <c r="AR4940" s="2513"/>
      <c r="CT4940" s="531"/>
    </row>
    <row r="4941" spans="1:98">
      <c r="A4941" s="532"/>
      <c r="AR4941" s="2513"/>
      <c r="CT4941" s="531"/>
    </row>
    <row r="4942" spans="1:98">
      <c r="A4942" s="532"/>
      <c r="AR4942" s="2513"/>
      <c r="CT4942" s="531"/>
    </row>
    <row r="4943" spans="1:98">
      <c r="A4943" s="532"/>
      <c r="AR4943" s="2513"/>
      <c r="CT4943" s="531"/>
    </row>
    <row r="4944" spans="1:98">
      <c r="A4944" s="532"/>
      <c r="AR4944" s="2513"/>
      <c r="CT4944" s="531"/>
    </row>
    <row r="4945" spans="1:98">
      <c r="A4945" s="532"/>
      <c r="AR4945" s="2513"/>
      <c r="CT4945" s="531"/>
    </row>
    <row r="4946" spans="1:98">
      <c r="A4946" s="532"/>
      <c r="AR4946" s="2513"/>
      <c r="CT4946" s="531"/>
    </row>
    <row r="4947" spans="1:98">
      <c r="A4947" s="532"/>
      <c r="AR4947" s="2513"/>
      <c r="CT4947" s="531"/>
    </row>
    <row r="4948" spans="1:98">
      <c r="A4948" s="532"/>
      <c r="AR4948" s="2513"/>
      <c r="CT4948" s="531"/>
    </row>
    <row r="4949" spans="1:98">
      <c r="A4949" s="532"/>
      <c r="AR4949" s="2513"/>
      <c r="CT4949" s="531"/>
    </row>
    <row r="4950" spans="1:98">
      <c r="A4950" s="532"/>
      <c r="AR4950" s="2513"/>
      <c r="CT4950" s="531"/>
    </row>
    <row r="4951" spans="1:98">
      <c r="A4951" s="532"/>
      <c r="AR4951" s="2513"/>
      <c r="CT4951" s="531"/>
    </row>
    <row r="4952" spans="1:98">
      <c r="A4952" s="532"/>
      <c r="AR4952" s="2513"/>
      <c r="CT4952" s="531"/>
    </row>
    <row r="4953" spans="1:98">
      <c r="A4953" s="532"/>
      <c r="AR4953" s="2513"/>
      <c r="CT4953" s="531"/>
    </row>
    <row r="4954" spans="1:98">
      <c r="A4954" s="532"/>
      <c r="AR4954" s="2513"/>
      <c r="CT4954" s="531"/>
    </row>
    <row r="4955" spans="1:98">
      <c r="A4955" s="532"/>
      <c r="AR4955" s="2513"/>
      <c r="CT4955" s="531"/>
    </row>
    <row r="4956" spans="1:98">
      <c r="A4956" s="532"/>
      <c r="AR4956" s="2513"/>
      <c r="CT4956" s="531"/>
    </row>
    <row r="4957" spans="1:98">
      <c r="A4957" s="532"/>
      <c r="AR4957" s="2513"/>
      <c r="CT4957" s="531"/>
    </row>
    <row r="4958" spans="1:98">
      <c r="A4958" s="532"/>
      <c r="AR4958" s="2513"/>
      <c r="CT4958" s="531"/>
    </row>
    <row r="4959" spans="1:98">
      <c r="A4959" s="532"/>
      <c r="AR4959" s="2513"/>
      <c r="CT4959" s="531"/>
    </row>
    <row r="4960" spans="1:98">
      <c r="A4960" s="532"/>
      <c r="AR4960" s="2513"/>
      <c r="CT4960" s="531"/>
    </row>
    <row r="4961" spans="1:98">
      <c r="A4961" s="532"/>
      <c r="AR4961" s="2513"/>
      <c r="CT4961" s="531"/>
    </row>
    <row r="4962" spans="1:98">
      <c r="A4962" s="532"/>
      <c r="AR4962" s="2513"/>
      <c r="CT4962" s="531"/>
    </row>
    <row r="4963" spans="1:98">
      <c r="A4963" s="532"/>
      <c r="AR4963" s="2513"/>
      <c r="CT4963" s="531"/>
    </row>
    <row r="4964" spans="1:98">
      <c r="A4964" s="532"/>
      <c r="AR4964" s="2513"/>
      <c r="CT4964" s="531"/>
    </row>
    <row r="4965" spans="1:98">
      <c r="A4965" s="532"/>
      <c r="AR4965" s="2513"/>
      <c r="CT4965" s="531"/>
    </row>
    <row r="4966" spans="1:98">
      <c r="A4966" s="532"/>
      <c r="AR4966" s="2513"/>
      <c r="CT4966" s="531"/>
    </row>
    <row r="4967" spans="1:98">
      <c r="A4967" s="532"/>
      <c r="AR4967" s="2513"/>
      <c r="CT4967" s="531"/>
    </row>
    <row r="4968" spans="1:98">
      <c r="A4968" s="532"/>
      <c r="AR4968" s="2513"/>
      <c r="CT4968" s="531"/>
    </row>
    <row r="4969" spans="1:98">
      <c r="A4969" s="532"/>
      <c r="AR4969" s="2513"/>
      <c r="CT4969" s="531"/>
    </row>
    <row r="4970" spans="1:98">
      <c r="A4970" s="532"/>
      <c r="AR4970" s="2513"/>
      <c r="CT4970" s="531"/>
    </row>
    <row r="4971" spans="1:98">
      <c r="A4971" s="532"/>
      <c r="AR4971" s="2513"/>
      <c r="CT4971" s="531"/>
    </row>
    <row r="4972" spans="1:98">
      <c r="A4972" s="532"/>
      <c r="AR4972" s="2513"/>
      <c r="CT4972" s="531"/>
    </row>
    <row r="4973" spans="1:98">
      <c r="A4973" s="532"/>
      <c r="AR4973" s="2513"/>
      <c r="CT4973" s="531"/>
    </row>
    <row r="4974" spans="1:98">
      <c r="A4974" s="532"/>
      <c r="AR4974" s="2513"/>
      <c r="CT4974" s="531"/>
    </row>
    <row r="4975" spans="1:98">
      <c r="A4975" s="532"/>
      <c r="AR4975" s="2513"/>
      <c r="CT4975" s="531"/>
    </row>
    <row r="4976" spans="1:98">
      <c r="A4976" s="532"/>
      <c r="AR4976" s="2513"/>
      <c r="CT4976" s="531"/>
    </row>
    <row r="4977" spans="1:98">
      <c r="A4977" s="532"/>
      <c r="AR4977" s="2513"/>
      <c r="CT4977" s="531"/>
    </row>
    <row r="4978" spans="1:98">
      <c r="A4978" s="532"/>
      <c r="AR4978" s="2513"/>
      <c r="CT4978" s="531"/>
    </row>
    <row r="4979" spans="1:98">
      <c r="A4979" s="532"/>
      <c r="AR4979" s="2513"/>
      <c r="CT4979" s="531"/>
    </row>
    <row r="4980" spans="1:98">
      <c r="A4980" s="532"/>
      <c r="AR4980" s="2513"/>
      <c r="CT4980" s="531"/>
    </row>
    <row r="4981" spans="1:98">
      <c r="A4981" s="532"/>
      <c r="AR4981" s="2513"/>
      <c r="CT4981" s="531"/>
    </row>
    <row r="4982" spans="1:98">
      <c r="A4982" s="532"/>
      <c r="AR4982" s="2513"/>
      <c r="CT4982" s="531"/>
    </row>
    <row r="4983" spans="1:98">
      <c r="A4983" s="532"/>
      <c r="AR4983" s="2513"/>
      <c r="CT4983" s="531"/>
    </row>
    <row r="4984" spans="1:98">
      <c r="A4984" s="532"/>
      <c r="AR4984" s="2513"/>
      <c r="CT4984" s="531"/>
    </row>
    <row r="4985" spans="1:98">
      <c r="A4985" s="532"/>
      <c r="AR4985" s="2513"/>
      <c r="CT4985" s="531"/>
    </row>
    <row r="4986" spans="1:98">
      <c r="A4986" s="532"/>
      <c r="AR4986" s="2513"/>
      <c r="CT4986" s="531"/>
    </row>
    <row r="4987" spans="1:98">
      <c r="A4987" s="532"/>
      <c r="AR4987" s="2513"/>
      <c r="CT4987" s="531"/>
    </row>
    <row r="4988" spans="1:98">
      <c r="A4988" s="532"/>
      <c r="AR4988" s="2513"/>
      <c r="CT4988" s="531"/>
    </row>
    <row r="4989" spans="1:98">
      <c r="A4989" s="532"/>
      <c r="AR4989" s="2513"/>
      <c r="CT4989" s="531"/>
    </row>
    <row r="4990" spans="1:98">
      <c r="A4990" s="532"/>
      <c r="AR4990" s="2513"/>
      <c r="CT4990" s="531"/>
    </row>
    <row r="4991" spans="1:98">
      <c r="A4991" s="532"/>
      <c r="AR4991" s="2513"/>
      <c r="CT4991" s="531"/>
    </row>
    <row r="4992" spans="1:98">
      <c r="A4992" s="532"/>
      <c r="AR4992" s="2513"/>
      <c r="CT4992" s="531"/>
    </row>
    <row r="4993" spans="1:98">
      <c r="A4993" s="532"/>
      <c r="AR4993" s="2513"/>
      <c r="CT4993" s="531"/>
    </row>
    <row r="4994" spans="1:98">
      <c r="A4994" s="532"/>
      <c r="AR4994" s="2513"/>
      <c r="CT4994" s="531"/>
    </row>
    <row r="4995" spans="1:98">
      <c r="A4995" s="532"/>
      <c r="AR4995" s="2513"/>
      <c r="CT4995" s="531"/>
    </row>
    <row r="4996" spans="1:98">
      <c r="A4996" s="532"/>
      <c r="AR4996" s="2513"/>
      <c r="CT4996" s="531"/>
    </row>
    <row r="4997" spans="1:98">
      <c r="A4997" s="532"/>
      <c r="AR4997" s="2513"/>
      <c r="CT4997" s="531"/>
    </row>
    <row r="4998" spans="1:98">
      <c r="A4998" s="532"/>
      <c r="AR4998" s="2513"/>
      <c r="CT4998" s="531"/>
    </row>
    <row r="4999" spans="1:98">
      <c r="A4999" s="532"/>
      <c r="AR4999" s="2513"/>
      <c r="CT4999" s="531"/>
    </row>
    <row r="5000" spans="1:98">
      <c r="A5000" s="532"/>
      <c r="AR5000" s="2513"/>
      <c r="CT5000" s="531"/>
    </row>
    <row r="5001" spans="1:98">
      <c r="A5001" s="532"/>
      <c r="AR5001" s="2513"/>
      <c r="CT5001" s="531"/>
    </row>
    <row r="5002" spans="1:98">
      <c r="A5002" s="532"/>
      <c r="AR5002" s="2513"/>
      <c r="CT5002" s="531"/>
    </row>
    <row r="5003" spans="1:98">
      <c r="A5003" s="532"/>
      <c r="AR5003" s="2513"/>
      <c r="CT5003" s="531"/>
    </row>
    <row r="5004" spans="1:98">
      <c r="A5004" s="532"/>
      <c r="AR5004" s="2513"/>
      <c r="CT5004" s="531"/>
    </row>
    <row r="5005" spans="1:98">
      <c r="A5005" s="532"/>
      <c r="AR5005" s="2513"/>
      <c r="CT5005" s="531"/>
    </row>
    <row r="5006" spans="1:98">
      <c r="A5006" s="532"/>
      <c r="AR5006" s="2513"/>
      <c r="CT5006" s="531"/>
    </row>
    <row r="5007" spans="1:98">
      <c r="A5007" s="532"/>
      <c r="AR5007" s="2513"/>
      <c r="CT5007" s="531"/>
    </row>
    <row r="5008" spans="1:98">
      <c r="A5008" s="532"/>
      <c r="AR5008" s="2513"/>
      <c r="CT5008" s="531"/>
    </row>
    <row r="5009" spans="1:98">
      <c r="A5009" s="532"/>
      <c r="AR5009" s="2513"/>
      <c r="CT5009" s="531"/>
    </row>
    <row r="5010" spans="1:98">
      <c r="A5010" s="532"/>
      <c r="AR5010" s="2513"/>
      <c r="CT5010" s="531"/>
    </row>
    <row r="5011" spans="1:98">
      <c r="A5011" s="532"/>
      <c r="AR5011" s="2513"/>
      <c r="CT5011" s="531"/>
    </row>
    <row r="5012" spans="1:98">
      <c r="A5012" s="532"/>
      <c r="AR5012" s="2513"/>
      <c r="CT5012" s="531"/>
    </row>
    <row r="5013" spans="1:98">
      <c r="A5013" s="532"/>
      <c r="AR5013" s="2513"/>
      <c r="CT5013" s="531"/>
    </row>
    <row r="5014" spans="1:98">
      <c r="A5014" s="532"/>
      <c r="AR5014" s="2513"/>
      <c r="CT5014" s="531"/>
    </row>
    <row r="5015" spans="1:98">
      <c r="A5015" s="532"/>
      <c r="AR5015" s="2513"/>
      <c r="CT5015" s="531"/>
    </row>
    <row r="5016" spans="1:98">
      <c r="A5016" s="532"/>
      <c r="AR5016" s="2513"/>
      <c r="CT5016" s="531"/>
    </row>
    <row r="5017" spans="1:98">
      <c r="A5017" s="532"/>
      <c r="AR5017" s="2513"/>
      <c r="CT5017" s="531"/>
    </row>
    <row r="5018" spans="1:98">
      <c r="A5018" s="532"/>
      <c r="AR5018" s="2513"/>
      <c r="CT5018" s="531"/>
    </row>
    <row r="5019" spans="1:98">
      <c r="A5019" s="532"/>
      <c r="AR5019" s="2513"/>
      <c r="CT5019" s="531"/>
    </row>
    <row r="5020" spans="1:98">
      <c r="A5020" s="532"/>
      <c r="AR5020" s="2513"/>
      <c r="CT5020" s="531"/>
    </row>
    <row r="5021" spans="1:98">
      <c r="A5021" s="532"/>
      <c r="AR5021" s="2513"/>
      <c r="CT5021" s="531"/>
    </row>
    <row r="5022" spans="1:98">
      <c r="A5022" s="532"/>
      <c r="AR5022" s="2513"/>
      <c r="CT5022" s="531"/>
    </row>
    <row r="5023" spans="1:98">
      <c r="A5023" s="532"/>
      <c r="AR5023" s="2513"/>
      <c r="CT5023" s="531"/>
    </row>
    <row r="5024" spans="1:98">
      <c r="A5024" s="532"/>
      <c r="AR5024" s="2513"/>
      <c r="CT5024" s="531"/>
    </row>
    <row r="5025" spans="1:98">
      <c r="A5025" s="532"/>
      <c r="AR5025" s="2513"/>
      <c r="CT5025" s="531"/>
    </row>
    <row r="5026" spans="1:98">
      <c r="A5026" s="532"/>
      <c r="AR5026" s="2513"/>
      <c r="CT5026" s="531"/>
    </row>
    <row r="5027" spans="1:98">
      <c r="A5027" s="532"/>
      <c r="AR5027" s="2513"/>
      <c r="CT5027" s="531"/>
    </row>
    <row r="5028" spans="1:98">
      <c r="A5028" s="532"/>
      <c r="AR5028" s="2513"/>
      <c r="CT5028" s="531"/>
    </row>
    <row r="5029" spans="1:98">
      <c r="A5029" s="532"/>
      <c r="AR5029" s="2513"/>
      <c r="CT5029" s="531"/>
    </row>
    <row r="5030" spans="1:98">
      <c r="A5030" s="532"/>
      <c r="AR5030" s="2513"/>
      <c r="CT5030" s="531"/>
    </row>
    <row r="5031" spans="1:98">
      <c r="A5031" s="532"/>
      <c r="AR5031" s="2513"/>
      <c r="CT5031" s="531"/>
    </row>
    <row r="5032" spans="1:98">
      <c r="A5032" s="532"/>
      <c r="AR5032" s="2513"/>
      <c r="CT5032" s="531"/>
    </row>
    <row r="5033" spans="1:98">
      <c r="A5033" s="532"/>
      <c r="AR5033" s="2513"/>
      <c r="CT5033" s="531"/>
    </row>
    <row r="5034" spans="1:98">
      <c r="A5034" s="532"/>
      <c r="AR5034" s="2513"/>
      <c r="CT5034" s="531"/>
    </row>
    <row r="5035" spans="1:98">
      <c r="A5035" s="532"/>
      <c r="AR5035" s="2513"/>
      <c r="CT5035" s="531"/>
    </row>
    <row r="5036" spans="1:98">
      <c r="A5036" s="532"/>
      <c r="AR5036" s="2513"/>
      <c r="CT5036" s="531"/>
    </row>
    <row r="5037" spans="1:98">
      <c r="A5037" s="532"/>
      <c r="AR5037" s="2513"/>
      <c r="CT5037" s="531"/>
    </row>
    <row r="5038" spans="1:98">
      <c r="A5038" s="532"/>
      <c r="AR5038" s="2513"/>
      <c r="CT5038" s="531"/>
    </row>
    <row r="5039" spans="1:98">
      <c r="A5039" s="532"/>
      <c r="AR5039" s="2513"/>
      <c r="CT5039" s="531"/>
    </row>
    <row r="5040" spans="1:98">
      <c r="A5040" s="532"/>
      <c r="AR5040" s="2513"/>
      <c r="CT5040" s="531"/>
    </row>
    <row r="5041" spans="1:98">
      <c r="A5041" s="532"/>
      <c r="AR5041" s="2513"/>
      <c r="CT5041" s="531"/>
    </row>
    <row r="5042" spans="1:98">
      <c r="A5042" s="532"/>
      <c r="AR5042" s="2513"/>
      <c r="CT5042" s="531"/>
    </row>
    <row r="5043" spans="1:98">
      <c r="A5043" s="532"/>
      <c r="AR5043" s="2513"/>
      <c r="CT5043" s="531"/>
    </row>
    <row r="5044" spans="1:98">
      <c r="A5044" s="532"/>
      <c r="AR5044" s="2513"/>
      <c r="CT5044" s="531"/>
    </row>
    <row r="5045" spans="1:98">
      <c r="A5045" s="532"/>
      <c r="AR5045" s="2513"/>
      <c r="CT5045" s="531"/>
    </row>
    <row r="5046" spans="1:98">
      <c r="A5046" s="532"/>
      <c r="AR5046" s="2513"/>
      <c r="CT5046" s="531"/>
    </row>
    <row r="5047" spans="1:98">
      <c r="A5047" s="532"/>
      <c r="AR5047" s="2513"/>
      <c r="CT5047" s="531"/>
    </row>
    <row r="5048" spans="1:98">
      <c r="A5048" s="532"/>
      <c r="AR5048" s="2513"/>
      <c r="CT5048" s="531"/>
    </row>
    <row r="5049" spans="1:98">
      <c r="A5049" s="532"/>
      <c r="AR5049" s="2513"/>
      <c r="CT5049" s="531"/>
    </row>
    <row r="5050" spans="1:98">
      <c r="A5050" s="532"/>
      <c r="AR5050" s="2513"/>
      <c r="CT5050" s="531"/>
    </row>
    <row r="5051" spans="1:98">
      <c r="A5051" s="532"/>
      <c r="AR5051" s="2513"/>
      <c r="CT5051" s="531"/>
    </row>
    <row r="5052" spans="1:98">
      <c r="A5052" s="532"/>
      <c r="AR5052" s="2513"/>
      <c r="CT5052" s="531"/>
    </row>
    <row r="5053" spans="1:98">
      <c r="A5053" s="532"/>
      <c r="AR5053" s="2513"/>
      <c r="CT5053" s="531"/>
    </row>
    <row r="5054" spans="1:98">
      <c r="A5054" s="532"/>
      <c r="AR5054" s="2513"/>
      <c r="CT5054" s="531"/>
    </row>
    <row r="5055" spans="1:98">
      <c r="A5055" s="532"/>
      <c r="AR5055" s="2513"/>
      <c r="CT5055" s="531"/>
    </row>
    <row r="5056" spans="1:98">
      <c r="A5056" s="532"/>
      <c r="AR5056" s="2513"/>
      <c r="CT5056" s="531"/>
    </row>
    <row r="5057" spans="1:98">
      <c r="A5057" s="532"/>
      <c r="AR5057" s="2513"/>
      <c r="CT5057" s="531"/>
    </row>
    <row r="5058" spans="1:98">
      <c r="A5058" s="532"/>
      <c r="AR5058" s="2513"/>
      <c r="CT5058" s="531"/>
    </row>
    <row r="5059" spans="1:98">
      <c r="A5059" s="532"/>
      <c r="AR5059" s="2513"/>
      <c r="CT5059" s="531"/>
    </row>
    <row r="5060" spans="1:98">
      <c r="A5060" s="532"/>
      <c r="AR5060" s="2513"/>
      <c r="CT5060" s="531"/>
    </row>
    <row r="5061" spans="1:98">
      <c r="A5061" s="532"/>
      <c r="AR5061" s="2513"/>
      <c r="CT5061" s="531"/>
    </row>
    <row r="5062" spans="1:98">
      <c r="A5062" s="532"/>
      <c r="AR5062" s="2513"/>
      <c r="CT5062" s="531"/>
    </row>
    <row r="5063" spans="1:98">
      <c r="A5063" s="532"/>
      <c r="AR5063" s="2513"/>
      <c r="CT5063" s="531"/>
    </row>
    <row r="5064" spans="1:98">
      <c r="A5064" s="532"/>
      <c r="AR5064" s="2513"/>
      <c r="CT5064" s="531"/>
    </row>
    <row r="5065" spans="1:98">
      <c r="A5065" s="532"/>
      <c r="AR5065" s="2513"/>
      <c r="CT5065" s="531"/>
    </row>
    <row r="5066" spans="1:98">
      <c r="A5066" s="532"/>
      <c r="AR5066" s="2513"/>
      <c r="CT5066" s="531"/>
    </row>
    <row r="5067" spans="1:98">
      <c r="A5067" s="532"/>
      <c r="AR5067" s="2513"/>
      <c r="CT5067" s="531"/>
    </row>
    <row r="5068" spans="1:98">
      <c r="A5068" s="532"/>
      <c r="AR5068" s="2513"/>
      <c r="CT5068" s="531"/>
    </row>
    <row r="5069" spans="1:98">
      <c r="A5069" s="532"/>
      <c r="AR5069" s="2513"/>
      <c r="CT5069" s="531"/>
    </row>
    <row r="5070" spans="1:98">
      <c r="A5070" s="532"/>
      <c r="AR5070" s="2513"/>
      <c r="CT5070" s="531"/>
    </row>
    <row r="5071" spans="1:98">
      <c r="A5071" s="532"/>
      <c r="AR5071" s="2513"/>
      <c r="CT5071" s="531"/>
    </row>
    <row r="5072" spans="1:98">
      <c r="A5072" s="532"/>
      <c r="AR5072" s="2513"/>
      <c r="CT5072" s="531"/>
    </row>
    <row r="5073" spans="1:98">
      <c r="A5073" s="532"/>
      <c r="AR5073" s="2513"/>
      <c r="CT5073" s="531"/>
    </row>
    <row r="5074" spans="1:98">
      <c r="A5074" s="532"/>
      <c r="AR5074" s="2513"/>
      <c r="CT5074" s="531"/>
    </row>
    <row r="5075" spans="1:98">
      <c r="A5075" s="532"/>
      <c r="AR5075" s="2513"/>
      <c r="CT5075" s="531"/>
    </row>
    <row r="5076" spans="1:98">
      <c r="A5076" s="532"/>
      <c r="AR5076" s="2513"/>
      <c r="CT5076" s="531"/>
    </row>
    <row r="5077" spans="1:98">
      <c r="A5077" s="532"/>
      <c r="AR5077" s="2513"/>
      <c r="CT5077" s="531"/>
    </row>
    <row r="5078" spans="1:98">
      <c r="A5078" s="532"/>
      <c r="AR5078" s="2513"/>
      <c r="CT5078" s="531"/>
    </row>
    <row r="5079" spans="1:98">
      <c r="A5079" s="532"/>
      <c r="AR5079" s="2513"/>
      <c r="CT5079" s="531"/>
    </row>
    <row r="5080" spans="1:98">
      <c r="A5080" s="532"/>
      <c r="AR5080" s="2513"/>
      <c r="CT5080" s="531"/>
    </row>
    <row r="5081" spans="1:98">
      <c r="A5081" s="532"/>
      <c r="AR5081" s="2513"/>
      <c r="CT5081" s="531"/>
    </row>
    <row r="5082" spans="1:98">
      <c r="A5082" s="532"/>
      <c r="AR5082" s="2513"/>
      <c r="CT5082" s="531"/>
    </row>
    <row r="5083" spans="1:98">
      <c r="A5083" s="532"/>
      <c r="AR5083" s="2513"/>
      <c r="CT5083" s="531"/>
    </row>
    <row r="5084" spans="1:98">
      <c r="A5084" s="532"/>
      <c r="AR5084" s="2513"/>
      <c r="CT5084" s="531"/>
    </row>
    <row r="5085" spans="1:98">
      <c r="A5085" s="532"/>
      <c r="AR5085" s="2513"/>
      <c r="CT5085" s="531"/>
    </row>
    <row r="5086" spans="1:98">
      <c r="A5086" s="532"/>
      <c r="AR5086" s="2513"/>
      <c r="CT5086" s="531"/>
    </row>
    <row r="5087" spans="1:98">
      <c r="A5087" s="532"/>
      <c r="AR5087" s="2513"/>
      <c r="CT5087" s="531"/>
    </row>
    <row r="5088" spans="1:98">
      <c r="A5088" s="532"/>
      <c r="AR5088" s="2513"/>
      <c r="CT5088" s="531"/>
    </row>
    <row r="5089" spans="1:98">
      <c r="A5089" s="532"/>
      <c r="AR5089" s="2513"/>
      <c r="CT5089" s="531"/>
    </row>
    <row r="5090" spans="1:98">
      <c r="A5090" s="532"/>
      <c r="AR5090" s="2513"/>
      <c r="CT5090" s="531"/>
    </row>
    <row r="5091" spans="1:98">
      <c r="A5091" s="532"/>
      <c r="AR5091" s="2513"/>
      <c r="CT5091" s="531"/>
    </row>
    <row r="5092" spans="1:98">
      <c r="A5092" s="532"/>
      <c r="AR5092" s="2513"/>
      <c r="CT5092" s="531"/>
    </row>
    <row r="5093" spans="1:98">
      <c r="A5093" s="532"/>
      <c r="AR5093" s="2513"/>
      <c r="CT5093" s="531"/>
    </row>
    <row r="5094" spans="1:98">
      <c r="A5094" s="532"/>
      <c r="AR5094" s="2513"/>
      <c r="CT5094" s="531"/>
    </row>
    <row r="5095" spans="1:98">
      <c r="A5095" s="532"/>
      <c r="AR5095" s="2513"/>
      <c r="CT5095" s="531"/>
    </row>
    <row r="5096" spans="1:98">
      <c r="A5096" s="532"/>
      <c r="AR5096" s="2513"/>
      <c r="CT5096" s="531"/>
    </row>
    <row r="5097" spans="1:98">
      <c r="A5097" s="532"/>
      <c r="AR5097" s="2513"/>
      <c r="CT5097" s="531"/>
    </row>
    <row r="5098" spans="1:98">
      <c r="A5098" s="532"/>
      <c r="AR5098" s="2513"/>
      <c r="CT5098" s="531"/>
    </row>
    <row r="5099" spans="1:98">
      <c r="A5099" s="532"/>
      <c r="AR5099" s="2513"/>
      <c r="CT5099" s="531"/>
    </row>
    <row r="5100" spans="1:98">
      <c r="A5100" s="532"/>
      <c r="AR5100" s="2513"/>
      <c r="CT5100" s="531"/>
    </row>
    <row r="5101" spans="1:98">
      <c r="A5101" s="532"/>
      <c r="AR5101" s="2513"/>
      <c r="CT5101" s="531"/>
    </row>
    <row r="5102" spans="1:98">
      <c r="A5102" s="532"/>
      <c r="AR5102" s="2513"/>
      <c r="CT5102" s="531"/>
    </row>
    <row r="5103" spans="1:98">
      <c r="A5103" s="532"/>
      <c r="AR5103" s="2513"/>
      <c r="CT5103" s="531"/>
    </row>
    <row r="5104" spans="1:98">
      <c r="A5104" s="532"/>
      <c r="AR5104" s="2513"/>
      <c r="CT5104" s="531"/>
    </row>
    <row r="5105" spans="1:98">
      <c r="A5105" s="532"/>
      <c r="AR5105" s="2513"/>
      <c r="CT5105" s="531"/>
    </row>
    <row r="5106" spans="1:98">
      <c r="A5106" s="532"/>
      <c r="AR5106" s="2513"/>
      <c r="CT5106" s="531"/>
    </row>
    <row r="5107" spans="1:98">
      <c r="A5107" s="532"/>
      <c r="AR5107" s="2513"/>
      <c r="CT5107" s="531"/>
    </row>
    <row r="5108" spans="1:98">
      <c r="A5108" s="532"/>
      <c r="AR5108" s="2513"/>
      <c r="CT5108" s="531"/>
    </row>
    <row r="5109" spans="1:98">
      <c r="A5109" s="532"/>
      <c r="AR5109" s="2513"/>
      <c r="CT5109" s="531"/>
    </row>
    <row r="5110" spans="1:98">
      <c r="A5110" s="532"/>
      <c r="AR5110" s="2513"/>
      <c r="CT5110" s="531"/>
    </row>
    <row r="5111" spans="1:98">
      <c r="A5111" s="532"/>
      <c r="AR5111" s="2513"/>
      <c r="CT5111" s="531"/>
    </row>
    <row r="5112" spans="1:98">
      <c r="A5112" s="532"/>
      <c r="AR5112" s="2513"/>
      <c r="CT5112" s="531"/>
    </row>
    <row r="5113" spans="1:98">
      <c r="A5113" s="532"/>
      <c r="AR5113" s="2513"/>
      <c r="CT5113" s="531"/>
    </row>
    <row r="5114" spans="1:98">
      <c r="A5114" s="532"/>
      <c r="AR5114" s="2513"/>
      <c r="CT5114" s="531"/>
    </row>
    <row r="5115" spans="1:98">
      <c r="A5115" s="532"/>
      <c r="AR5115" s="2513"/>
      <c r="CT5115" s="531"/>
    </row>
    <row r="5116" spans="1:98">
      <c r="A5116" s="532"/>
      <c r="AR5116" s="2513"/>
      <c r="CT5116" s="531"/>
    </row>
    <row r="5117" spans="1:98">
      <c r="A5117" s="532"/>
      <c r="AR5117" s="2513"/>
      <c r="CT5117" s="531"/>
    </row>
    <row r="5118" spans="1:98">
      <c r="A5118" s="532"/>
      <c r="AR5118" s="2513"/>
      <c r="CT5118" s="531"/>
    </row>
    <row r="5119" spans="1:98">
      <c r="A5119" s="532"/>
      <c r="AR5119" s="2513"/>
      <c r="CT5119" s="531"/>
    </row>
    <row r="5120" spans="1:98">
      <c r="A5120" s="532"/>
      <c r="AR5120" s="2513"/>
      <c r="CT5120" s="531"/>
    </row>
    <row r="5121" spans="1:98">
      <c r="A5121" s="532"/>
      <c r="AR5121" s="2513"/>
      <c r="CT5121" s="531"/>
    </row>
    <row r="5122" spans="1:98">
      <c r="A5122" s="532"/>
      <c r="AR5122" s="2513"/>
      <c r="CT5122" s="531"/>
    </row>
    <row r="5123" spans="1:98">
      <c r="A5123" s="532"/>
      <c r="AR5123" s="2513"/>
      <c r="CT5123" s="531"/>
    </row>
    <row r="5124" spans="1:98">
      <c r="A5124" s="532"/>
      <c r="AR5124" s="2513"/>
      <c r="CT5124" s="531"/>
    </row>
    <row r="5125" spans="1:98">
      <c r="A5125" s="532"/>
      <c r="AR5125" s="2513"/>
      <c r="CT5125" s="531"/>
    </row>
    <row r="5126" spans="1:98">
      <c r="A5126" s="532"/>
      <c r="AR5126" s="2513"/>
      <c r="CT5126" s="531"/>
    </row>
    <row r="5127" spans="1:98">
      <c r="A5127" s="532"/>
      <c r="AR5127" s="2513"/>
      <c r="CT5127" s="531"/>
    </row>
    <row r="5128" spans="1:98">
      <c r="A5128" s="532"/>
      <c r="AR5128" s="2513"/>
      <c r="CT5128" s="531"/>
    </row>
    <row r="5129" spans="1:98">
      <c r="A5129" s="532"/>
      <c r="AR5129" s="2513"/>
      <c r="CT5129" s="531"/>
    </row>
    <row r="5130" spans="1:98">
      <c r="A5130" s="532"/>
      <c r="AR5130" s="2513"/>
      <c r="CT5130" s="531"/>
    </row>
    <row r="5131" spans="1:98">
      <c r="A5131" s="532"/>
      <c r="AR5131" s="2513"/>
      <c r="CT5131" s="531"/>
    </row>
    <row r="5132" spans="1:98">
      <c r="A5132" s="532"/>
      <c r="AR5132" s="2513"/>
      <c r="CT5132" s="531"/>
    </row>
    <row r="5133" spans="1:98">
      <c r="A5133" s="532"/>
      <c r="AR5133" s="2513"/>
      <c r="CT5133" s="531"/>
    </row>
    <row r="5134" spans="1:98">
      <c r="A5134" s="532"/>
      <c r="AR5134" s="2513"/>
      <c r="CT5134" s="531"/>
    </row>
    <row r="5135" spans="1:98">
      <c r="A5135" s="532"/>
      <c r="AR5135" s="2513"/>
      <c r="CT5135" s="531"/>
    </row>
    <row r="5136" spans="1:98">
      <c r="A5136" s="532"/>
      <c r="AR5136" s="2513"/>
      <c r="CT5136" s="531"/>
    </row>
    <row r="5137" spans="1:98">
      <c r="A5137" s="532"/>
      <c r="AR5137" s="2513"/>
      <c r="CT5137" s="531"/>
    </row>
    <row r="5138" spans="1:98">
      <c r="A5138" s="532"/>
      <c r="AR5138" s="2513"/>
      <c r="CT5138" s="531"/>
    </row>
    <row r="5139" spans="1:98">
      <c r="A5139" s="532"/>
      <c r="AR5139" s="2513"/>
      <c r="CT5139" s="531"/>
    </row>
    <row r="5140" spans="1:98">
      <c r="A5140" s="532"/>
      <c r="AR5140" s="2513"/>
      <c r="CT5140" s="531"/>
    </row>
    <row r="5141" spans="1:98">
      <c r="A5141" s="532"/>
      <c r="AR5141" s="2513"/>
      <c r="CT5141" s="531"/>
    </row>
    <row r="5142" spans="1:98">
      <c r="A5142" s="532"/>
      <c r="AR5142" s="2513"/>
      <c r="CT5142" s="531"/>
    </row>
    <row r="5143" spans="1:98">
      <c r="A5143" s="532"/>
      <c r="AR5143" s="2513"/>
      <c r="CT5143" s="531"/>
    </row>
    <row r="5144" spans="1:98">
      <c r="A5144" s="532"/>
      <c r="AR5144" s="2513"/>
      <c r="CT5144" s="531"/>
    </row>
    <row r="5145" spans="1:98">
      <c r="A5145" s="532"/>
      <c r="AR5145" s="2513"/>
      <c r="CT5145" s="531"/>
    </row>
    <row r="5146" spans="1:98">
      <c r="A5146" s="532"/>
      <c r="AR5146" s="2513"/>
      <c r="CT5146" s="531"/>
    </row>
    <row r="5147" spans="1:98">
      <c r="A5147" s="532"/>
      <c r="AR5147" s="2513"/>
      <c r="CT5147" s="531"/>
    </row>
    <row r="5148" spans="1:98">
      <c r="A5148" s="532"/>
      <c r="AR5148" s="2513"/>
      <c r="CT5148" s="531"/>
    </row>
    <row r="5149" spans="1:98">
      <c r="A5149" s="532"/>
      <c r="AR5149" s="2513"/>
      <c r="CT5149" s="531"/>
    </row>
    <row r="5150" spans="1:98">
      <c r="A5150" s="532"/>
      <c r="AR5150" s="2513"/>
      <c r="CT5150" s="531"/>
    </row>
    <row r="5151" spans="1:98">
      <c r="A5151" s="532"/>
      <c r="AR5151" s="2513"/>
      <c r="CT5151" s="531"/>
    </row>
    <row r="5152" spans="1:98">
      <c r="A5152" s="532"/>
      <c r="AR5152" s="2513"/>
      <c r="CT5152" s="531"/>
    </row>
    <row r="5153" spans="1:98">
      <c r="A5153" s="532"/>
      <c r="AR5153" s="2513"/>
      <c r="CT5153" s="531"/>
    </row>
    <row r="5154" spans="1:98">
      <c r="A5154" s="532"/>
      <c r="AR5154" s="2513"/>
      <c r="CT5154" s="531"/>
    </row>
    <row r="5155" spans="1:98">
      <c r="A5155" s="532"/>
      <c r="AR5155" s="2513"/>
      <c r="CT5155" s="531"/>
    </row>
    <row r="5156" spans="1:98">
      <c r="A5156" s="532"/>
      <c r="AR5156" s="2513"/>
      <c r="CT5156" s="531"/>
    </row>
    <row r="5157" spans="1:98">
      <c r="A5157" s="532"/>
      <c r="AR5157" s="2513"/>
      <c r="CT5157" s="531"/>
    </row>
    <row r="5158" spans="1:98">
      <c r="A5158" s="532"/>
      <c r="AR5158" s="2513"/>
      <c r="CT5158" s="531"/>
    </row>
    <row r="5159" spans="1:98">
      <c r="A5159" s="532"/>
      <c r="AR5159" s="2513"/>
      <c r="CT5159" s="531"/>
    </row>
    <row r="5160" spans="1:98">
      <c r="A5160" s="532"/>
      <c r="AR5160" s="2513"/>
      <c r="CT5160" s="531"/>
    </row>
    <row r="5161" spans="1:98">
      <c r="A5161" s="532"/>
      <c r="AR5161" s="2513"/>
      <c r="CT5161" s="531"/>
    </row>
    <row r="5162" spans="1:98">
      <c r="A5162" s="532"/>
      <c r="AR5162" s="2513"/>
      <c r="CT5162" s="531"/>
    </row>
    <row r="5163" spans="1:98">
      <c r="A5163" s="532"/>
      <c r="AR5163" s="2513"/>
      <c r="CT5163" s="531"/>
    </row>
    <row r="5164" spans="1:98">
      <c r="A5164" s="532"/>
      <c r="AR5164" s="2513"/>
      <c r="CT5164" s="531"/>
    </row>
    <row r="5165" spans="1:98">
      <c r="A5165" s="532"/>
      <c r="AR5165" s="2513"/>
      <c r="CT5165" s="531"/>
    </row>
    <row r="5166" spans="1:98">
      <c r="A5166" s="532"/>
      <c r="AR5166" s="2513"/>
      <c r="CT5166" s="531"/>
    </row>
    <row r="5167" spans="1:98">
      <c r="A5167" s="532"/>
      <c r="AR5167" s="2513"/>
      <c r="CT5167" s="531"/>
    </row>
    <row r="5168" spans="1:98">
      <c r="A5168" s="532"/>
      <c r="AR5168" s="2513"/>
      <c r="CT5168" s="531"/>
    </row>
    <row r="5169" spans="1:98">
      <c r="A5169" s="532"/>
      <c r="AR5169" s="2513"/>
      <c r="CT5169" s="531"/>
    </row>
    <row r="5170" spans="1:98">
      <c r="A5170" s="532"/>
      <c r="AR5170" s="2513"/>
      <c r="CT5170" s="531"/>
    </row>
    <row r="5171" spans="1:98">
      <c r="A5171" s="532"/>
      <c r="AR5171" s="2513"/>
      <c r="CT5171" s="531"/>
    </row>
    <row r="5172" spans="1:98">
      <c r="A5172" s="532"/>
      <c r="AR5172" s="2513"/>
      <c r="CT5172" s="531"/>
    </row>
    <row r="5173" spans="1:98">
      <c r="A5173" s="532"/>
      <c r="AR5173" s="2513"/>
      <c r="CT5173" s="531"/>
    </row>
    <row r="5174" spans="1:98">
      <c r="A5174" s="532"/>
      <c r="AR5174" s="2513"/>
      <c r="CT5174" s="531"/>
    </row>
    <row r="5175" spans="1:98">
      <c r="A5175" s="532"/>
      <c r="AR5175" s="2513"/>
      <c r="CT5175" s="531"/>
    </row>
    <row r="5176" spans="1:98">
      <c r="A5176" s="532"/>
      <c r="AR5176" s="2513"/>
      <c r="CT5176" s="531"/>
    </row>
    <row r="5177" spans="1:98">
      <c r="A5177" s="532"/>
      <c r="AR5177" s="2513"/>
      <c r="CT5177" s="531"/>
    </row>
    <row r="5178" spans="1:98">
      <c r="A5178" s="532"/>
      <c r="AR5178" s="2513"/>
      <c r="CT5178" s="531"/>
    </row>
    <row r="5179" spans="1:98">
      <c r="A5179" s="532"/>
      <c r="AR5179" s="2513"/>
      <c r="CT5179" s="531"/>
    </row>
    <row r="5180" spans="1:98">
      <c r="A5180" s="532"/>
      <c r="AR5180" s="2513"/>
      <c r="CT5180" s="531"/>
    </row>
    <row r="5181" spans="1:98">
      <c r="A5181" s="532"/>
      <c r="AR5181" s="2513"/>
      <c r="CT5181" s="531"/>
    </row>
    <row r="5182" spans="1:98">
      <c r="A5182" s="532"/>
      <c r="AR5182" s="2513"/>
      <c r="CT5182" s="531"/>
    </row>
    <row r="5183" spans="1:98">
      <c r="A5183" s="532"/>
      <c r="AR5183" s="2513"/>
      <c r="CT5183" s="531"/>
    </row>
    <row r="5184" spans="1:98">
      <c r="A5184" s="532"/>
      <c r="AR5184" s="2513"/>
      <c r="CT5184" s="531"/>
    </row>
    <row r="5185" spans="1:98">
      <c r="A5185" s="532"/>
      <c r="AR5185" s="2513"/>
      <c r="CT5185" s="531"/>
    </row>
    <row r="5186" spans="1:98">
      <c r="A5186" s="532"/>
      <c r="AR5186" s="2513"/>
      <c r="CT5186" s="531"/>
    </row>
    <row r="5187" spans="1:98">
      <c r="A5187" s="532"/>
      <c r="AR5187" s="2513"/>
      <c r="CT5187" s="531"/>
    </row>
    <row r="5188" spans="1:98">
      <c r="A5188" s="532"/>
      <c r="AR5188" s="2513"/>
      <c r="CT5188" s="531"/>
    </row>
    <row r="5189" spans="1:98">
      <c r="A5189" s="532"/>
      <c r="AR5189" s="2513"/>
      <c r="CT5189" s="531"/>
    </row>
    <row r="5190" spans="1:98">
      <c r="A5190" s="532"/>
      <c r="AR5190" s="2513"/>
      <c r="CT5190" s="531"/>
    </row>
    <row r="5191" spans="1:98">
      <c r="A5191" s="532"/>
      <c r="AR5191" s="2513"/>
      <c r="CT5191" s="531"/>
    </row>
    <row r="5192" spans="1:98">
      <c r="A5192" s="532"/>
      <c r="AR5192" s="2513"/>
      <c r="CT5192" s="531"/>
    </row>
    <row r="5193" spans="1:98">
      <c r="A5193" s="532"/>
      <c r="AR5193" s="2513"/>
      <c r="CT5193" s="531"/>
    </row>
    <row r="5194" spans="1:98">
      <c r="A5194" s="532"/>
      <c r="AR5194" s="2513"/>
      <c r="CT5194" s="531"/>
    </row>
    <row r="5195" spans="1:98">
      <c r="A5195" s="532"/>
      <c r="AR5195" s="2513"/>
      <c r="CT5195" s="531"/>
    </row>
    <row r="5196" spans="1:98">
      <c r="A5196" s="532"/>
      <c r="AR5196" s="2513"/>
      <c r="CT5196" s="531"/>
    </row>
    <row r="5197" spans="1:98">
      <c r="A5197" s="532"/>
      <c r="AR5197" s="2513"/>
      <c r="CT5197" s="531"/>
    </row>
    <row r="5198" spans="1:98">
      <c r="A5198" s="532"/>
      <c r="AR5198" s="2513"/>
      <c r="CT5198" s="531"/>
    </row>
    <row r="5199" spans="1:98">
      <c r="A5199" s="532"/>
      <c r="AR5199" s="2513"/>
      <c r="CT5199" s="531"/>
    </row>
    <row r="5200" spans="1:98">
      <c r="A5200" s="532"/>
      <c r="AR5200" s="2513"/>
      <c r="CT5200" s="531"/>
    </row>
    <row r="5201" spans="1:98">
      <c r="A5201" s="532"/>
      <c r="AR5201" s="2513"/>
      <c r="CT5201" s="531"/>
    </row>
    <row r="5202" spans="1:98">
      <c r="A5202" s="532"/>
      <c r="AR5202" s="2513"/>
      <c r="CT5202" s="531"/>
    </row>
    <row r="5203" spans="1:98">
      <c r="A5203" s="532"/>
      <c r="AR5203" s="2513"/>
      <c r="CT5203" s="531"/>
    </row>
    <row r="5204" spans="1:98">
      <c r="A5204" s="532"/>
      <c r="AR5204" s="2513"/>
      <c r="CT5204" s="531"/>
    </row>
    <row r="5205" spans="1:98">
      <c r="A5205" s="532"/>
      <c r="AR5205" s="2513"/>
      <c r="CT5205" s="531"/>
    </row>
    <row r="5206" spans="1:98">
      <c r="A5206" s="532"/>
      <c r="AR5206" s="2513"/>
      <c r="CT5206" s="531"/>
    </row>
    <row r="5207" spans="1:98">
      <c r="A5207" s="532"/>
      <c r="AR5207" s="2513"/>
      <c r="CT5207" s="531"/>
    </row>
    <row r="5208" spans="1:98">
      <c r="A5208" s="532"/>
      <c r="AR5208" s="2513"/>
      <c r="CT5208" s="531"/>
    </row>
    <row r="5209" spans="1:98">
      <c r="A5209" s="532"/>
      <c r="AR5209" s="2513"/>
      <c r="CT5209" s="531"/>
    </row>
    <row r="5210" spans="1:98">
      <c r="A5210" s="532"/>
      <c r="AR5210" s="2513"/>
      <c r="CT5210" s="531"/>
    </row>
    <row r="5211" spans="1:98">
      <c r="A5211" s="532"/>
      <c r="AR5211" s="2513"/>
      <c r="CT5211" s="531"/>
    </row>
    <row r="5212" spans="1:98">
      <c r="A5212" s="532"/>
      <c r="AR5212" s="2513"/>
      <c r="CT5212" s="531"/>
    </row>
    <row r="5213" spans="1:98">
      <c r="A5213" s="532"/>
      <c r="AR5213" s="2513"/>
      <c r="CT5213" s="531"/>
    </row>
    <row r="5214" spans="1:98">
      <c r="A5214" s="532"/>
      <c r="AR5214" s="2513"/>
      <c r="CT5214" s="531"/>
    </row>
    <row r="5215" spans="1:98">
      <c r="A5215" s="532"/>
      <c r="AR5215" s="2513"/>
      <c r="CT5215" s="531"/>
    </row>
    <row r="5216" spans="1:98">
      <c r="A5216" s="532"/>
      <c r="AR5216" s="2513"/>
      <c r="CT5216" s="531"/>
    </row>
    <row r="5217" spans="1:98">
      <c r="A5217" s="532"/>
      <c r="AR5217" s="2513"/>
      <c r="CT5217" s="531"/>
    </row>
    <row r="5218" spans="1:98">
      <c r="A5218" s="532"/>
      <c r="AR5218" s="2513"/>
      <c r="CT5218" s="531"/>
    </row>
    <row r="5219" spans="1:98">
      <c r="A5219" s="532"/>
      <c r="AR5219" s="2513"/>
      <c r="CT5219" s="531"/>
    </row>
    <row r="5220" spans="1:98">
      <c r="A5220" s="532"/>
      <c r="AR5220" s="2513"/>
      <c r="CT5220" s="531"/>
    </row>
    <row r="5221" spans="1:98">
      <c r="A5221" s="532"/>
      <c r="AR5221" s="2513"/>
      <c r="CT5221" s="531"/>
    </row>
    <row r="5222" spans="1:98">
      <c r="A5222" s="532"/>
      <c r="AR5222" s="2513"/>
      <c r="CT5222" s="531"/>
    </row>
    <row r="5223" spans="1:98">
      <c r="A5223" s="532"/>
      <c r="AR5223" s="2513"/>
      <c r="CT5223" s="531"/>
    </row>
    <row r="5224" spans="1:98">
      <c r="A5224" s="532"/>
      <c r="AR5224" s="2513"/>
      <c r="CT5224" s="531"/>
    </row>
    <row r="5225" spans="1:98">
      <c r="A5225" s="532"/>
      <c r="AR5225" s="2513"/>
      <c r="CT5225" s="531"/>
    </row>
    <row r="5226" spans="1:98">
      <c r="A5226" s="532"/>
      <c r="AR5226" s="2513"/>
      <c r="CT5226" s="531"/>
    </row>
    <row r="5227" spans="1:98">
      <c r="A5227" s="532"/>
      <c r="AR5227" s="2513"/>
      <c r="CT5227" s="531"/>
    </row>
    <row r="5228" spans="1:98">
      <c r="A5228" s="532"/>
      <c r="AR5228" s="2513"/>
      <c r="CT5228" s="531"/>
    </row>
    <row r="5229" spans="1:98">
      <c r="A5229" s="532"/>
      <c r="AR5229" s="2513"/>
      <c r="CT5229" s="531"/>
    </row>
    <row r="5230" spans="1:98">
      <c r="A5230" s="532"/>
      <c r="AR5230" s="2513"/>
      <c r="CT5230" s="531"/>
    </row>
    <row r="5231" spans="1:98">
      <c r="A5231" s="532"/>
      <c r="AR5231" s="2513"/>
      <c r="CT5231" s="531"/>
    </row>
    <row r="5232" spans="1:98">
      <c r="A5232" s="532"/>
      <c r="AR5232" s="2513"/>
      <c r="CT5232" s="531"/>
    </row>
    <row r="5233" spans="1:98">
      <c r="A5233" s="532"/>
      <c r="AR5233" s="2513"/>
      <c r="CT5233" s="531"/>
    </row>
    <row r="5234" spans="1:98">
      <c r="A5234" s="532"/>
      <c r="AR5234" s="2513"/>
      <c r="CT5234" s="531"/>
    </row>
    <row r="5235" spans="1:98">
      <c r="A5235" s="532"/>
      <c r="AR5235" s="2513"/>
      <c r="CT5235" s="531"/>
    </row>
    <row r="5236" spans="1:98">
      <c r="A5236" s="532"/>
      <c r="AR5236" s="2513"/>
      <c r="CT5236" s="531"/>
    </row>
    <row r="5237" spans="1:98">
      <c r="A5237" s="532"/>
      <c r="AR5237" s="2513"/>
      <c r="CT5237" s="531"/>
    </row>
    <row r="5238" spans="1:98">
      <c r="A5238" s="532"/>
      <c r="AR5238" s="2513"/>
      <c r="CT5238" s="531"/>
    </row>
    <row r="5239" spans="1:98">
      <c r="A5239" s="532"/>
      <c r="AR5239" s="2513"/>
      <c r="CT5239" s="531"/>
    </row>
    <row r="5240" spans="1:98">
      <c r="A5240" s="532"/>
      <c r="AR5240" s="2513"/>
      <c r="CT5240" s="531"/>
    </row>
    <row r="5241" spans="1:98">
      <c r="A5241" s="532"/>
      <c r="AR5241" s="2513"/>
      <c r="CT5241" s="531"/>
    </row>
    <row r="5242" spans="1:98">
      <c r="A5242" s="532"/>
      <c r="AR5242" s="2513"/>
      <c r="CT5242" s="531"/>
    </row>
    <row r="5243" spans="1:98">
      <c r="A5243" s="532"/>
      <c r="AR5243" s="2513"/>
      <c r="CT5243" s="531"/>
    </row>
    <row r="5244" spans="1:98">
      <c r="A5244" s="532"/>
      <c r="AR5244" s="2513"/>
      <c r="CT5244" s="531"/>
    </row>
    <row r="5245" spans="1:98">
      <c r="A5245" s="532"/>
      <c r="AR5245" s="2513"/>
      <c r="CT5245" s="531"/>
    </row>
    <row r="5246" spans="1:98">
      <c r="A5246" s="532"/>
      <c r="AR5246" s="2513"/>
      <c r="CT5246" s="531"/>
    </row>
    <row r="5247" spans="1:98">
      <c r="A5247" s="532"/>
      <c r="AR5247" s="2513"/>
      <c r="CT5247" s="531"/>
    </row>
    <row r="5248" spans="1:98">
      <c r="A5248" s="532"/>
      <c r="AR5248" s="2513"/>
      <c r="CT5248" s="531"/>
    </row>
    <row r="5249" spans="1:98">
      <c r="A5249" s="532"/>
      <c r="AR5249" s="2513"/>
      <c r="CT5249" s="531"/>
    </row>
    <row r="5250" spans="1:98">
      <c r="A5250" s="532"/>
      <c r="AR5250" s="2513"/>
      <c r="CT5250" s="531"/>
    </row>
    <row r="5251" spans="1:98">
      <c r="A5251" s="532"/>
      <c r="AR5251" s="2513"/>
      <c r="CT5251" s="531"/>
    </row>
    <row r="5252" spans="1:98">
      <c r="A5252" s="532"/>
      <c r="AR5252" s="2513"/>
      <c r="CT5252" s="531"/>
    </row>
    <row r="5253" spans="1:98">
      <c r="A5253" s="532"/>
      <c r="AR5253" s="2513"/>
      <c r="CT5253" s="531"/>
    </row>
    <row r="5254" spans="1:98">
      <c r="A5254" s="532"/>
      <c r="AR5254" s="2513"/>
      <c r="CT5254" s="531"/>
    </row>
    <row r="5255" spans="1:98">
      <c r="A5255" s="532"/>
      <c r="AR5255" s="2513"/>
      <c r="CT5255" s="531"/>
    </row>
    <row r="5256" spans="1:98">
      <c r="A5256" s="532"/>
      <c r="AR5256" s="2513"/>
      <c r="CT5256" s="531"/>
    </row>
    <row r="5257" spans="1:98">
      <c r="A5257" s="532"/>
      <c r="AR5257" s="2513"/>
      <c r="CT5257" s="531"/>
    </row>
    <row r="5258" spans="1:98">
      <c r="A5258" s="532"/>
      <c r="AR5258" s="2513"/>
      <c r="CT5258" s="531"/>
    </row>
    <row r="5259" spans="1:98">
      <c r="A5259" s="532"/>
      <c r="AR5259" s="2513"/>
      <c r="CT5259" s="531"/>
    </row>
    <row r="5260" spans="1:98">
      <c r="A5260" s="532"/>
      <c r="AR5260" s="2513"/>
      <c r="CT5260" s="531"/>
    </row>
    <row r="5261" spans="1:98">
      <c r="A5261" s="532"/>
      <c r="AR5261" s="2513"/>
      <c r="CT5261" s="531"/>
    </row>
    <row r="5262" spans="1:98">
      <c r="A5262" s="532"/>
      <c r="AR5262" s="2513"/>
      <c r="CT5262" s="531"/>
    </row>
    <row r="5263" spans="1:98">
      <c r="A5263" s="532"/>
      <c r="AR5263" s="2513"/>
      <c r="CT5263" s="531"/>
    </row>
    <row r="5264" spans="1:98">
      <c r="A5264" s="532"/>
      <c r="AR5264" s="2513"/>
      <c r="CT5264" s="531"/>
    </row>
    <row r="5265" spans="1:98">
      <c r="A5265" s="532"/>
      <c r="AR5265" s="2513"/>
      <c r="CT5265" s="531"/>
    </row>
    <row r="5266" spans="1:98">
      <c r="A5266" s="532"/>
      <c r="AR5266" s="2513"/>
      <c r="CT5266" s="531"/>
    </row>
    <row r="5267" spans="1:98">
      <c r="A5267" s="532"/>
      <c r="AR5267" s="2513"/>
      <c r="CT5267" s="531"/>
    </row>
    <row r="5268" spans="1:98">
      <c r="A5268" s="532"/>
      <c r="AR5268" s="2513"/>
      <c r="CT5268" s="531"/>
    </row>
    <row r="5269" spans="1:98">
      <c r="A5269" s="532"/>
      <c r="AR5269" s="2513"/>
      <c r="CT5269" s="531"/>
    </row>
    <row r="5270" spans="1:98">
      <c r="A5270" s="532"/>
      <c r="AR5270" s="2513"/>
      <c r="CT5270" s="531"/>
    </row>
    <row r="5271" spans="1:98">
      <c r="A5271" s="532"/>
      <c r="AR5271" s="2513"/>
      <c r="CT5271" s="531"/>
    </row>
    <row r="5272" spans="1:98">
      <c r="A5272" s="532"/>
      <c r="AR5272" s="2513"/>
      <c r="CT5272" s="531"/>
    </row>
    <row r="5273" spans="1:98">
      <c r="A5273" s="532"/>
      <c r="AR5273" s="2513"/>
      <c r="CT5273" s="531"/>
    </row>
    <row r="5274" spans="1:98">
      <c r="A5274" s="532"/>
      <c r="AR5274" s="2513"/>
      <c r="CT5274" s="531"/>
    </row>
    <row r="5275" spans="1:98">
      <c r="A5275" s="532"/>
      <c r="AR5275" s="2513"/>
      <c r="CT5275" s="531"/>
    </row>
    <row r="5276" spans="1:98">
      <c r="A5276" s="532"/>
      <c r="AR5276" s="2513"/>
      <c r="CT5276" s="531"/>
    </row>
    <row r="5277" spans="1:98">
      <c r="A5277" s="532"/>
      <c r="AR5277" s="2513"/>
      <c r="CT5277" s="531"/>
    </row>
    <row r="5278" spans="1:98">
      <c r="A5278" s="532"/>
      <c r="AR5278" s="2513"/>
      <c r="CT5278" s="531"/>
    </row>
    <row r="5279" spans="1:98">
      <c r="A5279" s="532"/>
      <c r="AR5279" s="2513"/>
      <c r="CT5279" s="531"/>
    </row>
    <row r="5280" spans="1:98">
      <c r="A5280" s="532"/>
      <c r="AR5280" s="2513"/>
      <c r="CT5280" s="531"/>
    </row>
    <row r="5281" spans="1:98">
      <c r="A5281" s="532"/>
      <c r="AR5281" s="2513"/>
      <c r="CT5281" s="531"/>
    </row>
    <row r="5282" spans="1:98">
      <c r="A5282" s="532"/>
      <c r="AR5282" s="2513"/>
      <c r="CT5282" s="531"/>
    </row>
    <row r="5283" spans="1:98">
      <c r="A5283" s="532"/>
      <c r="AR5283" s="2513"/>
      <c r="CT5283" s="531"/>
    </row>
    <row r="5284" spans="1:98">
      <c r="A5284" s="532"/>
      <c r="AR5284" s="2513"/>
      <c r="CT5284" s="531"/>
    </row>
    <row r="5285" spans="1:98">
      <c r="A5285" s="532"/>
      <c r="AR5285" s="2513"/>
      <c r="CT5285" s="531"/>
    </row>
    <row r="5286" spans="1:98">
      <c r="A5286" s="532"/>
      <c r="AR5286" s="2513"/>
      <c r="CT5286" s="531"/>
    </row>
    <row r="5287" spans="1:98">
      <c r="A5287" s="532"/>
      <c r="AR5287" s="2513"/>
      <c r="CT5287" s="531"/>
    </row>
    <row r="5288" spans="1:98">
      <c r="A5288" s="532"/>
      <c r="AR5288" s="2513"/>
      <c r="CT5288" s="531"/>
    </row>
    <row r="5289" spans="1:98">
      <c r="A5289" s="532"/>
      <c r="AR5289" s="2513"/>
      <c r="CT5289" s="531"/>
    </row>
    <row r="5290" spans="1:98">
      <c r="A5290" s="532"/>
      <c r="AR5290" s="2513"/>
      <c r="CT5290" s="531"/>
    </row>
    <row r="5291" spans="1:98">
      <c r="A5291" s="532"/>
      <c r="AR5291" s="2513"/>
      <c r="CT5291" s="531"/>
    </row>
    <row r="5292" spans="1:98">
      <c r="A5292" s="532"/>
      <c r="AR5292" s="2513"/>
      <c r="CT5292" s="531"/>
    </row>
    <row r="5293" spans="1:98">
      <c r="A5293" s="532"/>
      <c r="AR5293" s="2513"/>
      <c r="CT5293" s="531"/>
    </row>
    <row r="5294" spans="1:98">
      <c r="A5294" s="532"/>
      <c r="AR5294" s="2513"/>
      <c r="CT5294" s="531"/>
    </row>
    <row r="5295" spans="1:98">
      <c r="A5295" s="532"/>
      <c r="AR5295" s="2513"/>
      <c r="CT5295" s="531"/>
    </row>
    <row r="5296" spans="1:98">
      <c r="A5296" s="532"/>
      <c r="AR5296" s="2513"/>
      <c r="CT5296" s="531"/>
    </row>
    <row r="5297" spans="1:98">
      <c r="A5297" s="532"/>
      <c r="AR5297" s="2513"/>
      <c r="CT5297" s="531"/>
    </row>
    <row r="5298" spans="1:98">
      <c r="A5298" s="532"/>
      <c r="AR5298" s="2513"/>
      <c r="CT5298" s="531"/>
    </row>
    <row r="5299" spans="1:98">
      <c r="A5299" s="532"/>
      <c r="AR5299" s="2513"/>
      <c r="CT5299" s="531"/>
    </row>
    <row r="5300" spans="1:98">
      <c r="A5300" s="532"/>
      <c r="AR5300" s="2513"/>
      <c r="CT5300" s="531"/>
    </row>
    <row r="5301" spans="1:98">
      <c r="A5301" s="532"/>
      <c r="AR5301" s="2513"/>
      <c r="CT5301" s="531"/>
    </row>
    <row r="5302" spans="1:98">
      <c r="A5302" s="532"/>
      <c r="AR5302" s="2513"/>
      <c r="CT5302" s="531"/>
    </row>
    <row r="5303" spans="1:98">
      <c r="A5303" s="532"/>
      <c r="AR5303" s="2513"/>
      <c r="CT5303" s="531"/>
    </row>
    <row r="5304" spans="1:98">
      <c r="A5304" s="532"/>
      <c r="AR5304" s="2513"/>
      <c r="CT5304" s="531"/>
    </row>
    <row r="5305" spans="1:98">
      <c r="A5305" s="532"/>
      <c r="AR5305" s="2513"/>
      <c r="CT5305" s="531"/>
    </row>
    <row r="5306" spans="1:98">
      <c r="A5306" s="532"/>
      <c r="AR5306" s="2513"/>
      <c r="CT5306" s="531"/>
    </row>
    <row r="5307" spans="1:98">
      <c r="A5307" s="532"/>
      <c r="AR5307" s="2513"/>
      <c r="CT5307" s="531"/>
    </row>
    <row r="5308" spans="1:98">
      <c r="A5308" s="532"/>
      <c r="AR5308" s="2513"/>
      <c r="CT5308" s="531"/>
    </row>
    <row r="5309" spans="1:98">
      <c r="A5309" s="532"/>
      <c r="AR5309" s="2513"/>
      <c r="CT5309" s="531"/>
    </row>
    <row r="5310" spans="1:98">
      <c r="A5310" s="532"/>
      <c r="AR5310" s="2513"/>
      <c r="CT5310" s="531"/>
    </row>
    <row r="5311" spans="1:98">
      <c r="A5311" s="532"/>
      <c r="AR5311" s="2513"/>
      <c r="CT5311" s="531"/>
    </row>
    <row r="5312" spans="1:98">
      <c r="A5312" s="532"/>
      <c r="AR5312" s="2513"/>
      <c r="CT5312" s="531"/>
    </row>
    <row r="5313" spans="1:98">
      <c r="A5313" s="532"/>
      <c r="AR5313" s="2513"/>
      <c r="CT5313" s="531"/>
    </row>
    <row r="5314" spans="1:98">
      <c r="A5314" s="532"/>
      <c r="AR5314" s="2513"/>
      <c r="CT5314" s="531"/>
    </row>
    <row r="5315" spans="1:98">
      <c r="A5315" s="532"/>
      <c r="AR5315" s="2513"/>
      <c r="CT5315" s="531"/>
    </row>
    <row r="5316" spans="1:98">
      <c r="A5316" s="532"/>
      <c r="AR5316" s="2513"/>
      <c r="CT5316" s="531"/>
    </row>
    <row r="5317" spans="1:98">
      <c r="A5317" s="532"/>
      <c r="AR5317" s="2513"/>
      <c r="CT5317" s="531"/>
    </row>
    <row r="5318" spans="1:98">
      <c r="A5318" s="532"/>
      <c r="AR5318" s="2513"/>
      <c r="CT5318" s="531"/>
    </row>
    <row r="5319" spans="1:98">
      <c r="A5319" s="532"/>
      <c r="AR5319" s="2513"/>
      <c r="CT5319" s="531"/>
    </row>
    <row r="5320" spans="1:98">
      <c r="A5320" s="532"/>
      <c r="AR5320" s="2513"/>
      <c r="CT5320" s="531"/>
    </row>
    <row r="5321" spans="1:98">
      <c r="A5321" s="532"/>
      <c r="AR5321" s="2513"/>
      <c r="CT5321" s="531"/>
    </row>
    <row r="5322" spans="1:98">
      <c r="A5322" s="532"/>
      <c r="AR5322" s="2513"/>
      <c r="CT5322" s="531"/>
    </row>
    <row r="5323" spans="1:98">
      <c r="A5323" s="532"/>
      <c r="AR5323" s="2513"/>
      <c r="CT5323" s="531"/>
    </row>
    <row r="5324" spans="1:98">
      <c r="A5324" s="532"/>
      <c r="AR5324" s="2513"/>
      <c r="CT5324" s="531"/>
    </row>
    <row r="5325" spans="1:98">
      <c r="A5325" s="532"/>
      <c r="AR5325" s="2513"/>
      <c r="CT5325" s="531"/>
    </row>
    <row r="5326" spans="1:98">
      <c r="A5326" s="532"/>
      <c r="AR5326" s="2513"/>
      <c r="CT5326" s="531"/>
    </row>
    <row r="5327" spans="1:98">
      <c r="A5327" s="532"/>
      <c r="AR5327" s="2513"/>
      <c r="CT5327" s="531"/>
    </row>
    <row r="5328" spans="1:98">
      <c r="A5328" s="532"/>
      <c r="AR5328" s="2513"/>
      <c r="CT5328" s="531"/>
    </row>
    <row r="5329" spans="1:98">
      <c r="A5329" s="532"/>
      <c r="AR5329" s="2513"/>
      <c r="CT5329" s="531"/>
    </row>
    <row r="5330" spans="1:98">
      <c r="A5330" s="532"/>
      <c r="AR5330" s="2513"/>
      <c r="CT5330" s="531"/>
    </row>
    <row r="5331" spans="1:98">
      <c r="A5331" s="532"/>
      <c r="AR5331" s="2513"/>
      <c r="CT5331" s="531"/>
    </row>
    <row r="5332" spans="1:98">
      <c r="A5332" s="532"/>
      <c r="AR5332" s="2513"/>
      <c r="CT5332" s="531"/>
    </row>
    <row r="5333" spans="1:98">
      <c r="A5333" s="532"/>
      <c r="AR5333" s="2513"/>
      <c r="CT5333" s="531"/>
    </row>
    <row r="5334" spans="1:98">
      <c r="A5334" s="532"/>
      <c r="AR5334" s="2513"/>
      <c r="CT5334" s="531"/>
    </row>
    <row r="5335" spans="1:98">
      <c r="A5335" s="532"/>
      <c r="AR5335" s="2513"/>
      <c r="CT5335" s="531"/>
    </row>
    <row r="5336" spans="1:98">
      <c r="A5336" s="532"/>
      <c r="AR5336" s="2513"/>
      <c r="CT5336" s="531"/>
    </row>
    <row r="5337" spans="1:98">
      <c r="A5337" s="532"/>
      <c r="AR5337" s="2513"/>
      <c r="CT5337" s="531"/>
    </row>
    <row r="5338" spans="1:98">
      <c r="A5338" s="532"/>
      <c r="AR5338" s="2513"/>
      <c r="CT5338" s="531"/>
    </row>
    <row r="5339" spans="1:98">
      <c r="A5339" s="532"/>
      <c r="AR5339" s="2513"/>
      <c r="CT5339" s="531"/>
    </row>
    <row r="5340" spans="1:98">
      <c r="A5340" s="532"/>
      <c r="AR5340" s="2513"/>
      <c r="CT5340" s="531"/>
    </row>
    <row r="5341" spans="1:98">
      <c r="A5341" s="532"/>
      <c r="AR5341" s="2513"/>
      <c r="CT5341" s="531"/>
    </row>
    <row r="5342" spans="1:98">
      <c r="A5342" s="532"/>
      <c r="AR5342" s="2513"/>
      <c r="CT5342" s="531"/>
    </row>
    <row r="5343" spans="1:98">
      <c r="A5343" s="532"/>
      <c r="AR5343" s="2513"/>
      <c r="CT5343" s="531"/>
    </row>
    <row r="5344" spans="1:98">
      <c r="A5344" s="532"/>
      <c r="AR5344" s="2513"/>
      <c r="CT5344" s="531"/>
    </row>
    <row r="5345" spans="1:98">
      <c r="A5345" s="532"/>
      <c r="AR5345" s="2513"/>
      <c r="CT5345" s="531"/>
    </row>
    <row r="5346" spans="1:98">
      <c r="A5346" s="532"/>
      <c r="AR5346" s="2513"/>
      <c r="CT5346" s="531"/>
    </row>
    <row r="5347" spans="1:98">
      <c r="A5347" s="532"/>
      <c r="AR5347" s="2513"/>
      <c r="CT5347" s="531"/>
    </row>
    <row r="5348" spans="1:98">
      <c r="A5348" s="532"/>
      <c r="AR5348" s="2513"/>
      <c r="CT5348" s="531"/>
    </row>
    <row r="5349" spans="1:98">
      <c r="A5349" s="532"/>
      <c r="AR5349" s="2513"/>
      <c r="CT5349" s="531"/>
    </row>
    <row r="5350" spans="1:98">
      <c r="A5350" s="532"/>
      <c r="AR5350" s="2513"/>
      <c r="CT5350" s="531"/>
    </row>
    <row r="5351" spans="1:98">
      <c r="A5351" s="532"/>
      <c r="AR5351" s="2513"/>
      <c r="CT5351" s="531"/>
    </row>
    <row r="5352" spans="1:98">
      <c r="A5352" s="532"/>
      <c r="AR5352" s="2513"/>
      <c r="CT5352" s="531"/>
    </row>
    <row r="5353" spans="1:98">
      <c r="A5353" s="532"/>
      <c r="AR5353" s="2513"/>
      <c r="CT5353" s="531"/>
    </row>
    <row r="5354" spans="1:98">
      <c r="A5354" s="532"/>
      <c r="AR5354" s="2513"/>
      <c r="CT5354" s="531"/>
    </row>
    <row r="5355" spans="1:98">
      <c r="A5355" s="532"/>
      <c r="AR5355" s="2513"/>
      <c r="CT5355" s="531"/>
    </row>
    <row r="5356" spans="1:98">
      <c r="A5356" s="532"/>
      <c r="AR5356" s="2513"/>
      <c r="CT5356" s="531"/>
    </row>
    <row r="5357" spans="1:98">
      <c r="A5357" s="532"/>
      <c r="AR5357" s="2513"/>
      <c r="CT5357" s="531"/>
    </row>
    <row r="5358" spans="1:98">
      <c r="A5358" s="532"/>
      <c r="AR5358" s="2513"/>
      <c r="CT5358" s="531"/>
    </row>
    <row r="5359" spans="1:98">
      <c r="A5359" s="532"/>
      <c r="AR5359" s="2513"/>
      <c r="CT5359" s="531"/>
    </row>
    <row r="5360" spans="1:98">
      <c r="A5360" s="532"/>
      <c r="AR5360" s="2513"/>
      <c r="CT5360" s="531"/>
    </row>
    <row r="5361" spans="1:98">
      <c r="A5361" s="532"/>
      <c r="AR5361" s="2513"/>
      <c r="CT5361" s="531"/>
    </row>
    <row r="5362" spans="1:98">
      <c r="A5362" s="532"/>
      <c r="AR5362" s="2513"/>
      <c r="CT5362" s="531"/>
    </row>
    <row r="5363" spans="1:98">
      <c r="A5363" s="532"/>
      <c r="AR5363" s="2513"/>
      <c r="CT5363" s="531"/>
    </row>
    <row r="5364" spans="1:98">
      <c r="A5364" s="532"/>
      <c r="AR5364" s="2513"/>
      <c r="CT5364" s="531"/>
    </row>
    <row r="5365" spans="1:98">
      <c r="A5365" s="532"/>
      <c r="AR5365" s="2513"/>
      <c r="CT5365" s="531"/>
    </row>
    <row r="5366" spans="1:98">
      <c r="A5366" s="532"/>
      <c r="AR5366" s="2513"/>
      <c r="CT5366" s="531"/>
    </row>
    <row r="5367" spans="1:98">
      <c r="A5367" s="532"/>
      <c r="AR5367" s="2513"/>
      <c r="CT5367" s="531"/>
    </row>
    <row r="5368" spans="1:98">
      <c r="A5368" s="532"/>
      <c r="AR5368" s="2513"/>
      <c r="CT5368" s="531"/>
    </row>
    <row r="5369" spans="1:98">
      <c r="A5369" s="532"/>
      <c r="AR5369" s="2513"/>
      <c r="CT5369" s="531"/>
    </row>
    <row r="5370" spans="1:98">
      <c r="A5370" s="532"/>
      <c r="AR5370" s="2513"/>
      <c r="CT5370" s="531"/>
    </row>
    <row r="5371" spans="1:98">
      <c r="A5371" s="532"/>
      <c r="AR5371" s="2513"/>
      <c r="CT5371" s="531"/>
    </row>
    <row r="5372" spans="1:98">
      <c r="A5372" s="532"/>
      <c r="AR5372" s="2513"/>
      <c r="CT5372" s="531"/>
    </row>
    <row r="5373" spans="1:98">
      <c r="A5373" s="532"/>
      <c r="AR5373" s="2513"/>
      <c r="CT5373" s="531"/>
    </row>
    <row r="5374" spans="1:98">
      <c r="A5374" s="532"/>
      <c r="AR5374" s="2513"/>
      <c r="CT5374" s="531"/>
    </row>
    <row r="5375" spans="1:98">
      <c r="A5375" s="532"/>
      <c r="AR5375" s="2513"/>
      <c r="CT5375" s="531"/>
    </row>
    <row r="5376" spans="1:98">
      <c r="A5376" s="532"/>
      <c r="AR5376" s="2513"/>
      <c r="CT5376" s="531"/>
    </row>
    <row r="5377" spans="1:98">
      <c r="A5377" s="532"/>
      <c r="AR5377" s="2513"/>
      <c r="CT5377" s="531"/>
    </row>
    <row r="5378" spans="1:98">
      <c r="A5378" s="532"/>
      <c r="AR5378" s="2513"/>
      <c r="CT5378" s="531"/>
    </row>
    <row r="5379" spans="1:98">
      <c r="A5379" s="532"/>
      <c r="AR5379" s="2513"/>
      <c r="CT5379" s="531"/>
    </row>
    <row r="5380" spans="1:98">
      <c r="A5380" s="532"/>
      <c r="AR5380" s="2513"/>
      <c r="CT5380" s="531"/>
    </row>
    <row r="5381" spans="1:98">
      <c r="A5381" s="532"/>
      <c r="AR5381" s="2513"/>
      <c r="CT5381" s="531"/>
    </row>
    <row r="5382" spans="1:98">
      <c r="A5382" s="532"/>
      <c r="AR5382" s="2513"/>
      <c r="CT5382" s="531"/>
    </row>
    <row r="5383" spans="1:98">
      <c r="A5383" s="532"/>
      <c r="AR5383" s="2513"/>
      <c r="CT5383" s="531"/>
    </row>
    <row r="5384" spans="1:98">
      <c r="A5384" s="532"/>
      <c r="AR5384" s="2513"/>
      <c r="CT5384" s="531"/>
    </row>
    <row r="5385" spans="1:98">
      <c r="A5385" s="532"/>
      <c r="AR5385" s="2513"/>
      <c r="CT5385" s="531"/>
    </row>
    <row r="5386" spans="1:98">
      <c r="A5386" s="532"/>
      <c r="AR5386" s="2513"/>
      <c r="CT5386" s="531"/>
    </row>
    <row r="5387" spans="1:98">
      <c r="A5387" s="532"/>
      <c r="AR5387" s="2513"/>
      <c r="CT5387" s="531"/>
    </row>
    <row r="5388" spans="1:98">
      <c r="A5388" s="532"/>
      <c r="AR5388" s="2513"/>
      <c r="CT5388" s="531"/>
    </row>
    <row r="5389" spans="1:98">
      <c r="A5389" s="532"/>
      <c r="AR5389" s="2513"/>
      <c r="CT5389" s="531"/>
    </row>
    <row r="5390" spans="1:98">
      <c r="A5390" s="532"/>
      <c r="AR5390" s="2513"/>
      <c r="CT5390" s="531"/>
    </row>
    <row r="5391" spans="1:98">
      <c r="A5391" s="532"/>
      <c r="AR5391" s="2513"/>
      <c r="CT5391" s="531"/>
    </row>
    <row r="5392" spans="1:98">
      <c r="A5392" s="532"/>
      <c r="AR5392" s="2513"/>
      <c r="CT5392" s="531"/>
    </row>
    <row r="5393" spans="1:98">
      <c r="A5393" s="532"/>
      <c r="AR5393" s="2513"/>
      <c r="CT5393" s="531"/>
    </row>
    <row r="5394" spans="1:98">
      <c r="A5394" s="532"/>
      <c r="AR5394" s="2513"/>
      <c r="CT5394" s="531"/>
    </row>
    <row r="5395" spans="1:98">
      <c r="A5395" s="532"/>
      <c r="AR5395" s="2513"/>
      <c r="CT5395" s="531"/>
    </row>
    <row r="5396" spans="1:98">
      <c r="A5396" s="532"/>
      <c r="AR5396" s="2513"/>
      <c r="CT5396" s="531"/>
    </row>
    <row r="5397" spans="1:98">
      <c r="A5397" s="532"/>
      <c r="AR5397" s="2513"/>
      <c r="CT5397" s="531"/>
    </row>
    <row r="5398" spans="1:98">
      <c r="A5398" s="532"/>
      <c r="AR5398" s="2513"/>
      <c r="CT5398" s="531"/>
    </row>
    <row r="5399" spans="1:98">
      <c r="A5399" s="532"/>
      <c r="AR5399" s="2513"/>
      <c r="CT5399" s="531"/>
    </row>
    <row r="5400" spans="1:98">
      <c r="A5400" s="532"/>
      <c r="AR5400" s="2513"/>
      <c r="CT5400" s="531"/>
    </row>
    <row r="5401" spans="1:98">
      <c r="A5401" s="532"/>
      <c r="AR5401" s="2513"/>
      <c r="CT5401" s="531"/>
    </row>
    <row r="5402" spans="1:98">
      <c r="A5402" s="532"/>
      <c r="AR5402" s="2513"/>
      <c r="CT5402" s="531"/>
    </row>
    <row r="5403" spans="1:98">
      <c r="A5403" s="532"/>
      <c r="AR5403" s="2513"/>
      <c r="CT5403" s="531"/>
    </row>
    <row r="5404" spans="1:98">
      <c r="A5404" s="532"/>
      <c r="AR5404" s="2513"/>
      <c r="CT5404" s="531"/>
    </row>
    <row r="5405" spans="1:98">
      <c r="A5405" s="532"/>
      <c r="AR5405" s="2513"/>
      <c r="CT5405" s="531"/>
    </row>
    <row r="5406" spans="1:98">
      <c r="A5406" s="532"/>
      <c r="AR5406" s="2513"/>
      <c r="CT5406" s="531"/>
    </row>
    <row r="5407" spans="1:98">
      <c r="A5407" s="532"/>
      <c r="AR5407" s="2513"/>
      <c r="CT5407" s="531"/>
    </row>
    <row r="5408" spans="1:98">
      <c r="A5408" s="532"/>
      <c r="AR5408" s="2513"/>
      <c r="CT5408" s="531"/>
    </row>
    <row r="5409" spans="1:98">
      <c r="A5409" s="532"/>
      <c r="AR5409" s="2513"/>
      <c r="CT5409" s="531"/>
    </row>
    <row r="5410" spans="1:98">
      <c r="A5410" s="532"/>
      <c r="AR5410" s="2513"/>
      <c r="CT5410" s="531"/>
    </row>
    <row r="5411" spans="1:98">
      <c r="A5411" s="532"/>
      <c r="AR5411" s="2513"/>
      <c r="CT5411" s="531"/>
    </row>
    <row r="5412" spans="1:98">
      <c r="A5412" s="532"/>
      <c r="AR5412" s="2513"/>
      <c r="CT5412" s="531"/>
    </row>
    <row r="5413" spans="1:98">
      <c r="A5413" s="532"/>
      <c r="AR5413" s="2513"/>
      <c r="CT5413" s="531"/>
    </row>
    <row r="5414" spans="1:98">
      <c r="A5414" s="532"/>
      <c r="AR5414" s="2513"/>
      <c r="CT5414" s="531"/>
    </row>
    <row r="5415" spans="1:98">
      <c r="A5415" s="532"/>
      <c r="AR5415" s="2513"/>
      <c r="CT5415" s="531"/>
    </row>
    <row r="5416" spans="1:98">
      <c r="A5416" s="532"/>
      <c r="AR5416" s="2513"/>
      <c r="CT5416" s="531"/>
    </row>
    <row r="5417" spans="1:98">
      <c r="A5417" s="532"/>
      <c r="AR5417" s="2513"/>
      <c r="CT5417" s="531"/>
    </row>
    <row r="5418" spans="1:98">
      <c r="A5418" s="532"/>
      <c r="AR5418" s="2513"/>
      <c r="CT5418" s="531"/>
    </row>
    <row r="5419" spans="1:98">
      <c r="A5419" s="532"/>
      <c r="AR5419" s="2513"/>
      <c r="CT5419" s="531"/>
    </row>
    <row r="5420" spans="1:98">
      <c r="A5420" s="532"/>
      <c r="AR5420" s="2513"/>
      <c r="CT5420" s="531"/>
    </row>
    <row r="5421" spans="1:98">
      <c r="A5421" s="532"/>
      <c r="AR5421" s="2513"/>
      <c r="CT5421" s="531"/>
    </row>
    <row r="5422" spans="1:98">
      <c r="A5422" s="532"/>
      <c r="AR5422" s="2513"/>
      <c r="CT5422" s="531"/>
    </row>
    <row r="5423" spans="1:98">
      <c r="A5423" s="532"/>
      <c r="AR5423" s="2513"/>
      <c r="CT5423" s="531"/>
    </row>
    <row r="5424" spans="1:98">
      <c r="A5424" s="532"/>
      <c r="AR5424" s="2513"/>
      <c r="CT5424" s="531"/>
    </row>
    <row r="5425" spans="1:98">
      <c r="A5425" s="532"/>
      <c r="AR5425" s="2513"/>
      <c r="CT5425" s="531"/>
    </row>
    <row r="5426" spans="1:98">
      <c r="A5426" s="532"/>
      <c r="AR5426" s="2513"/>
      <c r="CT5426" s="531"/>
    </row>
    <row r="5427" spans="1:98">
      <c r="A5427" s="532"/>
      <c r="AR5427" s="2513"/>
      <c r="CT5427" s="531"/>
    </row>
    <row r="5428" spans="1:98">
      <c r="A5428" s="532"/>
      <c r="AR5428" s="2513"/>
      <c r="CT5428" s="531"/>
    </row>
    <row r="5429" spans="1:98">
      <c r="A5429" s="532"/>
      <c r="AR5429" s="2513"/>
      <c r="CT5429" s="531"/>
    </row>
    <row r="5430" spans="1:98">
      <c r="A5430" s="532"/>
      <c r="AR5430" s="2513"/>
      <c r="CT5430" s="531"/>
    </row>
    <row r="5431" spans="1:98">
      <c r="A5431" s="532"/>
      <c r="AR5431" s="2513"/>
      <c r="CT5431" s="531"/>
    </row>
    <row r="5432" spans="1:98">
      <c r="A5432" s="532"/>
      <c r="AR5432" s="2513"/>
      <c r="CT5432" s="531"/>
    </row>
    <row r="5433" spans="1:98">
      <c r="A5433" s="532"/>
      <c r="AR5433" s="2513"/>
      <c r="CT5433" s="531"/>
    </row>
    <row r="5434" spans="1:98">
      <c r="A5434" s="532"/>
      <c r="AR5434" s="2513"/>
      <c r="CT5434" s="531"/>
    </row>
    <row r="5435" spans="1:98">
      <c r="A5435" s="532"/>
      <c r="AR5435" s="2513"/>
      <c r="CT5435" s="531"/>
    </row>
    <row r="5436" spans="1:98">
      <c r="A5436" s="532"/>
      <c r="AR5436" s="2513"/>
      <c r="CT5436" s="531"/>
    </row>
    <row r="5437" spans="1:98">
      <c r="A5437" s="532"/>
      <c r="AR5437" s="2513"/>
      <c r="CT5437" s="531"/>
    </row>
    <row r="5438" spans="1:98">
      <c r="A5438" s="532"/>
      <c r="AR5438" s="2513"/>
      <c r="CT5438" s="531"/>
    </row>
    <row r="5439" spans="1:98">
      <c r="A5439" s="532"/>
      <c r="AR5439" s="2513"/>
      <c r="CT5439" s="531"/>
    </row>
    <row r="5440" spans="1:98">
      <c r="A5440" s="532"/>
      <c r="AR5440" s="2513"/>
      <c r="CT5440" s="531"/>
    </row>
    <row r="5441" spans="1:98">
      <c r="A5441" s="532"/>
      <c r="AR5441" s="2513"/>
      <c r="CT5441" s="531"/>
    </row>
    <row r="5442" spans="1:98">
      <c r="A5442" s="532"/>
      <c r="AR5442" s="2513"/>
      <c r="CT5442" s="531"/>
    </row>
    <row r="5443" spans="1:98">
      <c r="A5443" s="532"/>
      <c r="AR5443" s="2513"/>
      <c r="CT5443" s="531"/>
    </row>
    <row r="5444" spans="1:98">
      <c r="A5444" s="532"/>
      <c r="AR5444" s="2513"/>
      <c r="CT5444" s="531"/>
    </row>
    <row r="5445" spans="1:98">
      <c r="A5445" s="532"/>
      <c r="AR5445" s="2513"/>
      <c r="CT5445" s="531"/>
    </row>
    <row r="5446" spans="1:98">
      <c r="A5446" s="532"/>
      <c r="AR5446" s="2513"/>
      <c r="CT5446" s="531"/>
    </row>
    <row r="5447" spans="1:98">
      <c r="A5447" s="532"/>
      <c r="AR5447" s="2513"/>
      <c r="CT5447" s="531"/>
    </row>
    <row r="5448" spans="1:98">
      <c r="A5448" s="532"/>
      <c r="AR5448" s="2513"/>
      <c r="CT5448" s="531"/>
    </row>
    <row r="5449" spans="1:98">
      <c r="A5449" s="532"/>
      <c r="AR5449" s="2513"/>
      <c r="CT5449" s="531"/>
    </row>
    <row r="5450" spans="1:98">
      <c r="A5450" s="532"/>
      <c r="AR5450" s="2513"/>
      <c r="CT5450" s="531"/>
    </row>
    <row r="5451" spans="1:98">
      <c r="A5451" s="532"/>
      <c r="AR5451" s="2513"/>
      <c r="CT5451" s="531"/>
    </row>
    <row r="5452" spans="1:98">
      <c r="A5452" s="532"/>
      <c r="AR5452" s="2513"/>
      <c r="CT5452" s="531"/>
    </row>
    <row r="5453" spans="1:98">
      <c r="A5453" s="532"/>
      <c r="AR5453" s="2513"/>
      <c r="CT5453" s="531"/>
    </row>
    <row r="5454" spans="1:98">
      <c r="A5454" s="532"/>
      <c r="AR5454" s="2513"/>
      <c r="CT5454" s="531"/>
    </row>
    <row r="5455" spans="1:98">
      <c r="A5455" s="532"/>
      <c r="AR5455" s="2513"/>
      <c r="CT5455" s="531"/>
    </row>
    <row r="5456" spans="1:98">
      <c r="A5456" s="532"/>
      <c r="AR5456" s="2513"/>
      <c r="CT5456" s="531"/>
    </row>
    <row r="5457" spans="1:98">
      <c r="A5457" s="532"/>
      <c r="AR5457" s="2513"/>
      <c r="CT5457" s="531"/>
    </row>
    <row r="5458" spans="1:98">
      <c r="A5458" s="532"/>
      <c r="AR5458" s="2513"/>
      <c r="CT5458" s="531"/>
    </row>
    <row r="5459" spans="1:98">
      <c r="A5459" s="532"/>
      <c r="AR5459" s="2513"/>
      <c r="CT5459" s="531"/>
    </row>
    <row r="5460" spans="1:98">
      <c r="A5460" s="532"/>
      <c r="AR5460" s="2513"/>
      <c r="CT5460" s="531"/>
    </row>
    <row r="5461" spans="1:98">
      <c r="A5461" s="532"/>
      <c r="AR5461" s="2513"/>
      <c r="CT5461" s="531"/>
    </row>
    <row r="5462" spans="1:98">
      <c r="A5462" s="532"/>
      <c r="AR5462" s="2513"/>
      <c r="CT5462" s="531"/>
    </row>
    <row r="5463" spans="1:98">
      <c r="A5463" s="532"/>
      <c r="AR5463" s="2513"/>
      <c r="CT5463" s="531"/>
    </row>
    <row r="5464" spans="1:98">
      <c r="A5464" s="532"/>
      <c r="AR5464" s="2513"/>
      <c r="CT5464" s="531"/>
    </row>
    <row r="5465" spans="1:98">
      <c r="A5465" s="532"/>
      <c r="AR5465" s="2513"/>
      <c r="CT5465" s="531"/>
    </row>
    <row r="5466" spans="1:98">
      <c r="A5466" s="532"/>
      <c r="AR5466" s="2513"/>
      <c r="CT5466" s="531"/>
    </row>
    <row r="5467" spans="1:98">
      <c r="A5467" s="532"/>
      <c r="AR5467" s="2513"/>
      <c r="CT5467" s="531"/>
    </row>
    <row r="5468" spans="1:98">
      <c r="A5468" s="532"/>
      <c r="AR5468" s="2513"/>
      <c r="CT5468" s="531"/>
    </row>
    <row r="5469" spans="1:98">
      <c r="A5469" s="532"/>
      <c r="AR5469" s="2513"/>
      <c r="CT5469" s="531"/>
    </row>
    <row r="5470" spans="1:98">
      <c r="A5470" s="532"/>
      <c r="AR5470" s="2513"/>
      <c r="CT5470" s="531"/>
    </row>
    <row r="5471" spans="1:98">
      <c r="A5471" s="532"/>
      <c r="AR5471" s="2513"/>
      <c r="CT5471" s="531"/>
    </row>
    <row r="5472" spans="1:98">
      <c r="A5472" s="532"/>
      <c r="AR5472" s="2513"/>
      <c r="CT5472" s="531"/>
    </row>
    <row r="5473" spans="1:98">
      <c r="A5473" s="532"/>
      <c r="AR5473" s="2513"/>
      <c r="CT5473" s="531"/>
    </row>
    <row r="5474" spans="1:98">
      <c r="A5474" s="532"/>
      <c r="AR5474" s="2513"/>
      <c r="CT5474" s="531"/>
    </row>
    <row r="5475" spans="1:98">
      <c r="A5475" s="532"/>
      <c r="AR5475" s="2513"/>
      <c r="CT5475" s="531"/>
    </row>
    <row r="5476" spans="1:98">
      <c r="A5476" s="532"/>
      <c r="AR5476" s="2513"/>
      <c r="CT5476" s="531"/>
    </row>
    <row r="5477" spans="1:98">
      <c r="A5477" s="532"/>
      <c r="AR5477" s="2513"/>
      <c r="CT5477" s="531"/>
    </row>
    <row r="5478" spans="1:98">
      <c r="A5478" s="532"/>
      <c r="AR5478" s="2513"/>
      <c r="CT5478" s="531"/>
    </row>
    <row r="5479" spans="1:98">
      <c r="A5479" s="532"/>
      <c r="AR5479" s="2513"/>
      <c r="CT5479" s="531"/>
    </row>
    <row r="5480" spans="1:98">
      <c r="A5480" s="532"/>
      <c r="AR5480" s="2513"/>
      <c r="CT5480" s="531"/>
    </row>
    <row r="5481" spans="1:98">
      <c r="A5481" s="532"/>
      <c r="AR5481" s="2513"/>
      <c r="CT5481" s="531"/>
    </row>
    <row r="5482" spans="1:98">
      <c r="A5482" s="532"/>
      <c r="AR5482" s="2513"/>
      <c r="CT5482" s="531"/>
    </row>
    <row r="5483" spans="1:98">
      <c r="A5483" s="532"/>
      <c r="AR5483" s="2513"/>
      <c r="CT5483" s="531"/>
    </row>
    <row r="5484" spans="1:98">
      <c r="A5484" s="532"/>
      <c r="AR5484" s="2513"/>
      <c r="CT5484" s="531"/>
    </row>
    <row r="5485" spans="1:98">
      <c r="A5485" s="532"/>
      <c r="AR5485" s="2513"/>
      <c r="CT5485" s="531"/>
    </row>
    <row r="5486" spans="1:98">
      <c r="A5486" s="532"/>
      <c r="AR5486" s="2513"/>
      <c r="CT5486" s="531"/>
    </row>
    <row r="5487" spans="1:98">
      <c r="A5487" s="532"/>
      <c r="AR5487" s="2513"/>
      <c r="CT5487" s="531"/>
    </row>
    <row r="5488" spans="1:98">
      <c r="A5488" s="532"/>
      <c r="AR5488" s="2513"/>
      <c r="CT5488" s="531"/>
    </row>
    <row r="5489" spans="1:98">
      <c r="A5489" s="532"/>
      <c r="AR5489" s="2513"/>
      <c r="CT5489" s="531"/>
    </row>
    <row r="5490" spans="1:98">
      <c r="A5490" s="532"/>
      <c r="AR5490" s="2513"/>
      <c r="CT5490" s="531"/>
    </row>
    <row r="5491" spans="1:98">
      <c r="A5491" s="532"/>
      <c r="AR5491" s="2513"/>
      <c r="CT5491" s="531"/>
    </row>
    <row r="5492" spans="1:98">
      <c r="A5492" s="532"/>
      <c r="AR5492" s="2513"/>
      <c r="CT5492" s="531"/>
    </row>
    <row r="5493" spans="1:98">
      <c r="A5493" s="532"/>
      <c r="AR5493" s="2513"/>
      <c r="CT5493" s="531"/>
    </row>
    <row r="5494" spans="1:98">
      <c r="A5494" s="532"/>
      <c r="AR5494" s="2513"/>
      <c r="CT5494" s="531"/>
    </row>
    <row r="5495" spans="1:98">
      <c r="A5495" s="532"/>
      <c r="AR5495" s="2513"/>
      <c r="CT5495" s="531"/>
    </row>
    <row r="5496" spans="1:98">
      <c r="A5496" s="532"/>
      <c r="AR5496" s="2513"/>
      <c r="CT5496" s="531"/>
    </row>
    <row r="5497" spans="1:98">
      <c r="A5497" s="532"/>
      <c r="AR5497" s="2513"/>
      <c r="CT5497" s="531"/>
    </row>
    <row r="5498" spans="1:98">
      <c r="A5498" s="532"/>
      <c r="AR5498" s="2513"/>
      <c r="CT5498" s="531"/>
    </row>
    <row r="5499" spans="1:98">
      <c r="A5499" s="532"/>
      <c r="AR5499" s="2513"/>
      <c r="CT5499" s="531"/>
    </row>
    <row r="5500" spans="1:98">
      <c r="A5500" s="532"/>
      <c r="AR5500" s="2513"/>
      <c r="CT5500" s="531"/>
    </row>
    <row r="5501" spans="1:98">
      <c r="A5501" s="532"/>
      <c r="AR5501" s="2513"/>
      <c r="CT5501" s="531"/>
    </row>
    <row r="5502" spans="1:98">
      <c r="A5502" s="532"/>
      <c r="AR5502" s="2513"/>
      <c r="CT5502" s="531"/>
    </row>
    <row r="5503" spans="1:98">
      <c r="A5503" s="532"/>
      <c r="AR5503" s="2513"/>
      <c r="CT5503" s="531"/>
    </row>
    <row r="5504" spans="1:98">
      <c r="A5504" s="532"/>
      <c r="AR5504" s="2513"/>
      <c r="CT5504" s="531"/>
    </row>
    <row r="5505" spans="1:98">
      <c r="A5505" s="532"/>
      <c r="AR5505" s="2513"/>
      <c r="CT5505" s="531"/>
    </row>
    <row r="5506" spans="1:98">
      <c r="A5506" s="532"/>
      <c r="AR5506" s="2513"/>
      <c r="CT5506" s="531"/>
    </row>
    <row r="5507" spans="1:98">
      <c r="A5507" s="532"/>
      <c r="AR5507" s="2513"/>
      <c r="CT5507" s="531"/>
    </row>
    <row r="5508" spans="1:98">
      <c r="A5508" s="532"/>
      <c r="AR5508" s="2513"/>
      <c r="CT5508" s="531"/>
    </row>
    <row r="5509" spans="1:98">
      <c r="A5509" s="532"/>
      <c r="AR5509" s="2513"/>
      <c r="CT5509" s="531"/>
    </row>
    <row r="5510" spans="1:98">
      <c r="A5510" s="532"/>
      <c r="AR5510" s="2513"/>
      <c r="CT5510" s="531"/>
    </row>
    <row r="5511" spans="1:98">
      <c r="A5511" s="532"/>
      <c r="AR5511" s="2513"/>
      <c r="CT5511" s="531"/>
    </row>
    <row r="5512" spans="1:98">
      <c r="A5512" s="532"/>
      <c r="AR5512" s="2513"/>
      <c r="CT5512" s="531"/>
    </row>
    <row r="5513" spans="1:98">
      <c r="A5513" s="532"/>
      <c r="AR5513" s="2513"/>
      <c r="CT5513" s="531"/>
    </row>
    <row r="5514" spans="1:98">
      <c r="A5514" s="532"/>
      <c r="AR5514" s="2513"/>
      <c r="CT5514" s="531"/>
    </row>
    <row r="5515" spans="1:98">
      <c r="A5515" s="532"/>
      <c r="AR5515" s="2513"/>
      <c r="CT5515" s="531"/>
    </row>
    <row r="5516" spans="1:98">
      <c r="A5516" s="532"/>
      <c r="AR5516" s="2513"/>
      <c r="CT5516" s="531"/>
    </row>
    <row r="5517" spans="1:98">
      <c r="A5517" s="532"/>
      <c r="AR5517" s="2513"/>
      <c r="CT5517" s="531"/>
    </row>
    <row r="5518" spans="1:98">
      <c r="A5518" s="532"/>
      <c r="AR5518" s="2513"/>
      <c r="CT5518" s="531"/>
    </row>
    <row r="5519" spans="1:98">
      <c r="A5519" s="532"/>
      <c r="AR5519" s="2513"/>
      <c r="CT5519" s="531"/>
    </row>
    <row r="5520" spans="1:98">
      <c r="A5520" s="532"/>
      <c r="AR5520" s="2513"/>
      <c r="CT5520" s="531"/>
    </row>
    <row r="5521" spans="1:98">
      <c r="A5521" s="532"/>
      <c r="AR5521" s="2513"/>
      <c r="CT5521" s="531"/>
    </row>
    <row r="5522" spans="1:98">
      <c r="A5522" s="532"/>
      <c r="AR5522" s="2513"/>
      <c r="CT5522" s="531"/>
    </row>
    <row r="5523" spans="1:98">
      <c r="A5523" s="532"/>
      <c r="AR5523" s="2513"/>
      <c r="CT5523" s="531"/>
    </row>
    <row r="5524" spans="1:98">
      <c r="A5524" s="532"/>
      <c r="AR5524" s="2513"/>
      <c r="CT5524" s="531"/>
    </row>
    <row r="5525" spans="1:98">
      <c r="A5525" s="532"/>
      <c r="AR5525" s="2513"/>
      <c r="CT5525" s="531"/>
    </row>
    <row r="5526" spans="1:98">
      <c r="A5526" s="532"/>
      <c r="AR5526" s="2513"/>
      <c r="CT5526" s="531"/>
    </row>
    <row r="5527" spans="1:98">
      <c r="A5527" s="532"/>
      <c r="AR5527" s="2513"/>
      <c r="CT5527" s="531"/>
    </row>
    <row r="5528" spans="1:98">
      <c r="A5528" s="532"/>
      <c r="AR5528" s="2513"/>
      <c r="CT5528" s="531"/>
    </row>
    <row r="5529" spans="1:98">
      <c r="A5529" s="532"/>
      <c r="AR5529" s="2513"/>
      <c r="CT5529" s="531"/>
    </row>
    <row r="5530" spans="1:98">
      <c r="A5530" s="532"/>
      <c r="AR5530" s="2513"/>
      <c r="CT5530" s="531"/>
    </row>
    <row r="5531" spans="1:98">
      <c r="A5531" s="532"/>
      <c r="AR5531" s="2513"/>
      <c r="CT5531" s="531"/>
    </row>
    <row r="5532" spans="1:98">
      <c r="A5532" s="532"/>
      <c r="AR5532" s="2513"/>
      <c r="CT5532" s="531"/>
    </row>
    <row r="5533" spans="1:98">
      <c r="A5533" s="532"/>
      <c r="AR5533" s="2513"/>
      <c r="CT5533" s="531"/>
    </row>
    <row r="5534" spans="1:98">
      <c r="A5534" s="532"/>
      <c r="AR5534" s="2513"/>
      <c r="CT5534" s="531"/>
    </row>
    <row r="5535" spans="1:98">
      <c r="A5535" s="532"/>
      <c r="AR5535" s="2513"/>
      <c r="CT5535" s="531"/>
    </row>
    <row r="5536" spans="1:98">
      <c r="A5536" s="532"/>
      <c r="AR5536" s="2513"/>
      <c r="CT5536" s="531"/>
    </row>
    <row r="5537" spans="1:98">
      <c r="A5537" s="532"/>
      <c r="AR5537" s="2513"/>
      <c r="CT5537" s="531"/>
    </row>
    <row r="5538" spans="1:98">
      <c r="A5538" s="532"/>
      <c r="AR5538" s="2513"/>
      <c r="CT5538" s="531"/>
    </row>
    <row r="5539" spans="1:98">
      <c r="A5539" s="532"/>
      <c r="AR5539" s="2513"/>
      <c r="CT5539" s="531"/>
    </row>
    <row r="5540" spans="1:98">
      <c r="A5540" s="532"/>
      <c r="AR5540" s="2513"/>
      <c r="CT5540" s="531"/>
    </row>
    <row r="5541" spans="1:98">
      <c r="A5541" s="532"/>
      <c r="AR5541" s="2513"/>
      <c r="CT5541" s="531"/>
    </row>
    <row r="5542" spans="1:98">
      <c r="A5542" s="532"/>
      <c r="AR5542" s="2513"/>
      <c r="CT5542" s="531"/>
    </row>
    <row r="5543" spans="1:98">
      <c r="A5543" s="532"/>
      <c r="AR5543" s="2513"/>
      <c r="CT5543" s="531"/>
    </row>
    <row r="5544" spans="1:98">
      <c r="A5544" s="532"/>
      <c r="AR5544" s="2513"/>
      <c r="CT5544" s="531"/>
    </row>
    <row r="5545" spans="1:98">
      <c r="A5545" s="532"/>
      <c r="AR5545" s="2513"/>
      <c r="CT5545" s="531"/>
    </row>
    <row r="5546" spans="1:98">
      <c r="A5546" s="532"/>
      <c r="AR5546" s="2513"/>
      <c r="CT5546" s="531"/>
    </row>
    <row r="5547" spans="1:98">
      <c r="A5547" s="532"/>
      <c r="AR5547" s="2513"/>
      <c r="CT5547" s="531"/>
    </row>
    <row r="5548" spans="1:98">
      <c r="A5548" s="532"/>
      <c r="AR5548" s="2513"/>
      <c r="CT5548" s="531"/>
    </row>
    <row r="5549" spans="1:98">
      <c r="A5549" s="532"/>
      <c r="AR5549" s="2513"/>
      <c r="CT5549" s="531"/>
    </row>
    <row r="5550" spans="1:98">
      <c r="A5550" s="532"/>
      <c r="AR5550" s="2513"/>
      <c r="CT5550" s="531"/>
    </row>
    <row r="5551" spans="1:98">
      <c r="A5551" s="532"/>
      <c r="AR5551" s="2513"/>
      <c r="CT5551" s="531"/>
    </row>
    <row r="5552" spans="1:98">
      <c r="A5552" s="532"/>
      <c r="AR5552" s="2513"/>
      <c r="CT5552" s="531"/>
    </row>
    <row r="5553" spans="1:98">
      <c r="A5553" s="532"/>
      <c r="AR5553" s="2513"/>
      <c r="CT5553" s="531"/>
    </row>
    <row r="5554" spans="1:98">
      <c r="A5554" s="532"/>
      <c r="AR5554" s="2513"/>
      <c r="CT5554" s="531"/>
    </row>
    <row r="5555" spans="1:98">
      <c r="A5555" s="532"/>
      <c r="AR5555" s="2513"/>
      <c r="CT5555" s="531"/>
    </row>
    <row r="5556" spans="1:98">
      <c r="A5556" s="532"/>
      <c r="AR5556" s="2513"/>
      <c r="CT5556" s="531"/>
    </row>
    <row r="5557" spans="1:98">
      <c r="A5557" s="532"/>
      <c r="AR5557" s="2513"/>
      <c r="CT5557" s="531"/>
    </row>
    <row r="5558" spans="1:98">
      <c r="A5558" s="532"/>
      <c r="AR5558" s="2513"/>
      <c r="CT5558" s="531"/>
    </row>
    <row r="5559" spans="1:98">
      <c r="A5559" s="532"/>
      <c r="AR5559" s="2513"/>
      <c r="CT5559" s="531"/>
    </row>
    <row r="5560" spans="1:98">
      <c r="A5560" s="532"/>
      <c r="AR5560" s="2513"/>
      <c r="CT5560" s="531"/>
    </row>
    <row r="5561" spans="1:98">
      <c r="A5561" s="532"/>
      <c r="AR5561" s="2513"/>
      <c r="CT5561" s="531"/>
    </row>
    <row r="5562" spans="1:98">
      <c r="A5562" s="532"/>
      <c r="AR5562" s="2513"/>
      <c r="CT5562" s="531"/>
    </row>
    <row r="5563" spans="1:98">
      <c r="A5563" s="532"/>
      <c r="AR5563" s="2513"/>
      <c r="CT5563" s="531"/>
    </row>
    <row r="5564" spans="1:98">
      <c r="A5564" s="532"/>
      <c r="AR5564" s="2513"/>
      <c r="CT5564" s="531"/>
    </row>
    <row r="5565" spans="1:98">
      <c r="A5565" s="532"/>
      <c r="AR5565" s="2513"/>
      <c r="CT5565" s="531"/>
    </row>
    <row r="5566" spans="1:98">
      <c r="A5566" s="532"/>
      <c r="AR5566" s="2513"/>
      <c r="CT5566" s="531"/>
    </row>
    <row r="5567" spans="1:98">
      <c r="A5567" s="532"/>
      <c r="AR5567" s="2513"/>
      <c r="CT5567" s="531"/>
    </row>
    <row r="5568" spans="1:98">
      <c r="A5568" s="532"/>
      <c r="AR5568" s="2513"/>
      <c r="CT5568" s="531"/>
    </row>
    <row r="5569" spans="1:98">
      <c r="A5569" s="532"/>
      <c r="AR5569" s="2513"/>
      <c r="CT5569" s="531"/>
    </row>
    <row r="5570" spans="1:98">
      <c r="A5570" s="532"/>
      <c r="AR5570" s="2513"/>
      <c r="CT5570" s="531"/>
    </row>
    <row r="5571" spans="1:98">
      <c r="A5571" s="532"/>
      <c r="AR5571" s="2513"/>
      <c r="CT5571" s="531"/>
    </row>
    <row r="5572" spans="1:98">
      <c r="A5572" s="532"/>
      <c r="AR5572" s="2513"/>
      <c r="CT5572" s="531"/>
    </row>
    <row r="5573" spans="1:98">
      <c r="A5573" s="532"/>
      <c r="AR5573" s="2513"/>
      <c r="CT5573" s="531"/>
    </row>
    <row r="5574" spans="1:98">
      <c r="A5574" s="532"/>
      <c r="AR5574" s="2513"/>
      <c r="CT5574" s="531"/>
    </row>
    <row r="5575" spans="1:98">
      <c r="A5575" s="532"/>
      <c r="AR5575" s="2513"/>
      <c r="CT5575" s="531"/>
    </row>
    <row r="5576" spans="1:98">
      <c r="A5576" s="532"/>
      <c r="AR5576" s="2513"/>
      <c r="CT5576" s="531"/>
    </row>
    <row r="5577" spans="1:98">
      <c r="A5577" s="532"/>
      <c r="AR5577" s="2513"/>
      <c r="CT5577" s="531"/>
    </row>
    <row r="5578" spans="1:98">
      <c r="A5578" s="532"/>
      <c r="AR5578" s="2513"/>
      <c r="CT5578" s="531"/>
    </row>
    <row r="5579" spans="1:98">
      <c r="A5579" s="532"/>
      <c r="AR5579" s="2513"/>
      <c r="CT5579" s="531"/>
    </row>
    <row r="5580" spans="1:98">
      <c r="A5580" s="532"/>
      <c r="AR5580" s="2513"/>
      <c r="CT5580" s="531"/>
    </row>
    <row r="5581" spans="1:98">
      <c r="A5581" s="532"/>
      <c r="AR5581" s="2513"/>
      <c r="CT5581" s="531"/>
    </row>
    <row r="5582" spans="1:98">
      <c r="A5582" s="532"/>
      <c r="AR5582" s="2513"/>
      <c r="CT5582" s="531"/>
    </row>
    <row r="5583" spans="1:98">
      <c r="A5583" s="532"/>
      <c r="AR5583" s="2513"/>
      <c r="CT5583" s="531"/>
    </row>
    <row r="5584" spans="1:98">
      <c r="A5584" s="532"/>
      <c r="AR5584" s="2513"/>
      <c r="CT5584" s="531"/>
    </row>
    <row r="5585" spans="1:98">
      <c r="A5585" s="532"/>
      <c r="AR5585" s="2513"/>
      <c r="CT5585" s="531"/>
    </row>
    <row r="5586" spans="1:98">
      <c r="A5586" s="532"/>
      <c r="AR5586" s="2513"/>
      <c r="CT5586" s="531"/>
    </row>
    <row r="5587" spans="1:98">
      <c r="A5587" s="532"/>
      <c r="AR5587" s="2513"/>
      <c r="CT5587" s="531"/>
    </row>
    <row r="5588" spans="1:98">
      <c r="A5588" s="532"/>
      <c r="AR5588" s="2513"/>
      <c r="CT5588" s="531"/>
    </row>
    <row r="5589" spans="1:98">
      <c r="A5589" s="532"/>
      <c r="AR5589" s="2513"/>
      <c r="CT5589" s="531"/>
    </row>
    <row r="5590" spans="1:98">
      <c r="A5590" s="532"/>
      <c r="AR5590" s="2513"/>
      <c r="CT5590" s="531"/>
    </row>
    <row r="5591" spans="1:98">
      <c r="A5591" s="532"/>
      <c r="AR5591" s="2513"/>
      <c r="CT5591" s="531"/>
    </row>
    <row r="5592" spans="1:98">
      <c r="A5592" s="532"/>
      <c r="AR5592" s="2513"/>
      <c r="CT5592" s="531"/>
    </row>
    <row r="5593" spans="1:98">
      <c r="A5593" s="532"/>
      <c r="AR5593" s="2513"/>
      <c r="CT5593" s="531"/>
    </row>
    <row r="5594" spans="1:98">
      <c r="A5594" s="532"/>
      <c r="AR5594" s="2513"/>
      <c r="CT5594" s="531"/>
    </row>
    <row r="5595" spans="1:98">
      <c r="A5595" s="532"/>
      <c r="AR5595" s="2513"/>
      <c r="CT5595" s="531"/>
    </row>
    <row r="5596" spans="1:98">
      <c r="A5596" s="532"/>
      <c r="AR5596" s="2513"/>
      <c r="CT5596" s="531"/>
    </row>
    <row r="5597" spans="1:98">
      <c r="A5597" s="532"/>
      <c r="AR5597" s="2513"/>
      <c r="CT5597" s="531"/>
    </row>
    <row r="5598" spans="1:98">
      <c r="A5598" s="532"/>
      <c r="AR5598" s="2513"/>
      <c r="CT5598" s="531"/>
    </row>
    <row r="5599" spans="1:98">
      <c r="A5599" s="532"/>
      <c r="AR5599" s="2513"/>
      <c r="CT5599" s="531"/>
    </row>
    <row r="5600" spans="1:98">
      <c r="A5600" s="532"/>
      <c r="AR5600" s="2513"/>
      <c r="CT5600" s="531"/>
    </row>
    <row r="5601" spans="1:98">
      <c r="A5601" s="532"/>
      <c r="AR5601" s="2513"/>
      <c r="CT5601" s="531"/>
    </row>
    <row r="5602" spans="1:98">
      <c r="A5602" s="532"/>
      <c r="AR5602" s="2513"/>
      <c r="CT5602" s="531"/>
    </row>
    <row r="5603" spans="1:98">
      <c r="A5603" s="532"/>
      <c r="AR5603" s="2513"/>
      <c r="CT5603" s="531"/>
    </row>
    <row r="5604" spans="1:98">
      <c r="A5604" s="532"/>
      <c r="AR5604" s="2513"/>
      <c r="CT5604" s="531"/>
    </row>
    <row r="5605" spans="1:98">
      <c r="A5605" s="532"/>
      <c r="AR5605" s="2513"/>
      <c r="CT5605" s="531"/>
    </row>
    <row r="5606" spans="1:98">
      <c r="A5606" s="532"/>
      <c r="AR5606" s="2513"/>
      <c r="CT5606" s="531"/>
    </row>
    <row r="5607" spans="1:98">
      <c r="A5607" s="532"/>
      <c r="AR5607" s="2513"/>
      <c r="CT5607" s="531"/>
    </row>
    <row r="5608" spans="1:98">
      <c r="A5608" s="532"/>
      <c r="AR5608" s="2513"/>
      <c r="CT5608" s="531"/>
    </row>
    <row r="5609" spans="1:98">
      <c r="A5609" s="532"/>
      <c r="AR5609" s="2513"/>
      <c r="CT5609" s="531"/>
    </row>
    <row r="5610" spans="1:98">
      <c r="A5610" s="532"/>
      <c r="AR5610" s="2513"/>
      <c r="CT5610" s="531"/>
    </row>
    <row r="5611" spans="1:98">
      <c r="A5611" s="532"/>
      <c r="AR5611" s="2513"/>
      <c r="CT5611" s="531"/>
    </row>
    <row r="5612" spans="1:98">
      <c r="A5612" s="532"/>
      <c r="AR5612" s="2513"/>
      <c r="CT5612" s="531"/>
    </row>
    <row r="5613" spans="1:98">
      <c r="A5613" s="532"/>
      <c r="AR5613" s="2513"/>
      <c r="CT5613" s="531"/>
    </row>
    <row r="5614" spans="1:98">
      <c r="A5614" s="532"/>
      <c r="AR5614" s="2513"/>
      <c r="CT5614" s="531"/>
    </row>
    <row r="5615" spans="1:98">
      <c r="A5615" s="532"/>
      <c r="AR5615" s="2513"/>
      <c r="CT5615" s="531"/>
    </row>
    <row r="5616" spans="1:98">
      <c r="A5616" s="532"/>
      <c r="AR5616" s="2513"/>
      <c r="CT5616" s="531"/>
    </row>
    <row r="5617" spans="1:98">
      <c r="A5617" s="532"/>
      <c r="AR5617" s="2513"/>
      <c r="CT5617" s="531"/>
    </row>
    <row r="5618" spans="1:98">
      <c r="A5618" s="532"/>
      <c r="AR5618" s="2513"/>
      <c r="CT5618" s="531"/>
    </row>
    <row r="5619" spans="1:98">
      <c r="A5619" s="532"/>
      <c r="AR5619" s="2513"/>
      <c r="CT5619" s="531"/>
    </row>
    <row r="5620" spans="1:98">
      <c r="A5620" s="532"/>
      <c r="AR5620" s="2513"/>
      <c r="CT5620" s="531"/>
    </row>
    <row r="5621" spans="1:98">
      <c r="A5621" s="532"/>
      <c r="AR5621" s="2513"/>
      <c r="CT5621" s="531"/>
    </row>
    <row r="5622" spans="1:98">
      <c r="A5622" s="532"/>
      <c r="AR5622" s="2513"/>
      <c r="CT5622" s="531"/>
    </row>
    <row r="5623" spans="1:98">
      <c r="A5623" s="532"/>
      <c r="AR5623" s="2513"/>
      <c r="CT5623" s="531"/>
    </row>
    <row r="5624" spans="1:98">
      <c r="A5624" s="532"/>
      <c r="AR5624" s="2513"/>
      <c r="CT5624" s="531"/>
    </row>
    <row r="5625" spans="1:98">
      <c r="A5625" s="532"/>
      <c r="AR5625" s="2513"/>
      <c r="CT5625" s="531"/>
    </row>
    <row r="5626" spans="1:98">
      <c r="A5626" s="532"/>
      <c r="AR5626" s="2513"/>
      <c r="CT5626" s="531"/>
    </row>
    <row r="5627" spans="1:98">
      <c r="A5627" s="532"/>
      <c r="AR5627" s="2513"/>
      <c r="CT5627" s="531"/>
    </row>
    <row r="5628" spans="1:98">
      <c r="A5628" s="532"/>
      <c r="AR5628" s="2513"/>
      <c r="CT5628" s="531"/>
    </row>
    <row r="5629" spans="1:98">
      <c r="A5629" s="532"/>
      <c r="AR5629" s="2513"/>
      <c r="CT5629" s="531"/>
    </row>
    <row r="5630" spans="1:98">
      <c r="A5630" s="532"/>
      <c r="AR5630" s="2513"/>
      <c r="CT5630" s="531"/>
    </row>
    <row r="5631" spans="1:98">
      <c r="A5631" s="532"/>
      <c r="AR5631" s="2513"/>
      <c r="CT5631" s="531"/>
    </row>
    <row r="5632" spans="1:98">
      <c r="A5632" s="532"/>
      <c r="AR5632" s="2513"/>
      <c r="CT5632" s="531"/>
    </row>
    <row r="5633" spans="1:98">
      <c r="A5633" s="532"/>
      <c r="AR5633" s="2513"/>
      <c r="CT5633" s="531"/>
    </row>
    <row r="5634" spans="1:98">
      <c r="A5634" s="532"/>
      <c r="AR5634" s="2513"/>
      <c r="CT5634" s="531"/>
    </row>
    <row r="5635" spans="1:98">
      <c r="A5635" s="532"/>
      <c r="AR5635" s="2513"/>
      <c r="CT5635" s="531"/>
    </row>
    <row r="5636" spans="1:98">
      <c r="A5636" s="532"/>
      <c r="AR5636" s="2513"/>
      <c r="CT5636" s="531"/>
    </row>
    <row r="5637" spans="1:98">
      <c r="A5637" s="532"/>
      <c r="AR5637" s="2513"/>
      <c r="CT5637" s="531"/>
    </row>
    <row r="5638" spans="1:98">
      <c r="A5638" s="532"/>
      <c r="AR5638" s="2513"/>
      <c r="CT5638" s="531"/>
    </row>
    <row r="5639" spans="1:98">
      <c r="A5639" s="532"/>
      <c r="AR5639" s="2513"/>
      <c r="CT5639" s="531"/>
    </row>
    <row r="5640" spans="1:98">
      <c r="A5640" s="532"/>
      <c r="AR5640" s="2513"/>
      <c r="CT5640" s="531"/>
    </row>
    <row r="5641" spans="1:98">
      <c r="A5641" s="532"/>
      <c r="AR5641" s="2513"/>
      <c r="CT5641" s="531"/>
    </row>
    <row r="5642" spans="1:98">
      <c r="A5642" s="532"/>
      <c r="AR5642" s="2513"/>
      <c r="CT5642" s="531"/>
    </row>
    <row r="5643" spans="1:98">
      <c r="A5643" s="532"/>
      <c r="AR5643" s="2513"/>
      <c r="CT5643" s="531"/>
    </row>
    <row r="5644" spans="1:98">
      <c r="A5644" s="532"/>
      <c r="AR5644" s="2513"/>
      <c r="CT5644" s="531"/>
    </row>
    <row r="5645" spans="1:98">
      <c r="A5645" s="532"/>
      <c r="AR5645" s="2513"/>
      <c r="CT5645" s="531"/>
    </row>
    <row r="5646" spans="1:98">
      <c r="A5646" s="532"/>
      <c r="AR5646" s="2513"/>
      <c r="CT5646" s="531"/>
    </row>
    <row r="5647" spans="1:98">
      <c r="A5647" s="532"/>
      <c r="AR5647" s="2513"/>
      <c r="CT5647" s="531"/>
    </row>
    <row r="5648" spans="1:98">
      <c r="A5648" s="532"/>
      <c r="AR5648" s="2513"/>
      <c r="CT5648" s="531"/>
    </row>
    <row r="5649" spans="1:98">
      <c r="A5649" s="532"/>
      <c r="AR5649" s="2513"/>
      <c r="CT5649" s="531"/>
    </row>
    <row r="5650" spans="1:98">
      <c r="A5650" s="532"/>
      <c r="AR5650" s="2513"/>
      <c r="CT5650" s="531"/>
    </row>
    <row r="5651" spans="1:98">
      <c r="A5651" s="532"/>
      <c r="AR5651" s="2513"/>
      <c r="CT5651" s="531"/>
    </row>
    <row r="5652" spans="1:98">
      <c r="A5652" s="532"/>
      <c r="AR5652" s="2513"/>
      <c r="CT5652" s="531"/>
    </row>
    <row r="5653" spans="1:98">
      <c r="A5653" s="532"/>
      <c r="AR5653" s="2513"/>
      <c r="CT5653" s="531"/>
    </row>
    <row r="5654" spans="1:98">
      <c r="A5654" s="532"/>
      <c r="AR5654" s="2513"/>
      <c r="CT5654" s="531"/>
    </row>
    <row r="5655" spans="1:98">
      <c r="A5655" s="532"/>
      <c r="AR5655" s="2513"/>
      <c r="CT5655" s="531"/>
    </row>
    <row r="5656" spans="1:98">
      <c r="A5656" s="532"/>
      <c r="AR5656" s="2513"/>
      <c r="CT5656" s="531"/>
    </row>
    <row r="5657" spans="1:98">
      <c r="A5657" s="532"/>
      <c r="AR5657" s="2513"/>
      <c r="CT5657" s="531"/>
    </row>
    <row r="5658" spans="1:98">
      <c r="A5658" s="532"/>
      <c r="AR5658" s="2513"/>
      <c r="CT5658" s="531"/>
    </row>
    <row r="5659" spans="1:98">
      <c r="A5659" s="532"/>
      <c r="AR5659" s="2513"/>
      <c r="CT5659" s="531"/>
    </row>
    <row r="5660" spans="1:98">
      <c r="A5660" s="532"/>
      <c r="AR5660" s="2513"/>
      <c r="CT5660" s="531"/>
    </row>
    <row r="5661" spans="1:98">
      <c r="A5661" s="532"/>
      <c r="AR5661" s="2513"/>
      <c r="CT5661" s="531"/>
    </row>
    <row r="5662" spans="1:98">
      <c r="A5662" s="532"/>
      <c r="AR5662" s="2513"/>
      <c r="CT5662" s="531"/>
    </row>
    <row r="5663" spans="1:98">
      <c r="A5663" s="532"/>
      <c r="AR5663" s="2513"/>
      <c r="CT5663" s="531"/>
    </row>
    <row r="5664" spans="1:98">
      <c r="A5664" s="532"/>
      <c r="AR5664" s="2513"/>
      <c r="CT5664" s="531"/>
    </row>
    <row r="5665" spans="1:98">
      <c r="A5665" s="532"/>
      <c r="AR5665" s="2513"/>
      <c r="CT5665" s="531"/>
    </row>
    <row r="5666" spans="1:98">
      <c r="A5666" s="532"/>
      <c r="AR5666" s="2513"/>
      <c r="CT5666" s="531"/>
    </row>
    <row r="5667" spans="1:98">
      <c r="A5667" s="532"/>
      <c r="AR5667" s="2513"/>
      <c r="CT5667" s="531"/>
    </row>
    <row r="5668" spans="1:98">
      <c r="A5668" s="532"/>
      <c r="AR5668" s="2513"/>
      <c r="CT5668" s="531"/>
    </row>
    <row r="5669" spans="1:98">
      <c r="A5669" s="532"/>
      <c r="AR5669" s="2513"/>
      <c r="CT5669" s="531"/>
    </row>
    <row r="5670" spans="1:98">
      <c r="A5670" s="532"/>
      <c r="AR5670" s="2513"/>
      <c r="CT5670" s="531"/>
    </row>
    <row r="5671" spans="1:98">
      <c r="A5671" s="532"/>
      <c r="AR5671" s="2513"/>
      <c r="CT5671" s="531"/>
    </row>
    <row r="5672" spans="1:98">
      <c r="A5672" s="532"/>
      <c r="AR5672" s="2513"/>
      <c r="CT5672" s="531"/>
    </row>
    <row r="5673" spans="1:98">
      <c r="A5673" s="532"/>
      <c r="AR5673" s="2513"/>
      <c r="CT5673" s="531"/>
    </row>
    <row r="5674" spans="1:98">
      <c r="A5674" s="532"/>
      <c r="AR5674" s="2513"/>
      <c r="CT5674" s="531"/>
    </row>
    <row r="5675" spans="1:98">
      <c r="A5675" s="532"/>
      <c r="AR5675" s="2513"/>
      <c r="CT5675" s="531"/>
    </row>
    <row r="5676" spans="1:98">
      <c r="A5676" s="532"/>
      <c r="AR5676" s="2513"/>
      <c r="CT5676" s="531"/>
    </row>
    <row r="5677" spans="1:98">
      <c r="A5677" s="532"/>
      <c r="AR5677" s="2513"/>
      <c r="CT5677" s="531"/>
    </row>
    <row r="5678" spans="1:98">
      <c r="A5678" s="532"/>
      <c r="AR5678" s="2513"/>
      <c r="CT5678" s="531"/>
    </row>
    <row r="5679" spans="1:98">
      <c r="A5679" s="532"/>
      <c r="AR5679" s="2513"/>
      <c r="CT5679" s="531"/>
    </row>
    <row r="5680" spans="1:98">
      <c r="A5680" s="532"/>
      <c r="AR5680" s="2513"/>
      <c r="CT5680" s="531"/>
    </row>
    <row r="5681" spans="1:98">
      <c r="A5681" s="532"/>
      <c r="AR5681" s="2513"/>
      <c r="CT5681" s="531"/>
    </row>
    <row r="5682" spans="1:98">
      <c r="A5682" s="532"/>
      <c r="AR5682" s="2513"/>
      <c r="CT5682" s="531"/>
    </row>
    <row r="5683" spans="1:98">
      <c r="A5683" s="532"/>
      <c r="AR5683" s="2513"/>
      <c r="CT5683" s="531"/>
    </row>
    <row r="5684" spans="1:98">
      <c r="A5684" s="532"/>
      <c r="AR5684" s="2513"/>
      <c r="CT5684" s="531"/>
    </row>
    <row r="5685" spans="1:98">
      <c r="A5685" s="532"/>
      <c r="AR5685" s="2513"/>
      <c r="CT5685" s="531"/>
    </row>
    <row r="5686" spans="1:98">
      <c r="A5686" s="532"/>
      <c r="AR5686" s="2513"/>
      <c r="CT5686" s="531"/>
    </row>
    <row r="5687" spans="1:98">
      <c r="A5687" s="532"/>
      <c r="AR5687" s="2513"/>
      <c r="CT5687" s="531"/>
    </row>
    <row r="5688" spans="1:98">
      <c r="A5688" s="532"/>
      <c r="AR5688" s="2513"/>
      <c r="CT5688" s="531"/>
    </row>
    <row r="5689" spans="1:98">
      <c r="A5689" s="532"/>
      <c r="AR5689" s="2513"/>
      <c r="CT5689" s="531"/>
    </row>
    <row r="5690" spans="1:98">
      <c r="A5690" s="532"/>
      <c r="AR5690" s="2513"/>
      <c r="CT5690" s="531"/>
    </row>
    <row r="5691" spans="1:98">
      <c r="A5691" s="532"/>
      <c r="AR5691" s="2513"/>
      <c r="CT5691" s="531"/>
    </row>
    <row r="5692" spans="1:98">
      <c r="A5692" s="532"/>
      <c r="AR5692" s="2513"/>
      <c r="CT5692" s="531"/>
    </row>
    <row r="5693" spans="1:98">
      <c r="A5693" s="532"/>
      <c r="AR5693" s="2513"/>
      <c r="CT5693" s="531"/>
    </row>
    <row r="5694" spans="1:98">
      <c r="A5694" s="532"/>
      <c r="AR5694" s="2513"/>
      <c r="CT5694" s="531"/>
    </row>
    <row r="5695" spans="1:98">
      <c r="A5695" s="532"/>
      <c r="AR5695" s="2513"/>
      <c r="CT5695" s="531"/>
    </row>
    <row r="5696" spans="1:98">
      <c r="A5696" s="532"/>
      <c r="AR5696" s="2513"/>
      <c r="CT5696" s="531"/>
    </row>
    <row r="5697" spans="1:98">
      <c r="A5697" s="532"/>
      <c r="AR5697" s="2513"/>
      <c r="CT5697" s="531"/>
    </row>
    <row r="5698" spans="1:98">
      <c r="A5698" s="532"/>
      <c r="AR5698" s="2513"/>
      <c r="CT5698" s="531"/>
    </row>
    <row r="5699" spans="1:98">
      <c r="A5699" s="532"/>
      <c r="AR5699" s="2513"/>
      <c r="CT5699" s="531"/>
    </row>
    <row r="5700" spans="1:98">
      <c r="A5700" s="532"/>
      <c r="AR5700" s="2513"/>
      <c r="CT5700" s="531"/>
    </row>
    <row r="5701" spans="1:98">
      <c r="A5701" s="532"/>
      <c r="AR5701" s="2513"/>
      <c r="CT5701" s="531"/>
    </row>
    <row r="5702" spans="1:98">
      <c r="A5702" s="532"/>
      <c r="AR5702" s="2513"/>
      <c r="CT5702" s="531"/>
    </row>
    <row r="5703" spans="1:98">
      <c r="A5703" s="532"/>
      <c r="AR5703" s="2513"/>
      <c r="CT5703" s="531"/>
    </row>
    <row r="5704" spans="1:98">
      <c r="A5704" s="532"/>
      <c r="AR5704" s="2513"/>
      <c r="CT5704" s="531"/>
    </row>
    <row r="5705" spans="1:98">
      <c r="A5705" s="532"/>
      <c r="AR5705" s="2513"/>
      <c r="CT5705" s="531"/>
    </row>
    <row r="5706" spans="1:98">
      <c r="A5706" s="532"/>
      <c r="AR5706" s="2513"/>
      <c r="CT5706" s="531"/>
    </row>
    <row r="5707" spans="1:98">
      <c r="A5707" s="532"/>
      <c r="AR5707" s="2513"/>
      <c r="CT5707" s="531"/>
    </row>
    <row r="5708" spans="1:98">
      <c r="A5708" s="532"/>
      <c r="AR5708" s="2513"/>
      <c r="CT5708" s="531"/>
    </row>
    <row r="5709" spans="1:98">
      <c r="A5709" s="532"/>
      <c r="AR5709" s="2513"/>
      <c r="CT5709" s="531"/>
    </row>
    <row r="5710" spans="1:98">
      <c r="A5710" s="532"/>
      <c r="AR5710" s="2513"/>
      <c r="CT5710" s="531"/>
    </row>
    <row r="5711" spans="1:98">
      <c r="A5711" s="532"/>
      <c r="AR5711" s="2513"/>
      <c r="CT5711" s="531"/>
    </row>
    <row r="5712" spans="1:98">
      <c r="A5712" s="532"/>
      <c r="AR5712" s="2513"/>
      <c r="CT5712" s="531"/>
    </row>
    <row r="5713" spans="1:98">
      <c r="A5713" s="532"/>
      <c r="AR5713" s="2513"/>
      <c r="CT5713" s="531"/>
    </row>
    <row r="5714" spans="1:98">
      <c r="A5714" s="532"/>
      <c r="AR5714" s="2513"/>
      <c r="CT5714" s="531"/>
    </row>
    <row r="5715" spans="1:98">
      <c r="A5715" s="532"/>
      <c r="AR5715" s="2513"/>
      <c r="CT5715" s="531"/>
    </row>
    <row r="5716" spans="1:98">
      <c r="A5716" s="532"/>
      <c r="AR5716" s="2513"/>
      <c r="CT5716" s="531"/>
    </row>
    <row r="5717" spans="1:98">
      <c r="A5717" s="532"/>
      <c r="AR5717" s="2513"/>
      <c r="CT5717" s="531"/>
    </row>
    <row r="5718" spans="1:98">
      <c r="A5718" s="532"/>
      <c r="AR5718" s="2513"/>
      <c r="CT5718" s="531"/>
    </row>
    <row r="5719" spans="1:98">
      <c r="A5719" s="532"/>
      <c r="AR5719" s="2513"/>
      <c r="CT5719" s="531"/>
    </row>
    <row r="5720" spans="1:98">
      <c r="A5720" s="532"/>
      <c r="AR5720" s="2513"/>
      <c r="CT5720" s="531"/>
    </row>
    <row r="5721" spans="1:98">
      <c r="A5721" s="532"/>
      <c r="AR5721" s="2513"/>
      <c r="CT5721" s="531"/>
    </row>
    <row r="5722" spans="1:98">
      <c r="A5722" s="532"/>
      <c r="AR5722" s="2513"/>
      <c r="CT5722" s="531"/>
    </row>
    <row r="5723" spans="1:98">
      <c r="A5723" s="532"/>
      <c r="AR5723" s="2513"/>
      <c r="CT5723" s="531"/>
    </row>
    <row r="5724" spans="1:98">
      <c r="A5724" s="532"/>
      <c r="AR5724" s="2513"/>
      <c r="CT5724" s="531"/>
    </row>
    <row r="5725" spans="1:98">
      <c r="A5725" s="532"/>
      <c r="AR5725" s="2513"/>
      <c r="CT5725" s="531"/>
    </row>
    <row r="5726" spans="1:98">
      <c r="A5726" s="532"/>
      <c r="AR5726" s="2513"/>
      <c r="CT5726" s="531"/>
    </row>
    <row r="5727" spans="1:98">
      <c r="A5727" s="532"/>
      <c r="AR5727" s="2513"/>
      <c r="CT5727" s="531"/>
    </row>
    <row r="5728" spans="1:98">
      <c r="A5728" s="532"/>
      <c r="AR5728" s="2513"/>
      <c r="CT5728" s="531"/>
    </row>
    <row r="5729" spans="1:98">
      <c r="A5729" s="532"/>
      <c r="AR5729" s="2513"/>
      <c r="CT5729" s="531"/>
    </row>
    <row r="5730" spans="1:98">
      <c r="A5730" s="532"/>
      <c r="AR5730" s="2513"/>
      <c r="CT5730" s="531"/>
    </row>
    <row r="5731" spans="1:98">
      <c r="A5731" s="532"/>
      <c r="AR5731" s="2513"/>
      <c r="CT5731" s="531"/>
    </row>
    <row r="5732" spans="1:98">
      <c r="A5732" s="532"/>
      <c r="AR5732" s="2513"/>
      <c r="CT5732" s="531"/>
    </row>
    <row r="5733" spans="1:98">
      <c r="A5733" s="532"/>
      <c r="AR5733" s="2513"/>
      <c r="CT5733" s="531"/>
    </row>
    <row r="5734" spans="1:98">
      <c r="A5734" s="532"/>
      <c r="AR5734" s="2513"/>
      <c r="CT5734" s="531"/>
    </row>
    <row r="5735" spans="1:98">
      <c r="A5735" s="532"/>
      <c r="AR5735" s="2513"/>
      <c r="CT5735" s="531"/>
    </row>
    <row r="5736" spans="1:98">
      <c r="A5736" s="532"/>
      <c r="AR5736" s="2513"/>
      <c r="CT5736" s="531"/>
    </row>
    <row r="5737" spans="1:98">
      <c r="A5737" s="532"/>
      <c r="AR5737" s="2513"/>
      <c r="CT5737" s="531"/>
    </row>
    <row r="5738" spans="1:98">
      <c r="A5738" s="532"/>
      <c r="AR5738" s="2513"/>
      <c r="CT5738" s="531"/>
    </row>
    <row r="5739" spans="1:98">
      <c r="A5739" s="532"/>
      <c r="AR5739" s="2513"/>
      <c r="CT5739" s="531"/>
    </row>
    <row r="5740" spans="1:98">
      <c r="A5740" s="532"/>
      <c r="AR5740" s="2513"/>
      <c r="CT5740" s="531"/>
    </row>
    <row r="5741" spans="1:98">
      <c r="A5741" s="532"/>
      <c r="AR5741" s="2513"/>
      <c r="CT5741" s="531"/>
    </row>
    <row r="5742" spans="1:98">
      <c r="A5742" s="532"/>
      <c r="AR5742" s="2513"/>
      <c r="CT5742" s="531"/>
    </row>
    <row r="5743" spans="1:98">
      <c r="A5743" s="532"/>
      <c r="AR5743" s="2513"/>
      <c r="CT5743" s="531"/>
    </row>
    <row r="5744" spans="1:98">
      <c r="A5744" s="532"/>
      <c r="AR5744" s="2513"/>
      <c r="CT5744" s="531"/>
    </row>
    <row r="5745" spans="1:98">
      <c r="A5745" s="532"/>
      <c r="AR5745" s="2513"/>
      <c r="CT5745" s="531"/>
    </row>
    <row r="5746" spans="1:98">
      <c r="A5746" s="532"/>
      <c r="AR5746" s="2513"/>
      <c r="CT5746" s="531"/>
    </row>
    <row r="5747" spans="1:98">
      <c r="A5747" s="532"/>
      <c r="AR5747" s="2513"/>
      <c r="CT5747" s="531"/>
    </row>
    <row r="5748" spans="1:98">
      <c r="A5748" s="532"/>
      <c r="AR5748" s="2513"/>
      <c r="CT5748" s="531"/>
    </row>
    <row r="5749" spans="1:98">
      <c r="A5749" s="532"/>
      <c r="AR5749" s="2513"/>
      <c r="CT5749" s="531"/>
    </row>
    <row r="5750" spans="1:98">
      <c r="A5750" s="532"/>
      <c r="AR5750" s="2513"/>
      <c r="CT5750" s="531"/>
    </row>
    <row r="5751" spans="1:98">
      <c r="A5751" s="532"/>
      <c r="AR5751" s="2513"/>
      <c r="CT5751" s="531"/>
    </row>
    <row r="5752" spans="1:98">
      <c r="A5752" s="532"/>
      <c r="AR5752" s="2513"/>
      <c r="CT5752" s="531"/>
    </row>
    <row r="5753" spans="1:98">
      <c r="A5753" s="532"/>
      <c r="AR5753" s="2513"/>
      <c r="CT5753" s="531"/>
    </row>
    <row r="5754" spans="1:98">
      <c r="A5754" s="532"/>
      <c r="AR5754" s="2513"/>
      <c r="CT5754" s="531"/>
    </row>
    <row r="5755" spans="1:98">
      <c r="A5755" s="532"/>
      <c r="AR5755" s="2513"/>
      <c r="CT5755" s="531"/>
    </row>
    <row r="5756" spans="1:98">
      <c r="A5756" s="532"/>
      <c r="AR5756" s="2513"/>
      <c r="CT5756" s="531"/>
    </row>
    <row r="5757" spans="1:98">
      <c r="A5757" s="532"/>
      <c r="AR5757" s="2513"/>
      <c r="CT5757" s="531"/>
    </row>
    <row r="5758" spans="1:98">
      <c r="A5758" s="532"/>
      <c r="AR5758" s="2513"/>
      <c r="CT5758" s="531"/>
    </row>
    <row r="5759" spans="1:98">
      <c r="A5759" s="532"/>
      <c r="AR5759" s="2513"/>
      <c r="CT5759" s="531"/>
    </row>
    <row r="5760" spans="1:98">
      <c r="A5760" s="532"/>
      <c r="AR5760" s="2513"/>
      <c r="CT5760" s="531"/>
    </row>
    <row r="5761" spans="1:98">
      <c r="A5761" s="532"/>
      <c r="AR5761" s="2513"/>
      <c r="CT5761" s="531"/>
    </row>
    <row r="5762" spans="1:98">
      <c r="A5762" s="532"/>
      <c r="AR5762" s="2513"/>
      <c r="CT5762" s="531"/>
    </row>
    <row r="5763" spans="1:98">
      <c r="A5763" s="532"/>
      <c r="AR5763" s="2513"/>
      <c r="CT5763" s="531"/>
    </row>
    <row r="5764" spans="1:98">
      <c r="A5764" s="532"/>
      <c r="AR5764" s="2513"/>
      <c r="CT5764" s="531"/>
    </row>
    <row r="5765" spans="1:98">
      <c r="A5765" s="532"/>
      <c r="AR5765" s="2513"/>
      <c r="CT5765" s="531"/>
    </row>
    <row r="5766" spans="1:98">
      <c r="A5766" s="532"/>
      <c r="AR5766" s="2513"/>
      <c r="CT5766" s="531"/>
    </row>
    <row r="5767" spans="1:98">
      <c r="A5767" s="532"/>
      <c r="AR5767" s="2513"/>
      <c r="CT5767" s="531"/>
    </row>
    <row r="5768" spans="1:98">
      <c r="A5768" s="532"/>
      <c r="AR5768" s="2513"/>
      <c r="CT5768" s="531"/>
    </row>
    <row r="5769" spans="1:98">
      <c r="A5769" s="532"/>
      <c r="AR5769" s="2513"/>
      <c r="CT5769" s="531"/>
    </row>
    <row r="5770" spans="1:98">
      <c r="A5770" s="532"/>
      <c r="AR5770" s="2513"/>
      <c r="CT5770" s="531"/>
    </row>
    <row r="5771" spans="1:98">
      <c r="A5771" s="532"/>
      <c r="AR5771" s="2513"/>
      <c r="CT5771" s="531"/>
    </row>
    <row r="5772" spans="1:98">
      <c r="A5772" s="532"/>
      <c r="AR5772" s="2513"/>
      <c r="CT5772" s="531"/>
    </row>
    <row r="5773" spans="1:98">
      <c r="A5773" s="532"/>
      <c r="AR5773" s="2513"/>
      <c r="CT5773" s="531"/>
    </row>
    <row r="5774" spans="1:98">
      <c r="A5774" s="532"/>
      <c r="AR5774" s="2513"/>
      <c r="CT5774" s="531"/>
    </row>
    <row r="5775" spans="1:98">
      <c r="A5775" s="532"/>
      <c r="AR5775" s="2513"/>
      <c r="CT5775" s="531"/>
    </row>
    <row r="5776" spans="1:98">
      <c r="A5776" s="532"/>
      <c r="AR5776" s="2513"/>
      <c r="CT5776" s="531"/>
    </row>
    <row r="5777" spans="1:98">
      <c r="A5777" s="532"/>
      <c r="AR5777" s="2513"/>
      <c r="CT5777" s="531"/>
    </row>
    <row r="5778" spans="1:98">
      <c r="A5778" s="532"/>
      <c r="AR5778" s="2513"/>
      <c r="CT5778" s="531"/>
    </row>
    <row r="5779" spans="1:98">
      <c r="A5779" s="532"/>
      <c r="AR5779" s="2513"/>
      <c r="CT5779" s="531"/>
    </row>
    <row r="5780" spans="1:98">
      <c r="A5780" s="532"/>
      <c r="AR5780" s="2513"/>
      <c r="CT5780" s="531"/>
    </row>
    <row r="5781" spans="1:98">
      <c r="A5781" s="532"/>
      <c r="AR5781" s="2513"/>
      <c r="CT5781" s="531"/>
    </row>
    <row r="5782" spans="1:98">
      <c r="A5782" s="532"/>
      <c r="AR5782" s="2513"/>
      <c r="CT5782" s="531"/>
    </row>
    <row r="5783" spans="1:98">
      <c r="A5783" s="532"/>
      <c r="AR5783" s="2513"/>
      <c r="CT5783" s="531"/>
    </row>
    <row r="5784" spans="1:98">
      <c r="A5784" s="532"/>
      <c r="AR5784" s="2513"/>
      <c r="CT5784" s="531"/>
    </row>
    <row r="5785" spans="1:98">
      <c r="A5785" s="532"/>
      <c r="AR5785" s="2513"/>
      <c r="CT5785" s="531"/>
    </row>
    <row r="5786" spans="1:98">
      <c r="A5786" s="532"/>
      <c r="AR5786" s="2513"/>
      <c r="CT5786" s="531"/>
    </row>
    <row r="5787" spans="1:98">
      <c r="A5787" s="532"/>
      <c r="AR5787" s="2513"/>
      <c r="CT5787" s="531"/>
    </row>
    <row r="5788" spans="1:98">
      <c r="A5788" s="532"/>
      <c r="AR5788" s="2513"/>
      <c r="CT5788" s="531"/>
    </row>
    <row r="5789" spans="1:98">
      <c r="A5789" s="532"/>
      <c r="AR5789" s="2513"/>
      <c r="CT5789" s="531"/>
    </row>
    <row r="5790" spans="1:98">
      <c r="A5790" s="532"/>
      <c r="AR5790" s="2513"/>
      <c r="CT5790" s="531"/>
    </row>
    <row r="5791" spans="1:98">
      <c r="A5791" s="532"/>
      <c r="AR5791" s="2513"/>
      <c r="CT5791" s="531"/>
    </row>
    <row r="5792" spans="1:98">
      <c r="A5792" s="532"/>
      <c r="AR5792" s="2513"/>
      <c r="CT5792" s="531"/>
    </row>
    <row r="5793" spans="1:98">
      <c r="A5793" s="532"/>
      <c r="AR5793" s="2513"/>
      <c r="CT5793" s="531"/>
    </row>
    <row r="5794" spans="1:98">
      <c r="A5794" s="532"/>
      <c r="AR5794" s="2513"/>
      <c r="CT5794" s="531"/>
    </row>
    <row r="5795" spans="1:98">
      <c r="A5795" s="532"/>
      <c r="AR5795" s="2513"/>
      <c r="CT5795" s="531"/>
    </row>
    <row r="5796" spans="1:98">
      <c r="A5796" s="532"/>
      <c r="AR5796" s="2513"/>
      <c r="CT5796" s="531"/>
    </row>
    <row r="5797" spans="1:98">
      <c r="A5797" s="532"/>
      <c r="AR5797" s="2513"/>
      <c r="CT5797" s="531"/>
    </row>
    <row r="5798" spans="1:98">
      <c r="A5798" s="532"/>
      <c r="AR5798" s="2513"/>
      <c r="CT5798" s="531"/>
    </row>
    <row r="5799" spans="1:98">
      <c r="A5799" s="532"/>
      <c r="AR5799" s="2513"/>
      <c r="CT5799" s="531"/>
    </row>
    <row r="5800" spans="1:98">
      <c r="A5800" s="532"/>
      <c r="AR5800" s="2513"/>
      <c r="CT5800" s="531"/>
    </row>
    <row r="5801" spans="1:98">
      <c r="A5801" s="532"/>
      <c r="AR5801" s="2513"/>
      <c r="CT5801" s="531"/>
    </row>
    <row r="5802" spans="1:98">
      <c r="A5802" s="532"/>
      <c r="AR5802" s="2513"/>
      <c r="CT5802" s="531"/>
    </row>
    <row r="5803" spans="1:98">
      <c r="A5803" s="532"/>
      <c r="AR5803" s="2513"/>
      <c r="CT5803" s="531"/>
    </row>
    <row r="5804" spans="1:98">
      <c r="A5804" s="532"/>
      <c r="AR5804" s="2513"/>
      <c r="CT5804" s="531"/>
    </row>
    <row r="5805" spans="1:98">
      <c r="A5805" s="532"/>
      <c r="AR5805" s="2513"/>
      <c r="CT5805" s="531"/>
    </row>
    <row r="5806" spans="1:98">
      <c r="A5806" s="532"/>
      <c r="AR5806" s="2513"/>
      <c r="CT5806" s="531"/>
    </row>
    <row r="5807" spans="1:98">
      <c r="A5807" s="532"/>
      <c r="AR5807" s="2513"/>
      <c r="CT5807" s="531"/>
    </row>
    <row r="5808" spans="1:98">
      <c r="A5808" s="532"/>
      <c r="AR5808" s="2513"/>
      <c r="CT5808" s="531"/>
    </row>
    <row r="5809" spans="1:98">
      <c r="A5809" s="532"/>
      <c r="AR5809" s="2513"/>
      <c r="CT5809" s="531"/>
    </row>
    <row r="5810" spans="1:98">
      <c r="A5810" s="532"/>
      <c r="AR5810" s="2513"/>
      <c r="CT5810" s="531"/>
    </row>
    <row r="5811" spans="1:98">
      <c r="A5811" s="532"/>
      <c r="AR5811" s="2513"/>
      <c r="CT5811" s="531"/>
    </row>
    <row r="5812" spans="1:98">
      <c r="A5812" s="532"/>
      <c r="AR5812" s="2513"/>
      <c r="CT5812" s="531"/>
    </row>
    <row r="5813" spans="1:98">
      <c r="A5813" s="532"/>
      <c r="AR5813" s="2513"/>
      <c r="CT5813" s="531"/>
    </row>
    <row r="5814" spans="1:98">
      <c r="A5814" s="532"/>
      <c r="AR5814" s="2513"/>
      <c r="CT5814" s="531"/>
    </row>
    <row r="5815" spans="1:98">
      <c r="A5815" s="532"/>
      <c r="AR5815" s="2513"/>
      <c r="CT5815" s="531"/>
    </row>
    <row r="5816" spans="1:98">
      <c r="A5816" s="532"/>
      <c r="AR5816" s="2513"/>
      <c r="CT5816" s="531"/>
    </row>
    <row r="5817" spans="1:98">
      <c r="A5817" s="532"/>
      <c r="AR5817" s="2513"/>
      <c r="CT5817" s="531"/>
    </row>
    <row r="5818" spans="1:98">
      <c r="A5818" s="532"/>
      <c r="AR5818" s="2513"/>
      <c r="CT5818" s="531"/>
    </row>
    <row r="5819" spans="1:98">
      <c r="A5819" s="532"/>
      <c r="AR5819" s="2513"/>
      <c r="CT5819" s="531"/>
    </row>
    <row r="5820" spans="1:98">
      <c r="A5820" s="532"/>
      <c r="AR5820" s="2513"/>
      <c r="CT5820" s="531"/>
    </row>
    <row r="5821" spans="1:98">
      <c r="A5821" s="532"/>
      <c r="AR5821" s="2513"/>
      <c r="CT5821" s="531"/>
    </row>
    <row r="5822" spans="1:98">
      <c r="A5822" s="532"/>
      <c r="AR5822" s="2513"/>
      <c r="CT5822" s="531"/>
    </row>
    <row r="5823" spans="1:98">
      <c r="A5823" s="532"/>
      <c r="AR5823" s="2513"/>
      <c r="CT5823" s="531"/>
    </row>
    <row r="5824" spans="1:98">
      <c r="A5824" s="532"/>
      <c r="AR5824" s="2513"/>
      <c r="CT5824" s="531"/>
    </row>
    <row r="5825" spans="1:98">
      <c r="A5825" s="532"/>
      <c r="AR5825" s="2513"/>
      <c r="CT5825" s="531"/>
    </row>
    <row r="5826" spans="1:98">
      <c r="A5826" s="532"/>
      <c r="AR5826" s="2513"/>
      <c r="CT5826" s="531"/>
    </row>
    <row r="5827" spans="1:98">
      <c r="A5827" s="532"/>
      <c r="AR5827" s="2513"/>
      <c r="CT5827" s="531"/>
    </row>
    <row r="5828" spans="1:98">
      <c r="A5828" s="532"/>
      <c r="AR5828" s="2513"/>
      <c r="CT5828" s="531"/>
    </row>
    <row r="5829" spans="1:98">
      <c r="A5829" s="532"/>
      <c r="AR5829" s="2513"/>
      <c r="CT5829" s="531"/>
    </row>
    <row r="5830" spans="1:98">
      <c r="A5830" s="532"/>
      <c r="AR5830" s="2513"/>
      <c r="CT5830" s="531"/>
    </row>
    <row r="5831" spans="1:98">
      <c r="A5831" s="532"/>
      <c r="AR5831" s="2513"/>
      <c r="CT5831" s="531"/>
    </row>
    <row r="5832" spans="1:98">
      <c r="A5832" s="532"/>
      <c r="AR5832" s="2513"/>
      <c r="CT5832" s="531"/>
    </row>
    <row r="5833" spans="1:98">
      <c r="A5833" s="532"/>
      <c r="AR5833" s="2513"/>
      <c r="CT5833" s="531"/>
    </row>
    <row r="5834" spans="1:98">
      <c r="A5834" s="532"/>
      <c r="AR5834" s="2513"/>
      <c r="CT5834" s="531"/>
    </row>
    <row r="5835" spans="1:98">
      <c r="A5835" s="532"/>
      <c r="AR5835" s="2513"/>
      <c r="CT5835" s="531"/>
    </row>
    <row r="5836" spans="1:98">
      <c r="A5836" s="532"/>
      <c r="AR5836" s="2513"/>
      <c r="CT5836" s="531"/>
    </row>
    <row r="5837" spans="1:98">
      <c r="A5837" s="532"/>
      <c r="AR5837" s="2513"/>
      <c r="CT5837" s="531"/>
    </row>
    <row r="5838" spans="1:98">
      <c r="A5838" s="532"/>
      <c r="AR5838" s="2513"/>
      <c r="CT5838" s="531"/>
    </row>
    <row r="5839" spans="1:98">
      <c r="A5839" s="532"/>
      <c r="AR5839" s="2513"/>
      <c r="CT5839" s="531"/>
    </row>
    <row r="5840" spans="1:98">
      <c r="A5840" s="532"/>
      <c r="AR5840" s="2513"/>
      <c r="CT5840" s="531"/>
    </row>
    <row r="5841" spans="1:98">
      <c r="A5841" s="532"/>
      <c r="AR5841" s="2513"/>
      <c r="CT5841" s="531"/>
    </row>
    <row r="5842" spans="1:98">
      <c r="A5842" s="532"/>
      <c r="AR5842" s="2513"/>
      <c r="CT5842" s="531"/>
    </row>
    <row r="5843" spans="1:98">
      <c r="A5843" s="532"/>
      <c r="AR5843" s="2513"/>
      <c r="CT5843" s="531"/>
    </row>
    <row r="5844" spans="1:98">
      <c r="A5844" s="532"/>
      <c r="AR5844" s="2513"/>
      <c r="CT5844" s="531"/>
    </row>
    <row r="5845" spans="1:98">
      <c r="A5845" s="532"/>
      <c r="AR5845" s="2513"/>
      <c r="CT5845" s="531"/>
    </row>
    <row r="5846" spans="1:98">
      <c r="A5846" s="532"/>
      <c r="AR5846" s="2513"/>
      <c r="CT5846" s="531"/>
    </row>
    <row r="5847" spans="1:98">
      <c r="A5847" s="532"/>
      <c r="AR5847" s="2513"/>
      <c r="CT5847" s="531"/>
    </row>
    <row r="5848" spans="1:98">
      <c r="A5848" s="532"/>
      <c r="AR5848" s="2513"/>
      <c r="CT5848" s="531"/>
    </row>
    <row r="5849" spans="1:98">
      <c r="A5849" s="532"/>
      <c r="AR5849" s="2513"/>
      <c r="CT5849" s="531"/>
    </row>
    <row r="5850" spans="1:98">
      <c r="A5850" s="532"/>
      <c r="AR5850" s="2513"/>
      <c r="CT5850" s="531"/>
    </row>
    <row r="5851" spans="1:98">
      <c r="A5851" s="532"/>
      <c r="AR5851" s="2513"/>
      <c r="CT5851" s="531"/>
    </row>
    <row r="5852" spans="1:98">
      <c r="A5852" s="532"/>
      <c r="AR5852" s="2513"/>
      <c r="CT5852" s="531"/>
    </row>
    <row r="5853" spans="1:98">
      <c r="A5853" s="532"/>
      <c r="AR5853" s="2513"/>
      <c r="CT5853" s="531"/>
    </row>
    <row r="5854" spans="1:98">
      <c r="A5854" s="532"/>
      <c r="AR5854" s="2513"/>
      <c r="CT5854" s="531"/>
    </row>
    <row r="5855" spans="1:98">
      <c r="A5855" s="532"/>
      <c r="AR5855" s="2513"/>
      <c r="CT5855" s="531"/>
    </row>
    <row r="5856" spans="1:98">
      <c r="A5856" s="532"/>
      <c r="AR5856" s="2513"/>
      <c r="CT5856" s="531"/>
    </row>
    <row r="5857" spans="1:98">
      <c r="A5857" s="532"/>
      <c r="AR5857" s="2513"/>
      <c r="CT5857" s="531"/>
    </row>
    <row r="5858" spans="1:98">
      <c r="A5858" s="532"/>
      <c r="AR5858" s="2513"/>
      <c r="CT5858" s="531"/>
    </row>
    <row r="5859" spans="1:98">
      <c r="A5859" s="532"/>
      <c r="AR5859" s="2513"/>
      <c r="CT5859" s="531"/>
    </row>
    <row r="5860" spans="1:98">
      <c r="A5860" s="532"/>
      <c r="AR5860" s="2513"/>
      <c r="CT5860" s="531"/>
    </row>
    <row r="5861" spans="1:98">
      <c r="A5861" s="532"/>
      <c r="AR5861" s="2513"/>
      <c r="CT5861" s="531"/>
    </row>
    <row r="5862" spans="1:98">
      <c r="A5862" s="532"/>
      <c r="AR5862" s="2513"/>
      <c r="CT5862" s="531"/>
    </row>
    <row r="5863" spans="1:98">
      <c r="A5863" s="532"/>
      <c r="AR5863" s="2513"/>
      <c r="CT5863" s="531"/>
    </row>
    <row r="5864" spans="1:98">
      <c r="A5864" s="532"/>
      <c r="AR5864" s="2513"/>
      <c r="CT5864" s="531"/>
    </row>
    <row r="5865" spans="1:98">
      <c r="A5865" s="532"/>
      <c r="AR5865" s="2513"/>
      <c r="CT5865" s="531"/>
    </row>
    <row r="5866" spans="1:98">
      <c r="A5866" s="532"/>
      <c r="AR5866" s="2513"/>
      <c r="CT5866" s="531"/>
    </row>
    <row r="5867" spans="1:98">
      <c r="A5867" s="532"/>
      <c r="AR5867" s="2513"/>
      <c r="CT5867" s="531"/>
    </row>
    <row r="5868" spans="1:98">
      <c r="A5868" s="532"/>
      <c r="AR5868" s="2513"/>
      <c r="CT5868" s="531"/>
    </row>
    <row r="5869" spans="1:98">
      <c r="A5869" s="532"/>
      <c r="AR5869" s="2513"/>
      <c r="CT5869" s="531"/>
    </row>
    <row r="5870" spans="1:98">
      <c r="A5870" s="532"/>
      <c r="AR5870" s="2513"/>
      <c r="CT5870" s="531"/>
    </row>
    <row r="5871" spans="1:98">
      <c r="A5871" s="532"/>
      <c r="AR5871" s="2513"/>
      <c r="CT5871" s="531"/>
    </row>
    <row r="5872" spans="1:98">
      <c r="A5872" s="532"/>
      <c r="AR5872" s="2513"/>
      <c r="CT5872" s="531"/>
    </row>
    <row r="5873" spans="1:98">
      <c r="A5873" s="532"/>
      <c r="AR5873" s="2513"/>
      <c r="CT5873" s="531"/>
    </row>
    <row r="5874" spans="1:98">
      <c r="A5874" s="532"/>
      <c r="AR5874" s="2513"/>
      <c r="CT5874" s="531"/>
    </row>
    <row r="5875" spans="1:98">
      <c r="A5875" s="532"/>
      <c r="AR5875" s="2513"/>
      <c r="CT5875" s="531"/>
    </row>
    <row r="5876" spans="1:98">
      <c r="A5876" s="532"/>
      <c r="AR5876" s="2513"/>
      <c r="CT5876" s="531"/>
    </row>
    <row r="5877" spans="1:98">
      <c r="A5877" s="532"/>
      <c r="AR5877" s="2513"/>
      <c r="CT5877" s="531"/>
    </row>
    <row r="5878" spans="1:98">
      <c r="A5878" s="532"/>
      <c r="AR5878" s="2513"/>
      <c r="CT5878" s="531"/>
    </row>
    <row r="5879" spans="1:98">
      <c r="A5879" s="532"/>
      <c r="AR5879" s="2513"/>
      <c r="CT5879" s="531"/>
    </row>
    <row r="5880" spans="1:98">
      <c r="A5880" s="532"/>
      <c r="AR5880" s="2513"/>
      <c r="CT5880" s="531"/>
    </row>
    <row r="5881" spans="1:98">
      <c r="A5881" s="532"/>
      <c r="AR5881" s="2513"/>
      <c r="CT5881" s="531"/>
    </row>
    <row r="5882" spans="1:98">
      <c r="A5882" s="532"/>
      <c r="AR5882" s="2513"/>
      <c r="CT5882" s="531"/>
    </row>
    <row r="5883" spans="1:98">
      <c r="A5883" s="532"/>
      <c r="AR5883" s="2513"/>
      <c r="CT5883" s="531"/>
    </row>
    <row r="5884" spans="1:98">
      <c r="A5884" s="532"/>
      <c r="AR5884" s="2513"/>
      <c r="CT5884" s="531"/>
    </row>
    <row r="5885" spans="1:98">
      <c r="A5885" s="532"/>
      <c r="AR5885" s="2513"/>
      <c r="CT5885" s="531"/>
    </row>
    <row r="5886" spans="1:98">
      <c r="A5886" s="532"/>
      <c r="AR5886" s="2513"/>
      <c r="CT5886" s="531"/>
    </row>
    <row r="5887" spans="1:98">
      <c r="A5887" s="532"/>
      <c r="AR5887" s="2513"/>
      <c r="CT5887" s="531"/>
    </row>
    <row r="5888" spans="1:98">
      <c r="A5888" s="532"/>
      <c r="AR5888" s="2513"/>
      <c r="CT5888" s="531"/>
    </row>
    <row r="5889" spans="1:98">
      <c r="A5889" s="532"/>
      <c r="AR5889" s="2513"/>
      <c r="CT5889" s="531"/>
    </row>
    <row r="5890" spans="1:98">
      <c r="A5890" s="532"/>
      <c r="AR5890" s="2513"/>
      <c r="CT5890" s="531"/>
    </row>
    <row r="5891" spans="1:98">
      <c r="A5891" s="532"/>
      <c r="AR5891" s="2513"/>
      <c r="CT5891" s="531"/>
    </row>
    <row r="5892" spans="1:98">
      <c r="A5892" s="532"/>
      <c r="AR5892" s="2513"/>
      <c r="CT5892" s="531"/>
    </row>
    <row r="5893" spans="1:98">
      <c r="A5893" s="532"/>
      <c r="AR5893" s="2513"/>
      <c r="CT5893" s="531"/>
    </row>
    <row r="5894" spans="1:98">
      <c r="A5894" s="532"/>
      <c r="AR5894" s="2513"/>
      <c r="CT5894" s="531"/>
    </row>
    <row r="5895" spans="1:98">
      <c r="A5895" s="532"/>
      <c r="AR5895" s="2513"/>
      <c r="CT5895" s="531"/>
    </row>
    <row r="5896" spans="1:98">
      <c r="A5896" s="532"/>
      <c r="AR5896" s="2513"/>
      <c r="CT5896" s="531"/>
    </row>
    <row r="5897" spans="1:98">
      <c r="A5897" s="532"/>
      <c r="AR5897" s="2513"/>
      <c r="CT5897" s="531"/>
    </row>
    <row r="5898" spans="1:98">
      <c r="A5898" s="532"/>
      <c r="AR5898" s="2513"/>
      <c r="CT5898" s="531"/>
    </row>
    <row r="5899" spans="1:98">
      <c r="A5899" s="532"/>
      <c r="AR5899" s="2513"/>
      <c r="CT5899" s="531"/>
    </row>
    <row r="5900" spans="1:98">
      <c r="A5900" s="532"/>
      <c r="AR5900" s="2513"/>
      <c r="CT5900" s="531"/>
    </row>
    <row r="5901" spans="1:98">
      <c r="A5901" s="532"/>
      <c r="AR5901" s="2513"/>
      <c r="CT5901" s="531"/>
    </row>
    <row r="5902" spans="1:98">
      <c r="A5902" s="532"/>
      <c r="AR5902" s="2513"/>
      <c r="CT5902" s="531"/>
    </row>
    <row r="5903" spans="1:98">
      <c r="A5903" s="532"/>
      <c r="AR5903" s="2513"/>
      <c r="CT5903" s="531"/>
    </row>
    <row r="5904" spans="1:98">
      <c r="A5904" s="532"/>
      <c r="AR5904" s="2513"/>
      <c r="CT5904" s="531"/>
    </row>
    <row r="5905" spans="1:98">
      <c r="A5905" s="532"/>
      <c r="AR5905" s="2513"/>
      <c r="CT5905" s="531"/>
    </row>
    <row r="5906" spans="1:98">
      <c r="A5906" s="532"/>
      <c r="AR5906" s="2513"/>
      <c r="CT5906" s="531"/>
    </row>
    <row r="5907" spans="1:98">
      <c r="A5907" s="532"/>
      <c r="AR5907" s="2513"/>
      <c r="CT5907" s="531"/>
    </row>
    <row r="5908" spans="1:98">
      <c r="A5908" s="532"/>
      <c r="AR5908" s="2513"/>
      <c r="CT5908" s="531"/>
    </row>
    <row r="5909" spans="1:98">
      <c r="A5909" s="532"/>
      <c r="AR5909" s="2513"/>
      <c r="CT5909" s="531"/>
    </row>
    <row r="5910" spans="1:98">
      <c r="A5910" s="532"/>
      <c r="AR5910" s="2513"/>
      <c r="CT5910" s="531"/>
    </row>
    <row r="5911" spans="1:98">
      <c r="A5911" s="532"/>
      <c r="AR5911" s="2513"/>
      <c r="CT5911" s="531"/>
    </row>
    <row r="5912" spans="1:98">
      <c r="A5912" s="532"/>
      <c r="AR5912" s="2513"/>
      <c r="CT5912" s="531"/>
    </row>
    <row r="5913" spans="1:98">
      <c r="A5913" s="532"/>
      <c r="AR5913" s="2513"/>
      <c r="CT5913" s="531"/>
    </row>
    <row r="5914" spans="1:98">
      <c r="A5914" s="532"/>
      <c r="AR5914" s="2513"/>
      <c r="CT5914" s="531"/>
    </row>
    <row r="5915" spans="1:98">
      <c r="A5915" s="532"/>
      <c r="AR5915" s="2513"/>
      <c r="CT5915" s="531"/>
    </row>
    <row r="5916" spans="1:98">
      <c r="A5916" s="532"/>
      <c r="AR5916" s="2513"/>
      <c r="CT5916" s="531"/>
    </row>
    <row r="5917" spans="1:98">
      <c r="A5917" s="532"/>
      <c r="AR5917" s="2513"/>
      <c r="CT5917" s="531"/>
    </row>
    <row r="5918" spans="1:98">
      <c r="A5918" s="532"/>
      <c r="AR5918" s="2513"/>
      <c r="CT5918" s="531"/>
    </row>
    <row r="5919" spans="1:98">
      <c r="A5919" s="532"/>
      <c r="AR5919" s="2513"/>
      <c r="CT5919" s="531"/>
    </row>
    <row r="5920" spans="1:98">
      <c r="A5920" s="532"/>
      <c r="AR5920" s="2513"/>
      <c r="CT5920" s="531"/>
    </row>
    <row r="5921" spans="1:98">
      <c r="A5921" s="532"/>
      <c r="AR5921" s="2513"/>
      <c r="CT5921" s="531"/>
    </row>
    <row r="5922" spans="1:98">
      <c r="A5922" s="532"/>
      <c r="AR5922" s="2513"/>
      <c r="CT5922" s="531"/>
    </row>
    <row r="5923" spans="1:98">
      <c r="A5923" s="532"/>
      <c r="AR5923" s="2513"/>
      <c r="CT5923" s="531"/>
    </row>
    <row r="5924" spans="1:98">
      <c r="A5924" s="532"/>
      <c r="AR5924" s="2513"/>
      <c r="CT5924" s="531"/>
    </row>
    <row r="5925" spans="1:98">
      <c r="A5925" s="532"/>
      <c r="AR5925" s="2513"/>
      <c r="CT5925" s="531"/>
    </row>
    <row r="5926" spans="1:98">
      <c r="A5926" s="532"/>
      <c r="AR5926" s="2513"/>
      <c r="CT5926" s="531"/>
    </row>
    <row r="5927" spans="1:98">
      <c r="A5927" s="532"/>
      <c r="AR5927" s="2513"/>
      <c r="CT5927" s="531"/>
    </row>
    <row r="5928" spans="1:98">
      <c r="A5928" s="532"/>
      <c r="AR5928" s="2513"/>
      <c r="CT5928" s="531"/>
    </row>
    <row r="5929" spans="1:98">
      <c r="A5929" s="532"/>
      <c r="AR5929" s="2513"/>
      <c r="CT5929" s="531"/>
    </row>
    <row r="5930" spans="1:98">
      <c r="A5930" s="532"/>
      <c r="AR5930" s="2513"/>
      <c r="CT5930" s="531"/>
    </row>
    <row r="5931" spans="1:98">
      <c r="A5931" s="532"/>
      <c r="AR5931" s="2513"/>
      <c r="CT5931" s="531"/>
    </row>
    <row r="5932" spans="1:98">
      <c r="A5932" s="532"/>
      <c r="AR5932" s="2513"/>
      <c r="CT5932" s="531"/>
    </row>
    <row r="5933" spans="1:98">
      <c r="A5933" s="532"/>
      <c r="AR5933" s="2513"/>
      <c r="CT5933" s="531"/>
    </row>
    <row r="5934" spans="1:98">
      <c r="A5934" s="532"/>
      <c r="AR5934" s="2513"/>
      <c r="CT5934" s="531"/>
    </row>
    <row r="5935" spans="1:98">
      <c r="A5935" s="532"/>
      <c r="AR5935" s="2513"/>
      <c r="CT5935" s="531"/>
    </row>
    <row r="5936" spans="1:98">
      <c r="A5936" s="532"/>
      <c r="AR5936" s="2513"/>
      <c r="CT5936" s="531"/>
    </row>
    <row r="5937" spans="1:98">
      <c r="A5937" s="532"/>
      <c r="AR5937" s="2513"/>
      <c r="CT5937" s="531"/>
    </row>
    <row r="5938" spans="1:98">
      <c r="A5938" s="532"/>
      <c r="AR5938" s="2513"/>
      <c r="CT5938" s="531"/>
    </row>
    <row r="5939" spans="1:98">
      <c r="A5939" s="532"/>
      <c r="AR5939" s="2513"/>
      <c r="CT5939" s="531"/>
    </row>
    <row r="5940" spans="1:98">
      <c r="A5940" s="532"/>
      <c r="AR5940" s="2513"/>
      <c r="CT5940" s="531"/>
    </row>
    <row r="5941" spans="1:98">
      <c r="A5941" s="532"/>
      <c r="AR5941" s="2513"/>
      <c r="CT5941" s="531"/>
    </row>
    <row r="5942" spans="1:98">
      <c r="A5942" s="532"/>
      <c r="AR5942" s="2513"/>
      <c r="CT5942" s="531"/>
    </row>
    <row r="5943" spans="1:98">
      <c r="A5943" s="532"/>
      <c r="AR5943" s="2513"/>
      <c r="CT5943" s="531"/>
    </row>
    <row r="5944" spans="1:98">
      <c r="A5944" s="532"/>
      <c r="AR5944" s="2513"/>
      <c r="CT5944" s="531"/>
    </row>
    <row r="5945" spans="1:98">
      <c r="A5945" s="532"/>
      <c r="AR5945" s="2513"/>
      <c r="CT5945" s="531"/>
    </row>
    <row r="5946" spans="1:98">
      <c r="A5946" s="532"/>
      <c r="AR5946" s="2513"/>
      <c r="CT5946" s="531"/>
    </row>
    <row r="5947" spans="1:98">
      <c r="A5947" s="532"/>
      <c r="AR5947" s="2513"/>
      <c r="CT5947" s="531"/>
    </row>
    <row r="5948" spans="1:98">
      <c r="A5948" s="532"/>
      <c r="AR5948" s="2513"/>
      <c r="CT5948" s="531"/>
    </row>
    <row r="5949" spans="1:98">
      <c r="A5949" s="532"/>
      <c r="AR5949" s="2513"/>
      <c r="CT5949" s="531"/>
    </row>
    <row r="5950" spans="1:98">
      <c r="A5950" s="532"/>
      <c r="AR5950" s="2513"/>
      <c r="CT5950" s="531"/>
    </row>
    <row r="5951" spans="1:98">
      <c r="A5951" s="532"/>
      <c r="AR5951" s="2513"/>
      <c r="CT5951" s="531"/>
    </row>
    <row r="5952" spans="1:98">
      <c r="A5952" s="532"/>
      <c r="AR5952" s="2513"/>
      <c r="CT5952" s="531"/>
    </row>
    <row r="5953" spans="1:98">
      <c r="A5953" s="532"/>
      <c r="AR5953" s="2513"/>
      <c r="CT5953" s="531"/>
    </row>
    <row r="5954" spans="1:98">
      <c r="A5954" s="532"/>
      <c r="AR5954" s="2513"/>
      <c r="CT5954" s="531"/>
    </row>
    <row r="5955" spans="1:98">
      <c r="A5955" s="532"/>
      <c r="AR5955" s="2513"/>
      <c r="CT5955" s="531"/>
    </row>
    <row r="5956" spans="1:98">
      <c r="A5956" s="532"/>
      <c r="AR5956" s="2513"/>
      <c r="CT5956" s="531"/>
    </row>
    <row r="5957" spans="1:98">
      <c r="A5957" s="532"/>
      <c r="AR5957" s="2513"/>
      <c r="CT5957" s="531"/>
    </row>
    <row r="5958" spans="1:98">
      <c r="A5958" s="532"/>
      <c r="AR5958" s="2513"/>
      <c r="CT5958" s="531"/>
    </row>
    <row r="5959" spans="1:98">
      <c r="A5959" s="532"/>
      <c r="AR5959" s="2513"/>
      <c r="CT5959" s="531"/>
    </row>
    <row r="5960" spans="1:98">
      <c r="A5960" s="532"/>
      <c r="AR5960" s="2513"/>
      <c r="CT5960" s="531"/>
    </row>
    <row r="5961" spans="1:98">
      <c r="A5961" s="532"/>
      <c r="AR5961" s="2513"/>
      <c r="CT5961" s="531"/>
    </row>
    <row r="5962" spans="1:98">
      <c r="A5962" s="532"/>
      <c r="AR5962" s="2513"/>
      <c r="CT5962" s="531"/>
    </row>
    <row r="5963" spans="1:98">
      <c r="A5963" s="532"/>
      <c r="AR5963" s="2513"/>
      <c r="CT5963" s="531"/>
    </row>
    <row r="5964" spans="1:98">
      <c r="A5964" s="532"/>
      <c r="AR5964" s="2513"/>
      <c r="CT5964" s="531"/>
    </row>
    <row r="5965" spans="1:98">
      <c r="A5965" s="532"/>
      <c r="AR5965" s="2513"/>
      <c r="CT5965" s="531"/>
    </row>
    <row r="5966" spans="1:98">
      <c r="A5966" s="532"/>
      <c r="AR5966" s="2513"/>
      <c r="CT5966" s="531"/>
    </row>
    <row r="5967" spans="1:98">
      <c r="A5967" s="532"/>
      <c r="AR5967" s="2513"/>
      <c r="CT5967" s="531"/>
    </row>
    <row r="5968" spans="1:98">
      <c r="A5968" s="532"/>
      <c r="AR5968" s="2513"/>
      <c r="CT5968" s="531"/>
    </row>
    <row r="5969" spans="1:98">
      <c r="A5969" s="532"/>
      <c r="AR5969" s="2513"/>
      <c r="CT5969" s="531"/>
    </row>
    <row r="5970" spans="1:98">
      <c r="A5970" s="532"/>
      <c r="AR5970" s="2513"/>
      <c r="CT5970" s="531"/>
    </row>
    <row r="5971" spans="1:98">
      <c r="A5971" s="532"/>
      <c r="AR5971" s="2513"/>
      <c r="CT5971" s="531"/>
    </row>
    <row r="5972" spans="1:98">
      <c r="A5972" s="532"/>
      <c r="AR5972" s="2513"/>
      <c r="CT5972" s="531"/>
    </row>
    <row r="5973" spans="1:98">
      <c r="A5973" s="532"/>
      <c r="AR5973" s="2513"/>
      <c r="CT5973" s="531"/>
    </row>
    <row r="5974" spans="1:98">
      <c r="A5974" s="532"/>
      <c r="AR5974" s="2513"/>
      <c r="CT5974" s="531"/>
    </row>
    <row r="5975" spans="1:98">
      <c r="A5975" s="532"/>
      <c r="AR5975" s="2513"/>
      <c r="CT5975" s="531"/>
    </row>
    <row r="5976" spans="1:98">
      <c r="A5976" s="532"/>
      <c r="AR5976" s="2513"/>
      <c r="CT5976" s="531"/>
    </row>
    <row r="5977" spans="1:98">
      <c r="A5977" s="532"/>
      <c r="AR5977" s="2513"/>
      <c r="CT5977" s="531"/>
    </row>
    <row r="5978" spans="1:98">
      <c r="A5978" s="532"/>
      <c r="AR5978" s="2513"/>
      <c r="CT5978" s="531"/>
    </row>
    <row r="5979" spans="1:98">
      <c r="A5979" s="532"/>
      <c r="AR5979" s="2513"/>
      <c r="CT5979" s="531"/>
    </row>
    <row r="5980" spans="1:98">
      <c r="A5980" s="532"/>
      <c r="AR5980" s="2513"/>
      <c r="CT5980" s="531"/>
    </row>
    <row r="5981" spans="1:98">
      <c r="A5981" s="532"/>
      <c r="AR5981" s="2513"/>
      <c r="CT5981" s="531"/>
    </row>
    <row r="5982" spans="1:98">
      <c r="A5982" s="532"/>
      <c r="AR5982" s="2513"/>
      <c r="CT5982" s="531"/>
    </row>
    <row r="5983" spans="1:98">
      <c r="A5983" s="532"/>
      <c r="AR5983" s="2513"/>
      <c r="CT5983" s="531"/>
    </row>
    <row r="5984" spans="1:98">
      <c r="A5984" s="532"/>
      <c r="AR5984" s="2513"/>
      <c r="CT5984" s="531"/>
    </row>
    <row r="5985" spans="1:98">
      <c r="A5985" s="532"/>
      <c r="AR5985" s="2513"/>
      <c r="CT5985" s="531"/>
    </row>
    <row r="5986" spans="1:98">
      <c r="A5986" s="532"/>
      <c r="AR5986" s="2513"/>
      <c r="CT5986" s="531"/>
    </row>
    <row r="5987" spans="1:98">
      <c r="A5987" s="532"/>
      <c r="AR5987" s="2513"/>
      <c r="CT5987" s="531"/>
    </row>
    <row r="5988" spans="1:98">
      <c r="A5988" s="532"/>
      <c r="AR5988" s="2513"/>
      <c r="CT5988" s="531"/>
    </row>
    <row r="5989" spans="1:98">
      <c r="A5989" s="532"/>
      <c r="AR5989" s="2513"/>
      <c r="CT5989" s="531"/>
    </row>
    <row r="5990" spans="1:98">
      <c r="A5990" s="532"/>
      <c r="AR5990" s="2513"/>
      <c r="CT5990" s="531"/>
    </row>
    <row r="5991" spans="1:98">
      <c r="A5991" s="532"/>
      <c r="AR5991" s="2513"/>
      <c r="CT5991" s="531"/>
    </row>
    <row r="5992" spans="1:98">
      <c r="A5992" s="532"/>
      <c r="AR5992" s="2513"/>
      <c r="CT5992" s="531"/>
    </row>
    <row r="5993" spans="1:98">
      <c r="A5993" s="532"/>
      <c r="AR5993" s="2513"/>
      <c r="CT5993" s="531"/>
    </row>
    <row r="5994" spans="1:98">
      <c r="A5994" s="532"/>
      <c r="AR5994" s="2513"/>
      <c r="CT5994" s="531"/>
    </row>
    <row r="5995" spans="1:98">
      <c r="A5995" s="532"/>
      <c r="AR5995" s="2513"/>
      <c r="CT5995" s="531"/>
    </row>
    <row r="5996" spans="1:98">
      <c r="A5996" s="532"/>
      <c r="AR5996" s="2513"/>
      <c r="CT5996" s="531"/>
    </row>
    <row r="5997" spans="1:98">
      <c r="A5997" s="532"/>
      <c r="AR5997" s="2513"/>
      <c r="CT5997" s="531"/>
    </row>
    <row r="5998" spans="1:98">
      <c r="A5998" s="532"/>
      <c r="AR5998" s="2513"/>
      <c r="CT5998" s="531"/>
    </row>
    <row r="5999" spans="1:98">
      <c r="A5999" s="532"/>
      <c r="AR5999" s="2513"/>
      <c r="CT5999" s="531"/>
    </row>
    <row r="6000" spans="1:98">
      <c r="A6000" s="532"/>
      <c r="AR6000" s="2513"/>
      <c r="CT6000" s="531"/>
    </row>
    <row r="6001" spans="1:98">
      <c r="A6001" s="532"/>
      <c r="AR6001" s="2513"/>
      <c r="CT6001" s="531"/>
    </row>
    <row r="6002" spans="1:98">
      <c r="A6002" s="532"/>
      <c r="AR6002" s="2513"/>
      <c r="CT6002" s="531"/>
    </row>
    <row r="6003" spans="1:98">
      <c r="A6003" s="532"/>
      <c r="AR6003" s="2513"/>
      <c r="CT6003" s="531"/>
    </row>
    <row r="6004" spans="1:98">
      <c r="A6004" s="532"/>
      <c r="AR6004" s="2513"/>
      <c r="CT6004" s="531"/>
    </row>
    <row r="6005" spans="1:98">
      <c r="A6005" s="532"/>
      <c r="AR6005" s="2513"/>
      <c r="CT6005" s="531"/>
    </row>
    <row r="6006" spans="1:98">
      <c r="A6006" s="532"/>
      <c r="AR6006" s="2513"/>
      <c r="CT6006" s="531"/>
    </row>
    <row r="6007" spans="1:98">
      <c r="A6007" s="532"/>
      <c r="AR6007" s="2513"/>
      <c r="CT6007" s="531"/>
    </row>
    <row r="6008" spans="1:98">
      <c r="A6008" s="532"/>
      <c r="AR6008" s="2513"/>
      <c r="CT6008" s="531"/>
    </row>
    <row r="6009" spans="1:98">
      <c r="A6009" s="532"/>
      <c r="AR6009" s="2513"/>
      <c r="CT6009" s="531"/>
    </row>
    <row r="6010" spans="1:98">
      <c r="A6010" s="532"/>
      <c r="AR6010" s="2513"/>
      <c r="CT6010" s="531"/>
    </row>
    <row r="6011" spans="1:98">
      <c r="A6011" s="532"/>
      <c r="AR6011" s="2513"/>
      <c r="CT6011" s="531"/>
    </row>
    <row r="6012" spans="1:98">
      <c r="A6012" s="532"/>
      <c r="AR6012" s="2513"/>
      <c r="CT6012" s="531"/>
    </row>
    <row r="6013" spans="1:98">
      <c r="A6013" s="532"/>
      <c r="AR6013" s="2513"/>
      <c r="CT6013" s="531"/>
    </row>
    <row r="6014" spans="1:98">
      <c r="A6014" s="532"/>
      <c r="AR6014" s="2513"/>
      <c r="CT6014" s="531"/>
    </row>
    <row r="6015" spans="1:98">
      <c r="A6015" s="532"/>
      <c r="AR6015" s="2513"/>
      <c r="CT6015" s="531"/>
    </row>
    <row r="6016" spans="1:98">
      <c r="A6016" s="532"/>
      <c r="AR6016" s="2513"/>
      <c r="CT6016" s="531"/>
    </row>
    <row r="6017" spans="1:98">
      <c r="A6017" s="532"/>
      <c r="AR6017" s="2513"/>
      <c r="CT6017" s="531"/>
    </row>
    <row r="6018" spans="1:98">
      <c r="A6018" s="532"/>
      <c r="AR6018" s="2513"/>
      <c r="CT6018" s="531"/>
    </row>
    <row r="6019" spans="1:98">
      <c r="A6019" s="532"/>
      <c r="AR6019" s="2513"/>
      <c r="CT6019" s="531"/>
    </row>
    <row r="6020" spans="1:98">
      <c r="A6020" s="532"/>
      <c r="AR6020" s="2513"/>
      <c r="CT6020" s="531"/>
    </row>
    <row r="6021" spans="1:98">
      <c r="A6021" s="532"/>
      <c r="AR6021" s="2513"/>
      <c r="CT6021" s="531"/>
    </row>
    <row r="6022" spans="1:98">
      <c r="A6022" s="532"/>
      <c r="AR6022" s="2513"/>
      <c r="CT6022" s="531"/>
    </row>
    <row r="6023" spans="1:98">
      <c r="A6023" s="532"/>
      <c r="AR6023" s="2513"/>
      <c r="CT6023" s="531"/>
    </row>
    <row r="6024" spans="1:98">
      <c r="A6024" s="532"/>
      <c r="AR6024" s="2513"/>
      <c r="CT6024" s="531"/>
    </row>
    <row r="6025" spans="1:98">
      <c r="A6025" s="532"/>
      <c r="AR6025" s="2513"/>
      <c r="CT6025" s="531"/>
    </row>
    <row r="6026" spans="1:98">
      <c r="A6026" s="532"/>
      <c r="AR6026" s="2513"/>
      <c r="CT6026" s="531"/>
    </row>
    <row r="6027" spans="1:98">
      <c r="A6027" s="532"/>
      <c r="AR6027" s="2513"/>
      <c r="CT6027" s="531"/>
    </row>
    <row r="6028" spans="1:98">
      <c r="A6028" s="532"/>
      <c r="AR6028" s="2513"/>
      <c r="CT6028" s="531"/>
    </row>
    <row r="6029" spans="1:98">
      <c r="A6029" s="532"/>
      <c r="AR6029" s="2513"/>
      <c r="CT6029" s="531"/>
    </row>
    <row r="6030" spans="1:98">
      <c r="A6030" s="532"/>
      <c r="AR6030" s="2513"/>
      <c r="CT6030" s="531"/>
    </row>
    <row r="6031" spans="1:98">
      <c r="A6031" s="532"/>
      <c r="AR6031" s="2513"/>
      <c r="CT6031" s="531"/>
    </row>
    <row r="6032" spans="1:98">
      <c r="A6032" s="532"/>
      <c r="AR6032" s="2513"/>
      <c r="CT6032" s="531"/>
    </row>
    <row r="6033" spans="1:98">
      <c r="A6033" s="532"/>
      <c r="AR6033" s="2513"/>
      <c r="CT6033" s="531"/>
    </row>
    <row r="6034" spans="1:98">
      <c r="A6034" s="532"/>
      <c r="AR6034" s="2513"/>
      <c r="CT6034" s="531"/>
    </row>
    <row r="6035" spans="1:98">
      <c r="A6035" s="532"/>
      <c r="AR6035" s="2513"/>
      <c r="CT6035" s="531"/>
    </row>
    <row r="6036" spans="1:98">
      <c r="A6036" s="532"/>
      <c r="AR6036" s="2513"/>
      <c r="CT6036" s="531"/>
    </row>
    <row r="6037" spans="1:98">
      <c r="A6037" s="532"/>
      <c r="AR6037" s="2513"/>
      <c r="CT6037" s="531"/>
    </row>
    <row r="6038" spans="1:98">
      <c r="A6038" s="532"/>
      <c r="AR6038" s="2513"/>
      <c r="CT6038" s="531"/>
    </row>
    <row r="6039" spans="1:98">
      <c r="A6039" s="532"/>
      <c r="AR6039" s="2513"/>
      <c r="CT6039" s="531"/>
    </row>
    <row r="6040" spans="1:98">
      <c r="A6040" s="532"/>
      <c r="AR6040" s="2513"/>
      <c r="CT6040" s="531"/>
    </row>
    <row r="6041" spans="1:98">
      <c r="A6041" s="532"/>
      <c r="AR6041" s="2513"/>
      <c r="CT6041" s="531"/>
    </row>
    <row r="6042" spans="1:98">
      <c r="A6042" s="532"/>
      <c r="AR6042" s="2513"/>
      <c r="CT6042" s="531"/>
    </row>
    <row r="6043" spans="1:98">
      <c r="A6043" s="532"/>
      <c r="AR6043" s="2513"/>
      <c r="CT6043" s="531"/>
    </row>
    <row r="6044" spans="1:98">
      <c r="A6044" s="532"/>
      <c r="AR6044" s="2513"/>
      <c r="CT6044" s="531"/>
    </row>
    <row r="6045" spans="1:98">
      <c r="A6045" s="532"/>
      <c r="AR6045" s="2513"/>
      <c r="CT6045" s="531"/>
    </row>
    <row r="6046" spans="1:98">
      <c r="A6046" s="532"/>
      <c r="AR6046" s="2513"/>
      <c r="CT6046" s="531"/>
    </row>
    <row r="6047" spans="1:98">
      <c r="A6047" s="532"/>
      <c r="AR6047" s="2513"/>
      <c r="CT6047" s="531"/>
    </row>
    <row r="6048" spans="1:98">
      <c r="A6048" s="532"/>
      <c r="AR6048" s="2513"/>
      <c r="CT6048" s="531"/>
    </row>
    <row r="6049" spans="1:98">
      <c r="A6049" s="532"/>
      <c r="AR6049" s="2513"/>
      <c r="CT6049" s="531"/>
    </row>
    <row r="6050" spans="1:98">
      <c r="A6050" s="532"/>
      <c r="AR6050" s="2513"/>
      <c r="CT6050" s="531"/>
    </row>
    <row r="6051" spans="1:98">
      <c r="A6051" s="532"/>
      <c r="AR6051" s="2513"/>
      <c r="CT6051" s="531"/>
    </row>
    <row r="6052" spans="1:98">
      <c r="A6052" s="532"/>
      <c r="AR6052" s="2513"/>
      <c r="CT6052" s="531"/>
    </row>
    <row r="6053" spans="1:98">
      <c r="A6053" s="532"/>
      <c r="AR6053" s="2513"/>
      <c r="CT6053" s="531"/>
    </row>
    <row r="6054" spans="1:98">
      <c r="A6054" s="532"/>
      <c r="AR6054" s="2513"/>
      <c r="CT6054" s="531"/>
    </row>
    <row r="6055" spans="1:98">
      <c r="A6055" s="532"/>
      <c r="AR6055" s="2513"/>
      <c r="CT6055" s="531"/>
    </row>
    <row r="6056" spans="1:98">
      <c r="A6056" s="532"/>
      <c r="AR6056" s="2513"/>
      <c r="CT6056" s="531"/>
    </row>
    <row r="6057" spans="1:98">
      <c r="A6057" s="532"/>
      <c r="AR6057" s="2513"/>
      <c r="CT6057" s="531"/>
    </row>
    <row r="6058" spans="1:98">
      <c r="A6058" s="532"/>
      <c r="AR6058" s="2513"/>
      <c r="CT6058" s="531"/>
    </row>
    <row r="6059" spans="1:98">
      <c r="A6059" s="532"/>
      <c r="AR6059" s="2513"/>
      <c r="CT6059" s="531"/>
    </row>
    <row r="6060" spans="1:98">
      <c r="A6060" s="532"/>
      <c r="AR6060" s="2513"/>
      <c r="CT6060" s="531"/>
    </row>
    <row r="6061" spans="1:98">
      <c r="A6061" s="532"/>
      <c r="AR6061" s="2513"/>
      <c r="CT6061" s="531"/>
    </row>
    <row r="6062" spans="1:98">
      <c r="A6062" s="532"/>
      <c r="AR6062" s="2513"/>
      <c r="CT6062" s="531"/>
    </row>
    <row r="6063" spans="1:98">
      <c r="A6063" s="532"/>
      <c r="AR6063" s="2513"/>
      <c r="CT6063" s="531"/>
    </row>
    <row r="6064" spans="1:98">
      <c r="A6064" s="532"/>
      <c r="AR6064" s="2513"/>
      <c r="CT6064" s="531"/>
    </row>
    <row r="6065" spans="1:98">
      <c r="A6065" s="532"/>
      <c r="AR6065" s="2513"/>
      <c r="CT6065" s="531"/>
    </row>
    <row r="6066" spans="1:98">
      <c r="A6066" s="532"/>
      <c r="AR6066" s="2513"/>
      <c r="CT6066" s="531"/>
    </row>
    <row r="6067" spans="1:98">
      <c r="A6067" s="532"/>
      <c r="AR6067" s="2513"/>
      <c r="CT6067" s="531"/>
    </row>
    <row r="6068" spans="1:98">
      <c r="A6068" s="532"/>
      <c r="AR6068" s="2513"/>
      <c r="CT6068" s="531"/>
    </row>
    <row r="6069" spans="1:98">
      <c r="A6069" s="532"/>
      <c r="AR6069" s="2513"/>
      <c r="CT6069" s="531"/>
    </row>
    <row r="6070" spans="1:98">
      <c r="A6070" s="532"/>
      <c r="AR6070" s="2513"/>
      <c r="CT6070" s="531"/>
    </row>
    <row r="6071" spans="1:98">
      <c r="A6071" s="532"/>
      <c r="AR6071" s="2513"/>
      <c r="CT6071" s="531"/>
    </row>
    <row r="6072" spans="1:98">
      <c r="A6072" s="532"/>
      <c r="AR6072" s="2513"/>
      <c r="CT6072" s="531"/>
    </row>
    <row r="6073" spans="1:98">
      <c r="A6073" s="532"/>
      <c r="AR6073" s="2513"/>
      <c r="CT6073" s="531"/>
    </row>
    <row r="6074" spans="1:98">
      <c r="A6074" s="532"/>
      <c r="AR6074" s="2513"/>
      <c r="CT6074" s="531"/>
    </row>
    <row r="6075" spans="1:98">
      <c r="A6075" s="532"/>
      <c r="AR6075" s="2513"/>
      <c r="CT6075" s="531"/>
    </row>
    <row r="6076" spans="1:98">
      <c r="A6076" s="532"/>
      <c r="AR6076" s="2513"/>
      <c r="CT6076" s="531"/>
    </row>
    <row r="6077" spans="1:98">
      <c r="A6077" s="532"/>
      <c r="AR6077" s="2513"/>
      <c r="CT6077" s="531"/>
    </row>
    <row r="6078" spans="1:98">
      <c r="A6078" s="532"/>
      <c r="AR6078" s="2513"/>
      <c r="CT6078" s="531"/>
    </row>
    <row r="6079" spans="1:98">
      <c r="A6079" s="532"/>
      <c r="AR6079" s="2513"/>
      <c r="CT6079" s="531"/>
    </row>
    <row r="6080" spans="1:98">
      <c r="A6080" s="532"/>
      <c r="AR6080" s="2513"/>
      <c r="CT6080" s="531"/>
    </row>
    <row r="6081" spans="1:98">
      <c r="A6081" s="532"/>
      <c r="AR6081" s="2513"/>
      <c r="CT6081" s="531"/>
    </row>
    <row r="6082" spans="1:98">
      <c r="A6082" s="532"/>
      <c r="AR6082" s="2513"/>
      <c r="CT6082" s="531"/>
    </row>
    <row r="6083" spans="1:98">
      <c r="A6083" s="532"/>
      <c r="AR6083" s="2513"/>
      <c r="CT6083" s="531"/>
    </row>
    <row r="6084" spans="1:98">
      <c r="A6084" s="532"/>
      <c r="AR6084" s="2513"/>
      <c r="CT6084" s="531"/>
    </row>
    <row r="6085" spans="1:98">
      <c r="A6085" s="532"/>
      <c r="AR6085" s="2513"/>
      <c r="CT6085" s="531"/>
    </row>
    <row r="6086" spans="1:98">
      <c r="A6086" s="532"/>
      <c r="AR6086" s="2513"/>
      <c r="CT6086" s="531"/>
    </row>
    <row r="6087" spans="1:98">
      <c r="A6087" s="532"/>
      <c r="AR6087" s="2513"/>
      <c r="CT6087" s="531"/>
    </row>
    <row r="6088" spans="1:98">
      <c r="A6088" s="532"/>
      <c r="AR6088" s="2513"/>
      <c r="CT6088" s="531"/>
    </row>
    <row r="6089" spans="1:98">
      <c r="A6089" s="532"/>
      <c r="AR6089" s="2513"/>
      <c r="CT6089" s="531"/>
    </row>
    <row r="6090" spans="1:98">
      <c r="A6090" s="532"/>
      <c r="AR6090" s="2513"/>
      <c r="CT6090" s="531"/>
    </row>
    <row r="6091" spans="1:98">
      <c r="A6091" s="532"/>
      <c r="AR6091" s="2513"/>
      <c r="CT6091" s="531"/>
    </row>
    <row r="6092" spans="1:98">
      <c r="A6092" s="532"/>
      <c r="AR6092" s="2513"/>
      <c r="CT6092" s="531"/>
    </row>
    <row r="6093" spans="1:98">
      <c r="A6093" s="532"/>
      <c r="AR6093" s="2513"/>
      <c r="CT6093" s="531"/>
    </row>
    <row r="6094" spans="1:98">
      <c r="A6094" s="532"/>
      <c r="AR6094" s="2513"/>
      <c r="CT6094" s="531"/>
    </row>
    <row r="6095" spans="1:98">
      <c r="A6095" s="532"/>
      <c r="AR6095" s="2513"/>
      <c r="CT6095" s="531"/>
    </row>
    <row r="6096" spans="1:98">
      <c r="A6096" s="532"/>
      <c r="AR6096" s="2513"/>
      <c r="CT6096" s="531"/>
    </row>
    <row r="6097" spans="1:98">
      <c r="A6097" s="532"/>
      <c r="AR6097" s="2513"/>
      <c r="CT6097" s="531"/>
    </row>
    <row r="6098" spans="1:98">
      <c r="A6098" s="532"/>
      <c r="AR6098" s="2513"/>
      <c r="CT6098" s="531"/>
    </row>
    <row r="6099" spans="1:98">
      <c r="A6099" s="532"/>
      <c r="AR6099" s="2513"/>
      <c r="CT6099" s="531"/>
    </row>
    <row r="6100" spans="1:98">
      <c r="A6100" s="532"/>
      <c r="AR6100" s="2513"/>
      <c r="CT6100" s="531"/>
    </row>
    <row r="6101" spans="1:98">
      <c r="A6101" s="532"/>
      <c r="AR6101" s="2513"/>
      <c r="CT6101" s="531"/>
    </row>
    <row r="6102" spans="1:98">
      <c r="A6102" s="532"/>
      <c r="AR6102" s="2513"/>
      <c r="CT6102" s="531"/>
    </row>
    <row r="6103" spans="1:98">
      <c r="A6103" s="532"/>
      <c r="AR6103" s="2513"/>
      <c r="CT6103" s="531"/>
    </row>
    <row r="6104" spans="1:98">
      <c r="A6104" s="532"/>
      <c r="AR6104" s="2513"/>
      <c r="CT6104" s="531"/>
    </row>
    <row r="6105" spans="1:98">
      <c r="A6105" s="532"/>
      <c r="AR6105" s="2513"/>
      <c r="CT6105" s="531"/>
    </row>
    <row r="6106" spans="1:98">
      <c r="A6106" s="532"/>
      <c r="AR6106" s="2513"/>
      <c r="CT6106" s="531"/>
    </row>
    <row r="6107" spans="1:98">
      <c r="A6107" s="532"/>
      <c r="AR6107" s="2513"/>
      <c r="CT6107" s="531"/>
    </row>
    <row r="6108" spans="1:98">
      <c r="A6108" s="532"/>
      <c r="AR6108" s="2513"/>
      <c r="CT6108" s="531"/>
    </row>
    <row r="6109" spans="1:98">
      <c r="A6109" s="532"/>
      <c r="AR6109" s="2513"/>
      <c r="CT6109" s="531"/>
    </row>
    <row r="6110" spans="1:98">
      <c r="A6110" s="532"/>
      <c r="AR6110" s="2513"/>
      <c r="CT6110" s="531"/>
    </row>
    <row r="6111" spans="1:98">
      <c r="A6111" s="532"/>
      <c r="AR6111" s="2513"/>
      <c r="CT6111" s="531"/>
    </row>
    <row r="6112" spans="1:98">
      <c r="A6112" s="532"/>
      <c r="AR6112" s="2513"/>
      <c r="CT6112" s="531"/>
    </row>
    <row r="6113" spans="1:98">
      <c r="A6113" s="532"/>
      <c r="AR6113" s="2513"/>
      <c r="CT6113" s="531"/>
    </row>
    <row r="6114" spans="1:98">
      <c r="A6114" s="532"/>
      <c r="AR6114" s="2513"/>
      <c r="CT6114" s="531"/>
    </row>
    <row r="6115" spans="1:98">
      <c r="A6115" s="532"/>
      <c r="AR6115" s="2513"/>
      <c r="CT6115" s="531"/>
    </row>
    <row r="6116" spans="1:98">
      <c r="A6116" s="532"/>
      <c r="AR6116" s="2513"/>
      <c r="CT6116" s="531"/>
    </row>
    <row r="6117" spans="1:98">
      <c r="A6117" s="532"/>
      <c r="AR6117" s="2513"/>
      <c r="CT6117" s="531"/>
    </row>
    <row r="6118" spans="1:98">
      <c r="A6118" s="532"/>
      <c r="AR6118" s="2513"/>
      <c r="CT6118" s="531"/>
    </row>
    <row r="6119" spans="1:98">
      <c r="A6119" s="532"/>
      <c r="AR6119" s="2513"/>
      <c r="CT6119" s="531"/>
    </row>
    <row r="6120" spans="1:98">
      <c r="A6120" s="532"/>
      <c r="AR6120" s="2513"/>
      <c r="CT6120" s="531"/>
    </row>
    <row r="6121" spans="1:98">
      <c r="A6121" s="532"/>
      <c r="AR6121" s="2513"/>
      <c r="CT6121" s="531"/>
    </row>
    <row r="6122" spans="1:98">
      <c r="A6122" s="532"/>
      <c r="AR6122" s="2513"/>
      <c r="CT6122" s="531"/>
    </row>
    <row r="6123" spans="1:98">
      <c r="A6123" s="532"/>
      <c r="AR6123" s="2513"/>
      <c r="CT6123" s="531"/>
    </row>
    <row r="6124" spans="1:98">
      <c r="A6124" s="532"/>
      <c r="AR6124" s="2513"/>
      <c r="CT6124" s="531"/>
    </row>
    <row r="6125" spans="1:98">
      <c r="A6125" s="532"/>
      <c r="AR6125" s="2513"/>
      <c r="CT6125" s="531"/>
    </row>
    <row r="6126" spans="1:98">
      <c r="A6126" s="532"/>
      <c r="AR6126" s="2513"/>
      <c r="CT6126" s="531"/>
    </row>
    <row r="6127" spans="1:98">
      <c r="A6127" s="532"/>
      <c r="AR6127" s="2513"/>
      <c r="CT6127" s="531"/>
    </row>
    <row r="6128" spans="1:98">
      <c r="A6128" s="532"/>
      <c r="AR6128" s="2513"/>
      <c r="CT6128" s="531"/>
    </row>
    <row r="6129" spans="1:98">
      <c r="A6129" s="532"/>
      <c r="AR6129" s="2513"/>
      <c r="CT6129" s="531"/>
    </row>
    <row r="6130" spans="1:98">
      <c r="A6130" s="532"/>
      <c r="AR6130" s="2513"/>
      <c r="CT6130" s="531"/>
    </row>
    <row r="6131" spans="1:98">
      <c r="A6131" s="532"/>
      <c r="AR6131" s="2513"/>
      <c r="CT6131" s="531"/>
    </row>
    <row r="6132" spans="1:98">
      <c r="A6132" s="532"/>
      <c r="AR6132" s="2513"/>
      <c r="CT6132" s="531"/>
    </row>
    <row r="6133" spans="1:98">
      <c r="A6133" s="532"/>
      <c r="AR6133" s="2513"/>
      <c r="CT6133" s="531"/>
    </row>
    <row r="6134" spans="1:98">
      <c r="A6134" s="532"/>
      <c r="AR6134" s="2513"/>
      <c r="CT6134" s="531"/>
    </row>
    <row r="6135" spans="1:98">
      <c r="A6135" s="532"/>
      <c r="AR6135" s="2513"/>
      <c r="CT6135" s="531"/>
    </row>
    <row r="6136" spans="1:98">
      <c r="A6136" s="532"/>
      <c r="AR6136" s="2513"/>
      <c r="CT6136" s="531"/>
    </row>
    <row r="6137" spans="1:98">
      <c r="A6137" s="532"/>
      <c r="AR6137" s="2513"/>
      <c r="CT6137" s="531"/>
    </row>
    <row r="6138" spans="1:98">
      <c r="A6138" s="532"/>
      <c r="AR6138" s="2513"/>
      <c r="CT6138" s="531"/>
    </row>
    <row r="6139" spans="1:98">
      <c r="A6139" s="532"/>
      <c r="AR6139" s="2513"/>
      <c r="CT6139" s="531"/>
    </row>
    <row r="6140" spans="1:98">
      <c r="A6140" s="532"/>
      <c r="AR6140" s="2513"/>
      <c r="CT6140" s="531"/>
    </row>
    <row r="6141" spans="1:98">
      <c r="A6141" s="532"/>
      <c r="AR6141" s="2513"/>
      <c r="CT6141" s="531"/>
    </row>
    <row r="6142" spans="1:98">
      <c r="A6142" s="532"/>
      <c r="AR6142" s="2513"/>
      <c r="CT6142" s="531"/>
    </row>
    <row r="6143" spans="1:98">
      <c r="A6143" s="532"/>
      <c r="AR6143" s="2513"/>
      <c r="CT6143" s="531"/>
    </row>
    <row r="6144" spans="1:98">
      <c r="A6144" s="532"/>
      <c r="AR6144" s="2513"/>
      <c r="CT6144" s="531"/>
    </row>
    <row r="6145" spans="1:98">
      <c r="A6145" s="532"/>
      <c r="AR6145" s="2513"/>
      <c r="CT6145" s="531"/>
    </row>
    <row r="6146" spans="1:98">
      <c r="A6146" s="532"/>
      <c r="AR6146" s="2513"/>
      <c r="CT6146" s="531"/>
    </row>
    <row r="6147" spans="1:98">
      <c r="A6147" s="532"/>
      <c r="AR6147" s="2513"/>
      <c r="CT6147" s="531"/>
    </row>
    <row r="6148" spans="1:98">
      <c r="A6148" s="532"/>
      <c r="AR6148" s="2513"/>
      <c r="CT6148" s="531"/>
    </row>
    <row r="6149" spans="1:98">
      <c r="A6149" s="532"/>
      <c r="AR6149" s="2513"/>
      <c r="CT6149" s="531"/>
    </row>
    <row r="6150" spans="1:98">
      <c r="A6150" s="532"/>
      <c r="AR6150" s="2513"/>
      <c r="CT6150" s="531"/>
    </row>
    <row r="6151" spans="1:98">
      <c r="A6151" s="532"/>
      <c r="AR6151" s="2513"/>
      <c r="CT6151" s="531"/>
    </row>
    <row r="6152" spans="1:98">
      <c r="A6152" s="532"/>
      <c r="AR6152" s="2513"/>
      <c r="CT6152" s="531"/>
    </row>
    <row r="6153" spans="1:98">
      <c r="A6153" s="532"/>
      <c r="AR6153" s="2513"/>
      <c r="CT6153" s="531"/>
    </row>
    <row r="6154" spans="1:98">
      <c r="A6154" s="532"/>
      <c r="AR6154" s="2513"/>
      <c r="CT6154" s="531"/>
    </row>
    <row r="6155" spans="1:98">
      <c r="A6155" s="532"/>
      <c r="AR6155" s="2513"/>
      <c r="CT6155" s="531"/>
    </row>
    <row r="6156" spans="1:98">
      <c r="A6156" s="532"/>
      <c r="AR6156" s="2513"/>
      <c r="CT6156" s="531"/>
    </row>
    <row r="6157" spans="1:98">
      <c r="A6157" s="532"/>
      <c r="AR6157" s="2513"/>
      <c r="CT6157" s="531"/>
    </row>
    <row r="6158" spans="1:98">
      <c r="A6158" s="532"/>
      <c r="AR6158" s="2513"/>
      <c r="CT6158" s="531"/>
    </row>
    <row r="6159" spans="1:98">
      <c r="A6159" s="532"/>
      <c r="AR6159" s="2513"/>
      <c r="CT6159" s="531"/>
    </row>
    <row r="6160" spans="1:98">
      <c r="A6160" s="532"/>
      <c r="AR6160" s="2513"/>
      <c r="CT6160" s="531"/>
    </row>
    <row r="6161" spans="1:98">
      <c r="A6161" s="532"/>
      <c r="AR6161" s="2513"/>
      <c r="CT6161" s="531"/>
    </row>
    <row r="6162" spans="1:98">
      <c r="A6162" s="532"/>
      <c r="AR6162" s="2513"/>
      <c r="CT6162" s="531"/>
    </row>
    <row r="6163" spans="1:98">
      <c r="A6163" s="532"/>
      <c r="AR6163" s="2513"/>
      <c r="CT6163" s="531"/>
    </row>
    <row r="6164" spans="1:98">
      <c r="A6164" s="532"/>
      <c r="AR6164" s="2513"/>
      <c r="CT6164" s="531"/>
    </row>
    <row r="6165" spans="1:98">
      <c r="A6165" s="532"/>
      <c r="AR6165" s="2513"/>
      <c r="CT6165" s="531"/>
    </row>
    <row r="6166" spans="1:98">
      <c r="A6166" s="532"/>
      <c r="AR6166" s="2513"/>
      <c r="CT6166" s="531"/>
    </row>
    <row r="6167" spans="1:98">
      <c r="A6167" s="532"/>
      <c r="AR6167" s="2513"/>
      <c r="CT6167" s="531"/>
    </row>
    <row r="6168" spans="1:98">
      <c r="A6168" s="532"/>
      <c r="AR6168" s="2513"/>
      <c r="CT6168" s="531"/>
    </row>
    <row r="6169" spans="1:98">
      <c r="A6169" s="532"/>
      <c r="AR6169" s="2513"/>
      <c r="CT6169" s="531"/>
    </row>
    <row r="6170" spans="1:98">
      <c r="A6170" s="532"/>
      <c r="AR6170" s="2513"/>
      <c r="CT6170" s="531"/>
    </row>
    <row r="6171" spans="1:98">
      <c r="A6171" s="532"/>
      <c r="AR6171" s="2513"/>
      <c r="CT6171" s="531"/>
    </row>
    <row r="6172" spans="1:98">
      <c r="A6172" s="532"/>
      <c r="AR6172" s="2513"/>
      <c r="CT6172" s="531"/>
    </row>
    <row r="6173" spans="1:98">
      <c r="A6173" s="532"/>
      <c r="AR6173" s="2513"/>
      <c r="CT6173" s="531"/>
    </row>
    <row r="6174" spans="1:98">
      <c r="A6174" s="532"/>
      <c r="AR6174" s="2513"/>
      <c r="CT6174" s="531"/>
    </row>
    <row r="6175" spans="1:98">
      <c r="A6175" s="532"/>
      <c r="AR6175" s="2513"/>
      <c r="CT6175" s="531"/>
    </row>
    <row r="6176" spans="1:98">
      <c r="A6176" s="532"/>
      <c r="AR6176" s="2513"/>
      <c r="CT6176" s="531"/>
    </row>
    <row r="6177" spans="1:98">
      <c r="A6177" s="532"/>
      <c r="AR6177" s="2513"/>
      <c r="CT6177" s="531"/>
    </row>
    <row r="6178" spans="1:98">
      <c r="A6178" s="532"/>
      <c r="AR6178" s="2513"/>
      <c r="CT6178" s="531"/>
    </row>
    <row r="6179" spans="1:98">
      <c r="A6179" s="532"/>
      <c r="AR6179" s="2513"/>
      <c r="CT6179" s="531"/>
    </row>
    <row r="6180" spans="1:98">
      <c r="A6180" s="532"/>
      <c r="AR6180" s="2513"/>
      <c r="CT6180" s="531"/>
    </row>
    <row r="6181" spans="1:98">
      <c r="A6181" s="532"/>
      <c r="AR6181" s="2513"/>
      <c r="CT6181" s="531"/>
    </row>
    <row r="6182" spans="1:98">
      <c r="A6182" s="532"/>
      <c r="AR6182" s="2513"/>
      <c r="CT6182" s="531"/>
    </row>
    <row r="6183" spans="1:98">
      <c r="A6183" s="532"/>
      <c r="AR6183" s="2513"/>
      <c r="CT6183" s="531"/>
    </row>
    <row r="6184" spans="1:98">
      <c r="A6184" s="532"/>
      <c r="AR6184" s="2513"/>
      <c r="CT6184" s="531"/>
    </row>
    <row r="6185" spans="1:98">
      <c r="A6185" s="532"/>
      <c r="AR6185" s="2513"/>
      <c r="CT6185" s="531"/>
    </row>
    <row r="6186" spans="1:98">
      <c r="A6186" s="532"/>
      <c r="AR6186" s="2513"/>
      <c r="CT6186" s="531"/>
    </row>
    <row r="6187" spans="1:98">
      <c r="A6187" s="532"/>
      <c r="AR6187" s="2513"/>
      <c r="CT6187" s="531"/>
    </row>
    <row r="6188" spans="1:98">
      <c r="A6188" s="532"/>
      <c r="AR6188" s="2513"/>
      <c r="CT6188" s="531"/>
    </row>
    <row r="6189" spans="1:98">
      <c r="A6189" s="532"/>
      <c r="AR6189" s="2513"/>
      <c r="CT6189" s="531"/>
    </row>
    <row r="6190" spans="1:98">
      <c r="A6190" s="532"/>
      <c r="AR6190" s="2513"/>
      <c r="CT6190" s="531"/>
    </row>
    <row r="6191" spans="1:98">
      <c r="A6191" s="532"/>
      <c r="AR6191" s="2513"/>
      <c r="CT6191" s="531"/>
    </row>
    <row r="6192" spans="1:98">
      <c r="A6192" s="532"/>
      <c r="AR6192" s="2513"/>
      <c r="CT6192" s="531"/>
    </row>
    <row r="6193" spans="1:98">
      <c r="A6193" s="532"/>
      <c r="AR6193" s="2513"/>
      <c r="CT6193" s="531"/>
    </row>
    <row r="6194" spans="1:98">
      <c r="A6194" s="532"/>
      <c r="AR6194" s="2513"/>
      <c r="CT6194" s="531"/>
    </row>
    <row r="6195" spans="1:98">
      <c r="A6195" s="532"/>
      <c r="AR6195" s="2513"/>
      <c r="CT6195" s="531"/>
    </row>
    <row r="6196" spans="1:98">
      <c r="A6196" s="532"/>
      <c r="AR6196" s="2513"/>
      <c r="CT6196" s="531"/>
    </row>
    <row r="6197" spans="1:98">
      <c r="A6197" s="532"/>
      <c r="AR6197" s="2513"/>
      <c r="CT6197" s="531"/>
    </row>
    <row r="6198" spans="1:98">
      <c r="A6198" s="532"/>
      <c r="AR6198" s="2513"/>
      <c r="CT6198" s="531"/>
    </row>
    <row r="6199" spans="1:98">
      <c r="A6199" s="532"/>
      <c r="AR6199" s="2513"/>
      <c r="CT6199" s="531"/>
    </row>
    <row r="6200" spans="1:98">
      <c r="A6200" s="532"/>
      <c r="AR6200" s="2513"/>
      <c r="CT6200" s="531"/>
    </row>
    <row r="6201" spans="1:98">
      <c r="A6201" s="532"/>
      <c r="AR6201" s="2513"/>
      <c r="CT6201" s="531"/>
    </row>
    <row r="6202" spans="1:98">
      <c r="A6202" s="532"/>
      <c r="AR6202" s="2513"/>
      <c r="CT6202" s="531"/>
    </row>
    <row r="6203" spans="1:98">
      <c r="A6203" s="532"/>
      <c r="AR6203" s="2513"/>
      <c r="CT6203" s="531"/>
    </row>
    <row r="6204" spans="1:98">
      <c r="A6204" s="532"/>
      <c r="AR6204" s="2513"/>
      <c r="CT6204" s="531"/>
    </row>
    <row r="6205" spans="1:98">
      <c r="A6205" s="532"/>
      <c r="AR6205" s="2513"/>
      <c r="CT6205" s="531"/>
    </row>
    <row r="6206" spans="1:98">
      <c r="A6206" s="532"/>
      <c r="AR6206" s="2513"/>
      <c r="CT6206" s="531"/>
    </row>
    <row r="6207" spans="1:98">
      <c r="A6207" s="532"/>
      <c r="AR6207" s="2513"/>
      <c r="CT6207" s="531"/>
    </row>
    <row r="6208" spans="1:98">
      <c r="A6208" s="532"/>
      <c r="AR6208" s="2513"/>
      <c r="CT6208" s="531"/>
    </row>
    <row r="6209" spans="1:98">
      <c r="A6209" s="532"/>
      <c r="AR6209" s="2513"/>
      <c r="CT6209" s="531"/>
    </row>
    <row r="6210" spans="1:98">
      <c r="A6210" s="532"/>
      <c r="AR6210" s="2513"/>
      <c r="CT6210" s="531"/>
    </row>
    <row r="6211" spans="1:98">
      <c r="A6211" s="532"/>
      <c r="AR6211" s="2513"/>
      <c r="CT6211" s="531"/>
    </row>
    <row r="6212" spans="1:98">
      <c r="A6212" s="532"/>
      <c r="AR6212" s="2513"/>
      <c r="CT6212" s="531"/>
    </row>
    <row r="6213" spans="1:98">
      <c r="A6213" s="532"/>
      <c r="AR6213" s="2513"/>
      <c r="CT6213" s="531"/>
    </row>
    <row r="6214" spans="1:98">
      <c r="A6214" s="532"/>
      <c r="AR6214" s="2513"/>
      <c r="CT6214" s="531"/>
    </row>
    <row r="6215" spans="1:98">
      <c r="A6215" s="532"/>
      <c r="AR6215" s="2513"/>
      <c r="CT6215" s="531"/>
    </row>
    <row r="6216" spans="1:98">
      <c r="A6216" s="532"/>
      <c r="AR6216" s="2513"/>
      <c r="CT6216" s="531"/>
    </row>
    <row r="6217" spans="1:98">
      <c r="A6217" s="532"/>
      <c r="AR6217" s="2513"/>
      <c r="CT6217" s="531"/>
    </row>
    <row r="6218" spans="1:98">
      <c r="A6218" s="532"/>
      <c r="AR6218" s="2513"/>
      <c r="CT6218" s="531"/>
    </row>
    <row r="6219" spans="1:98">
      <c r="A6219" s="532"/>
      <c r="AR6219" s="2513"/>
      <c r="CT6219" s="531"/>
    </row>
    <row r="6220" spans="1:98">
      <c r="A6220" s="532"/>
      <c r="AR6220" s="2513"/>
      <c r="CT6220" s="531"/>
    </row>
    <row r="6221" spans="1:98">
      <c r="A6221" s="532"/>
      <c r="AR6221" s="2513"/>
      <c r="CT6221" s="531"/>
    </row>
    <row r="6222" spans="1:98">
      <c r="A6222" s="532"/>
      <c r="AR6222" s="2513"/>
      <c r="CT6222" s="531"/>
    </row>
    <row r="6223" spans="1:98">
      <c r="A6223" s="532"/>
      <c r="AR6223" s="2513"/>
      <c r="CT6223" s="531"/>
    </row>
    <row r="6224" spans="1:98">
      <c r="A6224" s="532"/>
      <c r="AR6224" s="2513"/>
      <c r="CT6224" s="531"/>
    </row>
    <row r="6225" spans="1:98">
      <c r="A6225" s="532"/>
      <c r="AR6225" s="2513"/>
      <c r="CT6225" s="531"/>
    </row>
    <row r="6226" spans="1:98">
      <c r="A6226" s="532"/>
      <c r="AR6226" s="2513"/>
      <c r="CT6226" s="531"/>
    </row>
    <row r="6227" spans="1:98">
      <c r="A6227" s="532"/>
      <c r="AR6227" s="2513"/>
      <c r="CT6227" s="531"/>
    </row>
    <row r="6228" spans="1:98">
      <c r="A6228" s="532"/>
      <c r="AR6228" s="2513"/>
      <c r="CT6228" s="531"/>
    </row>
    <row r="6229" spans="1:98">
      <c r="A6229" s="532"/>
      <c r="AR6229" s="2513"/>
      <c r="CT6229" s="531"/>
    </row>
    <row r="6230" spans="1:98">
      <c r="A6230" s="532"/>
      <c r="AR6230" s="2513"/>
      <c r="CT6230" s="531"/>
    </row>
    <row r="6231" spans="1:98">
      <c r="A6231" s="532"/>
      <c r="AR6231" s="2513"/>
      <c r="CT6231" s="531"/>
    </row>
    <row r="6232" spans="1:98">
      <c r="A6232" s="532"/>
      <c r="AR6232" s="2513"/>
      <c r="CT6232" s="531"/>
    </row>
    <row r="6233" spans="1:98">
      <c r="A6233" s="532"/>
      <c r="AR6233" s="2513"/>
      <c r="CT6233" s="531"/>
    </row>
    <row r="6234" spans="1:98">
      <c r="A6234" s="532"/>
      <c r="AR6234" s="2513"/>
      <c r="CT6234" s="531"/>
    </row>
    <row r="6235" spans="1:98">
      <c r="A6235" s="532"/>
      <c r="AR6235" s="2513"/>
      <c r="CT6235" s="531"/>
    </row>
    <row r="6236" spans="1:98">
      <c r="A6236" s="532"/>
      <c r="AR6236" s="2513"/>
      <c r="CT6236" s="531"/>
    </row>
    <row r="6237" spans="1:98">
      <c r="A6237" s="532"/>
      <c r="AR6237" s="2513"/>
      <c r="CT6237" s="531"/>
    </row>
    <row r="6238" spans="1:98">
      <c r="A6238" s="532"/>
      <c r="AR6238" s="2513"/>
      <c r="CT6238" s="531"/>
    </row>
    <row r="6239" spans="1:98">
      <c r="A6239" s="532"/>
      <c r="AR6239" s="2513"/>
      <c r="CT6239" s="531"/>
    </row>
    <row r="6240" spans="1:98">
      <c r="A6240" s="532"/>
      <c r="AR6240" s="2513"/>
      <c r="CT6240" s="531"/>
    </row>
    <row r="6241" spans="1:98">
      <c r="A6241" s="532"/>
      <c r="AR6241" s="2513"/>
      <c r="CT6241" s="531"/>
    </row>
    <row r="6242" spans="1:98">
      <c r="A6242" s="532"/>
      <c r="AR6242" s="2513"/>
      <c r="CT6242" s="531"/>
    </row>
    <row r="6243" spans="1:98">
      <c r="A6243" s="532"/>
      <c r="AR6243" s="2513"/>
      <c r="CT6243" s="531"/>
    </row>
    <row r="6244" spans="1:98">
      <c r="A6244" s="532"/>
      <c r="AR6244" s="2513"/>
      <c r="CT6244" s="531"/>
    </row>
    <row r="6245" spans="1:98">
      <c r="A6245" s="532"/>
      <c r="AR6245" s="2513"/>
      <c r="CT6245" s="531"/>
    </row>
    <row r="6246" spans="1:98">
      <c r="A6246" s="532"/>
      <c r="AR6246" s="2513"/>
      <c r="CT6246" s="531"/>
    </row>
    <row r="6247" spans="1:98">
      <c r="A6247" s="532"/>
      <c r="AR6247" s="2513"/>
      <c r="CT6247" s="531"/>
    </row>
    <row r="6248" spans="1:98">
      <c r="A6248" s="532"/>
      <c r="AR6248" s="2513"/>
      <c r="CT6248" s="531"/>
    </row>
    <row r="6249" spans="1:98">
      <c r="A6249" s="532"/>
      <c r="AR6249" s="2513"/>
      <c r="CT6249" s="531"/>
    </row>
    <row r="6250" spans="1:98">
      <c r="A6250" s="532"/>
      <c r="AR6250" s="2513"/>
      <c r="CT6250" s="531"/>
    </row>
    <row r="6251" spans="1:98">
      <c r="A6251" s="532"/>
      <c r="AR6251" s="2513"/>
      <c r="CT6251" s="531"/>
    </row>
    <row r="6252" spans="1:98">
      <c r="A6252" s="532"/>
      <c r="AR6252" s="2513"/>
      <c r="CT6252" s="531"/>
    </row>
    <row r="6253" spans="1:98">
      <c r="A6253" s="532"/>
      <c r="AR6253" s="2513"/>
      <c r="CT6253" s="531"/>
    </row>
    <row r="6254" spans="1:98">
      <c r="A6254" s="532"/>
      <c r="AR6254" s="2513"/>
      <c r="CT6254" s="531"/>
    </row>
    <row r="6255" spans="1:98">
      <c r="A6255" s="532"/>
      <c r="AR6255" s="2513"/>
      <c r="CT6255" s="531"/>
    </row>
    <row r="6256" spans="1:98">
      <c r="A6256" s="532"/>
      <c r="AR6256" s="2513"/>
      <c r="CT6256" s="531"/>
    </row>
    <row r="6257" spans="1:98">
      <c r="A6257" s="532"/>
      <c r="AR6257" s="2513"/>
      <c r="CT6257" s="531"/>
    </row>
    <row r="6258" spans="1:98">
      <c r="A6258" s="532"/>
      <c r="AR6258" s="2513"/>
      <c r="CT6258" s="531"/>
    </row>
    <row r="6259" spans="1:98">
      <c r="A6259" s="532"/>
      <c r="AR6259" s="2513"/>
      <c r="CT6259" s="531"/>
    </row>
    <row r="6260" spans="1:98">
      <c r="A6260" s="532"/>
      <c r="AR6260" s="2513"/>
      <c r="CT6260" s="531"/>
    </row>
    <row r="6261" spans="1:98">
      <c r="A6261" s="532"/>
      <c r="AR6261" s="2513"/>
      <c r="CT6261" s="531"/>
    </row>
    <row r="6262" spans="1:98">
      <c r="A6262" s="532"/>
      <c r="AR6262" s="2513"/>
      <c r="CT6262" s="531"/>
    </row>
    <row r="6263" spans="1:98">
      <c r="A6263" s="532"/>
      <c r="AR6263" s="2513"/>
      <c r="CT6263" s="531"/>
    </row>
    <row r="6264" spans="1:98">
      <c r="A6264" s="532"/>
      <c r="AR6264" s="2513"/>
      <c r="CT6264" s="531"/>
    </row>
    <row r="6265" spans="1:98">
      <c r="A6265" s="532"/>
      <c r="AR6265" s="2513"/>
      <c r="CT6265" s="531"/>
    </row>
    <row r="6266" spans="1:98">
      <c r="A6266" s="532"/>
      <c r="AR6266" s="2513"/>
      <c r="CT6266" s="531"/>
    </row>
    <row r="6267" spans="1:98">
      <c r="A6267" s="532"/>
      <c r="AR6267" s="2513"/>
      <c r="CT6267" s="531"/>
    </row>
    <row r="6268" spans="1:98">
      <c r="A6268" s="532"/>
      <c r="AR6268" s="2513"/>
      <c r="CT6268" s="531"/>
    </row>
    <row r="6269" spans="1:98">
      <c r="A6269" s="532"/>
      <c r="AR6269" s="2513"/>
      <c r="CT6269" s="531"/>
    </row>
    <row r="6270" spans="1:98">
      <c r="A6270" s="532"/>
      <c r="AR6270" s="2513"/>
      <c r="CT6270" s="531"/>
    </row>
    <row r="6271" spans="1:98">
      <c r="A6271" s="532"/>
      <c r="AR6271" s="2513"/>
      <c r="CT6271" s="531"/>
    </row>
    <row r="6272" spans="1:98">
      <c r="A6272" s="532"/>
      <c r="AR6272" s="2513"/>
      <c r="CT6272" s="531"/>
    </row>
    <row r="6273" spans="1:98">
      <c r="A6273" s="532"/>
      <c r="AR6273" s="2513"/>
      <c r="CT6273" s="531"/>
    </row>
    <row r="6274" spans="1:98">
      <c r="A6274" s="532"/>
      <c r="AR6274" s="2513"/>
      <c r="CT6274" s="531"/>
    </row>
    <row r="6275" spans="1:98">
      <c r="A6275" s="532"/>
      <c r="AR6275" s="2513"/>
      <c r="CT6275" s="531"/>
    </row>
    <row r="6276" spans="1:98">
      <c r="A6276" s="532"/>
      <c r="AR6276" s="2513"/>
      <c r="CT6276" s="531"/>
    </row>
    <row r="6277" spans="1:98">
      <c r="A6277" s="532"/>
      <c r="AR6277" s="2513"/>
      <c r="CT6277" s="531"/>
    </row>
    <row r="6278" spans="1:98">
      <c r="A6278" s="532"/>
      <c r="AR6278" s="2513"/>
      <c r="CT6278" s="531"/>
    </row>
    <row r="6279" spans="1:98">
      <c r="A6279" s="532"/>
      <c r="AR6279" s="2513"/>
      <c r="CT6279" s="531"/>
    </row>
    <row r="6280" spans="1:98">
      <c r="A6280" s="532"/>
      <c r="AR6280" s="2513"/>
      <c r="CT6280" s="531"/>
    </row>
    <row r="6281" spans="1:98">
      <c r="A6281" s="532"/>
      <c r="AR6281" s="2513"/>
      <c r="CT6281" s="531"/>
    </row>
    <row r="6282" spans="1:98">
      <c r="A6282" s="532"/>
      <c r="AR6282" s="2513"/>
      <c r="CT6282" s="531"/>
    </row>
    <row r="6283" spans="1:98">
      <c r="A6283" s="532"/>
      <c r="AR6283" s="2513"/>
      <c r="CT6283" s="531"/>
    </row>
    <row r="6284" spans="1:98">
      <c r="A6284" s="532"/>
      <c r="AR6284" s="2513"/>
      <c r="CT6284" s="531"/>
    </row>
    <row r="6285" spans="1:98">
      <c r="A6285" s="532"/>
      <c r="AR6285" s="2513"/>
      <c r="CT6285" s="531"/>
    </row>
    <row r="6286" spans="1:98">
      <c r="A6286" s="532"/>
      <c r="AR6286" s="2513"/>
      <c r="CT6286" s="531"/>
    </row>
    <row r="6287" spans="1:98">
      <c r="A6287" s="532"/>
      <c r="AR6287" s="2513"/>
      <c r="CT6287" s="531"/>
    </row>
    <row r="6288" spans="1:98">
      <c r="A6288" s="532"/>
      <c r="AR6288" s="2513"/>
      <c r="CT6288" s="531"/>
    </row>
    <row r="6289" spans="1:98">
      <c r="A6289" s="532"/>
      <c r="AR6289" s="2513"/>
      <c r="CT6289" s="531"/>
    </row>
    <row r="6290" spans="1:98">
      <c r="A6290" s="532"/>
      <c r="AR6290" s="2513"/>
      <c r="CT6290" s="531"/>
    </row>
    <row r="6291" spans="1:98">
      <c r="A6291" s="532"/>
      <c r="AR6291" s="2513"/>
      <c r="CT6291" s="531"/>
    </row>
    <row r="6292" spans="1:98">
      <c r="A6292" s="532"/>
      <c r="AR6292" s="2513"/>
      <c r="CT6292" s="531"/>
    </row>
    <row r="6293" spans="1:98">
      <c r="A6293" s="532"/>
      <c r="AR6293" s="2513"/>
      <c r="CT6293" s="531"/>
    </row>
    <row r="6294" spans="1:98">
      <c r="A6294" s="532"/>
      <c r="AR6294" s="2513"/>
      <c r="CT6294" s="531"/>
    </row>
    <row r="6295" spans="1:98">
      <c r="A6295" s="532"/>
      <c r="AR6295" s="2513"/>
      <c r="CT6295" s="531"/>
    </row>
    <row r="6296" spans="1:98">
      <c r="A6296" s="532"/>
      <c r="AR6296" s="2513"/>
      <c r="CT6296" s="531"/>
    </row>
    <row r="6297" spans="1:98">
      <c r="A6297" s="532"/>
      <c r="AR6297" s="2513"/>
      <c r="CT6297" s="531"/>
    </row>
    <row r="6298" spans="1:98">
      <c r="A6298" s="532"/>
      <c r="AR6298" s="2513"/>
      <c r="CT6298" s="531"/>
    </row>
    <row r="6299" spans="1:98">
      <c r="A6299" s="532"/>
      <c r="AR6299" s="2513"/>
      <c r="CT6299" s="531"/>
    </row>
    <row r="6300" spans="1:98">
      <c r="A6300" s="532"/>
      <c r="AR6300" s="2513"/>
      <c r="CT6300" s="531"/>
    </row>
    <row r="6301" spans="1:98">
      <c r="A6301" s="532"/>
      <c r="AR6301" s="2513"/>
      <c r="CT6301" s="531"/>
    </row>
    <row r="6302" spans="1:98">
      <c r="A6302" s="532"/>
      <c r="AR6302" s="2513"/>
      <c r="CT6302" s="531"/>
    </row>
    <row r="6303" spans="1:98">
      <c r="A6303" s="532"/>
      <c r="AR6303" s="2513"/>
      <c r="CT6303" s="531"/>
    </row>
    <row r="6304" spans="1:98">
      <c r="A6304" s="532"/>
      <c r="AR6304" s="2513"/>
      <c r="CT6304" s="531"/>
    </row>
    <row r="6305" spans="1:98">
      <c r="A6305" s="532"/>
      <c r="AR6305" s="2513"/>
      <c r="CT6305" s="531"/>
    </row>
    <row r="6306" spans="1:98">
      <c r="A6306" s="532"/>
      <c r="AR6306" s="2513"/>
      <c r="CT6306" s="531"/>
    </row>
    <row r="6307" spans="1:98">
      <c r="A6307" s="532"/>
      <c r="AR6307" s="2513"/>
      <c r="CT6307" s="531"/>
    </row>
    <row r="6308" spans="1:98">
      <c r="A6308" s="532"/>
      <c r="AR6308" s="2513"/>
      <c r="CT6308" s="531"/>
    </row>
    <row r="6309" spans="1:98">
      <c r="A6309" s="532"/>
      <c r="AR6309" s="2513"/>
      <c r="CT6309" s="531"/>
    </row>
    <row r="6310" spans="1:98">
      <c r="A6310" s="532"/>
      <c r="AR6310" s="2513"/>
      <c r="CT6310" s="531"/>
    </row>
    <row r="6311" spans="1:98">
      <c r="A6311" s="532"/>
      <c r="AR6311" s="2513"/>
      <c r="CT6311" s="531"/>
    </row>
    <row r="6312" spans="1:98">
      <c r="A6312" s="532"/>
      <c r="AR6312" s="2513"/>
      <c r="CT6312" s="531"/>
    </row>
    <row r="6313" spans="1:98">
      <c r="A6313" s="532"/>
      <c r="AR6313" s="2513"/>
      <c r="CT6313" s="531"/>
    </row>
    <row r="6314" spans="1:98">
      <c r="A6314" s="532"/>
      <c r="AR6314" s="2513"/>
      <c r="CT6314" s="531"/>
    </row>
    <row r="6315" spans="1:98">
      <c r="A6315" s="532"/>
      <c r="AR6315" s="2513"/>
      <c r="CT6315" s="531"/>
    </row>
    <row r="6316" spans="1:98">
      <c r="A6316" s="532"/>
      <c r="AR6316" s="2513"/>
      <c r="CT6316" s="531"/>
    </row>
    <row r="6317" spans="1:98">
      <c r="A6317" s="532"/>
      <c r="AR6317" s="2513"/>
      <c r="CT6317" s="531"/>
    </row>
    <row r="6318" spans="1:98">
      <c r="A6318" s="532"/>
      <c r="AR6318" s="2513"/>
      <c r="CT6318" s="531"/>
    </row>
    <row r="6319" spans="1:98">
      <c r="A6319" s="532"/>
      <c r="AR6319" s="2513"/>
      <c r="CT6319" s="531"/>
    </row>
    <row r="6320" spans="1:98">
      <c r="A6320" s="532"/>
      <c r="AR6320" s="2513"/>
      <c r="CT6320" s="531"/>
    </row>
    <row r="6321" spans="1:98">
      <c r="A6321" s="532"/>
      <c r="AR6321" s="2513"/>
      <c r="CT6321" s="531"/>
    </row>
    <row r="6322" spans="1:98">
      <c r="A6322" s="532"/>
      <c r="AR6322" s="2513"/>
      <c r="CT6322" s="531"/>
    </row>
    <row r="6323" spans="1:98">
      <c r="A6323" s="532"/>
      <c r="AR6323" s="2513"/>
      <c r="CT6323" s="531"/>
    </row>
    <row r="6324" spans="1:98">
      <c r="A6324" s="532"/>
      <c r="AR6324" s="2513"/>
      <c r="CT6324" s="531"/>
    </row>
    <row r="6325" spans="1:98">
      <c r="A6325" s="532"/>
      <c r="AR6325" s="2513"/>
      <c r="CT6325" s="531"/>
    </row>
    <row r="6326" spans="1:98">
      <c r="A6326" s="532"/>
      <c r="AR6326" s="2513"/>
      <c r="CT6326" s="531"/>
    </row>
    <row r="6327" spans="1:98">
      <c r="A6327" s="532"/>
      <c r="AR6327" s="2513"/>
      <c r="CT6327" s="531"/>
    </row>
    <row r="6328" spans="1:98">
      <c r="A6328" s="532"/>
      <c r="AR6328" s="2513"/>
      <c r="CT6328" s="531"/>
    </row>
    <row r="6329" spans="1:98">
      <c r="A6329" s="532"/>
      <c r="AR6329" s="2513"/>
      <c r="CT6329" s="531"/>
    </row>
    <row r="6330" spans="1:98">
      <c r="A6330" s="532"/>
      <c r="AR6330" s="2513"/>
      <c r="CT6330" s="531"/>
    </row>
    <row r="6331" spans="1:98">
      <c r="A6331" s="532"/>
      <c r="AR6331" s="2513"/>
      <c r="CT6331" s="531"/>
    </row>
    <row r="6332" spans="1:98">
      <c r="A6332" s="532"/>
      <c r="AR6332" s="2513"/>
      <c r="CT6332" s="531"/>
    </row>
    <row r="6333" spans="1:98">
      <c r="A6333" s="532"/>
      <c r="AR6333" s="2513"/>
      <c r="CT6333" s="531"/>
    </row>
    <row r="6334" spans="1:98">
      <c r="A6334" s="532"/>
      <c r="AR6334" s="2513"/>
      <c r="CT6334" s="531"/>
    </row>
    <row r="6335" spans="1:98">
      <c r="A6335" s="532"/>
      <c r="AR6335" s="2513"/>
      <c r="CT6335" s="531"/>
    </row>
    <row r="6336" spans="1:98">
      <c r="A6336" s="532"/>
      <c r="AR6336" s="2513"/>
      <c r="CT6336" s="531"/>
    </row>
    <row r="6337" spans="1:98">
      <c r="A6337" s="532"/>
      <c r="AR6337" s="2513"/>
      <c r="CT6337" s="531"/>
    </row>
    <row r="6338" spans="1:98">
      <c r="A6338" s="532"/>
      <c r="AR6338" s="2513"/>
      <c r="CT6338" s="531"/>
    </row>
    <row r="6339" spans="1:98">
      <c r="A6339" s="532"/>
      <c r="AR6339" s="2513"/>
      <c r="CT6339" s="531"/>
    </row>
    <row r="6340" spans="1:98">
      <c r="A6340" s="532"/>
      <c r="AR6340" s="2513"/>
      <c r="CT6340" s="531"/>
    </row>
    <row r="6341" spans="1:98">
      <c r="A6341" s="532"/>
      <c r="AR6341" s="2513"/>
      <c r="CT6341" s="531"/>
    </row>
    <row r="6342" spans="1:98">
      <c r="A6342" s="532"/>
      <c r="AR6342" s="2513"/>
      <c r="CT6342" s="531"/>
    </row>
    <row r="6343" spans="1:98">
      <c r="A6343" s="532"/>
      <c r="AR6343" s="2513"/>
      <c r="CT6343" s="531"/>
    </row>
    <row r="6344" spans="1:98">
      <c r="A6344" s="532"/>
      <c r="AR6344" s="2513"/>
      <c r="CT6344" s="531"/>
    </row>
    <row r="6345" spans="1:98">
      <c r="A6345" s="532"/>
      <c r="AR6345" s="2513"/>
      <c r="CT6345" s="531"/>
    </row>
    <row r="6346" spans="1:98">
      <c r="A6346" s="532"/>
      <c r="AR6346" s="2513"/>
      <c r="CT6346" s="531"/>
    </row>
    <row r="6347" spans="1:98">
      <c r="A6347" s="532"/>
      <c r="AR6347" s="2513"/>
      <c r="CT6347" s="531"/>
    </row>
    <row r="6348" spans="1:98">
      <c r="A6348" s="532"/>
      <c r="AR6348" s="2513"/>
      <c r="CT6348" s="531"/>
    </row>
    <row r="6349" spans="1:98">
      <c r="A6349" s="532"/>
      <c r="AR6349" s="2513"/>
      <c r="CT6349" s="531"/>
    </row>
    <row r="6350" spans="1:98">
      <c r="A6350" s="532"/>
      <c r="AR6350" s="2513"/>
      <c r="CT6350" s="531"/>
    </row>
    <row r="6351" spans="1:98">
      <c r="A6351" s="532"/>
      <c r="AR6351" s="2513"/>
      <c r="CT6351" s="531"/>
    </row>
    <row r="6352" spans="1:98">
      <c r="A6352" s="532"/>
      <c r="AR6352" s="2513"/>
      <c r="CT6352" s="531"/>
    </row>
    <row r="6353" spans="1:98">
      <c r="A6353" s="532"/>
      <c r="AR6353" s="2513"/>
      <c r="CT6353" s="531"/>
    </row>
    <row r="6354" spans="1:98">
      <c r="A6354" s="532"/>
      <c r="AR6354" s="2513"/>
      <c r="CT6354" s="531"/>
    </row>
    <row r="6355" spans="1:98">
      <c r="A6355" s="532"/>
      <c r="AR6355" s="2513"/>
      <c r="CT6355" s="531"/>
    </row>
    <row r="6356" spans="1:98">
      <c r="A6356" s="532"/>
      <c r="AR6356" s="2513"/>
      <c r="CT6356" s="531"/>
    </row>
    <row r="6357" spans="1:98">
      <c r="A6357" s="532"/>
      <c r="AR6357" s="2513"/>
      <c r="CT6357" s="531"/>
    </row>
    <row r="6358" spans="1:98">
      <c r="A6358" s="532"/>
      <c r="AR6358" s="2513"/>
      <c r="CT6358" s="531"/>
    </row>
    <row r="6359" spans="1:98">
      <c r="A6359" s="532"/>
      <c r="AR6359" s="2513"/>
      <c r="CT6359" s="531"/>
    </row>
    <row r="6360" spans="1:98">
      <c r="A6360" s="532"/>
      <c r="AR6360" s="2513"/>
      <c r="CT6360" s="531"/>
    </row>
    <row r="6361" spans="1:98">
      <c r="A6361" s="532"/>
      <c r="AR6361" s="2513"/>
      <c r="CT6361" s="531"/>
    </row>
    <row r="6362" spans="1:98">
      <c r="A6362" s="532"/>
      <c r="AR6362" s="2513"/>
      <c r="CT6362" s="531"/>
    </row>
    <row r="6363" spans="1:98">
      <c r="A6363" s="532"/>
      <c r="AR6363" s="2513"/>
      <c r="CT6363" s="531"/>
    </row>
    <row r="6364" spans="1:98">
      <c r="A6364" s="532"/>
      <c r="AR6364" s="2513"/>
      <c r="CT6364" s="531"/>
    </row>
    <row r="6365" spans="1:98">
      <c r="A6365" s="532"/>
      <c r="AR6365" s="2513"/>
      <c r="CT6365" s="531"/>
    </row>
    <row r="6366" spans="1:98">
      <c r="A6366" s="532"/>
      <c r="AR6366" s="2513"/>
      <c r="CT6366" s="531"/>
    </row>
    <row r="6367" spans="1:98">
      <c r="A6367" s="532"/>
      <c r="AR6367" s="2513"/>
      <c r="CT6367" s="531"/>
    </row>
    <row r="6368" spans="1:98">
      <c r="A6368" s="532"/>
      <c r="AR6368" s="2513"/>
      <c r="CT6368" s="531"/>
    </row>
    <row r="6369" spans="1:98">
      <c r="A6369" s="532"/>
      <c r="AR6369" s="2513"/>
      <c r="CT6369" s="531"/>
    </row>
    <row r="6370" spans="1:98">
      <c r="A6370" s="532"/>
      <c r="AR6370" s="2513"/>
      <c r="CT6370" s="531"/>
    </row>
    <row r="6371" spans="1:98">
      <c r="A6371" s="532"/>
      <c r="AR6371" s="2513"/>
      <c r="CT6371" s="531"/>
    </row>
    <row r="6372" spans="1:98">
      <c r="A6372" s="532"/>
      <c r="AR6372" s="2513"/>
      <c r="CT6372" s="531"/>
    </row>
    <row r="6373" spans="1:98">
      <c r="A6373" s="532"/>
      <c r="AR6373" s="2513"/>
      <c r="CT6373" s="531"/>
    </row>
    <row r="6374" spans="1:98">
      <c r="A6374" s="532"/>
      <c r="AR6374" s="2513"/>
      <c r="CT6374" s="531"/>
    </row>
    <row r="6375" spans="1:98">
      <c r="A6375" s="532"/>
      <c r="AR6375" s="2513"/>
      <c r="CT6375" s="531"/>
    </row>
    <row r="6376" spans="1:98">
      <c r="A6376" s="532"/>
      <c r="AR6376" s="2513"/>
      <c r="CT6376" s="531"/>
    </row>
    <row r="6377" spans="1:98">
      <c r="A6377" s="532"/>
      <c r="AR6377" s="2513"/>
      <c r="CT6377" s="531"/>
    </row>
    <row r="6378" spans="1:98">
      <c r="A6378" s="532"/>
      <c r="AR6378" s="2513"/>
      <c r="CT6378" s="531"/>
    </row>
    <row r="6379" spans="1:98">
      <c r="A6379" s="532"/>
      <c r="AR6379" s="2513"/>
      <c r="CT6379" s="531"/>
    </row>
    <row r="6380" spans="1:98">
      <c r="A6380" s="532"/>
      <c r="AR6380" s="2513"/>
      <c r="CT6380" s="531"/>
    </row>
    <row r="6381" spans="1:98">
      <c r="A6381" s="532"/>
      <c r="AR6381" s="2513"/>
      <c r="CT6381" s="531"/>
    </row>
    <row r="6382" spans="1:98">
      <c r="A6382" s="532"/>
      <c r="AR6382" s="2513"/>
      <c r="CT6382" s="531"/>
    </row>
    <row r="6383" spans="1:98">
      <c r="A6383" s="532"/>
      <c r="AR6383" s="2513"/>
      <c r="CT6383" s="531"/>
    </row>
    <row r="6384" spans="1:98">
      <c r="A6384" s="532"/>
      <c r="AR6384" s="2513"/>
      <c r="CT6384" s="531"/>
    </row>
    <row r="6385" spans="1:98">
      <c r="A6385" s="532"/>
      <c r="AR6385" s="2513"/>
      <c r="CT6385" s="531"/>
    </row>
    <row r="6386" spans="1:98">
      <c r="A6386" s="532"/>
      <c r="AR6386" s="2513"/>
      <c r="CT6386" s="531"/>
    </row>
    <row r="6387" spans="1:98">
      <c r="A6387" s="532"/>
      <c r="AR6387" s="2513"/>
      <c r="CT6387" s="531"/>
    </row>
    <row r="6388" spans="1:98">
      <c r="A6388" s="532"/>
      <c r="AR6388" s="2513"/>
      <c r="CT6388" s="531"/>
    </row>
    <row r="6389" spans="1:98">
      <c r="A6389" s="532"/>
      <c r="AR6389" s="2513"/>
      <c r="CT6389" s="531"/>
    </row>
    <row r="6390" spans="1:98">
      <c r="A6390" s="532"/>
      <c r="AR6390" s="2513"/>
      <c r="CT6390" s="531"/>
    </row>
    <row r="6391" spans="1:98">
      <c r="A6391" s="532"/>
      <c r="AR6391" s="2513"/>
      <c r="CT6391" s="531"/>
    </row>
    <row r="6392" spans="1:98">
      <c r="A6392" s="532"/>
      <c r="AR6392" s="2513"/>
      <c r="CT6392" s="531"/>
    </row>
    <row r="6393" spans="1:98">
      <c r="A6393" s="532"/>
      <c r="AR6393" s="2513"/>
      <c r="CT6393" s="531"/>
    </row>
    <row r="6394" spans="1:98">
      <c r="A6394" s="532"/>
      <c r="AR6394" s="2513"/>
      <c r="CT6394" s="531"/>
    </row>
    <row r="6395" spans="1:98">
      <c r="A6395" s="532"/>
      <c r="AR6395" s="2513"/>
      <c r="CT6395" s="531"/>
    </row>
    <row r="6396" spans="1:98">
      <c r="A6396" s="532"/>
      <c r="AR6396" s="2513"/>
      <c r="CT6396" s="531"/>
    </row>
    <row r="6397" spans="1:98">
      <c r="A6397" s="532"/>
      <c r="AR6397" s="2513"/>
      <c r="CT6397" s="531"/>
    </row>
    <row r="6398" spans="1:98">
      <c r="A6398" s="532"/>
      <c r="AR6398" s="2513"/>
      <c r="CT6398" s="531"/>
    </row>
    <row r="6399" spans="1:98">
      <c r="A6399" s="532"/>
      <c r="AR6399" s="2513"/>
      <c r="CT6399" s="531"/>
    </row>
    <row r="6400" spans="1:98">
      <c r="A6400" s="532"/>
      <c r="AR6400" s="2513"/>
      <c r="CT6400" s="531"/>
    </row>
    <row r="6401" spans="1:98">
      <c r="A6401" s="532"/>
      <c r="AR6401" s="2513"/>
      <c r="CT6401" s="531"/>
    </row>
    <row r="6402" spans="1:98">
      <c r="A6402" s="532"/>
      <c r="AR6402" s="2513"/>
      <c r="CT6402" s="531"/>
    </row>
    <row r="6403" spans="1:98">
      <c r="A6403" s="532"/>
      <c r="AR6403" s="2513"/>
      <c r="CT6403" s="531"/>
    </row>
    <row r="6404" spans="1:98">
      <c r="A6404" s="532"/>
      <c r="AR6404" s="2513"/>
      <c r="CT6404" s="531"/>
    </row>
    <row r="6405" spans="1:98">
      <c r="A6405" s="532"/>
      <c r="AR6405" s="2513"/>
      <c r="CT6405" s="531"/>
    </row>
    <row r="6406" spans="1:98">
      <c r="A6406" s="532"/>
      <c r="AR6406" s="2513"/>
      <c r="CT6406" s="531"/>
    </row>
    <row r="6407" spans="1:98">
      <c r="A6407" s="532"/>
      <c r="AR6407" s="2513"/>
      <c r="CT6407" s="531"/>
    </row>
    <row r="6408" spans="1:98">
      <c r="A6408" s="532"/>
      <c r="AR6408" s="2513"/>
      <c r="CT6408" s="531"/>
    </row>
    <row r="6409" spans="1:98">
      <c r="A6409" s="532"/>
      <c r="AR6409" s="2513"/>
      <c r="CT6409" s="531"/>
    </row>
    <row r="6410" spans="1:98">
      <c r="A6410" s="532"/>
      <c r="AR6410" s="2513"/>
      <c r="CT6410" s="531"/>
    </row>
    <row r="6411" spans="1:98">
      <c r="A6411" s="532"/>
      <c r="AR6411" s="2513"/>
      <c r="CT6411" s="531"/>
    </row>
    <row r="6412" spans="1:98">
      <c r="A6412" s="532"/>
      <c r="AR6412" s="2513"/>
      <c r="CT6412" s="531"/>
    </row>
    <row r="6413" spans="1:98">
      <c r="A6413" s="532"/>
      <c r="AR6413" s="2513"/>
      <c r="CT6413" s="531"/>
    </row>
    <row r="6414" spans="1:98">
      <c r="A6414" s="532"/>
      <c r="AR6414" s="2513"/>
      <c r="CT6414" s="531"/>
    </row>
    <row r="6415" spans="1:98">
      <c r="A6415" s="532"/>
      <c r="AR6415" s="2513"/>
      <c r="CT6415" s="531"/>
    </row>
    <row r="6416" spans="1:98">
      <c r="A6416" s="532"/>
      <c r="AR6416" s="2513"/>
      <c r="CT6416" s="531"/>
    </row>
    <row r="6417" spans="1:98">
      <c r="A6417" s="532"/>
      <c r="AR6417" s="2513"/>
      <c r="CT6417" s="531"/>
    </row>
    <row r="6418" spans="1:98">
      <c r="A6418" s="532"/>
      <c r="AR6418" s="2513"/>
      <c r="CT6418" s="531"/>
    </row>
    <row r="6419" spans="1:98">
      <c r="A6419" s="532"/>
      <c r="AR6419" s="2513"/>
      <c r="CT6419" s="531"/>
    </row>
    <row r="6420" spans="1:98">
      <c r="A6420" s="532"/>
      <c r="AR6420" s="2513"/>
      <c r="CT6420" s="531"/>
    </row>
    <row r="6421" spans="1:98">
      <c r="A6421" s="532"/>
      <c r="AR6421" s="2513"/>
      <c r="CT6421" s="531"/>
    </row>
    <row r="6422" spans="1:98">
      <c r="A6422" s="532"/>
      <c r="AR6422" s="2513"/>
      <c r="CT6422" s="531"/>
    </row>
    <row r="6423" spans="1:98">
      <c r="A6423" s="532"/>
      <c r="AR6423" s="2513"/>
      <c r="CT6423" s="531"/>
    </row>
    <row r="6424" spans="1:98">
      <c r="A6424" s="532"/>
      <c r="AR6424" s="2513"/>
      <c r="CT6424" s="531"/>
    </row>
    <row r="6425" spans="1:98">
      <c r="A6425" s="532"/>
      <c r="AR6425" s="2513"/>
      <c r="CT6425" s="531"/>
    </row>
    <row r="6426" spans="1:98">
      <c r="A6426" s="532"/>
      <c r="AR6426" s="2513"/>
      <c r="CT6426" s="531"/>
    </row>
    <row r="6427" spans="1:98">
      <c r="A6427" s="532"/>
      <c r="AR6427" s="2513"/>
      <c r="CT6427" s="531"/>
    </row>
    <row r="6428" spans="1:98">
      <c r="A6428" s="532"/>
      <c r="AR6428" s="2513"/>
      <c r="CT6428" s="531"/>
    </row>
    <row r="6429" spans="1:98">
      <c r="A6429" s="532"/>
      <c r="AR6429" s="2513"/>
      <c r="CT6429" s="531"/>
    </row>
    <row r="6430" spans="1:98">
      <c r="A6430" s="532"/>
      <c r="AR6430" s="2513"/>
      <c r="CT6430" s="531"/>
    </row>
    <row r="6431" spans="1:98">
      <c r="A6431" s="532"/>
      <c r="AR6431" s="2513"/>
      <c r="CT6431" s="531"/>
    </row>
    <row r="6432" spans="1:98">
      <c r="A6432" s="532"/>
      <c r="AR6432" s="2513"/>
      <c r="CT6432" s="531"/>
    </row>
    <row r="6433" spans="1:98">
      <c r="A6433" s="532"/>
      <c r="AR6433" s="2513"/>
      <c r="CT6433" s="531"/>
    </row>
    <row r="6434" spans="1:98">
      <c r="A6434" s="532"/>
      <c r="AR6434" s="2513"/>
      <c r="CT6434" s="531"/>
    </row>
    <row r="6435" spans="1:98">
      <c r="A6435" s="532"/>
      <c r="AR6435" s="2513"/>
      <c r="CT6435" s="531"/>
    </row>
    <row r="6436" spans="1:98">
      <c r="A6436" s="532"/>
      <c r="AR6436" s="2513"/>
      <c r="CT6436" s="531"/>
    </row>
    <row r="6437" spans="1:98">
      <c r="A6437" s="532"/>
      <c r="AR6437" s="2513"/>
      <c r="CT6437" s="531"/>
    </row>
    <row r="6438" spans="1:98">
      <c r="A6438" s="532"/>
      <c r="AR6438" s="2513"/>
      <c r="CT6438" s="531"/>
    </row>
    <row r="6439" spans="1:98">
      <c r="A6439" s="532"/>
      <c r="AR6439" s="2513"/>
      <c r="CT6439" s="531"/>
    </row>
    <row r="6440" spans="1:98">
      <c r="A6440" s="532"/>
      <c r="AR6440" s="2513"/>
      <c r="CT6440" s="531"/>
    </row>
    <row r="6441" spans="1:98">
      <c r="A6441" s="532"/>
      <c r="AR6441" s="2513"/>
      <c r="CT6441" s="531"/>
    </row>
    <row r="6442" spans="1:98">
      <c r="A6442" s="532"/>
      <c r="AR6442" s="2513"/>
      <c r="CT6442" s="531"/>
    </row>
    <row r="6443" spans="1:98">
      <c r="A6443" s="532"/>
      <c r="AR6443" s="2513"/>
      <c r="CT6443" s="531"/>
    </row>
    <row r="6444" spans="1:98">
      <c r="A6444" s="532"/>
      <c r="AR6444" s="2513"/>
      <c r="CT6444" s="531"/>
    </row>
    <row r="6445" spans="1:98">
      <c r="A6445" s="532"/>
      <c r="AR6445" s="2513"/>
      <c r="CT6445" s="531"/>
    </row>
    <row r="6446" spans="1:98">
      <c r="A6446" s="532"/>
      <c r="AR6446" s="2513"/>
      <c r="CT6446" s="531"/>
    </row>
    <row r="6447" spans="1:98">
      <c r="A6447" s="532"/>
      <c r="AR6447" s="2513"/>
      <c r="CT6447" s="531"/>
    </row>
    <row r="6448" spans="1:98">
      <c r="A6448" s="532"/>
      <c r="AR6448" s="2513"/>
      <c r="CT6448" s="531"/>
    </row>
    <row r="6449" spans="1:98">
      <c r="A6449" s="532"/>
      <c r="AR6449" s="2513"/>
      <c r="CT6449" s="531"/>
    </row>
    <row r="6450" spans="1:98">
      <c r="A6450" s="532"/>
      <c r="AR6450" s="2513"/>
      <c r="CT6450" s="531"/>
    </row>
    <row r="6451" spans="1:98">
      <c r="A6451" s="532"/>
      <c r="AR6451" s="2513"/>
      <c r="CT6451" s="531"/>
    </row>
    <row r="6452" spans="1:98">
      <c r="A6452" s="532"/>
      <c r="AR6452" s="2513"/>
      <c r="CT6452" s="531"/>
    </row>
    <row r="6453" spans="1:98">
      <c r="A6453" s="532"/>
      <c r="AR6453" s="2513"/>
      <c r="CT6453" s="531"/>
    </row>
    <row r="6454" spans="1:98">
      <c r="A6454" s="532"/>
      <c r="AR6454" s="2513"/>
      <c r="CT6454" s="531"/>
    </row>
    <row r="6455" spans="1:98">
      <c r="A6455" s="532"/>
      <c r="AR6455" s="2513"/>
      <c r="CT6455" s="531"/>
    </row>
    <row r="6456" spans="1:98">
      <c r="A6456" s="532"/>
      <c r="AR6456" s="2513"/>
      <c r="CT6456" s="531"/>
    </row>
    <row r="6457" spans="1:98">
      <c r="A6457" s="532"/>
      <c r="AR6457" s="2513"/>
      <c r="CT6457" s="531"/>
    </row>
    <row r="6458" spans="1:98">
      <c r="A6458" s="532"/>
      <c r="AR6458" s="2513"/>
      <c r="CT6458" s="531"/>
    </row>
    <row r="6459" spans="1:98">
      <c r="A6459" s="532"/>
      <c r="AR6459" s="2513"/>
      <c r="CT6459" s="531"/>
    </row>
    <row r="6460" spans="1:98">
      <c r="A6460" s="532"/>
      <c r="AR6460" s="2513"/>
      <c r="CT6460" s="531"/>
    </row>
    <row r="6461" spans="1:98">
      <c r="A6461" s="532"/>
      <c r="AR6461" s="2513"/>
      <c r="CT6461" s="531"/>
    </row>
    <row r="6462" spans="1:98">
      <c r="A6462" s="532"/>
      <c r="AR6462" s="2513"/>
      <c r="CT6462" s="531"/>
    </row>
    <row r="6463" spans="1:98">
      <c r="A6463" s="532"/>
      <c r="AR6463" s="2513"/>
      <c r="CT6463" s="531"/>
    </row>
    <row r="6464" spans="1:98">
      <c r="A6464" s="532"/>
      <c r="AR6464" s="2513"/>
      <c r="CT6464" s="531"/>
    </row>
    <row r="6465" spans="1:98">
      <c r="A6465" s="532"/>
      <c r="AR6465" s="2513"/>
      <c r="CT6465" s="531"/>
    </row>
    <row r="6466" spans="1:98">
      <c r="A6466" s="532"/>
      <c r="AR6466" s="2513"/>
      <c r="CT6466" s="531"/>
    </row>
    <row r="6467" spans="1:98">
      <c r="A6467" s="532"/>
      <c r="AR6467" s="2513"/>
      <c r="CT6467" s="531"/>
    </row>
    <row r="6468" spans="1:98">
      <c r="A6468" s="532"/>
      <c r="AR6468" s="2513"/>
      <c r="CT6468" s="531"/>
    </row>
    <row r="6469" spans="1:98">
      <c r="A6469" s="532"/>
      <c r="AR6469" s="2513"/>
      <c r="CT6469" s="531"/>
    </row>
    <row r="6470" spans="1:98">
      <c r="A6470" s="532"/>
      <c r="AR6470" s="2513"/>
      <c r="CT6470" s="531"/>
    </row>
    <row r="6471" spans="1:98">
      <c r="A6471" s="532"/>
      <c r="AR6471" s="2513"/>
      <c r="CT6471" s="531"/>
    </row>
    <row r="6472" spans="1:98">
      <c r="A6472" s="532"/>
      <c r="AR6472" s="2513"/>
      <c r="CT6472" s="531"/>
    </row>
    <row r="6473" spans="1:98">
      <c r="A6473" s="532"/>
      <c r="AR6473" s="2513"/>
      <c r="CT6473" s="531"/>
    </row>
    <row r="6474" spans="1:98">
      <c r="A6474" s="532"/>
      <c r="AR6474" s="2513"/>
      <c r="CT6474" s="531"/>
    </row>
    <row r="6475" spans="1:98">
      <c r="A6475" s="532"/>
      <c r="AR6475" s="2513"/>
      <c r="CT6475" s="531"/>
    </row>
    <row r="6476" spans="1:98">
      <c r="A6476" s="532"/>
      <c r="AR6476" s="2513"/>
      <c r="CT6476" s="531"/>
    </row>
    <row r="6477" spans="1:98">
      <c r="A6477" s="532"/>
      <c r="AR6477" s="2513"/>
      <c r="CT6477" s="531"/>
    </row>
    <row r="6478" spans="1:98">
      <c r="A6478" s="532"/>
      <c r="AR6478" s="2513"/>
      <c r="CT6478" s="531"/>
    </row>
    <row r="6479" spans="1:98">
      <c r="A6479" s="532"/>
      <c r="AR6479" s="2513"/>
      <c r="CT6479" s="531"/>
    </row>
    <row r="6480" spans="1:98">
      <c r="A6480" s="532"/>
      <c r="AR6480" s="2513"/>
      <c r="CT6480" s="531"/>
    </row>
    <row r="6481" spans="1:98">
      <c r="A6481" s="532"/>
      <c r="AR6481" s="2513"/>
      <c r="CT6481" s="531"/>
    </row>
    <row r="6482" spans="1:98">
      <c r="A6482" s="532"/>
      <c r="AR6482" s="2513"/>
      <c r="CT6482" s="531"/>
    </row>
    <row r="6483" spans="1:98">
      <c r="A6483" s="532"/>
      <c r="AR6483" s="2513"/>
      <c r="CT6483" s="531"/>
    </row>
    <row r="6484" spans="1:98">
      <c r="A6484" s="532"/>
      <c r="AR6484" s="2513"/>
      <c r="CT6484" s="531"/>
    </row>
    <row r="6485" spans="1:98">
      <c r="A6485" s="532"/>
      <c r="AR6485" s="2513"/>
      <c r="CT6485" s="531"/>
    </row>
    <row r="6486" spans="1:98">
      <c r="A6486" s="532"/>
      <c r="AR6486" s="2513"/>
      <c r="CT6486" s="531"/>
    </row>
    <row r="6487" spans="1:98">
      <c r="A6487" s="532"/>
      <c r="AR6487" s="2513"/>
      <c r="CT6487" s="531"/>
    </row>
    <row r="6488" spans="1:98">
      <c r="A6488" s="532"/>
      <c r="AR6488" s="2513"/>
      <c r="CT6488" s="531"/>
    </row>
    <row r="6489" spans="1:98">
      <c r="A6489" s="532"/>
      <c r="AR6489" s="2513"/>
      <c r="CT6489" s="531"/>
    </row>
    <row r="6490" spans="1:98">
      <c r="A6490" s="532"/>
      <c r="AR6490" s="2513"/>
      <c r="CT6490" s="531"/>
    </row>
    <row r="6491" spans="1:98">
      <c r="A6491" s="532"/>
      <c r="AR6491" s="2513"/>
      <c r="CT6491" s="531"/>
    </row>
    <row r="6492" spans="1:98">
      <c r="A6492" s="532"/>
      <c r="AR6492" s="2513"/>
      <c r="CT6492" s="531"/>
    </row>
    <row r="6493" spans="1:98">
      <c r="A6493" s="532"/>
      <c r="AR6493" s="2513"/>
      <c r="CT6493" s="531"/>
    </row>
    <row r="6494" spans="1:98">
      <c r="A6494" s="532"/>
      <c r="AR6494" s="2513"/>
      <c r="CT6494" s="531"/>
    </row>
    <row r="6495" spans="1:98">
      <c r="A6495" s="532"/>
      <c r="AR6495" s="2513"/>
      <c r="CT6495" s="531"/>
    </row>
    <row r="6496" spans="1:98">
      <c r="A6496" s="532"/>
      <c r="AR6496" s="2513"/>
      <c r="CT6496" s="531"/>
    </row>
    <row r="6497" spans="1:98">
      <c r="A6497" s="532"/>
      <c r="AR6497" s="2513"/>
      <c r="CT6497" s="531"/>
    </row>
    <row r="6498" spans="1:98">
      <c r="A6498" s="532"/>
      <c r="AR6498" s="2513"/>
      <c r="CT6498" s="531"/>
    </row>
    <row r="6499" spans="1:98">
      <c r="A6499" s="532"/>
      <c r="AR6499" s="2513"/>
      <c r="CT6499" s="531"/>
    </row>
    <row r="6500" spans="1:98">
      <c r="A6500" s="532"/>
      <c r="AR6500" s="2513"/>
      <c r="CT6500" s="531"/>
    </row>
    <row r="6501" spans="1:98">
      <c r="A6501" s="532"/>
      <c r="AR6501" s="2513"/>
      <c r="CT6501" s="531"/>
    </row>
    <row r="6502" spans="1:98">
      <c r="A6502" s="532"/>
      <c r="AR6502" s="2513"/>
      <c r="CT6502" s="531"/>
    </row>
    <row r="6503" spans="1:98">
      <c r="A6503" s="532"/>
      <c r="AR6503" s="2513"/>
      <c r="CT6503" s="531"/>
    </row>
    <row r="6504" spans="1:98">
      <c r="A6504" s="532"/>
      <c r="AR6504" s="2513"/>
      <c r="CT6504" s="531"/>
    </row>
    <row r="6505" spans="1:98">
      <c r="A6505" s="532"/>
      <c r="AR6505" s="2513"/>
      <c r="CT6505" s="531"/>
    </row>
    <row r="6506" spans="1:98">
      <c r="A6506" s="532"/>
      <c r="AR6506" s="2513"/>
      <c r="CT6506" s="531"/>
    </row>
    <row r="6507" spans="1:98">
      <c r="A6507" s="532"/>
      <c r="AR6507" s="2513"/>
      <c r="CT6507" s="531"/>
    </row>
    <row r="6508" spans="1:98">
      <c r="A6508" s="532"/>
      <c r="AR6508" s="2513"/>
      <c r="CT6508" s="531"/>
    </row>
    <row r="6509" spans="1:98">
      <c r="A6509" s="532"/>
      <c r="AR6509" s="2513"/>
      <c r="CT6509" s="531"/>
    </row>
    <row r="6510" spans="1:98">
      <c r="A6510" s="532"/>
      <c r="AR6510" s="2513"/>
      <c r="CT6510" s="531"/>
    </row>
    <row r="6511" spans="1:98">
      <c r="A6511" s="532"/>
      <c r="AR6511" s="2513"/>
      <c r="CT6511" s="531"/>
    </row>
    <row r="6512" spans="1:98">
      <c r="A6512" s="532"/>
      <c r="AR6512" s="2513"/>
      <c r="CT6512" s="531"/>
    </row>
    <row r="6513" spans="1:98">
      <c r="A6513" s="532"/>
      <c r="AR6513" s="2513"/>
      <c r="CT6513" s="531"/>
    </row>
    <row r="6514" spans="1:98">
      <c r="A6514" s="532"/>
      <c r="AR6514" s="2513"/>
      <c r="CT6514" s="531"/>
    </row>
    <row r="6515" spans="1:98">
      <c r="A6515" s="532"/>
      <c r="AR6515" s="2513"/>
      <c r="CT6515" s="531"/>
    </row>
    <row r="6516" spans="1:98">
      <c r="A6516" s="532"/>
      <c r="AR6516" s="2513"/>
      <c r="CT6516" s="531"/>
    </row>
    <row r="6517" spans="1:98">
      <c r="A6517" s="532"/>
      <c r="AR6517" s="2513"/>
      <c r="CT6517" s="531"/>
    </row>
    <row r="6518" spans="1:98">
      <c r="A6518" s="532"/>
      <c r="AR6518" s="2513"/>
      <c r="CT6518" s="531"/>
    </row>
    <row r="6519" spans="1:98">
      <c r="A6519" s="532"/>
      <c r="AR6519" s="2513"/>
      <c r="CT6519" s="531"/>
    </row>
    <row r="6520" spans="1:98">
      <c r="A6520" s="532"/>
      <c r="AR6520" s="2513"/>
      <c r="CT6520" s="531"/>
    </row>
    <row r="6521" spans="1:98">
      <c r="A6521" s="532"/>
      <c r="AR6521" s="2513"/>
      <c r="CT6521" s="531"/>
    </row>
    <row r="6522" spans="1:98">
      <c r="A6522" s="532"/>
      <c r="AR6522" s="2513"/>
      <c r="CT6522" s="531"/>
    </row>
    <row r="6523" spans="1:98">
      <c r="A6523" s="532"/>
      <c r="AR6523" s="2513"/>
      <c r="CT6523" s="531"/>
    </row>
    <row r="6524" spans="1:98">
      <c r="A6524" s="532"/>
      <c r="AR6524" s="2513"/>
      <c r="CT6524" s="531"/>
    </row>
    <row r="6525" spans="1:98">
      <c r="A6525" s="532"/>
      <c r="AR6525" s="2513"/>
      <c r="CT6525" s="531"/>
    </row>
    <row r="6526" spans="1:98">
      <c r="A6526" s="532"/>
      <c r="AR6526" s="2513"/>
      <c r="CT6526" s="531"/>
    </row>
    <row r="6527" spans="1:98">
      <c r="A6527" s="532"/>
      <c r="AR6527" s="2513"/>
      <c r="CT6527" s="531"/>
    </row>
    <row r="6528" spans="1:98">
      <c r="A6528" s="532"/>
      <c r="AR6528" s="2513"/>
      <c r="CT6528" s="531"/>
    </row>
    <row r="6529" spans="1:98">
      <c r="A6529" s="532"/>
      <c r="AR6529" s="2513"/>
      <c r="CT6529" s="531"/>
    </row>
    <row r="6530" spans="1:98">
      <c r="A6530" s="532"/>
      <c r="AR6530" s="2513"/>
      <c r="CT6530" s="531"/>
    </row>
    <row r="6531" spans="1:98">
      <c r="A6531" s="532"/>
      <c r="AR6531" s="2513"/>
      <c r="CT6531" s="531"/>
    </row>
    <row r="6532" spans="1:98">
      <c r="A6532" s="532"/>
      <c r="AR6532" s="2513"/>
      <c r="CT6532" s="531"/>
    </row>
    <row r="6533" spans="1:98">
      <c r="A6533" s="532"/>
      <c r="AR6533" s="2513"/>
      <c r="CT6533" s="531"/>
    </row>
    <row r="6534" spans="1:98">
      <c r="A6534" s="532"/>
      <c r="AR6534" s="2513"/>
      <c r="CT6534" s="531"/>
    </row>
    <row r="6535" spans="1:98">
      <c r="A6535" s="532"/>
      <c r="AR6535" s="2513"/>
      <c r="CT6535" s="531"/>
    </row>
    <row r="6536" spans="1:98">
      <c r="A6536" s="532"/>
      <c r="AR6536" s="2513"/>
      <c r="CT6536" s="531"/>
    </row>
    <row r="6537" spans="1:98">
      <c r="A6537" s="532"/>
      <c r="AR6537" s="2513"/>
      <c r="CT6537" s="531"/>
    </row>
    <row r="6538" spans="1:98">
      <c r="A6538" s="532"/>
      <c r="AR6538" s="2513"/>
      <c r="CT6538" s="531"/>
    </row>
    <row r="6539" spans="1:98">
      <c r="A6539" s="532"/>
      <c r="AR6539" s="2513"/>
      <c r="CT6539" s="531"/>
    </row>
    <row r="6540" spans="1:98">
      <c r="A6540" s="532"/>
      <c r="AR6540" s="2513"/>
      <c r="CT6540" s="531"/>
    </row>
    <row r="6541" spans="1:98">
      <c r="A6541" s="532"/>
      <c r="AR6541" s="2513"/>
      <c r="CT6541" s="531"/>
    </row>
    <row r="6542" spans="1:98">
      <c r="A6542" s="532"/>
      <c r="AR6542" s="2513"/>
      <c r="CT6542" s="531"/>
    </row>
    <row r="6543" spans="1:98">
      <c r="A6543" s="532"/>
      <c r="AR6543" s="2513"/>
      <c r="CT6543" s="531"/>
    </row>
    <row r="6544" spans="1:98">
      <c r="A6544" s="532"/>
      <c r="AR6544" s="2513"/>
      <c r="CT6544" s="531"/>
    </row>
    <row r="6545" spans="1:98">
      <c r="A6545" s="532"/>
      <c r="AR6545" s="2513"/>
      <c r="CT6545" s="531"/>
    </row>
    <row r="6546" spans="1:98">
      <c r="A6546" s="532"/>
      <c r="AR6546" s="2513"/>
      <c r="CT6546" s="531"/>
    </row>
    <row r="6547" spans="1:98">
      <c r="A6547" s="532"/>
      <c r="AR6547" s="2513"/>
      <c r="CT6547" s="531"/>
    </row>
    <row r="6548" spans="1:98">
      <c r="A6548" s="532"/>
      <c r="AR6548" s="2513"/>
      <c r="CT6548" s="531"/>
    </row>
    <row r="6549" spans="1:98">
      <c r="A6549" s="532"/>
      <c r="AR6549" s="2513"/>
      <c r="CT6549" s="531"/>
    </row>
    <row r="6550" spans="1:98">
      <c r="A6550" s="532"/>
      <c r="AR6550" s="2513"/>
      <c r="CT6550" s="531"/>
    </row>
    <row r="6551" spans="1:98">
      <c r="A6551" s="532"/>
      <c r="AR6551" s="2513"/>
      <c r="CT6551" s="531"/>
    </row>
    <row r="6552" spans="1:98">
      <c r="A6552" s="532"/>
      <c r="AR6552" s="2513"/>
      <c r="CT6552" s="531"/>
    </row>
    <row r="6553" spans="1:98">
      <c r="A6553" s="532"/>
      <c r="AR6553" s="2513"/>
      <c r="CT6553" s="531"/>
    </row>
    <row r="6554" spans="1:98">
      <c r="A6554" s="532"/>
      <c r="AR6554" s="2513"/>
      <c r="CT6554" s="531"/>
    </row>
    <row r="6555" spans="1:98">
      <c r="A6555" s="532"/>
      <c r="AR6555" s="2513"/>
      <c r="CT6555" s="531"/>
    </row>
    <row r="6556" spans="1:98">
      <c r="A6556" s="532"/>
      <c r="AR6556" s="2513"/>
      <c r="CT6556" s="531"/>
    </row>
    <row r="6557" spans="1:98">
      <c r="A6557" s="532"/>
      <c r="AR6557" s="2513"/>
      <c r="CT6557" s="531"/>
    </row>
    <row r="6558" spans="1:98">
      <c r="A6558" s="532"/>
      <c r="AR6558" s="2513"/>
      <c r="CT6558" s="531"/>
    </row>
    <row r="6559" spans="1:98">
      <c r="A6559" s="532"/>
      <c r="AR6559" s="2513"/>
      <c r="CT6559" s="531"/>
    </row>
    <row r="6560" spans="1:98">
      <c r="A6560" s="532"/>
      <c r="AR6560" s="2513"/>
      <c r="CT6560" s="531"/>
    </row>
    <row r="6561" spans="1:98">
      <c r="A6561" s="532"/>
      <c r="AR6561" s="2513"/>
      <c r="CT6561" s="531"/>
    </row>
    <row r="6562" spans="1:98">
      <c r="A6562" s="532"/>
      <c r="AR6562" s="2513"/>
      <c r="CT6562" s="531"/>
    </row>
    <row r="6563" spans="1:98">
      <c r="A6563" s="532"/>
      <c r="AR6563" s="2513"/>
      <c r="CT6563" s="531"/>
    </row>
    <row r="6564" spans="1:98">
      <c r="A6564" s="532"/>
      <c r="AR6564" s="2513"/>
      <c r="CT6564" s="531"/>
    </row>
    <row r="6565" spans="1:98">
      <c r="A6565" s="532"/>
      <c r="AR6565" s="2513"/>
      <c r="CT6565" s="531"/>
    </row>
    <row r="6566" spans="1:98">
      <c r="A6566" s="532"/>
      <c r="AR6566" s="2513"/>
      <c r="CT6566" s="531"/>
    </row>
    <row r="6567" spans="1:98">
      <c r="A6567" s="532"/>
      <c r="AR6567" s="2513"/>
      <c r="CT6567" s="531"/>
    </row>
    <row r="6568" spans="1:98">
      <c r="A6568" s="532"/>
      <c r="AR6568" s="2513"/>
      <c r="CT6568" s="531"/>
    </row>
    <row r="6569" spans="1:98">
      <c r="A6569" s="532"/>
      <c r="AR6569" s="2513"/>
      <c r="CT6569" s="531"/>
    </row>
    <row r="6570" spans="1:98">
      <c r="A6570" s="532"/>
      <c r="AR6570" s="2513"/>
      <c r="CT6570" s="531"/>
    </row>
    <row r="6571" spans="1:98">
      <c r="A6571" s="532"/>
      <c r="AR6571" s="2513"/>
      <c r="CT6571" s="531"/>
    </row>
    <row r="6572" spans="1:98">
      <c r="A6572" s="532"/>
      <c r="AR6572" s="2513"/>
      <c r="CT6572" s="531"/>
    </row>
    <row r="6573" spans="1:98">
      <c r="A6573" s="532"/>
      <c r="AR6573" s="2513"/>
      <c r="CT6573" s="531"/>
    </row>
    <row r="6574" spans="1:98">
      <c r="A6574" s="532"/>
      <c r="AR6574" s="2513"/>
      <c r="CT6574" s="531"/>
    </row>
    <row r="6575" spans="1:98">
      <c r="A6575" s="532"/>
      <c r="AR6575" s="2513"/>
      <c r="CT6575" s="531"/>
    </row>
    <row r="6576" spans="1:98">
      <c r="A6576" s="532"/>
      <c r="AR6576" s="2513"/>
      <c r="CT6576" s="531"/>
    </row>
    <row r="6577" spans="1:98">
      <c r="A6577" s="532"/>
      <c r="AR6577" s="2513"/>
      <c r="CT6577" s="531"/>
    </row>
    <row r="6578" spans="1:98">
      <c r="A6578" s="532"/>
      <c r="AR6578" s="2513"/>
      <c r="CT6578" s="531"/>
    </row>
    <row r="6579" spans="1:98">
      <c r="A6579" s="532"/>
      <c r="AR6579" s="2513"/>
      <c r="CT6579" s="531"/>
    </row>
    <row r="6580" spans="1:98">
      <c r="A6580" s="532"/>
      <c r="AR6580" s="2513"/>
      <c r="CT6580" s="531"/>
    </row>
    <row r="6581" spans="1:98">
      <c r="A6581" s="532"/>
      <c r="AR6581" s="2513"/>
      <c r="CT6581" s="531"/>
    </row>
    <row r="6582" spans="1:98">
      <c r="A6582" s="532"/>
      <c r="AR6582" s="2513"/>
      <c r="CT6582" s="531"/>
    </row>
    <row r="6583" spans="1:98">
      <c r="A6583" s="532"/>
      <c r="AR6583" s="2513"/>
      <c r="CT6583" s="531"/>
    </row>
    <row r="6584" spans="1:98">
      <c r="A6584" s="532"/>
      <c r="AR6584" s="2513"/>
      <c r="CT6584" s="531"/>
    </row>
    <row r="6585" spans="1:98">
      <c r="A6585" s="532"/>
      <c r="AR6585" s="2513"/>
      <c r="CT6585" s="531"/>
    </row>
    <row r="6586" spans="1:98">
      <c r="A6586" s="532"/>
      <c r="AR6586" s="2513"/>
      <c r="CT6586" s="531"/>
    </row>
    <row r="6587" spans="1:98">
      <c r="A6587" s="532"/>
      <c r="AR6587" s="2513"/>
      <c r="CT6587" s="531"/>
    </row>
    <row r="6588" spans="1:98">
      <c r="A6588" s="532"/>
      <c r="AR6588" s="2513"/>
      <c r="CT6588" s="531"/>
    </row>
    <row r="6589" spans="1:98">
      <c r="A6589" s="532"/>
      <c r="AR6589" s="2513"/>
      <c r="CT6589" s="531"/>
    </row>
    <row r="6590" spans="1:98">
      <c r="A6590" s="532"/>
      <c r="AR6590" s="2513"/>
      <c r="CT6590" s="531"/>
    </row>
    <row r="6591" spans="1:98">
      <c r="A6591" s="532"/>
      <c r="AR6591" s="2513"/>
      <c r="CT6591" s="531"/>
    </row>
    <row r="6592" spans="1:98">
      <c r="A6592" s="532"/>
      <c r="AR6592" s="2513"/>
      <c r="CT6592" s="531"/>
    </row>
    <row r="6593" spans="1:98">
      <c r="A6593" s="532"/>
      <c r="AR6593" s="2513"/>
      <c r="CT6593" s="531"/>
    </row>
    <row r="6594" spans="1:98">
      <c r="A6594" s="532"/>
      <c r="AR6594" s="2513"/>
      <c r="CT6594" s="531"/>
    </row>
    <row r="6595" spans="1:98">
      <c r="A6595" s="532"/>
      <c r="AR6595" s="2513"/>
      <c r="CT6595" s="531"/>
    </row>
    <row r="6596" spans="1:98">
      <c r="A6596" s="532"/>
      <c r="AR6596" s="2513"/>
      <c r="CT6596" s="531"/>
    </row>
    <row r="6597" spans="1:98">
      <c r="A6597" s="532"/>
      <c r="AR6597" s="2513"/>
      <c r="CT6597" s="531"/>
    </row>
    <row r="6598" spans="1:98">
      <c r="A6598" s="532"/>
      <c r="AR6598" s="2513"/>
      <c r="CT6598" s="531"/>
    </row>
    <row r="6599" spans="1:98">
      <c r="A6599" s="532"/>
      <c r="AR6599" s="2513"/>
      <c r="CT6599" s="531"/>
    </row>
    <row r="6600" spans="1:98">
      <c r="A6600" s="532"/>
      <c r="AR6600" s="2513"/>
      <c r="CT6600" s="531"/>
    </row>
    <row r="6601" spans="1:98">
      <c r="A6601" s="532"/>
      <c r="AR6601" s="2513"/>
      <c r="CT6601" s="531"/>
    </row>
    <row r="6602" spans="1:98">
      <c r="A6602" s="532"/>
      <c r="AR6602" s="2513"/>
      <c r="CT6602" s="531"/>
    </row>
    <row r="6603" spans="1:98">
      <c r="A6603" s="532"/>
      <c r="AR6603" s="2513"/>
      <c r="CT6603" s="531"/>
    </row>
    <row r="6604" spans="1:98">
      <c r="A6604" s="532"/>
      <c r="AR6604" s="2513"/>
      <c r="CT6604" s="531"/>
    </row>
    <row r="6605" spans="1:98">
      <c r="A6605" s="532"/>
      <c r="AR6605" s="2513"/>
      <c r="CT6605" s="531"/>
    </row>
    <row r="6606" spans="1:98">
      <c r="A6606" s="532"/>
      <c r="AR6606" s="2513"/>
      <c r="CT6606" s="531"/>
    </row>
    <row r="6607" spans="1:98">
      <c r="A6607" s="532"/>
      <c r="AR6607" s="2513"/>
      <c r="CT6607" s="531"/>
    </row>
    <row r="6608" spans="1:98">
      <c r="A6608" s="532"/>
      <c r="AR6608" s="2513"/>
      <c r="CT6608" s="531"/>
    </row>
    <row r="6609" spans="1:98">
      <c r="A6609" s="532"/>
      <c r="AR6609" s="2513"/>
      <c r="CT6609" s="531"/>
    </row>
    <row r="6610" spans="1:98">
      <c r="A6610" s="532"/>
      <c r="AR6610" s="2513"/>
      <c r="CT6610" s="531"/>
    </row>
    <row r="6611" spans="1:98">
      <c r="A6611" s="532"/>
      <c r="AR6611" s="2513"/>
      <c r="CT6611" s="531"/>
    </row>
    <row r="6612" spans="1:98">
      <c r="A6612" s="532"/>
      <c r="AR6612" s="2513"/>
      <c r="CT6612" s="531"/>
    </row>
    <row r="6613" spans="1:98">
      <c r="A6613" s="532"/>
      <c r="AR6613" s="2513"/>
      <c r="CT6613" s="531"/>
    </row>
    <row r="6614" spans="1:98">
      <c r="A6614" s="532"/>
      <c r="AR6614" s="2513"/>
      <c r="CT6614" s="531"/>
    </row>
    <row r="6615" spans="1:98">
      <c r="A6615" s="532"/>
      <c r="AR6615" s="2513"/>
      <c r="CT6615" s="531"/>
    </row>
    <row r="6616" spans="1:98">
      <c r="A6616" s="532"/>
      <c r="AR6616" s="2513"/>
      <c r="CT6616" s="531"/>
    </row>
    <row r="6617" spans="1:98">
      <c r="A6617" s="532"/>
      <c r="AR6617" s="2513"/>
      <c r="CT6617" s="531"/>
    </row>
    <row r="6618" spans="1:98">
      <c r="A6618" s="532"/>
      <c r="AR6618" s="2513"/>
      <c r="CT6618" s="531"/>
    </row>
    <row r="6619" spans="1:98">
      <c r="A6619" s="532"/>
      <c r="AR6619" s="2513"/>
      <c r="CT6619" s="531"/>
    </row>
    <row r="6620" spans="1:98">
      <c r="A6620" s="532"/>
      <c r="AR6620" s="2513"/>
      <c r="CT6620" s="531"/>
    </row>
    <row r="6621" spans="1:98">
      <c r="A6621" s="532"/>
      <c r="AR6621" s="2513"/>
      <c r="CT6621" s="531"/>
    </row>
    <row r="6622" spans="1:98">
      <c r="A6622" s="532"/>
      <c r="AR6622" s="2513"/>
      <c r="CT6622" s="531"/>
    </row>
    <row r="6623" spans="1:98">
      <c r="A6623" s="532"/>
      <c r="AR6623" s="2513"/>
      <c r="CT6623" s="531"/>
    </row>
    <row r="6624" spans="1:98">
      <c r="A6624" s="532"/>
      <c r="AR6624" s="2513"/>
      <c r="CT6624" s="531"/>
    </row>
    <row r="6625" spans="1:98">
      <c r="A6625" s="532"/>
      <c r="AR6625" s="2513"/>
      <c r="CT6625" s="531"/>
    </row>
    <row r="6626" spans="1:98">
      <c r="A6626" s="532"/>
      <c r="AR6626" s="2513"/>
      <c r="CT6626" s="531"/>
    </row>
    <row r="6627" spans="1:98">
      <c r="A6627" s="532"/>
      <c r="AR6627" s="2513"/>
      <c r="CT6627" s="531"/>
    </row>
    <row r="6628" spans="1:98">
      <c r="A6628" s="532"/>
      <c r="AR6628" s="2513"/>
      <c r="CT6628" s="531"/>
    </row>
    <row r="6629" spans="1:98">
      <c r="A6629" s="532"/>
      <c r="AR6629" s="2513"/>
      <c r="CT6629" s="531"/>
    </row>
    <row r="6630" spans="1:98">
      <c r="A6630" s="532"/>
      <c r="AR6630" s="2513"/>
      <c r="CT6630" s="531"/>
    </row>
    <row r="6631" spans="1:98">
      <c r="A6631" s="532"/>
      <c r="AR6631" s="2513"/>
      <c r="CT6631" s="531"/>
    </row>
    <row r="6632" spans="1:98">
      <c r="A6632" s="532"/>
      <c r="AR6632" s="2513"/>
      <c r="CT6632" s="531"/>
    </row>
    <row r="6633" spans="1:98">
      <c r="A6633" s="532"/>
      <c r="AR6633" s="2513"/>
      <c r="CT6633" s="531"/>
    </row>
    <row r="6634" spans="1:98">
      <c r="A6634" s="532"/>
      <c r="AR6634" s="2513"/>
      <c r="CT6634" s="531"/>
    </row>
    <row r="6635" spans="1:98">
      <c r="A6635" s="532"/>
      <c r="AR6635" s="2513"/>
      <c r="CT6635" s="531"/>
    </row>
    <row r="6636" spans="1:98">
      <c r="A6636" s="532"/>
      <c r="AR6636" s="2513"/>
      <c r="CT6636" s="531"/>
    </row>
    <row r="6637" spans="1:98">
      <c r="A6637" s="532"/>
      <c r="AR6637" s="2513"/>
      <c r="CT6637" s="531"/>
    </row>
    <row r="6638" spans="1:98">
      <c r="A6638" s="532"/>
      <c r="AR6638" s="2513"/>
      <c r="CT6638" s="531"/>
    </row>
    <row r="6639" spans="1:98">
      <c r="A6639" s="532"/>
      <c r="AR6639" s="2513"/>
      <c r="CT6639" s="531"/>
    </row>
    <row r="6640" spans="1:98">
      <c r="A6640" s="532"/>
      <c r="AR6640" s="2513"/>
      <c r="CT6640" s="531"/>
    </row>
    <row r="6641" spans="1:98">
      <c r="A6641" s="532"/>
      <c r="AR6641" s="2513"/>
      <c r="CT6641" s="531"/>
    </row>
    <row r="6642" spans="1:98">
      <c r="A6642" s="532"/>
      <c r="AR6642" s="2513"/>
      <c r="CT6642" s="531"/>
    </row>
    <row r="6643" spans="1:98">
      <c r="A6643" s="532"/>
      <c r="AR6643" s="2513"/>
      <c r="CT6643" s="531"/>
    </row>
    <row r="6644" spans="1:98">
      <c r="A6644" s="532"/>
      <c r="AR6644" s="2513"/>
      <c r="CT6644" s="531"/>
    </row>
    <row r="6645" spans="1:98">
      <c r="A6645" s="532"/>
      <c r="AR6645" s="2513"/>
      <c r="CT6645" s="531"/>
    </row>
    <row r="6646" spans="1:98">
      <c r="A6646" s="532"/>
      <c r="AR6646" s="2513"/>
      <c r="CT6646" s="531"/>
    </row>
    <row r="6647" spans="1:98">
      <c r="A6647" s="532"/>
      <c r="AR6647" s="2513"/>
      <c r="CT6647" s="531"/>
    </row>
    <row r="6648" spans="1:98">
      <c r="A6648" s="532"/>
      <c r="AR6648" s="2513"/>
      <c r="CT6648" s="531"/>
    </row>
    <row r="6649" spans="1:98">
      <c r="A6649" s="532"/>
      <c r="AR6649" s="2513"/>
      <c r="CT6649" s="531"/>
    </row>
    <row r="6650" spans="1:98">
      <c r="A6650" s="532"/>
      <c r="AR6650" s="2513"/>
      <c r="CT6650" s="531"/>
    </row>
    <row r="6651" spans="1:98">
      <c r="A6651" s="532"/>
      <c r="AR6651" s="2513"/>
      <c r="CT6651" s="531"/>
    </row>
    <row r="6652" spans="1:98">
      <c r="A6652" s="532"/>
      <c r="AR6652" s="2513"/>
      <c r="CT6652" s="531"/>
    </row>
    <row r="6653" spans="1:98">
      <c r="A6653" s="532"/>
      <c r="AR6653" s="2513"/>
      <c r="CT6653" s="531"/>
    </row>
    <row r="6654" spans="1:98">
      <c r="A6654" s="532"/>
      <c r="AR6654" s="2513"/>
      <c r="CT6654" s="531"/>
    </row>
    <row r="6655" spans="1:98">
      <c r="A6655" s="532"/>
      <c r="AR6655" s="2513"/>
      <c r="CT6655" s="531"/>
    </row>
    <row r="6656" spans="1:98">
      <c r="A6656" s="532"/>
      <c r="AR6656" s="2513"/>
      <c r="CT6656" s="531"/>
    </row>
    <row r="6657" spans="1:98">
      <c r="A6657" s="532"/>
      <c r="AR6657" s="2513"/>
      <c r="CT6657" s="531"/>
    </row>
    <row r="6658" spans="1:98">
      <c r="A6658" s="532"/>
      <c r="AR6658" s="2513"/>
      <c r="CT6658" s="531"/>
    </row>
    <row r="6659" spans="1:98">
      <c r="A6659" s="532"/>
      <c r="AR6659" s="2513"/>
      <c r="CT6659" s="531"/>
    </row>
    <row r="6660" spans="1:98">
      <c r="A6660" s="532"/>
      <c r="AR6660" s="2513"/>
      <c r="CT6660" s="531"/>
    </row>
    <row r="6661" spans="1:98">
      <c r="A6661" s="532"/>
      <c r="AR6661" s="2513"/>
      <c r="CT6661" s="531"/>
    </row>
    <row r="6662" spans="1:98">
      <c r="A6662" s="532"/>
      <c r="AR6662" s="2513"/>
      <c r="CT6662" s="531"/>
    </row>
    <row r="6663" spans="1:98">
      <c r="A6663" s="532"/>
      <c r="AR6663" s="2513"/>
      <c r="CT6663" s="531"/>
    </row>
    <row r="6664" spans="1:98">
      <c r="A6664" s="532"/>
      <c r="AR6664" s="2513"/>
      <c r="CT6664" s="531"/>
    </row>
    <row r="6665" spans="1:98">
      <c r="A6665" s="532"/>
      <c r="AR6665" s="2513"/>
      <c r="CT6665" s="531"/>
    </row>
    <row r="6666" spans="1:98">
      <c r="A6666" s="532"/>
      <c r="AR6666" s="2513"/>
      <c r="CT6666" s="531"/>
    </row>
    <row r="6667" spans="1:98">
      <c r="A6667" s="532"/>
      <c r="AR6667" s="2513"/>
      <c r="CT6667" s="531"/>
    </row>
    <row r="6668" spans="1:98">
      <c r="A6668" s="532"/>
      <c r="AR6668" s="2513"/>
      <c r="CT6668" s="531"/>
    </row>
    <row r="6669" spans="1:98">
      <c r="A6669" s="532"/>
      <c r="AR6669" s="2513"/>
      <c r="CT6669" s="531"/>
    </row>
    <row r="6670" spans="1:98">
      <c r="A6670" s="532"/>
      <c r="AR6670" s="2513"/>
      <c r="CT6670" s="531"/>
    </row>
    <row r="6671" spans="1:98">
      <c r="A6671" s="532"/>
      <c r="AR6671" s="2513"/>
      <c r="CT6671" s="531"/>
    </row>
    <row r="6672" spans="1:98">
      <c r="A6672" s="532"/>
      <c r="AR6672" s="2513"/>
      <c r="CT6672" s="531"/>
    </row>
    <row r="6673" spans="1:98">
      <c r="A6673" s="532"/>
      <c r="AR6673" s="2513"/>
      <c r="CT6673" s="531"/>
    </row>
    <row r="6674" spans="1:98">
      <c r="A6674" s="532"/>
      <c r="AR6674" s="2513"/>
      <c r="CT6674" s="531"/>
    </row>
    <row r="6675" spans="1:98">
      <c r="A6675" s="532"/>
      <c r="AR6675" s="2513"/>
      <c r="CT6675" s="531"/>
    </row>
    <row r="6676" spans="1:98">
      <c r="A6676" s="532"/>
      <c r="AR6676" s="2513"/>
      <c r="CT6676" s="531"/>
    </row>
    <row r="6677" spans="1:98">
      <c r="A6677" s="532"/>
      <c r="AR6677" s="2513"/>
      <c r="CT6677" s="531"/>
    </row>
    <row r="6678" spans="1:98">
      <c r="A6678" s="532"/>
      <c r="AR6678" s="2513"/>
      <c r="CT6678" s="531"/>
    </row>
    <row r="6679" spans="1:98">
      <c r="A6679" s="532"/>
      <c r="AR6679" s="2513"/>
      <c r="CT6679" s="531"/>
    </row>
    <row r="6680" spans="1:98">
      <c r="A6680" s="532"/>
      <c r="AR6680" s="2513"/>
      <c r="CT6680" s="531"/>
    </row>
    <row r="6681" spans="1:98">
      <c r="A6681" s="532"/>
      <c r="AR6681" s="2513"/>
      <c r="CT6681" s="531"/>
    </row>
    <row r="6682" spans="1:98">
      <c r="A6682" s="532"/>
      <c r="AR6682" s="2513"/>
      <c r="CT6682" s="531"/>
    </row>
    <row r="6683" spans="1:98">
      <c r="A6683" s="532"/>
      <c r="AR6683" s="2513"/>
      <c r="CT6683" s="531"/>
    </row>
    <row r="6684" spans="1:98">
      <c r="A6684" s="532"/>
      <c r="AR6684" s="2513"/>
      <c r="CT6684" s="531"/>
    </row>
    <row r="6685" spans="1:98">
      <c r="A6685" s="532"/>
      <c r="AR6685" s="2513"/>
      <c r="CT6685" s="531"/>
    </row>
    <row r="6686" spans="1:98">
      <c r="A6686" s="532"/>
      <c r="AR6686" s="2513"/>
      <c r="CT6686" s="531"/>
    </row>
    <row r="6687" spans="1:98">
      <c r="A6687" s="532"/>
      <c r="AR6687" s="2513"/>
      <c r="CT6687" s="531"/>
    </row>
    <row r="6688" spans="1:98">
      <c r="A6688" s="532"/>
      <c r="AR6688" s="2513"/>
      <c r="CT6688" s="531"/>
    </row>
    <row r="6689" spans="1:98">
      <c r="A6689" s="532"/>
      <c r="AR6689" s="2513"/>
      <c r="CT6689" s="531"/>
    </row>
    <row r="6690" spans="1:98">
      <c r="A6690" s="532"/>
      <c r="AR6690" s="2513"/>
      <c r="CT6690" s="531"/>
    </row>
    <row r="6691" spans="1:98">
      <c r="A6691" s="532"/>
      <c r="AR6691" s="2513"/>
      <c r="CT6691" s="531"/>
    </row>
    <row r="6692" spans="1:98">
      <c r="A6692" s="532"/>
      <c r="AR6692" s="2513"/>
      <c r="CT6692" s="531"/>
    </row>
    <row r="6693" spans="1:98">
      <c r="A6693" s="532"/>
      <c r="AR6693" s="2513"/>
      <c r="CT6693" s="531"/>
    </row>
    <row r="6694" spans="1:98">
      <c r="A6694" s="532"/>
      <c r="AR6694" s="2513"/>
      <c r="CT6694" s="531"/>
    </row>
    <row r="6695" spans="1:98">
      <c r="A6695" s="532"/>
      <c r="AR6695" s="2513"/>
      <c r="CT6695" s="531"/>
    </row>
    <row r="6696" spans="1:98">
      <c r="A6696" s="532"/>
      <c r="AR6696" s="2513"/>
      <c r="CT6696" s="531"/>
    </row>
    <row r="6697" spans="1:98">
      <c r="A6697" s="532"/>
      <c r="AR6697" s="2513"/>
      <c r="CT6697" s="531"/>
    </row>
    <row r="6698" spans="1:98">
      <c r="A6698" s="532"/>
      <c r="AR6698" s="2513"/>
      <c r="CT6698" s="531"/>
    </row>
    <row r="6699" spans="1:98">
      <c r="A6699" s="532"/>
      <c r="AR6699" s="2513"/>
      <c r="CT6699" s="531"/>
    </row>
    <row r="6700" spans="1:98">
      <c r="A6700" s="532"/>
      <c r="AR6700" s="2513"/>
      <c r="CT6700" s="531"/>
    </row>
    <row r="6701" spans="1:98">
      <c r="A6701" s="532"/>
      <c r="AR6701" s="2513"/>
      <c r="CT6701" s="531"/>
    </row>
    <row r="6702" spans="1:98">
      <c r="A6702" s="532"/>
      <c r="AR6702" s="2513"/>
      <c r="CT6702" s="531"/>
    </row>
    <row r="6703" spans="1:98">
      <c r="A6703" s="532"/>
      <c r="AR6703" s="2513"/>
      <c r="CT6703" s="531"/>
    </row>
    <row r="6704" spans="1:98">
      <c r="A6704" s="532"/>
      <c r="AR6704" s="2513"/>
      <c r="CT6704" s="531"/>
    </row>
    <row r="6705" spans="1:98">
      <c r="A6705" s="532"/>
      <c r="AR6705" s="2513"/>
      <c r="CT6705" s="531"/>
    </row>
    <row r="6706" spans="1:98">
      <c r="A6706" s="532"/>
      <c r="AR6706" s="2513"/>
      <c r="CT6706" s="531"/>
    </row>
    <row r="6707" spans="1:98">
      <c r="A6707" s="532"/>
      <c r="AR6707" s="2513"/>
      <c r="CT6707" s="531"/>
    </row>
    <row r="6708" spans="1:98">
      <c r="A6708" s="532"/>
      <c r="AR6708" s="2513"/>
      <c r="CT6708" s="531"/>
    </row>
    <row r="6709" spans="1:98">
      <c r="A6709" s="532"/>
      <c r="AR6709" s="2513"/>
      <c r="CT6709" s="531"/>
    </row>
    <row r="6710" spans="1:98">
      <c r="A6710" s="532"/>
      <c r="AR6710" s="2513"/>
      <c r="CT6710" s="531"/>
    </row>
    <row r="6711" spans="1:98">
      <c r="A6711" s="532"/>
      <c r="AR6711" s="2513"/>
      <c r="CT6711" s="531"/>
    </row>
    <row r="6712" spans="1:98">
      <c r="A6712" s="532"/>
      <c r="AR6712" s="2513"/>
      <c r="CT6712" s="531"/>
    </row>
    <row r="6713" spans="1:98">
      <c r="A6713" s="532"/>
      <c r="AR6713" s="2513"/>
      <c r="CT6713" s="531"/>
    </row>
    <row r="6714" spans="1:98">
      <c r="A6714" s="532"/>
      <c r="AR6714" s="2513"/>
      <c r="CT6714" s="531"/>
    </row>
    <row r="6715" spans="1:98">
      <c r="A6715" s="532"/>
      <c r="AR6715" s="2513"/>
      <c r="CT6715" s="531"/>
    </row>
    <row r="6716" spans="1:98">
      <c r="A6716" s="532"/>
      <c r="AR6716" s="2513"/>
      <c r="CT6716" s="531"/>
    </row>
    <row r="6717" spans="1:98">
      <c r="A6717" s="532"/>
      <c r="AR6717" s="2513"/>
      <c r="CT6717" s="531"/>
    </row>
    <row r="6718" spans="1:98">
      <c r="A6718" s="532"/>
      <c r="AR6718" s="2513"/>
      <c r="CT6718" s="531"/>
    </row>
    <row r="6719" spans="1:98">
      <c r="A6719" s="532"/>
      <c r="AR6719" s="2513"/>
      <c r="CT6719" s="531"/>
    </row>
    <row r="6720" spans="1:98">
      <c r="A6720" s="532"/>
      <c r="AR6720" s="2513"/>
      <c r="CT6720" s="531"/>
    </row>
    <row r="6721" spans="1:98">
      <c r="A6721" s="532"/>
      <c r="AR6721" s="2513"/>
      <c r="CT6721" s="531"/>
    </row>
    <row r="6722" spans="1:98">
      <c r="A6722" s="532"/>
      <c r="AR6722" s="2513"/>
      <c r="CT6722" s="531"/>
    </row>
    <row r="6723" spans="1:98">
      <c r="A6723" s="532"/>
      <c r="AR6723" s="2513"/>
      <c r="CT6723" s="531"/>
    </row>
    <row r="6724" spans="1:98">
      <c r="A6724" s="532"/>
      <c r="AR6724" s="2513"/>
      <c r="CT6724" s="531"/>
    </row>
    <row r="6725" spans="1:98">
      <c r="A6725" s="532"/>
      <c r="AR6725" s="2513"/>
      <c r="CT6725" s="531"/>
    </row>
    <row r="6726" spans="1:98">
      <c r="A6726" s="532"/>
      <c r="AR6726" s="2513"/>
      <c r="CT6726" s="531"/>
    </row>
    <row r="6727" spans="1:98">
      <c r="A6727" s="532"/>
      <c r="AR6727" s="2513"/>
      <c r="CT6727" s="531"/>
    </row>
    <row r="6728" spans="1:98">
      <c r="A6728" s="532"/>
      <c r="AR6728" s="2513"/>
      <c r="CT6728" s="531"/>
    </row>
    <row r="6729" spans="1:98">
      <c r="A6729" s="532"/>
      <c r="AR6729" s="2513"/>
      <c r="CT6729" s="531"/>
    </row>
    <row r="6730" spans="1:98">
      <c r="A6730" s="532"/>
      <c r="AR6730" s="2513"/>
      <c r="CT6730" s="531"/>
    </row>
    <row r="6731" spans="1:98">
      <c r="A6731" s="532"/>
      <c r="AR6731" s="2513"/>
      <c r="CT6731" s="531"/>
    </row>
    <row r="6732" spans="1:98">
      <c r="A6732" s="532"/>
      <c r="AR6732" s="2513"/>
      <c r="CT6732" s="531"/>
    </row>
    <row r="6733" spans="1:98">
      <c r="A6733" s="532"/>
      <c r="AR6733" s="2513"/>
      <c r="CT6733" s="531"/>
    </row>
    <row r="6734" spans="1:98">
      <c r="A6734" s="532"/>
      <c r="AR6734" s="2513"/>
      <c r="CT6734" s="531"/>
    </row>
    <row r="6735" spans="1:98">
      <c r="A6735" s="532"/>
      <c r="AR6735" s="2513"/>
      <c r="CT6735" s="531"/>
    </row>
    <row r="6736" spans="1:98">
      <c r="A6736" s="532"/>
      <c r="AR6736" s="2513"/>
      <c r="CT6736" s="531"/>
    </row>
    <row r="6737" spans="1:98">
      <c r="A6737" s="532"/>
      <c r="AR6737" s="2513"/>
      <c r="CT6737" s="531"/>
    </row>
    <row r="6738" spans="1:98">
      <c r="A6738" s="532"/>
      <c r="AR6738" s="2513"/>
      <c r="CT6738" s="531"/>
    </row>
    <row r="6739" spans="1:98">
      <c r="A6739" s="532"/>
      <c r="AR6739" s="2513"/>
      <c r="CT6739" s="531"/>
    </row>
    <row r="6740" spans="1:98">
      <c r="A6740" s="532"/>
      <c r="AR6740" s="2513"/>
      <c r="CT6740" s="531"/>
    </row>
    <row r="6741" spans="1:98">
      <c r="A6741" s="532"/>
      <c r="AR6741" s="2513"/>
      <c r="CT6741" s="531"/>
    </row>
    <row r="6742" spans="1:98">
      <c r="A6742" s="532"/>
      <c r="AR6742" s="2513"/>
      <c r="CT6742" s="531"/>
    </row>
    <row r="6743" spans="1:98">
      <c r="A6743" s="532"/>
      <c r="AR6743" s="2513"/>
      <c r="CT6743" s="531"/>
    </row>
    <row r="6744" spans="1:98">
      <c r="A6744" s="532"/>
      <c r="AR6744" s="2513"/>
      <c r="CT6744" s="531"/>
    </row>
    <row r="6745" spans="1:98">
      <c r="A6745" s="532"/>
      <c r="AR6745" s="2513"/>
      <c r="CT6745" s="531"/>
    </row>
    <row r="6746" spans="1:98">
      <c r="A6746" s="532"/>
      <c r="AR6746" s="2513"/>
      <c r="CT6746" s="531"/>
    </row>
    <row r="6747" spans="1:98">
      <c r="A6747" s="532"/>
      <c r="AR6747" s="2513"/>
      <c r="CT6747" s="531"/>
    </row>
    <row r="6748" spans="1:98">
      <c r="A6748" s="532"/>
      <c r="AR6748" s="2513"/>
      <c r="CT6748" s="531"/>
    </row>
    <row r="6749" spans="1:98">
      <c r="A6749" s="532"/>
      <c r="AR6749" s="2513"/>
      <c r="CT6749" s="531"/>
    </row>
    <row r="6750" spans="1:98">
      <c r="A6750" s="532"/>
      <c r="AR6750" s="2513"/>
      <c r="CT6750" s="531"/>
    </row>
    <row r="6751" spans="1:98">
      <c r="A6751" s="532"/>
      <c r="AR6751" s="2513"/>
      <c r="CT6751" s="531"/>
    </row>
    <row r="6752" spans="1:98">
      <c r="A6752" s="532"/>
      <c r="AR6752" s="2513"/>
      <c r="CT6752" s="531"/>
    </row>
    <row r="6753" spans="1:98">
      <c r="A6753" s="532"/>
      <c r="AR6753" s="2513"/>
      <c r="CT6753" s="531"/>
    </row>
    <row r="6754" spans="1:98">
      <c r="A6754" s="532"/>
      <c r="AR6754" s="2513"/>
      <c r="CT6754" s="531"/>
    </row>
    <row r="6755" spans="1:98">
      <c r="A6755" s="532"/>
      <c r="AR6755" s="2513"/>
      <c r="CT6755" s="531"/>
    </row>
    <row r="6756" spans="1:98">
      <c r="A6756" s="532"/>
      <c r="AR6756" s="2513"/>
      <c r="CT6756" s="531"/>
    </row>
    <row r="6757" spans="1:98">
      <c r="A6757" s="532"/>
      <c r="AR6757" s="2513"/>
      <c r="CT6757" s="531"/>
    </row>
    <row r="6758" spans="1:98">
      <c r="A6758" s="532"/>
      <c r="AR6758" s="2513"/>
      <c r="CT6758" s="531"/>
    </row>
    <row r="6759" spans="1:98">
      <c r="A6759" s="532"/>
      <c r="AR6759" s="2513"/>
      <c r="CT6759" s="531"/>
    </row>
    <row r="6760" spans="1:98">
      <c r="A6760" s="532"/>
      <c r="AR6760" s="2513"/>
      <c r="CT6760" s="531"/>
    </row>
    <row r="6761" spans="1:98">
      <c r="A6761" s="532"/>
      <c r="AR6761" s="2513"/>
      <c r="CT6761" s="531"/>
    </row>
    <row r="6762" spans="1:98">
      <c r="A6762" s="532"/>
      <c r="AR6762" s="2513"/>
      <c r="CT6762" s="531"/>
    </row>
    <row r="6763" spans="1:98">
      <c r="A6763" s="532"/>
      <c r="AR6763" s="2513"/>
      <c r="CT6763" s="531"/>
    </row>
    <row r="6764" spans="1:98">
      <c r="A6764" s="532"/>
      <c r="AR6764" s="2513"/>
      <c r="CT6764" s="531"/>
    </row>
    <row r="6765" spans="1:98">
      <c r="A6765" s="532"/>
      <c r="AR6765" s="2513"/>
      <c r="CT6765" s="531"/>
    </row>
    <row r="6766" spans="1:98">
      <c r="A6766" s="532"/>
      <c r="AR6766" s="2513"/>
      <c r="CT6766" s="531"/>
    </row>
    <row r="6767" spans="1:98">
      <c r="A6767" s="532"/>
      <c r="AR6767" s="2513"/>
      <c r="CT6767" s="531"/>
    </row>
    <row r="6768" spans="1:98">
      <c r="A6768" s="532"/>
      <c r="AR6768" s="2513"/>
      <c r="CT6768" s="531"/>
    </row>
    <row r="6769" spans="1:98">
      <c r="A6769" s="532"/>
      <c r="AR6769" s="2513"/>
      <c r="CT6769" s="531"/>
    </row>
    <row r="6770" spans="1:98">
      <c r="A6770" s="532"/>
      <c r="AR6770" s="2513"/>
      <c r="CT6770" s="531"/>
    </row>
    <row r="6771" spans="1:98">
      <c r="A6771" s="532"/>
      <c r="AR6771" s="2513"/>
      <c r="CT6771" s="531"/>
    </row>
    <row r="6772" spans="1:98">
      <c r="A6772" s="532"/>
      <c r="AR6772" s="2513"/>
      <c r="CT6772" s="531"/>
    </row>
    <row r="6773" spans="1:98">
      <c r="A6773" s="532"/>
      <c r="AR6773" s="2513"/>
      <c r="CT6773" s="531"/>
    </row>
    <row r="6774" spans="1:98">
      <c r="A6774" s="532"/>
      <c r="AR6774" s="2513"/>
      <c r="CT6774" s="531"/>
    </row>
    <row r="6775" spans="1:98">
      <c r="A6775" s="532"/>
      <c r="AR6775" s="2513"/>
      <c r="CT6775" s="531"/>
    </row>
    <row r="6776" spans="1:98">
      <c r="A6776" s="532"/>
      <c r="AR6776" s="2513"/>
      <c r="CT6776" s="531"/>
    </row>
    <row r="6777" spans="1:98">
      <c r="A6777" s="532"/>
      <c r="AR6777" s="2513"/>
      <c r="CT6777" s="531"/>
    </row>
    <row r="6778" spans="1:98">
      <c r="A6778" s="532"/>
      <c r="AR6778" s="2513"/>
      <c r="CT6778" s="531"/>
    </row>
    <row r="6779" spans="1:98">
      <c r="A6779" s="532"/>
      <c r="AR6779" s="2513"/>
      <c r="CT6779" s="531"/>
    </row>
    <row r="6780" spans="1:98">
      <c r="A6780" s="532"/>
      <c r="AR6780" s="2513"/>
      <c r="CT6780" s="531"/>
    </row>
    <row r="6781" spans="1:98">
      <c r="A6781" s="532"/>
      <c r="AR6781" s="2513"/>
      <c r="CT6781" s="531"/>
    </row>
    <row r="6782" spans="1:98">
      <c r="A6782" s="532"/>
      <c r="AR6782" s="2513"/>
      <c r="CT6782" s="531"/>
    </row>
    <row r="6783" spans="1:98">
      <c r="A6783" s="532"/>
      <c r="AR6783" s="2513"/>
      <c r="CT6783" s="531"/>
    </row>
    <row r="6784" spans="1:98">
      <c r="A6784" s="532"/>
      <c r="AR6784" s="2513"/>
      <c r="CT6784" s="531"/>
    </row>
    <row r="6785" spans="1:98">
      <c r="A6785" s="532"/>
      <c r="AR6785" s="2513"/>
      <c r="CT6785" s="531"/>
    </row>
    <row r="6786" spans="1:98">
      <c r="A6786" s="532"/>
      <c r="AR6786" s="2513"/>
      <c r="CT6786" s="531"/>
    </row>
    <row r="6787" spans="1:98">
      <c r="A6787" s="532"/>
      <c r="AR6787" s="2513"/>
      <c r="CT6787" s="531"/>
    </row>
    <row r="6788" spans="1:98">
      <c r="A6788" s="532"/>
      <c r="AR6788" s="2513"/>
      <c r="CT6788" s="531"/>
    </row>
    <row r="6789" spans="1:98">
      <c r="A6789" s="532"/>
      <c r="AR6789" s="2513"/>
      <c r="CT6789" s="531"/>
    </row>
    <row r="6790" spans="1:98">
      <c r="A6790" s="532"/>
      <c r="AR6790" s="2513"/>
      <c r="CT6790" s="531"/>
    </row>
    <row r="6791" spans="1:98">
      <c r="A6791" s="532"/>
      <c r="AR6791" s="2513"/>
      <c r="CT6791" s="531"/>
    </row>
    <row r="6792" spans="1:98">
      <c r="A6792" s="532"/>
      <c r="AR6792" s="2513"/>
      <c r="CT6792" s="531"/>
    </row>
    <row r="6793" spans="1:98">
      <c r="A6793" s="532"/>
      <c r="AR6793" s="2513"/>
      <c r="CT6793" s="531"/>
    </row>
    <row r="6794" spans="1:98">
      <c r="A6794" s="532"/>
      <c r="AR6794" s="2513"/>
      <c r="CT6794" s="531"/>
    </row>
    <row r="6795" spans="1:98">
      <c r="A6795" s="532"/>
      <c r="AR6795" s="2513"/>
      <c r="CT6795" s="531"/>
    </row>
    <row r="6796" spans="1:98">
      <c r="A6796" s="532"/>
      <c r="AR6796" s="2513"/>
      <c r="CT6796" s="531"/>
    </row>
    <row r="6797" spans="1:98">
      <c r="A6797" s="532"/>
      <c r="AR6797" s="2513"/>
      <c r="CT6797" s="531"/>
    </row>
    <row r="6798" spans="1:98">
      <c r="A6798" s="532"/>
      <c r="AR6798" s="2513"/>
      <c r="CT6798" s="531"/>
    </row>
    <row r="6799" spans="1:98">
      <c r="A6799" s="532"/>
      <c r="AR6799" s="2513"/>
      <c r="CT6799" s="531"/>
    </row>
    <row r="6800" spans="1:98">
      <c r="A6800" s="532"/>
      <c r="AR6800" s="2513"/>
      <c r="CT6800" s="531"/>
    </row>
    <row r="6801" spans="1:98">
      <c r="A6801" s="532"/>
      <c r="AR6801" s="2513"/>
      <c r="CT6801" s="531"/>
    </row>
    <row r="6802" spans="1:98">
      <c r="A6802" s="532"/>
      <c r="AR6802" s="2513"/>
      <c r="CT6802" s="531"/>
    </row>
    <row r="6803" spans="1:98">
      <c r="A6803" s="532"/>
      <c r="AR6803" s="2513"/>
      <c r="CT6803" s="531"/>
    </row>
    <row r="6804" spans="1:98">
      <c r="A6804" s="532"/>
      <c r="AR6804" s="2513"/>
      <c r="CT6804" s="531"/>
    </row>
    <row r="6805" spans="1:98">
      <c r="A6805" s="532"/>
      <c r="AR6805" s="2513"/>
      <c r="CT6805" s="531"/>
    </row>
    <row r="6806" spans="1:98">
      <c r="A6806" s="532"/>
      <c r="AR6806" s="2513"/>
      <c r="CT6806" s="531"/>
    </row>
    <row r="6807" spans="1:98">
      <c r="A6807" s="532"/>
      <c r="AR6807" s="2513"/>
      <c r="CT6807" s="531"/>
    </row>
    <row r="6808" spans="1:98">
      <c r="A6808" s="532"/>
      <c r="AR6808" s="2513"/>
      <c r="CT6808" s="531"/>
    </row>
    <row r="6809" spans="1:98">
      <c r="A6809" s="532"/>
      <c r="AR6809" s="2513"/>
      <c r="CT6809" s="531"/>
    </row>
    <row r="6810" spans="1:98">
      <c r="A6810" s="532"/>
      <c r="AR6810" s="2513"/>
      <c r="CT6810" s="531"/>
    </row>
    <row r="6811" spans="1:98">
      <c r="A6811" s="532"/>
      <c r="AR6811" s="2513"/>
      <c r="CT6811" s="531"/>
    </row>
    <row r="6812" spans="1:98">
      <c r="A6812" s="532"/>
      <c r="AR6812" s="2513"/>
      <c r="CT6812" s="531"/>
    </row>
    <row r="6813" spans="1:98">
      <c r="A6813" s="532"/>
      <c r="AR6813" s="2513"/>
      <c r="CT6813" s="531"/>
    </row>
    <row r="6814" spans="1:98">
      <c r="A6814" s="532"/>
      <c r="AR6814" s="2513"/>
      <c r="CT6814" s="531"/>
    </row>
    <row r="6815" spans="1:98">
      <c r="A6815" s="532"/>
      <c r="AR6815" s="2513"/>
      <c r="CT6815" s="531"/>
    </row>
    <row r="6816" spans="1:98">
      <c r="A6816" s="532"/>
      <c r="AR6816" s="2513"/>
      <c r="CT6816" s="531"/>
    </row>
    <row r="6817" spans="1:98">
      <c r="A6817" s="532"/>
      <c r="AR6817" s="2513"/>
      <c r="CT6817" s="531"/>
    </row>
    <row r="6818" spans="1:98">
      <c r="A6818" s="532"/>
      <c r="AR6818" s="2513"/>
      <c r="CT6818" s="531"/>
    </row>
    <row r="6819" spans="1:98">
      <c r="A6819" s="532"/>
      <c r="AR6819" s="2513"/>
      <c r="CT6819" s="531"/>
    </row>
    <row r="6820" spans="1:98">
      <c r="A6820" s="532"/>
      <c r="AR6820" s="2513"/>
      <c r="CT6820" s="531"/>
    </row>
    <row r="6821" spans="1:98">
      <c r="A6821" s="532"/>
      <c r="AR6821" s="2513"/>
      <c r="CT6821" s="531"/>
    </row>
    <row r="6822" spans="1:98">
      <c r="A6822" s="532"/>
      <c r="AR6822" s="2513"/>
      <c r="CT6822" s="531"/>
    </row>
    <row r="6823" spans="1:98">
      <c r="A6823" s="532"/>
      <c r="AR6823" s="2513"/>
      <c r="CT6823" s="531"/>
    </row>
    <row r="6824" spans="1:98">
      <c r="A6824" s="532"/>
      <c r="AR6824" s="2513"/>
      <c r="CT6824" s="531"/>
    </row>
    <row r="6825" spans="1:98">
      <c r="A6825" s="532"/>
      <c r="AR6825" s="2513"/>
      <c r="CT6825" s="531"/>
    </row>
    <row r="6826" spans="1:98">
      <c r="A6826" s="532"/>
      <c r="AR6826" s="2513"/>
      <c r="CT6826" s="531"/>
    </row>
    <row r="6827" spans="1:98">
      <c r="A6827" s="532"/>
      <c r="AR6827" s="2513"/>
      <c r="CT6827" s="531"/>
    </row>
    <row r="6828" spans="1:98">
      <c r="A6828" s="532"/>
      <c r="AR6828" s="2513"/>
      <c r="CT6828" s="531"/>
    </row>
    <row r="6829" spans="1:98">
      <c r="A6829" s="532"/>
      <c r="AR6829" s="2513"/>
      <c r="CT6829" s="531"/>
    </row>
    <row r="6830" spans="1:98">
      <c r="A6830" s="532"/>
      <c r="AR6830" s="2513"/>
      <c r="CT6830" s="531"/>
    </row>
    <row r="6831" spans="1:98">
      <c r="A6831" s="532"/>
      <c r="AR6831" s="2513"/>
      <c r="CT6831" s="531"/>
    </row>
    <row r="6832" spans="1:98">
      <c r="A6832" s="532"/>
      <c r="AR6832" s="2513"/>
      <c r="CT6832" s="531"/>
    </row>
    <row r="6833" spans="1:98">
      <c r="A6833" s="532"/>
      <c r="AR6833" s="2513"/>
      <c r="CT6833" s="531"/>
    </row>
    <row r="6834" spans="1:98">
      <c r="A6834" s="532"/>
      <c r="AR6834" s="2513"/>
      <c r="CT6834" s="531"/>
    </row>
    <row r="6835" spans="1:98">
      <c r="A6835" s="532"/>
      <c r="AR6835" s="2513"/>
      <c r="CT6835" s="531"/>
    </row>
    <row r="6836" spans="1:98">
      <c r="A6836" s="532"/>
      <c r="AR6836" s="2513"/>
      <c r="CT6836" s="531"/>
    </row>
    <row r="6837" spans="1:98">
      <c r="A6837" s="532"/>
      <c r="AR6837" s="2513"/>
      <c r="CT6837" s="531"/>
    </row>
    <row r="6838" spans="1:98">
      <c r="A6838" s="532"/>
      <c r="AR6838" s="2513"/>
      <c r="CT6838" s="531"/>
    </row>
    <row r="6839" spans="1:98">
      <c r="A6839" s="532"/>
      <c r="AR6839" s="2513"/>
      <c r="CT6839" s="531"/>
    </row>
    <row r="6840" spans="1:98">
      <c r="A6840" s="532"/>
      <c r="AR6840" s="2513"/>
      <c r="CT6840" s="531"/>
    </row>
    <row r="6841" spans="1:98">
      <c r="A6841" s="532"/>
      <c r="AR6841" s="2513"/>
      <c r="CT6841" s="531"/>
    </row>
    <row r="6842" spans="1:98">
      <c r="A6842" s="532"/>
      <c r="AR6842" s="2513"/>
      <c r="CT6842" s="531"/>
    </row>
    <row r="6843" spans="1:98">
      <c r="A6843" s="532"/>
      <c r="AR6843" s="2513"/>
      <c r="CT6843" s="531"/>
    </row>
    <row r="6844" spans="1:98">
      <c r="A6844" s="532"/>
      <c r="AR6844" s="2513"/>
      <c r="CT6844" s="531"/>
    </row>
    <row r="6845" spans="1:98">
      <c r="A6845" s="532"/>
      <c r="AR6845" s="2513"/>
      <c r="CT6845" s="531"/>
    </row>
    <row r="6846" spans="1:98">
      <c r="A6846" s="532"/>
      <c r="AR6846" s="2513"/>
      <c r="CT6846" s="531"/>
    </row>
    <row r="6847" spans="1:98">
      <c r="A6847" s="532"/>
      <c r="AR6847" s="2513"/>
      <c r="CT6847" s="531"/>
    </row>
    <row r="6848" spans="1:98">
      <c r="A6848" s="532"/>
      <c r="AR6848" s="2513"/>
      <c r="CT6848" s="531"/>
    </row>
    <row r="6849" spans="1:98">
      <c r="A6849" s="532"/>
      <c r="AR6849" s="2513"/>
      <c r="CT6849" s="531"/>
    </row>
    <row r="6850" spans="1:98">
      <c r="A6850" s="532"/>
      <c r="AR6850" s="2513"/>
      <c r="CT6850" s="531"/>
    </row>
    <row r="6851" spans="1:98">
      <c r="A6851" s="532"/>
      <c r="AR6851" s="2513"/>
      <c r="CT6851" s="531"/>
    </row>
    <row r="6852" spans="1:98">
      <c r="A6852" s="532"/>
      <c r="AR6852" s="2513"/>
      <c r="CT6852" s="531"/>
    </row>
    <row r="6853" spans="1:98">
      <c r="A6853" s="532"/>
      <c r="AR6853" s="2513"/>
      <c r="CT6853" s="531"/>
    </row>
    <row r="6854" spans="1:98">
      <c r="A6854" s="532"/>
      <c r="AR6854" s="2513"/>
      <c r="CT6854" s="531"/>
    </row>
    <row r="6855" spans="1:98">
      <c r="A6855" s="532"/>
      <c r="AR6855" s="2513"/>
      <c r="CT6855" s="531"/>
    </row>
    <row r="6856" spans="1:98">
      <c r="A6856" s="532"/>
      <c r="AR6856" s="2513"/>
      <c r="CT6856" s="531"/>
    </row>
    <row r="6857" spans="1:98">
      <c r="A6857" s="532"/>
      <c r="AR6857" s="2513"/>
      <c r="CT6857" s="531"/>
    </row>
    <row r="6858" spans="1:98">
      <c r="A6858" s="532"/>
      <c r="AR6858" s="2513"/>
      <c r="CT6858" s="531"/>
    </row>
    <row r="6859" spans="1:98">
      <c r="A6859" s="532"/>
      <c r="AR6859" s="2513"/>
      <c r="CT6859" s="531"/>
    </row>
    <row r="6860" spans="1:98">
      <c r="A6860" s="532"/>
      <c r="AR6860" s="2513"/>
      <c r="CT6860" s="531"/>
    </row>
    <row r="6861" spans="1:98">
      <c r="A6861" s="532"/>
      <c r="AR6861" s="2513"/>
      <c r="CT6861" s="531"/>
    </row>
    <row r="6862" spans="1:98">
      <c r="A6862" s="532"/>
      <c r="AR6862" s="2513"/>
      <c r="CT6862" s="531"/>
    </row>
    <row r="6863" spans="1:98">
      <c r="A6863" s="532"/>
      <c r="AR6863" s="2513"/>
      <c r="CT6863" s="531"/>
    </row>
    <row r="6864" spans="1:98">
      <c r="A6864" s="532"/>
      <c r="AR6864" s="2513"/>
      <c r="CT6864" s="531"/>
    </row>
    <row r="6865" spans="1:98">
      <c r="A6865" s="532"/>
      <c r="AR6865" s="2513"/>
      <c r="CT6865" s="531"/>
    </row>
    <row r="6866" spans="1:98">
      <c r="A6866" s="532"/>
      <c r="AR6866" s="2513"/>
      <c r="CT6866" s="531"/>
    </row>
    <row r="6867" spans="1:98">
      <c r="A6867" s="532"/>
      <c r="AR6867" s="2513"/>
      <c r="CT6867" s="531"/>
    </row>
    <row r="6868" spans="1:98">
      <c r="A6868" s="532"/>
      <c r="AR6868" s="2513"/>
      <c r="CT6868" s="531"/>
    </row>
    <row r="6869" spans="1:98">
      <c r="A6869" s="532"/>
      <c r="AR6869" s="2513"/>
      <c r="CT6869" s="531"/>
    </row>
    <row r="6870" spans="1:98">
      <c r="A6870" s="532"/>
      <c r="AR6870" s="2513"/>
      <c r="CT6870" s="531"/>
    </row>
    <row r="6871" spans="1:98">
      <c r="A6871" s="532"/>
      <c r="AR6871" s="2513"/>
      <c r="CT6871" s="531"/>
    </row>
    <row r="6872" spans="1:98">
      <c r="A6872" s="532"/>
      <c r="AR6872" s="2513"/>
      <c r="CT6872" s="531"/>
    </row>
    <row r="6873" spans="1:98">
      <c r="A6873" s="532"/>
      <c r="AR6873" s="2513"/>
      <c r="CT6873" s="531"/>
    </row>
    <row r="6874" spans="1:98">
      <c r="A6874" s="532"/>
      <c r="AR6874" s="2513"/>
      <c r="CT6874" s="531"/>
    </row>
    <row r="6875" spans="1:98">
      <c r="A6875" s="532"/>
      <c r="AR6875" s="2513"/>
      <c r="CT6875" s="531"/>
    </row>
    <row r="6876" spans="1:98">
      <c r="A6876" s="532"/>
      <c r="AR6876" s="2513"/>
      <c r="CT6876" s="531"/>
    </row>
    <row r="6877" spans="1:98">
      <c r="A6877" s="532"/>
      <c r="AR6877" s="2513"/>
      <c r="CT6877" s="531"/>
    </row>
    <row r="6878" spans="1:98">
      <c r="A6878" s="532"/>
      <c r="AR6878" s="2513"/>
      <c r="CT6878" s="531"/>
    </row>
    <row r="6879" spans="1:98">
      <c r="A6879" s="532"/>
      <c r="AR6879" s="2513"/>
      <c r="CT6879" s="531"/>
    </row>
    <row r="6880" spans="1:98">
      <c r="A6880" s="532"/>
      <c r="AR6880" s="2513"/>
      <c r="CT6880" s="531"/>
    </row>
    <row r="6881" spans="1:98">
      <c r="A6881" s="532"/>
      <c r="AR6881" s="2513"/>
      <c r="CT6881" s="531"/>
    </row>
    <row r="6882" spans="1:98">
      <c r="A6882" s="532"/>
      <c r="AR6882" s="2513"/>
      <c r="CT6882" s="531"/>
    </row>
    <row r="6883" spans="1:98">
      <c r="A6883" s="532"/>
      <c r="AR6883" s="2513"/>
      <c r="CT6883" s="531"/>
    </row>
    <row r="6884" spans="1:98">
      <c r="A6884" s="532"/>
      <c r="AR6884" s="2513"/>
      <c r="CT6884" s="531"/>
    </row>
    <row r="6885" spans="1:98">
      <c r="A6885" s="532"/>
      <c r="AR6885" s="2513"/>
      <c r="CT6885" s="531"/>
    </row>
    <row r="6886" spans="1:98">
      <c r="A6886" s="532"/>
      <c r="AR6886" s="2513"/>
      <c r="CT6886" s="531"/>
    </row>
    <row r="6887" spans="1:98">
      <c r="A6887" s="532"/>
      <c r="AR6887" s="2513"/>
      <c r="CT6887" s="531"/>
    </row>
    <row r="6888" spans="1:98">
      <c r="A6888" s="532"/>
      <c r="AR6888" s="2513"/>
      <c r="CT6888" s="531"/>
    </row>
    <row r="6889" spans="1:98">
      <c r="A6889" s="532"/>
      <c r="AR6889" s="2513"/>
      <c r="CT6889" s="531"/>
    </row>
    <row r="6890" spans="1:98">
      <c r="A6890" s="532"/>
      <c r="AR6890" s="2513"/>
      <c r="CT6890" s="531"/>
    </row>
    <row r="6891" spans="1:98">
      <c r="A6891" s="532"/>
      <c r="AR6891" s="2513"/>
      <c r="CT6891" s="531"/>
    </row>
    <row r="6892" spans="1:98">
      <c r="A6892" s="532"/>
      <c r="AR6892" s="2513"/>
      <c r="CT6892" s="531"/>
    </row>
    <row r="6893" spans="1:98">
      <c r="A6893" s="532"/>
      <c r="AR6893" s="2513"/>
      <c r="CT6893" s="531"/>
    </row>
    <row r="6894" spans="1:98">
      <c r="A6894" s="532"/>
      <c r="AR6894" s="2513"/>
      <c r="CT6894" s="531"/>
    </row>
    <row r="6895" spans="1:98">
      <c r="A6895" s="532"/>
      <c r="AR6895" s="2513"/>
      <c r="CT6895" s="531"/>
    </row>
    <row r="6896" spans="1:98">
      <c r="A6896" s="532"/>
      <c r="AR6896" s="2513"/>
      <c r="CT6896" s="531"/>
    </row>
    <row r="6897" spans="1:98">
      <c r="A6897" s="532"/>
      <c r="AR6897" s="2513"/>
      <c r="CT6897" s="531"/>
    </row>
    <row r="6898" spans="1:98">
      <c r="A6898" s="532"/>
      <c r="AR6898" s="2513"/>
      <c r="CT6898" s="531"/>
    </row>
    <row r="6899" spans="1:98">
      <c r="A6899" s="532"/>
      <c r="AR6899" s="2513"/>
      <c r="CT6899" s="531"/>
    </row>
    <row r="6900" spans="1:98">
      <c r="A6900" s="532"/>
      <c r="AR6900" s="2513"/>
      <c r="CT6900" s="531"/>
    </row>
    <row r="6901" spans="1:98">
      <c r="A6901" s="532"/>
      <c r="AR6901" s="2513"/>
      <c r="CT6901" s="531"/>
    </row>
    <row r="6902" spans="1:98">
      <c r="A6902" s="532"/>
      <c r="AR6902" s="2513"/>
      <c r="CT6902" s="531"/>
    </row>
    <row r="6903" spans="1:98">
      <c r="A6903" s="532"/>
      <c r="AR6903" s="2513"/>
      <c r="CT6903" s="531"/>
    </row>
    <row r="6904" spans="1:98">
      <c r="A6904" s="532"/>
      <c r="AR6904" s="2513"/>
      <c r="CT6904" s="531"/>
    </row>
    <row r="6905" spans="1:98">
      <c r="A6905" s="532"/>
      <c r="AR6905" s="2513"/>
      <c r="CT6905" s="531"/>
    </row>
    <row r="6906" spans="1:98">
      <c r="A6906" s="532"/>
      <c r="AR6906" s="2513"/>
      <c r="CT6906" s="531"/>
    </row>
    <row r="6907" spans="1:98">
      <c r="A6907" s="532"/>
      <c r="AR6907" s="2513"/>
      <c r="CT6907" s="531"/>
    </row>
    <row r="6908" spans="1:98">
      <c r="A6908" s="532"/>
      <c r="AR6908" s="2513"/>
      <c r="CT6908" s="531"/>
    </row>
    <row r="6909" spans="1:98">
      <c r="A6909" s="532"/>
      <c r="AR6909" s="2513"/>
      <c r="CT6909" s="531"/>
    </row>
    <row r="6910" spans="1:98">
      <c r="A6910" s="532"/>
      <c r="AR6910" s="2513"/>
      <c r="CT6910" s="531"/>
    </row>
    <row r="6911" spans="1:98">
      <c r="A6911" s="532"/>
      <c r="AR6911" s="2513"/>
      <c r="CT6911" s="531"/>
    </row>
    <row r="6912" spans="1:98">
      <c r="A6912" s="532"/>
      <c r="AR6912" s="2513"/>
      <c r="CT6912" s="531"/>
    </row>
    <row r="6913" spans="1:98">
      <c r="A6913" s="532"/>
      <c r="AR6913" s="2513"/>
      <c r="CT6913" s="531"/>
    </row>
    <row r="6914" spans="1:98">
      <c r="A6914" s="532"/>
      <c r="AR6914" s="2513"/>
      <c r="CT6914" s="531"/>
    </row>
    <row r="6915" spans="1:98">
      <c r="A6915" s="532"/>
      <c r="AR6915" s="2513"/>
      <c r="CT6915" s="531"/>
    </row>
    <row r="6916" spans="1:98">
      <c r="A6916" s="532"/>
      <c r="AR6916" s="2513"/>
      <c r="CT6916" s="531"/>
    </row>
    <row r="6917" spans="1:98">
      <c r="A6917" s="532"/>
      <c r="AR6917" s="2513"/>
      <c r="CT6917" s="531"/>
    </row>
    <row r="6918" spans="1:98">
      <c r="A6918" s="532"/>
      <c r="AR6918" s="2513"/>
      <c r="CT6918" s="531"/>
    </row>
    <row r="6919" spans="1:98">
      <c r="A6919" s="532"/>
      <c r="AR6919" s="2513"/>
      <c r="CT6919" s="531"/>
    </row>
    <row r="6920" spans="1:98">
      <c r="A6920" s="532"/>
      <c r="AR6920" s="2513"/>
      <c r="CT6920" s="531"/>
    </row>
    <row r="6921" spans="1:98">
      <c r="A6921" s="532"/>
      <c r="AR6921" s="2513"/>
      <c r="CT6921" s="531"/>
    </row>
    <row r="6922" spans="1:98">
      <c r="A6922" s="532"/>
      <c r="AR6922" s="2513"/>
      <c r="CT6922" s="531"/>
    </row>
    <row r="6923" spans="1:98">
      <c r="A6923" s="532"/>
      <c r="AR6923" s="2513"/>
      <c r="CT6923" s="531"/>
    </row>
    <row r="6924" spans="1:98">
      <c r="A6924" s="532"/>
      <c r="AR6924" s="2513"/>
      <c r="CT6924" s="531"/>
    </row>
    <row r="6925" spans="1:98">
      <c r="A6925" s="532"/>
      <c r="AR6925" s="2513"/>
      <c r="CT6925" s="531"/>
    </row>
    <row r="6926" spans="1:98">
      <c r="A6926" s="532"/>
      <c r="AR6926" s="2513"/>
      <c r="CT6926" s="531"/>
    </row>
    <row r="6927" spans="1:98">
      <c r="A6927" s="532"/>
      <c r="AR6927" s="2513"/>
      <c r="CT6927" s="531"/>
    </row>
    <row r="6928" spans="1:98">
      <c r="A6928" s="532"/>
      <c r="AR6928" s="2513"/>
      <c r="CT6928" s="531"/>
    </row>
    <row r="6929" spans="1:98">
      <c r="A6929" s="532"/>
      <c r="AR6929" s="2513"/>
      <c r="CT6929" s="531"/>
    </row>
    <row r="6930" spans="1:98">
      <c r="A6930" s="532"/>
      <c r="AR6930" s="2513"/>
      <c r="CT6930" s="531"/>
    </row>
    <row r="6931" spans="1:98">
      <c r="A6931" s="532"/>
      <c r="AR6931" s="2513"/>
      <c r="CT6931" s="531"/>
    </row>
    <row r="6932" spans="1:98">
      <c r="A6932" s="532"/>
      <c r="AR6932" s="2513"/>
      <c r="CT6932" s="531"/>
    </row>
    <row r="6933" spans="1:98">
      <c r="A6933" s="532"/>
      <c r="AR6933" s="2513"/>
      <c r="CT6933" s="531"/>
    </row>
    <row r="6934" spans="1:98">
      <c r="A6934" s="532"/>
      <c r="AR6934" s="2513"/>
      <c r="CT6934" s="531"/>
    </row>
    <row r="6935" spans="1:98">
      <c r="A6935" s="532"/>
      <c r="AR6935" s="2513"/>
      <c r="CT6935" s="531"/>
    </row>
    <row r="6936" spans="1:98">
      <c r="A6936" s="532"/>
      <c r="AR6936" s="2513"/>
      <c r="CT6936" s="531"/>
    </row>
    <row r="6937" spans="1:98">
      <c r="A6937" s="532"/>
      <c r="AR6937" s="2513"/>
      <c r="CT6937" s="531"/>
    </row>
    <row r="6938" spans="1:98">
      <c r="A6938" s="532"/>
      <c r="AR6938" s="2513"/>
      <c r="CT6938" s="531"/>
    </row>
    <row r="6939" spans="1:98">
      <c r="A6939" s="532"/>
      <c r="AR6939" s="2513"/>
      <c r="CT6939" s="531"/>
    </row>
    <row r="6940" spans="1:98">
      <c r="A6940" s="532"/>
      <c r="AR6940" s="2513"/>
      <c r="CT6940" s="531"/>
    </row>
    <row r="6941" spans="1:98">
      <c r="A6941" s="532"/>
      <c r="AR6941" s="2513"/>
      <c r="CT6941" s="531"/>
    </row>
    <row r="6942" spans="1:98">
      <c r="A6942" s="532"/>
      <c r="AR6942" s="2513"/>
      <c r="CT6942" s="531"/>
    </row>
    <row r="6943" spans="1:98">
      <c r="A6943" s="532"/>
      <c r="AR6943" s="2513"/>
      <c r="CT6943" s="531"/>
    </row>
    <row r="6944" spans="1:98">
      <c r="A6944" s="532"/>
      <c r="AR6944" s="2513"/>
      <c r="CT6944" s="531"/>
    </row>
    <row r="6945" spans="1:98">
      <c r="A6945" s="532"/>
      <c r="AR6945" s="2513"/>
      <c r="CT6945" s="531"/>
    </row>
    <row r="6946" spans="1:98">
      <c r="A6946" s="532"/>
      <c r="AR6946" s="2513"/>
      <c r="CT6946" s="531"/>
    </row>
    <row r="6947" spans="1:98">
      <c r="A6947" s="532"/>
      <c r="AR6947" s="2513"/>
      <c r="CT6947" s="531"/>
    </row>
    <row r="6948" spans="1:98">
      <c r="A6948" s="532"/>
      <c r="AR6948" s="2513"/>
      <c r="CT6948" s="531"/>
    </row>
    <row r="6949" spans="1:98">
      <c r="A6949" s="532"/>
      <c r="AR6949" s="2513"/>
      <c r="CT6949" s="531"/>
    </row>
    <row r="6950" spans="1:98">
      <c r="A6950" s="532"/>
      <c r="AR6950" s="2513"/>
      <c r="CT6950" s="531"/>
    </row>
    <row r="6951" spans="1:98">
      <c r="A6951" s="532"/>
      <c r="AR6951" s="2513"/>
      <c r="CT6951" s="531"/>
    </row>
    <row r="6952" spans="1:98">
      <c r="A6952" s="532"/>
      <c r="AR6952" s="2513"/>
      <c r="CT6952" s="531"/>
    </row>
    <row r="6953" spans="1:98">
      <c r="A6953" s="532"/>
      <c r="AR6953" s="2513"/>
      <c r="CT6953" s="531"/>
    </row>
    <row r="6954" spans="1:98">
      <c r="A6954" s="532"/>
      <c r="AR6954" s="2513"/>
      <c r="CT6954" s="531"/>
    </row>
    <row r="6955" spans="1:98">
      <c r="A6955" s="532"/>
      <c r="AR6955" s="2513"/>
      <c r="CT6955" s="531"/>
    </row>
    <row r="6956" spans="1:98">
      <c r="A6956" s="532"/>
      <c r="AR6956" s="2513"/>
      <c r="CT6956" s="531"/>
    </row>
    <row r="6957" spans="1:98">
      <c r="A6957" s="532"/>
      <c r="AR6957" s="2513"/>
      <c r="CT6957" s="531"/>
    </row>
    <row r="6958" spans="1:98">
      <c r="A6958" s="532"/>
      <c r="AR6958" s="2513"/>
      <c r="CT6958" s="531"/>
    </row>
    <row r="6959" spans="1:98">
      <c r="A6959" s="532"/>
      <c r="AR6959" s="2513"/>
      <c r="CT6959" s="531"/>
    </row>
    <row r="6960" spans="1:98">
      <c r="A6960" s="532"/>
      <c r="AR6960" s="2513"/>
      <c r="CT6960" s="531"/>
    </row>
    <row r="6961" spans="1:98">
      <c r="A6961" s="532"/>
      <c r="AR6961" s="2513"/>
      <c r="CT6961" s="531"/>
    </row>
    <row r="6962" spans="1:98">
      <c r="A6962" s="532"/>
      <c r="AR6962" s="2513"/>
      <c r="CT6962" s="531"/>
    </row>
    <row r="6963" spans="1:98">
      <c r="A6963" s="532"/>
      <c r="AR6963" s="2513"/>
      <c r="CT6963" s="531"/>
    </row>
    <row r="6964" spans="1:98">
      <c r="A6964" s="532"/>
      <c r="AR6964" s="2513"/>
      <c r="CT6964" s="531"/>
    </row>
    <row r="6965" spans="1:98">
      <c r="A6965" s="532"/>
      <c r="AR6965" s="2513"/>
      <c r="CT6965" s="531"/>
    </row>
    <row r="6966" spans="1:98">
      <c r="A6966" s="532"/>
      <c r="AR6966" s="2513"/>
      <c r="CT6966" s="531"/>
    </row>
    <row r="6967" spans="1:98">
      <c r="A6967" s="532"/>
      <c r="AR6967" s="2513"/>
      <c r="CT6967" s="531"/>
    </row>
    <row r="6968" spans="1:98">
      <c r="A6968" s="532"/>
      <c r="AR6968" s="2513"/>
      <c r="CT6968" s="531"/>
    </row>
    <row r="6969" spans="1:98">
      <c r="A6969" s="532"/>
      <c r="AR6969" s="2513"/>
      <c r="CT6969" s="531"/>
    </row>
    <row r="6970" spans="1:98">
      <c r="A6970" s="532"/>
      <c r="AR6970" s="2513"/>
      <c r="CT6970" s="531"/>
    </row>
    <row r="6971" spans="1:98">
      <c r="A6971" s="532"/>
      <c r="AR6971" s="2513"/>
      <c r="CT6971" s="531"/>
    </row>
    <row r="6972" spans="1:98">
      <c r="A6972" s="532"/>
      <c r="AR6972" s="2513"/>
      <c r="CT6972" s="531"/>
    </row>
    <row r="6973" spans="1:98">
      <c r="A6973" s="532"/>
      <c r="AR6973" s="2513"/>
      <c r="CT6973" s="531"/>
    </row>
    <row r="6974" spans="1:98">
      <c r="A6974" s="532"/>
      <c r="AR6974" s="2513"/>
      <c r="CT6974" s="531"/>
    </row>
    <row r="6975" spans="1:98">
      <c r="A6975" s="532"/>
      <c r="AR6975" s="2513"/>
      <c r="CT6975" s="531"/>
    </row>
    <row r="6976" spans="1:98">
      <c r="A6976" s="532"/>
      <c r="AR6976" s="2513"/>
      <c r="CT6976" s="531"/>
    </row>
    <row r="6977" spans="1:98">
      <c r="A6977" s="532"/>
      <c r="AR6977" s="2513"/>
      <c r="CT6977" s="531"/>
    </row>
    <row r="6978" spans="1:98">
      <c r="A6978" s="532"/>
      <c r="AR6978" s="2513"/>
      <c r="CT6978" s="531"/>
    </row>
    <row r="6979" spans="1:98">
      <c r="A6979" s="532"/>
      <c r="AR6979" s="2513"/>
      <c r="CT6979" s="531"/>
    </row>
    <row r="6980" spans="1:98">
      <c r="A6980" s="532"/>
      <c r="AR6980" s="2513"/>
      <c r="CT6980" s="531"/>
    </row>
    <row r="6981" spans="1:98">
      <c r="A6981" s="532"/>
      <c r="AR6981" s="2513"/>
      <c r="CT6981" s="531"/>
    </row>
    <row r="6982" spans="1:98">
      <c r="A6982" s="532"/>
      <c r="AR6982" s="2513"/>
      <c r="CT6982" s="531"/>
    </row>
    <row r="6983" spans="1:98">
      <c r="A6983" s="532"/>
      <c r="AR6983" s="2513"/>
      <c r="CT6983" s="531"/>
    </row>
    <row r="6984" spans="1:98">
      <c r="A6984" s="532"/>
      <c r="AR6984" s="2513"/>
      <c r="CT6984" s="531"/>
    </row>
    <row r="6985" spans="1:98">
      <c r="A6985" s="532"/>
      <c r="AR6985" s="2513"/>
      <c r="CT6985" s="531"/>
    </row>
    <row r="6986" spans="1:98">
      <c r="A6986" s="532"/>
      <c r="AR6986" s="2513"/>
      <c r="CT6986" s="531"/>
    </row>
    <row r="6987" spans="1:98">
      <c r="A6987" s="532"/>
      <c r="AR6987" s="2513"/>
      <c r="CT6987" s="531"/>
    </row>
    <row r="6988" spans="1:98">
      <c r="A6988" s="532"/>
      <c r="AR6988" s="2513"/>
      <c r="CT6988" s="531"/>
    </row>
    <row r="6989" spans="1:98">
      <c r="A6989" s="532"/>
      <c r="AR6989" s="2513"/>
      <c r="CT6989" s="531"/>
    </row>
    <row r="6990" spans="1:98">
      <c r="A6990" s="532"/>
      <c r="AR6990" s="2513"/>
      <c r="CT6990" s="531"/>
    </row>
    <row r="6991" spans="1:98">
      <c r="A6991" s="532"/>
      <c r="AR6991" s="2513"/>
      <c r="CT6991" s="531"/>
    </row>
    <row r="6992" spans="1:98">
      <c r="A6992" s="532"/>
      <c r="AR6992" s="2513"/>
      <c r="CT6992" s="531"/>
    </row>
    <row r="6993" spans="1:98">
      <c r="A6993" s="532"/>
      <c r="AR6993" s="2513"/>
      <c r="CT6993" s="531"/>
    </row>
    <row r="6994" spans="1:98">
      <c r="A6994" s="532"/>
      <c r="AR6994" s="2513"/>
      <c r="CT6994" s="531"/>
    </row>
    <row r="6995" spans="1:98">
      <c r="A6995" s="532"/>
      <c r="AR6995" s="2513"/>
      <c r="CT6995" s="531"/>
    </row>
    <row r="6996" spans="1:98">
      <c r="A6996" s="532"/>
      <c r="AR6996" s="2513"/>
      <c r="CT6996" s="531"/>
    </row>
    <row r="6997" spans="1:98">
      <c r="A6997" s="532"/>
      <c r="AR6997" s="2513"/>
      <c r="CT6997" s="531"/>
    </row>
    <row r="6998" spans="1:98">
      <c r="A6998" s="532"/>
      <c r="AR6998" s="2513"/>
      <c r="CT6998" s="531"/>
    </row>
    <row r="6999" spans="1:98">
      <c r="A6999" s="532"/>
      <c r="AR6999" s="2513"/>
      <c r="CT6999" s="531"/>
    </row>
    <row r="7000" spans="1:98">
      <c r="A7000" s="532"/>
      <c r="AR7000" s="2513"/>
      <c r="CT7000" s="531"/>
    </row>
    <row r="7001" spans="1:98">
      <c r="A7001" s="532"/>
      <c r="AR7001" s="2513"/>
      <c r="CT7001" s="531"/>
    </row>
    <row r="7002" spans="1:98">
      <c r="A7002" s="532"/>
      <c r="AR7002" s="2513"/>
      <c r="CT7002" s="531"/>
    </row>
    <row r="7003" spans="1:98">
      <c r="A7003" s="532"/>
      <c r="AR7003" s="2513"/>
      <c r="CT7003" s="531"/>
    </row>
    <row r="7004" spans="1:98">
      <c r="A7004" s="532"/>
      <c r="AR7004" s="2513"/>
      <c r="CT7004" s="531"/>
    </row>
    <row r="7005" spans="1:98">
      <c r="A7005" s="532"/>
      <c r="AR7005" s="2513"/>
      <c r="CT7005" s="531"/>
    </row>
    <row r="7006" spans="1:98">
      <c r="A7006" s="532"/>
      <c r="AR7006" s="2513"/>
      <c r="CT7006" s="531"/>
    </row>
    <row r="7007" spans="1:98">
      <c r="A7007" s="532"/>
      <c r="AR7007" s="2513"/>
      <c r="CT7007" s="531"/>
    </row>
    <row r="7008" spans="1:98">
      <c r="A7008" s="532"/>
      <c r="AR7008" s="2513"/>
      <c r="CT7008" s="531"/>
    </row>
    <row r="7009" spans="1:98">
      <c r="A7009" s="532"/>
      <c r="AR7009" s="2513"/>
      <c r="CT7009" s="531"/>
    </row>
    <row r="7010" spans="1:98">
      <c r="A7010" s="532"/>
      <c r="AR7010" s="2513"/>
      <c r="CT7010" s="531"/>
    </row>
    <row r="7011" spans="1:98">
      <c r="A7011" s="532"/>
      <c r="AR7011" s="2513"/>
      <c r="CT7011" s="531"/>
    </row>
    <row r="7012" spans="1:98">
      <c r="A7012" s="532"/>
      <c r="AR7012" s="2513"/>
      <c r="CT7012" s="531"/>
    </row>
    <row r="7013" spans="1:98">
      <c r="A7013" s="532"/>
      <c r="AR7013" s="2513"/>
      <c r="CT7013" s="531"/>
    </row>
    <row r="7014" spans="1:98">
      <c r="A7014" s="532"/>
      <c r="AR7014" s="2513"/>
      <c r="CT7014" s="531"/>
    </row>
    <row r="7015" spans="1:98">
      <c r="A7015" s="532"/>
      <c r="AR7015" s="2513"/>
      <c r="CT7015" s="531"/>
    </row>
    <row r="7016" spans="1:98">
      <c r="A7016" s="532"/>
      <c r="AR7016" s="2513"/>
      <c r="CT7016" s="531"/>
    </row>
    <row r="7017" spans="1:98">
      <c r="A7017" s="532"/>
      <c r="AR7017" s="2513"/>
      <c r="CT7017" s="531"/>
    </row>
    <row r="7018" spans="1:98">
      <c r="A7018" s="532"/>
      <c r="AR7018" s="2513"/>
      <c r="CT7018" s="531"/>
    </row>
    <row r="7019" spans="1:98">
      <c r="A7019" s="532"/>
      <c r="AR7019" s="2513"/>
      <c r="CT7019" s="531"/>
    </row>
    <row r="7020" spans="1:98">
      <c r="A7020" s="532"/>
      <c r="AR7020" s="2513"/>
      <c r="CT7020" s="531"/>
    </row>
    <row r="7021" spans="1:98">
      <c r="A7021" s="532"/>
      <c r="AR7021" s="2513"/>
      <c r="CT7021" s="531"/>
    </row>
    <row r="7022" spans="1:98">
      <c r="A7022" s="532"/>
      <c r="AR7022" s="2513"/>
      <c r="CT7022" s="531"/>
    </row>
    <row r="7023" spans="1:98">
      <c r="A7023" s="532"/>
      <c r="AR7023" s="2513"/>
      <c r="CT7023" s="531"/>
    </row>
    <row r="7024" spans="1:98">
      <c r="A7024" s="532"/>
      <c r="AR7024" s="2513"/>
      <c r="CT7024" s="531"/>
    </row>
    <row r="7025" spans="1:98">
      <c r="A7025" s="532"/>
      <c r="AR7025" s="2513"/>
      <c r="CT7025" s="531"/>
    </row>
    <row r="7026" spans="1:98">
      <c r="A7026" s="532"/>
      <c r="AR7026" s="2513"/>
      <c r="CT7026" s="531"/>
    </row>
    <row r="7027" spans="1:98">
      <c r="A7027" s="532"/>
      <c r="AR7027" s="2513"/>
      <c r="CT7027" s="531"/>
    </row>
    <row r="7028" spans="1:98">
      <c r="A7028" s="532"/>
      <c r="AR7028" s="2513"/>
      <c r="CT7028" s="531"/>
    </row>
    <row r="7029" spans="1:98">
      <c r="A7029" s="532"/>
      <c r="AR7029" s="2513"/>
      <c r="CT7029" s="531"/>
    </row>
    <row r="7030" spans="1:98">
      <c r="A7030" s="532"/>
      <c r="AR7030" s="2513"/>
      <c r="CT7030" s="531"/>
    </row>
    <row r="7031" spans="1:98">
      <c r="A7031" s="532"/>
      <c r="AR7031" s="2513"/>
      <c r="CT7031" s="531"/>
    </row>
    <row r="7032" spans="1:98">
      <c r="A7032" s="532"/>
      <c r="AR7032" s="2513"/>
      <c r="CT7032" s="531"/>
    </row>
    <row r="7033" spans="1:98">
      <c r="A7033" s="532"/>
      <c r="AR7033" s="2513"/>
      <c r="CT7033" s="531"/>
    </row>
    <row r="7034" spans="1:98">
      <c r="A7034" s="532"/>
      <c r="AR7034" s="2513"/>
      <c r="CT7034" s="531"/>
    </row>
    <row r="7035" spans="1:98">
      <c r="A7035" s="532"/>
      <c r="AR7035" s="2513"/>
      <c r="CT7035" s="531"/>
    </row>
    <row r="7036" spans="1:98">
      <c r="A7036" s="532"/>
      <c r="AR7036" s="2513"/>
      <c r="CT7036" s="531"/>
    </row>
    <row r="7037" spans="1:98">
      <c r="A7037" s="532"/>
      <c r="AR7037" s="2513"/>
      <c r="CT7037" s="531"/>
    </row>
    <row r="7038" spans="1:98">
      <c r="A7038" s="532"/>
      <c r="AR7038" s="2513"/>
      <c r="CT7038" s="531"/>
    </row>
    <row r="7039" spans="1:98">
      <c r="A7039" s="532"/>
      <c r="AR7039" s="2513"/>
      <c r="CT7039" s="531"/>
    </row>
    <row r="7040" spans="1:98">
      <c r="A7040" s="532"/>
      <c r="AR7040" s="2513"/>
      <c r="CT7040" s="531"/>
    </row>
    <row r="7041" spans="1:98">
      <c r="A7041" s="532"/>
      <c r="AR7041" s="2513"/>
      <c r="CT7041" s="531"/>
    </row>
    <row r="7042" spans="1:98">
      <c r="A7042" s="532"/>
      <c r="AR7042" s="2513"/>
      <c r="CT7042" s="531"/>
    </row>
    <row r="7043" spans="1:98">
      <c r="A7043" s="532"/>
      <c r="AR7043" s="2513"/>
      <c r="CT7043" s="531"/>
    </row>
    <row r="7044" spans="1:98">
      <c r="A7044" s="532"/>
      <c r="AR7044" s="2513"/>
      <c r="CT7044" s="531"/>
    </row>
    <row r="7045" spans="1:98">
      <c r="A7045" s="532"/>
      <c r="AR7045" s="2513"/>
      <c r="CT7045" s="531"/>
    </row>
    <row r="7046" spans="1:98">
      <c r="A7046" s="532"/>
      <c r="AR7046" s="2513"/>
      <c r="CT7046" s="531"/>
    </row>
    <row r="7047" spans="1:98">
      <c r="A7047" s="532"/>
      <c r="AR7047" s="2513"/>
      <c r="CT7047" s="531"/>
    </row>
    <row r="7048" spans="1:98">
      <c r="A7048" s="532"/>
      <c r="AR7048" s="2513"/>
      <c r="CT7048" s="531"/>
    </row>
    <row r="7049" spans="1:98">
      <c r="A7049" s="532"/>
      <c r="AR7049" s="2513"/>
      <c r="CT7049" s="531"/>
    </row>
    <row r="7050" spans="1:98">
      <c r="A7050" s="532"/>
      <c r="AR7050" s="2513"/>
      <c r="CT7050" s="531"/>
    </row>
    <row r="7051" spans="1:98">
      <c r="A7051" s="532"/>
      <c r="AR7051" s="2513"/>
      <c r="CT7051" s="531"/>
    </row>
    <row r="7052" spans="1:98">
      <c r="A7052" s="532"/>
      <c r="AR7052" s="2513"/>
      <c r="CT7052" s="531"/>
    </row>
    <row r="7053" spans="1:98">
      <c r="A7053" s="532"/>
      <c r="AR7053" s="2513"/>
      <c r="CT7053" s="531"/>
    </row>
    <row r="7054" spans="1:98">
      <c r="A7054" s="532"/>
      <c r="AR7054" s="2513"/>
      <c r="CT7054" s="531"/>
    </row>
    <row r="7055" spans="1:98">
      <c r="A7055" s="532"/>
      <c r="AR7055" s="2513"/>
      <c r="CT7055" s="531"/>
    </row>
    <row r="7056" spans="1:98">
      <c r="A7056" s="532"/>
      <c r="AR7056" s="2513"/>
      <c r="CT7056" s="531"/>
    </row>
    <row r="7057" spans="1:98">
      <c r="A7057" s="532"/>
      <c r="AR7057" s="2513"/>
      <c r="CT7057" s="531"/>
    </row>
    <row r="7058" spans="1:98">
      <c r="A7058" s="532"/>
      <c r="AR7058" s="2513"/>
      <c r="CT7058" s="531"/>
    </row>
    <row r="7059" spans="1:98">
      <c r="A7059" s="532"/>
      <c r="AR7059" s="2513"/>
      <c r="CT7059" s="531"/>
    </row>
    <row r="7060" spans="1:98">
      <c r="A7060" s="532"/>
      <c r="AR7060" s="2513"/>
      <c r="CT7060" s="531"/>
    </row>
    <row r="7061" spans="1:98">
      <c r="A7061" s="532"/>
      <c r="AR7061" s="2513"/>
      <c r="CT7061" s="531"/>
    </row>
    <row r="7062" spans="1:98">
      <c r="A7062" s="532"/>
      <c r="AR7062" s="2513"/>
      <c r="CT7062" s="531"/>
    </row>
    <row r="7063" spans="1:98">
      <c r="A7063" s="532"/>
      <c r="AR7063" s="2513"/>
      <c r="CT7063" s="531"/>
    </row>
    <row r="7064" spans="1:98">
      <c r="A7064" s="532"/>
      <c r="AR7064" s="2513"/>
      <c r="CT7064" s="531"/>
    </row>
    <row r="7065" spans="1:98">
      <c r="A7065" s="532"/>
      <c r="AR7065" s="2513"/>
      <c r="CT7065" s="531"/>
    </row>
    <row r="7066" spans="1:98">
      <c r="A7066" s="532"/>
      <c r="AR7066" s="2513"/>
      <c r="CT7066" s="531"/>
    </row>
    <row r="7067" spans="1:98">
      <c r="A7067" s="532"/>
      <c r="AR7067" s="2513"/>
      <c r="CT7067" s="531"/>
    </row>
    <row r="7068" spans="1:98">
      <c r="A7068" s="532"/>
      <c r="AR7068" s="2513"/>
      <c r="CT7068" s="531"/>
    </row>
    <row r="7069" spans="1:98">
      <c r="A7069" s="532"/>
      <c r="AR7069" s="2513"/>
      <c r="CT7069" s="531"/>
    </row>
    <row r="7070" spans="1:98">
      <c r="A7070" s="532"/>
      <c r="AR7070" s="2513"/>
      <c r="CT7070" s="531"/>
    </row>
    <row r="7071" spans="1:98">
      <c r="A7071" s="532"/>
      <c r="AR7071" s="2513"/>
      <c r="CT7071" s="531"/>
    </row>
    <row r="7072" spans="1:98">
      <c r="A7072" s="532"/>
      <c r="AR7072" s="2513"/>
      <c r="CT7072" s="531"/>
    </row>
    <row r="7073" spans="1:98">
      <c r="A7073" s="532"/>
      <c r="AR7073" s="2513"/>
      <c r="CT7073" s="531"/>
    </row>
    <row r="7074" spans="1:98">
      <c r="A7074" s="532"/>
      <c r="AR7074" s="2513"/>
      <c r="CT7074" s="531"/>
    </row>
    <row r="7075" spans="1:98">
      <c r="A7075" s="532"/>
      <c r="AR7075" s="2513"/>
      <c r="CT7075" s="531"/>
    </row>
    <row r="7076" spans="1:98">
      <c r="A7076" s="532"/>
      <c r="AR7076" s="2513"/>
      <c r="CT7076" s="531"/>
    </row>
    <row r="7077" spans="1:98">
      <c r="A7077" s="532"/>
      <c r="AR7077" s="2513"/>
      <c r="CT7077" s="531"/>
    </row>
    <row r="7078" spans="1:98">
      <c r="A7078" s="532"/>
      <c r="AR7078" s="2513"/>
      <c r="CT7078" s="531"/>
    </row>
    <row r="7079" spans="1:98">
      <c r="A7079" s="532"/>
      <c r="AR7079" s="2513"/>
      <c r="CT7079" s="531"/>
    </row>
    <row r="7080" spans="1:98">
      <c r="A7080" s="532"/>
      <c r="AR7080" s="2513"/>
      <c r="CT7080" s="531"/>
    </row>
    <row r="7081" spans="1:98">
      <c r="A7081" s="532"/>
      <c r="AR7081" s="2513"/>
      <c r="CT7081" s="531"/>
    </row>
    <row r="7082" spans="1:98">
      <c r="A7082" s="532"/>
      <c r="AR7082" s="2513"/>
      <c r="CT7082" s="531"/>
    </row>
    <row r="7083" spans="1:98">
      <c r="A7083" s="532"/>
      <c r="AR7083" s="2513"/>
      <c r="CT7083" s="531"/>
    </row>
    <row r="7084" spans="1:98">
      <c r="A7084" s="532"/>
      <c r="AR7084" s="2513"/>
      <c r="CT7084" s="531"/>
    </row>
    <row r="7085" spans="1:98">
      <c r="A7085" s="532"/>
      <c r="AR7085" s="2513"/>
      <c r="CT7085" s="531"/>
    </row>
    <row r="7086" spans="1:98">
      <c r="A7086" s="532"/>
      <c r="AR7086" s="2513"/>
      <c r="CT7086" s="531"/>
    </row>
    <row r="7087" spans="1:98">
      <c r="A7087" s="532"/>
      <c r="AR7087" s="2513"/>
      <c r="CT7087" s="531"/>
    </row>
    <row r="7088" spans="1:98">
      <c r="A7088" s="532"/>
      <c r="AR7088" s="2513"/>
      <c r="CT7088" s="531"/>
    </row>
    <row r="7089" spans="1:98">
      <c r="A7089" s="532"/>
      <c r="AR7089" s="2513"/>
      <c r="CT7089" s="531"/>
    </row>
    <row r="7090" spans="1:98">
      <c r="A7090" s="532"/>
      <c r="AR7090" s="2513"/>
      <c r="CT7090" s="531"/>
    </row>
    <row r="7091" spans="1:98">
      <c r="A7091" s="532"/>
      <c r="AR7091" s="2513"/>
      <c r="CT7091" s="531"/>
    </row>
    <row r="7092" spans="1:98">
      <c r="A7092" s="532"/>
      <c r="AR7092" s="2513"/>
      <c r="CT7092" s="531"/>
    </row>
    <row r="7093" spans="1:98">
      <c r="A7093" s="532"/>
      <c r="AR7093" s="2513"/>
      <c r="CT7093" s="531"/>
    </row>
    <row r="7094" spans="1:98">
      <c r="A7094" s="532"/>
      <c r="AR7094" s="2513"/>
      <c r="CT7094" s="531"/>
    </row>
    <row r="7095" spans="1:98">
      <c r="A7095" s="532"/>
      <c r="AR7095" s="2513"/>
      <c r="CT7095" s="531"/>
    </row>
    <row r="7096" spans="1:98">
      <c r="A7096" s="532"/>
      <c r="AR7096" s="2513"/>
      <c r="CT7096" s="531"/>
    </row>
    <row r="7097" spans="1:98">
      <c r="A7097" s="532"/>
      <c r="AR7097" s="2513"/>
      <c r="CT7097" s="531"/>
    </row>
    <row r="7098" spans="1:98">
      <c r="A7098" s="532"/>
      <c r="AR7098" s="2513"/>
      <c r="CT7098" s="531"/>
    </row>
    <row r="7099" spans="1:98">
      <c r="A7099" s="532"/>
      <c r="AR7099" s="2513"/>
      <c r="CT7099" s="531"/>
    </row>
    <row r="7100" spans="1:98">
      <c r="A7100" s="532"/>
      <c r="AR7100" s="2513"/>
      <c r="CT7100" s="531"/>
    </row>
    <row r="7101" spans="1:98">
      <c r="A7101" s="532"/>
      <c r="AR7101" s="2513"/>
      <c r="CT7101" s="531"/>
    </row>
    <row r="7102" spans="1:98">
      <c r="A7102" s="532"/>
      <c r="AR7102" s="2513"/>
      <c r="CT7102" s="531"/>
    </row>
    <row r="7103" spans="1:98">
      <c r="A7103" s="532"/>
      <c r="AR7103" s="2513"/>
      <c r="CT7103" s="531"/>
    </row>
    <row r="7104" spans="1:98">
      <c r="A7104" s="532"/>
      <c r="AR7104" s="2513"/>
      <c r="CT7104" s="531"/>
    </row>
    <row r="7105" spans="1:98">
      <c r="A7105" s="532"/>
      <c r="AR7105" s="2513"/>
      <c r="CT7105" s="531"/>
    </row>
    <row r="7106" spans="1:98">
      <c r="A7106" s="532"/>
      <c r="AR7106" s="2513"/>
      <c r="CT7106" s="531"/>
    </row>
    <row r="7107" spans="1:98">
      <c r="A7107" s="532"/>
      <c r="AR7107" s="2513"/>
      <c r="CT7107" s="531"/>
    </row>
    <row r="7108" spans="1:98">
      <c r="A7108" s="532"/>
      <c r="AR7108" s="2513"/>
      <c r="CT7108" s="531"/>
    </row>
    <row r="7109" spans="1:98">
      <c r="A7109" s="532"/>
      <c r="AR7109" s="2513"/>
      <c r="CT7109" s="531"/>
    </row>
    <row r="7110" spans="1:98">
      <c r="A7110" s="532"/>
      <c r="AR7110" s="2513"/>
      <c r="CT7110" s="531"/>
    </row>
    <row r="7111" spans="1:98">
      <c r="A7111" s="532"/>
      <c r="AR7111" s="2513"/>
      <c r="CT7111" s="531"/>
    </row>
    <row r="7112" spans="1:98">
      <c r="A7112" s="532"/>
      <c r="AR7112" s="2513"/>
      <c r="CT7112" s="531"/>
    </row>
    <row r="7113" spans="1:98">
      <c r="A7113" s="532"/>
      <c r="AR7113" s="2513"/>
      <c r="CT7113" s="531"/>
    </row>
    <row r="7114" spans="1:98">
      <c r="A7114" s="532"/>
      <c r="AR7114" s="2513"/>
      <c r="CT7114" s="531"/>
    </row>
    <row r="7115" spans="1:98">
      <c r="A7115" s="532"/>
      <c r="AR7115" s="2513"/>
      <c r="CT7115" s="531"/>
    </row>
    <row r="7116" spans="1:98">
      <c r="A7116" s="532"/>
      <c r="AR7116" s="2513"/>
      <c r="CT7116" s="531"/>
    </row>
    <row r="7117" spans="1:98">
      <c r="A7117" s="532"/>
      <c r="AR7117" s="2513"/>
      <c r="CT7117" s="531"/>
    </row>
    <row r="7118" spans="1:98">
      <c r="A7118" s="532"/>
      <c r="AR7118" s="2513"/>
      <c r="CT7118" s="531"/>
    </row>
    <row r="7119" spans="1:98">
      <c r="A7119" s="532"/>
      <c r="AR7119" s="2513"/>
      <c r="CT7119" s="531"/>
    </row>
    <row r="7120" spans="1:98">
      <c r="A7120" s="532"/>
      <c r="AR7120" s="2513"/>
      <c r="CT7120" s="531"/>
    </row>
    <row r="7121" spans="1:98">
      <c r="A7121" s="532"/>
      <c r="AR7121" s="2513"/>
      <c r="CT7121" s="531"/>
    </row>
    <row r="7122" spans="1:98">
      <c r="A7122" s="532"/>
      <c r="AR7122" s="2513"/>
      <c r="CT7122" s="531"/>
    </row>
    <row r="7123" spans="1:98">
      <c r="A7123" s="532"/>
      <c r="AR7123" s="2513"/>
      <c r="CT7123" s="531"/>
    </row>
    <row r="7124" spans="1:98">
      <c r="A7124" s="532"/>
      <c r="AR7124" s="2513"/>
      <c r="CT7124" s="531"/>
    </row>
    <row r="7125" spans="1:98">
      <c r="A7125" s="532"/>
      <c r="AR7125" s="2513"/>
      <c r="CT7125" s="531"/>
    </row>
    <row r="7126" spans="1:98">
      <c r="A7126" s="532"/>
      <c r="AR7126" s="2513"/>
      <c r="CT7126" s="531"/>
    </row>
    <row r="7127" spans="1:98">
      <c r="A7127" s="532"/>
      <c r="AR7127" s="2513"/>
      <c r="CT7127" s="531"/>
    </row>
    <row r="7128" spans="1:98">
      <c r="A7128" s="532"/>
      <c r="AR7128" s="2513"/>
      <c r="CT7128" s="531"/>
    </row>
    <row r="7129" spans="1:98">
      <c r="A7129" s="532"/>
      <c r="AR7129" s="2513"/>
      <c r="CT7129" s="531"/>
    </row>
    <row r="7130" spans="1:98">
      <c r="A7130" s="532"/>
      <c r="AR7130" s="2513"/>
      <c r="CT7130" s="531"/>
    </row>
    <row r="7131" spans="1:98">
      <c r="A7131" s="532"/>
      <c r="AR7131" s="2513"/>
      <c r="CT7131" s="531"/>
    </row>
    <row r="7132" spans="1:98">
      <c r="A7132" s="532"/>
      <c r="AR7132" s="2513"/>
      <c r="CT7132" s="531"/>
    </row>
    <row r="7133" spans="1:98">
      <c r="A7133" s="532"/>
      <c r="AR7133" s="2513"/>
      <c r="CT7133" s="531"/>
    </row>
    <row r="7134" spans="1:98">
      <c r="A7134" s="532"/>
      <c r="AR7134" s="2513"/>
      <c r="CT7134" s="531"/>
    </row>
    <row r="7135" spans="1:98">
      <c r="A7135" s="532"/>
      <c r="AR7135" s="2513"/>
      <c r="CT7135" s="531"/>
    </row>
    <row r="7136" spans="1:98">
      <c r="A7136" s="532"/>
      <c r="AR7136" s="2513"/>
      <c r="CT7136" s="531"/>
    </row>
    <row r="7137" spans="1:98">
      <c r="A7137" s="532"/>
      <c r="AR7137" s="2513"/>
      <c r="CT7137" s="531"/>
    </row>
    <row r="7138" spans="1:98">
      <c r="A7138" s="532"/>
      <c r="AR7138" s="2513"/>
      <c r="CT7138" s="531"/>
    </row>
    <row r="7139" spans="1:98">
      <c r="A7139" s="532"/>
      <c r="AR7139" s="2513"/>
      <c r="CT7139" s="531"/>
    </row>
    <row r="7140" spans="1:98">
      <c r="A7140" s="532"/>
      <c r="AR7140" s="2513"/>
      <c r="CT7140" s="531"/>
    </row>
    <row r="7141" spans="1:98">
      <c r="A7141" s="532"/>
      <c r="AR7141" s="2513"/>
      <c r="CT7141" s="531"/>
    </row>
    <row r="7142" spans="1:98">
      <c r="A7142" s="532"/>
      <c r="AR7142" s="2513"/>
      <c r="CT7142" s="531"/>
    </row>
    <row r="7143" spans="1:98">
      <c r="A7143" s="532"/>
      <c r="AR7143" s="2513"/>
      <c r="CT7143" s="531"/>
    </row>
    <row r="7144" spans="1:98">
      <c r="A7144" s="532"/>
      <c r="AR7144" s="2513"/>
      <c r="CT7144" s="531"/>
    </row>
    <row r="7145" spans="1:98">
      <c r="A7145" s="532"/>
      <c r="AR7145" s="2513"/>
      <c r="CT7145" s="531"/>
    </row>
    <row r="7146" spans="1:98">
      <c r="A7146" s="532"/>
      <c r="AR7146" s="2513"/>
      <c r="CT7146" s="531"/>
    </row>
    <row r="7147" spans="1:98">
      <c r="A7147" s="532"/>
      <c r="AR7147" s="2513"/>
      <c r="CT7147" s="531"/>
    </row>
    <row r="7148" spans="1:98">
      <c r="A7148" s="532"/>
      <c r="AR7148" s="2513"/>
      <c r="CT7148" s="531"/>
    </row>
    <row r="7149" spans="1:98">
      <c r="A7149" s="532"/>
      <c r="AR7149" s="2513"/>
      <c r="CT7149" s="531"/>
    </row>
    <row r="7150" spans="1:98">
      <c r="A7150" s="532"/>
      <c r="AR7150" s="2513"/>
      <c r="CT7150" s="531"/>
    </row>
    <row r="7151" spans="1:98">
      <c r="A7151" s="532"/>
      <c r="AR7151" s="2513"/>
      <c r="CT7151" s="531"/>
    </row>
    <row r="7152" spans="1:98">
      <c r="A7152" s="532"/>
      <c r="AR7152" s="2513"/>
      <c r="CT7152" s="531"/>
    </row>
    <row r="7153" spans="1:98">
      <c r="A7153" s="532"/>
      <c r="AR7153" s="2513"/>
      <c r="CT7153" s="531"/>
    </row>
    <row r="7154" spans="1:98">
      <c r="A7154" s="532"/>
      <c r="AR7154" s="2513"/>
      <c r="CT7154" s="531"/>
    </row>
    <row r="7155" spans="1:98">
      <c r="A7155" s="532"/>
      <c r="AR7155" s="2513"/>
      <c r="CT7155" s="531"/>
    </row>
    <row r="7156" spans="1:98">
      <c r="A7156" s="532"/>
      <c r="AR7156" s="2513"/>
      <c r="CT7156" s="531"/>
    </row>
    <row r="7157" spans="1:98">
      <c r="A7157" s="532"/>
      <c r="AR7157" s="2513"/>
      <c r="CT7157" s="531"/>
    </row>
    <row r="7158" spans="1:98">
      <c r="A7158" s="532"/>
      <c r="AR7158" s="2513"/>
      <c r="CT7158" s="531"/>
    </row>
    <row r="7159" spans="1:98">
      <c r="A7159" s="532"/>
      <c r="AR7159" s="2513"/>
      <c r="CT7159" s="531"/>
    </row>
    <row r="7160" spans="1:98">
      <c r="A7160" s="532"/>
      <c r="AR7160" s="2513"/>
      <c r="CT7160" s="531"/>
    </row>
    <row r="7161" spans="1:98">
      <c r="A7161" s="532"/>
      <c r="AR7161" s="2513"/>
      <c r="CT7161" s="531"/>
    </row>
    <row r="7162" spans="1:98">
      <c r="A7162" s="532"/>
      <c r="AR7162" s="2513"/>
      <c r="CT7162" s="531"/>
    </row>
    <row r="7163" spans="1:98">
      <c r="A7163" s="532"/>
      <c r="AR7163" s="2513"/>
      <c r="CT7163" s="531"/>
    </row>
    <row r="7164" spans="1:98">
      <c r="A7164" s="532"/>
      <c r="AR7164" s="2513"/>
      <c r="CT7164" s="531"/>
    </row>
    <row r="7165" spans="1:98">
      <c r="A7165" s="532"/>
      <c r="AR7165" s="2513"/>
      <c r="CT7165" s="531"/>
    </row>
    <row r="7166" spans="1:98">
      <c r="A7166" s="532"/>
      <c r="AR7166" s="2513"/>
      <c r="CT7166" s="531"/>
    </row>
    <row r="7167" spans="1:98">
      <c r="A7167" s="532"/>
      <c r="AR7167" s="2513"/>
      <c r="CT7167" s="531"/>
    </row>
    <row r="7168" spans="1:98">
      <c r="A7168" s="532"/>
      <c r="AR7168" s="2513"/>
      <c r="CT7168" s="531"/>
    </row>
    <row r="7169" spans="1:98">
      <c r="A7169" s="532"/>
      <c r="AR7169" s="2513"/>
      <c r="CT7169" s="531"/>
    </row>
    <row r="7170" spans="1:98">
      <c r="A7170" s="532"/>
      <c r="AR7170" s="2513"/>
      <c r="CT7170" s="531"/>
    </row>
    <row r="7171" spans="1:98">
      <c r="A7171" s="532"/>
      <c r="AR7171" s="2513"/>
      <c r="CT7171" s="531"/>
    </row>
    <row r="7172" spans="1:98">
      <c r="A7172" s="532"/>
      <c r="AR7172" s="2513"/>
      <c r="CT7172" s="531"/>
    </row>
    <row r="7173" spans="1:98">
      <c r="A7173" s="532"/>
      <c r="AR7173" s="2513"/>
      <c r="CT7173" s="531"/>
    </row>
    <row r="7174" spans="1:98">
      <c r="A7174" s="532"/>
      <c r="AR7174" s="2513"/>
      <c r="CT7174" s="531"/>
    </row>
    <row r="7175" spans="1:98">
      <c r="A7175" s="532"/>
      <c r="AR7175" s="2513"/>
      <c r="CT7175" s="531"/>
    </row>
    <row r="7176" spans="1:98">
      <c r="A7176" s="532"/>
      <c r="AR7176" s="2513"/>
      <c r="CT7176" s="531"/>
    </row>
    <row r="7177" spans="1:98">
      <c r="A7177" s="532"/>
      <c r="AR7177" s="2513"/>
      <c r="CT7177" s="531"/>
    </row>
    <row r="7178" spans="1:98">
      <c r="A7178" s="532"/>
      <c r="AR7178" s="2513"/>
      <c r="CT7178" s="531"/>
    </row>
    <row r="7179" spans="1:98">
      <c r="A7179" s="532"/>
      <c r="AR7179" s="2513"/>
      <c r="CT7179" s="531"/>
    </row>
    <row r="7180" spans="1:98">
      <c r="A7180" s="532"/>
      <c r="AR7180" s="2513"/>
      <c r="CT7180" s="531"/>
    </row>
    <row r="7181" spans="1:98">
      <c r="A7181" s="532"/>
      <c r="AR7181" s="2513"/>
      <c r="CT7181" s="531"/>
    </row>
    <row r="7182" spans="1:98">
      <c r="A7182" s="532"/>
      <c r="AR7182" s="2513"/>
      <c r="CT7182" s="531"/>
    </row>
    <row r="7183" spans="1:98">
      <c r="A7183" s="532"/>
      <c r="AR7183" s="2513"/>
      <c r="CT7183" s="531"/>
    </row>
    <row r="7184" spans="1:98">
      <c r="A7184" s="532"/>
      <c r="AR7184" s="2513"/>
      <c r="CT7184" s="531"/>
    </row>
    <row r="7185" spans="1:98">
      <c r="A7185" s="532"/>
      <c r="AR7185" s="2513"/>
      <c r="CT7185" s="531"/>
    </row>
    <row r="7186" spans="1:98">
      <c r="A7186" s="532"/>
      <c r="AR7186" s="2513"/>
      <c r="CT7186" s="531"/>
    </row>
    <row r="7187" spans="1:98">
      <c r="A7187" s="532"/>
      <c r="AR7187" s="2513"/>
      <c r="CT7187" s="531"/>
    </row>
    <row r="7188" spans="1:98">
      <c r="A7188" s="532"/>
      <c r="AR7188" s="2513"/>
      <c r="CT7188" s="531"/>
    </row>
    <row r="7189" spans="1:98">
      <c r="A7189" s="532"/>
      <c r="AR7189" s="2513"/>
      <c r="CT7189" s="531"/>
    </row>
    <row r="7190" spans="1:98">
      <c r="A7190" s="532"/>
      <c r="AR7190" s="2513"/>
      <c r="CT7190" s="531"/>
    </row>
    <row r="7191" spans="1:98">
      <c r="A7191" s="532"/>
      <c r="AR7191" s="2513"/>
      <c r="CT7191" s="531"/>
    </row>
    <row r="7192" spans="1:98">
      <c r="A7192" s="532"/>
      <c r="AR7192" s="2513"/>
      <c r="CT7192" s="531"/>
    </row>
    <row r="7193" spans="1:98">
      <c r="A7193" s="532"/>
      <c r="AR7193" s="2513"/>
      <c r="CT7193" s="531"/>
    </row>
    <row r="7194" spans="1:98">
      <c r="A7194" s="532"/>
      <c r="AR7194" s="2513"/>
      <c r="CT7194" s="531"/>
    </row>
    <row r="7195" spans="1:98">
      <c r="A7195" s="532"/>
      <c r="AR7195" s="2513"/>
      <c r="CT7195" s="531"/>
    </row>
    <row r="7196" spans="1:98">
      <c r="A7196" s="532"/>
      <c r="AR7196" s="2513"/>
      <c r="CT7196" s="531"/>
    </row>
    <row r="7197" spans="1:98">
      <c r="A7197" s="532"/>
      <c r="AR7197" s="2513"/>
      <c r="CT7197" s="531"/>
    </row>
    <row r="7198" spans="1:98">
      <c r="A7198" s="532"/>
      <c r="AR7198" s="2513"/>
      <c r="CT7198" s="531"/>
    </row>
    <row r="7199" spans="1:98">
      <c r="A7199" s="532"/>
      <c r="AR7199" s="2513"/>
      <c r="CT7199" s="531"/>
    </row>
    <row r="7200" spans="1:98">
      <c r="A7200" s="532"/>
      <c r="AR7200" s="2513"/>
      <c r="CT7200" s="531"/>
    </row>
    <row r="7201" spans="1:98">
      <c r="A7201" s="532"/>
      <c r="AR7201" s="2513"/>
      <c r="CT7201" s="531"/>
    </row>
    <row r="7202" spans="1:98">
      <c r="A7202" s="532"/>
      <c r="AR7202" s="2513"/>
      <c r="CT7202" s="531"/>
    </row>
    <row r="7203" spans="1:98">
      <c r="A7203" s="532"/>
      <c r="AR7203" s="2513"/>
      <c r="CT7203" s="531"/>
    </row>
    <row r="7204" spans="1:98">
      <c r="A7204" s="532"/>
      <c r="AR7204" s="2513"/>
      <c r="CT7204" s="531"/>
    </row>
    <row r="7205" spans="1:98">
      <c r="A7205" s="532"/>
      <c r="AR7205" s="2513"/>
      <c r="CT7205" s="531"/>
    </row>
    <row r="7206" spans="1:98">
      <c r="A7206" s="532"/>
      <c r="AR7206" s="2513"/>
      <c r="CT7206" s="531"/>
    </row>
    <row r="7207" spans="1:98">
      <c r="A7207" s="532"/>
      <c r="AR7207" s="2513"/>
      <c r="CT7207" s="531"/>
    </row>
    <row r="7208" spans="1:98">
      <c r="A7208" s="532"/>
      <c r="AR7208" s="2513"/>
      <c r="CT7208" s="531"/>
    </row>
    <row r="7209" spans="1:98">
      <c r="A7209" s="532"/>
      <c r="AR7209" s="2513"/>
      <c r="CT7209" s="531"/>
    </row>
    <row r="7210" spans="1:98">
      <c r="A7210" s="532"/>
      <c r="AR7210" s="2513"/>
      <c r="CT7210" s="531"/>
    </row>
    <row r="7211" spans="1:98">
      <c r="A7211" s="532"/>
      <c r="AR7211" s="2513"/>
      <c r="CT7211" s="531"/>
    </row>
    <row r="7212" spans="1:98">
      <c r="A7212" s="532"/>
      <c r="AR7212" s="2513"/>
      <c r="CT7212" s="531"/>
    </row>
    <row r="7213" spans="1:98">
      <c r="A7213" s="532"/>
      <c r="AR7213" s="2513"/>
      <c r="CT7213" s="531"/>
    </row>
    <row r="7214" spans="1:98">
      <c r="A7214" s="532"/>
      <c r="AR7214" s="2513"/>
      <c r="CT7214" s="531"/>
    </row>
    <row r="7215" spans="1:98">
      <c r="A7215" s="532"/>
      <c r="AR7215" s="2513"/>
      <c r="CT7215" s="531"/>
    </row>
    <row r="7216" spans="1:98">
      <c r="A7216" s="532"/>
      <c r="AR7216" s="2513"/>
      <c r="CT7216" s="531"/>
    </row>
    <row r="7217" spans="1:98">
      <c r="A7217" s="532"/>
      <c r="AR7217" s="2513"/>
      <c r="CT7217" s="531"/>
    </row>
    <row r="7218" spans="1:98">
      <c r="A7218" s="532"/>
      <c r="AR7218" s="2513"/>
      <c r="CT7218" s="531"/>
    </row>
    <row r="7219" spans="1:98">
      <c r="A7219" s="532"/>
      <c r="AR7219" s="2513"/>
      <c r="CT7219" s="531"/>
    </row>
    <row r="7220" spans="1:98">
      <c r="A7220" s="532"/>
      <c r="AR7220" s="2513"/>
      <c r="CT7220" s="531"/>
    </row>
    <row r="7221" spans="1:98">
      <c r="A7221" s="532"/>
      <c r="AR7221" s="2513"/>
      <c r="CT7221" s="531"/>
    </row>
    <row r="7222" spans="1:98">
      <c r="A7222" s="532"/>
      <c r="AR7222" s="2513"/>
      <c r="CT7222" s="531"/>
    </row>
    <row r="7223" spans="1:98">
      <c r="A7223" s="532"/>
      <c r="AR7223" s="2513"/>
      <c r="CT7223" s="531"/>
    </row>
    <row r="7224" spans="1:98">
      <c r="A7224" s="532"/>
      <c r="AR7224" s="2513"/>
      <c r="CT7224" s="531"/>
    </row>
    <row r="7225" spans="1:98">
      <c r="A7225" s="532"/>
      <c r="AR7225" s="2513"/>
      <c r="CT7225" s="531"/>
    </row>
    <row r="7226" spans="1:98">
      <c r="A7226" s="532"/>
      <c r="AR7226" s="2513"/>
      <c r="CT7226" s="531"/>
    </row>
    <row r="7227" spans="1:98">
      <c r="A7227" s="532"/>
      <c r="AR7227" s="2513"/>
      <c r="CT7227" s="531"/>
    </row>
    <row r="7228" spans="1:98">
      <c r="A7228" s="532"/>
      <c r="AR7228" s="2513"/>
      <c r="CT7228" s="531"/>
    </row>
    <row r="7229" spans="1:98">
      <c r="A7229" s="532"/>
      <c r="AR7229" s="2513"/>
      <c r="CT7229" s="531"/>
    </row>
    <row r="7230" spans="1:98">
      <c r="A7230" s="532"/>
      <c r="AR7230" s="2513"/>
      <c r="CT7230" s="531"/>
    </row>
    <row r="7231" spans="1:98">
      <c r="A7231" s="532"/>
      <c r="AR7231" s="2513"/>
      <c r="CT7231" s="531"/>
    </row>
    <row r="7232" spans="1:98">
      <c r="A7232" s="532"/>
      <c r="AR7232" s="2513"/>
      <c r="CT7232" s="531"/>
    </row>
    <row r="7233" spans="1:98">
      <c r="A7233" s="532"/>
      <c r="AR7233" s="2513"/>
      <c r="CT7233" s="531"/>
    </row>
    <row r="7234" spans="1:98">
      <c r="A7234" s="532"/>
      <c r="AR7234" s="2513"/>
      <c r="CT7234" s="531"/>
    </row>
    <row r="7235" spans="1:98">
      <c r="A7235" s="532"/>
      <c r="AR7235" s="2513"/>
      <c r="CT7235" s="531"/>
    </row>
    <row r="7236" spans="1:98">
      <c r="A7236" s="532"/>
      <c r="AR7236" s="2513"/>
      <c r="CT7236" s="531"/>
    </row>
    <row r="7237" spans="1:98">
      <c r="A7237" s="532"/>
      <c r="AR7237" s="2513"/>
      <c r="CT7237" s="531"/>
    </row>
    <row r="7238" spans="1:98">
      <c r="A7238" s="532"/>
      <c r="AR7238" s="2513"/>
      <c r="CT7238" s="531"/>
    </row>
    <row r="7239" spans="1:98">
      <c r="A7239" s="532"/>
      <c r="AR7239" s="2513"/>
      <c r="CT7239" s="531"/>
    </row>
    <row r="7240" spans="1:98">
      <c r="A7240" s="532"/>
      <c r="AR7240" s="2513"/>
      <c r="CT7240" s="531"/>
    </row>
    <row r="7241" spans="1:98">
      <c r="A7241" s="532"/>
      <c r="AR7241" s="2513"/>
      <c r="CT7241" s="531"/>
    </row>
    <row r="7242" spans="1:98">
      <c r="A7242" s="532"/>
      <c r="AR7242" s="2513"/>
      <c r="CT7242" s="531"/>
    </row>
    <row r="7243" spans="1:98">
      <c r="A7243" s="532"/>
      <c r="AR7243" s="2513"/>
      <c r="CT7243" s="531"/>
    </row>
    <row r="7244" spans="1:98">
      <c r="A7244" s="532"/>
      <c r="AR7244" s="2513"/>
      <c r="CT7244" s="531"/>
    </row>
    <row r="7245" spans="1:98">
      <c r="A7245" s="532"/>
      <c r="AR7245" s="2513"/>
      <c r="CT7245" s="531"/>
    </row>
    <row r="7246" spans="1:98">
      <c r="A7246" s="532"/>
      <c r="AR7246" s="2513"/>
      <c r="CT7246" s="531"/>
    </row>
    <row r="7247" spans="1:98">
      <c r="A7247" s="532"/>
      <c r="AR7247" s="2513"/>
      <c r="CT7247" s="531"/>
    </row>
    <row r="7248" spans="1:98">
      <c r="A7248" s="532"/>
      <c r="AR7248" s="2513"/>
      <c r="CT7248" s="531"/>
    </row>
    <row r="7249" spans="1:98">
      <c r="A7249" s="532"/>
      <c r="AR7249" s="2513"/>
      <c r="CT7249" s="531"/>
    </row>
    <row r="7250" spans="1:98">
      <c r="A7250" s="532"/>
      <c r="AR7250" s="2513"/>
      <c r="CT7250" s="531"/>
    </row>
    <row r="7251" spans="1:98">
      <c r="A7251" s="532"/>
      <c r="AR7251" s="2513"/>
      <c r="CT7251" s="531"/>
    </row>
    <row r="7252" spans="1:98">
      <c r="A7252" s="532"/>
      <c r="AR7252" s="2513"/>
      <c r="CT7252" s="531"/>
    </row>
    <row r="7253" spans="1:98">
      <c r="A7253" s="532"/>
      <c r="AR7253" s="2513"/>
      <c r="CT7253" s="531"/>
    </row>
    <row r="7254" spans="1:98">
      <c r="A7254" s="532"/>
      <c r="AR7254" s="2513"/>
      <c r="CT7254" s="531"/>
    </row>
    <row r="7255" spans="1:98">
      <c r="A7255" s="532"/>
      <c r="AR7255" s="2513"/>
      <c r="CT7255" s="531"/>
    </row>
    <row r="7256" spans="1:98">
      <c r="A7256" s="532"/>
      <c r="AR7256" s="2513"/>
      <c r="CT7256" s="531"/>
    </row>
    <row r="7257" spans="1:98">
      <c r="A7257" s="532"/>
      <c r="AR7257" s="2513"/>
      <c r="CT7257" s="531"/>
    </row>
    <row r="7258" spans="1:98">
      <c r="A7258" s="532"/>
      <c r="AR7258" s="2513"/>
      <c r="CT7258" s="531"/>
    </row>
    <row r="7259" spans="1:98">
      <c r="A7259" s="532"/>
      <c r="AR7259" s="2513"/>
      <c r="CT7259" s="531"/>
    </row>
    <row r="7260" spans="1:98">
      <c r="A7260" s="532"/>
      <c r="AR7260" s="2513"/>
      <c r="CT7260" s="531"/>
    </row>
    <row r="7261" spans="1:98">
      <c r="A7261" s="532"/>
      <c r="AR7261" s="2513"/>
      <c r="CT7261" s="531"/>
    </row>
    <row r="7262" spans="1:98">
      <c r="A7262" s="532"/>
      <c r="AR7262" s="2513"/>
      <c r="CT7262" s="531"/>
    </row>
    <row r="7263" spans="1:98">
      <c r="A7263" s="532"/>
      <c r="AR7263" s="2513"/>
      <c r="CT7263" s="531"/>
    </row>
    <row r="7264" spans="1:98">
      <c r="A7264" s="532"/>
      <c r="AR7264" s="2513"/>
      <c r="CT7264" s="531"/>
    </row>
    <row r="7265" spans="1:98">
      <c r="A7265" s="532"/>
      <c r="AR7265" s="2513"/>
      <c r="CT7265" s="531"/>
    </row>
    <row r="7266" spans="1:98">
      <c r="A7266" s="532"/>
      <c r="AR7266" s="2513"/>
      <c r="CT7266" s="531"/>
    </row>
    <row r="7267" spans="1:98">
      <c r="A7267" s="532"/>
      <c r="AR7267" s="2513"/>
      <c r="CT7267" s="531"/>
    </row>
    <row r="7268" spans="1:98">
      <c r="A7268" s="532"/>
      <c r="AR7268" s="2513"/>
      <c r="CT7268" s="531"/>
    </row>
    <row r="7269" spans="1:98">
      <c r="A7269" s="532"/>
      <c r="AR7269" s="2513"/>
      <c r="CT7269" s="531"/>
    </row>
    <row r="7270" spans="1:98">
      <c r="A7270" s="532"/>
      <c r="AR7270" s="2513"/>
      <c r="CT7270" s="531"/>
    </row>
    <row r="7271" spans="1:98">
      <c r="A7271" s="532"/>
      <c r="AR7271" s="2513"/>
      <c r="CT7271" s="531"/>
    </row>
    <row r="7272" spans="1:98">
      <c r="A7272" s="532"/>
      <c r="AR7272" s="2513"/>
      <c r="CT7272" s="531"/>
    </row>
    <row r="7273" spans="1:98">
      <c r="A7273" s="532"/>
      <c r="AR7273" s="2513"/>
      <c r="CT7273" s="531"/>
    </row>
    <row r="7274" spans="1:98">
      <c r="A7274" s="532"/>
      <c r="AR7274" s="2513"/>
      <c r="CT7274" s="531"/>
    </row>
    <row r="7275" spans="1:98">
      <c r="A7275" s="532"/>
      <c r="AR7275" s="2513"/>
      <c r="CT7275" s="531"/>
    </row>
    <row r="7276" spans="1:98">
      <c r="A7276" s="532"/>
      <c r="AR7276" s="2513"/>
      <c r="CT7276" s="531"/>
    </row>
    <row r="7277" spans="1:98">
      <c r="A7277" s="532"/>
      <c r="AR7277" s="2513"/>
      <c r="CT7277" s="531"/>
    </row>
    <row r="7278" spans="1:98">
      <c r="A7278" s="532"/>
      <c r="AR7278" s="2513"/>
      <c r="CT7278" s="531"/>
    </row>
    <row r="7279" spans="1:98">
      <c r="A7279" s="532"/>
      <c r="AR7279" s="2513"/>
      <c r="CT7279" s="531"/>
    </row>
    <row r="7280" spans="1:98">
      <c r="A7280" s="532"/>
      <c r="AR7280" s="2513"/>
      <c r="CT7280" s="531"/>
    </row>
    <row r="7281" spans="1:98">
      <c r="A7281" s="532"/>
      <c r="AR7281" s="2513"/>
      <c r="CT7281" s="531"/>
    </row>
    <row r="7282" spans="1:98">
      <c r="A7282" s="532"/>
      <c r="AR7282" s="2513"/>
      <c r="CT7282" s="531"/>
    </row>
    <row r="7283" spans="1:98">
      <c r="A7283" s="532"/>
      <c r="AR7283" s="2513"/>
      <c r="CT7283" s="531"/>
    </row>
    <row r="7284" spans="1:98">
      <c r="A7284" s="532"/>
      <c r="AR7284" s="2513"/>
      <c r="CT7284" s="531"/>
    </row>
    <row r="7285" spans="1:98">
      <c r="A7285" s="532"/>
      <c r="AR7285" s="2513"/>
      <c r="CT7285" s="531"/>
    </row>
    <row r="7286" spans="1:98">
      <c r="A7286" s="532"/>
      <c r="AR7286" s="2513"/>
      <c r="CT7286" s="531"/>
    </row>
    <row r="7287" spans="1:98">
      <c r="A7287" s="532"/>
      <c r="AR7287" s="2513"/>
      <c r="CT7287" s="531"/>
    </row>
    <row r="7288" spans="1:98">
      <c r="A7288" s="532"/>
      <c r="AR7288" s="2513"/>
      <c r="CT7288" s="531"/>
    </row>
    <row r="7289" spans="1:98">
      <c r="A7289" s="532"/>
      <c r="AR7289" s="2513"/>
      <c r="CT7289" s="531"/>
    </row>
    <row r="7290" spans="1:98">
      <c r="A7290" s="532"/>
      <c r="AR7290" s="2513"/>
      <c r="CT7290" s="531"/>
    </row>
    <row r="7291" spans="1:98">
      <c r="A7291" s="532"/>
      <c r="AR7291" s="2513"/>
      <c r="CT7291" s="531"/>
    </row>
    <row r="7292" spans="1:98">
      <c r="A7292" s="532"/>
      <c r="AR7292" s="2513"/>
      <c r="CT7292" s="531"/>
    </row>
    <row r="7293" spans="1:98">
      <c r="A7293" s="532"/>
      <c r="AR7293" s="2513"/>
      <c r="CT7293" s="531"/>
    </row>
    <row r="7294" spans="1:98">
      <c r="A7294" s="532"/>
      <c r="AR7294" s="2513"/>
      <c r="CT7294" s="531"/>
    </row>
    <row r="7295" spans="1:98">
      <c r="A7295" s="532"/>
      <c r="AR7295" s="2513"/>
      <c r="CT7295" s="531"/>
    </row>
    <row r="7296" spans="1:98">
      <c r="A7296" s="532"/>
      <c r="AR7296" s="2513"/>
      <c r="CT7296" s="531"/>
    </row>
    <row r="7297" spans="1:98">
      <c r="A7297" s="532"/>
      <c r="AR7297" s="2513"/>
      <c r="CT7297" s="531"/>
    </row>
    <row r="7298" spans="1:98">
      <c r="A7298" s="532"/>
      <c r="AR7298" s="2513"/>
      <c r="CT7298" s="531"/>
    </row>
    <row r="7299" spans="1:98">
      <c r="A7299" s="532"/>
      <c r="AR7299" s="2513"/>
      <c r="CT7299" s="531"/>
    </row>
    <row r="7300" spans="1:98">
      <c r="A7300" s="532"/>
      <c r="AR7300" s="2513"/>
      <c r="CT7300" s="531"/>
    </row>
    <row r="7301" spans="1:98">
      <c r="A7301" s="532"/>
      <c r="AR7301" s="2513"/>
      <c r="CT7301" s="531"/>
    </row>
    <row r="7302" spans="1:98">
      <c r="A7302" s="532"/>
      <c r="AR7302" s="2513"/>
      <c r="CT7302" s="531"/>
    </row>
    <row r="7303" spans="1:98">
      <c r="A7303" s="532"/>
      <c r="AR7303" s="2513"/>
      <c r="CT7303" s="531"/>
    </row>
    <row r="7304" spans="1:98">
      <c r="A7304" s="532"/>
      <c r="AR7304" s="2513"/>
      <c r="CT7304" s="531"/>
    </row>
    <row r="7305" spans="1:98">
      <c r="A7305" s="532"/>
      <c r="AR7305" s="2513"/>
      <c r="CT7305" s="531"/>
    </row>
    <row r="7306" spans="1:98">
      <c r="A7306" s="532"/>
      <c r="AR7306" s="2513"/>
      <c r="CT7306" s="531"/>
    </row>
    <row r="7307" spans="1:98">
      <c r="A7307" s="532"/>
      <c r="AR7307" s="2513"/>
      <c r="CT7307" s="531"/>
    </row>
    <row r="7308" spans="1:98">
      <c r="A7308" s="532"/>
      <c r="AR7308" s="2513"/>
      <c r="CT7308" s="531"/>
    </row>
    <row r="7309" spans="1:98">
      <c r="A7309" s="532"/>
      <c r="AR7309" s="2513"/>
      <c r="CT7309" s="531"/>
    </row>
    <row r="7310" spans="1:98">
      <c r="A7310" s="532"/>
      <c r="AR7310" s="2513"/>
      <c r="CT7310" s="531"/>
    </row>
    <row r="7311" spans="1:98">
      <c r="A7311" s="532"/>
      <c r="AR7311" s="2513"/>
      <c r="CT7311" s="531"/>
    </row>
    <row r="7312" spans="1:98">
      <c r="A7312" s="532"/>
      <c r="AR7312" s="2513"/>
      <c r="CT7312" s="531"/>
    </row>
    <row r="7313" spans="1:98">
      <c r="A7313" s="532"/>
      <c r="AR7313" s="2513"/>
      <c r="CT7313" s="531"/>
    </row>
    <row r="7314" spans="1:98">
      <c r="A7314" s="532"/>
      <c r="AR7314" s="2513"/>
      <c r="CT7314" s="531"/>
    </row>
    <row r="7315" spans="1:98">
      <c r="A7315" s="532"/>
      <c r="AR7315" s="2513"/>
      <c r="CT7315" s="531"/>
    </row>
    <row r="7316" spans="1:98">
      <c r="A7316" s="532"/>
      <c r="AR7316" s="2513"/>
      <c r="CT7316" s="531"/>
    </row>
    <row r="7317" spans="1:98">
      <c r="A7317" s="532"/>
      <c r="AR7317" s="2513"/>
      <c r="CT7317" s="531"/>
    </row>
    <row r="7318" spans="1:98">
      <c r="A7318" s="532"/>
      <c r="AR7318" s="2513"/>
      <c r="CT7318" s="531"/>
    </row>
    <row r="7319" spans="1:98">
      <c r="A7319" s="532"/>
      <c r="AR7319" s="2513"/>
      <c r="CT7319" s="531"/>
    </row>
    <row r="7320" spans="1:98">
      <c r="A7320" s="532"/>
      <c r="AR7320" s="2513"/>
      <c r="CT7320" s="531"/>
    </row>
    <row r="7321" spans="1:98">
      <c r="A7321" s="532"/>
      <c r="AR7321" s="2513"/>
      <c r="CT7321" s="531"/>
    </row>
    <row r="7322" spans="1:98">
      <c r="A7322" s="532"/>
      <c r="AR7322" s="2513"/>
      <c r="CT7322" s="531"/>
    </row>
    <row r="7323" spans="1:98">
      <c r="A7323" s="532"/>
      <c r="AR7323" s="2513"/>
      <c r="CT7323" s="531"/>
    </row>
    <row r="7324" spans="1:98">
      <c r="A7324" s="532"/>
      <c r="AR7324" s="2513"/>
      <c r="CT7324" s="531"/>
    </row>
    <row r="7325" spans="1:98">
      <c r="A7325" s="532"/>
      <c r="AR7325" s="2513"/>
      <c r="CT7325" s="531"/>
    </row>
    <row r="7326" spans="1:98">
      <c r="A7326" s="532"/>
      <c r="AR7326" s="2513"/>
      <c r="CT7326" s="531"/>
    </row>
    <row r="7327" spans="1:98">
      <c r="A7327" s="532"/>
      <c r="AR7327" s="2513"/>
      <c r="CT7327" s="531"/>
    </row>
    <row r="7328" spans="1:98">
      <c r="A7328" s="532"/>
      <c r="AR7328" s="2513"/>
      <c r="CT7328" s="531"/>
    </row>
    <row r="7329" spans="1:98">
      <c r="A7329" s="532"/>
      <c r="AR7329" s="2513"/>
      <c r="CT7329" s="531"/>
    </row>
    <row r="7330" spans="1:98">
      <c r="A7330" s="532"/>
      <c r="AR7330" s="2513"/>
      <c r="CT7330" s="531"/>
    </row>
    <row r="7331" spans="1:98">
      <c r="A7331" s="532"/>
      <c r="AR7331" s="2513"/>
      <c r="CT7331" s="531"/>
    </row>
    <row r="7332" spans="1:98">
      <c r="A7332" s="532"/>
      <c r="AR7332" s="2513"/>
      <c r="CT7332" s="531"/>
    </row>
    <row r="7333" spans="1:98">
      <c r="A7333" s="532"/>
      <c r="AR7333" s="2513"/>
      <c r="CT7333" s="531"/>
    </row>
    <row r="7334" spans="1:98">
      <c r="A7334" s="532"/>
      <c r="AR7334" s="2513"/>
      <c r="CT7334" s="531"/>
    </row>
    <row r="7335" spans="1:98">
      <c r="A7335" s="532"/>
      <c r="AR7335" s="2513"/>
      <c r="CT7335" s="531"/>
    </row>
    <row r="7336" spans="1:98">
      <c r="A7336" s="532"/>
      <c r="AR7336" s="2513"/>
      <c r="CT7336" s="531"/>
    </row>
    <row r="7337" spans="1:98">
      <c r="A7337" s="532"/>
      <c r="AR7337" s="2513"/>
      <c r="CT7337" s="531"/>
    </row>
    <row r="7338" spans="1:98">
      <c r="A7338" s="532"/>
      <c r="AR7338" s="2513"/>
      <c r="CT7338" s="531"/>
    </row>
    <row r="7339" spans="1:98">
      <c r="A7339" s="532"/>
      <c r="AR7339" s="2513"/>
      <c r="CT7339" s="531"/>
    </row>
    <row r="7340" spans="1:98">
      <c r="A7340" s="532"/>
      <c r="AR7340" s="2513"/>
      <c r="CT7340" s="531"/>
    </row>
    <row r="7341" spans="1:98">
      <c r="A7341" s="532"/>
      <c r="AR7341" s="2513"/>
      <c r="CT7341" s="531"/>
    </row>
    <row r="7342" spans="1:98">
      <c r="A7342" s="532"/>
      <c r="AR7342" s="2513"/>
      <c r="CT7342" s="531"/>
    </row>
    <row r="7343" spans="1:98">
      <c r="A7343" s="532"/>
      <c r="AR7343" s="2513"/>
      <c r="CT7343" s="531"/>
    </row>
    <row r="7344" spans="1:98">
      <c r="A7344" s="532"/>
      <c r="AR7344" s="2513"/>
      <c r="CT7344" s="531"/>
    </row>
    <row r="7345" spans="1:98">
      <c r="A7345" s="532"/>
      <c r="AR7345" s="2513"/>
      <c r="CT7345" s="531"/>
    </row>
    <row r="7346" spans="1:98">
      <c r="A7346" s="532"/>
      <c r="AR7346" s="2513"/>
      <c r="CT7346" s="531"/>
    </row>
    <row r="7347" spans="1:98">
      <c r="A7347" s="532"/>
      <c r="AR7347" s="2513"/>
      <c r="CT7347" s="531"/>
    </row>
    <row r="7348" spans="1:98">
      <c r="A7348" s="532"/>
      <c r="AR7348" s="2513"/>
      <c r="CT7348" s="531"/>
    </row>
    <row r="7349" spans="1:98">
      <c r="A7349" s="532"/>
      <c r="AR7349" s="2513"/>
      <c r="CT7349" s="531"/>
    </row>
    <row r="7350" spans="1:98">
      <c r="A7350" s="532"/>
      <c r="AR7350" s="2513"/>
      <c r="CT7350" s="531"/>
    </row>
    <row r="7351" spans="1:98">
      <c r="A7351" s="532"/>
      <c r="AR7351" s="2513"/>
      <c r="CT7351" s="531"/>
    </row>
    <row r="7352" spans="1:98">
      <c r="A7352" s="532"/>
      <c r="AR7352" s="2513"/>
      <c r="CT7352" s="531"/>
    </row>
    <row r="7353" spans="1:98">
      <c r="A7353" s="532"/>
      <c r="AR7353" s="2513"/>
      <c r="CT7353" s="531"/>
    </row>
    <row r="7354" spans="1:98">
      <c r="A7354" s="532"/>
      <c r="AR7354" s="2513"/>
      <c r="CT7354" s="531"/>
    </row>
    <row r="7355" spans="1:98">
      <c r="A7355" s="532"/>
      <c r="AR7355" s="2513"/>
      <c r="CT7355" s="531"/>
    </row>
    <row r="7356" spans="1:98">
      <c r="A7356" s="532"/>
      <c r="AR7356" s="2513"/>
      <c r="CT7356" s="531"/>
    </row>
    <row r="7357" spans="1:98">
      <c r="A7357" s="532"/>
      <c r="AR7357" s="2513"/>
      <c r="CT7357" s="531"/>
    </row>
    <row r="7358" spans="1:98">
      <c r="A7358" s="532"/>
      <c r="AR7358" s="2513"/>
      <c r="CT7358" s="531"/>
    </row>
    <row r="7359" spans="1:98">
      <c r="A7359" s="532"/>
      <c r="AR7359" s="2513"/>
      <c r="CT7359" s="531"/>
    </row>
    <row r="7360" spans="1:98">
      <c r="A7360" s="532"/>
      <c r="AR7360" s="2513"/>
      <c r="CT7360" s="531"/>
    </row>
    <row r="7361" spans="1:98">
      <c r="A7361" s="532"/>
      <c r="AR7361" s="2513"/>
      <c r="CT7361" s="531"/>
    </row>
    <row r="7362" spans="1:98">
      <c r="A7362" s="532"/>
      <c r="AR7362" s="2513"/>
      <c r="CT7362" s="531"/>
    </row>
    <row r="7363" spans="1:98">
      <c r="A7363" s="532"/>
      <c r="AR7363" s="2513"/>
      <c r="CT7363" s="531"/>
    </row>
    <row r="7364" spans="1:98">
      <c r="A7364" s="532"/>
      <c r="AR7364" s="2513"/>
      <c r="CT7364" s="531"/>
    </row>
    <row r="7365" spans="1:98">
      <c r="A7365" s="532"/>
      <c r="AR7365" s="2513"/>
      <c r="CT7365" s="531"/>
    </row>
    <row r="7366" spans="1:98">
      <c r="A7366" s="532"/>
      <c r="AR7366" s="2513"/>
      <c r="CT7366" s="531"/>
    </row>
    <row r="7367" spans="1:98">
      <c r="A7367" s="532"/>
      <c r="AR7367" s="2513"/>
      <c r="CT7367" s="531"/>
    </row>
    <row r="7368" spans="1:98">
      <c r="A7368" s="532"/>
      <c r="AR7368" s="2513"/>
      <c r="CT7368" s="531"/>
    </row>
    <row r="7369" spans="1:98">
      <c r="A7369" s="532"/>
      <c r="AR7369" s="2513"/>
      <c r="CT7369" s="531"/>
    </row>
    <row r="7370" spans="1:98">
      <c r="A7370" s="532"/>
      <c r="AR7370" s="2513"/>
      <c r="CT7370" s="531"/>
    </row>
    <row r="7371" spans="1:98">
      <c r="A7371" s="532"/>
      <c r="AR7371" s="2513"/>
      <c r="CT7371" s="531"/>
    </row>
    <row r="7372" spans="1:98">
      <c r="A7372" s="532"/>
      <c r="AR7372" s="2513"/>
      <c r="CT7372" s="531"/>
    </row>
    <row r="7373" spans="1:98">
      <c r="A7373" s="532"/>
      <c r="AR7373" s="2513"/>
      <c r="CT7373" s="531"/>
    </row>
    <row r="7374" spans="1:98">
      <c r="A7374" s="532"/>
      <c r="AR7374" s="2513"/>
      <c r="CT7374" s="531"/>
    </row>
    <row r="7375" spans="1:98">
      <c r="A7375" s="532"/>
      <c r="AR7375" s="2513"/>
      <c r="CT7375" s="531"/>
    </row>
    <row r="7376" spans="1:98">
      <c r="A7376" s="532"/>
      <c r="AR7376" s="2513"/>
      <c r="CT7376" s="531"/>
    </row>
    <row r="7377" spans="1:98">
      <c r="A7377" s="532"/>
      <c r="AR7377" s="2513"/>
      <c r="CT7377" s="531"/>
    </row>
    <row r="7378" spans="1:98">
      <c r="A7378" s="532"/>
      <c r="AR7378" s="2513"/>
      <c r="CT7378" s="531"/>
    </row>
    <row r="7379" spans="1:98">
      <c r="A7379" s="532"/>
      <c r="AR7379" s="2513"/>
      <c r="CT7379" s="531"/>
    </row>
    <row r="7380" spans="1:98">
      <c r="A7380" s="532"/>
      <c r="AR7380" s="2513"/>
      <c r="CT7380" s="531"/>
    </row>
    <row r="7381" spans="1:98">
      <c r="A7381" s="532"/>
      <c r="AR7381" s="2513"/>
      <c r="CT7381" s="531"/>
    </row>
    <row r="7382" spans="1:98">
      <c r="A7382" s="532"/>
      <c r="AR7382" s="2513"/>
      <c r="CT7382" s="531"/>
    </row>
    <row r="7383" spans="1:98">
      <c r="A7383" s="532"/>
      <c r="AR7383" s="2513"/>
      <c r="CT7383" s="531"/>
    </row>
    <row r="7384" spans="1:98">
      <c r="A7384" s="532"/>
      <c r="AR7384" s="2513"/>
      <c r="CT7384" s="531"/>
    </row>
    <row r="7385" spans="1:98">
      <c r="A7385" s="532"/>
      <c r="AR7385" s="2513"/>
      <c r="CT7385" s="531"/>
    </row>
    <row r="7386" spans="1:98">
      <c r="A7386" s="532"/>
      <c r="AR7386" s="2513"/>
      <c r="CT7386" s="531"/>
    </row>
    <row r="7387" spans="1:98">
      <c r="A7387" s="532"/>
      <c r="AR7387" s="2513"/>
      <c r="CT7387" s="531"/>
    </row>
    <row r="7388" spans="1:98">
      <c r="A7388" s="532"/>
      <c r="AR7388" s="2513"/>
      <c r="CT7388" s="531"/>
    </row>
    <row r="7389" spans="1:98">
      <c r="A7389" s="532"/>
      <c r="AR7389" s="2513"/>
      <c r="CT7389" s="531"/>
    </row>
    <row r="7390" spans="1:98">
      <c r="A7390" s="532"/>
      <c r="AR7390" s="2513"/>
      <c r="CT7390" s="531"/>
    </row>
    <row r="7391" spans="1:98">
      <c r="A7391" s="532"/>
      <c r="AR7391" s="2513"/>
      <c r="CT7391" s="531"/>
    </row>
    <row r="7392" spans="1:98">
      <c r="A7392" s="532"/>
      <c r="AR7392" s="2513"/>
      <c r="CT7392" s="531"/>
    </row>
    <row r="7393" spans="1:98">
      <c r="A7393" s="532"/>
      <c r="AR7393" s="2513"/>
      <c r="CT7393" s="531"/>
    </row>
    <row r="7394" spans="1:98">
      <c r="A7394" s="532"/>
      <c r="AR7394" s="2513"/>
      <c r="CT7394" s="531"/>
    </row>
    <row r="7395" spans="1:98">
      <c r="A7395" s="532"/>
      <c r="AR7395" s="2513"/>
      <c r="CT7395" s="531"/>
    </row>
    <row r="7396" spans="1:98">
      <c r="A7396" s="532"/>
      <c r="AR7396" s="2513"/>
      <c r="CT7396" s="531"/>
    </row>
    <row r="7397" spans="1:98">
      <c r="A7397" s="532"/>
      <c r="AR7397" s="2513"/>
      <c r="CT7397" s="531"/>
    </row>
    <row r="7398" spans="1:98">
      <c r="A7398" s="532"/>
      <c r="AR7398" s="2513"/>
      <c r="CT7398" s="531"/>
    </row>
    <row r="7399" spans="1:98">
      <c r="A7399" s="532"/>
      <c r="AR7399" s="2513"/>
      <c r="CT7399" s="531"/>
    </row>
    <row r="7400" spans="1:98">
      <c r="A7400" s="532"/>
      <c r="AR7400" s="2513"/>
      <c r="CT7400" s="531"/>
    </row>
    <row r="7401" spans="1:98">
      <c r="A7401" s="532"/>
      <c r="AR7401" s="2513"/>
      <c r="CT7401" s="531"/>
    </row>
    <row r="7402" spans="1:98">
      <c r="A7402" s="532"/>
      <c r="AR7402" s="2513"/>
      <c r="CT7402" s="531"/>
    </row>
    <row r="7403" spans="1:98">
      <c r="A7403" s="532"/>
      <c r="AR7403" s="2513"/>
      <c r="CT7403" s="531"/>
    </row>
    <row r="7404" spans="1:98">
      <c r="A7404" s="532"/>
      <c r="AR7404" s="2513"/>
      <c r="CT7404" s="531"/>
    </row>
    <row r="7405" spans="1:98">
      <c r="A7405" s="532"/>
      <c r="AR7405" s="2513"/>
      <c r="CT7405" s="531"/>
    </row>
    <row r="7406" spans="1:98">
      <c r="A7406" s="532"/>
      <c r="AR7406" s="2513"/>
      <c r="CT7406" s="531"/>
    </row>
    <row r="7407" spans="1:98">
      <c r="A7407" s="532"/>
      <c r="AR7407" s="2513"/>
      <c r="CT7407" s="531"/>
    </row>
    <row r="7408" spans="1:98">
      <c r="A7408" s="532"/>
      <c r="AR7408" s="2513"/>
      <c r="CT7408" s="531"/>
    </row>
    <row r="7409" spans="1:98">
      <c r="A7409" s="532"/>
      <c r="AR7409" s="2513"/>
      <c r="CT7409" s="531"/>
    </row>
    <row r="7410" spans="1:98">
      <c r="A7410" s="532"/>
      <c r="AR7410" s="2513"/>
      <c r="CT7410" s="531"/>
    </row>
    <row r="7411" spans="1:98">
      <c r="A7411" s="532"/>
      <c r="AR7411" s="2513"/>
      <c r="CT7411" s="531"/>
    </row>
    <row r="7412" spans="1:98">
      <c r="A7412" s="532"/>
      <c r="AR7412" s="2513"/>
      <c r="CT7412" s="531"/>
    </row>
    <row r="7413" spans="1:98">
      <c r="A7413" s="532"/>
      <c r="AR7413" s="2513"/>
      <c r="CT7413" s="531"/>
    </row>
    <row r="7414" spans="1:98">
      <c r="A7414" s="532"/>
      <c r="AR7414" s="2513"/>
      <c r="CT7414" s="531"/>
    </row>
    <row r="7415" spans="1:98">
      <c r="A7415" s="532"/>
      <c r="AR7415" s="2513"/>
      <c r="CT7415" s="531"/>
    </row>
    <row r="7416" spans="1:98">
      <c r="A7416" s="532"/>
      <c r="AR7416" s="2513"/>
      <c r="CT7416" s="531"/>
    </row>
    <row r="7417" spans="1:98">
      <c r="A7417" s="532"/>
      <c r="AR7417" s="2513"/>
      <c r="CT7417" s="531"/>
    </row>
    <row r="7418" spans="1:98">
      <c r="A7418" s="532"/>
      <c r="AR7418" s="2513"/>
      <c r="CT7418" s="531"/>
    </row>
    <row r="7419" spans="1:98">
      <c r="A7419" s="532"/>
      <c r="AR7419" s="2513"/>
      <c r="CT7419" s="531"/>
    </row>
    <row r="7420" spans="1:98">
      <c r="A7420" s="532"/>
      <c r="AR7420" s="2513"/>
      <c r="CT7420" s="531"/>
    </row>
    <row r="7421" spans="1:98">
      <c r="A7421" s="532"/>
      <c r="AR7421" s="2513"/>
      <c r="CT7421" s="531"/>
    </row>
    <row r="7422" spans="1:98">
      <c r="A7422" s="532"/>
      <c r="AR7422" s="2513"/>
      <c r="CT7422" s="531"/>
    </row>
    <row r="7423" spans="1:98">
      <c r="A7423" s="532"/>
      <c r="AR7423" s="2513"/>
      <c r="CT7423" s="531"/>
    </row>
    <row r="7424" spans="1:98">
      <c r="A7424" s="532"/>
      <c r="AR7424" s="2513"/>
      <c r="CT7424" s="531"/>
    </row>
    <row r="7425" spans="1:98">
      <c r="A7425" s="532"/>
      <c r="AR7425" s="2513"/>
      <c r="CT7425" s="531"/>
    </row>
    <row r="7426" spans="1:98">
      <c r="A7426" s="532"/>
      <c r="AR7426" s="2513"/>
      <c r="CT7426" s="531"/>
    </row>
    <row r="7427" spans="1:98">
      <c r="A7427" s="532"/>
      <c r="AR7427" s="2513"/>
      <c r="CT7427" s="531"/>
    </row>
    <row r="7428" spans="1:98">
      <c r="A7428" s="532"/>
      <c r="AR7428" s="2513"/>
      <c r="CT7428" s="531"/>
    </row>
    <row r="7429" spans="1:98">
      <c r="A7429" s="532"/>
      <c r="AR7429" s="2513"/>
      <c r="CT7429" s="531"/>
    </row>
    <row r="7430" spans="1:98">
      <c r="A7430" s="532"/>
      <c r="AR7430" s="2513"/>
      <c r="CT7430" s="531"/>
    </row>
    <row r="7431" spans="1:98">
      <c r="A7431" s="532"/>
      <c r="AR7431" s="2513"/>
      <c r="CT7431" s="531"/>
    </row>
    <row r="7432" spans="1:98">
      <c r="A7432" s="532"/>
      <c r="AR7432" s="2513"/>
      <c r="CT7432" s="531"/>
    </row>
    <row r="7433" spans="1:98">
      <c r="A7433" s="532"/>
      <c r="AR7433" s="2513"/>
      <c r="CT7433" s="531"/>
    </row>
    <row r="7434" spans="1:98">
      <c r="A7434" s="532"/>
      <c r="AR7434" s="2513"/>
      <c r="CT7434" s="531"/>
    </row>
    <row r="7435" spans="1:98">
      <c r="A7435" s="532"/>
      <c r="AR7435" s="2513"/>
      <c r="CT7435" s="531"/>
    </row>
    <row r="7436" spans="1:98">
      <c r="A7436" s="532"/>
      <c r="AR7436" s="2513"/>
      <c r="CT7436" s="531"/>
    </row>
    <row r="7437" spans="1:98">
      <c r="A7437" s="532"/>
      <c r="AR7437" s="2513"/>
      <c r="CT7437" s="531"/>
    </row>
    <row r="7438" spans="1:98">
      <c r="A7438" s="532"/>
      <c r="AR7438" s="2513"/>
      <c r="CT7438" s="531"/>
    </row>
    <row r="7439" spans="1:98">
      <c r="A7439" s="532"/>
      <c r="AR7439" s="2513"/>
      <c r="CT7439" s="531"/>
    </row>
    <row r="7440" spans="1:98">
      <c r="A7440" s="532"/>
      <c r="AR7440" s="2513"/>
      <c r="CT7440" s="531"/>
    </row>
    <row r="7441" spans="1:98">
      <c r="A7441" s="532"/>
      <c r="AR7441" s="2513"/>
      <c r="CT7441" s="531"/>
    </row>
    <row r="7442" spans="1:98">
      <c r="A7442" s="532"/>
      <c r="AR7442" s="2513"/>
      <c r="CT7442" s="531"/>
    </row>
    <row r="7443" spans="1:98">
      <c r="A7443" s="532"/>
      <c r="AR7443" s="2513"/>
      <c r="CT7443" s="531"/>
    </row>
    <row r="7444" spans="1:98">
      <c r="A7444" s="532"/>
      <c r="AR7444" s="2513"/>
      <c r="CT7444" s="531"/>
    </row>
    <row r="7445" spans="1:98">
      <c r="A7445" s="532"/>
      <c r="AR7445" s="2513"/>
      <c r="CT7445" s="531"/>
    </row>
    <row r="7446" spans="1:98">
      <c r="A7446" s="532"/>
      <c r="AR7446" s="2513"/>
      <c r="CT7446" s="531"/>
    </row>
    <row r="7447" spans="1:98">
      <c r="A7447" s="532"/>
      <c r="AR7447" s="2513"/>
      <c r="CT7447" s="531"/>
    </row>
    <row r="7448" spans="1:98">
      <c r="A7448" s="532"/>
      <c r="AR7448" s="2513"/>
      <c r="CT7448" s="531"/>
    </row>
    <row r="7449" spans="1:98">
      <c r="A7449" s="532"/>
      <c r="AR7449" s="2513"/>
      <c r="CT7449" s="531"/>
    </row>
    <row r="7450" spans="1:98">
      <c r="A7450" s="532"/>
      <c r="AR7450" s="2513"/>
      <c r="CT7450" s="531"/>
    </row>
    <row r="7451" spans="1:98">
      <c r="A7451" s="532"/>
      <c r="AR7451" s="2513"/>
      <c r="CT7451" s="531"/>
    </row>
    <row r="7452" spans="1:98">
      <c r="A7452" s="532"/>
      <c r="AR7452" s="2513"/>
      <c r="CT7452" s="531"/>
    </row>
    <row r="7453" spans="1:98">
      <c r="A7453" s="532"/>
      <c r="AR7453" s="2513"/>
      <c r="CT7453" s="531"/>
    </row>
    <row r="7454" spans="1:98">
      <c r="A7454" s="532"/>
      <c r="AR7454" s="2513"/>
      <c r="CT7454" s="531"/>
    </row>
    <row r="7455" spans="1:98">
      <c r="A7455" s="532"/>
      <c r="AR7455" s="2513"/>
      <c r="CT7455" s="531"/>
    </row>
    <row r="7456" spans="1:98">
      <c r="A7456" s="532"/>
      <c r="AR7456" s="2513"/>
      <c r="CT7456" s="531"/>
    </row>
    <row r="7457" spans="1:98">
      <c r="A7457" s="532"/>
      <c r="AR7457" s="2513"/>
      <c r="CT7457" s="531"/>
    </row>
    <row r="7458" spans="1:98">
      <c r="A7458" s="532"/>
      <c r="AR7458" s="2513"/>
      <c r="CT7458" s="531"/>
    </row>
    <row r="7459" spans="1:98">
      <c r="A7459" s="532"/>
      <c r="AR7459" s="2513"/>
      <c r="CT7459" s="531"/>
    </row>
    <row r="7460" spans="1:98">
      <c r="A7460" s="532"/>
      <c r="AR7460" s="2513"/>
      <c r="CT7460" s="531"/>
    </row>
    <row r="7461" spans="1:98">
      <c r="A7461" s="532"/>
      <c r="AR7461" s="2513"/>
      <c r="CT7461" s="531"/>
    </row>
    <row r="7462" spans="1:98">
      <c r="A7462" s="532"/>
      <c r="AR7462" s="2513"/>
      <c r="CT7462" s="531"/>
    </row>
    <row r="7463" spans="1:98">
      <c r="A7463" s="532"/>
      <c r="AR7463" s="2513"/>
      <c r="CT7463" s="531"/>
    </row>
    <row r="7464" spans="1:98">
      <c r="A7464" s="532"/>
      <c r="AR7464" s="2513"/>
      <c r="CT7464" s="531"/>
    </row>
    <row r="7465" spans="1:98">
      <c r="A7465" s="532"/>
      <c r="AR7465" s="2513"/>
      <c r="CT7465" s="531"/>
    </row>
    <row r="7466" spans="1:98">
      <c r="A7466" s="532"/>
      <c r="AR7466" s="2513"/>
      <c r="CT7466" s="531"/>
    </row>
    <row r="7467" spans="1:98">
      <c r="A7467" s="532"/>
      <c r="AR7467" s="2513"/>
      <c r="CT7467" s="531"/>
    </row>
    <row r="7468" spans="1:98">
      <c r="A7468" s="532"/>
      <c r="AR7468" s="2513"/>
      <c r="CT7468" s="531"/>
    </row>
    <row r="7469" spans="1:98">
      <c r="A7469" s="532"/>
      <c r="AR7469" s="2513"/>
      <c r="CT7469" s="531"/>
    </row>
    <row r="7470" spans="1:98">
      <c r="A7470" s="532"/>
      <c r="AR7470" s="2513"/>
      <c r="CT7470" s="531"/>
    </row>
    <row r="7471" spans="1:98">
      <c r="A7471" s="532"/>
      <c r="AR7471" s="2513"/>
      <c r="CT7471" s="531"/>
    </row>
    <row r="7472" spans="1:98">
      <c r="A7472" s="532"/>
      <c r="AR7472" s="2513"/>
      <c r="CT7472" s="531"/>
    </row>
    <row r="7473" spans="1:98">
      <c r="A7473" s="532"/>
      <c r="AR7473" s="2513"/>
      <c r="CT7473" s="531"/>
    </row>
    <row r="7474" spans="1:98">
      <c r="A7474" s="532"/>
      <c r="AR7474" s="2513"/>
      <c r="CT7474" s="531"/>
    </row>
    <row r="7475" spans="1:98">
      <c r="A7475" s="532"/>
      <c r="AR7475" s="2513"/>
      <c r="CT7475" s="531"/>
    </row>
    <row r="7476" spans="1:98">
      <c r="A7476" s="532"/>
      <c r="AR7476" s="2513"/>
      <c r="CT7476" s="531"/>
    </row>
    <row r="7477" spans="1:98">
      <c r="A7477" s="532"/>
      <c r="AR7477" s="2513"/>
      <c r="CT7477" s="531"/>
    </row>
    <row r="7478" spans="1:98">
      <c r="A7478" s="532"/>
      <c r="AR7478" s="2513"/>
      <c r="CT7478" s="531"/>
    </row>
    <row r="7479" spans="1:98">
      <c r="A7479" s="532"/>
      <c r="AR7479" s="2513"/>
      <c r="CT7479" s="531"/>
    </row>
    <row r="7480" spans="1:98">
      <c r="A7480" s="532"/>
      <c r="AR7480" s="2513"/>
      <c r="CT7480" s="531"/>
    </row>
    <row r="7481" spans="1:98">
      <c r="A7481" s="532"/>
      <c r="AR7481" s="2513"/>
      <c r="CT7481" s="531"/>
    </row>
    <row r="7482" spans="1:98">
      <c r="A7482" s="532"/>
      <c r="AR7482" s="2513"/>
      <c r="CT7482" s="531"/>
    </row>
    <row r="7483" spans="1:98">
      <c r="A7483" s="532"/>
      <c r="AR7483" s="2513"/>
      <c r="CT7483" s="531"/>
    </row>
    <row r="7484" spans="1:98">
      <c r="A7484" s="532"/>
      <c r="AR7484" s="2513"/>
      <c r="CT7484" s="531"/>
    </row>
    <row r="7485" spans="1:98">
      <c r="A7485" s="532"/>
      <c r="AR7485" s="2513"/>
      <c r="CT7485" s="531"/>
    </row>
    <row r="7486" spans="1:98">
      <c r="A7486" s="532"/>
      <c r="AR7486" s="2513"/>
      <c r="CT7486" s="531"/>
    </row>
    <row r="7487" spans="1:98">
      <c r="A7487" s="532"/>
      <c r="AR7487" s="2513"/>
      <c r="CT7487" s="531"/>
    </row>
    <row r="7488" spans="1:98">
      <c r="A7488" s="532"/>
      <c r="AR7488" s="2513"/>
      <c r="CT7488" s="531"/>
    </row>
    <row r="7489" spans="1:98">
      <c r="A7489" s="532"/>
      <c r="AR7489" s="2513"/>
      <c r="CT7489" s="531"/>
    </row>
    <row r="7490" spans="1:98">
      <c r="A7490" s="532"/>
      <c r="AR7490" s="2513"/>
      <c r="CT7490" s="531"/>
    </row>
    <row r="7491" spans="1:98">
      <c r="A7491" s="532"/>
      <c r="AR7491" s="2513"/>
      <c r="CT7491" s="531"/>
    </row>
    <row r="7492" spans="1:98">
      <c r="A7492" s="532"/>
      <c r="AR7492" s="2513"/>
      <c r="CT7492" s="531"/>
    </row>
    <row r="7493" spans="1:98">
      <c r="A7493" s="532"/>
      <c r="AR7493" s="2513"/>
      <c r="CT7493" s="531"/>
    </row>
    <row r="7494" spans="1:98">
      <c r="A7494" s="532"/>
      <c r="AR7494" s="2513"/>
      <c r="CT7494" s="531"/>
    </row>
    <row r="7495" spans="1:98">
      <c r="A7495" s="532"/>
      <c r="AR7495" s="2513"/>
      <c r="CT7495" s="531"/>
    </row>
    <row r="7496" spans="1:98">
      <c r="A7496" s="532"/>
      <c r="AR7496" s="2513"/>
      <c r="CT7496" s="531"/>
    </row>
    <row r="7497" spans="1:98">
      <c r="A7497" s="532"/>
      <c r="AR7497" s="2513"/>
      <c r="CT7497" s="531"/>
    </row>
    <row r="7498" spans="1:98">
      <c r="A7498" s="532"/>
      <c r="AR7498" s="2513"/>
      <c r="CT7498" s="531"/>
    </row>
    <row r="7499" spans="1:98">
      <c r="A7499" s="532"/>
      <c r="AR7499" s="2513"/>
      <c r="CT7499" s="531"/>
    </row>
    <row r="7500" spans="1:98">
      <c r="A7500" s="532"/>
      <c r="AR7500" s="2513"/>
      <c r="CT7500" s="531"/>
    </row>
    <row r="7501" spans="1:98">
      <c r="A7501" s="532"/>
      <c r="AR7501" s="2513"/>
      <c r="CT7501" s="531"/>
    </row>
    <row r="7502" spans="1:98">
      <c r="A7502" s="532"/>
      <c r="AR7502" s="2513"/>
      <c r="CT7502" s="531"/>
    </row>
    <row r="7503" spans="1:98">
      <c r="A7503" s="532"/>
      <c r="AR7503" s="2513"/>
      <c r="CT7503" s="531"/>
    </row>
    <row r="7504" spans="1:98">
      <c r="A7504" s="532"/>
      <c r="AR7504" s="2513"/>
      <c r="CT7504" s="531"/>
    </row>
    <row r="7505" spans="1:98">
      <c r="A7505" s="532"/>
      <c r="AR7505" s="2513"/>
      <c r="CT7505" s="531"/>
    </row>
    <row r="7506" spans="1:98">
      <c r="A7506" s="532"/>
      <c r="AR7506" s="2513"/>
      <c r="CT7506" s="531"/>
    </row>
    <row r="7507" spans="1:98">
      <c r="A7507" s="532"/>
      <c r="AR7507" s="2513"/>
      <c r="CT7507" s="531"/>
    </row>
    <row r="7508" spans="1:98">
      <c r="A7508" s="532"/>
      <c r="AR7508" s="2513"/>
      <c r="CT7508" s="531"/>
    </row>
    <row r="7509" spans="1:98">
      <c r="A7509" s="532"/>
      <c r="AR7509" s="2513"/>
      <c r="CT7509" s="531"/>
    </row>
    <row r="7510" spans="1:98">
      <c r="A7510" s="532"/>
      <c r="AR7510" s="2513"/>
      <c r="CT7510" s="531"/>
    </row>
    <row r="7511" spans="1:98">
      <c r="A7511" s="532"/>
      <c r="AR7511" s="2513"/>
      <c r="CT7511" s="531"/>
    </row>
    <row r="7512" spans="1:98">
      <c r="A7512" s="532"/>
      <c r="AR7512" s="2513"/>
      <c r="CT7512" s="531"/>
    </row>
    <row r="7513" spans="1:98">
      <c r="A7513" s="532"/>
      <c r="AR7513" s="2513"/>
      <c r="CT7513" s="531"/>
    </row>
    <row r="7514" spans="1:98">
      <c r="A7514" s="532"/>
      <c r="AR7514" s="2513"/>
      <c r="CT7514" s="531"/>
    </row>
    <row r="7515" spans="1:98">
      <c r="A7515" s="532"/>
      <c r="AR7515" s="2513"/>
      <c r="CT7515" s="531"/>
    </row>
    <row r="7516" spans="1:98">
      <c r="A7516" s="532"/>
      <c r="AR7516" s="2513"/>
      <c r="CT7516" s="531"/>
    </row>
    <row r="7517" spans="1:98">
      <c r="A7517" s="532"/>
      <c r="AR7517" s="2513"/>
      <c r="CT7517" s="531"/>
    </row>
    <row r="7518" spans="1:98">
      <c r="A7518" s="532"/>
      <c r="AR7518" s="2513"/>
      <c r="CT7518" s="531"/>
    </row>
    <row r="7519" spans="1:98">
      <c r="A7519" s="532"/>
      <c r="AR7519" s="2513"/>
      <c r="CT7519" s="531"/>
    </row>
    <row r="7520" spans="1:98">
      <c r="A7520" s="532"/>
      <c r="AR7520" s="2513"/>
      <c r="CT7520" s="531"/>
    </row>
    <row r="7521" spans="1:98">
      <c r="A7521" s="532"/>
      <c r="AR7521" s="2513"/>
      <c r="CT7521" s="531"/>
    </row>
    <row r="7522" spans="1:98">
      <c r="A7522" s="532"/>
      <c r="AR7522" s="2513"/>
      <c r="CT7522" s="531"/>
    </row>
    <row r="7523" spans="1:98">
      <c r="A7523" s="532"/>
      <c r="AR7523" s="2513"/>
      <c r="CT7523" s="531"/>
    </row>
    <row r="7524" spans="1:98">
      <c r="A7524" s="532"/>
      <c r="AR7524" s="2513"/>
      <c r="CT7524" s="531"/>
    </row>
    <row r="7525" spans="1:98">
      <c r="A7525" s="532"/>
      <c r="AR7525" s="2513"/>
      <c r="CT7525" s="531"/>
    </row>
    <row r="7526" spans="1:98">
      <c r="A7526" s="532"/>
      <c r="AR7526" s="2513"/>
      <c r="CT7526" s="531"/>
    </row>
    <row r="7527" spans="1:98">
      <c r="A7527" s="532"/>
      <c r="AR7527" s="2513"/>
      <c r="CT7527" s="531"/>
    </row>
    <row r="7528" spans="1:98">
      <c r="A7528" s="532"/>
      <c r="AR7528" s="2513"/>
      <c r="CT7528" s="531"/>
    </row>
    <row r="7529" spans="1:98">
      <c r="A7529" s="532"/>
      <c r="AR7529" s="2513"/>
      <c r="CT7529" s="531"/>
    </row>
    <row r="7530" spans="1:98">
      <c r="A7530" s="532"/>
      <c r="AR7530" s="2513"/>
      <c r="CT7530" s="531"/>
    </row>
    <row r="7531" spans="1:98">
      <c r="A7531" s="532"/>
      <c r="AR7531" s="2513"/>
      <c r="CT7531" s="531"/>
    </row>
    <row r="7532" spans="1:98">
      <c r="A7532" s="532"/>
      <c r="AR7532" s="2513"/>
      <c r="CT7532" s="531"/>
    </row>
    <row r="7533" spans="1:98">
      <c r="A7533" s="532"/>
      <c r="AR7533" s="2513"/>
      <c r="CT7533" s="531"/>
    </row>
    <row r="7534" spans="1:98">
      <c r="A7534" s="532"/>
      <c r="AR7534" s="2513"/>
      <c r="CT7534" s="531"/>
    </row>
    <row r="7535" spans="1:98">
      <c r="A7535" s="532"/>
      <c r="AR7535" s="2513"/>
      <c r="CT7535" s="531"/>
    </row>
    <row r="7536" spans="1:98">
      <c r="A7536" s="532"/>
      <c r="AR7536" s="2513"/>
      <c r="CT7536" s="531"/>
    </row>
    <row r="7537" spans="1:98">
      <c r="A7537" s="532"/>
      <c r="AR7537" s="2513"/>
      <c r="CT7537" s="531"/>
    </row>
    <row r="7538" spans="1:98">
      <c r="A7538" s="532"/>
      <c r="AR7538" s="2513"/>
      <c r="CT7538" s="531"/>
    </row>
    <row r="7539" spans="1:98">
      <c r="A7539" s="532"/>
      <c r="AR7539" s="2513"/>
      <c r="CT7539" s="531"/>
    </row>
    <row r="7540" spans="1:98">
      <c r="A7540" s="532"/>
      <c r="AR7540" s="2513"/>
      <c r="CT7540" s="531"/>
    </row>
    <row r="7541" spans="1:98">
      <c r="A7541" s="532"/>
      <c r="AR7541" s="2513"/>
      <c r="CT7541" s="531"/>
    </row>
    <row r="7542" spans="1:98">
      <c r="A7542" s="532"/>
      <c r="AR7542" s="2513"/>
      <c r="CT7542" s="531"/>
    </row>
    <row r="7543" spans="1:98">
      <c r="A7543" s="532"/>
      <c r="AR7543" s="2513"/>
      <c r="CT7543" s="531"/>
    </row>
    <row r="7544" spans="1:98">
      <c r="A7544" s="532"/>
      <c r="AR7544" s="2513"/>
      <c r="CT7544" s="531"/>
    </row>
    <row r="7545" spans="1:98">
      <c r="A7545" s="532"/>
      <c r="AR7545" s="2513"/>
      <c r="CT7545" s="531"/>
    </row>
    <row r="7546" spans="1:98">
      <c r="A7546" s="532"/>
      <c r="AR7546" s="2513"/>
      <c r="CT7546" s="531"/>
    </row>
    <row r="7547" spans="1:98">
      <c r="A7547" s="532"/>
      <c r="AR7547" s="2513"/>
      <c r="CT7547" s="531"/>
    </row>
    <row r="7548" spans="1:98">
      <c r="A7548" s="532"/>
      <c r="AR7548" s="2513"/>
      <c r="CT7548" s="531"/>
    </row>
    <row r="7549" spans="1:98">
      <c r="A7549" s="532"/>
      <c r="AR7549" s="2513"/>
      <c r="CT7549" s="531"/>
    </row>
    <row r="7550" spans="1:98">
      <c r="A7550" s="532"/>
      <c r="AR7550" s="2513"/>
      <c r="CT7550" s="531"/>
    </row>
    <row r="7551" spans="1:98">
      <c r="A7551" s="532"/>
      <c r="AR7551" s="2513"/>
      <c r="CT7551" s="531"/>
    </row>
    <row r="7552" spans="1:98">
      <c r="A7552" s="532"/>
      <c r="AR7552" s="2513"/>
      <c r="CT7552" s="531"/>
    </row>
    <row r="7553" spans="1:98">
      <c r="A7553" s="532"/>
      <c r="AR7553" s="2513"/>
      <c r="CT7553" s="531"/>
    </row>
    <row r="7554" spans="1:98">
      <c r="A7554" s="532"/>
      <c r="AR7554" s="2513"/>
      <c r="CT7554" s="531"/>
    </row>
    <row r="7555" spans="1:98">
      <c r="A7555" s="532"/>
      <c r="AR7555" s="2513"/>
      <c r="CT7555" s="531"/>
    </row>
    <row r="7556" spans="1:98">
      <c r="A7556" s="532"/>
      <c r="AR7556" s="2513"/>
      <c r="CT7556" s="531"/>
    </row>
    <row r="7557" spans="1:98">
      <c r="A7557" s="532"/>
      <c r="AR7557" s="2513"/>
      <c r="CT7557" s="531"/>
    </row>
    <row r="7558" spans="1:98">
      <c r="A7558" s="532"/>
      <c r="AR7558" s="2513"/>
      <c r="CT7558" s="531"/>
    </row>
    <row r="7559" spans="1:98">
      <c r="A7559" s="532"/>
      <c r="AR7559" s="2513"/>
      <c r="CT7559" s="531"/>
    </row>
    <row r="7560" spans="1:98">
      <c r="A7560" s="532"/>
      <c r="AR7560" s="2513"/>
      <c r="CT7560" s="531"/>
    </row>
    <row r="7561" spans="1:98">
      <c r="A7561" s="532"/>
      <c r="AR7561" s="2513"/>
      <c r="CT7561" s="531"/>
    </row>
    <row r="7562" spans="1:98">
      <c r="A7562" s="532"/>
      <c r="AR7562" s="2513"/>
      <c r="CT7562" s="531"/>
    </row>
    <row r="7563" spans="1:98">
      <c r="A7563" s="532"/>
      <c r="AR7563" s="2513"/>
      <c r="CT7563" s="531"/>
    </row>
    <row r="7564" spans="1:98">
      <c r="A7564" s="532"/>
      <c r="AR7564" s="2513"/>
      <c r="CT7564" s="531"/>
    </row>
    <row r="7565" spans="1:98">
      <c r="A7565" s="532"/>
      <c r="AR7565" s="2513"/>
      <c r="CT7565" s="531"/>
    </row>
    <row r="7566" spans="1:98">
      <c r="A7566" s="532"/>
      <c r="AR7566" s="2513"/>
      <c r="CT7566" s="531"/>
    </row>
    <row r="7567" spans="1:98">
      <c r="A7567" s="532"/>
      <c r="AR7567" s="2513"/>
      <c r="CT7567" s="531"/>
    </row>
    <row r="7568" spans="1:98">
      <c r="A7568" s="532"/>
      <c r="AR7568" s="2513"/>
      <c r="CT7568" s="531"/>
    </row>
    <row r="7569" spans="1:98">
      <c r="A7569" s="532"/>
      <c r="AR7569" s="2513"/>
      <c r="CT7569" s="531"/>
    </row>
    <row r="7570" spans="1:98">
      <c r="A7570" s="532"/>
      <c r="AR7570" s="2513"/>
      <c r="CT7570" s="531"/>
    </row>
    <row r="7571" spans="1:98">
      <c r="A7571" s="532"/>
      <c r="AR7571" s="2513"/>
      <c r="CT7571" s="531"/>
    </row>
    <row r="7572" spans="1:98">
      <c r="A7572" s="532"/>
      <c r="AR7572" s="2513"/>
      <c r="CT7572" s="531"/>
    </row>
    <row r="7573" spans="1:98">
      <c r="A7573" s="532"/>
      <c r="AR7573" s="2513"/>
      <c r="CT7573" s="531"/>
    </row>
    <row r="7574" spans="1:98">
      <c r="A7574" s="532"/>
      <c r="AR7574" s="2513"/>
      <c r="CT7574" s="531"/>
    </row>
    <row r="7575" spans="1:98">
      <c r="A7575" s="532"/>
      <c r="AR7575" s="2513"/>
      <c r="CT7575" s="531"/>
    </row>
    <row r="7576" spans="1:98">
      <c r="A7576" s="532"/>
      <c r="AR7576" s="2513"/>
      <c r="CT7576" s="531"/>
    </row>
    <row r="7577" spans="1:98">
      <c r="A7577" s="532"/>
      <c r="AR7577" s="2513"/>
      <c r="CT7577" s="531"/>
    </row>
    <row r="7578" spans="1:98">
      <c r="A7578" s="532"/>
      <c r="AR7578" s="2513"/>
      <c r="CT7578" s="531"/>
    </row>
    <row r="7579" spans="1:98">
      <c r="A7579" s="532"/>
      <c r="AR7579" s="2513"/>
      <c r="CT7579" s="531"/>
    </row>
    <row r="7580" spans="1:98">
      <c r="A7580" s="532"/>
      <c r="AR7580" s="2513"/>
      <c r="CT7580" s="531"/>
    </row>
    <row r="7581" spans="1:98">
      <c r="A7581" s="532"/>
      <c r="AR7581" s="2513"/>
      <c r="CT7581" s="531"/>
    </row>
    <row r="7582" spans="1:98">
      <c r="A7582" s="532"/>
      <c r="AR7582" s="2513"/>
      <c r="CT7582" s="531"/>
    </row>
    <row r="7583" spans="1:98">
      <c r="A7583" s="532"/>
      <c r="AR7583" s="2513"/>
      <c r="CT7583" s="531"/>
    </row>
    <row r="7584" spans="1:98">
      <c r="A7584" s="532"/>
      <c r="AR7584" s="2513"/>
      <c r="CT7584" s="531"/>
    </row>
    <row r="7585" spans="1:98">
      <c r="A7585" s="532"/>
      <c r="AR7585" s="2513"/>
      <c r="CT7585" s="531"/>
    </row>
    <row r="7586" spans="1:98">
      <c r="A7586" s="532"/>
      <c r="AR7586" s="2513"/>
      <c r="CT7586" s="531"/>
    </row>
    <row r="7587" spans="1:98">
      <c r="A7587" s="532"/>
      <c r="AR7587" s="2513"/>
      <c r="CT7587" s="531"/>
    </row>
    <row r="7588" spans="1:98">
      <c r="A7588" s="532"/>
      <c r="AR7588" s="2513"/>
      <c r="CT7588" s="531"/>
    </row>
    <row r="7589" spans="1:98">
      <c r="A7589" s="532"/>
      <c r="AR7589" s="2513"/>
      <c r="CT7589" s="531"/>
    </row>
    <row r="7590" spans="1:98">
      <c r="A7590" s="532"/>
      <c r="AR7590" s="2513"/>
      <c r="CT7590" s="531"/>
    </row>
    <row r="7591" spans="1:98">
      <c r="A7591" s="532"/>
      <c r="AR7591" s="2513"/>
      <c r="CT7591" s="531"/>
    </row>
    <row r="7592" spans="1:98">
      <c r="A7592" s="532"/>
      <c r="AR7592" s="2513"/>
      <c r="CT7592" s="531"/>
    </row>
    <row r="7593" spans="1:98">
      <c r="A7593" s="532"/>
      <c r="AR7593" s="2513"/>
      <c r="CT7593" s="531"/>
    </row>
    <row r="7594" spans="1:98">
      <c r="A7594" s="532"/>
      <c r="AR7594" s="2513"/>
      <c r="CT7594" s="531"/>
    </row>
    <row r="7595" spans="1:98">
      <c r="A7595" s="532"/>
      <c r="AR7595" s="2513"/>
      <c r="CT7595" s="531"/>
    </row>
    <row r="7596" spans="1:98">
      <c r="A7596" s="532"/>
      <c r="AR7596" s="2513"/>
      <c r="CT7596" s="531"/>
    </row>
    <row r="7597" spans="1:98">
      <c r="A7597" s="532"/>
      <c r="AR7597" s="2513"/>
      <c r="CT7597" s="531"/>
    </row>
    <row r="7598" spans="1:98">
      <c r="A7598" s="532"/>
      <c r="AR7598" s="2513"/>
      <c r="CT7598" s="531"/>
    </row>
    <row r="7599" spans="1:98">
      <c r="A7599" s="532"/>
      <c r="AR7599" s="2513"/>
      <c r="CT7599" s="531"/>
    </row>
    <row r="7600" spans="1:98">
      <c r="A7600" s="532"/>
      <c r="AR7600" s="2513"/>
      <c r="CT7600" s="531"/>
    </row>
    <row r="7601" spans="1:98">
      <c r="A7601" s="532"/>
      <c r="AR7601" s="2513"/>
      <c r="CT7601" s="531"/>
    </row>
    <row r="7602" spans="1:98">
      <c r="A7602" s="532"/>
      <c r="AR7602" s="2513"/>
      <c r="CT7602" s="531"/>
    </row>
    <row r="7603" spans="1:98">
      <c r="A7603" s="532"/>
      <c r="AR7603" s="2513"/>
      <c r="CT7603" s="531"/>
    </row>
    <row r="7604" spans="1:98">
      <c r="A7604" s="532"/>
      <c r="AR7604" s="2513"/>
      <c r="CT7604" s="531"/>
    </row>
    <row r="7605" spans="1:98">
      <c r="A7605" s="532"/>
      <c r="AR7605" s="2513"/>
      <c r="CT7605" s="531"/>
    </row>
    <row r="7606" spans="1:98">
      <c r="A7606" s="532"/>
      <c r="AR7606" s="2513"/>
      <c r="CT7606" s="531"/>
    </row>
    <row r="7607" spans="1:98">
      <c r="A7607" s="532"/>
      <c r="AR7607" s="2513"/>
      <c r="CT7607" s="531"/>
    </row>
    <row r="7608" spans="1:98">
      <c r="A7608" s="532"/>
      <c r="AR7608" s="2513"/>
      <c r="CT7608" s="531"/>
    </row>
    <row r="7609" spans="1:98">
      <c r="A7609" s="532"/>
      <c r="AR7609" s="2513"/>
      <c r="CT7609" s="531"/>
    </row>
    <row r="7610" spans="1:98">
      <c r="A7610" s="532"/>
      <c r="AR7610" s="2513"/>
      <c r="CT7610" s="531"/>
    </row>
    <row r="7611" spans="1:98">
      <c r="A7611" s="532"/>
      <c r="AR7611" s="2513"/>
      <c r="CT7611" s="531"/>
    </row>
    <row r="7612" spans="1:98">
      <c r="A7612" s="532"/>
      <c r="AR7612" s="2513"/>
      <c r="CT7612" s="531"/>
    </row>
    <row r="7613" spans="1:98">
      <c r="A7613" s="532"/>
      <c r="AR7613" s="2513"/>
      <c r="CT7613" s="531"/>
    </row>
    <row r="7614" spans="1:98">
      <c r="A7614" s="532"/>
      <c r="AR7614" s="2513"/>
      <c r="CT7614" s="531"/>
    </row>
    <row r="7615" spans="1:98">
      <c r="A7615" s="532"/>
      <c r="AR7615" s="2513"/>
      <c r="CT7615" s="531"/>
    </row>
    <row r="7616" spans="1:98">
      <c r="A7616" s="532"/>
      <c r="AR7616" s="2513"/>
      <c r="CT7616" s="531"/>
    </row>
    <row r="7617" spans="1:98">
      <c r="A7617" s="532"/>
      <c r="AR7617" s="2513"/>
      <c r="CT7617" s="531"/>
    </row>
    <row r="7618" spans="1:98">
      <c r="A7618" s="532"/>
      <c r="AR7618" s="2513"/>
      <c r="CT7618" s="531"/>
    </row>
    <row r="7619" spans="1:98">
      <c r="A7619" s="532"/>
      <c r="AR7619" s="2513"/>
      <c r="CT7619" s="531"/>
    </row>
    <row r="7620" spans="1:98">
      <c r="A7620" s="532"/>
      <c r="AR7620" s="2513"/>
      <c r="CT7620" s="531"/>
    </row>
    <row r="7621" spans="1:98">
      <c r="A7621" s="532"/>
      <c r="AR7621" s="2513"/>
      <c r="CT7621" s="531"/>
    </row>
    <row r="7622" spans="1:98">
      <c r="A7622" s="532"/>
      <c r="AR7622" s="2513"/>
      <c r="CT7622" s="531"/>
    </row>
    <row r="7623" spans="1:98">
      <c r="A7623" s="532"/>
      <c r="AR7623" s="2513"/>
      <c r="CT7623" s="531"/>
    </row>
    <row r="7624" spans="1:98">
      <c r="A7624" s="532"/>
      <c r="AR7624" s="2513"/>
      <c r="CT7624" s="531"/>
    </row>
    <row r="7625" spans="1:98">
      <c r="A7625" s="532"/>
      <c r="AR7625" s="2513"/>
      <c r="CT7625" s="531"/>
    </row>
    <row r="7626" spans="1:98">
      <c r="A7626" s="532"/>
      <c r="AR7626" s="2513"/>
      <c r="CT7626" s="531"/>
    </row>
    <row r="7627" spans="1:98">
      <c r="A7627" s="532"/>
      <c r="AR7627" s="2513"/>
      <c r="CT7627" s="531"/>
    </row>
    <row r="7628" spans="1:98">
      <c r="A7628" s="532"/>
      <c r="AR7628" s="2513"/>
      <c r="CT7628" s="531"/>
    </row>
    <row r="7629" spans="1:98">
      <c r="A7629" s="532"/>
      <c r="AR7629" s="2513"/>
      <c r="CT7629" s="531"/>
    </row>
    <row r="7630" spans="1:98">
      <c r="A7630" s="532"/>
      <c r="AR7630" s="2513"/>
      <c r="CT7630" s="531"/>
    </row>
    <row r="7631" spans="1:98">
      <c r="A7631" s="532"/>
      <c r="AR7631" s="2513"/>
      <c r="CT7631" s="531"/>
    </row>
    <row r="7632" spans="1:98">
      <c r="A7632" s="532"/>
      <c r="AR7632" s="2513"/>
      <c r="CT7632" s="531"/>
    </row>
    <row r="7633" spans="1:98">
      <c r="A7633" s="532"/>
      <c r="AR7633" s="2513"/>
      <c r="CT7633" s="531"/>
    </row>
    <row r="7634" spans="1:98">
      <c r="A7634" s="532"/>
      <c r="AR7634" s="2513"/>
      <c r="CT7634" s="531"/>
    </row>
    <row r="7635" spans="1:98">
      <c r="A7635" s="532"/>
      <c r="AR7635" s="2513"/>
      <c r="CT7635" s="531"/>
    </row>
    <row r="7636" spans="1:98">
      <c r="A7636" s="532"/>
      <c r="AR7636" s="2513"/>
      <c r="CT7636" s="531"/>
    </row>
    <row r="7637" spans="1:98">
      <c r="A7637" s="532"/>
      <c r="AR7637" s="2513"/>
      <c r="CT7637" s="531"/>
    </row>
    <row r="7638" spans="1:98">
      <c r="A7638" s="532"/>
      <c r="AR7638" s="2513"/>
      <c r="CT7638" s="531"/>
    </row>
    <row r="7639" spans="1:98">
      <c r="A7639" s="532"/>
      <c r="AR7639" s="2513"/>
      <c r="CT7639" s="531"/>
    </row>
    <row r="7640" spans="1:98">
      <c r="A7640" s="532"/>
      <c r="AR7640" s="2513"/>
      <c r="CT7640" s="531"/>
    </row>
    <row r="7641" spans="1:98">
      <c r="A7641" s="532"/>
      <c r="AR7641" s="2513"/>
      <c r="CT7641" s="531"/>
    </row>
    <row r="7642" spans="1:98">
      <c r="A7642" s="532"/>
      <c r="AR7642" s="2513"/>
      <c r="CT7642" s="531"/>
    </row>
    <row r="7643" spans="1:98">
      <c r="A7643" s="532"/>
      <c r="AR7643" s="2513"/>
      <c r="CT7643" s="531"/>
    </row>
    <row r="7644" spans="1:98">
      <c r="A7644" s="532"/>
      <c r="AR7644" s="2513"/>
      <c r="CT7644" s="531"/>
    </row>
    <row r="7645" spans="1:98">
      <c r="A7645" s="532"/>
      <c r="AR7645" s="2513"/>
      <c r="CT7645" s="531"/>
    </row>
    <row r="7646" spans="1:98">
      <c r="A7646" s="532"/>
      <c r="AR7646" s="2513"/>
      <c r="CT7646" s="531"/>
    </row>
    <row r="7647" spans="1:98">
      <c r="A7647" s="532"/>
      <c r="AR7647" s="2513"/>
      <c r="CT7647" s="531"/>
    </row>
    <row r="7648" spans="1:98">
      <c r="A7648" s="532"/>
      <c r="AR7648" s="2513"/>
      <c r="CT7648" s="531"/>
    </row>
    <row r="7649" spans="1:98">
      <c r="A7649" s="532"/>
      <c r="AR7649" s="2513"/>
      <c r="CT7649" s="531"/>
    </row>
    <row r="7650" spans="1:98">
      <c r="A7650" s="532"/>
      <c r="AR7650" s="2513"/>
      <c r="CT7650" s="531"/>
    </row>
    <row r="7651" spans="1:98">
      <c r="A7651" s="532"/>
      <c r="AR7651" s="2513"/>
      <c r="CT7651" s="531"/>
    </row>
    <row r="7652" spans="1:98">
      <c r="A7652" s="532"/>
      <c r="AR7652" s="2513"/>
      <c r="CT7652" s="531"/>
    </row>
    <row r="7653" spans="1:98">
      <c r="A7653" s="532"/>
      <c r="AR7653" s="2513"/>
      <c r="CT7653" s="531"/>
    </row>
    <row r="7654" spans="1:98">
      <c r="A7654" s="532"/>
      <c r="AR7654" s="2513"/>
      <c r="CT7654" s="531"/>
    </row>
    <row r="7655" spans="1:98">
      <c r="A7655" s="532"/>
      <c r="AR7655" s="2513"/>
      <c r="CT7655" s="531"/>
    </row>
    <row r="7656" spans="1:98">
      <c r="A7656" s="532"/>
      <c r="AR7656" s="2513"/>
      <c r="CT7656" s="531"/>
    </row>
    <row r="7657" spans="1:98">
      <c r="A7657" s="532"/>
      <c r="AR7657" s="2513"/>
      <c r="CT7657" s="531"/>
    </row>
    <row r="7658" spans="1:98">
      <c r="A7658" s="532"/>
      <c r="AR7658" s="2513"/>
      <c r="CT7658" s="531"/>
    </row>
    <row r="7659" spans="1:98">
      <c r="A7659" s="532"/>
      <c r="AR7659" s="2513"/>
      <c r="CT7659" s="531"/>
    </row>
    <row r="7660" spans="1:98">
      <c r="A7660" s="532"/>
      <c r="AR7660" s="2513"/>
      <c r="CT7660" s="531"/>
    </row>
    <row r="7661" spans="1:98">
      <c r="A7661" s="532"/>
      <c r="AR7661" s="2513"/>
      <c r="CT7661" s="531"/>
    </row>
    <row r="7662" spans="1:98">
      <c r="A7662" s="532"/>
      <c r="AR7662" s="2513"/>
      <c r="CT7662" s="531"/>
    </row>
    <row r="7663" spans="1:98">
      <c r="A7663" s="532"/>
      <c r="AR7663" s="2513"/>
      <c r="CT7663" s="531"/>
    </row>
    <row r="7664" spans="1:98">
      <c r="A7664" s="532"/>
      <c r="AR7664" s="2513"/>
      <c r="CT7664" s="531"/>
    </row>
    <row r="7665" spans="1:98">
      <c r="A7665" s="532"/>
      <c r="AR7665" s="2513"/>
      <c r="CT7665" s="531"/>
    </row>
    <row r="7666" spans="1:98">
      <c r="A7666" s="532"/>
      <c r="AR7666" s="2513"/>
      <c r="CT7666" s="531"/>
    </row>
    <row r="7667" spans="1:98">
      <c r="A7667" s="532"/>
      <c r="AR7667" s="2513"/>
      <c r="CT7667" s="531"/>
    </row>
    <row r="7668" spans="1:98">
      <c r="A7668" s="532"/>
      <c r="AR7668" s="2513"/>
      <c r="CT7668" s="531"/>
    </row>
    <row r="7669" spans="1:98">
      <c r="A7669" s="532"/>
      <c r="AR7669" s="2513"/>
      <c r="CT7669" s="531"/>
    </row>
    <row r="7670" spans="1:98">
      <c r="A7670" s="532"/>
      <c r="AR7670" s="2513"/>
      <c r="CT7670" s="531"/>
    </row>
    <row r="7671" spans="1:98">
      <c r="A7671" s="532"/>
      <c r="AR7671" s="2513"/>
      <c r="CT7671" s="531"/>
    </row>
    <row r="7672" spans="1:98">
      <c r="A7672" s="532"/>
      <c r="AR7672" s="2513"/>
      <c r="CT7672" s="531"/>
    </row>
    <row r="7673" spans="1:98">
      <c r="A7673" s="532"/>
      <c r="AR7673" s="2513"/>
      <c r="CT7673" s="531"/>
    </row>
    <row r="7674" spans="1:98">
      <c r="A7674" s="532"/>
      <c r="AR7674" s="2513"/>
      <c r="CT7674" s="531"/>
    </row>
    <row r="7675" spans="1:98">
      <c r="A7675" s="532"/>
      <c r="AR7675" s="2513"/>
      <c r="CT7675" s="531"/>
    </row>
    <row r="7676" spans="1:98">
      <c r="A7676" s="532"/>
      <c r="AR7676" s="2513"/>
      <c r="CT7676" s="531"/>
    </row>
    <row r="7677" spans="1:98">
      <c r="A7677" s="532"/>
      <c r="AR7677" s="2513"/>
      <c r="CT7677" s="531"/>
    </row>
    <row r="7678" spans="1:98">
      <c r="A7678" s="532"/>
      <c r="AR7678" s="2513"/>
      <c r="CT7678" s="531"/>
    </row>
    <row r="7679" spans="1:98">
      <c r="A7679" s="532"/>
      <c r="AR7679" s="2513"/>
      <c r="CT7679" s="531"/>
    </row>
    <row r="7680" spans="1:98">
      <c r="A7680" s="532"/>
      <c r="AR7680" s="2513"/>
      <c r="CT7680" s="531"/>
    </row>
    <row r="7681" spans="1:98">
      <c r="A7681" s="532"/>
      <c r="AR7681" s="2513"/>
      <c r="CT7681" s="531"/>
    </row>
    <row r="7682" spans="1:98">
      <c r="A7682" s="532"/>
      <c r="AR7682" s="2513"/>
      <c r="CT7682" s="531"/>
    </row>
    <row r="7683" spans="1:98">
      <c r="A7683" s="532"/>
      <c r="AR7683" s="2513"/>
      <c r="CT7683" s="531"/>
    </row>
    <row r="7684" spans="1:98">
      <c r="A7684" s="532"/>
      <c r="AR7684" s="2513"/>
      <c r="CT7684" s="531"/>
    </row>
    <row r="7685" spans="1:98">
      <c r="A7685" s="532"/>
      <c r="AR7685" s="2513"/>
      <c r="CT7685" s="531"/>
    </row>
    <row r="7686" spans="1:98">
      <c r="A7686" s="532"/>
      <c r="AR7686" s="2513"/>
      <c r="CT7686" s="531"/>
    </row>
    <row r="7687" spans="1:98">
      <c r="A7687" s="532"/>
      <c r="AR7687" s="2513"/>
      <c r="CT7687" s="531"/>
    </row>
    <row r="7688" spans="1:98">
      <c r="A7688" s="532"/>
      <c r="AR7688" s="2513"/>
      <c r="CT7688" s="531"/>
    </row>
    <row r="7689" spans="1:98">
      <c r="A7689" s="532"/>
      <c r="AR7689" s="2513"/>
      <c r="CT7689" s="531"/>
    </row>
    <row r="7690" spans="1:98">
      <c r="A7690" s="532"/>
      <c r="AR7690" s="2513"/>
      <c r="CT7690" s="531"/>
    </row>
    <row r="7691" spans="1:98">
      <c r="A7691" s="532"/>
      <c r="AR7691" s="2513"/>
      <c r="CT7691" s="531"/>
    </row>
    <row r="7692" spans="1:98">
      <c r="A7692" s="532"/>
      <c r="AR7692" s="2513"/>
      <c r="CT7692" s="531"/>
    </row>
    <row r="7693" spans="1:98">
      <c r="A7693" s="532"/>
      <c r="AR7693" s="2513"/>
      <c r="CT7693" s="531"/>
    </row>
    <row r="7694" spans="1:98">
      <c r="A7694" s="532"/>
      <c r="AR7694" s="2513"/>
      <c r="CT7694" s="531"/>
    </row>
    <row r="7695" spans="1:98">
      <c r="A7695" s="532"/>
      <c r="AR7695" s="2513"/>
      <c r="CT7695" s="531"/>
    </row>
    <row r="7696" spans="1:98">
      <c r="A7696" s="532"/>
      <c r="AR7696" s="2513"/>
      <c r="CT7696" s="531"/>
    </row>
    <row r="7697" spans="1:98">
      <c r="A7697" s="532"/>
      <c r="AR7697" s="2513"/>
      <c r="CT7697" s="531"/>
    </row>
    <row r="7698" spans="1:98">
      <c r="A7698" s="532"/>
      <c r="AR7698" s="2513"/>
      <c r="CT7698" s="531"/>
    </row>
    <row r="7699" spans="1:98">
      <c r="A7699" s="532"/>
      <c r="AR7699" s="2513"/>
      <c r="CT7699" s="531"/>
    </row>
    <row r="7700" spans="1:98">
      <c r="A7700" s="532"/>
      <c r="AR7700" s="2513"/>
      <c r="CT7700" s="531"/>
    </row>
    <row r="7701" spans="1:98">
      <c r="A7701" s="532"/>
      <c r="AR7701" s="2513"/>
      <c r="CT7701" s="531"/>
    </row>
    <row r="7702" spans="1:98">
      <c r="A7702" s="532"/>
      <c r="AR7702" s="2513"/>
      <c r="CT7702" s="531"/>
    </row>
    <row r="7703" spans="1:98">
      <c r="A7703" s="532"/>
      <c r="AR7703" s="2513"/>
      <c r="CT7703" s="531"/>
    </row>
    <row r="7704" spans="1:98">
      <c r="A7704" s="532"/>
      <c r="AR7704" s="2513"/>
      <c r="CT7704" s="531"/>
    </row>
    <row r="7705" spans="1:98">
      <c r="A7705" s="532"/>
      <c r="AR7705" s="2513"/>
      <c r="CT7705" s="531"/>
    </row>
    <row r="7706" spans="1:98">
      <c r="A7706" s="532"/>
      <c r="AR7706" s="2513"/>
      <c r="CT7706" s="531"/>
    </row>
    <row r="7707" spans="1:98">
      <c r="A7707" s="532"/>
      <c r="AR7707" s="2513"/>
      <c r="CT7707" s="531"/>
    </row>
    <row r="7708" spans="1:98">
      <c r="A7708" s="532"/>
      <c r="AR7708" s="2513"/>
      <c r="CT7708" s="531"/>
    </row>
    <row r="7709" spans="1:98">
      <c r="A7709" s="532"/>
      <c r="AR7709" s="2513"/>
      <c r="CT7709" s="531"/>
    </row>
    <row r="7710" spans="1:98">
      <c r="A7710" s="532"/>
      <c r="AR7710" s="2513"/>
      <c r="CT7710" s="531"/>
    </row>
    <row r="7711" spans="1:98">
      <c r="A7711" s="532"/>
      <c r="AR7711" s="2513"/>
      <c r="CT7711" s="531"/>
    </row>
    <row r="7712" spans="1:98">
      <c r="A7712" s="532"/>
      <c r="AR7712" s="2513"/>
      <c r="CT7712" s="531"/>
    </row>
    <row r="7713" spans="1:98">
      <c r="A7713" s="532"/>
      <c r="AR7713" s="2513"/>
      <c r="CT7713" s="531"/>
    </row>
    <row r="7714" spans="1:98">
      <c r="A7714" s="532"/>
      <c r="AR7714" s="2513"/>
      <c r="CT7714" s="531"/>
    </row>
    <row r="7715" spans="1:98">
      <c r="A7715" s="532"/>
      <c r="AR7715" s="2513"/>
      <c r="CT7715" s="531"/>
    </row>
    <row r="7716" spans="1:98">
      <c r="A7716" s="532"/>
      <c r="AR7716" s="2513"/>
      <c r="CT7716" s="531"/>
    </row>
    <row r="7717" spans="1:98">
      <c r="A7717" s="532"/>
      <c r="AR7717" s="2513"/>
      <c r="CT7717" s="531"/>
    </row>
    <row r="7718" spans="1:98">
      <c r="A7718" s="532"/>
      <c r="AR7718" s="2513"/>
      <c r="CT7718" s="531"/>
    </row>
    <row r="7719" spans="1:98">
      <c r="A7719" s="532"/>
      <c r="AR7719" s="2513"/>
      <c r="CT7719" s="531"/>
    </row>
    <row r="7720" spans="1:98">
      <c r="A7720" s="532"/>
      <c r="AR7720" s="2513"/>
      <c r="CT7720" s="531"/>
    </row>
    <row r="7721" spans="1:98">
      <c r="A7721" s="532"/>
      <c r="AR7721" s="2513"/>
      <c r="CT7721" s="531"/>
    </row>
    <row r="7722" spans="1:98">
      <c r="A7722" s="532"/>
      <c r="AR7722" s="2513"/>
      <c r="CT7722" s="531"/>
    </row>
    <row r="7723" spans="1:98">
      <c r="A7723" s="532"/>
      <c r="AR7723" s="2513"/>
      <c r="CT7723" s="531"/>
    </row>
    <row r="7724" spans="1:98">
      <c r="A7724" s="532"/>
      <c r="AR7724" s="2513"/>
      <c r="CT7724" s="531"/>
    </row>
    <row r="7725" spans="1:98">
      <c r="A7725" s="532"/>
      <c r="AR7725" s="2513"/>
      <c r="CT7725" s="531"/>
    </row>
    <row r="7726" spans="1:98">
      <c r="A7726" s="532"/>
      <c r="AR7726" s="2513"/>
      <c r="CT7726" s="531"/>
    </row>
    <row r="7727" spans="1:98">
      <c r="A7727" s="532"/>
      <c r="AR7727" s="2513"/>
      <c r="CT7727" s="531"/>
    </row>
    <row r="7728" spans="1:98">
      <c r="A7728" s="532"/>
      <c r="AR7728" s="2513"/>
      <c r="CT7728" s="531"/>
    </row>
    <row r="7729" spans="1:98">
      <c r="A7729" s="532"/>
      <c r="AR7729" s="2513"/>
      <c r="CT7729" s="531"/>
    </row>
    <row r="7730" spans="1:98">
      <c r="A7730" s="532"/>
      <c r="AR7730" s="2513"/>
      <c r="CT7730" s="531"/>
    </row>
    <row r="7731" spans="1:98">
      <c r="A7731" s="532"/>
      <c r="AR7731" s="2513"/>
      <c r="CT7731" s="531"/>
    </row>
    <row r="7732" spans="1:98">
      <c r="A7732" s="532"/>
      <c r="AR7732" s="2513"/>
      <c r="CT7732" s="531"/>
    </row>
    <row r="7733" spans="1:98">
      <c r="A7733" s="532"/>
      <c r="AR7733" s="2513"/>
      <c r="CT7733" s="531"/>
    </row>
    <row r="7734" spans="1:98">
      <c r="A7734" s="532"/>
      <c r="AR7734" s="2513"/>
      <c r="CT7734" s="531"/>
    </row>
    <row r="7735" spans="1:98">
      <c r="A7735" s="532"/>
      <c r="AR7735" s="2513"/>
      <c r="CT7735" s="531"/>
    </row>
    <row r="7736" spans="1:98">
      <c r="A7736" s="532"/>
      <c r="AR7736" s="2513"/>
      <c r="CT7736" s="531"/>
    </row>
    <row r="7737" spans="1:98">
      <c r="A7737" s="532"/>
      <c r="AR7737" s="2513"/>
      <c r="CT7737" s="531"/>
    </row>
    <row r="7738" spans="1:98">
      <c r="A7738" s="532"/>
      <c r="AR7738" s="2513"/>
      <c r="CT7738" s="531"/>
    </row>
    <row r="7739" spans="1:98">
      <c r="A7739" s="532"/>
      <c r="AR7739" s="2513"/>
      <c r="CT7739" s="531"/>
    </row>
    <row r="7740" spans="1:98">
      <c r="A7740" s="532"/>
      <c r="AR7740" s="2513"/>
      <c r="CT7740" s="531"/>
    </row>
    <row r="7741" spans="1:98">
      <c r="A7741" s="532"/>
      <c r="AR7741" s="2513"/>
      <c r="CT7741" s="531"/>
    </row>
    <row r="7742" spans="1:98">
      <c r="A7742" s="532"/>
      <c r="AR7742" s="2513"/>
      <c r="CT7742" s="531"/>
    </row>
    <row r="7743" spans="1:98">
      <c r="A7743" s="532"/>
      <c r="AR7743" s="2513"/>
      <c r="CT7743" s="531"/>
    </row>
    <row r="7744" spans="1:98">
      <c r="A7744" s="532"/>
      <c r="AR7744" s="2513"/>
      <c r="CT7744" s="531"/>
    </row>
    <row r="7745" spans="1:98">
      <c r="A7745" s="532"/>
      <c r="AR7745" s="2513"/>
      <c r="CT7745" s="531"/>
    </row>
    <row r="7746" spans="1:98">
      <c r="A7746" s="532"/>
      <c r="AR7746" s="2513"/>
      <c r="CT7746" s="531"/>
    </row>
    <row r="7747" spans="1:98">
      <c r="A7747" s="532"/>
      <c r="AR7747" s="2513"/>
      <c r="CT7747" s="531"/>
    </row>
    <row r="7748" spans="1:98">
      <c r="A7748" s="532"/>
      <c r="AR7748" s="2513"/>
      <c r="CT7748" s="531"/>
    </row>
    <row r="7749" spans="1:98">
      <c r="A7749" s="532"/>
      <c r="AR7749" s="2513"/>
      <c r="CT7749" s="531"/>
    </row>
    <row r="7750" spans="1:98">
      <c r="A7750" s="532"/>
      <c r="AR7750" s="2513"/>
      <c r="CT7750" s="531"/>
    </row>
    <row r="7751" spans="1:98">
      <c r="A7751" s="532"/>
      <c r="AR7751" s="2513"/>
      <c r="CT7751" s="531"/>
    </row>
    <row r="7752" spans="1:98">
      <c r="A7752" s="532"/>
      <c r="AR7752" s="2513"/>
      <c r="CT7752" s="531"/>
    </row>
    <row r="7753" spans="1:98">
      <c r="A7753" s="532"/>
      <c r="AR7753" s="2513"/>
      <c r="CT7753" s="531"/>
    </row>
    <row r="7754" spans="1:98">
      <c r="A7754" s="532"/>
      <c r="AR7754" s="2513"/>
      <c r="CT7754" s="531"/>
    </row>
    <row r="7755" spans="1:98">
      <c r="A7755" s="532"/>
      <c r="AR7755" s="2513"/>
      <c r="CT7755" s="531"/>
    </row>
    <row r="7756" spans="1:98">
      <c r="A7756" s="532"/>
      <c r="AR7756" s="2513"/>
      <c r="CT7756" s="531"/>
    </row>
    <row r="7757" spans="1:98">
      <c r="A7757" s="532"/>
      <c r="AR7757" s="2513"/>
      <c r="CT7757" s="531"/>
    </row>
    <row r="7758" spans="1:98">
      <c r="A7758" s="532"/>
      <c r="AR7758" s="2513"/>
      <c r="CT7758" s="531"/>
    </row>
    <row r="7759" spans="1:98">
      <c r="A7759" s="532"/>
      <c r="AR7759" s="2513"/>
      <c r="CT7759" s="531"/>
    </row>
    <row r="7760" spans="1:98">
      <c r="A7760" s="532"/>
      <c r="AR7760" s="2513"/>
      <c r="CT7760" s="531"/>
    </row>
    <row r="7761" spans="1:98">
      <c r="A7761" s="532"/>
      <c r="AR7761" s="2513"/>
      <c r="CT7761" s="531"/>
    </row>
    <row r="7762" spans="1:98">
      <c r="A7762" s="532"/>
      <c r="AR7762" s="2513"/>
      <c r="CT7762" s="531"/>
    </row>
    <row r="7763" spans="1:98">
      <c r="A7763" s="532"/>
      <c r="AR7763" s="2513"/>
      <c r="CT7763" s="531"/>
    </row>
    <row r="7764" spans="1:98">
      <c r="A7764" s="532"/>
      <c r="AR7764" s="2513"/>
      <c r="CT7764" s="531"/>
    </row>
    <row r="7765" spans="1:98">
      <c r="A7765" s="532"/>
      <c r="AR7765" s="2513"/>
      <c r="CT7765" s="531"/>
    </row>
    <row r="7766" spans="1:98">
      <c r="A7766" s="532"/>
      <c r="AR7766" s="2513"/>
      <c r="CT7766" s="531"/>
    </row>
    <row r="7767" spans="1:98">
      <c r="A7767" s="532"/>
      <c r="AR7767" s="2513"/>
      <c r="CT7767" s="531"/>
    </row>
    <row r="7768" spans="1:98">
      <c r="A7768" s="532"/>
      <c r="AR7768" s="2513"/>
      <c r="CT7768" s="531"/>
    </row>
    <row r="7769" spans="1:98">
      <c r="A7769" s="532"/>
      <c r="AR7769" s="2513"/>
      <c r="CT7769" s="531"/>
    </row>
    <row r="7770" spans="1:98">
      <c r="A7770" s="532"/>
      <c r="AR7770" s="2513"/>
      <c r="CT7770" s="531"/>
    </row>
    <row r="7771" spans="1:98">
      <c r="A7771" s="532"/>
      <c r="AR7771" s="2513"/>
      <c r="CT7771" s="531"/>
    </row>
    <row r="7772" spans="1:98">
      <c r="A7772" s="532"/>
      <c r="AR7772" s="2513"/>
      <c r="CT7772" s="531"/>
    </row>
    <row r="7773" spans="1:98">
      <c r="A7773" s="532"/>
      <c r="AR7773" s="2513"/>
      <c r="CT7773" s="531"/>
    </row>
    <row r="7774" spans="1:98">
      <c r="A7774" s="532"/>
      <c r="AR7774" s="2513"/>
      <c r="CT7774" s="531"/>
    </row>
    <row r="7775" spans="1:98">
      <c r="A7775" s="532"/>
      <c r="AR7775" s="2513"/>
      <c r="CT7775" s="531"/>
    </row>
    <row r="7776" spans="1:98">
      <c r="A7776" s="532"/>
      <c r="AR7776" s="2513"/>
      <c r="CT7776" s="531"/>
    </row>
    <row r="7777" spans="1:98">
      <c r="A7777" s="532"/>
      <c r="AR7777" s="2513"/>
      <c r="CT7777" s="531"/>
    </row>
    <row r="7778" spans="1:98">
      <c r="A7778" s="532"/>
      <c r="AR7778" s="2513"/>
      <c r="CT7778" s="531"/>
    </row>
    <row r="7779" spans="1:98">
      <c r="A7779" s="532"/>
      <c r="AR7779" s="2513"/>
      <c r="CT7779" s="531"/>
    </row>
    <row r="7780" spans="1:98">
      <c r="A7780" s="532"/>
      <c r="AR7780" s="2513"/>
      <c r="CT7780" s="531"/>
    </row>
    <row r="7781" spans="1:98">
      <c r="A7781" s="532"/>
      <c r="AR7781" s="2513"/>
      <c r="CT7781" s="531"/>
    </row>
    <row r="7782" spans="1:98">
      <c r="A7782" s="532"/>
      <c r="AR7782" s="2513"/>
      <c r="CT7782" s="531"/>
    </row>
    <row r="7783" spans="1:98">
      <c r="A7783" s="532"/>
      <c r="AR7783" s="2513"/>
      <c r="CT7783" s="531"/>
    </row>
    <row r="7784" spans="1:98">
      <c r="A7784" s="532"/>
      <c r="AR7784" s="2513"/>
      <c r="CT7784" s="531"/>
    </row>
    <row r="7785" spans="1:98">
      <c r="A7785" s="532"/>
      <c r="AR7785" s="2513"/>
      <c r="CT7785" s="531"/>
    </row>
    <row r="7786" spans="1:98">
      <c r="A7786" s="532"/>
      <c r="AR7786" s="2513"/>
      <c r="CT7786" s="531"/>
    </row>
    <row r="7787" spans="1:98">
      <c r="A7787" s="532"/>
      <c r="AR7787" s="2513"/>
      <c r="CT7787" s="531"/>
    </row>
    <row r="7788" spans="1:98">
      <c r="A7788" s="532"/>
      <c r="AR7788" s="2513"/>
      <c r="CT7788" s="531"/>
    </row>
    <row r="7789" spans="1:98">
      <c r="A7789" s="532"/>
      <c r="AR7789" s="2513"/>
      <c r="CT7789" s="531"/>
    </row>
    <row r="7790" spans="1:98">
      <c r="A7790" s="532"/>
      <c r="AR7790" s="2513"/>
      <c r="CT7790" s="531"/>
    </row>
    <row r="7791" spans="1:98">
      <c r="A7791" s="532"/>
      <c r="AR7791" s="2513"/>
      <c r="CT7791" s="531"/>
    </row>
    <row r="7792" spans="1:98">
      <c r="A7792" s="532"/>
      <c r="AR7792" s="2513"/>
      <c r="CT7792" s="531"/>
    </row>
    <row r="7793" spans="1:98">
      <c r="A7793" s="532"/>
      <c r="AR7793" s="2513"/>
      <c r="CT7793" s="531"/>
    </row>
    <row r="7794" spans="1:98">
      <c r="A7794" s="532"/>
      <c r="AR7794" s="2513"/>
      <c r="CT7794" s="531"/>
    </row>
    <row r="7795" spans="1:98">
      <c r="A7795" s="532"/>
      <c r="AR7795" s="2513"/>
      <c r="CT7795" s="531"/>
    </row>
    <row r="7796" spans="1:98">
      <c r="A7796" s="532"/>
      <c r="AR7796" s="2513"/>
      <c r="CT7796" s="531"/>
    </row>
    <row r="7797" spans="1:98">
      <c r="A7797" s="532"/>
      <c r="AR7797" s="2513"/>
      <c r="CT7797" s="531"/>
    </row>
    <row r="7798" spans="1:98">
      <c r="A7798" s="532"/>
      <c r="AR7798" s="2513"/>
      <c r="CT7798" s="531"/>
    </row>
    <row r="7799" spans="1:98">
      <c r="A7799" s="532"/>
      <c r="AR7799" s="2513"/>
      <c r="CT7799" s="531"/>
    </row>
    <row r="7800" spans="1:98">
      <c r="A7800" s="532"/>
      <c r="AR7800" s="2513"/>
      <c r="CT7800" s="531"/>
    </row>
    <row r="7801" spans="1:98">
      <c r="A7801" s="532"/>
      <c r="AR7801" s="2513"/>
      <c r="CT7801" s="531"/>
    </row>
    <row r="7802" spans="1:98">
      <c r="A7802" s="532"/>
      <c r="AR7802" s="2513"/>
      <c r="CT7802" s="531"/>
    </row>
    <row r="7803" spans="1:98">
      <c r="A7803" s="532"/>
      <c r="AR7803" s="2513"/>
      <c r="CT7803" s="531"/>
    </row>
    <row r="7804" spans="1:98">
      <c r="A7804" s="532"/>
      <c r="AR7804" s="2513"/>
      <c r="CT7804" s="531"/>
    </row>
    <row r="7805" spans="1:98">
      <c r="A7805" s="532"/>
      <c r="AR7805" s="2513"/>
      <c r="CT7805" s="531"/>
    </row>
    <row r="7806" spans="1:98">
      <c r="A7806" s="532"/>
      <c r="AR7806" s="2513"/>
      <c r="CT7806" s="531"/>
    </row>
    <row r="7807" spans="1:98">
      <c r="A7807" s="532"/>
      <c r="AR7807" s="2513"/>
      <c r="CT7807" s="531"/>
    </row>
    <row r="7808" spans="1:98">
      <c r="A7808" s="532"/>
      <c r="AR7808" s="2513"/>
      <c r="CT7808" s="531"/>
    </row>
    <row r="7809" spans="1:98">
      <c r="A7809" s="532"/>
      <c r="AR7809" s="2513"/>
      <c r="CT7809" s="531"/>
    </row>
    <row r="7810" spans="1:98">
      <c r="A7810" s="532"/>
      <c r="AR7810" s="2513"/>
      <c r="CT7810" s="531"/>
    </row>
    <row r="7811" spans="1:98">
      <c r="A7811" s="532"/>
      <c r="AR7811" s="2513"/>
      <c r="CT7811" s="531"/>
    </row>
    <row r="7812" spans="1:98">
      <c r="A7812" s="532"/>
      <c r="AR7812" s="2513"/>
      <c r="CT7812" s="531"/>
    </row>
    <row r="7813" spans="1:98">
      <c r="A7813" s="532"/>
      <c r="AR7813" s="2513"/>
      <c r="CT7813" s="531"/>
    </row>
    <row r="7814" spans="1:98">
      <c r="A7814" s="532"/>
      <c r="AR7814" s="2513"/>
      <c r="CT7814" s="531"/>
    </row>
    <row r="7815" spans="1:98">
      <c r="A7815" s="532"/>
      <c r="AR7815" s="2513"/>
      <c r="CT7815" s="531"/>
    </row>
    <row r="7816" spans="1:98">
      <c r="A7816" s="532"/>
      <c r="AR7816" s="2513"/>
      <c r="CT7816" s="531"/>
    </row>
    <row r="7817" spans="1:98">
      <c r="A7817" s="532"/>
      <c r="AR7817" s="2513"/>
      <c r="CT7817" s="531"/>
    </row>
    <row r="7818" spans="1:98">
      <c r="A7818" s="532"/>
      <c r="AR7818" s="2513"/>
      <c r="CT7818" s="531"/>
    </row>
    <row r="7819" spans="1:98">
      <c r="A7819" s="532"/>
      <c r="AR7819" s="2513"/>
      <c r="CT7819" s="531"/>
    </row>
    <row r="7820" spans="1:98">
      <c r="A7820" s="532"/>
      <c r="AR7820" s="2513"/>
      <c r="CT7820" s="531"/>
    </row>
    <row r="7821" spans="1:98">
      <c r="A7821" s="532"/>
      <c r="AR7821" s="2513"/>
      <c r="CT7821" s="531"/>
    </row>
    <row r="7822" spans="1:98">
      <c r="A7822" s="532"/>
      <c r="AR7822" s="2513"/>
      <c r="CT7822" s="531"/>
    </row>
    <row r="7823" spans="1:98">
      <c r="A7823" s="532"/>
      <c r="AR7823" s="2513"/>
      <c r="CT7823" s="531"/>
    </row>
    <row r="7824" spans="1:98">
      <c r="A7824" s="532"/>
      <c r="AR7824" s="2513"/>
      <c r="CT7824" s="531"/>
    </row>
    <row r="7825" spans="1:98">
      <c r="A7825" s="532"/>
      <c r="AR7825" s="2513"/>
      <c r="CT7825" s="531"/>
    </row>
    <row r="7826" spans="1:98">
      <c r="A7826" s="532"/>
      <c r="AR7826" s="2513"/>
      <c r="CT7826" s="531"/>
    </row>
    <row r="7827" spans="1:98">
      <c r="A7827" s="532"/>
      <c r="AR7827" s="2513"/>
      <c r="CT7827" s="531"/>
    </row>
    <row r="7828" spans="1:98">
      <c r="A7828" s="532"/>
      <c r="AR7828" s="2513"/>
      <c r="CT7828" s="531"/>
    </row>
    <row r="7829" spans="1:98">
      <c r="A7829" s="532"/>
      <c r="AR7829" s="2513"/>
      <c r="CT7829" s="531"/>
    </row>
    <row r="7830" spans="1:98">
      <c r="A7830" s="532"/>
      <c r="AR7830" s="2513"/>
      <c r="CT7830" s="531"/>
    </row>
    <row r="7831" spans="1:98">
      <c r="A7831" s="532"/>
      <c r="AR7831" s="2513"/>
      <c r="CT7831" s="531"/>
    </row>
    <row r="7832" spans="1:98">
      <c r="A7832" s="532"/>
      <c r="AR7832" s="2513"/>
      <c r="CT7832" s="531"/>
    </row>
    <row r="7833" spans="1:98">
      <c r="A7833" s="532"/>
      <c r="AR7833" s="2513"/>
      <c r="CT7833" s="531"/>
    </row>
    <row r="7834" spans="1:98">
      <c r="A7834" s="532"/>
      <c r="AR7834" s="2513"/>
      <c r="CT7834" s="531"/>
    </row>
    <row r="7835" spans="1:98">
      <c r="A7835" s="532"/>
      <c r="AR7835" s="2513"/>
      <c r="CT7835" s="531"/>
    </row>
    <row r="7836" spans="1:98">
      <c r="A7836" s="532"/>
      <c r="AR7836" s="2513"/>
      <c r="CT7836" s="531"/>
    </row>
    <row r="7837" spans="1:98">
      <c r="A7837" s="532"/>
      <c r="AR7837" s="2513"/>
      <c r="CT7837" s="531"/>
    </row>
    <row r="7838" spans="1:98">
      <c r="A7838" s="532"/>
      <c r="AR7838" s="2513"/>
      <c r="CT7838" s="531"/>
    </row>
    <row r="7839" spans="1:98">
      <c r="A7839" s="532"/>
      <c r="AR7839" s="2513"/>
      <c r="CT7839" s="531"/>
    </row>
    <row r="7840" spans="1:98">
      <c r="A7840" s="532"/>
      <c r="AR7840" s="2513"/>
      <c r="CT7840" s="531"/>
    </row>
    <row r="7841" spans="1:98">
      <c r="A7841" s="532"/>
      <c r="AR7841" s="2513"/>
      <c r="CT7841" s="531"/>
    </row>
    <row r="7842" spans="1:98">
      <c r="A7842" s="532"/>
      <c r="AR7842" s="2513"/>
      <c r="CT7842" s="531"/>
    </row>
    <row r="7843" spans="1:98">
      <c r="A7843" s="532"/>
      <c r="AR7843" s="2513"/>
      <c r="CT7843" s="531"/>
    </row>
    <row r="7844" spans="1:98">
      <c r="A7844" s="532"/>
      <c r="AR7844" s="2513"/>
      <c r="CT7844" s="531"/>
    </row>
    <row r="7845" spans="1:98">
      <c r="A7845" s="532"/>
      <c r="AR7845" s="2513"/>
      <c r="CT7845" s="531"/>
    </row>
    <row r="7846" spans="1:98">
      <c r="A7846" s="532"/>
      <c r="AR7846" s="2513"/>
      <c r="CT7846" s="531"/>
    </row>
    <row r="7847" spans="1:98">
      <c r="A7847" s="532"/>
      <c r="AR7847" s="2513"/>
      <c r="CT7847" s="531"/>
    </row>
    <row r="7848" spans="1:98">
      <c r="A7848" s="532"/>
      <c r="AR7848" s="2513"/>
      <c r="CT7848" s="531"/>
    </row>
    <row r="7849" spans="1:98">
      <c r="A7849" s="532"/>
      <c r="AR7849" s="2513"/>
      <c r="CT7849" s="531"/>
    </row>
    <row r="7850" spans="1:98">
      <c r="A7850" s="532"/>
      <c r="AR7850" s="2513"/>
      <c r="CT7850" s="531"/>
    </row>
    <row r="7851" spans="1:98">
      <c r="A7851" s="532"/>
      <c r="AR7851" s="2513"/>
      <c r="CT7851" s="531"/>
    </row>
    <row r="7852" spans="1:98">
      <c r="A7852" s="532"/>
      <c r="AR7852" s="2513"/>
      <c r="CT7852" s="531"/>
    </row>
    <row r="7853" spans="1:98">
      <c r="A7853" s="532"/>
      <c r="AR7853" s="2513"/>
      <c r="CT7853" s="531"/>
    </row>
    <row r="7854" spans="1:98">
      <c r="A7854" s="532"/>
      <c r="AR7854" s="2513"/>
      <c r="CT7854" s="531"/>
    </row>
    <row r="7855" spans="1:98">
      <c r="A7855" s="532"/>
      <c r="AR7855" s="2513"/>
      <c r="CT7855" s="531"/>
    </row>
    <row r="7856" spans="1:98">
      <c r="A7856" s="532"/>
      <c r="AR7856" s="2513"/>
      <c r="CT7856" s="531"/>
    </row>
    <row r="7857" spans="1:98">
      <c r="A7857" s="532"/>
      <c r="AR7857" s="2513"/>
      <c r="CT7857" s="531"/>
    </row>
    <row r="7858" spans="1:98">
      <c r="A7858" s="532"/>
      <c r="AR7858" s="2513"/>
      <c r="CT7858" s="531"/>
    </row>
    <row r="7859" spans="1:98">
      <c r="A7859" s="532"/>
      <c r="AR7859" s="2513"/>
      <c r="CT7859" s="531"/>
    </row>
    <row r="7860" spans="1:98">
      <c r="A7860" s="532"/>
      <c r="AR7860" s="2513"/>
      <c r="CT7860" s="531"/>
    </row>
    <row r="7861" spans="1:98">
      <c r="A7861" s="532"/>
      <c r="AR7861" s="2513"/>
      <c r="CT7861" s="531"/>
    </row>
    <row r="7862" spans="1:98">
      <c r="A7862" s="532"/>
      <c r="AR7862" s="2513"/>
      <c r="CT7862" s="531"/>
    </row>
    <row r="7863" spans="1:98">
      <c r="A7863" s="532"/>
      <c r="AR7863" s="2513"/>
      <c r="CT7863" s="531"/>
    </row>
    <row r="7864" spans="1:98">
      <c r="A7864" s="532"/>
      <c r="AR7864" s="2513"/>
      <c r="CT7864" s="531"/>
    </row>
    <row r="7865" spans="1:98">
      <c r="A7865" s="532"/>
      <c r="AR7865" s="2513"/>
      <c r="CT7865" s="531"/>
    </row>
    <row r="7866" spans="1:98">
      <c r="A7866" s="532"/>
      <c r="AR7866" s="2513"/>
      <c r="CT7866" s="531"/>
    </row>
    <row r="7867" spans="1:98">
      <c r="A7867" s="532"/>
      <c r="AR7867" s="2513"/>
      <c r="CT7867" s="531"/>
    </row>
    <row r="7868" spans="1:98">
      <c r="A7868" s="532"/>
      <c r="AR7868" s="2513"/>
      <c r="CT7868" s="531"/>
    </row>
    <row r="7869" spans="1:98">
      <c r="A7869" s="532"/>
      <c r="AR7869" s="2513"/>
      <c r="CT7869" s="531"/>
    </row>
    <row r="7870" spans="1:98">
      <c r="A7870" s="532"/>
      <c r="AR7870" s="2513"/>
      <c r="CT7870" s="531"/>
    </row>
    <row r="7871" spans="1:98">
      <c r="A7871" s="532"/>
      <c r="AR7871" s="2513"/>
      <c r="CT7871" s="531"/>
    </row>
    <row r="7872" spans="1:98">
      <c r="A7872" s="532"/>
      <c r="AR7872" s="2513"/>
      <c r="CT7872" s="531"/>
    </row>
    <row r="7873" spans="1:98">
      <c r="A7873" s="532"/>
      <c r="AR7873" s="2513"/>
      <c r="CT7873" s="531"/>
    </row>
    <row r="7874" spans="1:98">
      <c r="A7874" s="532"/>
      <c r="AR7874" s="2513"/>
      <c r="CT7874" s="531"/>
    </row>
    <row r="7875" spans="1:98">
      <c r="A7875" s="532"/>
      <c r="AR7875" s="2513"/>
      <c r="CT7875" s="531"/>
    </row>
    <row r="7876" spans="1:98">
      <c r="A7876" s="532"/>
      <c r="AR7876" s="2513"/>
      <c r="CT7876" s="531"/>
    </row>
    <row r="7877" spans="1:98">
      <c r="A7877" s="532"/>
      <c r="AR7877" s="2513"/>
      <c r="CT7877" s="531"/>
    </row>
    <row r="7878" spans="1:98">
      <c r="A7878" s="532"/>
      <c r="AR7878" s="2513"/>
      <c r="CT7878" s="531"/>
    </row>
    <row r="7879" spans="1:98">
      <c r="A7879" s="532"/>
      <c r="AR7879" s="2513"/>
      <c r="CT7879" s="531"/>
    </row>
    <row r="7880" spans="1:98">
      <c r="A7880" s="532"/>
      <c r="AR7880" s="2513"/>
      <c r="CT7880" s="531"/>
    </row>
    <row r="7881" spans="1:98">
      <c r="A7881" s="532"/>
      <c r="AR7881" s="2513"/>
      <c r="CT7881" s="531"/>
    </row>
    <row r="7882" spans="1:98">
      <c r="A7882" s="532"/>
      <c r="AR7882" s="2513"/>
      <c r="CT7882" s="531"/>
    </row>
    <row r="7883" spans="1:98">
      <c r="A7883" s="532"/>
      <c r="AR7883" s="2513"/>
      <c r="CT7883" s="531"/>
    </row>
    <row r="7884" spans="1:98">
      <c r="A7884" s="532"/>
      <c r="AR7884" s="2513"/>
      <c r="CT7884" s="531"/>
    </row>
    <row r="7885" spans="1:98">
      <c r="A7885" s="532"/>
      <c r="AR7885" s="2513"/>
      <c r="CT7885" s="531"/>
    </row>
    <row r="7886" spans="1:98">
      <c r="A7886" s="532"/>
      <c r="AR7886" s="2513"/>
      <c r="CT7886" s="531"/>
    </row>
    <row r="7887" spans="1:98">
      <c r="A7887" s="532"/>
      <c r="AR7887" s="2513"/>
      <c r="CT7887" s="531"/>
    </row>
    <row r="7888" spans="1:98">
      <c r="A7888" s="532"/>
      <c r="AR7888" s="2513"/>
      <c r="CT7888" s="531"/>
    </row>
    <row r="7889" spans="1:98">
      <c r="A7889" s="532"/>
      <c r="AR7889" s="2513"/>
      <c r="CT7889" s="531"/>
    </row>
    <row r="7890" spans="1:98">
      <c r="A7890" s="532"/>
      <c r="AR7890" s="2513"/>
      <c r="CT7890" s="531"/>
    </row>
    <row r="7891" spans="1:98">
      <c r="A7891" s="532"/>
      <c r="AR7891" s="2513"/>
      <c r="CT7891" s="531"/>
    </row>
    <row r="7892" spans="1:98">
      <c r="A7892" s="532"/>
      <c r="AR7892" s="2513"/>
      <c r="CT7892" s="531"/>
    </row>
    <row r="7893" spans="1:98">
      <c r="A7893" s="532"/>
      <c r="AR7893" s="2513"/>
      <c r="CT7893" s="531"/>
    </row>
    <row r="7894" spans="1:98">
      <c r="A7894" s="532"/>
      <c r="AR7894" s="2513"/>
      <c r="CT7894" s="531"/>
    </row>
    <row r="7895" spans="1:98">
      <c r="A7895" s="532"/>
      <c r="AR7895" s="2513"/>
      <c r="CT7895" s="531"/>
    </row>
    <row r="7896" spans="1:98">
      <c r="A7896" s="532"/>
      <c r="AR7896" s="2513"/>
      <c r="CT7896" s="531"/>
    </row>
    <row r="7897" spans="1:98">
      <c r="A7897" s="532"/>
      <c r="AR7897" s="2513"/>
      <c r="CT7897" s="531"/>
    </row>
    <row r="7898" spans="1:98">
      <c r="A7898" s="532"/>
      <c r="AR7898" s="2513"/>
      <c r="CT7898" s="531"/>
    </row>
    <row r="7899" spans="1:98">
      <c r="A7899" s="532"/>
      <c r="AR7899" s="2513"/>
      <c r="CT7899" s="531"/>
    </row>
    <row r="7900" spans="1:98">
      <c r="A7900" s="532"/>
      <c r="AR7900" s="2513"/>
      <c r="CT7900" s="531"/>
    </row>
    <row r="7901" spans="1:98">
      <c r="A7901" s="532"/>
      <c r="AR7901" s="2513"/>
      <c r="CT7901" s="531"/>
    </row>
    <row r="7902" spans="1:98">
      <c r="A7902" s="532"/>
      <c r="AR7902" s="2513"/>
      <c r="CT7902" s="531"/>
    </row>
    <row r="7903" spans="1:98">
      <c r="A7903" s="532"/>
      <c r="AR7903" s="2513"/>
      <c r="CT7903" s="531"/>
    </row>
    <row r="7904" spans="1:98">
      <c r="A7904" s="532"/>
      <c r="AR7904" s="2513"/>
      <c r="CT7904" s="531"/>
    </row>
    <row r="7905" spans="1:98">
      <c r="A7905" s="532"/>
      <c r="AR7905" s="2513"/>
      <c r="CT7905" s="531"/>
    </row>
    <row r="7906" spans="1:98">
      <c r="A7906" s="532"/>
      <c r="AR7906" s="2513"/>
      <c r="CT7906" s="531"/>
    </row>
    <row r="7907" spans="1:98">
      <c r="A7907" s="532"/>
      <c r="AR7907" s="2513"/>
      <c r="CT7907" s="531"/>
    </row>
    <row r="7908" spans="1:98">
      <c r="A7908" s="532"/>
      <c r="AR7908" s="2513"/>
      <c r="CT7908" s="531"/>
    </row>
    <row r="7909" spans="1:98">
      <c r="A7909" s="532"/>
      <c r="AR7909" s="2513"/>
      <c r="CT7909" s="531"/>
    </row>
    <row r="7910" spans="1:98">
      <c r="A7910" s="532"/>
      <c r="AR7910" s="2513"/>
      <c r="CT7910" s="531"/>
    </row>
    <row r="7911" spans="1:98">
      <c r="A7911" s="532"/>
      <c r="AR7911" s="2513"/>
      <c r="CT7911" s="531"/>
    </row>
    <row r="7912" spans="1:98">
      <c r="A7912" s="532"/>
      <c r="AR7912" s="2513"/>
      <c r="CT7912" s="531"/>
    </row>
    <row r="7913" spans="1:98">
      <c r="A7913" s="532"/>
      <c r="AR7913" s="2513"/>
      <c r="CT7913" s="531"/>
    </row>
    <row r="7914" spans="1:98">
      <c r="A7914" s="532"/>
      <c r="AR7914" s="2513"/>
      <c r="CT7914" s="531"/>
    </row>
    <row r="7915" spans="1:98">
      <c r="A7915" s="532"/>
      <c r="AR7915" s="2513"/>
      <c r="CT7915" s="531"/>
    </row>
    <row r="7916" spans="1:98">
      <c r="A7916" s="532"/>
      <c r="AR7916" s="2513"/>
      <c r="CT7916" s="531"/>
    </row>
    <row r="7917" spans="1:98">
      <c r="A7917" s="532"/>
      <c r="AR7917" s="2513"/>
      <c r="CT7917" s="531"/>
    </row>
    <row r="7918" spans="1:98">
      <c r="A7918" s="532"/>
      <c r="AR7918" s="2513"/>
      <c r="CT7918" s="531"/>
    </row>
    <row r="7919" spans="1:98">
      <c r="A7919" s="532"/>
      <c r="AR7919" s="2513"/>
      <c r="CT7919" s="531"/>
    </row>
    <row r="7920" spans="1:98">
      <c r="A7920" s="532"/>
      <c r="AR7920" s="2513"/>
      <c r="CT7920" s="531"/>
    </row>
    <row r="7921" spans="1:98">
      <c r="A7921" s="532"/>
      <c r="AR7921" s="2513"/>
      <c r="CT7921" s="531"/>
    </row>
    <row r="7922" spans="1:98">
      <c r="A7922" s="532"/>
      <c r="AR7922" s="2513"/>
      <c r="CT7922" s="531"/>
    </row>
    <row r="7923" spans="1:98">
      <c r="A7923" s="532"/>
      <c r="AR7923" s="2513"/>
      <c r="CT7923" s="531"/>
    </row>
    <row r="7924" spans="1:98">
      <c r="A7924" s="532"/>
      <c r="AR7924" s="2513"/>
      <c r="CT7924" s="531"/>
    </row>
    <row r="7925" spans="1:98">
      <c r="A7925" s="532"/>
      <c r="AR7925" s="2513"/>
      <c r="CT7925" s="531"/>
    </row>
    <row r="7926" spans="1:98">
      <c r="A7926" s="532"/>
      <c r="AR7926" s="2513"/>
      <c r="CT7926" s="531"/>
    </row>
    <row r="7927" spans="1:98">
      <c r="A7927" s="532"/>
      <c r="AR7927" s="2513"/>
      <c r="CT7927" s="531"/>
    </row>
    <row r="7928" spans="1:98">
      <c r="A7928" s="532"/>
      <c r="AR7928" s="2513"/>
      <c r="CT7928" s="531"/>
    </row>
    <row r="7929" spans="1:98">
      <c r="A7929" s="532"/>
      <c r="AR7929" s="2513"/>
      <c r="CT7929" s="531"/>
    </row>
    <row r="7930" spans="1:98">
      <c r="A7930" s="532"/>
      <c r="AR7930" s="2513"/>
      <c r="CT7930" s="531"/>
    </row>
    <row r="7931" spans="1:98">
      <c r="A7931" s="532"/>
      <c r="AR7931" s="2513"/>
      <c r="CT7931" s="531"/>
    </row>
    <row r="7932" spans="1:98">
      <c r="A7932" s="532"/>
      <c r="AR7932" s="2513"/>
      <c r="CT7932" s="531"/>
    </row>
    <row r="7933" spans="1:98">
      <c r="A7933" s="532"/>
      <c r="AR7933" s="2513"/>
      <c r="CT7933" s="531"/>
    </row>
    <row r="7934" spans="1:98">
      <c r="A7934" s="532"/>
      <c r="AR7934" s="2513"/>
      <c r="CT7934" s="531"/>
    </row>
    <row r="7935" spans="1:98">
      <c r="A7935" s="532"/>
      <c r="AR7935" s="2513"/>
      <c r="CT7935" s="531"/>
    </row>
    <row r="7936" spans="1:98">
      <c r="A7936" s="532"/>
      <c r="AR7936" s="2513"/>
      <c r="CT7936" s="531"/>
    </row>
    <row r="7937" spans="1:98">
      <c r="A7937" s="532"/>
      <c r="AR7937" s="2513"/>
      <c r="CT7937" s="531"/>
    </row>
    <row r="7938" spans="1:98">
      <c r="A7938" s="532"/>
      <c r="AR7938" s="2513"/>
      <c r="CT7938" s="531"/>
    </row>
    <row r="7939" spans="1:98">
      <c r="A7939" s="532"/>
      <c r="AR7939" s="2513"/>
      <c r="CT7939" s="531"/>
    </row>
    <row r="7940" spans="1:98">
      <c r="A7940" s="532"/>
      <c r="AR7940" s="2513"/>
      <c r="CT7940" s="531"/>
    </row>
    <row r="7941" spans="1:98">
      <c r="A7941" s="532"/>
      <c r="AR7941" s="2513"/>
      <c r="CT7941" s="531"/>
    </row>
    <row r="7942" spans="1:98">
      <c r="A7942" s="532"/>
      <c r="AR7942" s="2513"/>
      <c r="CT7942" s="531"/>
    </row>
    <row r="7943" spans="1:98">
      <c r="A7943" s="532"/>
      <c r="AR7943" s="2513"/>
      <c r="CT7943" s="531"/>
    </row>
    <row r="7944" spans="1:98">
      <c r="A7944" s="532"/>
      <c r="AR7944" s="2513"/>
      <c r="CT7944" s="531"/>
    </row>
    <row r="7945" spans="1:98">
      <c r="A7945" s="532"/>
      <c r="AR7945" s="2513"/>
      <c r="CT7945" s="531"/>
    </row>
    <row r="7946" spans="1:98">
      <c r="A7946" s="532"/>
      <c r="AR7946" s="2513"/>
      <c r="CT7946" s="531"/>
    </row>
    <row r="7947" spans="1:98">
      <c r="A7947" s="532"/>
      <c r="AR7947" s="2513"/>
      <c r="CT7947" s="531"/>
    </row>
    <row r="7948" spans="1:98">
      <c r="A7948" s="532"/>
      <c r="AR7948" s="2513"/>
      <c r="CT7948" s="531"/>
    </row>
    <row r="7949" spans="1:98">
      <c r="A7949" s="532"/>
      <c r="AR7949" s="2513"/>
      <c r="CT7949" s="531"/>
    </row>
    <row r="7950" spans="1:98">
      <c r="A7950" s="532"/>
      <c r="AR7950" s="2513"/>
      <c r="CT7950" s="531"/>
    </row>
    <row r="7951" spans="1:98">
      <c r="A7951" s="532"/>
      <c r="AR7951" s="2513"/>
      <c r="CT7951" s="531"/>
    </row>
    <row r="7952" spans="1:98">
      <c r="A7952" s="532"/>
      <c r="AR7952" s="2513"/>
      <c r="CT7952" s="531"/>
    </row>
    <row r="7953" spans="1:98">
      <c r="A7953" s="532"/>
      <c r="AR7953" s="2513"/>
      <c r="CT7953" s="531"/>
    </row>
    <row r="7954" spans="1:98">
      <c r="A7954" s="532"/>
      <c r="AR7954" s="2513"/>
      <c r="CT7954" s="531"/>
    </row>
    <row r="7955" spans="1:98">
      <c r="A7955" s="532"/>
      <c r="AR7955" s="2513"/>
      <c r="CT7955" s="531"/>
    </row>
    <row r="7956" spans="1:98">
      <c r="A7956" s="532"/>
      <c r="AR7956" s="2513"/>
      <c r="CT7956" s="531"/>
    </row>
    <row r="7957" spans="1:98">
      <c r="A7957" s="532"/>
      <c r="AR7957" s="2513"/>
      <c r="CT7957" s="531"/>
    </row>
    <row r="7958" spans="1:98">
      <c r="A7958" s="532"/>
      <c r="AR7958" s="2513"/>
      <c r="CT7958" s="531"/>
    </row>
    <row r="7959" spans="1:98">
      <c r="A7959" s="532"/>
      <c r="AR7959" s="2513"/>
      <c r="CT7959" s="531"/>
    </row>
    <row r="7960" spans="1:98">
      <c r="A7960" s="532"/>
      <c r="AR7960" s="2513"/>
      <c r="CT7960" s="531"/>
    </row>
    <row r="7961" spans="1:98">
      <c r="A7961" s="532"/>
      <c r="AR7961" s="2513"/>
      <c r="CT7961" s="531"/>
    </row>
    <row r="7962" spans="1:98">
      <c r="A7962" s="532"/>
      <c r="AR7962" s="2513"/>
      <c r="CT7962" s="531"/>
    </row>
    <row r="7963" spans="1:98">
      <c r="A7963" s="532"/>
      <c r="AR7963" s="2513"/>
      <c r="CT7963" s="531"/>
    </row>
    <row r="7964" spans="1:98">
      <c r="A7964" s="532"/>
      <c r="AR7964" s="2513"/>
      <c r="CT7964" s="531"/>
    </row>
    <row r="7965" spans="1:98">
      <c r="A7965" s="532"/>
      <c r="AR7965" s="2513"/>
      <c r="CT7965" s="531"/>
    </row>
    <row r="7966" spans="1:98">
      <c r="A7966" s="532"/>
      <c r="AR7966" s="2513"/>
      <c r="CT7966" s="531"/>
    </row>
    <row r="7967" spans="1:98">
      <c r="A7967" s="532"/>
      <c r="AR7967" s="2513"/>
      <c r="CT7967" s="531"/>
    </row>
    <row r="7968" spans="1:98">
      <c r="A7968" s="532"/>
      <c r="AR7968" s="2513"/>
      <c r="CT7968" s="531"/>
    </row>
    <row r="7969" spans="1:98">
      <c r="A7969" s="532"/>
      <c r="AR7969" s="2513"/>
      <c r="CT7969" s="531"/>
    </row>
    <row r="7970" spans="1:98">
      <c r="A7970" s="532"/>
      <c r="AR7970" s="2513"/>
      <c r="CT7970" s="531"/>
    </row>
    <row r="7971" spans="1:98">
      <c r="A7971" s="532"/>
      <c r="AR7971" s="2513"/>
      <c r="CT7971" s="531"/>
    </row>
    <row r="7972" spans="1:98">
      <c r="A7972" s="532"/>
      <c r="AR7972" s="2513"/>
      <c r="CT7972" s="531"/>
    </row>
    <row r="7973" spans="1:98">
      <c r="A7973" s="532"/>
      <c r="AR7973" s="2513"/>
      <c r="CT7973" s="531"/>
    </row>
    <row r="7974" spans="1:98">
      <c r="A7974" s="532"/>
      <c r="AR7974" s="2513"/>
      <c r="CT7974" s="531"/>
    </row>
    <row r="7975" spans="1:98">
      <c r="A7975" s="532"/>
      <c r="AR7975" s="2513"/>
      <c r="CT7975" s="531"/>
    </row>
    <row r="7976" spans="1:98">
      <c r="A7976" s="532"/>
      <c r="AR7976" s="2513"/>
      <c r="CT7976" s="531"/>
    </row>
    <row r="7977" spans="1:98">
      <c r="A7977" s="532"/>
      <c r="AR7977" s="2513"/>
      <c r="CT7977" s="531"/>
    </row>
    <row r="7978" spans="1:98">
      <c r="A7978" s="532"/>
      <c r="AR7978" s="2513"/>
      <c r="CT7978" s="531"/>
    </row>
    <row r="7979" spans="1:98">
      <c r="A7979" s="532"/>
      <c r="AR7979" s="2513"/>
      <c r="CT7979" s="531"/>
    </row>
    <row r="7980" spans="1:98">
      <c r="A7980" s="532"/>
      <c r="AR7980" s="2513"/>
      <c r="CT7980" s="531"/>
    </row>
    <row r="7981" spans="1:98">
      <c r="A7981" s="532"/>
      <c r="AR7981" s="2513"/>
      <c r="CT7981" s="531"/>
    </row>
    <row r="7982" spans="1:98">
      <c r="A7982" s="532"/>
      <c r="AR7982" s="2513"/>
      <c r="CT7982" s="531"/>
    </row>
    <row r="7983" spans="1:98">
      <c r="A7983" s="532"/>
      <c r="AR7983" s="2513"/>
      <c r="CT7983" s="531"/>
    </row>
    <row r="7984" spans="1:98">
      <c r="A7984" s="532"/>
      <c r="AR7984" s="2513"/>
      <c r="CT7984" s="531"/>
    </row>
    <row r="7985" spans="1:98">
      <c r="A7985" s="532"/>
      <c r="AR7985" s="2513"/>
      <c r="CT7985" s="531"/>
    </row>
    <row r="7986" spans="1:98">
      <c r="A7986" s="532"/>
      <c r="AR7986" s="2513"/>
      <c r="CT7986" s="531"/>
    </row>
    <row r="7987" spans="1:98">
      <c r="A7987" s="532"/>
      <c r="AR7987" s="2513"/>
      <c r="CT7987" s="531"/>
    </row>
    <row r="7988" spans="1:98">
      <c r="A7988" s="532"/>
      <c r="AR7988" s="2513"/>
      <c r="CT7988" s="531"/>
    </row>
    <row r="7989" spans="1:98">
      <c r="A7989" s="532"/>
      <c r="AR7989" s="2513"/>
      <c r="CT7989" s="531"/>
    </row>
    <row r="7990" spans="1:98">
      <c r="A7990" s="532"/>
      <c r="AR7990" s="2513"/>
      <c r="CT7990" s="531"/>
    </row>
    <row r="7991" spans="1:98">
      <c r="A7991" s="532"/>
      <c r="AR7991" s="2513"/>
      <c r="CT7991" s="531"/>
    </row>
    <row r="7992" spans="1:98">
      <c r="A7992" s="532"/>
      <c r="AR7992" s="2513"/>
      <c r="CT7992" s="531"/>
    </row>
    <row r="7993" spans="1:98">
      <c r="A7993" s="532"/>
      <c r="AR7993" s="2513"/>
      <c r="CT7993" s="531"/>
    </row>
    <row r="7994" spans="1:98">
      <c r="A7994" s="532"/>
      <c r="AR7994" s="2513"/>
      <c r="CT7994" s="531"/>
    </row>
    <row r="7995" spans="1:98">
      <c r="A7995" s="532"/>
      <c r="AR7995" s="2513"/>
      <c r="CT7995" s="531"/>
    </row>
    <row r="7996" spans="1:98">
      <c r="A7996" s="532"/>
      <c r="AR7996" s="2513"/>
      <c r="CT7996" s="531"/>
    </row>
    <row r="7997" spans="1:98">
      <c r="A7997" s="532"/>
      <c r="AR7997" s="2513"/>
      <c r="CT7997" s="531"/>
    </row>
    <row r="7998" spans="1:98">
      <c r="A7998" s="532"/>
      <c r="AR7998" s="2513"/>
      <c r="CT7998" s="531"/>
    </row>
    <row r="7999" spans="1:98">
      <c r="A7999" s="532"/>
      <c r="AR7999" s="2513"/>
      <c r="CT7999" s="531"/>
    </row>
    <row r="8000" spans="1:98">
      <c r="A8000" s="532"/>
      <c r="AR8000" s="2513"/>
      <c r="CT8000" s="531"/>
    </row>
    <row r="8001" spans="1:98">
      <c r="A8001" s="532"/>
      <c r="AR8001" s="2513"/>
      <c r="CT8001" s="531"/>
    </row>
    <row r="8002" spans="1:98">
      <c r="A8002" s="532"/>
      <c r="AR8002" s="2513"/>
      <c r="CT8002" s="531"/>
    </row>
    <row r="8003" spans="1:98">
      <c r="A8003" s="532"/>
      <c r="AR8003" s="2513"/>
      <c r="CT8003" s="531"/>
    </row>
    <row r="8004" spans="1:98">
      <c r="A8004" s="532"/>
      <c r="AR8004" s="2513"/>
      <c r="CT8004" s="531"/>
    </row>
    <row r="8005" spans="1:98">
      <c r="A8005" s="532"/>
      <c r="AR8005" s="2513"/>
      <c r="CT8005" s="531"/>
    </row>
    <row r="8006" spans="1:98">
      <c r="A8006" s="532"/>
      <c r="AR8006" s="2513"/>
      <c r="CT8006" s="531"/>
    </row>
    <row r="8007" spans="1:98">
      <c r="A8007" s="532"/>
      <c r="AR8007" s="2513"/>
      <c r="CT8007" s="531"/>
    </row>
    <row r="8008" spans="1:98">
      <c r="A8008" s="532"/>
      <c r="AR8008" s="2513"/>
      <c r="CT8008" s="531"/>
    </row>
    <row r="8009" spans="1:98">
      <c r="A8009" s="532"/>
      <c r="AR8009" s="2513"/>
      <c r="CT8009" s="531"/>
    </row>
    <row r="8010" spans="1:98">
      <c r="A8010" s="532"/>
      <c r="AR8010" s="2513"/>
      <c r="CT8010" s="531"/>
    </row>
    <row r="8011" spans="1:98">
      <c r="A8011" s="532"/>
      <c r="AR8011" s="2513"/>
      <c r="CT8011" s="531"/>
    </row>
    <row r="8012" spans="1:98">
      <c r="A8012" s="532"/>
      <c r="AR8012" s="2513"/>
      <c r="CT8012" s="531"/>
    </row>
    <row r="8013" spans="1:98">
      <c r="A8013" s="532"/>
      <c r="AR8013" s="2513"/>
      <c r="CT8013" s="531"/>
    </row>
    <row r="8014" spans="1:98">
      <c r="A8014" s="532"/>
      <c r="AR8014" s="2513"/>
      <c r="CT8014" s="531"/>
    </row>
    <row r="8015" spans="1:98">
      <c r="A8015" s="532"/>
      <c r="AR8015" s="2513"/>
      <c r="CT8015" s="531"/>
    </row>
    <row r="8016" spans="1:98">
      <c r="A8016" s="532"/>
      <c r="AR8016" s="2513"/>
      <c r="CT8016" s="531"/>
    </row>
    <row r="8017" spans="1:98">
      <c r="A8017" s="532"/>
      <c r="AR8017" s="2513"/>
      <c r="CT8017" s="531"/>
    </row>
    <row r="8018" spans="1:98">
      <c r="A8018" s="532"/>
      <c r="AR8018" s="2513"/>
      <c r="CT8018" s="531"/>
    </row>
    <row r="8019" spans="1:98">
      <c r="A8019" s="532"/>
      <c r="AR8019" s="2513"/>
      <c r="CT8019" s="531"/>
    </row>
    <row r="8020" spans="1:98">
      <c r="A8020" s="532"/>
      <c r="AR8020" s="2513"/>
      <c r="CT8020" s="531"/>
    </row>
    <row r="8021" spans="1:98">
      <c r="A8021" s="532"/>
      <c r="AR8021" s="2513"/>
      <c r="CT8021" s="531"/>
    </row>
    <row r="8022" spans="1:98">
      <c r="A8022" s="532"/>
      <c r="AR8022" s="2513"/>
      <c r="CT8022" s="531"/>
    </row>
    <row r="8023" spans="1:98">
      <c r="A8023" s="532"/>
      <c r="AR8023" s="2513"/>
      <c r="CT8023" s="531"/>
    </row>
    <row r="8024" spans="1:98">
      <c r="A8024" s="532"/>
      <c r="AR8024" s="2513"/>
      <c r="CT8024" s="531"/>
    </row>
    <row r="8025" spans="1:98">
      <c r="A8025" s="532"/>
      <c r="AR8025" s="2513"/>
      <c r="CT8025" s="531"/>
    </row>
    <row r="8026" spans="1:98">
      <c r="A8026" s="532"/>
      <c r="AR8026" s="2513"/>
      <c r="CT8026" s="531"/>
    </row>
    <row r="8027" spans="1:98">
      <c r="A8027" s="532"/>
      <c r="AR8027" s="2513"/>
      <c r="CT8027" s="531"/>
    </row>
    <row r="8028" spans="1:98">
      <c r="A8028" s="532"/>
      <c r="AR8028" s="2513"/>
      <c r="CT8028" s="531"/>
    </row>
    <row r="8029" spans="1:98">
      <c r="A8029" s="532"/>
      <c r="AR8029" s="2513"/>
      <c r="CT8029" s="531"/>
    </row>
    <row r="8030" spans="1:98">
      <c r="A8030" s="532"/>
      <c r="AR8030" s="2513"/>
      <c r="CT8030" s="531"/>
    </row>
    <row r="8031" spans="1:98">
      <c r="A8031" s="532"/>
      <c r="AR8031" s="2513"/>
      <c r="CT8031" s="531"/>
    </row>
    <row r="8032" spans="1:98">
      <c r="A8032" s="532"/>
      <c r="AR8032" s="2513"/>
      <c r="CT8032" s="531"/>
    </row>
    <row r="8033" spans="1:98">
      <c r="A8033" s="532"/>
      <c r="AR8033" s="2513"/>
      <c r="CT8033" s="531"/>
    </row>
    <row r="8034" spans="1:98">
      <c r="A8034" s="532"/>
      <c r="AR8034" s="2513"/>
      <c r="CT8034" s="531"/>
    </row>
    <row r="8035" spans="1:98">
      <c r="A8035" s="532"/>
      <c r="AR8035" s="2513"/>
      <c r="CT8035" s="531"/>
    </row>
    <row r="8036" spans="1:98">
      <c r="A8036" s="532"/>
      <c r="AR8036" s="2513"/>
      <c r="CT8036" s="531"/>
    </row>
    <row r="8037" spans="1:98">
      <c r="A8037" s="532"/>
      <c r="AR8037" s="2513"/>
      <c r="CT8037" s="531"/>
    </row>
    <row r="8038" spans="1:98">
      <c r="A8038" s="532"/>
      <c r="AR8038" s="2513"/>
      <c r="CT8038" s="531"/>
    </row>
    <row r="8039" spans="1:98">
      <c r="A8039" s="532"/>
      <c r="AR8039" s="2513"/>
      <c r="CT8039" s="531"/>
    </row>
    <row r="8040" spans="1:98">
      <c r="A8040" s="532"/>
      <c r="AR8040" s="2513"/>
      <c r="CT8040" s="531"/>
    </row>
    <row r="8041" spans="1:98">
      <c r="A8041" s="532"/>
      <c r="AR8041" s="2513"/>
      <c r="CT8041" s="531"/>
    </row>
    <row r="8042" spans="1:98">
      <c r="A8042" s="532"/>
      <c r="AR8042" s="2513"/>
      <c r="CT8042" s="531"/>
    </row>
    <row r="8043" spans="1:98">
      <c r="A8043" s="532"/>
      <c r="AR8043" s="2513"/>
      <c r="CT8043" s="531"/>
    </row>
    <row r="8044" spans="1:98">
      <c r="A8044" s="532"/>
      <c r="AR8044" s="2513"/>
      <c r="CT8044" s="531"/>
    </row>
    <row r="8045" spans="1:98">
      <c r="A8045" s="532"/>
      <c r="AR8045" s="2513"/>
      <c r="CT8045" s="531"/>
    </row>
    <row r="8046" spans="1:98">
      <c r="A8046" s="532"/>
      <c r="AR8046" s="2513"/>
      <c r="CT8046" s="531"/>
    </row>
    <row r="8047" spans="1:98">
      <c r="A8047" s="532"/>
      <c r="AR8047" s="2513"/>
      <c r="CT8047" s="531"/>
    </row>
    <row r="8048" spans="1:98">
      <c r="A8048" s="532"/>
      <c r="AR8048" s="2513"/>
      <c r="CT8048" s="531"/>
    </row>
    <row r="8049" spans="1:98">
      <c r="A8049" s="532"/>
      <c r="AR8049" s="2513"/>
      <c r="CT8049" s="531"/>
    </row>
    <row r="8050" spans="1:98">
      <c r="A8050" s="532"/>
      <c r="AR8050" s="2513"/>
      <c r="CT8050" s="531"/>
    </row>
    <row r="8051" spans="1:98">
      <c r="A8051" s="532"/>
      <c r="AR8051" s="2513"/>
      <c r="CT8051" s="531"/>
    </row>
    <row r="8052" spans="1:98">
      <c r="A8052" s="532"/>
      <c r="AR8052" s="2513"/>
      <c r="CT8052" s="531"/>
    </row>
    <row r="8053" spans="1:98">
      <c r="A8053" s="532"/>
      <c r="AR8053" s="2513"/>
      <c r="CT8053" s="531"/>
    </row>
    <row r="8054" spans="1:98">
      <c r="A8054" s="532"/>
      <c r="AR8054" s="2513"/>
      <c r="CT8054" s="531"/>
    </row>
    <row r="8055" spans="1:98">
      <c r="A8055" s="532"/>
      <c r="AR8055" s="2513"/>
      <c r="CT8055" s="531"/>
    </row>
    <row r="8056" spans="1:98">
      <c r="A8056" s="532"/>
      <c r="AR8056" s="2513"/>
      <c r="CT8056" s="531"/>
    </row>
    <row r="8057" spans="1:98">
      <c r="A8057" s="532"/>
      <c r="AR8057" s="2513"/>
      <c r="CT8057" s="531"/>
    </row>
    <row r="8058" spans="1:98">
      <c r="A8058" s="532"/>
      <c r="AR8058" s="2513"/>
      <c r="CT8058" s="531"/>
    </row>
    <row r="8059" spans="1:98">
      <c r="A8059" s="532"/>
      <c r="AR8059" s="2513"/>
      <c r="CT8059" s="531"/>
    </row>
    <row r="8060" spans="1:98">
      <c r="A8060" s="532"/>
      <c r="AR8060" s="2513"/>
      <c r="CT8060" s="531"/>
    </row>
    <row r="8061" spans="1:98">
      <c r="A8061" s="532"/>
      <c r="AR8061" s="2513"/>
      <c r="CT8061" s="531"/>
    </row>
    <row r="8062" spans="1:98">
      <c r="A8062" s="532"/>
      <c r="AR8062" s="2513"/>
      <c r="CT8062" s="531"/>
    </row>
    <row r="8063" spans="1:98">
      <c r="A8063" s="532"/>
      <c r="AR8063" s="2513"/>
      <c r="CT8063" s="531"/>
    </row>
    <row r="8064" spans="1:98">
      <c r="A8064" s="532"/>
      <c r="AR8064" s="2513"/>
      <c r="CT8064" s="531"/>
    </row>
    <row r="8065" spans="1:98">
      <c r="A8065" s="532"/>
      <c r="AR8065" s="2513"/>
      <c r="CT8065" s="531"/>
    </row>
    <row r="8066" spans="1:98">
      <c r="A8066" s="532"/>
      <c r="AR8066" s="2513"/>
      <c r="CT8066" s="531"/>
    </row>
    <row r="8067" spans="1:98">
      <c r="A8067" s="532"/>
      <c r="AR8067" s="2513"/>
      <c r="CT8067" s="531"/>
    </row>
    <row r="8068" spans="1:98">
      <c r="A8068" s="532"/>
      <c r="AR8068" s="2513"/>
      <c r="CT8068" s="531"/>
    </row>
    <row r="8069" spans="1:98">
      <c r="A8069" s="532"/>
      <c r="AR8069" s="2513"/>
      <c r="CT8069" s="531"/>
    </row>
    <row r="8070" spans="1:98">
      <c r="A8070" s="532"/>
      <c r="AR8070" s="2513"/>
      <c r="CT8070" s="531"/>
    </row>
    <row r="8071" spans="1:98">
      <c r="A8071" s="532"/>
      <c r="AR8071" s="2513"/>
      <c r="CT8071" s="531"/>
    </row>
    <row r="8072" spans="1:98">
      <c r="A8072" s="532"/>
      <c r="AR8072" s="2513"/>
      <c r="CT8072" s="531"/>
    </row>
    <row r="8073" spans="1:98">
      <c r="A8073" s="532"/>
      <c r="AR8073" s="2513"/>
      <c r="CT8073" s="531"/>
    </row>
    <row r="8074" spans="1:98">
      <c r="A8074" s="532"/>
      <c r="AR8074" s="2513"/>
      <c r="CT8074" s="531"/>
    </row>
    <row r="8075" spans="1:98">
      <c r="A8075" s="532"/>
      <c r="AR8075" s="2513"/>
      <c r="CT8075" s="531"/>
    </row>
    <row r="8076" spans="1:98">
      <c r="A8076" s="532"/>
      <c r="AR8076" s="2513"/>
      <c r="CT8076" s="531"/>
    </row>
    <row r="8077" spans="1:98">
      <c r="A8077" s="532"/>
      <c r="AR8077" s="2513"/>
      <c r="CT8077" s="531"/>
    </row>
    <row r="8078" spans="1:98">
      <c r="A8078" s="532"/>
      <c r="AR8078" s="2513"/>
      <c r="CT8078" s="531"/>
    </row>
    <row r="8079" spans="1:98">
      <c r="A8079" s="532"/>
      <c r="AR8079" s="2513"/>
      <c r="CT8079" s="531"/>
    </row>
    <row r="8080" spans="1:98">
      <c r="A8080" s="532"/>
      <c r="AR8080" s="2513"/>
      <c r="CT8080" s="531"/>
    </row>
    <row r="8081" spans="1:98">
      <c r="A8081" s="532"/>
      <c r="AR8081" s="2513"/>
      <c r="CT8081" s="531"/>
    </row>
    <row r="8082" spans="1:98">
      <c r="A8082" s="532"/>
      <c r="AR8082" s="2513"/>
      <c r="CT8082" s="531"/>
    </row>
    <row r="8083" spans="1:98">
      <c r="A8083" s="532"/>
      <c r="AR8083" s="2513"/>
      <c r="CT8083" s="531"/>
    </row>
    <row r="8084" spans="1:98">
      <c r="A8084" s="532"/>
      <c r="AR8084" s="2513"/>
      <c r="CT8084" s="531"/>
    </row>
    <row r="8085" spans="1:98">
      <c r="A8085" s="532"/>
      <c r="AR8085" s="2513"/>
      <c r="CT8085" s="531"/>
    </row>
    <row r="8086" spans="1:98">
      <c r="A8086" s="532"/>
      <c r="AR8086" s="2513"/>
      <c r="CT8086" s="531"/>
    </row>
    <row r="8087" spans="1:98">
      <c r="A8087" s="532"/>
      <c r="AR8087" s="2513"/>
      <c r="CT8087" s="531"/>
    </row>
    <row r="8088" spans="1:98">
      <c r="A8088" s="532"/>
      <c r="AR8088" s="2513"/>
      <c r="CT8088" s="531"/>
    </row>
    <row r="8089" spans="1:98">
      <c r="A8089" s="532"/>
      <c r="AR8089" s="2513"/>
      <c r="CT8089" s="531"/>
    </row>
    <row r="8090" spans="1:98">
      <c r="A8090" s="532"/>
      <c r="AR8090" s="2513"/>
      <c r="CT8090" s="531"/>
    </row>
    <row r="8091" spans="1:98">
      <c r="A8091" s="532"/>
      <c r="AR8091" s="2513"/>
      <c r="CT8091" s="531"/>
    </row>
    <row r="8092" spans="1:98">
      <c r="A8092" s="532"/>
      <c r="AR8092" s="2513"/>
      <c r="CT8092" s="531"/>
    </row>
    <row r="8093" spans="1:98">
      <c r="A8093" s="532"/>
      <c r="AR8093" s="2513"/>
      <c r="CT8093" s="531"/>
    </row>
    <row r="8094" spans="1:98">
      <c r="A8094" s="532"/>
      <c r="AR8094" s="2513"/>
      <c r="CT8094" s="531"/>
    </row>
    <row r="8095" spans="1:98">
      <c r="A8095" s="532"/>
      <c r="AR8095" s="2513"/>
      <c r="CT8095" s="531"/>
    </row>
    <row r="8096" spans="1:98">
      <c r="A8096" s="532"/>
      <c r="AR8096" s="2513"/>
      <c r="CT8096" s="531"/>
    </row>
    <row r="8097" spans="1:98">
      <c r="A8097" s="532"/>
      <c r="AR8097" s="2513"/>
      <c r="CT8097" s="531"/>
    </row>
    <row r="8098" spans="1:98">
      <c r="A8098" s="532"/>
      <c r="AR8098" s="2513"/>
      <c r="CT8098" s="531"/>
    </row>
    <row r="8099" spans="1:98">
      <c r="A8099" s="532"/>
      <c r="AR8099" s="2513"/>
      <c r="CT8099" s="531"/>
    </row>
    <row r="8100" spans="1:98">
      <c r="A8100" s="532"/>
      <c r="AR8100" s="2513"/>
      <c r="CT8100" s="531"/>
    </row>
    <row r="8101" spans="1:98">
      <c r="A8101" s="532"/>
      <c r="AR8101" s="2513"/>
      <c r="CT8101" s="531"/>
    </row>
    <row r="8102" spans="1:98">
      <c r="A8102" s="532"/>
      <c r="AR8102" s="2513"/>
      <c r="CT8102" s="531"/>
    </row>
    <row r="8103" spans="1:98">
      <c r="A8103" s="532"/>
      <c r="AR8103" s="2513"/>
      <c r="CT8103" s="531"/>
    </row>
    <row r="8104" spans="1:98">
      <c r="A8104" s="532"/>
      <c r="AR8104" s="2513"/>
      <c r="CT8104" s="531"/>
    </row>
    <row r="8105" spans="1:98">
      <c r="A8105" s="532"/>
      <c r="AR8105" s="2513"/>
      <c r="CT8105" s="531"/>
    </row>
    <row r="8106" spans="1:98">
      <c r="A8106" s="532"/>
      <c r="AR8106" s="2513"/>
      <c r="CT8106" s="531"/>
    </row>
    <row r="8107" spans="1:98">
      <c r="A8107" s="532"/>
      <c r="AR8107" s="2513"/>
      <c r="CT8107" s="531"/>
    </row>
    <row r="8108" spans="1:98">
      <c r="A8108" s="532"/>
      <c r="AR8108" s="2513"/>
      <c r="CT8108" s="531"/>
    </row>
    <row r="8109" spans="1:98">
      <c r="A8109" s="532"/>
      <c r="AR8109" s="2513"/>
      <c r="CT8109" s="531"/>
    </row>
    <row r="8110" spans="1:98">
      <c r="A8110" s="532"/>
      <c r="AR8110" s="2513"/>
      <c r="CT8110" s="531"/>
    </row>
    <row r="8111" spans="1:98">
      <c r="A8111" s="532"/>
      <c r="AR8111" s="2513"/>
      <c r="CT8111" s="531"/>
    </row>
    <row r="8112" spans="1:98">
      <c r="A8112" s="532"/>
      <c r="AR8112" s="2513"/>
      <c r="CT8112" s="531"/>
    </row>
    <row r="8113" spans="1:98">
      <c r="A8113" s="532"/>
      <c r="AR8113" s="2513"/>
      <c r="CT8113" s="531"/>
    </row>
    <row r="8114" spans="1:98">
      <c r="A8114" s="532"/>
      <c r="AR8114" s="2513"/>
      <c r="CT8114" s="531"/>
    </row>
    <row r="8115" spans="1:98">
      <c r="A8115" s="532"/>
      <c r="AR8115" s="2513"/>
      <c r="CT8115" s="531"/>
    </row>
    <row r="8116" spans="1:98">
      <c r="A8116" s="532"/>
      <c r="AR8116" s="2513"/>
      <c r="CT8116" s="531"/>
    </row>
    <row r="8117" spans="1:98">
      <c r="A8117" s="532"/>
      <c r="AR8117" s="2513"/>
      <c r="CT8117" s="531"/>
    </row>
    <row r="8118" spans="1:98">
      <c r="A8118" s="532"/>
      <c r="AR8118" s="2513"/>
      <c r="CT8118" s="531"/>
    </row>
    <row r="8119" spans="1:98">
      <c r="A8119" s="532"/>
      <c r="AR8119" s="2513"/>
      <c r="CT8119" s="531"/>
    </row>
    <row r="8120" spans="1:98">
      <c r="A8120" s="532"/>
      <c r="AR8120" s="2513"/>
      <c r="CT8120" s="531"/>
    </row>
    <row r="8121" spans="1:98">
      <c r="A8121" s="532"/>
      <c r="AR8121" s="2513"/>
      <c r="CT8121" s="531"/>
    </row>
    <row r="8122" spans="1:98">
      <c r="A8122" s="532"/>
      <c r="AR8122" s="2513"/>
      <c r="CT8122" s="531"/>
    </row>
    <row r="8123" spans="1:98">
      <c r="A8123" s="532"/>
      <c r="AR8123" s="2513"/>
      <c r="CT8123" s="531"/>
    </row>
    <row r="8124" spans="1:98">
      <c r="A8124" s="532"/>
      <c r="AR8124" s="2513"/>
      <c r="CT8124" s="531"/>
    </row>
    <row r="8125" spans="1:98">
      <c r="A8125" s="532"/>
      <c r="AR8125" s="2513"/>
      <c r="CT8125" s="531"/>
    </row>
    <row r="8126" spans="1:98">
      <c r="A8126" s="532"/>
      <c r="AR8126" s="2513"/>
      <c r="CT8126" s="531"/>
    </row>
    <row r="8127" spans="1:98">
      <c r="A8127" s="532"/>
      <c r="AR8127" s="2513"/>
      <c r="CT8127" s="531"/>
    </row>
    <row r="8128" spans="1:98">
      <c r="A8128" s="532"/>
      <c r="AR8128" s="2513"/>
      <c r="CT8128" s="531"/>
    </row>
    <row r="8129" spans="1:98">
      <c r="A8129" s="532"/>
      <c r="AR8129" s="2513"/>
      <c r="CT8129" s="531"/>
    </row>
    <row r="8130" spans="1:98">
      <c r="A8130" s="532"/>
      <c r="AR8130" s="2513"/>
      <c r="CT8130" s="531"/>
    </row>
    <row r="8131" spans="1:98">
      <c r="A8131" s="532"/>
      <c r="AR8131" s="2513"/>
      <c r="CT8131" s="531"/>
    </row>
    <row r="8132" spans="1:98">
      <c r="A8132" s="532"/>
      <c r="AR8132" s="2513"/>
      <c r="CT8132" s="531"/>
    </row>
    <row r="8133" spans="1:98">
      <c r="A8133" s="532"/>
      <c r="AR8133" s="2513"/>
      <c r="CT8133" s="531"/>
    </row>
    <row r="8134" spans="1:98">
      <c r="A8134" s="532"/>
      <c r="AR8134" s="2513"/>
      <c r="CT8134" s="531"/>
    </row>
    <row r="8135" spans="1:98">
      <c r="A8135" s="532"/>
      <c r="AR8135" s="2513"/>
      <c r="CT8135" s="531"/>
    </row>
    <row r="8136" spans="1:98">
      <c r="A8136" s="532"/>
      <c r="AR8136" s="2513"/>
      <c r="CT8136" s="531"/>
    </row>
    <row r="8137" spans="1:98">
      <c r="A8137" s="532"/>
      <c r="AR8137" s="2513"/>
      <c r="CT8137" s="531"/>
    </row>
    <row r="8138" spans="1:98">
      <c r="A8138" s="532"/>
      <c r="AR8138" s="2513"/>
      <c r="CT8138" s="531"/>
    </row>
    <row r="8139" spans="1:98">
      <c r="A8139" s="532"/>
      <c r="AR8139" s="2513"/>
      <c r="CT8139" s="531"/>
    </row>
    <row r="8140" spans="1:98">
      <c r="A8140" s="532"/>
      <c r="AR8140" s="2513"/>
      <c r="CT8140" s="531"/>
    </row>
    <row r="8141" spans="1:98">
      <c r="A8141" s="532"/>
      <c r="AR8141" s="2513"/>
      <c r="CT8141" s="531"/>
    </row>
    <row r="8142" spans="1:98">
      <c r="A8142" s="532"/>
      <c r="AR8142" s="2513"/>
      <c r="CT8142" s="531"/>
    </row>
    <row r="8143" spans="1:98">
      <c r="A8143" s="532"/>
      <c r="AR8143" s="2513"/>
      <c r="CT8143" s="531"/>
    </row>
    <row r="8144" spans="1:98">
      <c r="A8144" s="532"/>
      <c r="AR8144" s="2513"/>
      <c r="CT8144" s="531"/>
    </row>
    <row r="8145" spans="1:98">
      <c r="A8145" s="532"/>
      <c r="AR8145" s="2513"/>
      <c r="CT8145" s="531"/>
    </row>
    <row r="8146" spans="1:98">
      <c r="A8146" s="532"/>
      <c r="AR8146" s="2513"/>
      <c r="CT8146" s="531"/>
    </row>
    <row r="8147" spans="1:98">
      <c r="A8147" s="532"/>
      <c r="AR8147" s="2513"/>
      <c r="CT8147" s="531"/>
    </row>
    <row r="8148" spans="1:98">
      <c r="A8148" s="532"/>
      <c r="AR8148" s="2513"/>
      <c r="CT8148" s="531"/>
    </row>
    <row r="8149" spans="1:98">
      <c r="A8149" s="532"/>
      <c r="AR8149" s="2513"/>
      <c r="CT8149" s="531"/>
    </row>
    <row r="8150" spans="1:98">
      <c r="A8150" s="532"/>
      <c r="AR8150" s="2513"/>
      <c r="CT8150" s="531"/>
    </row>
    <row r="8151" spans="1:98">
      <c r="A8151" s="532"/>
      <c r="AR8151" s="2513"/>
      <c r="CT8151" s="531"/>
    </row>
    <row r="8152" spans="1:98">
      <c r="A8152" s="532"/>
      <c r="AR8152" s="2513"/>
      <c r="CT8152" s="531"/>
    </row>
    <row r="8153" spans="1:98">
      <c r="A8153" s="532"/>
      <c r="AR8153" s="2513"/>
      <c r="CT8153" s="531"/>
    </row>
    <row r="8154" spans="1:98">
      <c r="A8154" s="532"/>
      <c r="AR8154" s="2513"/>
      <c r="CT8154" s="531"/>
    </row>
    <row r="8155" spans="1:98">
      <c r="A8155" s="532"/>
      <c r="AR8155" s="2513"/>
      <c r="CT8155" s="531"/>
    </row>
    <row r="8156" spans="1:98">
      <c r="A8156" s="532"/>
      <c r="AR8156" s="2513"/>
      <c r="CT8156" s="531"/>
    </row>
    <row r="8157" spans="1:98">
      <c r="A8157" s="532"/>
      <c r="AR8157" s="2513"/>
      <c r="CT8157" s="531"/>
    </row>
    <row r="8158" spans="1:98">
      <c r="A8158" s="532"/>
      <c r="AR8158" s="2513"/>
      <c r="CT8158" s="531"/>
    </row>
    <row r="8159" spans="1:98">
      <c r="A8159" s="532"/>
      <c r="AR8159" s="2513"/>
      <c r="CT8159" s="531"/>
    </row>
    <row r="8160" spans="1:98">
      <c r="A8160" s="532"/>
      <c r="AR8160" s="2513"/>
      <c r="CT8160" s="531"/>
    </row>
    <row r="8161" spans="1:98">
      <c r="A8161" s="532"/>
      <c r="AR8161" s="2513"/>
      <c r="CT8161" s="531"/>
    </row>
    <row r="8162" spans="1:98">
      <c r="A8162" s="532"/>
      <c r="AR8162" s="2513"/>
      <c r="CT8162" s="531"/>
    </row>
    <row r="8163" spans="1:98">
      <c r="A8163" s="532"/>
      <c r="AR8163" s="2513"/>
      <c r="CT8163" s="531"/>
    </row>
    <row r="8164" spans="1:98">
      <c r="A8164" s="532"/>
      <c r="AR8164" s="2513"/>
      <c r="CT8164" s="531"/>
    </row>
    <row r="8165" spans="1:98">
      <c r="A8165" s="532"/>
      <c r="AR8165" s="2513"/>
      <c r="CT8165" s="531"/>
    </row>
    <row r="8166" spans="1:98">
      <c r="A8166" s="532"/>
      <c r="AR8166" s="2513"/>
      <c r="CT8166" s="531"/>
    </row>
    <row r="8167" spans="1:98">
      <c r="A8167" s="532"/>
      <c r="AR8167" s="2513"/>
      <c r="CT8167" s="531"/>
    </row>
    <row r="8168" spans="1:98">
      <c r="A8168" s="532"/>
      <c r="AR8168" s="2513"/>
      <c r="CT8168" s="531"/>
    </row>
    <row r="8169" spans="1:98">
      <c r="A8169" s="532"/>
      <c r="AR8169" s="2513"/>
      <c r="CT8169" s="531"/>
    </row>
    <row r="8170" spans="1:98">
      <c r="A8170" s="532"/>
      <c r="AR8170" s="2513"/>
      <c r="CT8170" s="531"/>
    </row>
    <row r="8171" spans="1:98">
      <c r="A8171" s="532"/>
      <c r="AR8171" s="2513"/>
      <c r="CT8171" s="531"/>
    </row>
    <row r="8172" spans="1:98">
      <c r="A8172" s="532"/>
      <c r="AR8172" s="2513"/>
      <c r="CT8172" s="531"/>
    </row>
    <row r="8173" spans="1:98">
      <c r="A8173" s="532"/>
      <c r="AR8173" s="2513"/>
      <c r="CT8173" s="531"/>
    </row>
    <row r="8174" spans="1:98">
      <c r="A8174" s="532"/>
      <c r="AR8174" s="2513"/>
      <c r="CT8174" s="531"/>
    </row>
    <row r="8175" spans="1:98">
      <c r="A8175" s="532"/>
      <c r="AR8175" s="2513"/>
      <c r="CT8175" s="531"/>
    </row>
    <row r="8176" spans="1:98">
      <c r="A8176" s="532"/>
      <c r="AR8176" s="2513"/>
      <c r="CT8176" s="531"/>
    </row>
    <row r="8177" spans="1:98">
      <c r="A8177" s="532"/>
      <c r="AR8177" s="2513"/>
      <c r="CT8177" s="531"/>
    </row>
    <row r="8178" spans="1:98">
      <c r="A8178" s="532"/>
      <c r="AR8178" s="2513"/>
      <c r="CT8178" s="531"/>
    </row>
    <row r="8179" spans="1:98">
      <c r="A8179" s="532"/>
      <c r="AR8179" s="2513"/>
      <c r="CT8179" s="531"/>
    </row>
    <row r="8180" spans="1:98">
      <c r="A8180" s="532"/>
      <c r="AR8180" s="2513"/>
      <c r="CT8180" s="531"/>
    </row>
    <row r="8181" spans="1:98">
      <c r="A8181" s="532"/>
      <c r="AR8181" s="2513"/>
      <c r="CT8181" s="531"/>
    </row>
    <row r="8182" spans="1:98">
      <c r="A8182" s="532"/>
      <c r="AR8182" s="2513"/>
      <c r="CT8182" s="531"/>
    </row>
    <row r="8183" spans="1:98">
      <c r="A8183" s="532"/>
      <c r="AR8183" s="2513"/>
      <c r="CT8183" s="531"/>
    </row>
    <row r="8184" spans="1:98">
      <c r="A8184" s="532"/>
      <c r="AR8184" s="2513"/>
      <c r="CT8184" s="531"/>
    </row>
    <row r="8185" spans="1:98">
      <c r="A8185" s="532"/>
      <c r="AR8185" s="2513"/>
      <c r="CT8185" s="531"/>
    </row>
    <row r="8186" spans="1:98">
      <c r="A8186" s="532"/>
      <c r="AR8186" s="2513"/>
      <c r="CT8186" s="531"/>
    </row>
    <row r="8187" spans="1:98">
      <c r="A8187" s="532"/>
      <c r="AR8187" s="2513"/>
      <c r="CT8187" s="531"/>
    </row>
    <row r="8188" spans="1:98">
      <c r="A8188" s="532"/>
      <c r="AR8188" s="2513"/>
      <c r="CT8188" s="531"/>
    </row>
    <row r="8189" spans="1:98">
      <c r="A8189" s="532"/>
      <c r="AR8189" s="2513"/>
      <c r="CT8189" s="531"/>
    </row>
    <row r="8190" spans="1:98">
      <c r="A8190" s="532"/>
      <c r="AR8190" s="2513"/>
      <c r="CT8190" s="531"/>
    </row>
    <row r="8191" spans="1:98">
      <c r="A8191" s="532"/>
      <c r="AR8191" s="2513"/>
      <c r="CT8191" s="531"/>
    </row>
    <row r="8192" spans="1:98">
      <c r="A8192" s="532"/>
      <c r="AR8192" s="2513"/>
      <c r="CT8192" s="531"/>
    </row>
    <row r="8193" spans="1:98">
      <c r="A8193" s="532"/>
      <c r="AR8193" s="2513"/>
      <c r="CT8193" s="531"/>
    </row>
    <row r="8194" spans="1:98">
      <c r="A8194" s="532"/>
      <c r="AR8194" s="2513"/>
      <c r="CT8194" s="531"/>
    </row>
    <row r="8195" spans="1:98">
      <c r="A8195" s="532"/>
      <c r="AR8195" s="2513"/>
      <c r="CT8195" s="531"/>
    </row>
    <row r="8196" spans="1:98">
      <c r="A8196" s="532"/>
      <c r="AR8196" s="2513"/>
      <c r="CT8196" s="531"/>
    </row>
    <row r="8197" spans="1:98">
      <c r="A8197" s="532"/>
      <c r="AR8197" s="2513"/>
      <c r="CT8197" s="531"/>
    </row>
    <row r="8198" spans="1:98">
      <c r="A8198" s="532"/>
      <c r="AR8198" s="2513"/>
      <c r="CT8198" s="531"/>
    </row>
    <row r="8199" spans="1:98">
      <c r="A8199" s="532"/>
      <c r="AR8199" s="2513"/>
      <c r="CT8199" s="531"/>
    </row>
    <row r="8200" spans="1:98">
      <c r="A8200" s="532"/>
      <c r="AR8200" s="2513"/>
      <c r="CT8200" s="531"/>
    </row>
    <row r="8201" spans="1:98">
      <c r="A8201" s="532"/>
      <c r="AR8201" s="2513"/>
      <c r="CT8201" s="531"/>
    </row>
    <row r="8202" spans="1:98">
      <c r="A8202" s="532"/>
      <c r="AR8202" s="2513"/>
      <c r="CT8202" s="531"/>
    </row>
    <row r="8203" spans="1:98">
      <c r="A8203" s="532"/>
      <c r="AR8203" s="2513"/>
      <c r="CT8203" s="531"/>
    </row>
    <row r="8204" spans="1:98">
      <c r="A8204" s="532"/>
      <c r="AR8204" s="2513"/>
      <c r="CT8204" s="531"/>
    </row>
    <row r="8205" spans="1:98">
      <c r="A8205" s="532"/>
      <c r="AR8205" s="2513"/>
      <c r="CT8205" s="531"/>
    </row>
    <row r="8206" spans="1:98">
      <c r="A8206" s="532"/>
      <c r="AR8206" s="2513"/>
      <c r="CT8206" s="531"/>
    </row>
    <row r="8207" spans="1:98">
      <c r="A8207" s="532"/>
      <c r="AR8207" s="2513"/>
      <c r="CT8207" s="531"/>
    </row>
    <row r="8208" spans="1:98">
      <c r="A8208" s="532"/>
      <c r="AR8208" s="2513"/>
      <c r="CT8208" s="531"/>
    </row>
    <row r="8209" spans="1:98">
      <c r="A8209" s="532"/>
      <c r="AR8209" s="2513"/>
      <c r="CT8209" s="531"/>
    </row>
    <row r="8210" spans="1:98">
      <c r="A8210" s="532"/>
      <c r="AR8210" s="2513"/>
      <c r="CT8210" s="531"/>
    </row>
    <row r="8211" spans="1:98">
      <c r="A8211" s="532"/>
      <c r="AR8211" s="2513"/>
      <c r="CT8211" s="531"/>
    </row>
    <row r="8212" spans="1:98">
      <c r="A8212" s="532"/>
      <c r="AR8212" s="2513"/>
      <c r="CT8212" s="531"/>
    </row>
    <row r="8213" spans="1:98">
      <c r="A8213" s="532"/>
      <c r="AR8213" s="2513"/>
      <c r="CT8213" s="531"/>
    </row>
    <row r="8214" spans="1:98">
      <c r="A8214" s="532"/>
      <c r="AR8214" s="2513"/>
      <c r="CT8214" s="531"/>
    </row>
    <row r="8215" spans="1:98">
      <c r="A8215" s="532"/>
      <c r="AR8215" s="2513"/>
      <c r="CT8215" s="531"/>
    </row>
    <row r="8216" spans="1:98">
      <c r="A8216" s="532"/>
      <c r="AR8216" s="2513"/>
      <c r="CT8216" s="531"/>
    </row>
    <row r="8217" spans="1:98">
      <c r="A8217" s="532"/>
      <c r="AR8217" s="2513"/>
      <c r="CT8217" s="531"/>
    </row>
    <row r="8218" spans="1:98">
      <c r="A8218" s="532"/>
      <c r="AR8218" s="2513"/>
      <c r="CT8218" s="531"/>
    </row>
    <row r="8219" spans="1:98">
      <c r="A8219" s="532"/>
      <c r="AR8219" s="2513"/>
      <c r="CT8219" s="531"/>
    </row>
    <row r="8220" spans="1:98">
      <c r="A8220" s="532"/>
      <c r="AR8220" s="2513"/>
      <c r="CT8220" s="531"/>
    </row>
    <row r="8221" spans="1:98">
      <c r="A8221" s="532"/>
      <c r="AR8221" s="2513"/>
      <c r="CT8221" s="531"/>
    </row>
    <row r="8222" spans="1:98">
      <c r="A8222" s="532"/>
      <c r="AR8222" s="2513"/>
      <c r="CT8222" s="531"/>
    </row>
    <row r="8223" spans="1:98">
      <c r="A8223" s="532"/>
      <c r="AR8223" s="2513"/>
      <c r="CT8223" s="531"/>
    </row>
    <row r="8224" spans="1:98">
      <c r="A8224" s="532"/>
      <c r="AR8224" s="2513"/>
      <c r="CT8224" s="531"/>
    </row>
    <row r="8225" spans="1:98">
      <c r="A8225" s="532"/>
      <c r="AR8225" s="2513"/>
      <c r="CT8225" s="531"/>
    </row>
    <row r="8226" spans="1:98">
      <c r="A8226" s="532"/>
      <c r="AR8226" s="2513"/>
      <c r="CT8226" s="531"/>
    </row>
    <row r="8227" spans="1:98">
      <c r="A8227" s="532"/>
      <c r="AR8227" s="2513"/>
      <c r="CT8227" s="531"/>
    </row>
    <row r="8228" spans="1:98">
      <c r="A8228" s="532"/>
      <c r="AR8228" s="2513"/>
      <c r="CT8228" s="531"/>
    </row>
    <row r="8229" spans="1:98">
      <c r="A8229" s="532"/>
      <c r="AR8229" s="2513"/>
      <c r="CT8229" s="531"/>
    </row>
    <row r="8230" spans="1:98">
      <c r="A8230" s="532"/>
      <c r="AR8230" s="2513"/>
      <c r="CT8230" s="531"/>
    </row>
    <row r="8231" spans="1:98">
      <c r="A8231" s="532"/>
      <c r="AR8231" s="2513"/>
      <c r="CT8231" s="531"/>
    </row>
    <row r="8232" spans="1:98">
      <c r="A8232" s="532"/>
      <c r="AR8232" s="2513"/>
      <c r="CT8232" s="531"/>
    </row>
    <row r="8233" spans="1:98">
      <c r="A8233" s="532"/>
      <c r="AR8233" s="2513"/>
      <c r="CT8233" s="531"/>
    </row>
    <row r="8234" spans="1:98">
      <c r="A8234" s="532"/>
      <c r="AR8234" s="2513"/>
      <c r="CT8234" s="531"/>
    </row>
    <row r="8235" spans="1:98">
      <c r="A8235" s="532"/>
      <c r="AR8235" s="2513"/>
      <c r="CT8235" s="531"/>
    </row>
    <row r="8236" spans="1:98">
      <c r="A8236" s="532"/>
      <c r="AR8236" s="2513"/>
      <c r="CT8236" s="531"/>
    </row>
    <row r="8237" spans="1:98">
      <c r="A8237" s="532"/>
      <c r="AR8237" s="2513"/>
      <c r="CT8237" s="531"/>
    </row>
    <row r="8238" spans="1:98">
      <c r="A8238" s="532"/>
      <c r="AR8238" s="2513"/>
      <c r="CT8238" s="531"/>
    </row>
    <row r="8239" spans="1:98">
      <c r="A8239" s="532"/>
      <c r="AR8239" s="2513"/>
      <c r="CT8239" s="531"/>
    </row>
    <row r="8240" spans="1:98">
      <c r="A8240" s="532"/>
      <c r="AR8240" s="2513"/>
      <c r="CT8240" s="531"/>
    </row>
    <row r="8241" spans="1:98">
      <c r="A8241" s="532"/>
      <c r="AR8241" s="2513"/>
      <c r="CT8241" s="531"/>
    </row>
    <row r="8242" spans="1:98">
      <c r="A8242" s="532"/>
      <c r="AR8242" s="2513"/>
      <c r="CT8242" s="531"/>
    </row>
    <row r="8243" spans="1:98">
      <c r="A8243" s="532"/>
      <c r="AR8243" s="2513"/>
      <c r="CT8243" s="531"/>
    </row>
    <row r="8244" spans="1:98">
      <c r="A8244" s="532"/>
      <c r="AR8244" s="2513"/>
      <c r="CT8244" s="531"/>
    </row>
    <row r="8245" spans="1:98">
      <c r="A8245" s="532"/>
      <c r="AR8245" s="2513"/>
      <c r="CT8245" s="531"/>
    </row>
    <row r="8246" spans="1:98">
      <c r="A8246" s="532"/>
      <c r="AR8246" s="2513"/>
      <c r="CT8246" s="531"/>
    </row>
    <row r="8247" spans="1:98">
      <c r="A8247" s="532"/>
      <c r="AR8247" s="2513"/>
      <c r="CT8247" s="531"/>
    </row>
    <row r="8248" spans="1:98">
      <c r="A8248" s="532"/>
      <c r="AR8248" s="2513"/>
      <c r="CT8248" s="531"/>
    </row>
    <row r="8249" spans="1:98">
      <c r="A8249" s="532"/>
      <c r="AR8249" s="2513"/>
      <c r="CT8249" s="531"/>
    </row>
    <row r="8250" spans="1:98">
      <c r="A8250" s="532"/>
      <c r="AR8250" s="2513"/>
      <c r="CT8250" s="531"/>
    </row>
    <row r="8251" spans="1:98">
      <c r="A8251" s="532"/>
      <c r="AR8251" s="2513"/>
      <c r="CT8251" s="531"/>
    </row>
    <row r="8252" spans="1:98">
      <c r="A8252" s="532"/>
      <c r="AR8252" s="2513"/>
      <c r="CT8252" s="531"/>
    </row>
    <row r="8253" spans="1:98">
      <c r="A8253" s="532"/>
      <c r="AR8253" s="2513"/>
      <c r="CT8253" s="531"/>
    </row>
    <row r="8254" spans="1:98">
      <c r="A8254" s="532"/>
      <c r="AR8254" s="2513"/>
      <c r="CT8254" s="531"/>
    </row>
    <row r="8255" spans="1:98">
      <c r="A8255" s="532"/>
      <c r="AR8255" s="2513"/>
      <c r="CT8255" s="531"/>
    </row>
    <row r="8256" spans="1:98">
      <c r="A8256" s="532"/>
      <c r="AR8256" s="2513"/>
      <c r="CT8256" s="531"/>
    </row>
    <row r="8257" spans="1:98">
      <c r="A8257" s="532"/>
      <c r="AR8257" s="2513"/>
      <c r="CT8257" s="531"/>
    </row>
    <row r="8258" spans="1:98">
      <c r="A8258" s="532"/>
      <c r="AR8258" s="2513"/>
      <c r="CT8258" s="531"/>
    </row>
    <row r="8259" spans="1:98">
      <c r="A8259" s="532"/>
      <c r="AR8259" s="2513"/>
      <c r="CT8259" s="531"/>
    </row>
    <row r="8260" spans="1:98">
      <c r="A8260" s="532"/>
      <c r="AR8260" s="2513"/>
      <c r="CT8260" s="531"/>
    </row>
    <row r="8261" spans="1:98">
      <c r="A8261" s="532"/>
      <c r="AR8261" s="2513"/>
      <c r="CT8261" s="531"/>
    </row>
    <row r="8262" spans="1:98">
      <c r="A8262" s="532"/>
      <c r="AR8262" s="2513"/>
      <c r="CT8262" s="531"/>
    </row>
    <row r="8263" spans="1:98">
      <c r="A8263" s="532"/>
      <c r="AR8263" s="2513"/>
      <c r="CT8263" s="531"/>
    </row>
    <row r="8264" spans="1:98">
      <c r="A8264" s="532"/>
      <c r="AR8264" s="2513"/>
      <c r="CT8264" s="531"/>
    </row>
    <row r="8265" spans="1:98">
      <c r="A8265" s="532"/>
      <c r="AR8265" s="2513"/>
      <c r="CT8265" s="531"/>
    </row>
    <row r="8266" spans="1:98">
      <c r="A8266" s="532"/>
      <c r="AR8266" s="2513"/>
      <c r="CT8266" s="531"/>
    </row>
    <row r="8267" spans="1:98">
      <c r="A8267" s="532"/>
      <c r="AR8267" s="2513"/>
      <c r="CT8267" s="531"/>
    </row>
    <row r="8268" spans="1:98">
      <c r="A8268" s="532"/>
      <c r="AR8268" s="2513"/>
      <c r="CT8268" s="531"/>
    </row>
    <row r="8269" spans="1:98">
      <c r="A8269" s="532"/>
      <c r="AR8269" s="2513"/>
      <c r="CT8269" s="531"/>
    </row>
    <row r="8270" spans="1:98">
      <c r="A8270" s="532"/>
      <c r="AR8270" s="2513"/>
      <c r="CT8270" s="531"/>
    </row>
    <row r="8271" spans="1:98">
      <c r="A8271" s="532"/>
      <c r="AR8271" s="2513"/>
      <c r="CT8271" s="531"/>
    </row>
    <row r="8272" spans="1:98">
      <c r="A8272" s="532"/>
      <c r="AR8272" s="2513"/>
      <c r="CT8272" s="531"/>
    </row>
    <row r="8273" spans="1:98">
      <c r="A8273" s="532"/>
      <c r="AR8273" s="2513"/>
      <c r="CT8273" s="531"/>
    </row>
    <row r="8274" spans="1:98">
      <c r="A8274" s="532"/>
      <c r="AR8274" s="2513"/>
      <c r="CT8274" s="531"/>
    </row>
    <row r="8275" spans="1:98">
      <c r="A8275" s="532"/>
      <c r="AR8275" s="2513"/>
      <c r="CT8275" s="531"/>
    </row>
    <row r="8276" spans="1:98">
      <c r="A8276" s="532"/>
      <c r="AR8276" s="2513"/>
      <c r="CT8276" s="531"/>
    </row>
    <row r="8277" spans="1:98">
      <c r="A8277" s="532"/>
      <c r="AR8277" s="2513"/>
      <c r="CT8277" s="531"/>
    </row>
    <row r="8278" spans="1:98">
      <c r="A8278" s="532"/>
      <c r="AR8278" s="2513"/>
      <c r="CT8278" s="531"/>
    </row>
    <row r="8279" spans="1:98">
      <c r="A8279" s="532"/>
      <c r="AR8279" s="2513"/>
      <c r="CT8279" s="531"/>
    </row>
    <row r="8280" spans="1:98">
      <c r="A8280" s="532"/>
      <c r="AR8280" s="2513"/>
      <c r="CT8280" s="531"/>
    </row>
    <row r="8281" spans="1:98">
      <c r="A8281" s="532"/>
      <c r="AR8281" s="2513"/>
      <c r="CT8281" s="531"/>
    </row>
    <row r="8282" spans="1:98">
      <c r="A8282" s="532"/>
      <c r="AR8282" s="2513"/>
      <c r="CT8282" s="531"/>
    </row>
    <row r="8283" spans="1:98">
      <c r="A8283" s="532"/>
      <c r="AR8283" s="2513"/>
      <c r="CT8283" s="531"/>
    </row>
    <row r="8284" spans="1:98">
      <c r="A8284" s="532"/>
      <c r="AR8284" s="2513"/>
      <c r="CT8284" s="531"/>
    </row>
    <row r="8285" spans="1:98">
      <c r="A8285" s="532"/>
      <c r="AR8285" s="2513"/>
      <c r="CT8285" s="531"/>
    </row>
    <row r="8286" spans="1:98">
      <c r="A8286" s="532"/>
      <c r="AR8286" s="2513"/>
      <c r="CT8286" s="531"/>
    </row>
    <row r="8287" spans="1:98">
      <c r="A8287" s="532"/>
      <c r="AR8287" s="2513"/>
      <c r="CT8287" s="531"/>
    </row>
    <row r="8288" spans="1:98">
      <c r="A8288" s="532"/>
      <c r="AR8288" s="2513"/>
      <c r="CT8288" s="531"/>
    </row>
    <row r="8289" spans="1:98">
      <c r="A8289" s="532"/>
      <c r="AR8289" s="2513"/>
      <c r="CT8289" s="531"/>
    </row>
    <row r="8290" spans="1:98">
      <c r="A8290" s="532"/>
      <c r="AR8290" s="2513"/>
      <c r="CT8290" s="531"/>
    </row>
    <row r="8291" spans="1:98">
      <c r="A8291" s="532"/>
      <c r="AR8291" s="2513"/>
      <c r="CT8291" s="531"/>
    </row>
    <row r="8292" spans="1:98">
      <c r="A8292" s="532"/>
      <c r="AR8292" s="2513"/>
      <c r="CT8292" s="531"/>
    </row>
    <row r="8293" spans="1:98">
      <c r="A8293" s="532"/>
      <c r="AR8293" s="2513"/>
      <c r="CT8293" s="531"/>
    </row>
    <row r="8294" spans="1:98">
      <c r="A8294" s="532"/>
      <c r="AR8294" s="2513"/>
      <c r="CT8294" s="531"/>
    </row>
    <row r="8295" spans="1:98">
      <c r="A8295" s="532"/>
      <c r="AR8295" s="2513"/>
      <c r="CT8295" s="531"/>
    </row>
    <row r="8296" spans="1:98">
      <c r="A8296" s="532"/>
      <c r="AR8296" s="2513"/>
      <c r="CT8296" s="531"/>
    </row>
    <row r="8297" spans="1:98">
      <c r="A8297" s="532"/>
      <c r="AR8297" s="2513"/>
      <c r="CT8297" s="531"/>
    </row>
    <row r="8298" spans="1:98">
      <c r="A8298" s="532"/>
      <c r="AR8298" s="2513"/>
      <c r="CT8298" s="531"/>
    </row>
    <row r="8299" spans="1:98">
      <c r="A8299" s="532"/>
      <c r="AR8299" s="2513"/>
      <c r="CT8299" s="531"/>
    </row>
    <row r="8300" spans="1:98">
      <c r="A8300" s="532"/>
      <c r="AR8300" s="2513"/>
      <c r="CT8300" s="531"/>
    </row>
    <row r="8301" spans="1:98">
      <c r="A8301" s="532"/>
      <c r="AR8301" s="2513"/>
      <c r="CT8301" s="531"/>
    </row>
    <row r="8302" spans="1:98">
      <c r="A8302" s="532"/>
      <c r="AR8302" s="2513"/>
      <c r="CT8302" s="531"/>
    </row>
    <row r="8303" spans="1:98">
      <c r="A8303" s="532"/>
      <c r="AR8303" s="2513"/>
      <c r="CT8303" s="531"/>
    </row>
    <row r="8304" spans="1:98">
      <c r="A8304" s="532"/>
      <c r="AR8304" s="2513"/>
      <c r="CT8304" s="531"/>
    </row>
    <row r="8305" spans="1:98">
      <c r="A8305" s="532"/>
      <c r="AR8305" s="2513"/>
      <c r="CT8305" s="531"/>
    </row>
    <row r="8306" spans="1:98">
      <c r="A8306" s="532"/>
      <c r="AR8306" s="2513"/>
      <c r="CT8306" s="531"/>
    </row>
    <row r="8307" spans="1:98">
      <c r="A8307" s="532"/>
      <c r="AR8307" s="2513"/>
      <c r="CT8307" s="531"/>
    </row>
    <row r="8308" spans="1:98">
      <c r="A8308" s="532"/>
      <c r="AR8308" s="2513"/>
      <c r="CT8308" s="531"/>
    </row>
    <row r="8309" spans="1:98">
      <c r="A8309" s="532"/>
      <c r="AR8309" s="2513"/>
      <c r="CT8309" s="531"/>
    </row>
    <row r="8310" spans="1:98">
      <c r="A8310" s="532"/>
      <c r="AR8310" s="2513"/>
      <c r="CT8310" s="531"/>
    </row>
    <row r="8311" spans="1:98">
      <c r="A8311" s="532"/>
      <c r="AR8311" s="2513"/>
      <c r="CT8311" s="531"/>
    </row>
    <row r="8312" spans="1:98">
      <c r="A8312" s="532"/>
      <c r="AR8312" s="2513"/>
      <c r="CT8312" s="531"/>
    </row>
    <row r="8313" spans="1:98">
      <c r="A8313" s="532"/>
      <c r="AR8313" s="2513"/>
      <c r="CT8313" s="531"/>
    </row>
    <row r="8314" spans="1:98">
      <c r="A8314" s="532"/>
      <c r="AR8314" s="2513"/>
      <c r="CT8314" s="531"/>
    </row>
    <row r="8315" spans="1:98">
      <c r="A8315" s="532"/>
      <c r="AR8315" s="2513"/>
      <c r="CT8315" s="531"/>
    </row>
    <row r="8316" spans="1:98">
      <c r="A8316" s="532"/>
      <c r="AR8316" s="2513"/>
      <c r="CT8316" s="531"/>
    </row>
    <row r="8317" spans="1:98">
      <c r="A8317" s="532"/>
      <c r="AR8317" s="2513"/>
      <c r="CT8317" s="531"/>
    </row>
    <row r="8318" spans="1:98">
      <c r="A8318" s="532"/>
      <c r="AR8318" s="2513"/>
      <c r="CT8318" s="531"/>
    </row>
    <row r="8319" spans="1:98">
      <c r="A8319" s="532"/>
      <c r="AR8319" s="2513"/>
      <c r="CT8319" s="531"/>
    </row>
    <row r="8320" spans="1:98">
      <c r="A8320" s="532"/>
      <c r="AR8320" s="2513"/>
      <c r="CT8320" s="531"/>
    </row>
    <row r="8321" spans="1:98">
      <c r="A8321" s="532"/>
      <c r="AR8321" s="2513"/>
      <c r="CT8321" s="531"/>
    </row>
    <row r="8322" spans="1:98">
      <c r="A8322" s="532"/>
      <c r="AR8322" s="2513"/>
      <c r="CT8322" s="531"/>
    </row>
    <row r="8323" spans="1:98">
      <c r="A8323" s="532"/>
      <c r="AR8323" s="2513"/>
      <c r="CT8323" s="531"/>
    </row>
    <row r="8324" spans="1:98">
      <c r="A8324" s="532"/>
      <c r="AR8324" s="2513"/>
      <c r="CT8324" s="531"/>
    </row>
    <row r="8325" spans="1:98">
      <c r="A8325" s="532"/>
      <c r="AR8325" s="2513"/>
      <c r="CT8325" s="531"/>
    </row>
    <row r="8326" spans="1:98">
      <c r="A8326" s="532"/>
      <c r="AR8326" s="2513"/>
      <c r="CT8326" s="531"/>
    </row>
    <row r="8327" spans="1:98">
      <c r="A8327" s="532"/>
      <c r="AR8327" s="2513"/>
      <c r="CT8327" s="531"/>
    </row>
    <row r="8328" spans="1:98">
      <c r="A8328" s="532"/>
      <c r="AR8328" s="2513"/>
      <c r="CT8328" s="531"/>
    </row>
    <row r="8329" spans="1:98">
      <c r="A8329" s="532"/>
      <c r="AR8329" s="2513"/>
      <c r="CT8329" s="531"/>
    </row>
    <row r="8330" spans="1:98">
      <c r="A8330" s="532"/>
      <c r="AR8330" s="2513"/>
      <c r="CT8330" s="531"/>
    </row>
    <row r="8331" spans="1:98">
      <c r="A8331" s="532"/>
      <c r="AR8331" s="2513"/>
      <c r="CT8331" s="531"/>
    </row>
    <row r="8332" spans="1:98">
      <c r="A8332" s="532"/>
      <c r="AR8332" s="2513"/>
      <c r="CT8332" s="531"/>
    </row>
    <row r="8333" spans="1:98">
      <c r="A8333" s="532"/>
      <c r="AR8333" s="2513"/>
      <c r="CT8333" s="531"/>
    </row>
    <row r="8334" spans="1:98">
      <c r="A8334" s="532"/>
      <c r="AR8334" s="2513"/>
      <c r="CT8334" s="531"/>
    </row>
    <row r="8335" spans="1:98">
      <c r="A8335" s="532"/>
      <c r="AR8335" s="2513"/>
      <c r="CT8335" s="531"/>
    </row>
    <row r="8336" spans="1:98">
      <c r="A8336" s="532"/>
      <c r="AR8336" s="2513"/>
      <c r="CT8336" s="531"/>
    </row>
    <row r="8337" spans="1:98">
      <c r="A8337" s="532"/>
      <c r="AR8337" s="2513"/>
      <c r="CT8337" s="531"/>
    </row>
    <row r="8338" spans="1:98">
      <c r="A8338" s="532"/>
      <c r="AR8338" s="2513"/>
      <c r="CT8338" s="531"/>
    </row>
    <row r="8339" spans="1:98">
      <c r="A8339" s="532"/>
      <c r="AR8339" s="2513"/>
      <c r="CT8339" s="531"/>
    </row>
    <row r="8340" spans="1:98">
      <c r="A8340" s="532"/>
      <c r="AR8340" s="2513"/>
      <c r="CT8340" s="531"/>
    </row>
    <row r="8341" spans="1:98">
      <c r="A8341" s="532"/>
      <c r="AR8341" s="2513"/>
      <c r="CT8341" s="531"/>
    </row>
    <row r="8342" spans="1:98">
      <c r="A8342" s="532"/>
      <c r="AR8342" s="2513"/>
      <c r="CT8342" s="531"/>
    </row>
    <row r="8343" spans="1:98">
      <c r="A8343" s="532"/>
      <c r="AR8343" s="2513"/>
      <c r="CT8343" s="531"/>
    </row>
    <row r="8344" spans="1:98">
      <c r="A8344" s="532"/>
      <c r="AR8344" s="2513"/>
      <c r="CT8344" s="531"/>
    </row>
    <row r="8345" spans="1:98">
      <c r="A8345" s="532"/>
      <c r="AR8345" s="2513"/>
      <c r="CT8345" s="531"/>
    </row>
    <row r="8346" spans="1:98">
      <c r="A8346" s="532"/>
      <c r="AR8346" s="2513"/>
      <c r="CT8346" s="531"/>
    </row>
    <row r="8347" spans="1:98">
      <c r="A8347" s="532"/>
      <c r="AR8347" s="2513"/>
      <c r="CT8347" s="531"/>
    </row>
    <row r="8348" spans="1:98">
      <c r="A8348" s="532"/>
      <c r="AR8348" s="2513"/>
      <c r="CT8348" s="531"/>
    </row>
    <row r="8349" spans="1:98">
      <c r="A8349" s="532"/>
      <c r="AR8349" s="2513"/>
      <c r="CT8349" s="531"/>
    </row>
    <row r="8350" spans="1:98">
      <c r="A8350" s="532"/>
      <c r="AR8350" s="2513"/>
      <c r="CT8350" s="531"/>
    </row>
    <row r="8351" spans="1:98">
      <c r="A8351" s="532"/>
      <c r="AR8351" s="2513"/>
      <c r="CT8351" s="531"/>
    </row>
    <row r="8352" spans="1:98">
      <c r="A8352" s="532"/>
      <c r="AR8352" s="2513"/>
      <c r="CT8352" s="531"/>
    </row>
    <row r="8353" spans="1:98">
      <c r="A8353" s="532"/>
      <c r="AR8353" s="2513"/>
      <c r="CT8353" s="531"/>
    </row>
    <row r="8354" spans="1:98">
      <c r="A8354" s="532"/>
      <c r="AR8354" s="2513"/>
      <c r="CT8354" s="531"/>
    </row>
    <row r="8355" spans="1:98">
      <c r="A8355" s="532"/>
      <c r="AR8355" s="2513"/>
      <c r="CT8355" s="531"/>
    </row>
    <row r="8356" spans="1:98">
      <c r="A8356" s="532"/>
      <c r="AR8356" s="2513"/>
      <c r="CT8356" s="531"/>
    </row>
    <row r="8357" spans="1:98">
      <c r="A8357" s="532"/>
      <c r="AR8357" s="2513"/>
      <c r="CT8357" s="531"/>
    </row>
    <row r="8358" spans="1:98">
      <c r="A8358" s="532"/>
      <c r="AR8358" s="2513"/>
      <c r="CT8358" s="531"/>
    </row>
    <row r="8359" spans="1:98">
      <c r="A8359" s="532"/>
      <c r="AR8359" s="2513"/>
      <c r="CT8359" s="531"/>
    </row>
    <row r="8360" spans="1:98">
      <c r="A8360" s="532"/>
      <c r="AR8360" s="2513"/>
      <c r="CT8360" s="531"/>
    </row>
    <row r="8361" spans="1:98">
      <c r="A8361" s="532"/>
      <c r="AR8361" s="2513"/>
      <c r="CT8361" s="531"/>
    </row>
    <row r="8362" spans="1:98">
      <c r="A8362" s="532"/>
      <c r="AR8362" s="2513"/>
      <c r="CT8362" s="531"/>
    </row>
    <row r="8363" spans="1:98">
      <c r="A8363" s="532"/>
      <c r="AR8363" s="2513"/>
      <c r="CT8363" s="531"/>
    </row>
    <row r="8364" spans="1:98">
      <c r="A8364" s="532"/>
      <c r="AR8364" s="2513"/>
      <c r="CT8364" s="531"/>
    </row>
    <row r="8365" spans="1:98">
      <c r="A8365" s="532"/>
      <c r="AR8365" s="2513"/>
      <c r="CT8365" s="531"/>
    </row>
    <row r="8366" spans="1:98">
      <c r="A8366" s="532"/>
      <c r="AR8366" s="2513"/>
      <c r="CT8366" s="531"/>
    </row>
    <row r="8367" spans="1:98">
      <c r="A8367" s="532"/>
      <c r="AR8367" s="2513"/>
      <c r="CT8367" s="531"/>
    </row>
    <row r="8368" spans="1:98">
      <c r="A8368" s="532"/>
      <c r="AR8368" s="2513"/>
      <c r="CT8368" s="531"/>
    </row>
    <row r="8369" spans="1:98">
      <c r="A8369" s="532"/>
      <c r="AR8369" s="2513"/>
      <c r="CT8369" s="531"/>
    </row>
    <row r="8370" spans="1:98">
      <c r="A8370" s="532"/>
      <c r="AR8370" s="2513"/>
      <c r="CT8370" s="531"/>
    </row>
    <row r="8371" spans="1:98">
      <c r="A8371" s="532"/>
      <c r="AR8371" s="2513"/>
      <c r="CT8371" s="531"/>
    </row>
    <row r="8372" spans="1:98">
      <c r="A8372" s="532"/>
      <c r="AR8372" s="2513"/>
      <c r="CT8372" s="531"/>
    </row>
    <row r="8373" spans="1:98">
      <c r="A8373" s="532"/>
      <c r="AR8373" s="2513"/>
      <c r="CT8373" s="531"/>
    </row>
    <row r="8374" spans="1:98">
      <c r="A8374" s="532"/>
      <c r="AR8374" s="2513"/>
      <c r="CT8374" s="531"/>
    </row>
    <row r="8375" spans="1:98">
      <c r="A8375" s="532"/>
      <c r="AR8375" s="2513"/>
      <c r="CT8375" s="531"/>
    </row>
    <row r="8376" spans="1:98">
      <c r="A8376" s="532"/>
      <c r="AR8376" s="2513"/>
      <c r="CT8376" s="531"/>
    </row>
    <row r="8377" spans="1:98">
      <c r="A8377" s="532"/>
      <c r="AR8377" s="2513"/>
      <c r="CT8377" s="531"/>
    </row>
    <row r="8378" spans="1:98">
      <c r="A8378" s="532"/>
      <c r="AR8378" s="2513"/>
      <c r="CT8378" s="531"/>
    </row>
    <row r="8379" spans="1:98">
      <c r="A8379" s="532"/>
      <c r="AR8379" s="2513"/>
      <c r="CT8379" s="531"/>
    </row>
    <row r="8380" spans="1:98">
      <c r="A8380" s="532"/>
      <c r="AR8380" s="2513"/>
      <c r="CT8380" s="531"/>
    </row>
    <row r="8381" spans="1:98">
      <c r="A8381" s="532"/>
      <c r="AR8381" s="2513"/>
      <c r="CT8381" s="531"/>
    </row>
    <row r="8382" spans="1:98">
      <c r="A8382" s="532"/>
      <c r="AR8382" s="2513"/>
      <c r="CT8382" s="531"/>
    </row>
    <row r="8383" spans="1:98">
      <c r="A8383" s="532"/>
      <c r="AR8383" s="2513"/>
      <c r="CT8383" s="531"/>
    </row>
    <row r="8384" spans="1:98">
      <c r="A8384" s="532"/>
      <c r="AR8384" s="2513"/>
      <c r="CT8384" s="531"/>
    </row>
    <row r="8385" spans="1:98">
      <c r="A8385" s="532"/>
      <c r="AR8385" s="2513"/>
      <c r="CT8385" s="531"/>
    </row>
    <row r="8386" spans="1:98">
      <c r="A8386" s="532"/>
      <c r="AR8386" s="2513"/>
      <c r="CT8386" s="531"/>
    </row>
    <row r="8387" spans="1:98">
      <c r="A8387" s="532"/>
      <c r="AR8387" s="2513"/>
      <c r="CT8387" s="531"/>
    </row>
    <row r="8388" spans="1:98">
      <c r="A8388" s="532"/>
      <c r="AR8388" s="2513"/>
      <c r="CT8388" s="531"/>
    </row>
    <row r="8389" spans="1:98">
      <c r="A8389" s="532"/>
      <c r="AR8389" s="2513"/>
      <c r="CT8389" s="531"/>
    </row>
    <row r="8390" spans="1:98">
      <c r="A8390" s="532"/>
      <c r="AR8390" s="2513"/>
      <c r="CT8390" s="531"/>
    </row>
    <row r="8391" spans="1:98">
      <c r="A8391" s="532"/>
      <c r="AR8391" s="2513"/>
      <c r="CT8391" s="531"/>
    </row>
    <row r="8392" spans="1:98">
      <c r="A8392" s="532"/>
      <c r="AR8392" s="2513"/>
      <c r="CT8392" s="531"/>
    </row>
    <row r="8393" spans="1:98">
      <c r="A8393" s="532"/>
      <c r="AR8393" s="2513"/>
      <c r="CT8393" s="531"/>
    </row>
    <row r="8394" spans="1:98">
      <c r="A8394" s="532"/>
      <c r="AR8394" s="2513"/>
      <c r="CT8394" s="531"/>
    </row>
    <row r="8395" spans="1:98">
      <c r="A8395" s="532"/>
      <c r="AR8395" s="2513"/>
      <c r="CT8395" s="531"/>
    </row>
    <row r="8396" spans="1:98">
      <c r="A8396" s="532"/>
      <c r="AR8396" s="2513"/>
      <c r="CT8396" s="531"/>
    </row>
    <row r="8397" spans="1:98">
      <c r="A8397" s="532"/>
      <c r="AR8397" s="2513"/>
      <c r="CT8397" s="531"/>
    </row>
    <row r="8398" spans="1:98">
      <c r="A8398" s="532"/>
      <c r="AR8398" s="2513"/>
      <c r="CT8398" s="531"/>
    </row>
    <row r="8399" spans="1:98">
      <c r="A8399" s="532"/>
      <c r="AR8399" s="2513"/>
      <c r="CT8399" s="531"/>
    </row>
    <row r="8400" spans="1:98">
      <c r="A8400" s="532"/>
      <c r="AR8400" s="2513"/>
      <c r="CT8400" s="531"/>
    </row>
    <row r="8401" spans="1:98">
      <c r="A8401" s="532"/>
      <c r="AR8401" s="2513"/>
      <c r="CT8401" s="531"/>
    </row>
    <row r="8402" spans="1:98">
      <c r="A8402" s="532"/>
      <c r="AR8402" s="2513"/>
      <c r="CT8402" s="531"/>
    </row>
    <row r="8403" spans="1:98">
      <c r="A8403" s="532"/>
      <c r="AR8403" s="2513"/>
      <c r="CT8403" s="531"/>
    </row>
    <row r="8404" spans="1:98">
      <c r="A8404" s="532"/>
      <c r="AR8404" s="2513"/>
      <c r="CT8404" s="531"/>
    </row>
    <row r="8405" spans="1:98">
      <c r="A8405" s="532"/>
      <c r="AR8405" s="2513"/>
      <c r="CT8405" s="531"/>
    </row>
    <row r="8406" spans="1:98">
      <c r="A8406" s="532"/>
      <c r="AR8406" s="2513"/>
      <c r="CT8406" s="531"/>
    </row>
    <row r="8407" spans="1:98">
      <c r="A8407" s="532"/>
      <c r="AR8407" s="2513"/>
      <c r="CT8407" s="531"/>
    </row>
    <row r="8408" spans="1:98">
      <c r="A8408" s="532"/>
      <c r="AR8408" s="2513"/>
      <c r="CT8408" s="531"/>
    </row>
    <row r="8409" spans="1:98">
      <c r="A8409" s="532"/>
      <c r="AR8409" s="2513"/>
      <c r="CT8409" s="531"/>
    </row>
    <row r="8410" spans="1:98">
      <c r="A8410" s="532"/>
      <c r="AR8410" s="2513"/>
      <c r="CT8410" s="531"/>
    </row>
    <row r="8411" spans="1:98">
      <c r="A8411" s="532"/>
      <c r="AR8411" s="2513"/>
      <c r="CT8411" s="531"/>
    </row>
    <row r="8412" spans="1:98">
      <c r="A8412" s="532"/>
      <c r="AR8412" s="2513"/>
      <c r="CT8412" s="531"/>
    </row>
    <row r="8413" spans="1:98">
      <c r="A8413" s="532"/>
      <c r="AR8413" s="2513"/>
      <c r="CT8413" s="531"/>
    </row>
    <row r="8414" spans="1:98">
      <c r="A8414" s="532"/>
      <c r="AR8414" s="2513"/>
      <c r="CT8414" s="531"/>
    </row>
    <row r="8415" spans="1:98">
      <c r="A8415" s="532"/>
      <c r="AR8415" s="2513"/>
      <c r="CT8415" s="531"/>
    </row>
    <row r="8416" spans="1:98">
      <c r="A8416" s="532"/>
      <c r="AR8416" s="2513"/>
      <c r="CT8416" s="531"/>
    </row>
    <row r="8417" spans="1:98">
      <c r="A8417" s="532"/>
      <c r="AR8417" s="2513"/>
      <c r="CT8417" s="531"/>
    </row>
    <row r="8418" spans="1:98">
      <c r="A8418" s="532"/>
      <c r="AR8418" s="2513"/>
      <c r="CT8418" s="531"/>
    </row>
    <row r="8419" spans="1:98">
      <c r="A8419" s="532"/>
      <c r="AR8419" s="2513"/>
      <c r="CT8419" s="531"/>
    </row>
    <row r="8420" spans="1:98">
      <c r="A8420" s="532"/>
      <c r="AR8420" s="2513"/>
      <c r="CT8420" s="531"/>
    </row>
    <row r="8421" spans="1:98">
      <c r="A8421" s="532"/>
      <c r="AR8421" s="2513"/>
      <c r="CT8421" s="531"/>
    </row>
    <row r="8422" spans="1:98">
      <c r="A8422" s="532"/>
      <c r="AR8422" s="2513"/>
      <c r="CT8422" s="531"/>
    </row>
    <row r="8423" spans="1:98">
      <c r="A8423" s="532"/>
      <c r="AR8423" s="2513"/>
      <c r="CT8423" s="531"/>
    </row>
    <row r="8424" spans="1:98">
      <c r="A8424" s="532"/>
      <c r="AR8424" s="2513"/>
      <c r="CT8424" s="531"/>
    </row>
    <row r="8425" spans="1:98">
      <c r="A8425" s="532"/>
      <c r="AR8425" s="2513"/>
      <c r="CT8425" s="531"/>
    </row>
    <row r="8426" spans="1:98">
      <c r="A8426" s="532"/>
      <c r="AR8426" s="2513"/>
      <c r="CT8426" s="531"/>
    </row>
    <row r="8427" spans="1:98">
      <c r="A8427" s="532"/>
      <c r="AR8427" s="2513"/>
      <c r="CT8427" s="531"/>
    </row>
    <row r="8428" spans="1:98">
      <c r="A8428" s="532"/>
      <c r="AR8428" s="2513"/>
      <c r="CT8428" s="531"/>
    </row>
    <row r="8429" spans="1:98">
      <c r="A8429" s="532"/>
      <c r="AR8429" s="2513"/>
      <c r="CT8429" s="531"/>
    </row>
    <row r="8430" spans="1:98">
      <c r="A8430" s="532"/>
      <c r="AR8430" s="2513"/>
      <c r="CT8430" s="531"/>
    </row>
    <row r="8431" spans="1:98">
      <c r="A8431" s="532"/>
      <c r="AR8431" s="2513"/>
      <c r="CT8431" s="531"/>
    </row>
    <row r="8432" spans="1:98">
      <c r="A8432" s="532"/>
      <c r="AR8432" s="2513"/>
      <c r="CT8432" s="531"/>
    </row>
    <row r="8433" spans="1:98">
      <c r="A8433" s="532"/>
      <c r="AR8433" s="2513"/>
      <c r="CT8433" s="531"/>
    </row>
    <row r="8434" spans="1:98">
      <c r="A8434" s="532"/>
      <c r="AR8434" s="2513"/>
      <c r="CT8434" s="531"/>
    </row>
    <row r="8435" spans="1:98">
      <c r="A8435" s="532"/>
      <c r="AR8435" s="2513"/>
      <c r="CT8435" s="531"/>
    </row>
    <row r="8436" spans="1:98">
      <c r="A8436" s="532"/>
      <c r="AR8436" s="2513"/>
      <c r="CT8436" s="531"/>
    </row>
    <row r="8437" spans="1:98">
      <c r="A8437" s="532"/>
      <c r="AR8437" s="2513"/>
      <c r="CT8437" s="531"/>
    </row>
    <row r="8438" spans="1:98">
      <c r="A8438" s="532"/>
      <c r="AR8438" s="2513"/>
      <c r="CT8438" s="531"/>
    </row>
    <row r="8439" spans="1:98">
      <c r="A8439" s="532"/>
      <c r="AR8439" s="2513"/>
      <c r="CT8439" s="531"/>
    </row>
    <row r="8440" spans="1:98">
      <c r="A8440" s="532"/>
      <c r="AR8440" s="2513"/>
      <c r="CT8440" s="531"/>
    </row>
    <row r="8441" spans="1:98">
      <c r="A8441" s="532"/>
      <c r="AR8441" s="2513"/>
      <c r="CT8441" s="531"/>
    </row>
    <row r="8442" spans="1:98">
      <c r="A8442" s="532"/>
      <c r="AR8442" s="2513"/>
      <c r="CT8442" s="531"/>
    </row>
    <row r="8443" spans="1:98">
      <c r="A8443" s="532"/>
      <c r="AR8443" s="2513"/>
      <c r="CT8443" s="531"/>
    </row>
    <row r="8444" spans="1:98">
      <c r="A8444" s="532"/>
      <c r="AR8444" s="2513"/>
      <c r="CT8444" s="531"/>
    </row>
    <row r="8445" spans="1:98">
      <c r="A8445" s="532"/>
      <c r="AR8445" s="2513"/>
      <c r="CT8445" s="531"/>
    </row>
    <row r="8446" spans="1:98">
      <c r="A8446" s="532"/>
      <c r="AR8446" s="2513"/>
      <c r="CT8446" s="531"/>
    </row>
    <row r="8447" spans="1:98">
      <c r="A8447" s="532"/>
      <c r="AR8447" s="2513"/>
      <c r="CT8447" s="531"/>
    </row>
    <row r="8448" spans="1:98">
      <c r="A8448" s="532"/>
      <c r="AR8448" s="2513"/>
      <c r="CT8448" s="531"/>
    </row>
    <row r="8449" spans="1:98">
      <c r="A8449" s="532"/>
      <c r="AR8449" s="2513"/>
      <c r="CT8449" s="531"/>
    </row>
    <row r="8450" spans="1:98">
      <c r="A8450" s="532"/>
      <c r="AR8450" s="2513"/>
      <c r="CT8450" s="531"/>
    </row>
    <row r="8451" spans="1:98">
      <c r="A8451" s="532"/>
      <c r="AR8451" s="2513"/>
      <c r="CT8451" s="531"/>
    </row>
    <row r="8452" spans="1:98">
      <c r="A8452" s="532"/>
      <c r="AR8452" s="2513"/>
      <c r="CT8452" s="531"/>
    </row>
    <row r="8453" spans="1:98">
      <c r="A8453" s="532"/>
      <c r="AR8453" s="2513"/>
      <c r="CT8453" s="531"/>
    </row>
    <row r="8454" spans="1:98">
      <c r="A8454" s="532"/>
      <c r="AR8454" s="2513"/>
      <c r="CT8454" s="531"/>
    </row>
    <row r="8455" spans="1:98">
      <c r="A8455" s="532"/>
      <c r="AR8455" s="2513"/>
      <c r="CT8455" s="531"/>
    </row>
    <row r="8456" spans="1:98">
      <c r="A8456" s="532"/>
      <c r="AR8456" s="2513"/>
      <c r="CT8456" s="531"/>
    </row>
    <row r="8457" spans="1:98">
      <c r="A8457" s="532"/>
      <c r="AR8457" s="2513"/>
      <c r="CT8457" s="531"/>
    </row>
    <row r="8458" spans="1:98">
      <c r="A8458" s="532"/>
      <c r="AR8458" s="2513"/>
      <c r="CT8458" s="531"/>
    </row>
    <row r="8459" spans="1:98">
      <c r="A8459" s="532"/>
      <c r="AR8459" s="2513"/>
      <c r="CT8459" s="531"/>
    </row>
    <row r="8460" spans="1:98">
      <c r="A8460" s="532"/>
      <c r="AR8460" s="2513"/>
      <c r="CT8460" s="531"/>
    </row>
    <row r="8461" spans="1:98">
      <c r="A8461" s="532"/>
      <c r="AR8461" s="2513"/>
      <c r="CT8461" s="531"/>
    </row>
    <row r="8462" spans="1:98">
      <c r="A8462" s="532"/>
      <c r="AR8462" s="2513"/>
      <c r="CT8462" s="531"/>
    </row>
    <row r="8463" spans="1:98">
      <c r="A8463" s="532"/>
      <c r="AR8463" s="2513"/>
      <c r="CT8463" s="531"/>
    </row>
    <row r="8464" spans="1:98">
      <c r="A8464" s="532"/>
      <c r="AR8464" s="2513"/>
      <c r="CT8464" s="531"/>
    </row>
    <row r="8465" spans="1:98">
      <c r="A8465" s="532"/>
      <c r="AR8465" s="2513"/>
      <c r="CT8465" s="531"/>
    </row>
    <row r="8466" spans="1:98">
      <c r="A8466" s="532"/>
      <c r="AR8466" s="2513"/>
      <c r="CT8466" s="531"/>
    </row>
    <row r="8467" spans="1:98">
      <c r="A8467" s="532"/>
      <c r="AR8467" s="2513"/>
      <c r="CT8467" s="531"/>
    </row>
    <row r="8468" spans="1:98">
      <c r="A8468" s="532"/>
      <c r="AR8468" s="2513"/>
      <c r="CT8468" s="531"/>
    </row>
    <row r="8469" spans="1:98">
      <c r="A8469" s="532"/>
      <c r="AR8469" s="2513"/>
      <c r="CT8469" s="531"/>
    </row>
    <row r="8470" spans="1:98">
      <c r="A8470" s="532"/>
      <c r="AR8470" s="2513"/>
      <c r="CT8470" s="531"/>
    </row>
    <row r="8471" spans="1:98">
      <c r="A8471" s="532"/>
      <c r="AR8471" s="2513"/>
      <c r="CT8471" s="531"/>
    </row>
    <row r="8472" spans="1:98">
      <c r="A8472" s="532"/>
      <c r="AR8472" s="2513"/>
      <c r="CT8472" s="531"/>
    </row>
    <row r="8473" spans="1:98">
      <c r="A8473" s="532"/>
      <c r="AR8473" s="2513"/>
      <c r="CT8473" s="531"/>
    </row>
    <row r="8474" spans="1:98">
      <c r="A8474" s="532"/>
      <c r="AR8474" s="2513"/>
      <c r="CT8474" s="531"/>
    </row>
    <row r="8475" spans="1:98">
      <c r="A8475" s="532"/>
      <c r="AR8475" s="2513"/>
      <c r="CT8475" s="531"/>
    </row>
    <row r="8476" spans="1:98">
      <c r="A8476" s="532"/>
      <c r="AR8476" s="2513"/>
      <c r="CT8476" s="531"/>
    </row>
    <row r="8477" spans="1:98">
      <c r="A8477" s="532"/>
      <c r="AR8477" s="2513"/>
      <c r="CT8477" s="531"/>
    </row>
    <row r="8478" spans="1:98">
      <c r="A8478" s="532"/>
      <c r="AR8478" s="2513"/>
      <c r="CT8478" s="531"/>
    </row>
    <row r="8479" spans="1:98">
      <c r="A8479" s="532"/>
      <c r="AR8479" s="2513"/>
      <c r="CT8479" s="531"/>
    </row>
    <row r="8480" spans="1:98">
      <c r="A8480" s="532"/>
      <c r="AR8480" s="2513"/>
      <c r="CT8480" s="531"/>
    </row>
    <row r="8481" spans="1:98">
      <c r="A8481" s="532"/>
      <c r="AR8481" s="2513"/>
      <c r="CT8481" s="531"/>
    </row>
    <row r="8482" spans="1:98">
      <c r="A8482" s="532"/>
      <c r="AR8482" s="2513"/>
      <c r="CT8482" s="531"/>
    </row>
    <row r="8483" spans="1:98">
      <c r="A8483" s="532"/>
      <c r="AR8483" s="2513"/>
      <c r="CT8483" s="531"/>
    </row>
    <row r="8484" spans="1:98">
      <c r="A8484" s="532"/>
      <c r="AR8484" s="2513"/>
      <c r="CT8484" s="531"/>
    </row>
    <row r="8485" spans="1:98">
      <c r="A8485" s="532"/>
      <c r="AR8485" s="2513"/>
      <c r="CT8485" s="531"/>
    </row>
    <row r="8486" spans="1:98">
      <c r="A8486" s="532"/>
      <c r="AR8486" s="2513"/>
      <c r="CT8486" s="531"/>
    </row>
    <row r="8487" spans="1:98">
      <c r="A8487" s="532"/>
      <c r="AR8487" s="2513"/>
      <c r="CT8487" s="531"/>
    </row>
    <row r="8488" spans="1:98">
      <c r="A8488" s="532"/>
      <c r="AR8488" s="2513"/>
      <c r="CT8488" s="531"/>
    </row>
    <row r="8489" spans="1:98">
      <c r="A8489" s="532"/>
      <c r="AR8489" s="2513"/>
      <c r="CT8489" s="531"/>
    </row>
    <row r="8490" spans="1:98">
      <c r="A8490" s="532"/>
      <c r="AR8490" s="2513"/>
      <c r="CT8490" s="531"/>
    </row>
    <row r="8491" spans="1:98">
      <c r="A8491" s="532"/>
      <c r="AR8491" s="2513"/>
      <c r="CT8491" s="531"/>
    </row>
    <row r="8492" spans="1:98">
      <c r="A8492" s="532"/>
      <c r="AR8492" s="2513"/>
      <c r="CT8492" s="531"/>
    </row>
    <row r="8493" spans="1:98">
      <c r="A8493" s="532"/>
      <c r="AR8493" s="2513"/>
      <c r="CT8493" s="531"/>
    </row>
    <row r="8494" spans="1:98">
      <c r="A8494" s="532"/>
      <c r="AR8494" s="2513"/>
      <c r="CT8494" s="531"/>
    </row>
    <row r="8495" spans="1:98">
      <c r="A8495" s="532"/>
      <c r="AR8495" s="2513"/>
      <c r="CT8495" s="531"/>
    </row>
    <row r="8496" spans="1:98">
      <c r="A8496" s="532"/>
      <c r="AR8496" s="2513"/>
      <c r="CT8496" s="531"/>
    </row>
    <row r="8497" spans="1:98">
      <c r="A8497" s="532"/>
      <c r="AR8497" s="2513"/>
      <c r="CT8497" s="531"/>
    </row>
    <row r="8498" spans="1:98">
      <c r="A8498" s="532"/>
      <c r="AR8498" s="2513"/>
      <c r="CT8498" s="531"/>
    </row>
    <row r="8499" spans="1:98">
      <c r="A8499" s="532"/>
      <c r="AR8499" s="2513"/>
      <c r="CT8499" s="531"/>
    </row>
    <row r="8500" spans="1:98">
      <c r="A8500" s="532"/>
      <c r="AR8500" s="2513"/>
      <c r="CT8500" s="531"/>
    </row>
    <row r="8501" spans="1:98">
      <c r="A8501" s="532"/>
      <c r="AR8501" s="2513"/>
      <c r="CT8501" s="531"/>
    </row>
    <row r="8502" spans="1:98">
      <c r="A8502" s="532"/>
      <c r="AR8502" s="2513"/>
      <c r="CT8502" s="531"/>
    </row>
    <row r="8503" spans="1:98">
      <c r="A8503" s="532"/>
      <c r="AR8503" s="2513"/>
      <c r="CT8503" s="531"/>
    </row>
    <row r="8504" spans="1:98">
      <c r="A8504" s="532"/>
      <c r="AR8504" s="2513"/>
      <c r="CT8504" s="531"/>
    </row>
    <row r="8505" spans="1:98">
      <c r="A8505" s="532"/>
      <c r="AR8505" s="2513"/>
      <c r="CT8505" s="531"/>
    </row>
    <row r="8506" spans="1:98">
      <c r="A8506" s="532"/>
      <c r="AR8506" s="2513"/>
      <c r="CT8506" s="531"/>
    </row>
    <row r="8507" spans="1:98">
      <c r="A8507" s="532"/>
      <c r="AR8507" s="2513"/>
      <c r="CT8507" s="531"/>
    </row>
    <row r="8508" spans="1:98">
      <c r="A8508" s="532"/>
      <c r="AR8508" s="2513"/>
      <c r="CT8508" s="531"/>
    </row>
    <row r="8509" spans="1:98">
      <c r="A8509" s="532"/>
      <c r="AR8509" s="2513"/>
      <c r="CT8509" s="531"/>
    </row>
    <row r="8510" spans="1:98">
      <c r="A8510" s="532"/>
      <c r="AR8510" s="2513"/>
      <c r="CT8510" s="531"/>
    </row>
    <row r="8511" spans="1:98">
      <c r="A8511" s="532"/>
      <c r="AR8511" s="2513"/>
      <c r="CT8511" s="531"/>
    </row>
    <row r="8512" spans="1:98">
      <c r="A8512" s="532"/>
      <c r="AR8512" s="2513"/>
      <c r="CT8512" s="531"/>
    </row>
    <row r="8513" spans="1:98">
      <c r="A8513" s="532"/>
      <c r="AR8513" s="2513"/>
      <c r="CT8513" s="531"/>
    </row>
    <row r="8514" spans="1:98">
      <c r="A8514" s="532"/>
      <c r="AR8514" s="2513"/>
      <c r="CT8514" s="531"/>
    </row>
    <row r="8515" spans="1:98">
      <c r="A8515" s="532"/>
      <c r="AR8515" s="2513"/>
      <c r="CT8515" s="531"/>
    </row>
    <row r="8516" spans="1:98">
      <c r="A8516" s="532"/>
      <c r="AR8516" s="2513"/>
      <c r="CT8516" s="531"/>
    </row>
    <row r="8517" spans="1:98">
      <c r="A8517" s="532"/>
      <c r="AR8517" s="2513"/>
      <c r="CT8517" s="531"/>
    </row>
    <row r="8518" spans="1:98">
      <c r="A8518" s="532"/>
      <c r="AR8518" s="2513"/>
      <c r="CT8518" s="531"/>
    </row>
    <row r="8519" spans="1:98">
      <c r="A8519" s="532"/>
      <c r="AR8519" s="2513"/>
      <c r="CT8519" s="531"/>
    </row>
    <row r="8520" spans="1:98">
      <c r="A8520" s="532"/>
      <c r="AR8520" s="2513"/>
      <c r="CT8520" s="531"/>
    </row>
    <row r="8521" spans="1:98">
      <c r="A8521" s="532"/>
      <c r="AR8521" s="2513"/>
      <c r="CT8521" s="531"/>
    </row>
    <row r="8522" spans="1:98">
      <c r="A8522" s="532"/>
      <c r="AR8522" s="2513"/>
      <c r="CT8522" s="531"/>
    </row>
    <row r="8523" spans="1:98">
      <c r="A8523" s="532"/>
      <c r="AR8523" s="2513"/>
      <c r="CT8523" s="531"/>
    </row>
    <row r="8524" spans="1:98">
      <c r="A8524" s="532"/>
      <c r="AR8524" s="2513"/>
      <c r="CT8524" s="531"/>
    </row>
    <row r="8525" spans="1:98">
      <c r="A8525" s="532"/>
      <c r="AR8525" s="2513"/>
      <c r="CT8525" s="531"/>
    </row>
    <row r="8526" spans="1:98">
      <c r="A8526" s="532"/>
      <c r="AR8526" s="2513"/>
      <c r="CT8526" s="531"/>
    </row>
    <row r="8527" spans="1:98">
      <c r="A8527" s="532"/>
      <c r="AR8527" s="2513"/>
      <c r="CT8527" s="531"/>
    </row>
    <row r="8528" spans="1:98">
      <c r="A8528" s="532"/>
      <c r="AR8528" s="2513"/>
      <c r="CT8528" s="531"/>
    </row>
    <row r="8529" spans="1:98">
      <c r="A8529" s="532"/>
      <c r="AR8529" s="2513"/>
      <c r="CT8529" s="531"/>
    </row>
    <row r="8530" spans="1:98">
      <c r="A8530" s="532"/>
      <c r="AR8530" s="2513"/>
      <c r="CT8530" s="531"/>
    </row>
    <row r="8531" spans="1:98">
      <c r="A8531" s="532"/>
      <c r="AR8531" s="2513"/>
      <c r="CT8531" s="531"/>
    </row>
    <row r="8532" spans="1:98">
      <c r="A8532" s="532"/>
      <c r="AR8532" s="2513"/>
      <c r="CT8532" s="531"/>
    </row>
    <row r="8533" spans="1:98">
      <c r="A8533" s="532"/>
      <c r="AR8533" s="2513"/>
      <c r="CT8533" s="531"/>
    </row>
    <row r="8534" spans="1:98">
      <c r="A8534" s="532"/>
      <c r="AR8534" s="2513"/>
      <c r="CT8534" s="531"/>
    </row>
    <row r="8535" spans="1:98">
      <c r="A8535" s="532"/>
      <c r="AR8535" s="2513"/>
      <c r="CT8535" s="531"/>
    </row>
    <row r="8536" spans="1:98">
      <c r="A8536" s="532"/>
      <c r="AR8536" s="2513"/>
      <c r="CT8536" s="531"/>
    </row>
    <row r="8537" spans="1:98">
      <c r="A8537" s="532"/>
      <c r="AR8537" s="2513"/>
      <c r="CT8537" s="531"/>
    </row>
    <row r="8538" spans="1:98">
      <c r="A8538" s="532"/>
      <c r="AR8538" s="2513"/>
      <c r="CT8538" s="531"/>
    </row>
    <row r="8539" spans="1:98">
      <c r="A8539" s="532"/>
      <c r="AR8539" s="2513"/>
      <c r="CT8539" s="531"/>
    </row>
    <row r="8540" spans="1:98">
      <c r="A8540" s="532"/>
      <c r="AR8540" s="2513"/>
      <c r="CT8540" s="531"/>
    </row>
    <row r="8541" spans="1:98">
      <c r="A8541" s="532"/>
      <c r="AR8541" s="2513"/>
      <c r="CT8541" s="531"/>
    </row>
    <row r="8542" spans="1:98">
      <c r="A8542" s="532"/>
      <c r="AR8542" s="2513"/>
      <c r="CT8542" s="531"/>
    </row>
    <row r="8543" spans="1:98">
      <c r="A8543" s="532"/>
      <c r="AR8543" s="2513"/>
      <c r="CT8543" s="531"/>
    </row>
    <row r="8544" spans="1:98">
      <c r="A8544" s="532"/>
      <c r="AR8544" s="2513"/>
      <c r="CT8544" s="531"/>
    </row>
    <row r="8545" spans="1:98">
      <c r="A8545" s="532"/>
      <c r="AR8545" s="2513"/>
      <c r="CT8545" s="531"/>
    </row>
    <row r="8546" spans="1:98">
      <c r="A8546" s="532"/>
      <c r="AR8546" s="2513"/>
      <c r="CT8546" s="531"/>
    </row>
    <row r="8547" spans="1:98">
      <c r="A8547" s="532"/>
      <c r="AR8547" s="2513"/>
      <c r="CT8547" s="531"/>
    </row>
    <row r="8548" spans="1:98">
      <c r="A8548" s="532"/>
      <c r="AR8548" s="2513"/>
      <c r="CT8548" s="531"/>
    </row>
    <row r="8549" spans="1:98">
      <c r="A8549" s="532"/>
      <c r="AR8549" s="2513"/>
      <c r="CT8549" s="531"/>
    </row>
    <row r="8550" spans="1:98">
      <c r="A8550" s="532"/>
      <c r="AR8550" s="2513"/>
      <c r="CT8550" s="531"/>
    </row>
    <row r="8551" spans="1:98">
      <c r="A8551" s="532"/>
      <c r="AR8551" s="2513"/>
      <c r="CT8551" s="531"/>
    </row>
    <row r="8552" spans="1:98">
      <c r="A8552" s="532"/>
      <c r="AR8552" s="2513"/>
      <c r="CT8552" s="531"/>
    </row>
    <row r="8553" spans="1:98">
      <c r="A8553" s="532"/>
      <c r="AR8553" s="2513"/>
      <c r="CT8553" s="531"/>
    </row>
    <row r="8554" spans="1:98">
      <c r="A8554" s="532"/>
      <c r="AR8554" s="2513"/>
      <c r="CT8554" s="531"/>
    </row>
    <row r="8555" spans="1:98">
      <c r="A8555" s="532"/>
      <c r="AR8555" s="2513"/>
      <c r="CT8555" s="531"/>
    </row>
    <row r="8556" spans="1:98">
      <c r="A8556" s="532"/>
      <c r="AR8556" s="2513"/>
      <c r="CT8556" s="531"/>
    </row>
    <row r="8557" spans="1:98">
      <c r="A8557" s="532"/>
      <c r="AR8557" s="2513"/>
      <c r="CT8557" s="531"/>
    </row>
    <row r="8558" spans="1:98">
      <c r="A8558" s="532"/>
      <c r="AR8558" s="2513"/>
      <c r="CT8558" s="531"/>
    </row>
    <row r="8559" spans="1:98">
      <c r="A8559" s="532"/>
      <c r="AR8559" s="2513"/>
      <c r="CT8559" s="531"/>
    </row>
    <row r="8560" spans="1:98">
      <c r="A8560" s="532"/>
      <c r="AR8560" s="2513"/>
      <c r="CT8560" s="531"/>
    </row>
    <row r="8561" spans="1:98">
      <c r="A8561" s="532"/>
      <c r="AR8561" s="2513"/>
      <c r="CT8561" s="531"/>
    </row>
    <row r="8562" spans="1:98">
      <c r="A8562" s="532"/>
      <c r="AR8562" s="2513"/>
      <c r="CT8562" s="531"/>
    </row>
    <row r="8563" spans="1:98">
      <c r="A8563" s="532"/>
      <c r="AR8563" s="2513"/>
      <c r="CT8563" s="531"/>
    </row>
    <row r="8564" spans="1:98">
      <c r="A8564" s="532"/>
      <c r="AR8564" s="2513"/>
      <c r="CT8564" s="531"/>
    </row>
    <row r="8565" spans="1:98">
      <c r="A8565" s="532"/>
      <c r="AR8565" s="2513"/>
      <c r="CT8565" s="531"/>
    </row>
    <row r="8566" spans="1:98">
      <c r="A8566" s="532"/>
      <c r="AR8566" s="2513"/>
      <c r="CT8566" s="531"/>
    </row>
    <row r="8567" spans="1:98">
      <c r="A8567" s="532"/>
      <c r="AR8567" s="2513"/>
      <c r="CT8567" s="531"/>
    </row>
    <row r="8568" spans="1:98">
      <c r="A8568" s="532"/>
      <c r="AR8568" s="2513"/>
      <c r="CT8568" s="531"/>
    </row>
    <row r="8569" spans="1:98">
      <c r="A8569" s="532"/>
      <c r="AR8569" s="2513"/>
      <c r="CT8569" s="531"/>
    </row>
    <row r="8570" spans="1:98">
      <c r="A8570" s="532"/>
      <c r="AR8570" s="2513"/>
      <c r="CT8570" s="531"/>
    </row>
    <row r="8571" spans="1:98">
      <c r="A8571" s="532"/>
      <c r="AR8571" s="2513"/>
      <c r="CT8571" s="531"/>
    </row>
    <row r="8572" spans="1:98">
      <c r="A8572" s="532"/>
      <c r="AR8572" s="2513"/>
      <c r="CT8572" s="531"/>
    </row>
    <row r="8573" spans="1:98">
      <c r="A8573" s="532"/>
      <c r="AR8573" s="2513"/>
      <c r="CT8573" s="531"/>
    </row>
    <row r="8574" spans="1:98">
      <c r="A8574" s="532"/>
      <c r="AR8574" s="2513"/>
      <c r="CT8574" s="531"/>
    </row>
    <row r="8575" spans="1:98">
      <c r="A8575" s="532"/>
      <c r="AR8575" s="2513"/>
      <c r="CT8575" s="531"/>
    </row>
    <row r="8576" spans="1:98">
      <c r="A8576" s="532"/>
      <c r="AR8576" s="2513"/>
      <c r="CT8576" s="531"/>
    </row>
    <row r="8577" spans="1:98">
      <c r="A8577" s="532"/>
      <c r="AR8577" s="2513"/>
      <c r="CT8577" s="531"/>
    </row>
    <row r="8578" spans="1:98">
      <c r="A8578" s="532"/>
      <c r="AR8578" s="2513"/>
      <c r="CT8578" s="531"/>
    </row>
    <row r="8579" spans="1:98">
      <c r="A8579" s="532"/>
      <c r="AR8579" s="2513"/>
      <c r="CT8579" s="531"/>
    </row>
    <row r="8580" spans="1:98">
      <c r="A8580" s="532"/>
      <c r="AR8580" s="2513"/>
      <c r="CT8580" s="531"/>
    </row>
    <row r="8581" spans="1:98">
      <c r="A8581" s="532"/>
      <c r="AR8581" s="2513"/>
      <c r="CT8581" s="531"/>
    </row>
    <row r="8582" spans="1:98">
      <c r="A8582" s="532"/>
      <c r="AR8582" s="2513"/>
      <c r="CT8582" s="531"/>
    </row>
    <row r="8583" spans="1:98">
      <c r="A8583" s="532"/>
      <c r="AR8583" s="2513"/>
      <c r="CT8583" s="531"/>
    </row>
    <row r="8584" spans="1:98">
      <c r="A8584" s="532"/>
      <c r="AR8584" s="2513"/>
      <c r="CT8584" s="531"/>
    </row>
    <row r="8585" spans="1:98">
      <c r="A8585" s="532"/>
      <c r="AR8585" s="2513"/>
      <c r="CT8585" s="531"/>
    </row>
    <row r="8586" spans="1:98">
      <c r="A8586" s="532"/>
      <c r="AR8586" s="2513"/>
      <c r="CT8586" s="531"/>
    </row>
    <row r="8587" spans="1:98">
      <c r="A8587" s="532"/>
      <c r="AR8587" s="2513"/>
      <c r="CT8587" s="531"/>
    </row>
    <row r="8588" spans="1:98">
      <c r="A8588" s="532"/>
      <c r="AR8588" s="2513"/>
      <c r="CT8588" s="531"/>
    </row>
    <row r="8589" spans="1:98">
      <c r="A8589" s="532"/>
      <c r="AR8589" s="2513"/>
      <c r="CT8589" s="531"/>
    </row>
    <row r="8590" spans="1:98">
      <c r="A8590" s="532"/>
      <c r="AR8590" s="2513"/>
      <c r="CT8590" s="531"/>
    </row>
    <row r="8591" spans="1:98">
      <c r="A8591" s="532"/>
      <c r="AR8591" s="2513"/>
      <c r="CT8591" s="531"/>
    </row>
    <row r="8592" spans="1:98">
      <c r="A8592" s="532"/>
      <c r="AR8592" s="2513"/>
      <c r="CT8592" s="531"/>
    </row>
    <row r="8593" spans="1:98">
      <c r="A8593" s="532"/>
      <c r="AR8593" s="2513"/>
      <c r="CT8593" s="531"/>
    </row>
    <row r="8594" spans="1:98">
      <c r="A8594" s="532"/>
      <c r="AR8594" s="2513"/>
      <c r="CT8594" s="531"/>
    </row>
    <row r="8595" spans="1:98">
      <c r="A8595" s="532"/>
      <c r="AR8595" s="2513"/>
      <c r="CT8595" s="531"/>
    </row>
    <row r="8596" spans="1:98">
      <c r="A8596" s="532"/>
      <c r="AR8596" s="2513"/>
      <c r="CT8596" s="531"/>
    </row>
    <row r="8597" spans="1:98">
      <c r="A8597" s="532"/>
      <c r="AR8597" s="2513"/>
      <c r="CT8597" s="531"/>
    </row>
    <row r="8598" spans="1:98">
      <c r="A8598" s="532"/>
      <c r="AR8598" s="2513"/>
      <c r="CT8598" s="531"/>
    </row>
    <row r="8599" spans="1:98">
      <c r="A8599" s="532"/>
      <c r="AR8599" s="2513"/>
      <c r="CT8599" s="531"/>
    </row>
    <row r="8600" spans="1:98">
      <c r="A8600" s="532"/>
      <c r="AR8600" s="2513"/>
      <c r="CT8600" s="531"/>
    </row>
    <row r="8601" spans="1:98">
      <c r="A8601" s="532"/>
      <c r="AR8601" s="2513"/>
      <c r="CT8601" s="531"/>
    </row>
    <row r="8602" spans="1:98">
      <c r="A8602" s="532"/>
      <c r="AR8602" s="2513"/>
      <c r="CT8602" s="531"/>
    </row>
    <row r="8603" spans="1:98">
      <c r="A8603" s="532"/>
      <c r="AR8603" s="2513"/>
      <c r="CT8603" s="531"/>
    </row>
    <row r="8604" spans="1:98">
      <c r="A8604" s="532"/>
      <c r="AR8604" s="2513"/>
      <c r="CT8604" s="531"/>
    </row>
    <row r="8605" spans="1:98">
      <c r="A8605" s="532"/>
      <c r="AR8605" s="2513"/>
      <c r="CT8605" s="531"/>
    </row>
    <row r="8606" spans="1:98">
      <c r="A8606" s="532"/>
      <c r="AR8606" s="2513"/>
      <c r="CT8606" s="531"/>
    </row>
    <row r="8607" spans="1:98">
      <c r="A8607" s="532"/>
      <c r="AR8607" s="2513"/>
      <c r="CT8607" s="531"/>
    </row>
    <row r="8608" spans="1:98">
      <c r="A8608" s="532"/>
      <c r="AR8608" s="2513"/>
      <c r="CT8608" s="531"/>
    </row>
    <row r="8609" spans="1:98">
      <c r="A8609" s="532"/>
      <c r="AR8609" s="2513"/>
      <c r="CT8609" s="531"/>
    </row>
    <row r="8610" spans="1:98">
      <c r="A8610" s="532"/>
      <c r="AR8610" s="2513"/>
      <c r="CT8610" s="531"/>
    </row>
    <row r="8611" spans="1:98">
      <c r="A8611" s="532"/>
      <c r="AR8611" s="2513"/>
      <c r="CT8611" s="531"/>
    </row>
    <row r="8612" spans="1:98">
      <c r="A8612" s="532"/>
      <c r="AR8612" s="2513"/>
      <c r="CT8612" s="531"/>
    </row>
    <row r="8613" spans="1:98">
      <c r="A8613" s="532"/>
      <c r="AR8613" s="2513"/>
      <c r="CT8613" s="531"/>
    </row>
    <row r="8614" spans="1:98">
      <c r="A8614" s="532"/>
      <c r="AR8614" s="2513"/>
      <c r="CT8614" s="531"/>
    </row>
    <row r="8615" spans="1:98">
      <c r="A8615" s="532"/>
      <c r="AR8615" s="2513"/>
      <c r="CT8615" s="531"/>
    </row>
    <row r="8616" spans="1:98">
      <c r="A8616" s="532"/>
      <c r="AR8616" s="2513"/>
      <c r="CT8616" s="531"/>
    </row>
    <row r="8617" spans="1:98">
      <c r="A8617" s="532"/>
      <c r="AR8617" s="2513"/>
      <c r="CT8617" s="531"/>
    </row>
    <row r="8618" spans="1:98">
      <c r="A8618" s="532"/>
      <c r="AR8618" s="2513"/>
      <c r="CT8618" s="531"/>
    </row>
    <row r="8619" spans="1:98">
      <c r="A8619" s="532"/>
      <c r="AR8619" s="2513"/>
      <c r="CT8619" s="531"/>
    </row>
    <row r="8620" spans="1:98">
      <c r="A8620" s="532"/>
      <c r="AR8620" s="2513"/>
      <c r="CT8620" s="531"/>
    </row>
    <row r="8621" spans="1:98">
      <c r="A8621" s="532"/>
      <c r="AR8621" s="2513"/>
      <c r="CT8621" s="531"/>
    </row>
    <row r="8622" spans="1:98">
      <c r="A8622" s="532"/>
      <c r="AR8622" s="2513"/>
      <c r="CT8622" s="531"/>
    </row>
    <row r="8623" spans="1:98">
      <c r="A8623" s="532"/>
      <c r="AR8623" s="2513"/>
      <c r="CT8623" s="531"/>
    </row>
    <row r="8624" spans="1:98">
      <c r="A8624" s="532"/>
      <c r="AR8624" s="2513"/>
      <c r="CT8624" s="531"/>
    </row>
    <row r="8625" spans="1:98">
      <c r="A8625" s="532"/>
      <c r="AR8625" s="2513"/>
      <c r="CT8625" s="531"/>
    </row>
    <row r="8626" spans="1:98">
      <c r="A8626" s="532"/>
      <c r="AR8626" s="2513"/>
      <c r="CT8626" s="531"/>
    </row>
    <row r="8627" spans="1:98">
      <c r="A8627" s="532"/>
      <c r="AR8627" s="2513"/>
      <c r="CT8627" s="531"/>
    </row>
    <row r="8628" spans="1:98">
      <c r="A8628" s="532"/>
      <c r="AR8628" s="2513"/>
      <c r="CT8628" s="531"/>
    </row>
    <row r="8629" spans="1:98">
      <c r="A8629" s="532"/>
      <c r="AR8629" s="2513"/>
      <c r="CT8629" s="531"/>
    </row>
    <row r="8630" spans="1:98">
      <c r="A8630" s="532"/>
      <c r="AR8630" s="2513"/>
      <c r="CT8630" s="531"/>
    </row>
    <row r="8631" spans="1:98">
      <c r="A8631" s="532"/>
      <c r="AR8631" s="2513"/>
      <c r="CT8631" s="531"/>
    </row>
    <row r="8632" spans="1:98">
      <c r="A8632" s="532"/>
      <c r="AR8632" s="2513"/>
      <c r="CT8632" s="531"/>
    </row>
    <row r="8633" spans="1:98">
      <c r="A8633" s="532"/>
      <c r="AR8633" s="2513"/>
      <c r="CT8633" s="531"/>
    </row>
    <row r="8634" spans="1:98">
      <c r="A8634" s="532"/>
      <c r="AR8634" s="2513"/>
      <c r="CT8634" s="531"/>
    </row>
    <row r="8635" spans="1:98">
      <c r="A8635" s="532"/>
      <c r="AR8635" s="2513"/>
      <c r="CT8635" s="531"/>
    </row>
    <row r="8636" spans="1:98">
      <c r="A8636" s="532"/>
      <c r="AR8636" s="2513"/>
      <c r="CT8636" s="531"/>
    </row>
    <row r="8637" spans="1:98">
      <c r="A8637" s="532"/>
      <c r="AR8637" s="2513"/>
      <c r="CT8637" s="531"/>
    </row>
    <row r="8638" spans="1:98">
      <c r="A8638" s="532"/>
      <c r="AR8638" s="2513"/>
      <c r="CT8638" s="531"/>
    </row>
    <row r="8639" spans="1:98">
      <c r="A8639" s="532"/>
      <c r="AR8639" s="2513"/>
      <c r="CT8639" s="531"/>
    </row>
    <row r="8640" spans="1:98">
      <c r="A8640" s="532"/>
      <c r="AR8640" s="2513"/>
      <c r="CT8640" s="531"/>
    </row>
    <row r="8641" spans="1:98">
      <c r="A8641" s="532"/>
      <c r="AR8641" s="2513"/>
      <c r="CT8641" s="531"/>
    </row>
    <row r="8642" spans="1:98">
      <c r="A8642" s="532"/>
      <c r="AR8642" s="2513"/>
      <c r="CT8642" s="531"/>
    </row>
    <row r="8643" spans="1:98">
      <c r="A8643" s="532"/>
      <c r="AR8643" s="2513"/>
      <c r="CT8643" s="531"/>
    </row>
    <row r="8644" spans="1:98">
      <c r="A8644" s="532"/>
      <c r="AR8644" s="2513"/>
      <c r="CT8644" s="531"/>
    </row>
    <row r="8645" spans="1:98">
      <c r="A8645" s="532"/>
      <c r="AR8645" s="2513"/>
      <c r="CT8645" s="531"/>
    </row>
    <row r="8646" spans="1:98">
      <c r="A8646" s="532"/>
      <c r="AR8646" s="2513"/>
      <c r="CT8646" s="531"/>
    </row>
    <row r="8647" spans="1:98">
      <c r="A8647" s="532"/>
      <c r="AR8647" s="2513"/>
      <c r="CT8647" s="531"/>
    </row>
    <row r="8648" spans="1:98">
      <c r="A8648" s="532"/>
      <c r="AR8648" s="2513"/>
      <c r="CT8648" s="531"/>
    </row>
    <row r="8649" spans="1:98">
      <c r="A8649" s="532"/>
      <c r="AR8649" s="2513"/>
      <c r="CT8649" s="531"/>
    </row>
    <row r="8650" spans="1:98">
      <c r="A8650" s="532"/>
      <c r="AR8650" s="2513"/>
      <c r="CT8650" s="531"/>
    </row>
    <row r="8651" spans="1:98">
      <c r="A8651" s="532"/>
      <c r="AR8651" s="2513"/>
      <c r="CT8651" s="531"/>
    </row>
    <row r="8652" spans="1:98">
      <c r="A8652" s="532"/>
      <c r="AR8652" s="2513"/>
      <c r="CT8652" s="531"/>
    </row>
    <row r="8653" spans="1:98">
      <c r="A8653" s="532"/>
      <c r="AR8653" s="2513"/>
      <c r="CT8653" s="531"/>
    </row>
    <row r="8654" spans="1:98">
      <c r="A8654" s="532"/>
      <c r="AR8654" s="2513"/>
      <c r="CT8654" s="531"/>
    </row>
    <row r="8655" spans="1:98">
      <c r="A8655" s="532"/>
      <c r="AR8655" s="2513"/>
      <c r="CT8655" s="531"/>
    </row>
    <row r="8656" spans="1:98">
      <c r="A8656" s="532"/>
      <c r="AR8656" s="2513"/>
      <c r="CT8656" s="531"/>
    </row>
    <row r="8657" spans="1:98">
      <c r="A8657" s="532"/>
      <c r="AR8657" s="2513"/>
      <c r="CT8657" s="531"/>
    </row>
    <row r="8658" spans="1:98">
      <c r="A8658" s="532"/>
      <c r="AR8658" s="2513"/>
      <c r="CT8658" s="531"/>
    </row>
    <row r="8659" spans="1:98">
      <c r="A8659" s="532"/>
      <c r="AR8659" s="2513"/>
      <c r="CT8659" s="531"/>
    </row>
    <row r="8660" spans="1:98">
      <c r="A8660" s="532"/>
      <c r="AR8660" s="2513"/>
      <c r="CT8660" s="531"/>
    </row>
    <row r="8661" spans="1:98">
      <c r="A8661" s="532"/>
      <c r="AR8661" s="2513"/>
      <c r="CT8661" s="531"/>
    </row>
    <row r="8662" spans="1:98">
      <c r="A8662" s="532"/>
      <c r="AR8662" s="2513"/>
      <c r="CT8662" s="531"/>
    </row>
    <row r="8663" spans="1:98">
      <c r="A8663" s="532"/>
      <c r="AR8663" s="2513"/>
      <c r="CT8663" s="531"/>
    </row>
    <row r="8664" spans="1:98">
      <c r="A8664" s="532"/>
      <c r="AR8664" s="2513"/>
      <c r="CT8664" s="531"/>
    </row>
    <row r="8665" spans="1:98">
      <c r="A8665" s="532"/>
      <c r="AR8665" s="2513"/>
      <c r="CT8665" s="531"/>
    </row>
    <row r="8666" spans="1:98">
      <c r="A8666" s="532"/>
      <c r="AR8666" s="2513"/>
      <c r="CT8666" s="531"/>
    </row>
    <row r="8667" spans="1:98">
      <c r="A8667" s="532"/>
      <c r="AR8667" s="2513"/>
      <c r="CT8667" s="531"/>
    </row>
    <row r="8668" spans="1:98">
      <c r="A8668" s="532"/>
      <c r="AR8668" s="2513"/>
      <c r="CT8668" s="531"/>
    </row>
    <row r="8669" spans="1:98">
      <c r="A8669" s="532"/>
      <c r="AR8669" s="2513"/>
      <c r="CT8669" s="531"/>
    </row>
    <row r="8670" spans="1:98">
      <c r="A8670" s="532"/>
      <c r="AR8670" s="2513"/>
      <c r="CT8670" s="531"/>
    </row>
    <row r="8671" spans="1:98">
      <c r="A8671" s="532"/>
      <c r="AR8671" s="2513"/>
      <c r="CT8671" s="531"/>
    </row>
    <row r="8672" spans="1:98">
      <c r="A8672" s="532"/>
      <c r="AR8672" s="2513"/>
      <c r="CT8672" s="531"/>
    </row>
    <row r="8673" spans="1:98">
      <c r="A8673" s="532"/>
      <c r="AR8673" s="2513"/>
      <c r="CT8673" s="531"/>
    </row>
    <row r="8674" spans="1:98">
      <c r="A8674" s="532"/>
      <c r="AR8674" s="2513"/>
      <c r="CT8674" s="531"/>
    </row>
    <row r="8675" spans="1:98">
      <c r="A8675" s="532"/>
      <c r="AR8675" s="2513"/>
      <c r="CT8675" s="531"/>
    </row>
    <row r="8676" spans="1:98">
      <c r="A8676" s="532"/>
      <c r="AR8676" s="2513"/>
      <c r="CT8676" s="531"/>
    </row>
    <row r="8677" spans="1:98">
      <c r="A8677" s="532"/>
      <c r="AR8677" s="2513"/>
      <c r="CT8677" s="531"/>
    </row>
    <row r="8678" spans="1:98">
      <c r="A8678" s="532"/>
      <c r="AR8678" s="2513"/>
      <c r="CT8678" s="531"/>
    </row>
    <row r="8679" spans="1:98">
      <c r="A8679" s="532"/>
      <c r="AR8679" s="2513"/>
      <c r="CT8679" s="531"/>
    </row>
    <row r="8680" spans="1:98">
      <c r="A8680" s="532"/>
      <c r="AR8680" s="2513"/>
      <c r="CT8680" s="531"/>
    </row>
    <row r="8681" spans="1:98">
      <c r="A8681" s="532"/>
      <c r="AR8681" s="2513"/>
      <c r="CT8681" s="531"/>
    </row>
    <row r="8682" spans="1:98">
      <c r="A8682" s="532"/>
      <c r="AR8682" s="2513"/>
      <c r="CT8682" s="531"/>
    </row>
    <row r="8683" spans="1:98">
      <c r="A8683" s="532"/>
      <c r="AR8683" s="2513"/>
      <c r="CT8683" s="531"/>
    </row>
    <row r="8684" spans="1:98">
      <c r="A8684" s="532"/>
      <c r="AR8684" s="2513"/>
      <c r="CT8684" s="531"/>
    </row>
    <row r="8685" spans="1:98">
      <c r="A8685" s="532"/>
      <c r="AR8685" s="2513"/>
      <c r="CT8685" s="531"/>
    </row>
    <row r="8686" spans="1:98">
      <c r="A8686" s="532"/>
      <c r="AR8686" s="2513"/>
      <c r="CT8686" s="531"/>
    </row>
    <row r="8687" spans="1:98">
      <c r="A8687" s="532"/>
      <c r="AR8687" s="2513"/>
      <c r="CT8687" s="531"/>
    </row>
    <row r="8688" spans="1:98">
      <c r="A8688" s="532"/>
      <c r="AR8688" s="2513"/>
      <c r="CT8688" s="531"/>
    </row>
    <row r="8689" spans="1:98">
      <c r="A8689" s="532"/>
      <c r="AR8689" s="2513"/>
      <c r="CT8689" s="531"/>
    </row>
    <row r="8690" spans="1:98">
      <c r="A8690" s="532"/>
      <c r="AR8690" s="2513"/>
      <c r="CT8690" s="531"/>
    </row>
    <row r="8691" spans="1:98">
      <c r="A8691" s="532"/>
      <c r="AR8691" s="2513"/>
      <c r="CT8691" s="531"/>
    </row>
    <row r="8692" spans="1:98">
      <c r="A8692" s="532"/>
      <c r="AR8692" s="2513"/>
      <c r="CT8692" s="531"/>
    </row>
    <row r="8693" spans="1:98">
      <c r="A8693" s="532"/>
      <c r="AR8693" s="2513"/>
      <c r="CT8693" s="531"/>
    </row>
    <row r="8694" spans="1:98">
      <c r="A8694" s="532"/>
      <c r="AR8694" s="2513"/>
      <c r="CT8694" s="531"/>
    </row>
    <row r="8695" spans="1:98">
      <c r="A8695" s="532"/>
      <c r="AR8695" s="2513"/>
      <c r="CT8695" s="531"/>
    </row>
    <row r="8696" spans="1:98">
      <c r="A8696" s="532"/>
      <c r="AR8696" s="2513"/>
      <c r="CT8696" s="531"/>
    </row>
    <row r="8697" spans="1:98">
      <c r="A8697" s="532"/>
      <c r="AR8697" s="2513"/>
      <c r="CT8697" s="531"/>
    </row>
    <row r="8698" spans="1:98">
      <c r="A8698" s="532"/>
      <c r="AR8698" s="2513"/>
      <c r="CT8698" s="531"/>
    </row>
    <row r="8699" spans="1:98">
      <c r="A8699" s="532"/>
      <c r="AR8699" s="2513"/>
      <c r="CT8699" s="531"/>
    </row>
    <row r="8700" spans="1:98">
      <c r="A8700" s="532"/>
      <c r="AR8700" s="2513"/>
      <c r="CT8700" s="531"/>
    </row>
    <row r="8701" spans="1:98">
      <c r="A8701" s="532"/>
      <c r="AR8701" s="2513"/>
      <c r="CT8701" s="531"/>
    </row>
    <row r="8702" spans="1:98">
      <c r="A8702" s="532"/>
      <c r="AR8702" s="2513"/>
      <c r="CT8702" s="531"/>
    </row>
    <row r="8703" spans="1:98">
      <c r="A8703" s="532"/>
      <c r="AR8703" s="2513"/>
      <c r="CT8703" s="531"/>
    </row>
    <row r="8704" spans="1:98">
      <c r="A8704" s="532"/>
      <c r="AR8704" s="2513"/>
      <c r="CT8704" s="531"/>
    </row>
    <row r="8705" spans="1:98">
      <c r="A8705" s="532"/>
      <c r="AR8705" s="2513"/>
      <c r="CT8705" s="531"/>
    </row>
    <row r="8706" spans="1:98">
      <c r="A8706" s="532"/>
      <c r="AR8706" s="2513"/>
      <c r="CT8706" s="531"/>
    </row>
    <row r="8707" spans="1:98">
      <c r="A8707" s="532"/>
      <c r="AR8707" s="2513"/>
      <c r="CT8707" s="531"/>
    </row>
    <row r="8708" spans="1:98">
      <c r="A8708" s="532"/>
      <c r="AR8708" s="2513"/>
      <c r="CT8708" s="531"/>
    </row>
    <row r="8709" spans="1:98">
      <c r="A8709" s="532"/>
      <c r="AR8709" s="2513"/>
      <c r="CT8709" s="531"/>
    </row>
    <row r="8710" spans="1:98">
      <c r="A8710" s="532"/>
      <c r="AR8710" s="2513"/>
      <c r="CT8710" s="531"/>
    </row>
    <row r="8711" spans="1:98">
      <c r="A8711" s="532"/>
      <c r="AR8711" s="2513"/>
      <c r="CT8711" s="531"/>
    </row>
    <row r="8712" spans="1:98">
      <c r="A8712" s="532"/>
      <c r="AR8712" s="2513"/>
      <c r="CT8712" s="531"/>
    </row>
    <row r="8713" spans="1:98">
      <c r="A8713" s="532"/>
      <c r="AR8713" s="2513"/>
      <c r="CT8713" s="531"/>
    </row>
    <row r="8714" spans="1:98">
      <c r="A8714" s="532"/>
      <c r="AR8714" s="2513"/>
      <c r="CT8714" s="531"/>
    </row>
    <row r="8715" spans="1:98">
      <c r="A8715" s="532"/>
      <c r="AR8715" s="2513"/>
      <c r="CT8715" s="531"/>
    </row>
    <row r="8716" spans="1:98">
      <c r="A8716" s="532"/>
      <c r="AR8716" s="2513"/>
      <c r="CT8716" s="531"/>
    </row>
    <row r="8717" spans="1:98">
      <c r="A8717" s="532"/>
      <c r="AR8717" s="2513"/>
      <c r="CT8717" s="531"/>
    </row>
    <row r="8718" spans="1:98">
      <c r="A8718" s="532"/>
      <c r="AR8718" s="2513"/>
      <c r="CT8718" s="531"/>
    </row>
    <row r="8719" spans="1:98">
      <c r="A8719" s="532"/>
      <c r="AR8719" s="2513"/>
      <c r="CT8719" s="531"/>
    </row>
    <row r="8720" spans="1:98">
      <c r="A8720" s="532"/>
      <c r="AR8720" s="2513"/>
      <c r="CT8720" s="531"/>
    </row>
    <row r="8721" spans="1:98">
      <c r="A8721" s="532"/>
      <c r="AR8721" s="2513"/>
      <c r="CT8721" s="531"/>
    </row>
    <row r="8722" spans="1:98">
      <c r="A8722" s="532"/>
      <c r="AR8722" s="2513"/>
      <c r="CT8722" s="531"/>
    </row>
    <row r="8723" spans="1:98">
      <c r="A8723" s="532"/>
      <c r="AR8723" s="2513"/>
      <c r="CT8723" s="531"/>
    </row>
    <row r="8724" spans="1:98">
      <c r="A8724" s="532"/>
      <c r="AR8724" s="2513"/>
      <c r="CT8724" s="531"/>
    </row>
    <row r="8725" spans="1:98">
      <c r="A8725" s="532"/>
      <c r="AR8725" s="2513"/>
      <c r="CT8725" s="531"/>
    </row>
    <row r="8726" spans="1:98">
      <c r="A8726" s="532"/>
      <c r="AR8726" s="2513"/>
      <c r="CT8726" s="531"/>
    </row>
    <row r="8727" spans="1:98">
      <c r="A8727" s="532"/>
      <c r="AR8727" s="2513"/>
      <c r="CT8727" s="531"/>
    </row>
    <row r="8728" spans="1:98">
      <c r="A8728" s="532"/>
      <c r="AR8728" s="2513"/>
      <c r="CT8728" s="531"/>
    </row>
    <row r="8729" spans="1:98">
      <c r="A8729" s="532"/>
      <c r="AR8729" s="2513"/>
      <c r="CT8729" s="531"/>
    </row>
    <row r="8730" spans="1:98">
      <c r="A8730" s="532"/>
      <c r="AR8730" s="2513"/>
      <c r="CT8730" s="531"/>
    </row>
    <row r="8731" spans="1:98">
      <c r="A8731" s="532"/>
      <c r="AR8731" s="2513"/>
      <c r="CT8731" s="531"/>
    </row>
    <row r="8732" spans="1:98">
      <c r="A8732" s="532"/>
      <c r="AR8732" s="2513"/>
      <c r="CT8732" s="531"/>
    </row>
    <row r="8733" spans="1:98">
      <c r="A8733" s="532"/>
      <c r="AR8733" s="2513"/>
      <c r="CT8733" s="531"/>
    </row>
    <row r="8734" spans="1:98">
      <c r="A8734" s="532"/>
      <c r="AR8734" s="2513"/>
      <c r="CT8734" s="531"/>
    </row>
    <row r="8735" spans="1:98">
      <c r="A8735" s="532"/>
      <c r="AR8735" s="2513"/>
      <c r="CT8735" s="531"/>
    </row>
    <row r="8736" spans="1:98">
      <c r="A8736" s="532"/>
      <c r="AR8736" s="2513"/>
      <c r="CT8736" s="531"/>
    </row>
    <row r="8737" spans="1:98">
      <c r="A8737" s="532"/>
      <c r="AR8737" s="2513"/>
      <c r="CT8737" s="531"/>
    </row>
    <row r="8738" spans="1:98">
      <c r="A8738" s="532"/>
      <c r="AR8738" s="2513"/>
      <c r="CT8738" s="531"/>
    </row>
    <row r="8739" spans="1:98">
      <c r="A8739" s="532"/>
      <c r="AR8739" s="2513"/>
      <c r="CT8739" s="531"/>
    </row>
    <row r="8740" spans="1:98">
      <c r="A8740" s="532"/>
      <c r="AR8740" s="2513"/>
      <c r="CT8740" s="531"/>
    </row>
    <row r="8741" spans="1:98">
      <c r="A8741" s="532"/>
      <c r="AR8741" s="2513"/>
      <c r="CT8741" s="531"/>
    </row>
    <row r="8742" spans="1:98">
      <c r="A8742" s="532"/>
      <c r="AR8742" s="2513"/>
      <c r="CT8742" s="531"/>
    </row>
    <row r="8743" spans="1:98">
      <c r="A8743" s="532"/>
      <c r="AR8743" s="2513"/>
      <c r="CT8743" s="531"/>
    </row>
    <row r="8744" spans="1:98">
      <c r="A8744" s="532"/>
      <c r="AR8744" s="2513"/>
      <c r="CT8744" s="531"/>
    </row>
    <row r="8745" spans="1:98">
      <c r="A8745" s="532"/>
      <c r="AR8745" s="2513"/>
      <c r="CT8745" s="531"/>
    </row>
    <row r="8746" spans="1:98">
      <c r="A8746" s="532"/>
      <c r="AR8746" s="2513"/>
      <c r="CT8746" s="531"/>
    </row>
    <row r="8747" spans="1:98">
      <c r="A8747" s="532"/>
      <c r="AR8747" s="2513"/>
      <c r="CT8747" s="531"/>
    </row>
    <row r="8748" spans="1:98">
      <c r="A8748" s="532"/>
      <c r="AR8748" s="2513"/>
      <c r="CT8748" s="531"/>
    </row>
    <row r="8749" spans="1:98">
      <c r="A8749" s="532"/>
      <c r="AR8749" s="2513"/>
      <c r="CT8749" s="531"/>
    </row>
    <row r="8750" spans="1:98">
      <c r="A8750" s="532"/>
      <c r="AR8750" s="2513"/>
      <c r="CT8750" s="531"/>
    </row>
    <row r="8751" spans="1:98">
      <c r="A8751" s="532"/>
      <c r="AR8751" s="2513"/>
      <c r="CT8751" s="531"/>
    </row>
    <row r="8752" spans="1:98">
      <c r="A8752" s="532"/>
      <c r="AR8752" s="2513"/>
      <c r="CT8752" s="531"/>
    </row>
    <row r="8753" spans="1:98">
      <c r="A8753" s="532"/>
      <c r="AR8753" s="2513"/>
      <c r="CT8753" s="531"/>
    </row>
    <row r="8754" spans="1:98">
      <c r="A8754" s="532"/>
      <c r="AR8754" s="2513"/>
      <c r="CT8754" s="531"/>
    </row>
    <row r="8755" spans="1:98">
      <c r="A8755" s="532"/>
      <c r="AR8755" s="2513"/>
      <c r="CT8755" s="531"/>
    </row>
    <row r="8756" spans="1:98">
      <c r="A8756" s="532"/>
      <c r="AR8756" s="2513"/>
      <c r="CT8756" s="531"/>
    </row>
    <row r="8757" spans="1:98">
      <c r="A8757" s="532"/>
      <c r="AR8757" s="2513"/>
      <c r="CT8757" s="531"/>
    </row>
    <row r="8758" spans="1:98">
      <c r="A8758" s="532"/>
      <c r="AR8758" s="2513"/>
      <c r="CT8758" s="531"/>
    </row>
    <row r="8759" spans="1:98">
      <c r="A8759" s="532"/>
      <c r="AR8759" s="2513"/>
      <c r="CT8759" s="531"/>
    </row>
    <row r="8760" spans="1:98">
      <c r="A8760" s="532"/>
      <c r="AR8760" s="2513"/>
      <c r="CT8760" s="531"/>
    </row>
    <row r="8761" spans="1:98">
      <c r="A8761" s="532"/>
      <c r="AR8761" s="2513"/>
      <c r="CT8761" s="531"/>
    </row>
    <row r="8762" spans="1:98">
      <c r="A8762" s="532"/>
      <c r="AR8762" s="2513"/>
      <c r="CT8762" s="531"/>
    </row>
    <row r="8763" spans="1:98">
      <c r="A8763" s="532"/>
      <c r="AR8763" s="2513"/>
      <c r="CT8763" s="531"/>
    </row>
    <row r="8764" spans="1:98">
      <c r="A8764" s="532"/>
      <c r="AR8764" s="2513"/>
      <c r="CT8764" s="531"/>
    </row>
    <row r="8765" spans="1:98">
      <c r="A8765" s="532"/>
      <c r="AR8765" s="2513"/>
      <c r="CT8765" s="531"/>
    </row>
    <row r="8766" spans="1:98">
      <c r="A8766" s="532"/>
      <c r="AR8766" s="2513"/>
      <c r="CT8766" s="531"/>
    </row>
    <row r="8767" spans="1:98">
      <c r="A8767" s="532"/>
      <c r="AR8767" s="2513"/>
      <c r="CT8767" s="531"/>
    </row>
    <row r="8768" spans="1:98">
      <c r="A8768" s="532"/>
      <c r="AR8768" s="2513"/>
      <c r="CT8768" s="531"/>
    </row>
    <row r="8769" spans="1:98">
      <c r="A8769" s="532"/>
      <c r="AR8769" s="2513"/>
      <c r="CT8769" s="531"/>
    </row>
    <row r="8770" spans="1:98">
      <c r="A8770" s="532"/>
      <c r="AR8770" s="2513"/>
      <c r="CT8770" s="531"/>
    </row>
    <row r="8771" spans="1:98">
      <c r="A8771" s="532"/>
      <c r="AR8771" s="2513"/>
      <c r="CT8771" s="531"/>
    </row>
    <row r="8772" spans="1:98">
      <c r="A8772" s="532"/>
      <c r="AR8772" s="2513"/>
      <c r="CT8772" s="531"/>
    </row>
    <row r="8773" spans="1:98">
      <c r="A8773" s="532"/>
      <c r="AR8773" s="2513"/>
      <c r="CT8773" s="531"/>
    </row>
    <row r="8774" spans="1:98">
      <c r="A8774" s="532"/>
      <c r="AR8774" s="2513"/>
      <c r="CT8774" s="531"/>
    </row>
    <row r="8775" spans="1:98">
      <c r="A8775" s="532"/>
      <c r="AR8775" s="2513"/>
      <c r="CT8775" s="531"/>
    </row>
    <row r="8776" spans="1:98">
      <c r="A8776" s="532"/>
      <c r="AR8776" s="2513"/>
      <c r="CT8776" s="531"/>
    </row>
    <row r="8777" spans="1:98">
      <c r="A8777" s="532"/>
      <c r="AR8777" s="2513"/>
      <c r="CT8777" s="531"/>
    </row>
    <row r="8778" spans="1:98">
      <c r="A8778" s="532"/>
      <c r="AR8778" s="2513"/>
      <c r="CT8778" s="531"/>
    </row>
    <row r="8779" spans="1:98">
      <c r="A8779" s="532"/>
      <c r="AR8779" s="2513"/>
      <c r="CT8779" s="531"/>
    </row>
    <row r="8780" spans="1:98">
      <c r="A8780" s="532"/>
      <c r="AR8780" s="2513"/>
      <c r="CT8780" s="531"/>
    </row>
    <row r="8781" spans="1:98">
      <c r="A8781" s="532"/>
      <c r="AR8781" s="2513"/>
      <c r="CT8781" s="531"/>
    </row>
    <row r="8782" spans="1:98">
      <c r="A8782" s="532"/>
      <c r="AR8782" s="2513"/>
      <c r="CT8782" s="531"/>
    </row>
    <row r="8783" spans="1:98">
      <c r="A8783" s="532"/>
      <c r="AR8783" s="2513"/>
      <c r="CT8783" s="531"/>
    </row>
    <row r="8784" spans="1:98">
      <c r="A8784" s="532"/>
      <c r="AR8784" s="2513"/>
      <c r="CT8784" s="531"/>
    </row>
    <row r="8785" spans="1:98">
      <c r="A8785" s="532"/>
      <c r="AR8785" s="2513"/>
      <c r="CT8785" s="531"/>
    </row>
    <row r="8786" spans="1:98">
      <c r="A8786" s="532"/>
      <c r="AR8786" s="2513"/>
      <c r="CT8786" s="531"/>
    </row>
    <row r="8787" spans="1:98">
      <c r="A8787" s="532"/>
      <c r="AR8787" s="2513"/>
      <c r="CT8787" s="531"/>
    </row>
    <row r="8788" spans="1:98">
      <c r="A8788" s="532"/>
      <c r="AR8788" s="2513"/>
      <c r="CT8788" s="531"/>
    </row>
    <row r="8789" spans="1:98">
      <c r="A8789" s="532"/>
      <c r="AR8789" s="2513"/>
      <c r="CT8789" s="531"/>
    </row>
    <row r="8790" spans="1:98">
      <c r="A8790" s="532"/>
      <c r="AR8790" s="2513"/>
      <c r="CT8790" s="531"/>
    </row>
    <row r="8791" spans="1:98">
      <c r="A8791" s="532"/>
      <c r="AR8791" s="2513"/>
      <c r="CT8791" s="531"/>
    </row>
    <row r="8792" spans="1:98">
      <c r="A8792" s="532"/>
      <c r="AR8792" s="2513"/>
      <c r="CT8792" s="531"/>
    </row>
    <row r="8793" spans="1:98">
      <c r="A8793" s="532"/>
      <c r="AR8793" s="2513"/>
      <c r="CT8793" s="531"/>
    </row>
    <row r="8794" spans="1:98">
      <c r="A8794" s="532"/>
      <c r="AR8794" s="2513"/>
      <c r="CT8794" s="531"/>
    </row>
    <row r="8795" spans="1:98">
      <c r="A8795" s="532"/>
      <c r="AR8795" s="2513"/>
      <c r="CT8795" s="531"/>
    </row>
    <row r="8796" spans="1:98">
      <c r="A8796" s="532"/>
      <c r="AR8796" s="2513"/>
      <c r="CT8796" s="531"/>
    </row>
    <row r="8797" spans="1:98">
      <c r="A8797" s="532"/>
      <c r="AR8797" s="2513"/>
      <c r="CT8797" s="531"/>
    </row>
    <row r="8798" spans="1:98">
      <c r="A8798" s="532"/>
      <c r="AR8798" s="2513"/>
      <c r="CT8798" s="531"/>
    </row>
    <row r="8799" spans="1:98">
      <c r="A8799" s="532"/>
      <c r="AR8799" s="2513"/>
      <c r="CT8799" s="531"/>
    </row>
    <row r="8800" spans="1:98">
      <c r="A8800" s="532"/>
      <c r="AR8800" s="2513"/>
      <c r="CT8800" s="531"/>
    </row>
    <row r="8801" spans="1:98">
      <c r="A8801" s="532"/>
      <c r="AR8801" s="2513"/>
      <c r="CT8801" s="531"/>
    </row>
    <row r="8802" spans="1:98">
      <c r="A8802" s="532"/>
      <c r="AR8802" s="2513"/>
      <c r="CT8802" s="531"/>
    </row>
    <row r="8803" spans="1:98">
      <c r="A8803" s="532"/>
      <c r="AR8803" s="2513"/>
      <c r="CT8803" s="531"/>
    </row>
    <row r="8804" spans="1:98">
      <c r="A8804" s="532"/>
      <c r="AR8804" s="2513"/>
      <c r="CT8804" s="531"/>
    </row>
    <row r="8805" spans="1:98">
      <c r="A8805" s="532"/>
      <c r="AR8805" s="2513"/>
      <c r="CT8805" s="531"/>
    </row>
    <row r="8806" spans="1:98">
      <c r="A8806" s="532"/>
      <c r="AR8806" s="2513"/>
      <c r="CT8806" s="531"/>
    </row>
    <row r="8807" spans="1:98">
      <c r="A8807" s="532"/>
      <c r="AR8807" s="2513"/>
      <c r="CT8807" s="531"/>
    </row>
    <row r="8808" spans="1:98">
      <c r="A8808" s="532"/>
      <c r="AR8808" s="2513"/>
      <c r="CT8808" s="531"/>
    </row>
    <row r="8809" spans="1:98">
      <c r="A8809" s="532"/>
      <c r="AR8809" s="2513"/>
      <c r="CT8809" s="531"/>
    </row>
    <row r="8810" spans="1:98">
      <c r="A8810" s="532"/>
      <c r="AR8810" s="2513"/>
      <c r="CT8810" s="531"/>
    </row>
    <row r="8811" spans="1:98">
      <c r="A8811" s="532"/>
      <c r="AR8811" s="2513"/>
      <c r="CT8811" s="531"/>
    </row>
    <row r="8812" spans="1:98">
      <c r="A8812" s="532"/>
      <c r="AR8812" s="2513"/>
      <c r="CT8812" s="531"/>
    </row>
    <row r="8813" spans="1:98">
      <c r="A8813" s="532"/>
      <c r="AR8813" s="2513"/>
      <c r="CT8813" s="531"/>
    </row>
    <row r="8814" spans="1:98">
      <c r="A8814" s="532"/>
      <c r="AR8814" s="2513"/>
      <c r="CT8814" s="531"/>
    </row>
    <row r="8815" spans="1:98">
      <c r="A8815" s="532"/>
      <c r="AR8815" s="2513"/>
      <c r="CT8815" s="531"/>
    </row>
    <row r="8816" spans="1:98">
      <c r="A8816" s="532"/>
      <c r="AR8816" s="2513"/>
      <c r="CT8816" s="531"/>
    </row>
    <row r="8817" spans="1:98">
      <c r="A8817" s="532"/>
      <c r="AR8817" s="2513"/>
      <c r="CT8817" s="531"/>
    </row>
    <row r="8818" spans="1:98">
      <c r="A8818" s="532"/>
      <c r="AR8818" s="2513"/>
      <c r="CT8818" s="531"/>
    </row>
    <row r="8819" spans="1:98">
      <c r="A8819" s="532"/>
      <c r="AR8819" s="2513"/>
      <c r="CT8819" s="531"/>
    </row>
    <row r="8820" spans="1:98">
      <c r="A8820" s="532"/>
      <c r="AR8820" s="2513"/>
      <c r="CT8820" s="531"/>
    </row>
    <row r="8821" spans="1:98">
      <c r="A8821" s="532"/>
      <c r="AR8821" s="2513"/>
      <c r="CT8821" s="531"/>
    </row>
    <row r="8822" spans="1:98">
      <c r="A8822" s="532"/>
      <c r="AR8822" s="2513"/>
      <c r="CT8822" s="531"/>
    </row>
    <row r="8823" spans="1:98">
      <c r="A8823" s="532"/>
      <c r="AR8823" s="2513"/>
      <c r="CT8823" s="531"/>
    </row>
    <row r="8824" spans="1:98">
      <c r="A8824" s="532"/>
      <c r="AR8824" s="2513"/>
      <c r="CT8824" s="531"/>
    </row>
    <row r="8825" spans="1:98">
      <c r="A8825" s="532"/>
      <c r="AR8825" s="2513"/>
      <c r="CT8825" s="531"/>
    </row>
    <row r="8826" spans="1:98">
      <c r="A8826" s="532"/>
      <c r="AR8826" s="2513"/>
      <c r="CT8826" s="531"/>
    </row>
    <row r="8827" spans="1:98">
      <c r="A8827" s="532"/>
      <c r="AR8827" s="2513"/>
      <c r="CT8827" s="531"/>
    </row>
    <row r="8828" spans="1:98">
      <c r="A8828" s="532"/>
      <c r="AR8828" s="2513"/>
      <c r="CT8828" s="531"/>
    </row>
    <row r="8829" spans="1:98">
      <c r="A8829" s="532"/>
      <c r="AR8829" s="2513"/>
      <c r="CT8829" s="531"/>
    </row>
    <row r="8830" spans="1:98">
      <c r="A8830" s="532"/>
      <c r="AR8830" s="2513"/>
      <c r="CT8830" s="531"/>
    </row>
    <row r="8831" spans="1:98">
      <c r="A8831" s="532"/>
      <c r="AR8831" s="2513"/>
      <c r="CT8831" s="531"/>
    </row>
    <row r="8832" spans="1:98">
      <c r="A8832" s="532"/>
      <c r="AR8832" s="2513"/>
      <c r="CT8832" s="531"/>
    </row>
    <row r="8833" spans="1:98">
      <c r="A8833" s="532"/>
      <c r="AR8833" s="2513"/>
      <c r="CT8833" s="531"/>
    </row>
    <row r="8834" spans="1:98">
      <c r="A8834" s="532"/>
      <c r="AR8834" s="2513"/>
      <c r="CT8834" s="531"/>
    </row>
    <row r="8835" spans="1:98">
      <c r="A8835" s="532"/>
      <c r="AR8835" s="2513"/>
      <c r="CT8835" s="531"/>
    </row>
    <row r="8836" spans="1:98">
      <c r="A8836" s="532"/>
      <c r="AR8836" s="2513"/>
      <c r="CT8836" s="531"/>
    </row>
    <row r="8837" spans="1:98">
      <c r="A8837" s="532"/>
      <c r="AR8837" s="2513"/>
      <c r="CT8837" s="531"/>
    </row>
    <row r="8838" spans="1:98">
      <c r="A8838" s="532"/>
      <c r="AR8838" s="2513"/>
      <c r="CT8838" s="531"/>
    </row>
    <row r="8839" spans="1:98">
      <c r="A8839" s="532"/>
      <c r="AR8839" s="2513"/>
      <c r="CT8839" s="531"/>
    </row>
    <row r="8840" spans="1:98">
      <c r="A8840" s="532"/>
      <c r="AR8840" s="2513"/>
      <c r="CT8840" s="531"/>
    </row>
    <row r="8841" spans="1:98">
      <c r="A8841" s="532"/>
      <c r="AR8841" s="2513"/>
      <c r="CT8841" s="531"/>
    </row>
    <row r="8842" spans="1:98">
      <c r="A8842" s="532"/>
      <c r="AR8842" s="2513"/>
      <c r="CT8842" s="531"/>
    </row>
    <row r="8843" spans="1:98">
      <c r="A8843" s="532"/>
      <c r="AR8843" s="2513"/>
      <c r="CT8843" s="531"/>
    </row>
    <row r="8844" spans="1:98">
      <c r="A8844" s="532"/>
      <c r="AR8844" s="2513"/>
      <c r="CT8844" s="531"/>
    </row>
    <row r="8845" spans="1:98">
      <c r="A8845" s="532"/>
      <c r="AR8845" s="2513"/>
      <c r="CT8845" s="531"/>
    </row>
    <row r="8846" spans="1:98">
      <c r="A8846" s="532"/>
      <c r="AR8846" s="2513"/>
      <c r="CT8846" s="531"/>
    </row>
    <row r="8847" spans="1:98">
      <c r="A8847" s="532"/>
      <c r="AR8847" s="2513"/>
      <c r="CT8847" s="531"/>
    </row>
    <row r="8848" spans="1:98">
      <c r="A8848" s="532"/>
      <c r="AR8848" s="2513"/>
      <c r="CT8848" s="531"/>
    </row>
    <row r="8849" spans="1:98">
      <c r="A8849" s="532"/>
      <c r="AR8849" s="2513"/>
      <c r="CT8849" s="531"/>
    </row>
    <row r="8850" spans="1:98">
      <c r="A8850" s="532"/>
      <c r="AR8850" s="2513"/>
      <c r="CT8850" s="531"/>
    </row>
    <row r="8851" spans="1:98">
      <c r="A8851" s="532"/>
      <c r="AR8851" s="2513"/>
      <c r="CT8851" s="531"/>
    </row>
    <row r="8852" spans="1:98">
      <c r="A8852" s="532"/>
      <c r="AR8852" s="2513"/>
      <c r="CT8852" s="531"/>
    </row>
    <row r="8853" spans="1:98">
      <c r="A8853" s="532"/>
      <c r="AR8853" s="2513"/>
      <c r="CT8853" s="531"/>
    </row>
    <row r="8854" spans="1:98">
      <c r="A8854" s="532"/>
      <c r="AR8854" s="2513"/>
      <c r="CT8854" s="531"/>
    </row>
    <row r="8855" spans="1:98">
      <c r="A8855" s="532"/>
      <c r="AR8855" s="2513"/>
      <c r="CT8855" s="531"/>
    </row>
    <row r="8856" spans="1:98">
      <c r="A8856" s="532"/>
      <c r="AR8856" s="2513"/>
      <c r="CT8856" s="531"/>
    </row>
    <row r="8857" spans="1:98">
      <c r="A8857" s="532"/>
      <c r="AR8857" s="2513"/>
      <c r="CT8857" s="531"/>
    </row>
    <row r="8858" spans="1:98">
      <c r="A8858" s="532"/>
      <c r="AR8858" s="2513"/>
      <c r="CT8858" s="531"/>
    </row>
    <row r="8859" spans="1:98">
      <c r="A8859" s="532"/>
      <c r="AR8859" s="2513"/>
      <c r="CT8859" s="531"/>
    </row>
    <row r="8860" spans="1:98">
      <c r="A8860" s="532"/>
      <c r="AR8860" s="2513"/>
      <c r="CT8860" s="531"/>
    </row>
    <row r="8861" spans="1:98">
      <c r="A8861" s="532"/>
      <c r="AR8861" s="2513"/>
      <c r="CT8861" s="531"/>
    </row>
    <row r="8862" spans="1:98">
      <c r="A8862" s="532"/>
      <c r="AR8862" s="2513"/>
      <c r="CT8862" s="531"/>
    </row>
    <row r="8863" spans="1:98">
      <c r="A8863" s="532"/>
      <c r="AR8863" s="2513"/>
      <c r="CT8863" s="531"/>
    </row>
    <row r="8864" spans="1:98">
      <c r="A8864" s="532"/>
      <c r="AR8864" s="2513"/>
      <c r="CT8864" s="531"/>
    </row>
    <row r="8865" spans="1:98">
      <c r="A8865" s="532"/>
      <c r="AR8865" s="2513"/>
      <c r="CT8865" s="531"/>
    </row>
    <row r="8866" spans="1:98">
      <c r="A8866" s="532"/>
      <c r="AR8866" s="2513"/>
      <c r="CT8866" s="531"/>
    </row>
    <row r="8867" spans="1:98">
      <c r="A8867" s="532"/>
      <c r="AR8867" s="2513"/>
      <c r="CT8867" s="531"/>
    </row>
    <row r="8868" spans="1:98">
      <c r="A8868" s="532"/>
      <c r="AR8868" s="2513"/>
      <c r="CT8868" s="531"/>
    </row>
    <row r="8869" spans="1:98">
      <c r="A8869" s="532"/>
      <c r="AR8869" s="2513"/>
      <c r="CT8869" s="531"/>
    </row>
    <row r="8870" spans="1:98">
      <c r="A8870" s="532"/>
      <c r="AR8870" s="2513"/>
      <c r="CT8870" s="531"/>
    </row>
    <row r="8871" spans="1:98">
      <c r="A8871" s="532"/>
      <c r="AR8871" s="2513"/>
      <c r="CT8871" s="531"/>
    </row>
    <row r="8872" spans="1:98">
      <c r="A8872" s="532"/>
      <c r="AR8872" s="2513"/>
      <c r="CT8872" s="531"/>
    </row>
    <row r="8873" spans="1:98">
      <c r="A8873" s="532"/>
      <c r="AR8873" s="2513"/>
      <c r="CT8873" s="531"/>
    </row>
    <row r="8874" spans="1:98">
      <c r="A8874" s="532"/>
      <c r="AR8874" s="2513"/>
      <c r="CT8874" s="531"/>
    </row>
    <row r="8875" spans="1:98">
      <c r="A8875" s="532"/>
      <c r="AR8875" s="2513"/>
      <c r="CT8875" s="531"/>
    </row>
    <row r="8876" spans="1:98">
      <c r="A8876" s="532"/>
      <c r="AR8876" s="2513"/>
      <c r="CT8876" s="531"/>
    </row>
    <row r="8877" spans="1:98">
      <c r="A8877" s="532"/>
      <c r="AR8877" s="2513"/>
      <c r="CT8877" s="531"/>
    </row>
    <row r="8878" spans="1:98">
      <c r="A8878" s="532"/>
      <c r="AR8878" s="2513"/>
      <c r="CT8878" s="531"/>
    </row>
    <row r="8879" spans="1:98">
      <c r="A8879" s="532"/>
      <c r="AR8879" s="2513"/>
      <c r="CT8879" s="531"/>
    </row>
    <row r="8880" spans="1:98">
      <c r="A8880" s="532"/>
      <c r="AR8880" s="2513"/>
      <c r="CT8880" s="531"/>
    </row>
    <row r="8881" spans="1:98">
      <c r="A8881" s="532"/>
      <c r="AR8881" s="2513"/>
      <c r="CT8881" s="531"/>
    </row>
    <row r="8882" spans="1:98">
      <c r="A8882" s="532"/>
      <c r="AR8882" s="2513"/>
      <c r="CT8882" s="531"/>
    </row>
    <row r="8883" spans="1:98">
      <c r="A8883" s="532"/>
      <c r="AR8883" s="2513"/>
      <c r="CT8883" s="531"/>
    </row>
    <row r="8884" spans="1:98">
      <c r="A8884" s="532"/>
      <c r="AR8884" s="2513"/>
      <c r="CT8884" s="531"/>
    </row>
    <row r="8885" spans="1:98">
      <c r="A8885" s="532"/>
      <c r="AR8885" s="2513"/>
      <c r="CT8885" s="531"/>
    </row>
    <row r="8886" spans="1:98">
      <c r="A8886" s="532"/>
      <c r="AR8886" s="2513"/>
      <c r="CT8886" s="531"/>
    </row>
    <row r="8887" spans="1:98">
      <c r="A8887" s="532"/>
      <c r="AR8887" s="2513"/>
      <c r="CT8887" s="531"/>
    </row>
    <row r="8888" spans="1:98">
      <c r="A8888" s="532"/>
      <c r="AR8888" s="2513"/>
      <c r="CT8888" s="531"/>
    </row>
    <row r="8889" spans="1:98">
      <c r="A8889" s="532"/>
      <c r="AR8889" s="2513"/>
      <c r="CT8889" s="531"/>
    </row>
    <row r="8890" spans="1:98">
      <c r="A8890" s="532"/>
      <c r="AR8890" s="2513"/>
      <c r="CT8890" s="531"/>
    </row>
    <row r="8891" spans="1:98">
      <c r="A8891" s="532"/>
      <c r="AR8891" s="2513"/>
      <c r="CT8891" s="531"/>
    </row>
    <row r="8892" spans="1:98">
      <c r="A8892" s="532"/>
      <c r="AR8892" s="2513"/>
      <c r="CT8892" s="531"/>
    </row>
    <row r="8893" spans="1:98">
      <c r="A8893" s="532"/>
      <c r="AR8893" s="2513"/>
      <c r="CT8893" s="531"/>
    </row>
    <row r="8894" spans="1:98">
      <c r="A8894" s="532"/>
      <c r="AR8894" s="2513"/>
      <c r="CT8894" s="531"/>
    </row>
    <row r="8895" spans="1:98">
      <c r="A8895" s="532"/>
      <c r="AR8895" s="2513"/>
      <c r="CT8895" s="531"/>
    </row>
    <row r="8896" spans="1:98">
      <c r="A8896" s="532"/>
      <c r="AR8896" s="2513"/>
      <c r="CT8896" s="531"/>
    </row>
    <row r="8897" spans="1:98">
      <c r="A8897" s="532"/>
      <c r="AR8897" s="2513"/>
      <c r="CT8897" s="531"/>
    </row>
    <row r="8898" spans="1:98">
      <c r="A8898" s="532"/>
      <c r="AR8898" s="2513"/>
      <c r="CT8898" s="531"/>
    </row>
    <row r="8899" spans="1:98">
      <c r="A8899" s="532"/>
      <c r="AR8899" s="2513"/>
      <c r="CT8899" s="531"/>
    </row>
    <row r="8900" spans="1:98">
      <c r="A8900" s="532"/>
      <c r="AR8900" s="2513"/>
      <c r="CT8900" s="531"/>
    </row>
    <row r="8901" spans="1:98">
      <c r="A8901" s="532"/>
      <c r="AR8901" s="2513"/>
      <c r="CT8901" s="531"/>
    </row>
    <row r="8902" spans="1:98">
      <c r="A8902" s="532"/>
      <c r="AR8902" s="2513"/>
      <c r="CT8902" s="531"/>
    </row>
    <row r="8903" spans="1:98">
      <c r="A8903" s="532"/>
      <c r="AR8903" s="2513"/>
      <c r="CT8903" s="531"/>
    </row>
    <row r="8904" spans="1:98">
      <c r="A8904" s="532"/>
      <c r="AR8904" s="2513"/>
      <c r="CT8904" s="531"/>
    </row>
    <row r="8905" spans="1:98">
      <c r="A8905" s="532"/>
      <c r="AR8905" s="2513"/>
      <c r="CT8905" s="531"/>
    </row>
    <row r="8906" spans="1:98">
      <c r="A8906" s="532"/>
      <c r="AR8906" s="2513"/>
      <c r="CT8906" s="531"/>
    </row>
    <row r="8907" spans="1:98">
      <c r="A8907" s="532"/>
      <c r="AR8907" s="2513"/>
      <c r="CT8907" s="531"/>
    </row>
    <row r="8908" spans="1:98">
      <c r="A8908" s="532"/>
      <c r="AR8908" s="2513"/>
      <c r="CT8908" s="531"/>
    </row>
    <row r="8909" spans="1:98">
      <c r="A8909" s="532"/>
      <c r="AR8909" s="2513"/>
      <c r="CT8909" s="531"/>
    </row>
    <row r="8910" spans="1:98">
      <c r="A8910" s="532"/>
      <c r="AR8910" s="2513"/>
      <c r="CT8910" s="531"/>
    </row>
    <row r="8911" spans="1:98">
      <c r="A8911" s="532"/>
      <c r="AR8911" s="2513"/>
      <c r="CT8911" s="531"/>
    </row>
    <row r="8912" spans="1:98">
      <c r="A8912" s="532"/>
      <c r="AR8912" s="2513"/>
      <c r="CT8912" s="531"/>
    </row>
    <row r="8913" spans="1:98">
      <c r="A8913" s="532"/>
      <c r="AR8913" s="2513"/>
      <c r="CT8913" s="531"/>
    </row>
    <row r="8914" spans="1:98">
      <c r="A8914" s="532"/>
      <c r="AR8914" s="2513"/>
      <c r="CT8914" s="531"/>
    </row>
    <row r="8915" spans="1:98">
      <c r="A8915" s="532"/>
      <c r="AR8915" s="2513"/>
      <c r="CT8915" s="531"/>
    </row>
    <row r="8916" spans="1:98">
      <c r="A8916" s="532"/>
      <c r="AR8916" s="2513"/>
      <c r="CT8916" s="531"/>
    </row>
    <row r="8917" spans="1:98">
      <c r="A8917" s="532"/>
      <c r="AR8917" s="2513"/>
      <c r="CT8917" s="531"/>
    </row>
    <row r="8918" spans="1:98">
      <c r="A8918" s="532"/>
      <c r="AR8918" s="2513"/>
      <c r="CT8918" s="531"/>
    </row>
    <row r="8919" spans="1:98">
      <c r="A8919" s="532"/>
      <c r="AR8919" s="2513"/>
      <c r="CT8919" s="531"/>
    </row>
    <row r="8920" spans="1:98">
      <c r="A8920" s="532"/>
      <c r="AR8920" s="2513"/>
      <c r="CT8920" s="531"/>
    </row>
    <row r="8921" spans="1:98">
      <c r="A8921" s="532"/>
      <c r="AR8921" s="2513"/>
      <c r="CT8921" s="531"/>
    </row>
    <row r="8922" spans="1:98">
      <c r="A8922" s="532"/>
      <c r="AR8922" s="2513"/>
      <c r="CT8922" s="531"/>
    </row>
    <row r="8923" spans="1:98">
      <c r="A8923" s="532"/>
      <c r="AR8923" s="2513"/>
      <c r="CT8923" s="531"/>
    </row>
    <row r="8924" spans="1:98">
      <c r="A8924" s="532"/>
      <c r="AR8924" s="2513"/>
      <c r="CT8924" s="531"/>
    </row>
    <row r="8925" spans="1:98">
      <c r="A8925" s="532"/>
      <c r="AR8925" s="2513"/>
      <c r="CT8925" s="531"/>
    </row>
    <row r="8926" spans="1:98">
      <c r="A8926" s="532"/>
      <c r="AR8926" s="2513"/>
      <c r="CT8926" s="531"/>
    </row>
    <row r="8927" spans="1:98">
      <c r="A8927" s="532"/>
      <c r="AR8927" s="2513"/>
      <c r="CT8927" s="531"/>
    </row>
    <row r="8928" spans="1:98">
      <c r="A8928" s="532"/>
      <c r="AR8928" s="2513"/>
      <c r="CT8928" s="531"/>
    </row>
    <row r="8929" spans="1:98">
      <c r="A8929" s="532"/>
      <c r="AR8929" s="2513"/>
      <c r="CT8929" s="531"/>
    </row>
    <row r="8930" spans="1:98">
      <c r="A8930" s="532"/>
      <c r="AR8930" s="2513"/>
      <c r="CT8930" s="531"/>
    </row>
    <row r="8931" spans="1:98">
      <c r="A8931" s="532"/>
      <c r="AR8931" s="2513"/>
      <c r="CT8931" s="531"/>
    </row>
    <row r="8932" spans="1:98">
      <c r="A8932" s="532"/>
      <c r="AR8932" s="2513"/>
      <c r="CT8932" s="531"/>
    </row>
    <row r="8933" spans="1:98">
      <c r="A8933" s="532"/>
      <c r="AR8933" s="2513"/>
      <c r="CT8933" s="531"/>
    </row>
    <row r="8934" spans="1:98">
      <c r="A8934" s="532"/>
      <c r="AR8934" s="2513"/>
      <c r="CT8934" s="531"/>
    </row>
    <row r="8935" spans="1:98">
      <c r="A8935" s="532"/>
      <c r="AR8935" s="2513"/>
      <c r="CT8935" s="531"/>
    </row>
    <row r="8936" spans="1:98">
      <c r="A8936" s="532"/>
      <c r="AR8936" s="2513"/>
      <c r="CT8936" s="531"/>
    </row>
    <row r="8937" spans="1:98">
      <c r="A8937" s="532"/>
      <c r="AR8937" s="2513"/>
      <c r="CT8937" s="531"/>
    </row>
    <row r="8938" spans="1:98">
      <c r="A8938" s="532"/>
      <c r="AR8938" s="2513"/>
      <c r="CT8938" s="531"/>
    </row>
    <row r="8939" spans="1:98">
      <c r="A8939" s="532"/>
      <c r="AR8939" s="2513"/>
      <c r="CT8939" s="531"/>
    </row>
    <row r="8940" spans="1:98">
      <c r="A8940" s="532"/>
      <c r="AR8940" s="2513"/>
      <c r="CT8940" s="531"/>
    </row>
    <row r="8941" spans="1:98">
      <c r="A8941" s="532"/>
      <c r="AR8941" s="2513"/>
      <c r="CT8941" s="531"/>
    </row>
    <row r="8942" spans="1:98">
      <c r="A8942" s="532"/>
      <c r="AR8942" s="2513"/>
      <c r="CT8942" s="531"/>
    </row>
    <row r="8943" spans="1:98">
      <c r="A8943" s="532"/>
      <c r="AR8943" s="2513"/>
      <c r="CT8943" s="531"/>
    </row>
    <row r="8944" spans="1:98">
      <c r="A8944" s="532"/>
      <c r="AR8944" s="2513"/>
      <c r="CT8944" s="531"/>
    </row>
    <row r="8945" spans="1:98">
      <c r="A8945" s="532"/>
      <c r="AR8945" s="2513"/>
      <c r="CT8945" s="531"/>
    </row>
    <row r="8946" spans="1:98">
      <c r="A8946" s="532"/>
      <c r="AR8946" s="2513"/>
      <c r="CT8946" s="531"/>
    </row>
    <row r="8947" spans="1:98">
      <c r="A8947" s="532"/>
      <c r="AR8947" s="2513"/>
      <c r="CT8947" s="531"/>
    </row>
    <row r="8948" spans="1:98">
      <c r="A8948" s="532"/>
      <c r="AR8948" s="2513"/>
      <c r="CT8948" s="531"/>
    </row>
    <row r="8949" spans="1:98">
      <c r="A8949" s="532"/>
      <c r="AR8949" s="2513"/>
      <c r="CT8949" s="531"/>
    </row>
    <row r="8950" spans="1:98">
      <c r="A8950" s="532"/>
      <c r="AR8950" s="2513"/>
      <c r="CT8950" s="531"/>
    </row>
    <row r="8951" spans="1:98">
      <c r="A8951" s="532"/>
      <c r="AR8951" s="2513"/>
      <c r="CT8951" s="531"/>
    </row>
    <row r="8952" spans="1:98">
      <c r="A8952" s="532"/>
      <c r="AR8952" s="2513"/>
      <c r="CT8952" s="531"/>
    </row>
    <row r="8953" spans="1:98">
      <c r="A8953" s="532"/>
      <c r="AR8953" s="2513"/>
      <c r="CT8953" s="531"/>
    </row>
    <row r="8954" spans="1:98">
      <c r="A8954" s="532"/>
      <c r="AR8954" s="2513"/>
      <c r="CT8954" s="531"/>
    </row>
    <row r="8955" spans="1:98">
      <c r="A8955" s="532"/>
      <c r="AR8955" s="2513"/>
      <c r="CT8955" s="531"/>
    </row>
    <row r="8956" spans="1:98">
      <c r="A8956" s="532"/>
      <c r="AR8956" s="2513"/>
      <c r="CT8956" s="531"/>
    </row>
    <row r="8957" spans="1:98">
      <c r="A8957" s="532"/>
      <c r="AR8957" s="2513"/>
      <c r="CT8957" s="531"/>
    </row>
    <row r="8958" spans="1:98">
      <c r="A8958" s="532"/>
      <c r="AR8958" s="2513"/>
      <c r="CT8958" s="531"/>
    </row>
    <row r="8959" spans="1:98">
      <c r="A8959" s="532"/>
      <c r="AR8959" s="2513"/>
      <c r="CT8959" s="531"/>
    </row>
    <row r="8960" spans="1:98">
      <c r="A8960" s="532"/>
      <c r="AR8960" s="2513"/>
      <c r="CT8960" s="531"/>
    </row>
    <row r="8961" spans="1:98">
      <c r="A8961" s="532"/>
      <c r="AR8961" s="2513"/>
      <c r="CT8961" s="531"/>
    </row>
    <row r="8962" spans="1:98">
      <c r="A8962" s="532"/>
      <c r="AR8962" s="2513"/>
      <c r="CT8962" s="531"/>
    </row>
    <row r="8963" spans="1:98">
      <c r="A8963" s="532"/>
      <c r="AR8963" s="2513"/>
      <c r="CT8963" s="531"/>
    </row>
    <row r="8964" spans="1:98">
      <c r="A8964" s="532"/>
      <c r="AR8964" s="2513"/>
      <c r="CT8964" s="531"/>
    </row>
    <row r="8965" spans="1:98">
      <c r="A8965" s="532"/>
      <c r="AR8965" s="2513"/>
      <c r="CT8965" s="531"/>
    </row>
    <row r="8966" spans="1:98">
      <c r="A8966" s="532"/>
      <c r="AR8966" s="2513"/>
      <c r="CT8966" s="531"/>
    </row>
    <row r="8967" spans="1:98">
      <c r="A8967" s="532"/>
      <c r="AR8967" s="2513"/>
      <c r="CT8967" s="531"/>
    </row>
    <row r="8968" spans="1:98">
      <c r="A8968" s="532"/>
      <c r="AR8968" s="2513"/>
      <c r="CT8968" s="531"/>
    </row>
    <row r="8969" spans="1:98">
      <c r="A8969" s="532"/>
      <c r="AR8969" s="2513"/>
      <c r="CT8969" s="531"/>
    </row>
    <row r="8970" spans="1:98">
      <c r="A8970" s="532"/>
      <c r="AR8970" s="2513"/>
      <c r="CT8970" s="531"/>
    </row>
    <row r="8971" spans="1:98">
      <c r="A8971" s="532"/>
      <c r="AR8971" s="2513"/>
      <c r="CT8971" s="531"/>
    </row>
    <row r="8972" spans="1:98">
      <c r="A8972" s="532"/>
      <c r="AR8972" s="2513"/>
      <c r="CT8972" s="531"/>
    </row>
    <row r="8973" spans="1:98">
      <c r="A8973" s="532"/>
      <c r="AR8973" s="2513"/>
      <c r="CT8973" s="531"/>
    </row>
    <row r="8974" spans="1:98">
      <c r="A8974" s="532"/>
      <c r="AR8974" s="2513"/>
      <c r="CT8974" s="531"/>
    </row>
    <row r="8975" spans="1:98">
      <c r="A8975" s="532"/>
      <c r="AR8975" s="2513"/>
      <c r="CT8975" s="531"/>
    </row>
    <row r="8976" spans="1:98">
      <c r="A8976" s="532"/>
      <c r="AR8976" s="2513"/>
      <c r="CT8976" s="531"/>
    </row>
    <row r="8977" spans="1:98">
      <c r="A8977" s="532"/>
      <c r="AR8977" s="2513"/>
      <c r="CT8977" s="531"/>
    </row>
    <row r="8978" spans="1:98">
      <c r="A8978" s="532"/>
      <c r="AR8978" s="2513"/>
      <c r="CT8978" s="531"/>
    </row>
    <row r="8979" spans="1:98">
      <c r="A8979" s="532"/>
      <c r="AR8979" s="2513"/>
      <c r="CT8979" s="531"/>
    </row>
    <row r="8980" spans="1:98">
      <c r="A8980" s="532"/>
      <c r="AR8980" s="2513"/>
      <c r="CT8980" s="531"/>
    </row>
    <row r="8981" spans="1:98">
      <c r="A8981" s="532"/>
      <c r="AR8981" s="2513"/>
      <c r="CT8981" s="531"/>
    </row>
    <row r="8982" spans="1:98">
      <c r="A8982" s="532"/>
      <c r="AR8982" s="2513"/>
      <c r="CT8982" s="531"/>
    </row>
    <row r="8983" spans="1:98">
      <c r="A8983" s="532"/>
      <c r="AR8983" s="2513"/>
      <c r="CT8983" s="531"/>
    </row>
    <row r="8984" spans="1:98">
      <c r="A8984" s="532"/>
      <c r="AR8984" s="2513"/>
      <c r="CT8984" s="531"/>
    </row>
    <row r="8985" spans="1:98">
      <c r="A8985" s="532"/>
      <c r="AR8985" s="2513"/>
      <c r="CT8985" s="531"/>
    </row>
    <row r="8986" spans="1:98">
      <c r="A8986" s="532"/>
      <c r="AR8986" s="2513"/>
      <c r="CT8986" s="531"/>
    </row>
    <row r="8987" spans="1:98">
      <c r="A8987" s="532"/>
      <c r="AR8987" s="2513"/>
      <c r="CT8987" s="531"/>
    </row>
    <row r="8988" spans="1:98">
      <c r="A8988" s="532"/>
      <c r="AR8988" s="2513"/>
      <c r="CT8988" s="531"/>
    </row>
    <row r="8989" spans="1:98">
      <c r="A8989" s="532"/>
      <c r="AR8989" s="2513"/>
      <c r="CT8989" s="531"/>
    </row>
    <row r="8990" spans="1:98">
      <c r="A8990" s="532"/>
      <c r="AR8990" s="2513"/>
      <c r="CT8990" s="531"/>
    </row>
    <row r="8991" spans="1:98">
      <c r="A8991" s="532"/>
      <c r="AR8991" s="2513"/>
      <c r="CT8991" s="531"/>
    </row>
    <row r="8992" spans="1:98">
      <c r="A8992" s="532"/>
      <c r="AR8992" s="2513"/>
      <c r="CT8992" s="531"/>
    </row>
    <row r="8993" spans="1:98">
      <c r="A8993" s="532"/>
      <c r="AR8993" s="2513"/>
      <c r="CT8993" s="531"/>
    </row>
    <row r="8994" spans="1:98">
      <c r="A8994" s="532"/>
      <c r="AR8994" s="2513"/>
      <c r="CT8994" s="531"/>
    </row>
    <row r="8995" spans="1:98">
      <c r="A8995" s="532"/>
      <c r="AR8995" s="2513"/>
      <c r="CT8995" s="531"/>
    </row>
    <row r="8996" spans="1:98">
      <c r="A8996" s="532"/>
      <c r="AR8996" s="2513"/>
      <c r="CT8996" s="531"/>
    </row>
    <row r="8997" spans="1:98">
      <c r="A8997" s="532"/>
      <c r="AR8997" s="2513"/>
      <c r="CT8997" s="531"/>
    </row>
    <row r="8998" spans="1:98">
      <c r="A8998" s="532"/>
      <c r="AR8998" s="2513"/>
      <c r="CT8998" s="531"/>
    </row>
    <row r="8999" spans="1:98">
      <c r="A8999" s="532"/>
      <c r="AR8999" s="2513"/>
      <c r="CT8999" s="531"/>
    </row>
    <row r="9000" spans="1:98">
      <c r="A9000" s="532"/>
      <c r="AR9000" s="2513"/>
      <c r="CT9000" s="531"/>
    </row>
    <row r="9001" spans="1:98">
      <c r="A9001" s="532"/>
      <c r="AR9001" s="2513"/>
      <c r="CT9001" s="531"/>
    </row>
    <row r="9002" spans="1:98">
      <c r="A9002" s="532"/>
      <c r="AR9002" s="2513"/>
      <c r="CT9002" s="531"/>
    </row>
    <row r="9003" spans="1:98">
      <c r="A9003" s="532"/>
      <c r="AR9003" s="2513"/>
      <c r="CT9003" s="531"/>
    </row>
    <row r="9004" spans="1:98">
      <c r="A9004" s="532"/>
      <c r="AR9004" s="2513"/>
      <c r="CT9004" s="531"/>
    </row>
    <row r="9005" spans="1:98">
      <c r="A9005" s="532"/>
      <c r="AR9005" s="2513"/>
      <c r="CT9005" s="531"/>
    </row>
    <row r="9006" spans="1:98">
      <c r="A9006" s="532"/>
      <c r="AR9006" s="2513"/>
      <c r="CT9006" s="531"/>
    </row>
    <row r="9007" spans="1:98">
      <c r="A9007" s="532"/>
      <c r="AR9007" s="2513"/>
      <c r="CT9007" s="531"/>
    </row>
    <row r="9008" spans="1:98">
      <c r="A9008" s="532"/>
      <c r="AR9008" s="2513"/>
      <c r="CT9008" s="531"/>
    </row>
    <row r="9009" spans="1:98">
      <c r="A9009" s="532"/>
      <c r="AR9009" s="2513"/>
      <c r="CT9009" s="531"/>
    </row>
    <row r="9010" spans="1:98">
      <c r="A9010" s="532"/>
      <c r="AR9010" s="2513"/>
      <c r="CT9010" s="531"/>
    </row>
    <row r="9011" spans="1:98">
      <c r="A9011" s="532"/>
      <c r="AR9011" s="2513"/>
      <c r="CT9011" s="531"/>
    </row>
    <row r="9012" spans="1:98">
      <c r="A9012" s="532"/>
      <c r="AR9012" s="2513"/>
      <c r="CT9012" s="531"/>
    </row>
    <row r="9013" spans="1:98">
      <c r="A9013" s="532"/>
      <c r="AR9013" s="2513"/>
      <c r="CT9013" s="531"/>
    </row>
    <row r="9014" spans="1:98">
      <c r="A9014" s="532"/>
      <c r="AR9014" s="2513"/>
      <c r="CT9014" s="531"/>
    </row>
    <row r="9015" spans="1:98">
      <c r="A9015" s="532"/>
      <c r="AR9015" s="2513"/>
      <c r="CT9015" s="531"/>
    </row>
    <row r="9016" spans="1:98">
      <c r="A9016" s="532"/>
      <c r="AR9016" s="2513"/>
      <c r="CT9016" s="531"/>
    </row>
    <row r="9017" spans="1:98">
      <c r="A9017" s="532"/>
      <c r="AR9017" s="2513"/>
      <c r="CT9017" s="531"/>
    </row>
    <row r="9018" spans="1:98">
      <c r="A9018" s="532"/>
      <c r="AR9018" s="2513"/>
      <c r="CT9018" s="531"/>
    </row>
    <row r="9019" spans="1:98">
      <c r="A9019" s="532"/>
      <c r="AR9019" s="2513"/>
      <c r="CT9019" s="531"/>
    </row>
    <row r="9020" spans="1:98">
      <c r="A9020" s="532"/>
      <c r="AR9020" s="2513"/>
      <c r="CT9020" s="531"/>
    </row>
    <row r="9021" spans="1:98">
      <c r="A9021" s="532"/>
      <c r="AR9021" s="2513"/>
      <c r="CT9021" s="531"/>
    </row>
    <row r="9022" spans="1:98">
      <c r="A9022" s="532"/>
      <c r="AR9022" s="2513"/>
      <c r="CT9022" s="531"/>
    </row>
    <row r="9023" spans="1:98">
      <c r="A9023" s="532"/>
      <c r="AR9023" s="2513"/>
      <c r="CT9023" s="531"/>
    </row>
    <row r="9024" spans="1:98">
      <c r="A9024" s="532"/>
      <c r="AR9024" s="2513"/>
      <c r="CT9024" s="531"/>
    </row>
    <row r="9025" spans="1:98">
      <c r="A9025" s="532"/>
      <c r="AR9025" s="2513"/>
      <c r="CT9025" s="531"/>
    </row>
    <row r="9026" spans="1:98">
      <c r="A9026" s="532"/>
      <c r="AR9026" s="2513"/>
      <c r="CT9026" s="531"/>
    </row>
    <row r="9027" spans="1:98">
      <c r="A9027" s="532"/>
      <c r="AR9027" s="2513"/>
      <c r="CT9027" s="531"/>
    </row>
    <row r="9028" spans="1:98">
      <c r="A9028" s="532"/>
      <c r="AR9028" s="2513"/>
      <c r="CT9028" s="531"/>
    </row>
    <row r="9029" spans="1:98">
      <c r="A9029" s="532"/>
      <c r="AR9029" s="2513"/>
      <c r="CT9029" s="531"/>
    </row>
    <row r="9030" spans="1:98">
      <c r="A9030" s="532"/>
      <c r="AR9030" s="2513"/>
      <c r="CT9030" s="531"/>
    </row>
    <row r="9031" spans="1:98">
      <c r="A9031" s="532"/>
      <c r="AR9031" s="2513"/>
      <c r="CT9031" s="531"/>
    </row>
    <row r="9032" spans="1:98">
      <c r="A9032" s="532"/>
      <c r="AR9032" s="2513"/>
      <c r="CT9032" s="531"/>
    </row>
    <row r="9033" spans="1:98">
      <c r="A9033" s="532"/>
      <c r="AR9033" s="2513"/>
      <c r="CT9033" s="531"/>
    </row>
    <row r="9034" spans="1:98">
      <c r="A9034" s="532"/>
      <c r="AR9034" s="2513"/>
      <c r="CT9034" s="531"/>
    </row>
    <row r="9035" spans="1:98">
      <c r="A9035" s="532"/>
      <c r="AR9035" s="2513"/>
      <c r="CT9035" s="531"/>
    </row>
    <row r="9036" spans="1:98">
      <c r="A9036" s="532"/>
      <c r="AR9036" s="2513"/>
      <c r="CT9036" s="531"/>
    </row>
    <row r="9037" spans="1:98">
      <c r="A9037" s="532"/>
      <c r="AR9037" s="2513"/>
      <c r="CT9037" s="531"/>
    </row>
    <row r="9038" spans="1:98">
      <c r="A9038" s="532"/>
      <c r="AR9038" s="2513"/>
      <c r="CT9038" s="531"/>
    </row>
    <row r="9039" spans="1:98">
      <c r="A9039" s="532"/>
      <c r="AR9039" s="2513"/>
      <c r="CT9039" s="531"/>
    </row>
    <row r="9040" spans="1:98">
      <c r="A9040" s="532"/>
      <c r="AR9040" s="2513"/>
      <c r="CT9040" s="531"/>
    </row>
    <row r="9041" spans="1:98">
      <c r="A9041" s="532"/>
      <c r="AR9041" s="2513"/>
      <c r="CT9041" s="531"/>
    </row>
    <row r="9042" spans="1:98">
      <c r="A9042" s="532"/>
      <c r="AR9042" s="2513"/>
      <c r="CT9042" s="531"/>
    </row>
    <row r="9043" spans="1:98">
      <c r="A9043" s="532"/>
      <c r="AR9043" s="2513"/>
      <c r="CT9043" s="531"/>
    </row>
    <row r="9044" spans="1:98">
      <c r="A9044" s="532"/>
      <c r="AR9044" s="2513"/>
      <c r="CT9044" s="531"/>
    </row>
    <row r="9045" spans="1:98">
      <c r="A9045" s="532"/>
      <c r="AR9045" s="2513"/>
      <c r="CT9045" s="531"/>
    </row>
    <row r="9046" spans="1:98">
      <c r="A9046" s="532"/>
      <c r="AR9046" s="2513"/>
      <c r="CT9046" s="531"/>
    </row>
    <row r="9047" spans="1:98">
      <c r="A9047" s="532"/>
      <c r="AR9047" s="2513"/>
      <c r="CT9047" s="531"/>
    </row>
    <row r="9048" spans="1:98">
      <c r="A9048" s="532"/>
      <c r="AR9048" s="2513"/>
      <c r="CT9048" s="531"/>
    </row>
    <row r="9049" spans="1:98">
      <c r="A9049" s="532"/>
      <c r="AR9049" s="2513"/>
      <c r="CT9049" s="531"/>
    </row>
    <row r="9050" spans="1:98">
      <c r="A9050" s="532"/>
      <c r="AR9050" s="2513"/>
      <c r="CT9050" s="531"/>
    </row>
    <row r="9051" spans="1:98">
      <c r="A9051" s="532"/>
      <c r="AR9051" s="2513"/>
      <c r="CT9051" s="531"/>
    </row>
    <row r="9052" spans="1:98">
      <c r="A9052" s="532"/>
      <c r="AR9052" s="2513"/>
      <c r="CT9052" s="531"/>
    </row>
    <row r="9053" spans="1:98">
      <c r="A9053" s="532"/>
      <c r="AR9053" s="2513"/>
      <c r="CT9053" s="531"/>
    </row>
    <row r="9054" spans="1:98">
      <c r="A9054" s="532"/>
      <c r="AR9054" s="2513"/>
      <c r="CT9054" s="531"/>
    </row>
    <row r="9055" spans="1:98">
      <c r="A9055" s="532"/>
      <c r="AR9055" s="2513"/>
      <c r="CT9055" s="531"/>
    </row>
    <row r="9056" spans="1:98">
      <c r="A9056" s="532"/>
      <c r="AR9056" s="2513"/>
      <c r="CT9056" s="531"/>
    </row>
    <row r="9057" spans="1:98">
      <c r="A9057" s="532"/>
      <c r="AR9057" s="2513"/>
      <c r="CT9057" s="531"/>
    </row>
    <row r="9058" spans="1:98">
      <c r="A9058" s="532"/>
      <c r="AR9058" s="2513"/>
      <c r="CT9058" s="531"/>
    </row>
    <row r="9059" spans="1:98">
      <c r="A9059" s="532"/>
      <c r="AR9059" s="2513"/>
      <c r="CT9059" s="531"/>
    </row>
    <row r="9060" spans="1:98">
      <c r="A9060" s="532"/>
      <c r="AR9060" s="2513"/>
      <c r="CT9060" s="531"/>
    </row>
    <row r="9061" spans="1:98">
      <c r="A9061" s="532"/>
      <c r="AR9061" s="2513"/>
      <c r="CT9061" s="531"/>
    </row>
    <row r="9062" spans="1:98">
      <c r="A9062" s="532"/>
      <c r="AR9062" s="2513"/>
      <c r="CT9062" s="531"/>
    </row>
    <row r="9063" spans="1:98">
      <c r="A9063" s="532"/>
      <c r="AR9063" s="2513"/>
      <c r="CT9063" s="531"/>
    </row>
    <row r="9064" spans="1:98">
      <c r="A9064" s="532"/>
      <c r="AR9064" s="2513"/>
      <c r="CT9064" s="531"/>
    </row>
    <row r="9065" spans="1:98">
      <c r="A9065" s="532"/>
      <c r="AR9065" s="2513"/>
      <c r="CT9065" s="531"/>
    </row>
    <row r="9066" spans="1:98">
      <c r="A9066" s="532"/>
      <c r="AR9066" s="2513"/>
      <c r="CT9066" s="531"/>
    </row>
    <row r="9067" spans="1:98">
      <c r="A9067" s="532"/>
      <c r="AR9067" s="2513"/>
      <c r="CT9067" s="531"/>
    </row>
    <row r="9068" spans="1:98">
      <c r="A9068" s="532"/>
      <c r="AR9068" s="2513"/>
      <c r="CT9068" s="531"/>
    </row>
    <row r="9069" spans="1:98">
      <c r="A9069" s="532"/>
      <c r="AR9069" s="2513"/>
      <c r="CT9069" s="531"/>
    </row>
    <row r="9070" spans="1:98">
      <c r="A9070" s="532"/>
      <c r="AR9070" s="2513"/>
      <c r="CT9070" s="531"/>
    </row>
    <row r="9071" spans="1:98">
      <c r="A9071" s="532"/>
      <c r="AR9071" s="2513"/>
      <c r="CT9071" s="531"/>
    </row>
    <row r="9072" spans="1:98">
      <c r="A9072" s="532"/>
      <c r="AR9072" s="2513"/>
      <c r="CT9072" s="531"/>
    </row>
    <row r="9073" spans="1:98">
      <c r="A9073" s="532"/>
      <c r="AR9073" s="2513"/>
      <c r="CT9073" s="531"/>
    </row>
    <row r="9074" spans="1:98">
      <c r="A9074" s="532"/>
      <c r="AR9074" s="2513"/>
      <c r="CT9074" s="531"/>
    </row>
    <row r="9075" spans="1:98">
      <c r="A9075" s="532"/>
      <c r="AR9075" s="2513"/>
      <c r="CT9075" s="531"/>
    </row>
    <row r="9076" spans="1:98">
      <c r="A9076" s="532"/>
      <c r="AR9076" s="2513"/>
      <c r="CT9076" s="531"/>
    </row>
    <row r="9077" spans="1:98">
      <c r="A9077" s="532"/>
      <c r="AR9077" s="2513"/>
      <c r="CT9077" s="531"/>
    </row>
    <row r="9078" spans="1:98">
      <c r="A9078" s="532"/>
      <c r="AR9078" s="2513"/>
      <c r="CT9078" s="531"/>
    </row>
    <row r="9079" spans="1:98">
      <c r="A9079" s="532"/>
      <c r="AR9079" s="2513"/>
      <c r="CT9079" s="531"/>
    </row>
    <row r="9080" spans="1:98">
      <c r="A9080" s="532"/>
      <c r="AR9080" s="2513"/>
      <c r="CT9080" s="531"/>
    </row>
    <row r="9081" spans="1:98">
      <c r="A9081" s="532"/>
      <c r="AR9081" s="2513"/>
      <c r="CT9081" s="531"/>
    </row>
    <row r="9082" spans="1:98">
      <c r="A9082" s="532"/>
      <c r="AR9082" s="2513"/>
      <c r="CT9082" s="531"/>
    </row>
    <row r="9083" spans="1:98">
      <c r="A9083" s="532"/>
      <c r="AR9083" s="2513"/>
      <c r="CT9083" s="531"/>
    </row>
    <row r="9084" spans="1:98">
      <c r="A9084" s="532"/>
      <c r="AR9084" s="2513"/>
      <c r="CT9084" s="531"/>
    </row>
    <row r="9085" spans="1:98">
      <c r="A9085" s="532"/>
      <c r="AR9085" s="2513"/>
      <c r="CT9085" s="531"/>
    </row>
    <row r="9086" spans="1:98">
      <c r="A9086" s="532"/>
      <c r="AR9086" s="2513"/>
      <c r="CT9086" s="531"/>
    </row>
    <row r="9087" spans="1:98">
      <c r="A9087" s="532"/>
      <c r="AR9087" s="2513"/>
      <c r="CT9087" s="531"/>
    </row>
    <row r="9088" spans="1:98">
      <c r="A9088" s="532"/>
      <c r="AR9088" s="2513"/>
      <c r="CT9088" s="531"/>
    </row>
    <row r="9089" spans="1:98">
      <c r="A9089" s="532"/>
      <c r="AR9089" s="2513"/>
      <c r="CT9089" s="531"/>
    </row>
    <row r="9090" spans="1:98">
      <c r="A9090" s="532"/>
      <c r="AR9090" s="2513"/>
      <c r="CT9090" s="531"/>
    </row>
    <row r="9091" spans="1:98">
      <c r="A9091" s="532"/>
      <c r="AR9091" s="2513"/>
      <c r="CT9091" s="531"/>
    </row>
    <row r="9092" spans="1:98">
      <c r="A9092" s="532"/>
      <c r="AR9092" s="2513"/>
      <c r="CT9092" s="531"/>
    </row>
    <row r="9093" spans="1:98">
      <c r="A9093" s="532"/>
      <c r="AR9093" s="2513"/>
      <c r="CT9093" s="531"/>
    </row>
    <row r="9094" spans="1:98">
      <c r="A9094" s="532"/>
      <c r="AR9094" s="2513"/>
      <c r="CT9094" s="531"/>
    </row>
    <row r="9095" spans="1:98">
      <c r="A9095" s="532"/>
      <c r="AR9095" s="2513"/>
      <c r="CT9095" s="531"/>
    </row>
    <row r="9096" spans="1:98">
      <c r="A9096" s="532"/>
      <c r="AR9096" s="2513"/>
      <c r="CT9096" s="531"/>
    </row>
    <row r="9097" spans="1:98">
      <c r="A9097" s="532"/>
      <c r="AR9097" s="2513"/>
      <c r="CT9097" s="531"/>
    </row>
    <row r="9098" spans="1:98">
      <c r="A9098" s="532"/>
      <c r="AR9098" s="2513"/>
      <c r="CT9098" s="531"/>
    </row>
    <row r="9099" spans="1:98">
      <c r="A9099" s="532"/>
      <c r="AR9099" s="2513"/>
      <c r="CT9099" s="531"/>
    </row>
    <row r="9100" spans="1:98">
      <c r="A9100" s="532"/>
      <c r="AR9100" s="2513"/>
      <c r="CT9100" s="531"/>
    </row>
    <row r="9101" spans="1:98">
      <c r="A9101" s="532"/>
      <c r="AR9101" s="2513"/>
      <c r="CT9101" s="531"/>
    </row>
    <row r="9102" spans="1:98">
      <c r="A9102" s="532"/>
      <c r="AR9102" s="2513"/>
      <c r="CT9102" s="531"/>
    </row>
    <row r="9103" spans="1:98">
      <c r="A9103" s="532"/>
      <c r="AR9103" s="2513"/>
      <c r="CT9103" s="531"/>
    </row>
    <row r="9104" spans="1:98">
      <c r="A9104" s="532"/>
      <c r="AR9104" s="2513"/>
      <c r="CT9104" s="531"/>
    </row>
    <row r="9105" spans="1:98">
      <c r="A9105" s="532"/>
      <c r="AR9105" s="2513"/>
      <c r="CT9105" s="531"/>
    </row>
    <row r="9106" spans="1:98">
      <c r="A9106" s="532"/>
      <c r="AR9106" s="2513"/>
      <c r="CT9106" s="531"/>
    </row>
    <row r="9107" spans="1:98">
      <c r="A9107" s="532"/>
      <c r="AR9107" s="2513"/>
      <c r="CT9107" s="531"/>
    </row>
    <row r="9108" spans="1:98">
      <c r="A9108" s="532"/>
      <c r="AR9108" s="2513"/>
      <c r="CT9108" s="531"/>
    </row>
    <row r="9109" spans="1:98">
      <c r="A9109" s="532"/>
      <c r="AR9109" s="2513"/>
      <c r="CT9109" s="531"/>
    </row>
    <row r="9110" spans="1:98">
      <c r="A9110" s="532"/>
      <c r="AR9110" s="2513"/>
      <c r="CT9110" s="531"/>
    </row>
    <row r="9111" spans="1:98">
      <c r="A9111" s="532"/>
      <c r="AR9111" s="2513"/>
      <c r="CT9111" s="531"/>
    </row>
    <row r="9112" spans="1:98">
      <c r="A9112" s="532"/>
      <c r="AR9112" s="2513"/>
      <c r="CT9112" s="531"/>
    </row>
    <row r="9113" spans="1:98">
      <c r="A9113" s="532"/>
      <c r="AR9113" s="2513"/>
      <c r="CT9113" s="531"/>
    </row>
    <row r="9114" spans="1:98">
      <c r="A9114" s="532"/>
      <c r="AR9114" s="2513"/>
      <c r="CT9114" s="531"/>
    </row>
    <row r="9115" spans="1:98">
      <c r="A9115" s="532"/>
      <c r="AR9115" s="2513"/>
      <c r="CT9115" s="531"/>
    </row>
    <row r="9116" spans="1:98">
      <c r="A9116" s="532"/>
      <c r="AR9116" s="2513"/>
      <c r="CT9116" s="531"/>
    </row>
    <row r="9117" spans="1:98">
      <c r="A9117" s="532"/>
      <c r="AR9117" s="2513"/>
      <c r="CT9117" s="531"/>
    </row>
    <row r="9118" spans="1:98">
      <c r="A9118" s="532"/>
      <c r="AR9118" s="2513"/>
      <c r="CT9118" s="531"/>
    </row>
    <row r="9119" spans="1:98">
      <c r="A9119" s="532"/>
      <c r="AR9119" s="2513"/>
      <c r="CT9119" s="531"/>
    </row>
    <row r="9120" spans="1:98">
      <c r="A9120" s="532"/>
      <c r="AR9120" s="2513"/>
      <c r="CT9120" s="531"/>
    </row>
    <row r="9121" spans="1:98">
      <c r="A9121" s="532"/>
      <c r="AR9121" s="2513"/>
      <c r="CT9121" s="531"/>
    </row>
    <row r="9122" spans="1:98">
      <c r="A9122" s="532"/>
      <c r="AR9122" s="2513"/>
      <c r="CT9122" s="531"/>
    </row>
    <row r="9123" spans="1:98">
      <c r="A9123" s="532"/>
      <c r="AR9123" s="2513"/>
      <c r="CT9123" s="531"/>
    </row>
    <row r="9124" spans="1:98">
      <c r="A9124" s="532"/>
      <c r="AR9124" s="2513"/>
      <c r="CT9124" s="531"/>
    </row>
    <row r="9125" spans="1:98">
      <c r="A9125" s="532"/>
      <c r="AR9125" s="2513"/>
      <c r="CT9125" s="531"/>
    </row>
    <row r="9126" spans="1:98">
      <c r="A9126" s="532"/>
      <c r="AR9126" s="2513"/>
      <c r="CT9126" s="531"/>
    </row>
    <row r="9127" spans="1:98">
      <c r="A9127" s="532"/>
      <c r="AR9127" s="2513"/>
      <c r="CT9127" s="531"/>
    </row>
    <row r="9128" spans="1:98">
      <c r="A9128" s="532"/>
      <c r="AR9128" s="2513"/>
      <c r="CT9128" s="531"/>
    </row>
    <row r="9129" spans="1:98">
      <c r="A9129" s="532"/>
      <c r="AR9129" s="2513"/>
      <c r="CT9129" s="531"/>
    </row>
    <row r="9130" spans="1:98">
      <c r="A9130" s="532"/>
      <c r="AR9130" s="2513"/>
      <c r="CT9130" s="531"/>
    </row>
    <row r="9131" spans="1:98">
      <c r="A9131" s="532"/>
      <c r="AR9131" s="2513"/>
      <c r="CT9131" s="531"/>
    </row>
    <row r="9132" spans="1:98">
      <c r="A9132" s="532"/>
      <c r="AR9132" s="2513"/>
      <c r="CT9132" s="531"/>
    </row>
    <row r="9133" spans="1:98">
      <c r="A9133" s="532"/>
      <c r="AR9133" s="2513"/>
      <c r="CT9133" s="531"/>
    </row>
    <row r="9134" spans="1:98">
      <c r="A9134" s="532"/>
      <c r="AR9134" s="2513"/>
      <c r="CT9134" s="531"/>
    </row>
    <row r="9135" spans="1:98">
      <c r="A9135" s="532"/>
      <c r="AR9135" s="2513"/>
      <c r="CT9135" s="531"/>
    </row>
    <row r="9136" spans="1:98">
      <c r="A9136" s="532"/>
      <c r="AR9136" s="2513"/>
      <c r="CT9136" s="531"/>
    </row>
    <row r="9137" spans="1:98">
      <c r="A9137" s="532"/>
      <c r="AR9137" s="2513"/>
      <c r="CT9137" s="531"/>
    </row>
    <row r="9138" spans="1:98">
      <c r="A9138" s="532"/>
      <c r="AR9138" s="2513"/>
      <c r="CT9138" s="531"/>
    </row>
    <row r="9139" spans="1:98">
      <c r="A9139" s="532"/>
      <c r="AR9139" s="2513"/>
      <c r="CT9139" s="531"/>
    </row>
    <row r="9140" spans="1:98">
      <c r="A9140" s="532"/>
      <c r="AR9140" s="2513"/>
      <c r="CT9140" s="531"/>
    </row>
    <row r="9141" spans="1:98">
      <c r="A9141" s="532"/>
      <c r="AR9141" s="2513"/>
      <c r="CT9141" s="531"/>
    </row>
    <row r="9142" spans="1:98">
      <c r="A9142" s="532"/>
      <c r="AR9142" s="2513"/>
      <c r="CT9142" s="531"/>
    </row>
    <row r="9143" spans="1:98">
      <c r="A9143" s="532"/>
      <c r="AR9143" s="2513"/>
      <c r="CT9143" s="531"/>
    </row>
    <row r="9144" spans="1:98">
      <c r="A9144" s="532"/>
      <c r="AR9144" s="2513"/>
      <c r="CT9144" s="531"/>
    </row>
    <row r="9145" spans="1:98">
      <c r="A9145" s="532"/>
      <c r="AR9145" s="2513"/>
      <c r="CT9145" s="531"/>
    </row>
    <row r="9146" spans="1:98">
      <c r="A9146" s="532"/>
      <c r="AR9146" s="2513"/>
      <c r="CT9146" s="531"/>
    </row>
    <row r="9147" spans="1:98">
      <c r="A9147" s="532"/>
      <c r="AR9147" s="2513"/>
      <c r="CT9147" s="531"/>
    </row>
    <row r="9148" spans="1:98">
      <c r="A9148" s="532"/>
      <c r="AR9148" s="2513"/>
      <c r="CT9148" s="531"/>
    </row>
    <row r="9149" spans="1:98">
      <c r="A9149" s="532"/>
      <c r="AR9149" s="2513"/>
      <c r="CT9149" s="531"/>
    </row>
    <row r="9150" spans="1:98">
      <c r="A9150" s="532"/>
      <c r="AR9150" s="2513"/>
      <c r="CT9150" s="531"/>
    </row>
    <row r="9151" spans="1:98">
      <c r="A9151" s="532"/>
      <c r="AR9151" s="2513"/>
      <c r="CT9151" s="531"/>
    </row>
    <row r="9152" spans="1:98">
      <c r="A9152" s="532"/>
      <c r="AR9152" s="2513"/>
      <c r="CT9152" s="531"/>
    </row>
    <row r="9153" spans="1:98">
      <c r="A9153" s="532"/>
      <c r="AR9153" s="2513"/>
      <c r="CT9153" s="531"/>
    </row>
    <row r="9154" spans="1:98">
      <c r="A9154" s="532"/>
      <c r="AR9154" s="2513"/>
      <c r="CT9154" s="531"/>
    </row>
    <row r="9155" spans="1:98">
      <c r="A9155" s="532"/>
      <c r="AR9155" s="2513"/>
      <c r="CT9155" s="531"/>
    </row>
    <row r="9156" spans="1:98">
      <c r="A9156" s="532"/>
      <c r="AR9156" s="2513"/>
      <c r="CT9156" s="531"/>
    </row>
    <row r="9157" spans="1:98">
      <c r="A9157" s="532"/>
      <c r="AR9157" s="2513"/>
      <c r="CT9157" s="531"/>
    </row>
    <row r="9158" spans="1:98">
      <c r="A9158" s="532"/>
      <c r="AR9158" s="2513"/>
      <c r="CT9158" s="531"/>
    </row>
    <row r="9159" spans="1:98">
      <c r="A9159" s="532"/>
      <c r="AR9159" s="2513"/>
      <c r="CT9159" s="531"/>
    </row>
    <row r="9160" spans="1:98">
      <c r="A9160" s="532"/>
      <c r="AR9160" s="2513"/>
      <c r="CT9160" s="531"/>
    </row>
    <row r="9161" spans="1:98">
      <c r="A9161" s="532"/>
      <c r="AR9161" s="2513"/>
      <c r="CT9161" s="531"/>
    </row>
    <row r="9162" spans="1:98">
      <c r="A9162" s="532"/>
      <c r="AR9162" s="2513"/>
      <c r="CT9162" s="531"/>
    </row>
    <row r="9163" spans="1:98">
      <c r="A9163" s="532"/>
      <c r="AR9163" s="2513"/>
      <c r="CT9163" s="531"/>
    </row>
    <row r="9164" spans="1:98">
      <c r="A9164" s="532"/>
      <c r="AR9164" s="2513"/>
      <c r="CT9164" s="531"/>
    </row>
    <row r="9165" spans="1:98">
      <c r="A9165" s="532"/>
      <c r="AR9165" s="2513"/>
      <c r="CT9165" s="531"/>
    </row>
    <row r="9166" spans="1:98">
      <c r="A9166" s="532"/>
      <c r="AR9166" s="2513"/>
      <c r="CT9166" s="531"/>
    </row>
    <row r="9167" spans="1:98">
      <c r="A9167" s="532"/>
      <c r="AR9167" s="2513"/>
      <c r="CT9167" s="531"/>
    </row>
    <row r="9168" spans="1:98">
      <c r="A9168" s="532"/>
      <c r="AR9168" s="2513"/>
      <c r="CT9168" s="531"/>
    </row>
    <row r="9169" spans="1:98">
      <c r="A9169" s="532"/>
      <c r="AR9169" s="2513"/>
      <c r="CT9169" s="531"/>
    </row>
    <row r="9170" spans="1:98">
      <c r="A9170" s="532"/>
      <c r="AR9170" s="2513"/>
      <c r="CT9170" s="531"/>
    </row>
    <row r="9171" spans="1:98">
      <c r="A9171" s="532"/>
      <c r="AR9171" s="2513"/>
      <c r="CT9171" s="531"/>
    </row>
    <row r="9172" spans="1:98">
      <c r="A9172" s="532"/>
      <c r="AR9172" s="2513"/>
      <c r="CT9172" s="531"/>
    </row>
    <row r="9173" spans="1:98">
      <c r="A9173" s="532"/>
      <c r="AR9173" s="2513"/>
      <c r="CT9173" s="531"/>
    </row>
    <row r="9174" spans="1:98">
      <c r="A9174" s="532"/>
      <c r="AR9174" s="2513"/>
      <c r="CT9174" s="531"/>
    </row>
    <row r="9175" spans="1:98">
      <c r="A9175" s="532"/>
      <c r="AR9175" s="2513"/>
      <c r="CT9175" s="531"/>
    </row>
    <row r="9176" spans="1:98">
      <c r="A9176" s="532"/>
      <c r="AR9176" s="2513"/>
      <c r="CT9176" s="531"/>
    </row>
    <row r="9177" spans="1:98">
      <c r="A9177" s="532"/>
      <c r="AR9177" s="2513"/>
      <c r="CT9177" s="531"/>
    </row>
    <row r="9178" spans="1:98">
      <c r="A9178" s="532"/>
      <c r="AR9178" s="2513"/>
      <c r="CT9178" s="531"/>
    </row>
    <row r="9179" spans="1:98">
      <c r="A9179" s="532"/>
      <c r="AR9179" s="2513"/>
      <c r="CT9179" s="531"/>
    </row>
    <row r="9180" spans="1:98">
      <c r="A9180" s="532"/>
      <c r="AR9180" s="2513"/>
      <c r="CT9180" s="531"/>
    </row>
    <row r="9181" spans="1:98">
      <c r="A9181" s="532"/>
      <c r="AR9181" s="2513"/>
      <c r="CT9181" s="531"/>
    </row>
    <row r="9182" spans="1:98">
      <c r="A9182" s="532"/>
      <c r="AR9182" s="2513"/>
      <c r="CT9182" s="531"/>
    </row>
    <row r="9183" spans="1:98">
      <c r="A9183" s="532"/>
      <c r="AR9183" s="2513"/>
      <c r="CT9183" s="531"/>
    </row>
    <row r="9184" spans="1:98">
      <c r="A9184" s="532"/>
      <c r="AR9184" s="2513"/>
      <c r="CT9184" s="531"/>
    </row>
    <row r="9185" spans="1:98">
      <c r="A9185" s="532"/>
      <c r="AR9185" s="2513"/>
      <c r="CT9185" s="531"/>
    </row>
    <row r="9186" spans="1:98">
      <c r="A9186" s="532"/>
      <c r="AR9186" s="2513"/>
      <c r="CT9186" s="531"/>
    </row>
    <row r="9187" spans="1:98">
      <c r="A9187" s="532"/>
      <c r="AR9187" s="2513"/>
      <c r="CT9187" s="531"/>
    </row>
    <row r="9188" spans="1:98">
      <c r="A9188" s="532"/>
      <c r="AR9188" s="2513"/>
      <c r="CT9188" s="531"/>
    </row>
    <row r="9189" spans="1:98">
      <c r="A9189" s="532"/>
      <c r="AR9189" s="2513"/>
      <c r="CT9189" s="531"/>
    </row>
    <row r="9190" spans="1:98">
      <c r="A9190" s="532"/>
      <c r="AR9190" s="2513"/>
      <c r="CT9190" s="531"/>
    </row>
    <row r="9191" spans="1:98">
      <c r="A9191" s="532"/>
      <c r="AR9191" s="2513"/>
      <c r="CT9191" s="531"/>
    </row>
    <row r="9192" spans="1:98">
      <c r="A9192" s="532"/>
      <c r="AR9192" s="2513"/>
      <c r="CT9192" s="531"/>
    </row>
    <row r="9193" spans="1:98">
      <c r="A9193" s="532"/>
      <c r="AR9193" s="2513"/>
      <c r="CT9193" s="531"/>
    </row>
    <row r="9194" spans="1:98">
      <c r="A9194" s="532"/>
      <c r="AR9194" s="2513"/>
      <c r="CT9194" s="531"/>
    </row>
    <row r="9195" spans="1:98">
      <c r="A9195" s="532"/>
      <c r="AR9195" s="2513"/>
      <c r="CT9195" s="531"/>
    </row>
    <row r="9196" spans="1:98">
      <c r="A9196" s="532"/>
      <c r="AR9196" s="2513"/>
      <c r="CT9196" s="531"/>
    </row>
    <row r="9197" spans="1:98">
      <c r="A9197" s="532"/>
      <c r="AR9197" s="2513"/>
      <c r="CT9197" s="531"/>
    </row>
    <row r="9198" spans="1:98">
      <c r="A9198" s="532"/>
      <c r="AR9198" s="2513"/>
      <c r="CT9198" s="531"/>
    </row>
    <row r="9199" spans="1:98">
      <c r="A9199" s="532"/>
      <c r="AR9199" s="2513"/>
      <c r="CT9199" s="531"/>
    </row>
    <row r="9200" spans="1:98">
      <c r="A9200" s="532"/>
      <c r="AR9200" s="2513"/>
      <c r="CT9200" s="531"/>
    </row>
    <row r="9201" spans="1:98">
      <c r="A9201" s="532"/>
      <c r="AR9201" s="2513"/>
      <c r="CT9201" s="531"/>
    </row>
    <row r="9202" spans="1:98">
      <c r="A9202" s="532"/>
      <c r="AR9202" s="2513"/>
      <c r="CT9202" s="531"/>
    </row>
    <row r="9203" spans="1:98">
      <c r="A9203" s="532"/>
      <c r="AR9203" s="2513"/>
      <c r="CT9203" s="531"/>
    </row>
    <row r="9204" spans="1:98">
      <c r="A9204" s="532"/>
      <c r="AR9204" s="2513"/>
      <c r="CT9204" s="531"/>
    </row>
    <row r="9205" spans="1:98">
      <c r="A9205" s="532"/>
      <c r="AR9205" s="2513"/>
      <c r="CT9205" s="531"/>
    </row>
    <row r="9206" spans="1:98">
      <c r="A9206" s="532"/>
      <c r="AR9206" s="2513"/>
      <c r="CT9206" s="531"/>
    </row>
    <row r="9207" spans="1:98">
      <c r="A9207" s="532"/>
      <c r="AR9207" s="2513"/>
      <c r="CT9207" s="531"/>
    </row>
    <row r="9208" spans="1:98">
      <c r="A9208" s="532"/>
      <c r="AR9208" s="2513"/>
      <c r="CT9208" s="531"/>
    </row>
    <row r="9209" spans="1:98">
      <c r="A9209" s="532"/>
      <c r="AR9209" s="2513"/>
      <c r="CT9209" s="531"/>
    </row>
    <row r="9210" spans="1:98">
      <c r="A9210" s="532"/>
      <c r="AR9210" s="2513"/>
      <c r="CT9210" s="531"/>
    </row>
    <row r="9211" spans="1:98">
      <c r="A9211" s="532"/>
      <c r="AR9211" s="2513"/>
      <c r="CT9211" s="531"/>
    </row>
    <row r="9212" spans="1:98">
      <c r="A9212" s="532"/>
      <c r="AR9212" s="2513"/>
      <c r="CT9212" s="531"/>
    </row>
    <row r="9213" spans="1:98">
      <c r="A9213" s="532"/>
      <c r="AR9213" s="2513"/>
      <c r="CT9213" s="531"/>
    </row>
    <row r="9214" spans="1:98">
      <c r="A9214" s="532"/>
      <c r="AR9214" s="2513"/>
      <c r="CT9214" s="531"/>
    </row>
    <row r="9215" spans="1:98">
      <c r="A9215" s="532"/>
      <c r="AR9215" s="2513"/>
      <c r="CT9215" s="531"/>
    </row>
    <row r="9216" spans="1:98">
      <c r="A9216" s="532"/>
      <c r="AR9216" s="2513"/>
      <c r="CT9216" s="531"/>
    </row>
    <row r="9217" spans="1:98">
      <c r="A9217" s="532"/>
      <c r="AR9217" s="2513"/>
      <c r="CT9217" s="531"/>
    </row>
    <row r="9218" spans="1:98">
      <c r="A9218" s="532"/>
      <c r="AR9218" s="2513"/>
      <c r="CT9218" s="531"/>
    </row>
    <row r="9219" spans="1:98">
      <c r="A9219" s="532"/>
      <c r="AR9219" s="2513"/>
      <c r="CT9219" s="531"/>
    </row>
    <row r="9220" spans="1:98">
      <c r="A9220" s="532"/>
      <c r="AR9220" s="2513"/>
      <c r="CT9220" s="531"/>
    </row>
    <row r="9221" spans="1:98">
      <c r="A9221" s="532"/>
      <c r="AR9221" s="2513"/>
      <c r="CT9221" s="531"/>
    </row>
    <row r="9222" spans="1:98">
      <c r="A9222" s="532"/>
      <c r="AR9222" s="2513"/>
      <c r="CT9222" s="531"/>
    </row>
    <row r="9223" spans="1:98">
      <c r="A9223" s="532"/>
      <c r="AR9223" s="2513"/>
      <c r="CT9223" s="531"/>
    </row>
    <row r="9224" spans="1:98">
      <c r="A9224" s="532"/>
      <c r="AR9224" s="2513"/>
      <c r="CT9224" s="531"/>
    </row>
    <row r="9225" spans="1:98">
      <c r="A9225" s="532"/>
      <c r="AR9225" s="2513"/>
      <c r="CT9225" s="531"/>
    </row>
    <row r="9226" spans="1:98">
      <c r="A9226" s="532"/>
      <c r="AR9226" s="2513"/>
      <c r="CT9226" s="531"/>
    </row>
    <row r="9227" spans="1:98">
      <c r="A9227" s="532"/>
      <c r="AR9227" s="2513"/>
      <c r="CT9227" s="531"/>
    </row>
    <row r="9228" spans="1:98">
      <c r="A9228" s="532"/>
      <c r="AR9228" s="2513"/>
      <c r="CT9228" s="531"/>
    </row>
    <row r="9229" spans="1:98">
      <c r="A9229" s="532"/>
      <c r="AR9229" s="2513"/>
      <c r="CT9229" s="531"/>
    </row>
    <row r="9230" spans="1:98">
      <c r="A9230" s="532"/>
      <c r="AR9230" s="2513"/>
      <c r="CT9230" s="531"/>
    </row>
    <row r="9231" spans="1:98">
      <c r="A9231" s="532"/>
      <c r="AR9231" s="2513"/>
      <c r="CT9231" s="531"/>
    </row>
    <row r="9232" spans="1:98">
      <c r="A9232" s="532"/>
      <c r="AR9232" s="2513"/>
      <c r="CT9232" s="531"/>
    </row>
    <row r="9233" spans="1:98">
      <c r="A9233" s="532"/>
      <c r="AR9233" s="2513"/>
      <c r="CT9233" s="531"/>
    </row>
    <row r="9234" spans="1:98">
      <c r="A9234" s="532"/>
      <c r="AR9234" s="2513"/>
      <c r="CT9234" s="531"/>
    </row>
    <row r="9235" spans="1:98">
      <c r="A9235" s="532"/>
      <c r="AR9235" s="2513"/>
      <c r="CT9235" s="531"/>
    </row>
    <row r="9236" spans="1:98">
      <c r="A9236" s="532"/>
      <c r="AR9236" s="2513"/>
      <c r="CT9236" s="531"/>
    </row>
    <row r="9237" spans="1:98">
      <c r="A9237" s="532"/>
      <c r="AR9237" s="2513"/>
      <c r="CT9237" s="531"/>
    </row>
    <row r="9238" spans="1:98">
      <c r="A9238" s="532"/>
      <c r="AR9238" s="2513"/>
      <c r="CT9238" s="531"/>
    </row>
    <row r="9239" spans="1:98">
      <c r="A9239" s="532"/>
      <c r="AR9239" s="2513"/>
      <c r="CT9239" s="531"/>
    </row>
    <row r="9240" spans="1:98">
      <c r="A9240" s="532"/>
      <c r="AR9240" s="2513"/>
      <c r="CT9240" s="531"/>
    </row>
    <row r="9241" spans="1:98">
      <c r="A9241" s="532"/>
      <c r="AR9241" s="2513"/>
      <c r="CT9241" s="531"/>
    </row>
    <row r="9242" spans="1:98">
      <c r="A9242" s="532"/>
      <c r="AR9242" s="2513"/>
      <c r="CT9242" s="531"/>
    </row>
    <row r="9243" spans="1:98">
      <c r="A9243" s="532"/>
      <c r="AR9243" s="2513"/>
      <c r="CT9243" s="531"/>
    </row>
    <row r="9244" spans="1:98">
      <c r="A9244" s="532"/>
      <c r="AR9244" s="2513"/>
      <c r="CT9244" s="531"/>
    </row>
    <row r="9245" spans="1:98">
      <c r="A9245" s="532"/>
      <c r="AR9245" s="2513"/>
      <c r="CT9245" s="531"/>
    </row>
    <row r="9246" spans="1:98">
      <c r="A9246" s="532"/>
      <c r="AR9246" s="2513"/>
      <c r="CT9246" s="531"/>
    </row>
    <row r="9247" spans="1:98">
      <c r="A9247" s="532"/>
      <c r="AR9247" s="2513"/>
      <c r="CT9247" s="531"/>
    </row>
    <row r="9248" spans="1:98">
      <c r="A9248" s="532"/>
      <c r="AR9248" s="2513"/>
      <c r="CT9248" s="531"/>
    </row>
    <row r="9249" spans="1:98">
      <c r="A9249" s="532"/>
      <c r="AR9249" s="2513"/>
      <c r="CT9249" s="531"/>
    </row>
    <row r="9250" spans="1:98">
      <c r="A9250" s="532"/>
      <c r="AR9250" s="2513"/>
      <c r="CT9250" s="531"/>
    </row>
    <row r="9251" spans="1:98">
      <c r="A9251" s="532"/>
      <c r="AR9251" s="2513"/>
      <c r="CT9251" s="531"/>
    </row>
    <row r="9252" spans="1:98">
      <c r="A9252" s="532"/>
      <c r="AR9252" s="2513"/>
      <c r="CT9252" s="531"/>
    </row>
    <row r="9253" spans="1:98">
      <c r="A9253" s="532"/>
      <c r="AR9253" s="2513"/>
      <c r="CT9253" s="531"/>
    </row>
    <row r="9254" spans="1:98">
      <c r="A9254" s="532"/>
      <c r="AR9254" s="2513"/>
      <c r="CT9254" s="531"/>
    </row>
    <row r="9255" spans="1:98">
      <c r="A9255" s="532"/>
      <c r="AR9255" s="2513"/>
      <c r="CT9255" s="531"/>
    </row>
    <row r="9256" spans="1:98">
      <c r="A9256" s="532"/>
      <c r="AR9256" s="2513"/>
      <c r="CT9256" s="531"/>
    </row>
    <row r="9257" spans="1:98">
      <c r="A9257" s="532"/>
      <c r="AR9257" s="2513"/>
      <c r="CT9257" s="531"/>
    </row>
    <row r="9258" spans="1:98">
      <c r="A9258" s="532"/>
      <c r="AR9258" s="2513"/>
      <c r="CT9258" s="531"/>
    </row>
    <row r="9259" spans="1:98">
      <c r="A9259" s="532"/>
      <c r="AR9259" s="2513"/>
      <c r="CT9259" s="531"/>
    </row>
    <row r="9260" spans="1:98">
      <c r="A9260" s="532"/>
      <c r="AR9260" s="2513"/>
      <c r="CT9260" s="531"/>
    </row>
    <row r="9261" spans="1:98">
      <c r="A9261" s="532"/>
      <c r="AR9261" s="2513"/>
      <c r="CT9261" s="531"/>
    </row>
    <row r="9262" spans="1:98">
      <c r="A9262" s="532"/>
      <c r="AR9262" s="2513"/>
      <c r="CT9262" s="531"/>
    </row>
    <row r="9263" spans="1:98">
      <c r="A9263" s="532"/>
      <c r="AR9263" s="2513"/>
      <c r="CT9263" s="531"/>
    </row>
    <row r="9264" spans="1:98">
      <c r="A9264" s="532"/>
      <c r="AR9264" s="2513"/>
      <c r="CT9264" s="531"/>
    </row>
    <row r="9265" spans="1:98">
      <c r="A9265" s="532"/>
      <c r="AR9265" s="2513"/>
      <c r="CT9265" s="531"/>
    </row>
    <row r="9266" spans="1:98">
      <c r="A9266" s="532"/>
      <c r="AR9266" s="2513"/>
      <c r="CT9266" s="531"/>
    </row>
    <row r="9267" spans="1:98">
      <c r="A9267" s="532"/>
      <c r="AR9267" s="2513"/>
      <c r="CT9267" s="531"/>
    </row>
    <row r="9268" spans="1:98">
      <c r="A9268" s="532"/>
      <c r="AR9268" s="2513"/>
      <c r="CT9268" s="531"/>
    </row>
    <row r="9269" spans="1:98">
      <c r="A9269" s="532"/>
      <c r="AR9269" s="2513"/>
      <c r="CT9269" s="531"/>
    </row>
    <row r="9270" spans="1:98">
      <c r="A9270" s="532"/>
      <c r="AR9270" s="2513"/>
      <c r="CT9270" s="531"/>
    </row>
    <row r="9271" spans="1:98">
      <c r="A9271" s="532"/>
      <c r="AR9271" s="2513"/>
      <c r="CT9271" s="531"/>
    </row>
    <row r="9272" spans="1:98">
      <c r="A9272" s="532"/>
      <c r="AR9272" s="2513"/>
      <c r="CT9272" s="531"/>
    </row>
    <row r="9273" spans="1:98">
      <c r="A9273" s="532"/>
      <c r="AR9273" s="2513"/>
      <c r="CT9273" s="531"/>
    </row>
    <row r="9274" spans="1:98">
      <c r="A9274" s="532"/>
      <c r="AR9274" s="2513"/>
      <c r="CT9274" s="531"/>
    </row>
    <row r="9275" spans="1:98">
      <c r="A9275" s="532"/>
      <c r="AR9275" s="2513"/>
      <c r="CT9275" s="531"/>
    </row>
    <row r="9276" spans="1:98">
      <c r="A9276" s="532"/>
      <c r="AR9276" s="2513"/>
      <c r="CT9276" s="531"/>
    </row>
    <row r="9277" spans="1:98">
      <c r="A9277" s="532"/>
      <c r="AR9277" s="2513"/>
      <c r="CT9277" s="531"/>
    </row>
    <row r="9278" spans="1:98">
      <c r="A9278" s="532"/>
      <c r="AR9278" s="2513"/>
      <c r="CT9278" s="531"/>
    </row>
    <row r="9279" spans="1:98">
      <c r="A9279" s="532"/>
      <c r="AR9279" s="2513"/>
      <c r="CT9279" s="531"/>
    </row>
    <row r="9280" spans="1:98">
      <c r="A9280" s="532"/>
      <c r="AR9280" s="2513"/>
      <c r="CT9280" s="531"/>
    </row>
    <row r="9281" spans="1:98">
      <c r="A9281" s="532"/>
      <c r="AR9281" s="2513"/>
      <c r="CT9281" s="531"/>
    </row>
    <row r="9282" spans="1:98">
      <c r="A9282" s="532"/>
      <c r="AR9282" s="2513"/>
      <c r="CT9282" s="531"/>
    </row>
    <row r="9283" spans="1:98">
      <c r="A9283" s="532"/>
      <c r="AR9283" s="2513"/>
      <c r="CT9283" s="531"/>
    </row>
    <row r="9284" spans="1:98">
      <c r="A9284" s="532"/>
      <c r="AR9284" s="2513"/>
      <c r="CT9284" s="531"/>
    </row>
    <row r="9285" spans="1:98">
      <c r="A9285" s="532"/>
      <c r="AR9285" s="2513"/>
      <c r="CT9285" s="531"/>
    </row>
    <row r="9286" spans="1:98">
      <c r="A9286" s="532"/>
      <c r="AR9286" s="2513"/>
      <c r="CT9286" s="531"/>
    </row>
    <row r="9287" spans="1:98">
      <c r="A9287" s="532"/>
      <c r="AR9287" s="2513"/>
      <c r="CT9287" s="531"/>
    </row>
    <row r="9288" spans="1:98">
      <c r="A9288" s="532"/>
      <c r="AR9288" s="2513"/>
      <c r="CT9288" s="531"/>
    </row>
    <row r="9289" spans="1:98">
      <c r="A9289" s="532"/>
      <c r="AR9289" s="2513"/>
      <c r="CT9289" s="531"/>
    </row>
    <row r="9290" spans="1:98">
      <c r="A9290" s="532"/>
      <c r="AR9290" s="2513"/>
      <c r="CT9290" s="531"/>
    </row>
    <row r="9291" spans="1:98">
      <c r="A9291" s="532"/>
      <c r="AR9291" s="2513"/>
      <c r="CT9291" s="531"/>
    </row>
    <row r="9292" spans="1:98">
      <c r="A9292" s="532"/>
      <c r="AR9292" s="2513"/>
      <c r="CT9292" s="531"/>
    </row>
    <row r="9293" spans="1:98">
      <c r="A9293" s="532"/>
      <c r="AR9293" s="2513"/>
      <c r="CT9293" s="531"/>
    </row>
    <row r="9294" spans="1:98">
      <c r="A9294" s="532"/>
      <c r="AR9294" s="2513"/>
      <c r="CT9294" s="531"/>
    </row>
    <row r="9295" spans="1:98">
      <c r="A9295" s="532"/>
      <c r="AR9295" s="2513"/>
      <c r="CT9295" s="531"/>
    </row>
    <row r="9296" spans="1:98">
      <c r="A9296" s="532"/>
      <c r="AR9296" s="2513"/>
      <c r="CT9296" s="531"/>
    </row>
    <row r="9297" spans="1:98">
      <c r="A9297" s="532"/>
      <c r="AR9297" s="2513"/>
      <c r="CT9297" s="531"/>
    </row>
    <row r="9298" spans="1:98">
      <c r="A9298" s="532"/>
      <c r="AR9298" s="2513"/>
      <c r="CT9298" s="531"/>
    </row>
    <row r="9299" spans="1:98">
      <c r="A9299" s="532"/>
      <c r="AR9299" s="2513"/>
      <c r="CT9299" s="531"/>
    </row>
    <row r="9300" spans="1:98">
      <c r="A9300" s="532"/>
      <c r="AR9300" s="2513"/>
      <c r="CT9300" s="531"/>
    </row>
    <row r="9301" spans="1:98">
      <c r="A9301" s="532"/>
      <c r="AR9301" s="2513"/>
      <c r="CT9301" s="531"/>
    </row>
    <row r="9302" spans="1:98">
      <c r="A9302" s="532"/>
      <c r="AR9302" s="2513"/>
      <c r="CT9302" s="531"/>
    </row>
    <row r="9303" spans="1:98">
      <c r="A9303" s="532"/>
      <c r="AR9303" s="2513"/>
      <c r="CT9303" s="531"/>
    </row>
    <row r="9304" spans="1:98">
      <c r="A9304" s="532"/>
      <c r="AR9304" s="2513"/>
      <c r="CT9304" s="531"/>
    </row>
    <row r="9305" spans="1:98">
      <c r="A9305" s="532"/>
      <c r="AR9305" s="2513"/>
      <c r="CT9305" s="531"/>
    </row>
    <row r="9306" spans="1:98">
      <c r="A9306" s="532"/>
      <c r="AR9306" s="2513"/>
      <c r="CT9306" s="531"/>
    </row>
    <row r="9307" spans="1:98">
      <c r="A9307" s="532"/>
      <c r="AR9307" s="2513"/>
      <c r="CT9307" s="531"/>
    </row>
    <row r="9308" spans="1:98">
      <c r="A9308" s="532"/>
      <c r="AR9308" s="2513"/>
      <c r="CT9308" s="531"/>
    </row>
    <row r="9309" spans="1:98">
      <c r="A9309" s="532"/>
      <c r="AR9309" s="2513"/>
      <c r="CT9309" s="531"/>
    </row>
    <row r="9310" spans="1:98">
      <c r="A9310" s="532"/>
      <c r="AR9310" s="2513"/>
      <c r="CT9310" s="531"/>
    </row>
    <row r="9311" spans="1:98">
      <c r="A9311" s="532"/>
      <c r="AR9311" s="2513"/>
      <c r="CT9311" s="531"/>
    </row>
    <row r="9312" spans="1:98">
      <c r="A9312" s="532"/>
      <c r="AR9312" s="2513"/>
      <c r="CT9312" s="531"/>
    </row>
    <row r="9313" spans="1:98">
      <c r="A9313" s="532"/>
      <c r="AR9313" s="2513"/>
      <c r="CT9313" s="531"/>
    </row>
    <row r="9314" spans="1:98">
      <c r="A9314" s="532"/>
      <c r="AR9314" s="2513"/>
      <c r="CT9314" s="531"/>
    </row>
    <row r="9315" spans="1:98">
      <c r="A9315" s="532"/>
      <c r="AR9315" s="2513"/>
      <c r="CT9315" s="531"/>
    </row>
    <row r="9316" spans="1:98">
      <c r="A9316" s="532"/>
      <c r="AR9316" s="2513"/>
      <c r="CT9316" s="531"/>
    </row>
    <row r="9317" spans="1:98">
      <c r="A9317" s="532"/>
      <c r="AR9317" s="2513"/>
      <c r="CT9317" s="531"/>
    </row>
    <row r="9318" spans="1:98">
      <c r="A9318" s="532"/>
      <c r="AR9318" s="2513"/>
      <c r="CT9318" s="531"/>
    </row>
    <row r="9319" spans="1:98">
      <c r="A9319" s="532"/>
      <c r="AR9319" s="2513"/>
      <c r="CT9319" s="531"/>
    </row>
    <row r="9320" spans="1:98">
      <c r="A9320" s="532"/>
      <c r="AR9320" s="2513"/>
      <c r="CT9320" s="531"/>
    </row>
    <row r="9321" spans="1:98">
      <c r="A9321" s="532"/>
      <c r="AR9321" s="2513"/>
      <c r="CT9321" s="531"/>
    </row>
    <row r="9322" spans="1:98">
      <c r="A9322" s="532"/>
      <c r="AR9322" s="2513"/>
      <c r="CT9322" s="531"/>
    </row>
    <row r="9323" spans="1:98">
      <c r="A9323" s="532"/>
      <c r="AR9323" s="2513"/>
      <c r="CT9323" s="531"/>
    </row>
    <row r="9324" spans="1:98">
      <c r="A9324" s="532"/>
      <c r="AR9324" s="2513"/>
      <c r="CT9324" s="531"/>
    </row>
    <row r="9325" spans="1:98">
      <c r="A9325" s="532"/>
      <c r="AR9325" s="2513"/>
      <c r="CT9325" s="531"/>
    </row>
    <row r="9326" spans="1:98">
      <c r="A9326" s="532"/>
      <c r="AR9326" s="2513"/>
      <c r="CT9326" s="531"/>
    </row>
    <row r="9327" spans="1:98">
      <c r="A9327" s="532"/>
      <c r="AR9327" s="2513"/>
      <c r="CT9327" s="531"/>
    </row>
    <row r="9328" spans="1:98">
      <c r="A9328" s="532"/>
      <c r="AR9328" s="2513"/>
      <c r="CT9328" s="531"/>
    </row>
    <row r="9329" spans="1:98">
      <c r="A9329" s="532"/>
      <c r="AR9329" s="2513"/>
      <c r="CT9329" s="531"/>
    </row>
    <row r="9330" spans="1:98">
      <c r="A9330" s="532"/>
      <c r="AR9330" s="2513"/>
      <c r="CT9330" s="531"/>
    </row>
    <row r="9331" spans="1:98">
      <c r="A9331" s="532"/>
      <c r="AR9331" s="2513"/>
      <c r="CT9331" s="531"/>
    </row>
    <row r="9332" spans="1:98">
      <c r="A9332" s="532"/>
      <c r="AR9332" s="2513"/>
      <c r="CT9332" s="531"/>
    </row>
    <row r="9333" spans="1:98">
      <c r="A9333" s="532"/>
      <c r="AR9333" s="2513"/>
      <c r="CT9333" s="531"/>
    </row>
    <row r="9334" spans="1:98">
      <c r="A9334" s="532"/>
      <c r="AR9334" s="2513"/>
      <c r="CT9334" s="531"/>
    </row>
    <row r="9335" spans="1:98">
      <c r="A9335" s="532"/>
      <c r="AR9335" s="2513"/>
      <c r="CT9335" s="531"/>
    </row>
    <row r="9336" spans="1:98">
      <c r="A9336" s="532"/>
      <c r="AR9336" s="2513"/>
      <c r="CT9336" s="531"/>
    </row>
    <row r="9337" spans="1:98">
      <c r="A9337" s="532"/>
      <c r="AR9337" s="2513"/>
      <c r="CT9337" s="531"/>
    </row>
    <row r="9338" spans="1:98">
      <c r="A9338" s="532"/>
      <c r="AR9338" s="2513"/>
      <c r="CT9338" s="531"/>
    </row>
    <row r="9339" spans="1:98">
      <c r="A9339" s="532"/>
      <c r="AR9339" s="2513"/>
      <c r="CT9339" s="531"/>
    </row>
    <row r="9340" spans="1:98">
      <c r="A9340" s="532"/>
      <c r="AR9340" s="2513"/>
      <c r="CT9340" s="531"/>
    </row>
    <row r="9341" spans="1:98">
      <c r="A9341" s="532"/>
      <c r="AR9341" s="2513"/>
      <c r="CT9341" s="531"/>
    </row>
    <row r="9342" spans="1:98">
      <c r="A9342" s="532"/>
      <c r="AR9342" s="2513"/>
      <c r="CT9342" s="531"/>
    </row>
    <row r="9343" spans="1:98">
      <c r="A9343" s="532"/>
      <c r="AR9343" s="2513"/>
      <c r="CT9343" s="531"/>
    </row>
    <row r="9344" spans="1:98">
      <c r="A9344" s="532"/>
      <c r="AR9344" s="2513"/>
      <c r="CT9344" s="531"/>
    </row>
    <row r="9345" spans="1:98">
      <c r="A9345" s="532"/>
      <c r="AR9345" s="2513"/>
      <c r="CT9345" s="531"/>
    </row>
    <row r="9346" spans="1:98">
      <c r="A9346" s="532"/>
      <c r="AR9346" s="2513"/>
      <c r="CT9346" s="531"/>
    </row>
    <row r="9347" spans="1:98">
      <c r="A9347" s="532"/>
      <c r="AR9347" s="2513"/>
      <c r="CT9347" s="531"/>
    </row>
    <row r="9348" spans="1:98">
      <c r="A9348" s="532"/>
      <c r="AR9348" s="2513"/>
      <c r="CT9348" s="531"/>
    </row>
    <row r="9349" spans="1:98">
      <c r="A9349" s="532"/>
      <c r="AR9349" s="2513"/>
      <c r="CT9349" s="531"/>
    </row>
    <row r="9350" spans="1:98">
      <c r="A9350" s="532"/>
      <c r="AR9350" s="2513"/>
      <c r="CT9350" s="531"/>
    </row>
    <row r="9351" spans="1:98">
      <c r="A9351" s="532"/>
      <c r="AR9351" s="2513"/>
      <c r="CT9351" s="531"/>
    </row>
    <row r="9352" spans="1:98">
      <c r="A9352" s="532"/>
      <c r="AR9352" s="2513"/>
      <c r="CT9352" s="531"/>
    </row>
    <row r="9353" spans="1:98">
      <c r="A9353" s="532"/>
      <c r="AR9353" s="2513"/>
      <c r="CT9353" s="531"/>
    </row>
    <row r="9354" spans="1:98">
      <c r="A9354" s="532"/>
      <c r="AR9354" s="2513"/>
      <c r="CT9354" s="531"/>
    </row>
    <row r="9355" spans="1:98">
      <c r="A9355" s="532"/>
      <c r="AR9355" s="2513"/>
      <c r="CT9355" s="531"/>
    </row>
    <row r="9356" spans="1:98">
      <c r="A9356" s="532"/>
      <c r="AR9356" s="2513"/>
      <c r="CT9356" s="531"/>
    </row>
    <row r="9357" spans="1:98">
      <c r="A9357" s="532"/>
      <c r="AR9357" s="2513"/>
      <c r="CT9357" s="531"/>
    </row>
    <row r="9358" spans="1:98">
      <c r="A9358" s="532"/>
      <c r="AR9358" s="2513"/>
      <c r="CT9358" s="531"/>
    </row>
    <row r="9359" spans="1:98">
      <c r="A9359" s="532"/>
      <c r="AR9359" s="2513"/>
      <c r="CT9359" s="531"/>
    </row>
    <row r="9360" spans="1:98">
      <c r="A9360" s="532"/>
      <c r="AR9360" s="2513"/>
      <c r="CT9360" s="531"/>
    </row>
    <row r="9361" spans="1:98">
      <c r="A9361" s="532"/>
      <c r="AR9361" s="2513"/>
      <c r="CT9361" s="531"/>
    </row>
    <row r="9362" spans="1:98">
      <c r="A9362" s="532"/>
      <c r="AR9362" s="2513"/>
      <c r="CT9362" s="531"/>
    </row>
    <row r="9363" spans="1:98">
      <c r="A9363" s="532"/>
      <c r="AR9363" s="2513"/>
      <c r="CT9363" s="531"/>
    </row>
    <row r="9364" spans="1:98">
      <c r="A9364" s="532"/>
      <c r="AR9364" s="2513"/>
      <c r="CT9364" s="531"/>
    </row>
    <row r="9365" spans="1:98">
      <c r="A9365" s="532"/>
      <c r="AR9365" s="2513"/>
      <c r="CT9365" s="531"/>
    </row>
    <row r="9366" spans="1:98">
      <c r="A9366" s="532"/>
      <c r="AR9366" s="2513"/>
      <c r="CT9366" s="531"/>
    </row>
    <row r="9367" spans="1:98">
      <c r="A9367" s="532"/>
      <c r="AR9367" s="2513"/>
      <c r="CT9367" s="531"/>
    </row>
    <row r="9368" spans="1:98">
      <c r="A9368" s="532"/>
      <c r="AR9368" s="2513"/>
      <c r="CT9368" s="531"/>
    </row>
    <row r="9369" spans="1:98">
      <c r="A9369" s="532"/>
      <c r="AR9369" s="2513"/>
      <c r="CT9369" s="531"/>
    </row>
    <row r="9370" spans="1:98">
      <c r="A9370" s="532"/>
      <c r="AR9370" s="2513"/>
      <c r="CT9370" s="531"/>
    </row>
    <row r="9371" spans="1:98">
      <c r="A9371" s="532"/>
      <c r="AR9371" s="2513"/>
      <c r="CT9371" s="531"/>
    </row>
    <row r="9372" spans="1:98">
      <c r="A9372" s="532"/>
      <c r="AR9372" s="2513"/>
      <c r="CT9372" s="531"/>
    </row>
    <row r="9373" spans="1:98">
      <c r="A9373" s="532"/>
      <c r="AR9373" s="2513"/>
      <c r="CT9373" s="531"/>
    </row>
    <row r="9374" spans="1:98">
      <c r="A9374" s="532"/>
      <c r="AR9374" s="2513"/>
      <c r="CT9374" s="531"/>
    </row>
    <row r="9375" spans="1:98">
      <c r="A9375" s="532"/>
      <c r="AR9375" s="2513"/>
      <c r="CT9375" s="531"/>
    </row>
    <row r="9376" spans="1:98">
      <c r="A9376" s="532"/>
      <c r="AR9376" s="2513"/>
      <c r="CT9376" s="531"/>
    </row>
    <row r="9377" spans="1:98">
      <c r="A9377" s="532"/>
      <c r="AR9377" s="2513"/>
      <c r="CT9377" s="531"/>
    </row>
    <row r="9378" spans="1:98">
      <c r="A9378" s="532"/>
      <c r="AR9378" s="2513"/>
      <c r="CT9378" s="531"/>
    </row>
    <row r="9379" spans="1:98">
      <c r="A9379" s="532"/>
      <c r="AR9379" s="2513"/>
      <c r="CT9379" s="531"/>
    </row>
    <row r="9380" spans="1:98">
      <c r="A9380" s="532"/>
      <c r="AR9380" s="2513"/>
      <c r="CT9380" s="531"/>
    </row>
    <row r="9381" spans="1:98">
      <c r="A9381" s="532"/>
      <c r="AR9381" s="2513"/>
      <c r="CT9381" s="531"/>
    </row>
    <row r="9382" spans="1:98">
      <c r="A9382" s="532"/>
      <c r="AR9382" s="2513"/>
      <c r="CT9382" s="531"/>
    </row>
    <row r="9383" spans="1:98">
      <c r="A9383" s="532"/>
      <c r="AR9383" s="2513"/>
      <c r="CT9383" s="531"/>
    </row>
    <row r="9384" spans="1:98">
      <c r="A9384" s="532"/>
      <c r="AR9384" s="2513"/>
      <c r="CT9384" s="531"/>
    </row>
    <row r="9385" spans="1:98">
      <c r="A9385" s="532"/>
      <c r="AR9385" s="2513"/>
      <c r="CT9385" s="531"/>
    </row>
    <row r="9386" spans="1:98">
      <c r="A9386" s="532"/>
      <c r="AR9386" s="2513"/>
      <c r="CT9386" s="531"/>
    </row>
    <row r="9387" spans="1:98">
      <c r="A9387" s="532"/>
      <c r="AR9387" s="2513"/>
      <c r="CT9387" s="531"/>
    </row>
    <row r="9388" spans="1:98">
      <c r="A9388" s="532"/>
      <c r="AR9388" s="2513"/>
      <c r="CT9388" s="531"/>
    </row>
    <row r="9389" spans="1:98">
      <c r="A9389" s="532"/>
      <c r="AR9389" s="2513"/>
      <c r="CT9389" s="531"/>
    </row>
    <row r="9390" spans="1:98">
      <c r="A9390" s="532"/>
      <c r="AR9390" s="2513"/>
      <c r="CT9390" s="531"/>
    </row>
    <row r="9391" spans="1:98">
      <c r="A9391" s="532"/>
      <c r="AR9391" s="2513"/>
      <c r="CT9391" s="531"/>
    </row>
    <row r="9392" spans="1:98">
      <c r="A9392" s="532"/>
      <c r="AR9392" s="2513"/>
      <c r="CT9392" s="531"/>
    </row>
    <row r="9393" spans="1:98">
      <c r="A9393" s="532"/>
      <c r="AR9393" s="2513"/>
      <c r="CT9393" s="531"/>
    </row>
    <row r="9394" spans="1:98">
      <c r="A9394" s="532"/>
      <c r="AR9394" s="2513"/>
      <c r="CT9394" s="531"/>
    </row>
    <row r="9395" spans="1:98">
      <c r="A9395" s="532"/>
      <c r="AR9395" s="2513"/>
      <c r="CT9395" s="531"/>
    </row>
    <row r="9396" spans="1:98">
      <c r="A9396" s="532"/>
      <c r="AR9396" s="2513"/>
      <c r="CT9396" s="531"/>
    </row>
    <row r="9397" spans="1:98">
      <c r="A9397" s="532"/>
      <c r="AR9397" s="2513"/>
      <c r="CT9397" s="531"/>
    </row>
    <row r="9398" spans="1:98">
      <c r="A9398" s="532"/>
      <c r="AR9398" s="2513"/>
      <c r="CT9398" s="531"/>
    </row>
    <row r="9399" spans="1:98">
      <c r="A9399" s="532"/>
      <c r="AR9399" s="2513"/>
      <c r="CT9399" s="531"/>
    </row>
    <row r="9400" spans="1:98">
      <c r="A9400" s="532"/>
      <c r="AR9400" s="2513"/>
      <c r="CT9400" s="531"/>
    </row>
    <row r="9401" spans="1:98">
      <c r="A9401" s="532"/>
      <c r="AR9401" s="2513"/>
      <c r="CT9401" s="531"/>
    </row>
    <row r="9402" spans="1:98">
      <c r="A9402" s="532"/>
      <c r="AR9402" s="2513"/>
      <c r="CT9402" s="531"/>
    </row>
    <row r="9403" spans="1:98">
      <c r="A9403" s="532"/>
      <c r="AR9403" s="2513"/>
      <c r="CT9403" s="531"/>
    </row>
    <row r="9404" spans="1:98">
      <c r="A9404" s="532"/>
      <c r="AR9404" s="2513"/>
      <c r="CT9404" s="531"/>
    </row>
    <row r="9405" spans="1:98">
      <c r="A9405" s="532"/>
      <c r="AR9405" s="2513"/>
      <c r="CT9405" s="531"/>
    </row>
    <row r="9406" spans="1:98">
      <c r="A9406" s="532"/>
      <c r="AR9406" s="2513"/>
      <c r="CT9406" s="531"/>
    </row>
    <row r="9407" spans="1:98">
      <c r="A9407" s="532"/>
      <c r="AR9407" s="2513"/>
      <c r="CT9407" s="531"/>
    </row>
    <row r="9408" spans="1:98">
      <c r="A9408" s="532"/>
      <c r="AR9408" s="2513"/>
      <c r="CT9408" s="531"/>
    </row>
    <row r="9409" spans="1:98">
      <c r="A9409" s="532"/>
      <c r="AR9409" s="2513"/>
      <c r="CT9409" s="531"/>
    </row>
    <row r="9410" spans="1:98">
      <c r="A9410" s="532"/>
      <c r="AR9410" s="2513"/>
      <c r="CT9410" s="531"/>
    </row>
    <row r="9411" spans="1:98">
      <c r="A9411" s="532"/>
      <c r="AR9411" s="2513"/>
      <c r="CT9411" s="531"/>
    </row>
    <row r="9412" spans="1:98">
      <c r="A9412" s="532"/>
      <c r="AR9412" s="2513"/>
      <c r="CT9412" s="531"/>
    </row>
    <row r="9413" spans="1:98">
      <c r="A9413" s="532"/>
      <c r="AR9413" s="2513"/>
      <c r="CT9413" s="531"/>
    </row>
    <row r="9414" spans="1:98">
      <c r="A9414" s="532"/>
      <c r="AR9414" s="2513"/>
      <c r="CT9414" s="531"/>
    </row>
    <row r="9415" spans="1:98">
      <c r="A9415" s="532"/>
      <c r="AR9415" s="2513"/>
      <c r="CT9415" s="531"/>
    </row>
    <row r="9416" spans="1:98">
      <c r="A9416" s="532"/>
      <c r="AR9416" s="2513"/>
      <c r="CT9416" s="531"/>
    </row>
    <row r="9417" spans="1:98">
      <c r="A9417" s="532"/>
      <c r="AR9417" s="2513"/>
      <c r="CT9417" s="531"/>
    </row>
    <row r="9418" spans="1:98">
      <c r="A9418" s="532"/>
      <c r="AR9418" s="2513"/>
      <c r="CT9418" s="531"/>
    </row>
    <row r="9419" spans="1:98">
      <c r="A9419" s="532"/>
      <c r="AR9419" s="2513"/>
      <c r="CT9419" s="531"/>
    </row>
    <row r="9420" spans="1:98">
      <c r="A9420" s="532"/>
      <c r="AR9420" s="2513"/>
      <c r="CT9420" s="531"/>
    </row>
    <row r="9421" spans="1:98">
      <c r="A9421" s="532"/>
      <c r="AR9421" s="2513"/>
      <c r="CT9421" s="531"/>
    </row>
    <row r="9422" spans="1:98">
      <c r="A9422" s="532"/>
      <c r="AR9422" s="2513"/>
      <c r="CT9422" s="531"/>
    </row>
    <row r="9423" spans="1:98">
      <c r="A9423" s="532"/>
      <c r="AR9423" s="2513"/>
      <c r="CT9423" s="531"/>
    </row>
    <row r="9424" spans="1:98">
      <c r="A9424" s="532"/>
      <c r="AR9424" s="2513"/>
      <c r="CT9424" s="531"/>
    </row>
    <row r="9425" spans="1:98">
      <c r="A9425" s="532"/>
      <c r="AR9425" s="2513"/>
      <c r="CT9425" s="531"/>
    </row>
    <row r="9426" spans="1:98">
      <c r="A9426" s="532"/>
      <c r="AR9426" s="2513"/>
      <c r="CT9426" s="531"/>
    </row>
    <row r="9427" spans="1:98">
      <c r="A9427" s="532"/>
      <c r="AR9427" s="2513"/>
      <c r="CT9427" s="531"/>
    </row>
    <row r="9428" spans="1:98">
      <c r="A9428" s="532"/>
      <c r="AR9428" s="2513"/>
      <c r="CT9428" s="531"/>
    </row>
    <row r="9429" spans="1:98">
      <c r="A9429" s="532"/>
      <c r="AR9429" s="2513"/>
      <c r="CT9429" s="531"/>
    </row>
    <row r="9430" spans="1:98">
      <c r="A9430" s="532"/>
      <c r="AR9430" s="2513"/>
      <c r="CT9430" s="531"/>
    </row>
    <row r="9431" spans="1:98">
      <c r="A9431" s="532"/>
      <c r="AR9431" s="2513"/>
      <c r="CT9431" s="531"/>
    </row>
    <row r="9432" spans="1:98">
      <c r="A9432" s="532"/>
      <c r="AR9432" s="2513"/>
      <c r="CT9432" s="531"/>
    </row>
    <row r="9433" spans="1:98">
      <c r="A9433" s="532"/>
      <c r="AR9433" s="2513"/>
      <c r="CT9433" s="531"/>
    </row>
    <row r="9434" spans="1:98">
      <c r="A9434" s="532"/>
      <c r="AR9434" s="2513"/>
      <c r="CT9434" s="531"/>
    </row>
    <row r="9435" spans="1:98">
      <c r="A9435" s="532"/>
      <c r="AR9435" s="2513"/>
      <c r="CT9435" s="531"/>
    </row>
    <row r="9436" spans="1:98">
      <c r="A9436" s="532"/>
      <c r="AR9436" s="2513"/>
      <c r="CT9436" s="531"/>
    </row>
    <row r="9437" spans="1:98">
      <c r="A9437" s="532"/>
      <c r="AR9437" s="2513"/>
      <c r="CT9437" s="531"/>
    </row>
    <row r="9438" spans="1:98">
      <c r="A9438" s="532"/>
      <c r="AR9438" s="2513"/>
      <c r="CT9438" s="531"/>
    </row>
    <row r="9439" spans="1:98">
      <c r="A9439" s="532"/>
      <c r="AR9439" s="2513"/>
      <c r="CT9439" s="531"/>
    </row>
    <row r="9440" spans="1:98">
      <c r="A9440" s="532"/>
      <c r="AR9440" s="2513"/>
      <c r="CT9440" s="531"/>
    </row>
    <row r="9441" spans="1:98">
      <c r="A9441" s="532"/>
      <c r="AR9441" s="2513"/>
      <c r="CT9441" s="531"/>
    </row>
    <row r="9442" spans="1:98">
      <c r="A9442" s="532"/>
      <c r="AR9442" s="2513"/>
      <c r="CT9442" s="531"/>
    </row>
    <row r="9443" spans="1:98">
      <c r="A9443" s="532"/>
      <c r="AR9443" s="2513"/>
      <c r="CT9443" s="531"/>
    </row>
    <row r="9444" spans="1:98">
      <c r="A9444" s="532"/>
      <c r="AR9444" s="2513"/>
      <c r="CT9444" s="531"/>
    </row>
    <row r="9445" spans="1:98">
      <c r="A9445" s="532"/>
      <c r="AR9445" s="2513"/>
      <c r="CT9445" s="531"/>
    </row>
    <row r="9446" spans="1:98">
      <c r="A9446" s="532"/>
      <c r="AR9446" s="2513"/>
      <c r="CT9446" s="531"/>
    </row>
    <row r="9447" spans="1:98">
      <c r="A9447" s="532"/>
      <c r="AR9447" s="2513"/>
      <c r="CT9447" s="531"/>
    </row>
    <row r="9448" spans="1:98">
      <c r="A9448" s="532"/>
      <c r="AR9448" s="2513"/>
      <c r="CT9448" s="531"/>
    </row>
    <row r="9449" spans="1:98">
      <c r="A9449" s="532"/>
      <c r="AR9449" s="2513"/>
      <c r="CT9449" s="531"/>
    </row>
    <row r="9450" spans="1:98">
      <c r="A9450" s="532"/>
      <c r="AR9450" s="2513"/>
      <c r="CT9450" s="531"/>
    </row>
    <row r="9451" spans="1:98">
      <c r="A9451" s="532"/>
      <c r="AR9451" s="2513"/>
      <c r="CT9451" s="531"/>
    </row>
    <row r="9452" spans="1:98">
      <c r="A9452" s="532"/>
      <c r="AR9452" s="2513"/>
      <c r="CT9452" s="531"/>
    </row>
    <row r="9453" spans="1:98">
      <c r="A9453" s="532"/>
      <c r="AR9453" s="2513"/>
      <c r="CT9453" s="531"/>
    </row>
    <row r="9454" spans="1:98">
      <c r="A9454" s="532"/>
      <c r="AR9454" s="2513"/>
      <c r="CT9454" s="531"/>
    </row>
    <row r="9455" spans="1:98">
      <c r="A9455" s="532"/>
      <c r="AR9455" s="2513"/>
      <c r="CT9455" s="531"/>
    </row>
    <row r="9456" spans="1:98">
      <c r="A9456" s="532"/>
      <c r="AR9456" s="2513"/>
      <c r="CT9456" s="531"/>
    </row>
    <row r="9457" spans="1:98">
      <c r="A9457" s="532"/>
      <c r="AR9457" s="2513"/>
      <c r="CT9457" s="531"/>
    </row>
    <row r="9458" spans="1:98">
      <c r="A9458" s="532"/>
      <c r="AR9458" s="2513"/>
      <c r="CT9458" s="531"/>
    </row>
    <row r="9459" spans="1:98">
      <c r="A9459" s="532"/>
      <c r="AR9459" s="2513"/>
      <c r="CT9459" s="531"/>
    </row>
    <row r="9460" spans="1:98">
      <c r="A9460" s="532"/>
      <c r="AR9460" s="2513"/>
      <c r="CT9460" s="531"/>
    </row>
    <row r="9461" spans="1:98">
      <c r="A9461" s="532"/>
      <c r="AR9461" s="2513"/>
      <c r="CT9461" s="531"/>
    </row>
    <row r="9462" spans="1:98">
      <c r="A9462" s="532"/>
      <c r="AR9462" s="2513"/>
      <c r="CT9462" s="531"/>
    </row>
    <row r="9463" spans="1:98">
      <c r="A9463" s="532"/>
      <c r="AR9463" s="2513"/>
      <c r="CT9463" s="531"/>
    </row>
    <row r="9464" spans="1:98">
      <c r="A9464" s="532"/>
      <c r="AR9464" s="2513"/>
      <c r="CT9464" s="531"/>
    </row>
    <row r="9465" spans="1:98">
      <c r="A9465" s="532"/>
      <c r="AR9465" s="2513"/>
      <c r="CT9465" s="531"/>
    </row>
    <row r="9466" spans="1:98">
      <c r="A9466" s="532"/>
      <c r="AR9466" s="2513"/>
      <c r="CT9466" s="531"/>
    </row>
    <row r="9467" spans="1:98">
      <c r="A9467" s="532"/>
      <c r="AR9467" s="2513"/>
      <c r="CT9467" s="531"/>
    </row>
    <row r="9468" spans="1:98">
      <c r="A9468" s="532"/>
      <c r="AR9468" s="2513"/>
      <c r="CT9468" s="531"/>
    </row>
    <row r="9469" spans="1:98">
      <c r="A9469" s="532"/>
      <c r="AR9469" s="2513"/>
      <c r="CT9469" s="531"/>
    </row>
    <row r="9470" spans="1:98">
      <c r="A9470" s="532"/>
      <c r="AR9470" s="2513"/>
      <c r="CT9470" s="531"/>
    </row>
    <row r="9471" spans="1:98">
      <c r="A9471" s="532"/>
      <c r="AR9471" s="2513"/>
      <c r="CT9471" s="531"/>
    </row>
    <row r="9472" spans="1:98">
      <c r="A9472" s="532"/>
      <c r="AR9472" s="2513"/>
      <c r="CT9472" s="531"/>
    </row>
    <row r="9473" spans="1:98">
      <c r="A9473" s="532"/>
      <c r="AR9473" s="2513"/>
      <c r="CT9473" s="531"/>
    </row>
    <row r="9474" spans="1:98">
      <c r="A9474" s="532"/>
      <c r="AR9474" s="2513"/>
      <c r="CT9474" s="531"/>
    </row>
    <row r="9475" spans="1:98">
      <c r="A9475" s="532"/>
      <c r="AR9475" s="2513"/>
      <c r="CT9475" s="531"/>
    </row>
    <row r="9476" spans="1:98">
      <c r="A9476" s="532"/>
      <c r="AR9476" s="2513"/>
      <c r="CT9476" s="531"/>
    </row>
    <row r="9477" spans="1:98">
      <c r="A9477" s="532"/>
      <c r="AR9477" s="2513"/>
      <c r="CT9477" s="531"/>
    </row>
    <row r="9478" spans="1:98">
      <c r="A9478" s="532"/>
      <c r="AR9478" s="2513"/>
      <c r="CT9478" s="531"/>
    </row>
    <row r="9479" spans="1:98">
      <c r="A9479" s="532"/>
      <c r="AR9479" s="2513"/>
      <c r="CT9479" s="531"/>
    </row>
    <row r="9480" spans="1:98">
      <c r="A9480" s="532"/>
      <c r="AR9480" s="2513"/>
      <c r="CT9480" s="531"/>
    </row>
    <row r="9481" spans="1:98">
      <c r="A9481" s="532"/>
      <c r="AR9481" s="2513"/>
      <c r="CT9481" s="531"/>
    </row>
    <row r="9482" spans="1:98">
      <c r="A9482" s="532"/>
      <c r="AR9482" s="2513"/>
      <c r="CT9482" s="531"/>
    </row>
    <row r="9483" spans="1:98">
      <c r="A9483" s="532"/>
      <c r="AR9483" s="2513"/>
      <c r="CT9483" s="531"/>
    </row>
    <row r="9484" spans="1:98">
      <c r="A9484" s="532"/>
      <c r="AR9484" s="2513"/>
      <c r="CT9484" s="531"/>
    </row>
    <row r="9485" spans="1:98">
      <c r="A9485" s="532"/>
      <c r="AR9485" s="2513"/>
      <c r="CT9485" s="531"/>
    </row>
    <row r="9486" spans="1:98">
      <c r="A9486" s="532"/>
      <c r="AR9486" s="2513"/>
      <c r="CT9486" s="531"/>
    </row>
    <row r="9487" spans="1:98">
      <c r="A9487" s="532"/>
      <c r="AR9487" s="2513"/>
      <c r="CT9487" s="531"/>
    </row>
    <row r="9488" spans="1:98">
      <c r="A9488" s="532"/>
      <c r="AR9488" s="2513"/>
      <c r="CT9488" s="531"/>
    </row>
    <row r="9489" spans="1:98">
      <c r="A9489" s="532"/>
      <c r="AR9489" s="2513"/>
      <c r="CT9489" s="531"/>
    </row>
    <row r="9490" spans="1:98">
      <c r="A9490" s="532"/>
      <c r="AR9490" s="2513"/>
      <c r="CT9490" s="531"/>
    </row>
    <row r="9491" spans="1:98">
      <c r="A9491" s="532"/>
      <c r="AR9491" s="2513"/>
      <c r="CT9491" s="531"/>
    </row>
    <row r="9492" spans="1:98">
      <c r="A9492" s="532"/>
      <c r="AR9492" s="2513"/>
      <c r="CT9492" s="531"/>
    </row>
    <row r="9493" spans="1:98">
      <c r="A9493" s="532"/>
      <c r="AR9493" s="2513"/>
      <c r="CT9493" s="531"/>
    </row>
    <row r="9494" spans="1:98">
      <c r="A9494" s="532"/>
      <c r="AR9494" s="2513"/>
      <c r="CT9494" s="531"/>
    </row>
    <row r="9495" spans="1:98">
      <c r="A9495" s="532"/>
      <c r="AR9495" s="2513"/>
      <c r="CT9495" s="531"/>
    </row>
    <row r="9496" spans="1:98">
      <c r="A9496" s="532"/>
      <c r="AR9496" s="2513"/>
      <c r="CT9496" s="531"/>
    </row>
    <row r="9497" spans="1:98">
      <c r="A9497" s="532"/>
      <c r="AR9497" s="2513"/>
      <c r="CT9497" s="531"/>
    </row>
    <row r="9498" spans="1:98">
      <c r="A9498" s="532"/>
      <c r="AR9498" s="2513"/>
      <c r="CT9498" s="531"/>
    </row>
    <row r="9499" spans="1:98">
      <c r="A9499" s="532"/>
      <c r="AR9499" s="2513"/>
      <c r="CT9499" s="531"/>
    </row>
    <row r="9500" spans="1:98">
      <c r="A9500" s="532"/>
      <c r="AR9500" s="2513"/>
      <c r="CT9500" s="531"/>
    </row>
    <row r="9501" spans="1:98">
      <c r="A9501" s="532"/>
      <c r="AR9501" s="2513"/>
      <c r="CT9501" s="531"/>
    </row>
    <row r="9502" spans="1:98">
      <c r="A9502" s="532"/>
      <c r="AR9502" s="2513"/>
      <c r="CT9502" s="531"/>
    </row>
    <row r="9503" spans="1:98">
      <c r="A9503" s="532"/>
      <c r="AR9503" s="2513"/>
      <c r="CT9503" s="531"/>
    </row>
    <row r="9504" spans="1:98">
      <c r="A9504" s="532"/>
      <c r="AR9504" s="2513"/>
      <c r="CT9504" s="531"/>
    </row>
    <row r="9505" spans="1:98">
      <c r="A9505" s="532"/>
      <c r="AR9505" s="2513"/>
      <c r="CT9505" s="531"/>
    </row>
    <row r="9506" spans="1:98">
      <c r="A9506" s="532"/>
      <c r="AR9506" s="2513"/>
      <c r="CT9506" s="531"/>
    </row>
    <row r="9507" spans="1:98">
      <c r="A9507" s="532"/>
      <c r="AR9507" s="2513"/>
      <c r="CT9507" s="531"/>
    </row>
    <row r="9508" spans="1:98">
      <c r="A9508" s="532"/>
      <c r="AR9508" s="2513"/>
      <c r="CT9508" s="531"/>
    </row>
    <row r="9509" spans="1:98">
      <c r="A9509" s="532"/>
      <c r="AR9509" s="2513"/>
      <c r="CT9509" s="531"/>
    </row>
    <row r="9510" spans="1:98">
      <c r="A9510" s="532"/>
      <c r="AR9510" s="2513"/>
      <c r="CT9510" s="531"/>
    </row>
    <row r="9511" spans="1:98">
      <c r="A9511" s="532"/>
      <c r="AR9511" s="2513"/>
      <c r="CT9511" s="531"/>
    </row>
    <row r="9512" spans="1:98">
      <c r="A9512" s="532"/>
      <c r="AR9512" s="2513"/>
      <c r="CT9512" s="531"/>
    </row>
    <row r="9513" spans="1:98">
      <c r="A9513" s="532"/>
      <c r="AR9513" s="2513"/>
      <c r="CT9513" s="531"/>
    </row>
    <row r="9514" spans="1:98">
      <c r="A9514" s="532"/>
      <c r="AR9514" s="2513"/>
      <c r="CT9514" s="531"/>
    </row>
    <row r="9515" spans="1:98">
      <c r="A9515" s="532"/>
      <c r="AR9515" s="2513"/>
      <c r="CT9515" s="531"/>
    </row>
    <row r="9516" spans="1:98">
      <c r="A9516" s="532"/>
      <c r="AR9516" s="2513"/>
      <c r="CT9516" s="531"/>
    </row>
    <row r="9517" spans="1:98">
      <c r="A9517" s="532"/>
      <c r="AR9517" s="2513"/>
      <c r="CT9517" s="531"/>
    </row>
    <row r="9518" spans="1:98">
      <c r="A9518" s="532"/>
      <c r="AR9518" s="2513"/>
      <c r="CT9518" s="531"/>
    </row>
    <row r="9519" spans="1:98">
      <c r="A9519" s="532"/>
      <c r="AR9519" s="2513"/>
      <c r="CT9519" s="531"/>
    </row>
    <row r="9520" spans="1:98">
      <c r="A9520" s="532"/>
      <c r="AR9520" s="2513"/>
      <c r="CT9520" s="531"/>
    </row>
    <row r="9521" spans="1:98">
      <c r="A9521" s="532"/>
      <c r="AR9521" s="2513"/>
      <c r="CT9521" s="531"/>
    </row>
    <row r="9522" spans="1:98">
      <c r="A9522" s="532"/>
      <c r="AR9522" s="2513"/>
      <c r="CT9522" s="531"/>
    </row>
    <row r="9523" spans="1:98">
      <c r="A9523" s="532"/>
      <c r="AR9523" s="2513"/>
      <c r="CT9523" s="531"/>
    </row>
    <row r="9524" spans="1:98">
      <c r="A9524" s="532"/>
      <c r="AR9524" s="2513"/>
      <c r="CT9524" s="531"/>
    </row>
    <row r="9525" spans="1:98">
      <c r="A9525" s="532"/>
      <c r="AR9525" s="2513"/>
      <c r="CT9525" s="531"/>
    </row>
    <row r="9526" spans="1:98">
      <c r="A9526" s="532"/>
      <c r="AR9526" s="2513"/>
      <c r="CT9526" s="531"/>
    </row>
    <row r="9527" spans="1:98">
      <c r="A9527" s="532"/>
      <c r="AR9527" s="2513"/>
      <c r="CT9527" s="531"/>
    </row>
    <row r="9528" spans="1:98">
      <c r="A9528" s="532"/>
      <c r="AR9528" s="2513"/>
      <c r="CT9528" s="531"/>
    </row>
    <row r="9529" spans="1:98">
      <c r="A9529" s="532"/>
      <c r="AR9529" s="2513"/>
      <c r="CT9529" s="531"/>
    </row>
    <row r="9530" spans="1:98">
      <c r="A9530" s="532"/>
      <c r="AR9530" s="2513"/>
      <c r="CT9530" s="531"/>
    </row>
    <row r="9531" spans="1:98">
      <c r="A9531" s="532"/>
      <c r="AR9531" s="2513"/>
      <c r="CT9531" s="531"/>
    </row>
    <row r="9532" spans="1:98">
      <c r="A9532" s="532"/>
      <c r="AR9532" s="2513"/>
      <c r="CT9532" s="531"/>
    </row>
    <row r="9533" spans="1:98">
      <c r="A9533" s="532"/>
      <c r="AR9533" s="2513"/>
      <c r="CT9533" s="531"/>
    </row>
    <row r="9534" spans="1:98">
      <c r="A9534" s="532"/>
      <c r="AR9534" s="2513"/>
      <c r="CT9534" s="531"/>
    </row>
    <row r="9535" spans="1:98">
      <c r="A9535" s="532"/>
      <c r="AR9535" s="2513"/>
      <c r="CT9535" s="531"/>
    </row>
    <row r="9536" spans="1:98">
      <c r="A9536" s="532"/>
      <c r="AR9536" s="2513"/>
      <c r="CT9536" s="531"/>
    </row>
    <row r="9537" spans="1:98">
      <c r="A9537" s="532"/>
      <c r="AR9537" s="2513"/>
      <c r="CT9537" s="531"/>
    </row>
    <row r="9538" spans="1:98">
      <c r="A9538" s="532"/>
      <c r="AR9538" s="2513"/>
      <c r="CT9538" s="531"/>
    </row>
    <row r="9539" spans="1:98">
      <c r="A9539" s="532"/>
      <c r="AR9539" s="2513"/>
      <c r="CT9539" s="531"/>
    </row>
    <row r="9540" spans="1:98">
      <c r="A9540" s="532"/>
      <c r="AR9540" s="2513"/>
      <c r="CT9540" s="531"/>
    </row>
    <row r="9541" spans="1:98">
      <c r="A9541" s="532"/>
      <c r="AR9541" s="2513"/>
      <c r="CT9541" s="531"/>
    </row>
    <row r="9542" spans="1:98">
      <c r="A9542" s="532"/>
      <c r="AR9542" s="2513"/>
      <c r="CT9542" s="531"/>
    </row>
    <row r="9543" spans="1:98">
      <c r="A9543" s="532"/>
      <c r="AR9543" s="2513"/>
      <c r="CT9543" s="531"/>
    </row>
    <row r="9544" spans="1:98">
      <c r="A9544" s="532"/>
      <c r="AR9544" s="2513"/>
      <c r="CT9544" s="531"/>
    </row>
    <row r="9545" spans="1:98">
      <c r="A9545" s="532"/>
      <c r="AR9545" s="2513"/>
      <c r="CT9545" s="531"/>
    </row>
    <row r="9546" spans="1:98">
      <c r="A9546" s="532"/>
      <c r="AR9546" s="2513"/>
      <c r="CT9546" s="531"/>
    </row>
    <row r="9547" spans="1:98">
      <c r="A9547" s="532"/>
      <c r="AR9547" s="2513"/>
      <c r="CT9547" s="531"/>
    </row>
    <row r="9548" spans="1:98">
      <c r="A9548" s="532"/>
      <c r="AR9548" s="2513"/>
      <c r="CT9548" s="531"/>
    </row>
    <row r="9549" spans="1:98">
      <c r="A9549" s="532"/>
      <c r="AR9549" s="2513"/>
      <c r="CT9549" s="531"/>
    </row>
    <row r="9550" spans="1:98">
      <c r="A9550" s="532"/>
      <c r="AR9550" s="2513"/>
      <c r="CT9550" s="531"/>
    </row>
    <row r="9551" spans="1:98">
      <c r="A9551" s="532"/>
      <c r="AR9551" s="2513"/>
      <c r="CT9551" s="531"/>
    </row>
    <row r="9552" spans="1:98">
      <c r="A9552" s="532"/>
      <c r="AR9552" s="2513"/>
      <c r="CT9552" s="531"/>
    </row>
    <row r="9553" spans="1:98">
      <c r="A9553" s="532"/>
      <c r="AR9553" s="2513"/>
      <c r="CT9553" s="531"/>
    </row>
    <row r="9554" spans="1:98">
      <c r="A9554" s="532"/>
      <c r="AR9554" s="2513"/>
      <c r="CT9554" s="531"/>
    </row>
    <row r="9555" spans="1:98">
      <c r="A9555" s="532"/>
      <c r="AR9555" s="2513"/>
      <c r="CT9555" s="531"/>
    </row>
    <row r="9556" spans="1:98">
      <c r="A9556" s="532"/>
      <c r="AR9556" s="2513"/>
      <c r="CT9556" s="531"/>
    </row>
    <row r="9557" spans="1:98">
      <c r="A9557" s="532"/>
      <c r="AR9557" s="2513"/>
      <c r="CT9557" s="531"/>
    </row>
    <row r="9558" spans="1:98">
      <c r="A9558" s="532"/>
      <c r="AR9558" s="2513"/>
      <c r="CT9558" s="531"/>
    </row>
    <row r="9559" spans="1:98">
      <c r="A9559" s="532"/>
      <c r="AR9559" s="2513"/>
      <c r="CT9559" s="531"/>
    </row>
    <row r="9560" spans="1:98">
      <c r="A9560" s="532"/>
      <c r="AR9560" s="2513"/>
      <c r="CT9560" s="531"/>
    </row>
    <row r="9561" spans="1:98">
      <c r="A9561" s="532"/>
      <c r="AR9561" s="2513"/>
      <c r="CT9561" s="531"/>
    </row>
    <row r="9562" spans="1:98">
      <c r="A9562" s="532"/>
      <c r="AR9562" s="2513"/>
      <c r="CT9562" s="531"/>
    </row>
    <row r="9563" spans="1:98">
      <c r="A9563" s="532"/>
      <c r="AR9563" s="2513"/>
      <c r="CT9563" s="531"/>
    </row>
    <row r="9564" spans="1:98">
      <c r="A9564" s="532"/>
      <c r="AR9564" s="2513"/>
      <c r="CT9564" s="531"/>
    </row>
    <row r="9565" spans="1:98">
      <c r="A9565" s="532"/>
      <c r="AR9565" s="2513"/>
      <c r="CT9565" s="531"/>
    </row>
    <row r="9566" spans="1:98">
      <c r="A9566" s="532"/>
      <c r="AR9566" s="2513"/>
      <c r="CT9566" s="531"/>
    </row>
    <row r="9567" spans="1:98">
      <c r="A9567" s="532"/>
      <c r="AR9567" s="2513"/>
      <c r="CT9567" s="531"/>
    </row>
    <row r="9568" spans="1:98">
      <c r="A9568" s="532"/>
      <c r="AR9568" s="2513"/>
      <c r="CT9568" s="531"/>
    </row>
    <row r="9569" spans="1:98">
      <c r="A9569" s="532"/>
      <c r="AR9569" s="2513"/>
      <c r="CT9569" s="531"/>
    </row>
    <row r="9570" spans="1:98">
      <c r="A9570" s="532"/>
      <c r="AR9570" s="2513"/>
      <c r="CT9570" s="531"/>
    </row>
    <row r="9571" spans="1:98">
      <c r="A9571" s="532"/>
      <c r="AR9571" s="2513"/>
      <c r="CT9571" s="531"/>
    </row>
    <row r="9572" spans="1:98">
      <c r="A9572" s="532"/>
      <c r="AR9572" s="2513"/>
      <c r="CT9572" s="531"/>
    </row>
    <row r="9573" spans="1:98">
      <c r="A9573" s="532"/>
      <c r="AR9573" s="2513"/>
      <c r="CT9573" s="531"/>
    </row>
    <row r="9574" spans="1:98">
      <c r="A9574" s="532"/>
      <c r="AR9574" s="2513"/>
      <c r="CT9574" s="531"/>
    </row>
    <row r="9575" spans="1:98">
      <c r="A9575" s="532"/>
      <c r="AR9575" s="2513"/>
      <c r="CT9575" s="531"/>
    </row>
    <row r="9576" spans="1:98">
      <c r="A9576" s="532"/>
      <c r="AR9576" s="2513"/>
      <c r="CT9576" s="531"/>
    </row>
    <row r="9577" spans="1:98">
      <c r="A9577" s="532"/>
      <c r="AR9577" s="2513"/>
      <c r="CT9577" s="531"/>
    </row>
    <row r="9578" spans="1:98">
      <c r="A9578" s="532"/>
      <c r="AR9578" s="2513"/>
      <c r="CT9578" s="531"/>
    </row>
    <row r="9579" spans="1:98">
      <c r="A9579" s="532"/>
      <c r="AR9579" s="2513"/>
      <c r="CT9579" s="531"/>
    </row>
    <row r="9580" spans="1:98">
      <c r="A9580" s="532"/>
      <c r="AR9580" s="2513"/>
      <c r="CT9580" s="531"/>
    </row>
    <row r="9581" spans="1:98">
      <c r="A9581" s="532"/>
      <c r="AR9581" s="2513"/>
      <c r="CT9581" s="531"/>
    </row>
    <row r="9582" spans="1:98">
      <c r="A9582" s="532"/>
      <c r="AR9582" s="2513"/>
      <c r="CT9582" s="531"/>
    </row>
    <row r="9583" spans="1:98">
      <c r="A9583" s="532"/>
      <c r="AR9583" s="2513"/>
      <c r="CT9583" s="531"/>
    </row>
    <row r="9584" spans="1:98">
      <c r="A9584" s="532"/>
      <c r="AR9584" s="2513"/>
      <c r="CT9584" s="531"/>
    </row>
    <row r="9585" spans="1:98">
      <c r="A9585" s="532"/>
      <c r="AR9585" s="2513"/>
      <c r="CT9585" s="531"/>
    </row>
    <row r="9586" spans="1:98">
      <c r="A9586" s="532"/>
      <c r="AR9586" s="2513"/>
      <c r="CT9586" s="531"/>
    </row>
    <row r="9587" spans="1:98">
      <c r="A9587" s="532"/>
      <c r="AR9587" s="2513"/>
      <c r="CT9587" s="531"/>
    </row>
    <row r="9588" spans="1:98">
      <c r="A9588" s="532"/>
      <c r="AR9588" s="2513"/>
      <c r="CT9588" s="531"/>
    </row>
    <row r="9589" spans="1:98">
      <c r="A9589" s="532"/>
      <c r="AR9589" s="2513"/>
      <c r="CT9589" s="531"/>
    </row>
    <row r="9590" spans="1:98">
      <c r="A9590" s="532"/>
      <c r="AR9590" s="2513"/>
      <c r="CT9590" s="531"/>
    </row>
    <row r="9591" spans="1:98">
      <c r="A9591" s="532"/>
      <c r="AR9591" s="2513"/>
      <c r="CT9591" s="531"/>
    </row>
    <row r="9592" spans="1:98">
      <c r="A9592" s="532"/>
      <c r="AR9592" s="2513"/>
      <c r="CT9592" s="531"/>
    </row>
    <row r="9593" spans="1:98">
      <c r="A9593" s="532"/>
      <c r="AR9593" s="2513"/>
      <c r="CT9593" s="531"/>
    </row>
    <row r="9594" spans="1:98">
      <c r="A9594" s="532"/>
      <c r="AR9594" s="2513"/>
      <c r="CT9594" s="531"/>
    </row>
    <row r="9595" spans="1:98">
      <c r="A9595" s="532"/>
      <c r="AR9595" s="2513"/>
      <c r="CT9595" s="531"/>
    </row>
    <row r="9596" spans="1:98">
      <c r="A9596" s="532"/>
      <c r="AR9596" s="2513"/>
      <c r="CT9596" s="531"/>
    </row>
    <row r="9597" spans="1:98">
      <c r="A9597" s="532"/>
      <c r="AR9597" s="2513"/>
      <c r="CT9597" s="531"/>
    </row>
    <row r="9598" spans="1:98">
      <c r="A9598" s="532"/>
      <c r="AR9598" s="2513"/>
      <c r="CT9598" s="531"/>
    </row>
    <row r="9599" spans="1:98">
      <c r="A9599" s="532"/>
      <c r="AR9599" s="2513"/>
      <c r="CT9599" s="531"/>
    </row>
    <row r="9600" spans="1:98">
      <c r="A9600" s="532"/>
      <c r="AR9600" s="2513"/>
      <c r="CT9600" s="531"/>
    </row>
    <row r="9601" spans="1:98">
      <c r="A9601" s="532"/>
      <c r="AR9601" s="2513"/>
      <c r="CT9601" s="531"/>
    </row>
    <row r="9602" spans="1:98">
      <c r="A9602" s="532"/>
      <c r="AR9602" s="2513"/>
      <c r="CT9602" s="531"/>
    </row>
    <row r="9603" spans="1:98">
      <c r="A9603" s="532"/>
      <c r="AR9603" s="2513"/>
      <c r="CT9603" s="531"/>
    </row>
    <row r="9604" spans="1:98">
      <c r="A9604" s="532"/>
      <c r="AR9604" s="2513"/>
      <c r="CT9604" s="531"/>
    </row>
    <row r="9605" spans="1:98">
      <c r="A9605" s="532"/>
      <c r="AR9605" s="2513"/>
      <c r="CT9605" s="531"/>
    </row>
    <row r="9606" spans="1:98">
      <c r="A9606" s="532"/>
      <c r="AR9606" s="2513"/>
      <c r="CT9606" s="531"/>
    </row>
    <row r="9607" spans="1:98">
      <c r="A9607" s="532"/>
      <c r="AR9607" s="2513"/>
      <c r="CT9607" s="531"/>
    </row>
    <row r="9608" spans="1:98">
      <c r="A9608" s="532"/>
      <c r="AR9608" s="2513"/>
      <c r="CT9608" s="531"/>
    </row>
    <row r="9609" spans="1:98">
      <c r="A9609" s="532"/>
      <c r="AR9609" s="2513"/>
      <c r="CT9609" s="531"/>
    </row>
    <row r="9610" spans="1:98">
      <c r="A9610" s="532"/>
      <c r="AR9610" s="2513"/>
      <c r="CT9610" s="531"/>
    </row>
    <row r="9611" spans="1:98">
      <c r="A9611" s="532"/>
      <c r="AR9611" s="2513"/>
      <c r="CT9611" s="531"/>
    </row>
    <row r="9612" spans="1:98">
      <c r="A9612" s="532"/>
      <c r="AR9612" s="2513"/>
      <c r="CT9612" s="531"/>
    </row>
    <row r="9613" spans="1:98">
      <c r="A9613" s="532"/>
      <c r="AR9613" s="2513"/>
      <c r="CT9613" s="531"/>
    </row>
    <row r="9614" spans="1:98">
      <c r="A9614" s="532"/>
      <c r="AR9614" s="2513"/>
      <c r="CT9614" s="531"/>
    </row>
    <row r="9615" spans="1:98">
      <c r="A9615" s="532"/>
      <c r="AR9615" s="2513"/>
      <c r="CT9615" s="531"/>
    </row>
    <row r="9616" spans="1:98">
      <c r="A9616" s="532"/>
      <c r="AR9616" s="2513"/>
      <c r="CT9616" s="531"/>
    </row>
    <row r="9617" spans="1:98">
      <c r="A9617" s="532"/>
      <c r="AR9617" s="2513"/>
      <c r="CT9617" s="531"/>
    </row>
    <row r="9618" spans="1:98">
      <c r="A9618" s="532"/>
      <c r="AR9618" s="2513"/>
      <c r="CT9618" s="531"/>
    </row>
    <row r="9619" spans="1:98">
      <c r="A9619" s="532"/>
      <c r="AR9619" s="2513"/>
      <c r="CT9619" s="531"/>
    </row>
    <row r="9620" spans="1:98">
      <c r="A9620" s="532"/>
      <c r="AR9620" s="2513"/>
      <c r="CT9620" s="531"/>
    </row>
    <row r="9621" spans="1:98">
      <c r="A9621" s="532"/>
      <c r="AR9621" s="2513"/>
      <c r="CT9621" s="531"/>
    </row>
    <row r="9622" spans="1:98">
      <c r="A9622" s="532"/>
      <c r="AR9622" s="2513"/>
      <c r="CT9622" s="531"/>
    </row>
    <row r="9623" spans="1:98">
      <c r="A9623" s="532"/>
      <c r="AR9623" s="2513"/>
      <c r="CT9623" s="531"/>
    </row>
    <row r="9624" spans="1:98">
      <c r="A9624" s="532"/>
      <c r="AR9624" s="2513"/>
      <c r="CT9624" s="531"/>
    </row>
    <row r="9625" spans="1:98">
      <c r="A9625" s="532"/>
      <c r="AR9625" s="2513"/>
      <c r="CT9625" s="531"/>
    </row>
    <row r="9626" spans="1:98">
      <c r="A9626" s="532"/>
      <c r="AR9626" s="2513"/>
      <c r="CT9626" s="531"/>
    </row>
    <row r="9627" spans="1:98">
      <c r="A9627" s="532"/>
      <c r="AR9627" s="2513"/>
      <c r="CT9627" s="531"/>
    </row>
    <row r="9628" spans="1:98">
      <c r="A9628" s="532"/>
      <c r="AR9628" s="2513"/>
      <c r="CT9628" s="531"/>
    </row>
    <row r="9629" spans="1:98">
      <c r="A9629" s="532"/>
      <c r="AR9629" s="2513"/>
      <c r="CT9629" s="531"/>
    </row>
    <row r="9630" spans="1:98">
      <c r="A9630" s="532"/>
      <c r="AR9630" s="2513"/>
      <c r="CT9630" s="531"/>
    </row>
    <row r="9631" spans="1:98">
      <c r="A9631" s="532"/>
      <c r="AR9631" s="2513"/>
      <c r="CT9631" s="531"/>
    </row>
    <row r="9632" spans="1:98">
      <c r="A9632" s="532"/>
      <c r="AR9632" s="2513"/>
      <c r="CT9632" s="531"/>
    </row>
    <row r="9633" spans="1:98">
      <c r="A9633" s="532"/>
      <c r="AR9633" s="2513"/>
      <c r="CT9633" s="531"/>
    </row>
    <row r="9634" spans="1:98">
      <c r="A9634" s="532"/>
      <c r="AR9634" s="2513"/>
      <c r="CT9634" s="531"/>
    </row>
    <row r="9635" spans="1:98">
      <c r="A9635" s="532"/>
      <c r="AR9635" s="2513"/>
      <c r="CT9635" s="531"/>
    </row>
    <row r="9636" spans="1:98">
      <c r="A9636" s="532"/>
      <c r="AR9636" s="2513"/>
      <c r="CT9636" s="531"/>
    </row>
    <row r="9637" spans="1:98">
      <c r="A9637" s="532"/>
      <c r="AR9637" s="2513"/>
      <c r="CT9637" s="531"/>
    </row>
    <row r="9638" spans="1:98">
      <c r="A9638" s="532"/>
      <c r="AR9638" s="2513"/>
      <c r="CT9638" s="531"/>
    </row>
    <row r="9639" spans="1:98">
      <c r="A9639" s="532"/>
      <c r="AR9639" s="2513"/>
      <c r="CT9639" s="531"/>
    </row>
    <row r="9640" spans="1:98">
      <c r="A9640" s="532"/>
      <c r="AR9640" s="2513"/>
      <c r="CT9640" s="531"/>
    </row>
    <row r="9641" spans="1:98">
      <c r="A9641" s="532"/>
      <c r="AR9641" s="2513"/>
      <c r="CT9641" s="531"/>
    </row>
    <row r="9642" spans="1:98">
      <c r="A9642" s="532"/>
      <c r="AR9642" s="2513"/>
      <c r="CT9642" s="531"/>
    </row>
    <row r="9643" spans="1:98">
      <c r="A9643" s="532"/>
      <c r="AR9643" s="2513"/>
      <c r="CT9643" s="531"/>
    </row>
    <row r="9644" spans="1:98">
      <c r="A9644" s="532"/>
      <c r="AR9644" s="2513"/>
      <c r="CT9644" s="531"/>
    </row>
    <row r="9645" spans="1:98">
      <c r="A9645" s="532"/>
      <c r="AR9645" s="2513"/>
      <c r="CT9645" s="531"/>
    </row>
    <row r="9646" spans="1:98">
      <c r="A9646" s="532"/>
      <c r="AR9646" s="2513"/>
      <c r="CT9646" s="531"/>
    </row>
    <row r="9647" spans="1:98">
      <c r="A9647" s="532"/>
      <c r="AR9647" s="2513"/>
      <c r="CT9647" s="531"/>
    </row>
    <row r="9648" spans="1:98">
      <c r="A9648" s="532"/>
      <c r="AR9648" s="2513"/>
      <c r="CT9648" s="531"/>
    </row>
    <row r="9649" spans="1:98">
      <c r="A9649" s="532"/>
      <c r="AR9649" s="2513"/>
      <c r="CT9649" s="531"/>
    </row>
    <row r="9650" spans="1:98">
      <c r="A9650" s="532"/>
      <c r="AR9650" s="2513"/>
      <c r="CT9650" s="531"/>
    </row>
    <row r="9651" spans="1:98">
      <c r="A9651" s="532"/>
      <c r="AR9651" s="2513"/>
      <c r="CT9651" s="531"/>
    </row>
    <row r="9652" spans="1:98">
      <c r="A9652" s="532"/>
      <c r="AR9652" s="2513"/>
      <c r="CT9652" s="531"/>
    </row>
    <row r="9653" spans="1:98">
      <c r="A9653" s="532"/>
      <c r="AR9653" s="2513"/>
      <c r="CT9653" s="531"/>
    </row>
    <row r="9654" spans="1:98">
      <c r="A9654" s="532"/>
      <c r="AR9654" s="2513"/>
      <c r="CT9654" s="531"/>
    </row>
    <row r="9655" spans="1:98">
      <c r="A9655" s="532"/>
      <c r="AR9655" s="2513"/>
      <c r="CT9655" s="531"/>
    </row>
    <row r="9656" spans="1:98">
      <c r="A9656" s="532"/>
      <c r="AR9656" s="2513"/>
      <c r="CT9656" s="531"/>
    </row>
    <row r="9657" spans="1:98">
      <c r="A9657" s="532"/>
      <c r="AR9657" s="2513"/>
      <c r="CT9657" s="531"/>
    </row>
    <row r="9658" spans="1:98">
      <c r="A9658" s="532"/>
      <c r="AR9658" s="2513"/>
      <c r="CT9658" s="531"/>
    </row>
    <row r="9659" spans="1:98">
      <c r="A9659" s="532"/>
      <c r="AR9659" s="2513"/>
      <c r="CT9659" s="531"/>
    </row>
    <row r="9660" spans="1:98">
      <c r="A9660" s="532"/>
      <c r="AR9660" s="2513"/>
      <c r="CT9660" s="531"/>
    </row>
    <row r="9661" spans="1:98">
      <c r="A9661" s="532"/>
      <c r="AR9661" s="2513"/>
      <c r="CT9661" s="531"/>
    </row>
    <row r="9662" spans="1:98">
      <c r="A9662" s="532"/>
      <c r="AR9662" s="2513"/>
      <c r="CT9662" s="531"/>
    </row>
    <row r="9663" spans="1:98">
      <c r="A9663" s="532"/>
      <c r="AR9663" s="2513"/>
      <c r="CT9663" s="531"/>
    </row>
    <row r="9664" spans="1:98">
      <c r="A9664" s="532"/>
      <c r="AR9664" s="2513"/>
      <c r="CT9664" s="531"/>
    </row>
    <row r="9665" spans="1:98">
      <c r="A9665" s="532"/>
      <c r="AR9665" s="2513"/>
      <c r="CT9665" s="531"/>
    </row>
    <row r="9666" spans="1:98">
      <c r="A9666" s="532"/>
      <c r="AR9666" s="2513"/>
      <c r="CT9666" s="531"/>
    </row>
    <row r="9667" spans="1:98">
      <c r="A9667" s="532"/>
      <c r="AR9667" s="2513"/>
      <c r="CT9667" s="531"/>
    </row>
    <row r="9668" spans="1:98">
      <c r="A9668" s="532"/>
      <c r="AR9668" s="2513"/>
      <c r="CT9668" s="531"/>
    </row>
    <row r="9669" spans="1:98">
      <c r="A9669" s="532"/>
      <c r="AR9669" s="2513"/>
      <c r="CT9669" s="531"/>
    </row>
    <row r="9670" spans="1:98">
      <c r="A9670" s="532"/>
      <c r="AR9670" s="2513"/>
      <c r="CT9670" s="531"/>
    </row>
    <row r="9671" spans="1:98">
      <c r="A9671" s="532"/>
      <c r="AR9671" s="2513"/>
      <c r="CT9671" s="531"/>
    </row>
    <row r="9672" spans="1:98">
      <c r="A9672" s="532"/>
      <c r="AR9672" s="2513"/>
      <c r="CT9672" s="531"/>
    </row>
    <row r="9673" spans="1:98">
      <c r="A9673" s="532"/>
      <c r="AR9673" s="2513"/>
      <c r="CT9673" s="531"/>
    </row>
    <row r="9674" spans="1:98">
      <c r="A9674" s="532"/>
      <c r="AR9674" s="2513"/>
      <c r="CT9674" s="531"/>
    </row>
    <row r="9675" spans="1:98">
      <c r="A9675" s="532"/>
      <c r="AR9675" s="2513"/>
      <c r="CT9675" s="531"/>
    </row>
    <row r="9676" spans="1:98">
      <c r="A9676" s="532"/>
      <c r="AR9676" s="2513"/>
      <c r="CT9676" s="531"/>
    </row>
    <row r="9677" spans="1:98">
      <c r="A9677" s="532"/>
      <c r="AR9677" s="2513"/>
      <c r="CT9677" s="531"/>
    </row>
    <row r="9678" spans="1:98">
      <c r="A9678" s="532"/>
      <c r="AR9678" s="2513"/>
      <c r="CT9678" s="531"/>
    </row>
    <row r="9679" spans="1:98">
      <c r="A9679" s="532"/>
      <c r="AR9679" s="2513"/>
      <c r="CT9679" s="531"/>
    </row>
    <row r="9680" spans="1:98">
      <c r="A9680" s="532"/>
      <c r="AR9680" s="2513"/>
      <c r="CT9680" s="531"/>
    </row>
    <row r="9681" spans="1:98">
      <c r="A9681" s="532"/>
      <c r="AR9681" s="2513"/>
      <c r="CT9681" s="531"/>
    </row>
    <row r="9682" spans="1:98">
      <c r="A9682" s="532"/>
      <c r="AR9682" s="2513"/>
      <c r="CT9682" s="531"/>
    </row>
    <row r="9683" spans="1:98">
      <c r="A9683" s="532"/>
      <c r="AR9683" s="2513"/>
      <c r="CT9683" s="531"/>
    </row>
    <row r="9684" spans="1:98">
      <c r="A9684" s="532"/>
      <c r="AR9684" s="2513"/>
      <c r="CT9684" s="531"/>
    </row>
    <row r="9685" spans="1:98">
      <c r="A9685" s="532"/>
      <c r="AR9685" s="2513"/>
      <c r="CT9685" s="531"/>
    </row>
    <row r="9686" spans="1:98">
      <c r="A9686" s="532"/>
      <c r="AR9686" s="2513"/>
      <c r="CT9686" s="531"/>
    </row>
    <row r="9687" spans="1:98">
      <c r="A9687" s="532"/>
      <c r="AR9687" s="2513"/>
      <c r="CT9687" s="531"/>
    </row>
    <row r="9688" spans="1:98">
      <c r="A9688" s="532"/>
      <c r="AR9688" s="2513"/>
      <c r="CT9688" s="531"/>
    </row>
    <row r="9689" spans="1:98">
      <c r="A9689" s="532"/>
      <c r="AR9689" s="2513"/>
      <c r="CT9689" s="531"/>
    </row>
    <row r="9690" spans="1:98">
      <c r="A9690" s="532"/>
      <c r="AR9690" s="2513"/>
      <c r="CT9690" s="531"/>
    </row>
    <row r="9691" spans="1:98">
      <c r="A9691" s="532"/>
      <c r="AR9691" s="2513"/>
      <c r="CT9691" s="531"/>
    </row>
    <row r="9692" spans="1:98">
      <c r="A9692" s="532"/>
      <c r="AR9692" s="2513"/>
      <c r="CT9692" s="531"/>
    </row>
    <row r="9693" spans="1:98">
      <c r="A9693" s="532"/>
      <c r="AR9693" s="2513"/>
      <c r="CT9693" s="531"/>
    </row>
    <row r="9694" spans="1:98">
      <c r="A9694" s="532"/>
      <c r="AR9694" s="2513"/>
      <c r="CT9694" s="531"/>
    </row>
    <row r="9695" spans="1:98">
      <c r="A9695" s="532"/>
      <c r="AR9695" s="2513"/>
      <c r="CT9695" s="531"/>
    </row>
    <row r="9696" spans="1:98">
      <c r="A9696" s="532"/>
      <c r="AR9696" s="2513"/>
      <c r="CT9696" s="531"/>
    </row>
    <row r="9697" spans="1:98">
      <c r="A9697" s="532"/>
      <c r="AR9697" s="2513"/>
      <c r="CT9697" s="531"/>
    </row>
    <row r="9698" spans="1:98">
      <c r="A9698" s="532"/>
      <c r="AR9698" s="2513"/>
      <c r="CT9698" s="531"/>
    </row>
    <row r="9699" spans="1:98">
      <c r="A9699" s="532"/>
      <c r="AR9699" s="2513"/>
      <c r="CT9699" s="531"/>
    </row>
    <row r="9700" spans="1:98">
      <c r="A9700" s="532"/>
      <c r="AR9700" s="2513"/>
      <c r="CT9700" s="531"/>
    </row>
    <row r="9701" spans="1:98">
      <c r="A9701" s="532"/>
      <c r="AR9701" s="2513"/>
      <c r="CT9701" s="531"/>
    </row>
    <row r="9702" spans="1:98">
      <c r="A9702" s="532"/>
      <c r="AR9702" s="2513"/>
      <c r="CT9702" s="531"/>
    </row>
    <row r="9703" spans="1:98">
      <c r="A9703" s="532"/>
      <c r="AR9703" s="2513"/>
      <c r="CT9703" s="531"/>
    </row>
    <row r="9704" spans="1:98">
      <c r="A9704" s="532"/>
      <c r="AR9704" s="2513"/>
      <c r="CT9704" s="531"/>
    </row>
    <row r="9705" spans="1:98">
      <c r="A9705" s="532"/>
      <c r="AR9705" s="2513"/>
      <c r="CT9705" s="531"/>
    </row>
    <row r="9706" spans="1:98">
      <c r="A9706" s="532"/>
      <c r="AR9706" s="2513"/>
      <c r="CT9706" s="531"/>
    </row>
    <row r="9707" spans="1:98">
      <c r="A9707" s="532"/>
      <c r="AR9707" s="2513"/>
      <c r="CT9707" s="531"/>
    </row>
    <row r="9708" spans="1:98">
      <c r="A9708" s="532"/>
      <c r="AR9708" s="2513"/>
      <c r="CT9708" s="531"/>
    </row>
    <row r="9709" spans="1:98">
      <c r="A9709" s="532"/>
      <c r="AR9709" s="2513"/>
      <c r="CT9709" s="531"/>
    </row>
    <row r="9710" spans="1:98">
      <c r="A9710" s="532"/>
      <c r="AR9710" s="2513"/>
      <c r="CT9710" s="531"/>
    </row>
    <row r="9711" spans="1:98">
      <c r="A9711" s="532"/>
      <c r="AR9711" s="2513"/>
      <c r="CT9711" s="531"/>
    </row>
    <row r="9712" spans="1:98">
      <c r="A9712" s="532"/>
      <c r="AR9712" s="2513"/>
      <c r="CT9712" s="531"/>
    </row>
    <row r="9713" spans="1:98">
      <c r="A9713" s="532"/>
      <c r="AR9713" s="2513"/>
      <c r="CT9713" s="531"/>
    </row>
    <row r="9714" spans="1:98">
      <c r="A9714" s="532"/>
      <c r="AR9714" s="2513"/>
      <c r="CT9714" s="531"/>
    </row>
    <row r="9715" spans="1:98">
      <c r="A9715" s="532"/>
      <c r="AR9715" s="2513"/>
      <c r="CT9715" s="531"/>
    </row>
    <row r="9716" spans="1:98">
      <c r="A9716" s="532"/>
      <c r="AR9716" s="2513"/>
      <c r="CT9716" s="531"/>
    </row>
    <row r="9717" spans="1:98">
      <c r="A9717" s="532"/>
      <c r="AR9717" s="2513"/>
      <c r="CT9717" s="531"/>
    </row>
    <row r="9718" spans="1:98">
      <c r="A9718" s="532"/>
      <c r="AR9718" s="2513"/>
      <c r="CT9718" s="531"/>
    </row>
    <row r="9719" spans="1:98">
      <c r="A9719" s="532"/>
      <c r="AR9719" s="2513"/>
      <c r="CT9719" s="531"/>
    </row>
    <row r="9720" spans="1:98">
      <c r="A9720" s="532"/>
      <c r="AR9720" s="2513"/>
      <c r="CT9720" s="531"/>
    </row>
    <row r="9721" spans="1:98">
      <c r="A9721" s="532"/>
      <c r="AR9721" s="2513"/>
      <c r="CT9721" s="531"/>
    </row>
    <row r="9722" spans="1:98">
      <c r="A9722" s="532"/>
      <c r="AR9722" s="2513"/>
      <c r="CT9722" s="531"/>
    </row>
    <row r="9723" spans="1:98">
      <c r="A9723" s="532"/>
      <c r="AR9723" s="2513"/>
      <c r="CT9723" s="531"/>
    </row>
    <row r="9724" spans="1:98">
      <c r="A9724" s="532"/>
      <c r="AR9724" s="2513"/>
      <c r="CT9724" s="531"/>
    </row>
    <row r="9725" spans="1:98">
      <c r="A9725" s="532"/>
      <c r="AR9725" s="2513"/>
      <c r="CT9725" s="531"/>
    </row>
    <row r="9726" spans="1:98">
      <c r="A9726" s="532"/>
      <c r="AR9726" s="2513"/>
      <c r="CT9726" s="531"/>
    </row>
    <row r="9727" spans="1:98">
      <c r="A9727" s="532"/>
      <c r="AR9727" s="2513"/>
      <c r="CT9727" s="531"/>
    </row>
    <row r="9728" spans="1:98">
      <c r="A9728" s="532"/>
      <c r="AR9728" s="2513"/>
      <c r="CT9728" s="531"/>
    </row>
    <row r="9729" spans="1:98">
      <c r="A9729" s="532"/>
      <c r="AR9729" s="2513"/>
      <c r="CT9729" s="531"/>
    </row>
    <row r="9730" spans="1:98">
      <c r="A9730" s="532"/>
      <c r="AR9730" s="2513"/>
      <c r="CT9730" s="531"/>
    </row>
    <row r="9731" spans="1:98">
      <c r="A9731" s="532"/>
      <c r="AR9731" s="2513"/>
      <c r="CT9731" s="531"/>
    </row>
    <row r="9732" spans="1:98">
      <c r="A9732" s="532"/>
      <c r="AR9732" s="2513"/>
      <c r="CT9732" s="531"/>
    </row>
    <row r="9733" spans="1:98">
      <c r="A9733" s="532"/>
      <c r="AR9733" s="2513"/>
      <c r="CT9733" s="531"/>
    </row>
    <row r="9734" spans="1:98">
      <c r="A9734" s="532"/>
      <c r="AR9734" s="2513"/>
      <c r="CT9734" s="531"/>
    </row>
    <row r="9735" spans="1:98">
      <c r="A9735" s="532"/>
      <c r="AR9735" s="2513"/>
      <c r="CT9735" s="531"/>
    </row>
    <row r="9736" spans="1:98">
      <c r="A9736" s="532"/>
      <c r="AR9736" s="2513"/>
      <c r="CT9736" s="531"/>
    </row>
    <row r="9737" spans="1:98">
      <c r="A9737" s="532"/>
      <c r="AR9737" s="2513"/>
      <c r="CT9737" s="531"/>
    </row>
    <row r="9738" spans="1:98">
      <c r="A9738" s="532"/>
      <c r="AR9738" s="2513"/>
      <c r="CT9738" s="531"/>
    </row>
    <row r="9739" spans="1:98">
      <c r="A9739" s="532"/>
      <c r="AR9739" s="2513"/>
      <c r="CT9739" s="531"/>
    </row>
    <row r="9740" spans="1:98">
      <c r="A9740" s="532"/>
      <c r="AR9740" s="2513"/>
      <c r="CT9740" s="531"/>
    </row>
    <row r="9741" spans="1:98">
      <c r="A9741" s="532"/>
      <c r="AR9741" s="2513"/>
      <c r="CT9741" s="531"/>
    </row>
    <row r="9742" spans="1:98">
      <c r="A9742" s="532"/>
      <c r="AR9742" s="2513"/>
      <c r="CT9742" s="531"/>
    </row>
    <row r="9743" spans="1:98">
      <c r="A9743" s="532"/>
      <c r="AR9743" s="2513"/>
      <c r="CT9743" s="531"/>
    </row>
    <row r="9744" spans="1:98">
      <c r="A9744" s="532"/>
      <c r="AR9744" s="2513"/>
      <c r="CT9744" s="531"/>
    </row>
    <row r="9745" spans="1:98">
      <c r="A9745" s="532"/>
      <c r="AR9745" s="2513"/>
      <c r="CT9745" s="531"/>
    </row>
    <row r="9746" spans="1:98">
      <c r="A9746" s="532"/>
      <c r="AR9746" s="2513"/>
      <c r="CT9746" s="531"/>
    </row>
    <row r="9747" spans="1:98">
      <c r="A9747" s="532"/>
      <c r="AR9747" s="2513"/>
      <c r="CT9747" s="531"/>
    </row>
    <row r="9748" spans="1:98">
      <c r="A9748" s="532"/>
      <c r="AR9748" s="2513"/>
      <c r="CT9748" s="531"/>
    </row>
    <row r="9749" spans="1:98">
      <c r="A9749" s="532"/>
      <c r="AR9749" s="2513"/>
      <c r="CT9749" s="531"/>
    </row>
    <row r="9750" spans="1:98">
      <c r="A9750" s="532"/>
      <c r="AR9750" s="2513"/>
      <c r="CT9750" s="531"/>
    </row>
    <row r="9751" spans="1:98">
      <c r="A9751" s="532"/>
      <c r="AR9751" s="2513"/>
      <c r="CT9751" s="531"/>
    </row>
    <row r="9752" spans="1:98">
      <c r="A9752" s="532"/>
      <c r="AR9752" s="2513"/>
      <c r="CT9752" s="531"/>
    </row>
    <row r="9753" spans="1:98">
      <c r="A9753" s="532"/>
      <c r="AR9753" s="2513"/>
      <c r="CT9753" s="531"/>
    </row>
    <row r="9754" spans="1:98">
      <c r="A9754" s="532"/>
      <c r="AR9754" s="2513"/>
      <c r="CT9754" s="531"/>
    </row>
    <row r="9755" spans="1:98">
      <c r="A9755" s="532"/>
      <c r="AR9755" s="2513"/>
      <c r="CT9755" s="531"/>
    </row>
    <row r="9756" spans="1:98">
      <c r="A9756" s="532"/>
      <c r="AR9756" s="2513"/>
      <c r="CT9756" s="531"/>
    </row>
    <row r="9757" spans="1:98">
      <c r="A9757" s="532"/>
      <c r="AR9757" s="2513"/>
      <c r="CT9757" s="531"/>
    </row>
    <row r="9758" spans="1:98">
      <c r="A9758" s="532"/>
      <c r="AR9758" s="2513"/>
      <c r="CT9758" s="531"/>
    </row>
    <row r="9759" spans="1:98">
      <c r="A9759" s="532"/>
      <c r="AR9759" s="2513"/>
      <c r="CT9759" s="531"/>
    </row>
    <row r="9760" spans="1:98">
      <c r="A9760" s="532"/>
      <c r="AR9760" s="2513"/>
      <c r="CT9760" s="531"/>
    </row>
    <row r="9761" spans="1:98">
      <c r="A9761" s="532"/>
      <c r="AR9761" s="2513"/>
      <c r="CT9761" s="531"/>
    </row>
    <row r="9762" spans="1:98">
      <c r="A9762" s="532"/>
      <c r="AR9762" s="2513"/>
      <c r="CT9762" s="531"/>
    </row>
    <row r="9763" spans="1:98">
      <c r="A9763" s="532"/>
      <c r="AR9763" s="2513"/>
      <c r="CT9763" s="531"/>
    </row>
    <row r="9764" spans="1:98">
      <c r="A9764" s="532"/>
      <c r="AR9764" s="2513"/>
      <c r="CT9764" s="531"/>
    </row>
    <row r="9765" spans="1:98">
      <c r="A9765" s="532"/>
      <c r="AR9765" s="2513"/>
      <c r="CT9765" s="531"/>
    </row>
    <row r="9766" spans="1:98">
      <c r="A9766" s="532"/>
      <c r="AR9766" s="2513"/>
      <c r="CT9766" s="531"/>
    </row>
    <row r="9767" spans="1:98">
      <c r="A9767" s="532"/>
      <c r="AR9767" s="2513"/>
      <c r="CT9767" s="531"/>
    </row>
    <row r="9768" spans="1:98">
      <c r="A9768" s="532"/>
      <c r="AR9768" s="2513"/>
      <c r="CT9768" s="531"/>
    </row>
    <row r="9769" spans="1:98">
      <c r="A9769" s="532"/>
      <c r="AR9769" s="2513"/>
      <c r="CT9769" s="531"/>
    </row>
    <row r="9770" spans="1:98">
      <c r="A9770" s="532"/>
      <c r="AR9770" s="2513"/>
      <c r="CT9770" s="531"/>
    </row>
    <row r="9771" spans="1:98">
      <c r="A9771" s="532"/>
      <c r="AR9771" s="2513"/>
      <c r="CT9771" s="531"/>
    </row>
    <row r="9772" spans="1:98">
      <c r="A9772" s="532"/>
      <c r="AR9772" s="2513"/>
      <c r="CT9772" s="531"/>
    </row>
    <row r="9773" spans="1:98">
      <c r="A9773" s="532"/>
      <c r="AR9773" s="2513"/>
      <c r="CT9773" s="531"/>
    </row>
    <row r="9774" spans="1:98">
      <c r="A9774" s="532"/>
      <c r="AR9774" s="2513"/>
      <c r="CT9774" s="531"/>
    </row>
    <row r="9775" spans="1:98">
      <c r="A9775" s="532"/>
      <c r="AR9775" s="2513"/>
      <c r="CT9775" s="531"/>
    </row>
    <row r="9776" spans="1:98">
      <c r="A9776" s="532"/>
      <c r="AR9776" s="2513"/>
      <c r="CT9776" s="531"/>
    </row>
    <row r="9777" spans="1:98">
      <c r="A9777" s="532"/>
      <c r="AR9777" s="2513"/>
      <c r="CT9777" s="531"/>
    </row>
    <row r="9778" spans="1:98">
      <c r="A9778" s="532"/>
      <c r="AR9778" s="2513"/>
      <c r="CT9778" s="531"/>
    </row>
    <row r="9779" spans="1:98">
      <c r="A9779" s="532"/>
      <c r="AR9779" s="2513"/>
      <c r="CT9779" s="531"/>
    </row>
    <row r="9780" spans="1:98">
      <c r="A9780" s="532"/>
      <c r="AR9780" s="2513"/>
      <c r="CT9780" s="531"/>
    </row>
    <row r="9781" spans="1:98">
      <c r="A9781" s="532"/>
      <c r="AR9781" s="2513"/>
      <c r="CT9781" s="531"/>
    </row>
    <row r="9782" spans="1:98">
      <c r="A9782" s="532"/>
      <c r="AR9782" s="2513"/>
      <c r="CT9782" s="531"/>
    </row>
    <row r="9783" spans="1:98">
      <c r="A9783" s="532"/>
      <c r="AR9783" s="2513"/>
      <c r="CT9783" s="531"/>
    </row>
    <row r="9784" spans="1:98">
      <c r="A9784" s="532"/>
      <c r="AR9784" s="2513"/>
      <c r="CT9784" s="531"/>
    </row>
    <row r="9785" spans="1:98">
      <c r="A9785" s="532"/>
      <c r="AR9785" s="2513"/>
      <c r="CT9785" s="531"/>
    </row>
    <row r="9786" spans="1:98">
      <c r="A9786" s="532"/>
      <c r="AR9786" s="2513"/>
      <c r="CT9786" s="531"/>
    </row>
    <row r="9787" spans="1:98">
      <c r="A9787" s="532"/>
      <c r="AR9787" s="2513"/>
      <c r="CT9787" s="531"/>
    </row>
    <row r="9788" spans="1:98">
      <c r="A9788" s="532"/>
      <c r="AR9788" s="2513"/>
      <c r="CT9788" s="531"/>
    </row>
    <row r="9789" spans="1:98">
      <c r="A9789" s="532"/>
      <c r="AR9789" s="2513"/>
      <c r="CT9789" s="531"/>
    </row>
    <row r="9790" spans="1:98">
      <c r="A9790" s="532"/>
      <c r="AR9790" s="2513"/>
      <c r="CT9790" s="531"/>
    </row>
    <row r="9791" spans="1:98">
      <c r="A9791" s="532"/>
      <c r="AR9791" s="2513"/>
      <c r="CT9791" s="531"/>
    </row>
    <row r="9792" spans="1:98">
      <c r="A9792" s="532"/>
      <c r="AR9792" s="2513"/>
      <c r="CT9792" s="531"/>
    </row>
    <row r="9793" spans="1:98">
      <c r="A9793" s="532"/>
      <c r="AR9793" s="2513"/>
      <c r="CT9793" s="531"/>
    </row>
    <row r="9794" spans="1:98">
      <c r="A9794" s="532"/>
      <c r="AR9794" s="2513"/>
      <c r="CT9794" s="531"/>
    </row>
    <row r="9795" spans="1:98">
      <c r="A9795" s="532"/>
      <c r="AR9795" s="2513"/>
      <c r="CT9795" s="531"/>
    </row>
    <row r="9796" spans="1:98">
      <c r="A9796" s="532"/>
      <c r="AR9796" s="2513"/>
      <c r="CT9796" s="531"/>
    </row>
    <row r="9797" spans="1:98">
      <c r="A9797" s="532"/>
      <c r="AR9797" s="2513"/>
      <c r="CT9797" s="531"/>
    </row>
    <row r="9798" spans="1:98">
      <c r="A9798" s="532"/>
      <c r="AR9798" s="2513"/>
      <c r="CT9798" s="531"/>
    </row>
    <row r="9799" spans="1:98">
      <c r="A9799" s="532"/>
      <c r="AR9799" s="2513"/>
      <c r="CT9799" s="531"/>
    </row>
    <row r="9800" spans="1:98">
      <c r="A9800" s="532"/>
      <c r="AR9800" s="2513"/>
      <c r="CT9800" s="531"/>
    </row>
    <row r="9801" spans="1:98">
      <c r="A9801" s="532"/>
      <c r="AR9801" s="2513"/>
      <c r="CT9801" s="531"/>
    </row>
    <row r="9802" spans="1:98">
      <c r="A9802" s="532"/>
      <c r="AR9802" s="2513"/>
      <c r="CT9802" s="531"/>
    </row>
    <row r="9803" spans="1:98">
      <c r="A9803" s="532"/>
      <c r="AR9803" s="2513"/>
      <c r="CT9803" s="531"/>
    </row>
    <row r="9804" spans="1:98">
      <c r="A9804" s="532"/>
      <c r="AR9804" s="2513"/>
      <c r="CT9804" s="531"/>
    </row>
    <row r="9805" spans="1:98">
      <c r="A9805" s="532"/>
      <c r="AR9805" s="2513"/>
      <c r="CT9805" s="531"/>
    </row>
    <row r="9806" spans="1:98">
      <c r="A9806" s="532"/>
      <c r="AR9806" s="2513"/>
      <c r="CT9806" s="531"/>
    </row>
    <row r="9807" spans="1:98">
      <c r="A9807" s="532"/>
      <c r="AR9807" s="2513"/>
      <c r="CT9807" s="531"/>
    </row>
    <row r="9808" spans="1:98">
      <c r="A9808" s="532"/>
      <c r="AR9808" s="2513"/>
      <c r="CT9808" s="531"/>
    </row>
    <row r="9809" spans="1:98">
      <c r="A9809" s="532"/>
      <c r="AR9809" s="2513"/>
      <c r="CT9809" s="531"/>
    </row>
    <row r="9810" spans="1:98">
      <c r="A9810" s="532"/>
      <c r="AR9810" s="2513"/>
      <c r="CT9810" s="531"/>
    </row>
    <row r="9811" spans="1:98">
      <c r="A9811" s="532"/>
      <c r="AR9811" s="2513"/>
      <c r="CT9811" s="531"/>
    </row>
    <row r="9812" spans="1:98">
      <c r="A9812" s="532"/>
      <c r="AR9812" s="2513"/>
      <c r="CT9812" s="531"/>
    </row>
    <row r="9813" spans="1:98">
      <c r="A9813" s="532"/>
      <c r="AR9813" s="2513"/>
      <c r="CT9813" s="531"/>
    </row>
    <row r="9814" spans="1:98">
      <c r="A9814" s="532"/>
      <c r="AR9814" s="2513"/>
      <c r="CT9814" s="531"/>
    </row>
    <row r="9815" spans="1:98">
      <c r="A9815" s="532"/>
      <c r="AR9815" s="2513"/>
      <c r="CT9815" s="531"/>
    </row>
    <row r="9816" spans="1:98">
      <c r="A9816" s="532"/>
      <c r="AR9816" s="2513"/>
      <c r="CT9816" s="531"/>
    </row>
    <row r="9817" spans="1:98">
      <c r="A9817" s="532"/>
      <c r="AR9817" s="2513"/>
      <c r="CT9817" s="531"/>
    </row>
    <row r="9818" spans="1:98">
      <c r="A9818" s="532"/>
      <c r="AR9818" s="2513"/>
      <c r="CT9818" s="531"/>
    </row>
    <row r="9819" spans="1:98">
      <c r="A9819" s="532"/>
      <c r="AR9819" s="2513"/>
      <c r="CT9819" s="531"/>
    </row>
    <row r="9820" spans="1:98">
      <c r="A9820" s="532"/>
      <c r="AR9820" s="2513"/>
      <c r="CT9820" s="531"/>
    </row>
    <row r="9821" spans="1:98">
      <c r="A9821" s="532"/>
      <c r="AR9821" s="2513"/>
      <c r="CT9821" s="531"/>
    </row>
    <row r="9822" spans="1:98">
      <c r="A9822" s="532"/>
      <c r="AR9822" s="2513"/>
      <c r="CT9822" s="531"/>
    </row>
    <row r="9823" spans="1:98">
      <c r="A9823" s="532"/>
      <c r="AR9823" s="2513"/>
      <c r="CT9823" s="531"/>
    </row>
    <row r="9824" spans="1:98">
      <c r="A9824" s="532"/>
      <c r="AR9824" s="2513"/>
      <c r="CT9824" s="531"/>
    </row>
    <row r="9825" spans="1:98">
      <c r="A9825" s="532"/>
      <c r="AR9825" s="2513"/>
      <c r="CT9825" s="531"/>
    </row>
    <row r="9826" spans="1:98">
      <c r="A9826" s="532"/>
      <c r="AR9826" s="2513"/>
      <c r="CT9826" s="531"/>
    </row>
    <row r="9827" spans="1:98">
      <c r="A9827" s="532"/>
      <c r="AR9827" s="2513"/>
      <c r="CT9827" s="531"/>
    </row>
    <row r="9828" spans="1:98">
      <c r="A9828" s="532"/>
      <c r="AR9828" s="2513"/>
      <c r="CT9828" s="531"/>
    </row>
    <row r="9829" spans="1:98">
      <c r="A9829" s="532"/>
      <c r="AR9829" s="2513"/>
      <c r="CT9829" s="531"/>
    </row>
    <row r="9830" spans="1:98">
      <c r="A9830" s="532"/>
      <c r="AR9830" s="2513"/>
      <c r="CT9830" s="531"/>
    </row>
    <row r="9831" spans="1:98">
      <c r="A9831" s="532"/>
      <c r="AR9831" s="2513"/>
      <c r="CT9831" s="531"/>
    </row>
    <row r="9832" spans="1:98">
      <c r="A9832" s="532"/>
      <c r="AR9832" s="2513"/>
      <c r="CT9832" s="531"/>
    </row>
    <row r="9833" spans="1:98">
      <c r="A9833" s="532"/>
      <c r="AR9833" s="2513"/>
      <c r="CT9833" s="531"/>
    </row>
    <row r="9834" spans="1:98">
      <c r="A9834" s="532"/>
      <c r="AR9834" s="2513"/>
      <c r="CT9834" s="531"/>
    </row>
    <row r="9835" spans="1:98">
      <c r="A9835" s="532"/>
      <c r="AR9835" s="2513"/>
      <c r="CT9835" s="531"/>
    </row>
    <row r="9836" spans="1:98">
      <c r="A9836" s="532"/>
      <c r="AR9836" s="2513"/>
      <c r="CT9836" s="531"/>
    </row>
    <row r="9837" spans="1:98">
      <c r="A9837" s="532"/>
      <c r="AR9837" s="2513"/>
      <c r="CT9837" s="531"/>
    </row>
    <row r="9838" spans="1:98">
      <c r="A9838" s="532"/>
      <c r="AR9838" s="2513"/>
      <c r="CT9838" s="531"/>
    </row>
    <row r="9839" spans="1:98">
      <c r="A9839" s="532"/>
      <c r="AR9839" s="2513"/>
      <c r="CT9839" s="531"/>
    </row>
    <row r="9840" spans="1:98">
      <c r="A9840" s="532"/>
      <c r="AR9840" s="2513"/>
      <c r="CT9840" s="531"/>
    </row>
    <row r="9841" spans="1:98">
      <c r="A9841" s="532"/>
      <c r="AR9841" s="2513"/>
      <c r="CT9841" s="531"/>
    </row>
    <row r="9842" spans="1:98">
      <c r="A9842" s="532"/>
      <c r="AR9842" s="2513"/>
      <c r="CT9842" s="531"/>
    </row>
    <row r="9843" spans="1:98">
      <c r="A9843" s="532"/>
      <c r="AR9843" s="2513"/>
      <c r="CT9843" s="531"/>
    </row>
    <row r="9844" spans="1:98">
      <c r="A9844" s="532"/>
      <c r="AR9844" s="2513"/>
      <c r="CT9844" s="531"/>
    </row>
    <row r="9845" spans="1:98">
      <c r="A9845" s="532"/>
      <c r="AR9845" s="2513"/>
      <c r="CT9845" s="531"/>
    </row>
    <row r="9846" spans="1:98">
      <c r="A9846" s="532"/>
      <c r="AR9846" s="2513"/>
      <c r="CT9846" s="531"/>
    </row>
    <row r="9847" spans="1:98">
      <c r="A9847" s="532"/>
      <c r="AR9847" s="2513"/>
      <c r="CT9847" s="531"/>
    </row>
    <row r="9848" spans="1:98">
      <c r="A9848" s="532"/>
      <c r="AR9848" s="2513"/>
      <c r="CT9848" s="531"/>
    </row>
    <row r="9849" spans="1:98">
      <c r="A9849" s="532"/>
      <c r="AR9849" s="2513"/>
      <c r="CT9849" s="531"/>
    </row>
    <row r="9850" spans="1:98">
      <c r="A9850" s="532"/>
      <c r="AR9850" s="2513"/>
      <c r="CT9850" s="531"/>
    </row>
    <row r="9851" spans="1:98">
      <c r="A9851" s="532"/>
      <c r="AR9851" s="2513"/>
      <c r="CT9851" s="531"/>
    </row>
    <row r="9852" spans="1:98">
      <c r="A9852" s="532"/>
      <c r="AR9852" s="2513"/>
      <c r="CT9852" s="531"/>
    </row>
    <row r="9853" spans="1:98">
      <c r="A9853" s="532"/>
      <c r="AR9853" s="2513"/>
      <c r="CT9853" s="531"/>
    </row>
    <row r="9854" spans="1:98">
      <c r="A9854" s="532"/>
      <c r="AR9854" s="2513"/>
      <c r="CT9854" s="531"/>
    </row>
    <row r="9855" spans="1:98">
      <c r="A9855" s="532"/>
      <c r="AR9855" s="2513"/>
      <c r="CT9855" s="531"/>
    </row>
    <row r="9856" spans="1:98">
      <c r="A9856" s="532"/>
      <c r="AR9856" s="2513"/>
      <c r="CT9856" s="531"/>
    </row>
    <row r="9857" spans="1:98">
      <c r="A9857" s="532"/>
      <c r="AR9857" s="2513"/>
      <c r="CT9857" s="531"/>
    </row>
    <row r="9858" spans="1:98">
      <c r="A9858" s="532"/>
      <c r="AR9858" s="2513"/>
      <c r="CT9858" s="531"/>
    </row>
    <row r="9859" spans="1:98">
      <c r="A9859" s="532"/>
      <c r="AR9859" s="2513"/>
      <c r="CT9859" s="531"/>
    </row>
    <row r="9860" spans="1:98">
      <c r="A9860" s="532"/>
      <c r="AR9860" s="2513"/>
      <c r="CT9860" s="531"/>
    </row>
    <row r="9861" spans="1:98">
      <c r="A9861" s="532"/>
      <c r="AR9861" s="2513"/>
      <c r="CT9861" s="531"/>
    </row>
    <row r="9862" spans="1:98">
      <c r="A9862" s="532"/>
      <c r="AR9862" s="2513"/>
      <c r="CT9862" s="531"/>
    </row>
    <row r="9863" spans="1:98">
      <c r="A9863" s="532"/>
      <c r="AR9863" s="2513"/>
      <c r="CT9863" s="531"/>
    </row>
    <row r="9864" spans="1:98">
      <c r="A9864" s="532"/>
      <c r="AR9864" s="2513"/>
      <c r="CT9864" s="531"/>
    </row>
    <row r="9865" spans="1:98">
      <c r="A9865" s="532"/>
      <c r="AR9865" s="2513"/>
      <c r="CT9865" s="531"/>
    </row>
    <row r="9866" spans="1:98">
      <c r="A9866" s="532"/>
      <c r="AR9866" s="2513"/>
      <c r="CT9866" s="531"/>
    </row>
    <row r="9867" spans="1:98">
      <c r="A9867" s="532"/>
      <c r="AR9867" s="2513"/>
      <c r="CT9867" s="531"/>
    </row>
    <row r="9868" spans="1:98">
      <c r="A9868" s="532"/>
      <c r="AR9868" s="2513"/>
      <c r="CT9868" s="531"/>
    </row>
    <row r="9869" spans="1:98">
      <c r="A9869" s="532"/>
      <c r="AR9869" s="2513"/>
      <c r="CT9869" s="531"/>
    </row>
    <row r="9870" spans="1:98">
      <c r="A9870" s="532"/>
      <c r="AR9870" s="2513"/>
      <c r="CT9870" s="531"/>
    </row>
    <row r="9871" spans="1:98">
      <c r="A9871" s="532"/>
      <c r="AR9871" s="2513"/>
      <c r="CT9871" s="531"/>
    </row>
    <row r="9872" spans="1:98">
      <c r="A9872" s="532"/>
      <c r="AR9872" s="2513"/>
      <c r="CT9872" s="531"/>
    </row>
    <row r="9873" spans="1:98">
      <c r="A9873" s="532"/>
      <c r="AR9873" s="2513"/>
      <c r="CT9873" s="531"/>
    </row>
    <row r="9874" spans="1:98">
      <c r="A9874" s="532"/>
      <c r="AR9874" s="2513"/>
      <c r="CT9874" s="531"/>
    </row>
    <row r="9875" spans="1:98">
      <c r="A9875" s="532"/>
      <c r="AR9875" s="2513"/>
      <c r="CT9875" s="531"/>
    </row>
    <row r="9876" spans="1:98">
      <c r="A9876" s="532"/>
      <c r="AR9876" s="2513"/>
      <c r="CT9876" s="531"/>
    </row>
    <row r="9877" spans="1:98">
      <c r="A9877" s="532"/>
      <c r="AR9877" s="2513"/>
      <c r="CT9877" s="531"/>
    </row>
    <row r="9878" spans="1:98">
      <c r="A9878" s="532"/>
      <c r="AR9878" s="2513"/>
      <c r="CT9878" s="531"/>
    </row>
    <row r="9879" spans="1:98">
      <c r="A9879" s="532"/>
      <c r="AR9879" s="2513"/>
      <c r="CT9879" s="531"/>
    </row>
    <row r="9880" spans="1:98">
      <c r="A9880" s="532"/>
      <c r="AR9880" s="2513"/>
      <c r="CT9880" s="531"/>
    </row>
    <row r="9881" spans="1:98">
      <c r="A9881" s="532"/>
      <c r="AR9881" s="2513"/>
      <c r="CT9881" s="531"/>
    </row>
    <row r="9882" spans="1:98">
      <c r="A9882" s="532"/>
      <c r="AR9882" s="2513"/>
      <c r="CT9882" s="531"/>
    </row>
    <row r="9883" spans="1:98">
      <c r="A9883" s="532"/>
      <c r="AR9883" s="2513"/>
      <c r="CT9883" s="531"/>
    </row>
    <row r="9884" spans="1:98">
      <c r="A9884" s="532"/>
      <c r="AR9884" s="2513"/>
      <c r="CT9884" s="531"/>
    </row>
    <row r="9885" spans="1:98">
      <c r="A9885" s="532"/>
      <c r="AR9885" s="2513"/>
      <c r="CT9885" s="531"/>
    </row>
    <row r="9886" spans="1:98">
      <c r="A9886" s="532"/>
      <c r="AR9886" s="2513"/>
      <c r="CT9886" s="531"/>
    </row>
    <row r="9887" spans="1:98">
      <c r="A9887" s="532"/>
      <c r="AR9887" s="2513"/>
      <c r="CT9887" s="531"/>
    </row>
    <row r="9888" spans="1:98">
      <c r="A9888" s="532"/>
      <c r="AR9888" s="2513"/>
      <c r="CT9888" s="531"/>
    </row>
    <row r="9889" spans="1:98">
      <c r="A9889" s="532"/>
      <c r="AR9889" s="2513"/>
      <c r="CT9889" s="531"/>
    </row>
    <row r="9890" spans="1:98">
      <c r="A9890" s="532"/>
      <c r="AR9890" s="2513"/>
      <c r="CT9890" s="531"/>
    </row>
    <row r="9891" spans="1:98">
      <c r="A9891" s="532"/>
      <c r="AR9891" s="2513"/>
      <c r="CT9891" s="531"/>
    </row>
    <row r="9892" spans="1:98">
      <c r="A9892" s="532"/>
      <c r="AR9892" s="2513"/>
      <c r="CT9892" s="531"/>
    </row>
    <row r="9893" spans="1:98">
      <c r="A9893" s="532"/>
      <c r="AR9893" s="2513"/>
      <c r="CT9893" s="531"/>
    </row>
    <row r="9894" spans="1:98">
      <c r="A9894" s="532"/>
      <c r="AR9894" s="2513"/>
      <c r="CT9894" s="531"/>
    </row>
    <row r="9895" spans="1:98">
      <c r="A9895" s="532"/>
      <c r="AR9895" s="2513"/>
      <c r="CT9895" s="531"/>
    </row>
    <row r="9896" spans="1:98">
      <c r="A9896" s="532"/>
      <c r="AR9896" s="2513"/>
      <c r="CT9896" s="531"/>
    </row>
    <row r="9897" spans="1:98">
      <c r="A9897" s="532"/>
      <c r="AR9897" s="2513"/>
      <c r="CT9897" s="531"/>
    </row>
    <row r="9898" spans="1:98">
      <c r="A9898" s="532"/>
      <c r="AR9898" s="2513"/>
      <c r="CT9898" s="531"/>
    </row>
    <row r="9899" spans="1:98">
      <c r="A9899" s="532"/>
      <c r="AR9899" s="2513"/>
      <c r="CT9899" s="531"/>
    </row>
    <row r="9900" spans="1:98">
      <c r="A9900" s="532"/>
      <c r="AR9900" s="2513"/>
      <c r="CT9900" s="531"/>
    </row>
    <row r="9901" spans="1:98">
      <c r="A9901" s="532"/>
      <c r="AR9901" s="2513"/>
      <c r="CT9901" s="531"/>
    </row>
    <row r="9902" spans="1:98">
      <c r="A9902" s="532"/>
      <c r="AR9902" s="2513"/>
      <c r="CT9902" s="531"/>
    </row>
    <row r="9903" spans="1:98">
      <c r="A9903" s="532"/>
      <c r="AR9903" s="2513"/>
      <c r="CT9903" s="531"/>
    </row>
    <row r="9904" spans="1:98">
      <c r="A9904" s="532"/>
      <c r="AR9904" s="2513"/>
      <c r="CT9904" s="531"/>
    </row>
    <row r="9905" spans="1:98">
      <c r="A9905" s="532"/>
      <c r="AR9905" s="2513"/>
      <c r="CT9905" s="531"/>
    </row>
    <row r="9906" spans="1:98">
      <c r="A9906" s="532"/>
      <c r="AR9906" s="2513"/>
      <c r="CT9906" s="531"/>
    </row>
    <row r="9907" spans="1:98">
      <c r="A9907" s="532"/>
      <c r="AR9907" s="2513"/>
      <c r="CT9907" s="531"/>
    </row>
    <row r="9908" spans="1:98">
      <c r="A9908" s="532"/>
      <c r="AR9908" s="2513"/>
      <c r="CT9908" s="531"/>
    </row>
    <row r="9909" spans="1:98">
      <c r="A9909" s="532"/>
      <c r="AR9909" s="2513"/>
      <c r="CT9909" s="531"/>
    </row>
    <row r="9910" spans="1:98">
      <c r="A9910" s="532"/>
      <c r="AR9910" s="2513"/>
      <c r="CT9910" s="531"/>
    </row>
    <row r="9911" spans="1:98">
      <c r="A9911" s="532"/>
      <c r="AR9911" s="2513"/>
      <c r="CT9911" s="531"/>
    </row>
    <row r="9912" spans="1:98">
      <c r="A9912" s="532"/>
      <c r="AR9912" s="2513"/>
      <c r="CT9912" s="531"/>
    </row>
    <row r="9913" spans="1:98">
      <c r="A9913" s="532"/>
      <c r="AR9913" s="2513"/>
      <c r="CT9913" s="531"/>
    </row>
    <row r="9914" spans="1:98">
      <c r="A9914" s="532"/>
      <c r="AR9914" s="2513"/>
      <c r="CT9914" s="531"/>
    </row>
    <row r="9915" spans="1:98">
      <c r="A9915" s="532"/>
      <c r="AR9915" s="2513"/>
      <c r="CT9915" s="531"/>
    </row>
    <row r="9916" spans="1:98">
      <c r="A9916" s="532"/>
      <c r="AR9916" s="2513"/>
      <c r="CT9916" s="531"/>
    </row>
    <row r="9917" spans="1:98">
      <c r="A9917" s="532"/>
      <c r="AR9917" s="2513"/>
      <c r="CT9917" s="531"/>
    </row>
    <row r="9918" spans="1:98">
      <c r="A9918" s="532"/>
      <c r="AR9918" s="2513"/>
      <c r="CT9918" s="531"/>
    </row>
    <row r="9919" spans="1:98">
      <c r="A9919" s="532"/>
      <c r="AR9919" s="2513"/>
      <c r="CT9919" s="531"/>
    </row>
    <row r="9920" spans="1:98">
      <c r="A9920" s="532"/>
      <c r="AR9920" s="2513"/>
      <c r="CT9920" s="531"/>
    </row>
    <row r="9921" spans="1:98">
      <c r="A9921" s="532"/>
      <c r="AR9921" s="2513"/>
      <c r="CT9921" s="531"/>
    </row>
    <row r="9922" spans="1:98">
      <c r="A9922" s="532"/>
      <c r="AR9922" s="2513"/>
      <c r="CT9922" s="531"/>
    </row>
    <row r="9923" spans="1:98">
      <c r="A9923" s="532"/>
      <c r="AR9923" s="2513"/>
      <c r="CT9923" s="531"/>
    </row>
    <row r="9924" spans="1:98">
      <c r="A9924" s="532"/>
      <c r="AR9924" s="2513"/>
      <c r="CT9924" s="531"/>
    </row>
    <row r="9925" spans="1:98">
      <c r="A9925" s="532"/>
      <c r="AR9925" s="2513"/>
      <c r="CT9925" s="531"/>
    </row>
    <row r="9926" spans="1:98">
      <c r="A9926" s="532"/>
      <c r="AR9926" s="2513"/>
      <c r="CT9926" s="531"/>
    </row>
    <row r="9927" spans="1:98">
      <c r="A9927" s="532"/>
      <c r="AR9927" s="2513"/>
      <c r="CT9927" s="531"/>
    </row>
    <row r="9928" spans="1:98">
      <c r="A9928" s="532"/>
      <c r="AR9928" s="2513"/>
      <c r="CT9928" s="531"/>
    </row>
    <row r="9929" spans="1:98">
      <c r="A9929" s="532"/>
      <c r="AR9929" s="2513"/>
      <c r="CT9929" s="531"/>
    </row>
    <row r="9930" spans="1:98">
      <c r="A9930" s="532"/>
      <c r="AR9930" s="2513"/>
      <c r="CT9930" s="531"/>
    </row>
    <row r="9931" spans="1:98">
      <c r="A9931" s="532"/>
      <c r="AR9931" s="2513"/>
      <c r="CT9931" s="531"/>
    </row>
    <row r="9932" spans="1:98">
      <c r="A9932" s="532"/>
      <c r="AR9932" s="2513"/>
      <c r="CT9932" s="531"/>
    </row>
    <row r="9933" spans="1:98">
      <c r="A9933" s="532"/>
      <c r="AR9933" s="2513"/>
      <c r="CT9933" s="531"/>
    </row>
    <row r="9934" spans="1:98">
      <c r="A9934" s="532"/>
      <c r="AR9934" s="2513"/>
      <c r="CT9934" s="531"/>
    </row>
    <row r="9935" spans="1:98">
      <c r="A9935" s="532"/>
      <c r="AR9935" s="2513"/>
      <c r="CT9935" s="531"/>
    </row>
    <row r="9936" spans="1:98">
      <c r="A9936" s="532"/>
      <c r="AR9936" s="2513"/>
      <c r="CT9936" s="531"/>
    </row>
    <row r="9937" spans="1:98">
      <c r="A9937" s="532"/>
      <c r="AR9937" s="2513"/>
      <c r="CT9937" s="531"/>
    </row>
    <row r="9938" spans="1:98">
      <c r="A9938" s="532"/>
      <c r="AR9938" s="2513"/>
      <c r="CT9938" s="531"/>
    </row>
    <row r="9939" spans="1:98">
      <c r="A9939" s="532"/>
      <c r="AR9939" s="2513"/>
      <c r="CT9939" s="531"/>
    </row>
    <row r="9940" spans="1:98">
      <c r="A9940" s="532"/>
      <c r="AR9940" s="2513"/>
      <c r="CT9940" s="531"/>
    </row>
    <row r="9941" spans="1:98">
      <c r="A9941" s="532"/>
      <c r="AR9941" s="2513"/>
      <c r="CT9941" s="531"/>
    </row>
    <row r="9942" spans="1:98">
      <c r="A9942" s="532"/>
      <c r="AR9942" s="2513"/>
      <c r="CT9942" s="531"/>
    </row>
    <row r="9943" spans="1:98">
      <c r="A9943" s="532"/>
      <c r="AR9943" s="2513"/>
      <c r="CT9943" s="531"/>
    </row>
    <row r="9944" spans="1:98">
      <c r="A9944" s="532"/>
      <c r="AR9944" s="2513"/>
      <c r="CT9944" s="531"/>
    </row>
    <row r="9945" spans="1:98">
      <c r="A9945" s="532"/>
      <c r="AR9945" s="2513"/>
      <c r="CT9945" s="531"/>
    </row>
    <row r="9946" spans="1:98">
      <c r="A9946" s="532"/>
      <c r="AR9946" s="2513"/>
      <c r="CT9946" s="531"/>
    </row>
    <row r="9947" spans="1:98">
      <c r="A9947" s="532"/>
      <c r="AR9947" s="2513"/>
      <c r="CT9947" s="531"/>
    </row>
    <row r="9948" spans="1:98">
      <c r="A9948" s="532"/>
      <c r="AR9948" s="2513"/>
      <c r="CT9948" s="531"/>
    </row>
    <row r="9949" spans="1:98">
      <c r="A9949" s="532"/>
      <c r="AR9949" s="2513"/>
      <c r="CT9949" s="531"/>
    </row>
    <row r="9950" spans="1:98">
      <c r="A9950" s="532"/>
      <c r="AR9950" s="2513"/>
      <c r="CT9950" s="531"/>
    </row>
    <row r="9951" spans="1:98">
      <c r="A9951" s="532"/>
      <c r="AR9951" s="2513"/>
      <c r="CT9951" s="531"/>
    </row>
    <row r="9952" spans="1:98">
      <c r="A9952" s="532"/>
      <c r="AR9952" s="2513"/>
      <c r="CT9952" s="531"/>
    </row>
    <row r="9953" spans="1:98">
      <c r="A9953" s="532"/>
      <c r="AR9953" s="2513"/>
      <c r="CT9953" s="531"/>
    </row>
    <row r="9954" spans="1:98">
      <c r="A9954" s="532"/>
      <c r="AR9954" s="2513"/>
      <c r="CT9954" s="531"/>
    </row>
    <row r="9955" spans="1:98">
      <c r="A9955" s="532"/>
      <c r="AR9955" s="2513"/>
      <c r="CT9955" s="531"/>
    </row>
    <row r="9956" spans="1:98">
      <c r="A9956" s="532"/>
      <c r="AR9956" s="2513"/>
      <c r="CT9956" s="531"/>
    </row>
    <row r="9957" spans="1:98">
      <c r="A9957" s="532"/>
      <c r="AR9957" s="2513"/>
      <c r="CT9957" s="531"/>
    </row>
    <row r="9958" spans="1:98">
      <c r="A9958" s="532"/>
      <c r="AR9958" s="2513"/>
      <c r="CT9958" s="531"/>
    </row>
    <row r="9959" spans="1:98">
      <c r="A9959" s="532"/>
      <c r="AR9959" s="2513"/>
      <c r="CT9959" s="531"/>
    </row>
    <row r="9960" spans="1:98">
      <c r="A9960" s="532"/>
      <c r="AR9960" s="2513"/>
      <c r="CT9960" s="531"/>
    </row>
    <row r="9961" spans="1:98">
      <c r="A9961" s="532"/>
      <c r="AR9961" s="2513"/>
      <c r="CT9961" s="531"/>
    </row>
    <row r="9962" spans="1:98">
      <c r="A9962" s="532"/>
      <c r="AR9962" s="2513"/>
      <c r="CT9962" s="531"/>
    </row>
    <row r="9963" spans="1:98">
      <c r="A9963" s="532"/>
      <c r="AR9963" s="2513"/>
      <c r="CT9963" s="531"/>
    </row>
    <row r="9964" spans="1:98">
      <c r="A9964" s="532"/>
      <c r="AR9964" s="2513"/>
      <c r="CT9964" s="531"/>
    </row>
    <row r="9965" spans="1:98">
      <c r="A9965" s="532"/>
      <c r="AR9965" s="2513"/>
      <c r="CT9965" s="531"/>
    </row>
    <row r="9966" spans="1:98">
      <c r="A9966" s="532"/>
      <c r="AR9966" s="2513"/>
      <c r="CT9966" s="531"/>
    </row>
    <row r="9967" spans="1:98">
      <c r="A9967" s="532"/>
      <c r="AR9967" s="2513"/>
      <c r="CT9967" s="531"/>
    </row>
    <row r="9968" spans="1:98">
      <c r="A9968" s="532"/>
      <c r="AR9968" s="2513"/>
      <c r="CT9968" s="531"/>
    </row>
    <row r="9969" spans="1:98">
      <c r="A9969" s="532"/>
      <c r="AR9969" s="2513"/>
      <c r="CT9969" s="531"/>
    </row>
    <row r="9970" spans="1:98">
      <c r="A9970" s="532"/>
      <c r="AR9970" s="2513"/>
      <c r="CT9970" s="531"/>
    </row>
    <row r="9971" spans="1:98">
      <c r="A9971" s="532"/>
      <c r="AR9971" s="2513"/>
      <c r="CT9971" s="531"/>
    </row>
    <row r="9972" spans="1:98">
      <c r="A9972" s="532"/>
      <c r="AR9972" s="2513"/>
      <c r="CT9972" s="531"/>
    </row>
    <row r="9973" spans="1:98">
      <c r="A9973" s="532"/>
      <c r="AR9973" s="2513"/>
      <c r="CT9973" s="531"/>
    </row>
    <row r="9974" spans="1:98">
      <c r="A9974" s="532"/>
      <c r="AR9974" s="2513"/>
      <c r="CT9974" s="531"/>
    </row>
    <row r="9975" spans="1:98">
      <c r="A9975" s="532"/>
      <c r="AR9975" s="2513"/>
      <c r="CT9975" s="531"/>
    </row>
    <row r="9976" spans="1:98">
      <c r="A9976" s="532"/>
      <c r="AR9976" s="2513"/>
      <c r="CT9976" s="531"/>
    </row>
    <row r="9977" spans="1:98">
      <c r="A9977" s="532"/>
      <c r="AR9977" s="2513"/>
      <c r="CT9977" s="531"/>
    </row>
    <row r="9978" spans="1:98">
      <c r="A9978" s="532"/>
      <c r="AR9978" s="2513"/>
      <c r="CT9978" s="531"/>
    </row>
    <row r="9979" spans="1:98">
      <c r="A9979" s="532"/>
      <c r="AR9979" s="2513"/>
      <c r="CT9979" s="531"/>
    </row>
    <row r="9980" spans="1:98">
      <c r="A9980" s="532"/>
      <c r="AR9980" s="2513"/>
      <c r="CT9980" s="531"/>
    </row>
    <row r="9981" spans="1:98">
      <c r="A9981" s="532"/>
      <c r="AR9981" s="2513"/>
      <c r="CT9981" s="531"/>
    </row>
    <row r="9982" spans="1:98">
      <c r="A9982" s="532"/>
      <c r="AR9982" s="2513"/>
      <c r="CT9982" s="531"/>
    </row>
    <row r="9983" spans="1:98">
      <c r="A9983" s="532"/>
      <c r="AR9983" s="2513"/>
      <c r="CT9983" s="531"/>
    </row>
    <row r="9984" spans="1:98">
      <c r="A9984" s="532"/>
      <c r="AR9984" s="2513"/>
      <c r="CT9984" s="531"/>
    </row>
    <row r="9985" spans="1:98">
      <c r="A9985" s="532"/>
      <c r="AR9985" s="2513"/>
      <c r="CT9985" s="531"/>
    </row>
    <row r="9986" spans="1:98">
      <c r="A9986" s="532"/>
      <c r="AR9986" s="2513"/>
      <c r="CT9986" s="531"/>
    </row>
    <row r="9987" spans="1:98">
      <c r="A9987" s="532"/>
      <c r="AR9987" s="2513"/>
      <c r="CT9987" s="531"/>
    </row>
    <row r="9988" spans="1:98">
      <c r="A9988" s="532"/>
      <c r="AR9988" s="2513"/>
      <c r="CT9988" s="531"/>
    </row>
    <row r="9989" spans="1:98">
      <c r="A9989" s="532"/>
      <c r="AR9989" s="2513"/>
      <c r="CT9989" s="531"/>
    </row>
    <row r="9990" spans="1:98">
      <c r="A9990" s="532"/>
      <c r="AR9990" s="2513"/>
      <c r="CT9990" s="531"/>
    </row>
    <row r="9991" spans="1:98">
      <c r="A9991" s="532"/>
      <c r="AR9991" s="2513"/>
      <c r="CT9991" s="531"/>
    </row>
    <row r="9992" spans="1:98">
      <c r="A9992" s="532"/>
      <c r="AR9992" s="2513"/>
      <c r="CT9992" s="531"/>
    </row>
    <row r="9993" spans="1:98">
      <c r="A9993" s="532"/>
      <c r="AR9993" s="2513"/>
      <c r="CT9993" s="531"/>
    </row>
    <row r="9994" spans="1:98">
      <c r="A9994" s="532"/>
      <c r="AR9994" s="2513"/>
      <c r="CT9994" s="531"/>
    </row>
    <row r="9995" spans="1:98">
      <c r="A9995" s="532"/>
      <c r="AR9995" s="2513"/>
      <c r="CT9995" s="531"/>
    </row>
    <row r="9996" spans="1:98">
      <c r="A9996" s="532"/>
      <c r="AR9996" s="2513"/>
      <c r="CT9996" s="531"/>
    </row>
    <row r="9997" spans="1:98">
      <c r="A9997" s="532"/>
      <c r="AR9997" s="2513"/>
      <c r="CT9997" s="531"/>
    </row>
    <row r="9998" spans="1:98">
      <c r="A9998" s="532"/>
      <c r="AR9998" s="2513"/>
      <c r="CT9998" s="531"/>
    </row>
    <row r="9999" spans="1:98">
      <c r="A9999" s="532"/>
      <c r="AR9999" s="2513"/>
      <c r="CT9999" s="531"/>
    </row>
    <row r="10000" spans="1:98">
      <c r="A10000" s="532"/>
      <c r="AR10000" s="2513"/>
      <c r="CT10000" s="531"/>
    </row>
    <row r="10001" spans="1:98">
      <c r="A10001" s="532"/>
      <c r="AR10001" s="2513"/>
      <c r="CT10001" s="531"/>
    </row>
    <row r="10002" spans="1:98">
      <c r="A10002" s="532"/>
      <c r="AR10002" s="2513"/>
      <c r="CT10002" s="531"/>
    </row>
    <row r="10003" spans="1:98">
      <c r="A10003" s="532"/>
      <c r="AR10003" s="2513"/>
      <c r="CT10003" s="531"/>
    </row>
    <row r="10004" spans="1:98">
      <c r="A10004" s="532"/>
      <c r="AR10004" s="2513"/>
      <c r="CT10004" s="531"/>
    </row>
    <row r="10005" spans="1:98">
      <c r="A10005" s="532"/>
      <c r="AR10005" s="2513"/>
      <c r="CT10005" s="531"/>
    </row>
    <row r="10006" spans="1:98">
      <c r="A10006" s="532"/>
      <c r="AR10006" s="2513"/>
      <c r="CT10006" s="531"/>
    </row>
    <row r="10007" spans="1:98">
      <c r="A10007" s="532"/>
      <c r="AR10007" s="2513"/>
      <c r="CT10007" s="531"/>
    </row>
    <row r="10008" spans="1:98">
      <c r="A10008" s="532"/>
      <c r="AR10008" s="2513"/>
      <c r="CT10008" s="531"/>
    </row>
    <row r="10009" spans="1:98">
      <c r="A10009" s="532"/>
      <c r="AR10009" s="2513"/>
      <c r="CT10009" s="531"/>
    </row>
    <row r="10010" spans="1:98">
      <c r="A10010" s="532"/>
      <c r="AR10010" s="2513"/>
      <c r="CT10010" s="531"/>
    </row>
    <row r="10011" spans="1:98">
      <c r="A10011" s="532"/>
      <c r="AR10011" s="2513"/>
      <c r="CT10011" s="531"/>
    </row>
    <row r="10012" spans="1:98">
      <c r="A10012" s="532"/>
      <c r="AR10012" s="2513"/>
      <c r="CT10012" s="531"/>
    </row>
    <row r="10013" spans="1:98">
      <c r="A10013" s="532"/>
      <c r="AR10013" s="2513"/>
      <c r="CT10013" s="531"/>
    </row>
    <row r="10014" spans="1:98">
      <c r="A10014" s="532"/>
      <c r="AR10014" s="2513"/>
      <c r="CT10014" s="531"/>
    </row>
    <row r="10015" spans="1:98">
      <c r="A10015" s="532"/>
      <c r="AR10015" s="2513"/>
      <c r="CT10015" s="531"/>
    </row>
    <row r="10016" spans="1:98">
      <c r="A10016" s="532"/>
      <c r="AR10016" s="2513"/>
      <c r="CT10016" s="531"/>
    </row>
    <row r="10017" spans="1:98">
      <c r="A10017" s="532"/>
      <c r="AR10017" s="2513"/>
      <c r="CT10017" s="531"/>
    </row>
    <row r="10018" spans="1:98">
      <c r="A10018" s="532"/>
      <c r="AR10018" s="2513"/>
      <c r="CT10018" s="531"/>
    </row>
    <row r="10019" spans="1:98">
      <c r="A10019" s="532"/>
      <c r="AR10019" s="2513"/>
      <c r="CT10019" s="531"/>
    </row>
    <row r="10020" spans="1:98">
      <c r="A10020" s="532"/>
      <c r="AR10020" s="2513"/>
      <c r="CT10020" s="531"/>
    </row>
    <row r="10021" spans="1:98">
      <c r="A10021" s="532"/>
      <c r="AR10021" s="2513"/>
      <c r="CT10021" s="531"/>
    </row>
    <row r="10022" spans="1:98">
      <c r="A10022" s="532"/>
      <c r="AR10022" s="2513"/>
      <c r="CT10022" s="531"/>
    </row>
    <row r="10023" spans="1:98">
      <c r="A10023" s="532"/>
      <c r="AR10023" s="2513"/>
      <c r="CT10023" s="531"/>
    </row>
    <row r="10024" spans="1:98">
      <c r="A10024" s="532"/>
      <c r="AR10024" s="2513"/>
      <c r="CT10024" s="531"/>
    </row>
    <row r="10025" spans="1:98">
      <c r="A10025" s="532"/>
      <c r="AR10025" s="2513"/>
      <c r="CT10025" s="531"/>
    </row>
    <row r="10026" spans="1:98">
      <c r="A10026" s="532"/>
      <c r="AR10026" s="2513"/>
      <c r="CT10026" s="531"/>
    </row>
    <row r="10027" spans="1:98">
      <c r="A10027" s="532"/>
      <c r="AR10027" s="2513"/>
      <c r="CT10027" s="531"/>
    </row>
    <row r="10028" spans="1:98">
      <c r="A10028" s="532"/>
      <c r="AR10028" s="2513"/>
      <c r="CT10028" s="531"/>
    </row>
    <row r="10029" spans="1:98">
      <c r="A10029" s="532"/>
      <c r="AR10029" s="2513"/>
      <c r="CT10029" s="531"/>
    </row>
    <row r="10030" spans="1:98">
      <c r="A10030" s="532"/>
      <c r="AR10030" s="2513"/>
      <c r="CT10030" s="531"/>
    </row>
    <row r="10031" spans="1:98">
      <c r="A10031" s="532"/>
      <c r="AR10031" s="2513"/>
      <c r="CT10031" s="531"/>
    </row>
    <row r="10032" spans="1:98">
      <c r="A10032" s="532"/>
      <c r="AR10032" s="2513"/>
      <c r="CT10032" s="531"/>
    </row>
    <row r="10033" spans="1:98">
      <c r="A10033" s="532"/>
      <c r="AR10033" s="2513"/>
      <c r="CT10033" s="531"/>
    </row>
    <row r="10034" spans="1:98">
      <c r="A10034" s="532"/>
      <c r="AR10034" s="2513"/>
      <c r="CT10034" s="531"/>
    </row>
    <row r="10035" spans="1:98">
      <c r="A10035" s="532"/>
      <c r="AR10035" s="2513"/>
      <c r="CT10035" s="531"/>
    </row>
    <row r="10036" spans="1:98">
      <c r="A10036" s="532"/>
      <c r="AR10036" s="2513"/>
      <c r="CT10036" s="531"/>
    </row>
    <row r="10037" spans="1:98">
      <c r="A10037" s="532"/>
      <c r="AR10037" s="2513"/>
      <c r="CT10037" s="531"/>
    </row>
    <row r="10038" spans="1:98">
      <c r="A10038" s="532"/>
      <c r="AR10038" s="2513"/>
      <c r="CT10038" s="531"/>
    </row>
    <row r="10039" spans="1:98">
      <c r="A10039" s="532"/>
      <c r="AR10039" s="2513"/>
      <c r="CT10039" s="531"/>
    </row>
    <row r="10040" spans="1:98">
      <c r="A10040" s="532"/>
      <c r="AR10040" s="2513"/>
      <c r="CT10040" s="531"/>
    </row>
    <row r="10041" spans="1:98">
      <c r="A10041" s="532"/>
      <c r="AR10041" s="2513"/>
      <c r="CT10041" s="531"/>
    </row>
    <row r="10042" spans="1:98">
      <c r="A10042" s="532"/>
      <c r="AR10042" s="2513"/>
      <c r="CT10042" s="531"/>
    </row>
    <row r="10043" spans="1:98">
      <c r="A10043" s="532"/>
      <c r="AR10043" s="2513"/>
      <c r="CT10043" s="531"/>
    </row>
    <row r="10044" spans="1:98">
      <c r="A10044" s="532"/>
      <c r="AR10044" s="2513"/>
      <c r="CT10044" s="531"/>
    </row>
    <row r="10045" spans="1:98">
      <c r="A10045" s="532"/>
      <c r="AR10045" s="2513"/>
      <c r="CT10045" s="531"/>
    </row>
    <row r="10046" spans="1:98">
      <c r="A10046" s="532"/>
      <c r="AR10046" s="2513"/>
      <c r="CT10046" s="531"/>
    </row>
    <row r="10047" spans="1:98">
      <c r="A10047" s="532"/>
      <c r="AR10047" s="2513"/>
      <c r="CT10047" s="531"/>
    </row>
    <row r="10048" spans="1:98">
      <c r="A10048" s="532"/>
      <c r="AR10048" s="2513"/>
      <c r="CT10048" s="531"/>
    </row>
    <row r="10049" spans="1:98">
      <c r="A10049" s="532"/>
      <c r="AR10049" s="2513"/>
      <c r="CT10049" s="531"/>
    </row>
    <row r="10050" spans="1:98">
      <c r="A10050" s="532"/>
      <c r="AR10050" s="2513"/>
      <c r="CT10050" s="531"/>
    </row>
    <row r="10051" spans="1:98">
      <c r="A10051" s="532"/>
      <c r="AR10051" s="2513"/>
      <c r="CT10051" s="531"/>
    </row>
    <row r="10052" spans="1:98">
      <c r="A10052" s="532"/>
      <c r="AR10052" s="2513"/>
      <c r="CT10052" s="531"/>
    </row>
    <row r="10053" spans="1:98">
      <c r="A10053" s="532"/>
      <c r="AR10053" s="2513"/>
      <c r="CT10053" s="531"/>
    </row>
    <row r="10054" spans="1:98">
      <c r="A10054" s="532"/>
      <c r="AR10054" s="2513"/>
      <c r="CT10054" s="531"/>
    </row>
    <row r="10055" spans="1:98">
      <c r="A10055" s="532"/>
      <c r="AR10055" s="2513"/>
      <c r="CT10055" s="531"/>
    </row>
    <row r="10056" spans="1:98">
      <c r="A10056" s="532"/>
      <c r="AR10056" s="2513"/>
      <c r="CT10056" s="531"/>
    </row>
    <row r="10057" spans="1:98">
      <c r="A10057" s="532"/>
      <c r="AR10057" s="2513"/>
      <c r="CT10057" s="531"/>
    </row>
    <row r="10058" spans="1:98">
      <c r="A10058" s="532"/>
      <c r="AR10058" s="2513"/>
      <c r="CT10058" s="531"/>
    </row>
    <row r="10059" spans="1:98">
      <c r="A10059" s="532"/>
      <c r="AR10059" s="2513"/>
      <c r="CT10059" s="531"/>
    </row>
    <row r="10060" spans="1:98">
      <c r="A10060" s="532"/>
      <c r="AR10060" s="2513"/>
      <c r="CT10060" s="531"/>
    </row>
    <row r="10061" spans="1:98">
      <c r="A10061" s="532"/>
      <c r="AR10061" s="2513"/>
      <c r="CT10061" s="531"/>
    </row>
    <row r="10062" spans="1:98">
      <c r="A10062" s="532"/>
      <c r="AR10062" s="2513"/>
      <c r="CT10062" s="531"/>
    </row>
    <row r="10063" spans="1:98">
      <c r="A10063" s="532"/>
      <c r="AR10063" s="2513"/>
      <c r="CT10063" s="531"/>
    </row>
    <row r="10064" spans="1:98">
      <c r="A10064" s="532"/>
      <c r="AR10064" s="2513"/>
      <c r="CT10064" s="531"/>
    </row>
    <row r="10065" spans="1:98">
      <c r="A10065" s="532"/>
      <c r="AR10065" s="2513"/>
      <c r="CT10065" s="531"/>
    </row>
    <row r="10066" spans="1:98">
      <c r="A10066" s="532"/>
      <c r="AR10066" s="2513"/>
      <c r="CT10066" s="531"/>
    </row>
    <row r="10067" spans="1:98">
      <c r="A10067" s="532"/>
      <c r="AR10067" s="2513"/>
      <c r="CT10067" s="531"/>
    </row>
    <row r="10068" spans="1:98">
      <c r="A10068" s="532"/>
      <c r="AR10068" s="2513"/>
      <c r="CT10068" s="531"/>
    </row>
    <row r="10069" spans="1:98">
      <c r="A10069" s="532"/>
      <c r="AR10069" s="2513"/>
      <c r="CT10069" s="531"/>
    </row>
    <row r="10070" spans="1:98">
      <c r="A10070" s="532"/>
      <c r="AR10070" s="2513"/>
      <c r="CT10070" s="531"/>
    </row>
    <row r="10071" spans="1:98">
      <c r="A10071" s="532"/>
      <c r="AR10071" s="2513"/>
      <c r="CT10071" s="531"/>
    </row>
    <row r="10072" spans="1:98">
      <c r="A10072" s="532"/>
      <c r="AR10072" s="2513"/>
      <c r="CT10072" s="531"/>
    </row>
    <row r="10073" spans="1:98">
      <c r="A10073" s="532"/>
      <c r="AR10073" s="2513"/>
      <c r="CT10073" s="531"/>
    </row>
    <row r="10074" spans="1:98">
      <c r="A10074" s="532"/>
      <c r="AR10074" s="2513"/>
      <c r="CT10074" s="531"/>
    </row>
    <row r="10075" spans="1:98">
      <c r="A10075" s="532"/>
      <c r="AR10075" s="2513"/>
      <c r="CT10075" s="531"/>
    </row>
    <row r="10076" spans="1:98">
      <c r="A10076" s="532"/>
      <c r="AR10076" s="2513"/>
      <c r="CT10076" s="531"/>
    </row>
    <row r="10077" spans="1:98">
      <c r="A10077" s="532"/>
      <c r="AR10077" s="2513"/>
      <c r="CT10077" s="531"/>
    </row>
    <row r="10078" spans="1:98">
      <c r="A10078" s="532"/>
      <c r="AR10078" s="2513"/>
      <c r="CT10078" s="531"/>
    </row>
    <row r="10079" spans="1:98">
      <c r="A10079" s="532"/>
      <c r="AR10079" s="2513"/>
      <c r="CT10079" s="531"/>
    </row>
    <row r="10080" spans="1:98">
      <c r="A10080" s="532"/>
      <c r="AR10080" s="2513"/>
      <c r="CT10080" s="531"/>
    </row>
    <row r="10081" spans="1:98">
      <c r="A10081" s="532"/>
      <c r="AR10081" s="2513"/>
      <c r="CT10081" s="531"/>
    </row>
    <row r="10082" spans="1:98">
      <c r="A10082" s="532"/>
      <c r="AR10082" s="2513"/>
      <c r="CT10082" s="531"/>
    </row>
    <row r="10083" spans="1:98">
      <c r="A10083" s="532"/>
      <c r="AR10083" s="2513"/>
      <c r="CT10083" s="531"/>
    </row>
    <row r="10084" spans="1:98">
      <c r="A10084" s="532"/>
      <c r="AR10084" s="2513"/>
      <c r="CT10084" s="531"/>
    </row>
    <row r="10085" spans="1:98">
      <c r="A10085" s="532"/>
      <c r="AR10085" s="2513"/>
      <c r="CT10085" s="531"/>
    </row>
    <row r="10086" spans="1:98">
      <c r="A10086" s="532"/>
      <c r="AR10086" s="2513"/>
      <c r="CT10086" s="531"/>
    </row>
    <row r="10087" spans="1:98">
      <c r="A10087" s="532"/>
      <c r="AR10087" s="2513"/>
      <c r="CT10087" s="531"/>
    </row>
    <row r="10088" spans="1:98">
      <c r="A10088" s="532"/>
      <c r="AR10088" s="2513"/>
      <c r="CT10088" s="531"/>
    </row>
    <row r="10089" spans="1:98">
      <c r="A10089" s="532"/>
      <c r="AR10089" s="2513"/>
      <c r="CT10089" s="531"/>
    </row>
    <row r="10090" spans="1:98">
      <c r="A10090" s="532"/>
      <c r="AR10090" s="2513"/>
      <c r="CT10090" s="531"/>
    </row>
    <row r="10091" spans="1:98">
      <c r="A10091" s="532"/>
      <c r="AR10091" s="2513"/>
      <c r="CT10091" s="531"/>
    </row>
    <row r="10092" spans="1:98">
      <c r="A10092" s="532"/>
      <c r="AR10092" s="2513"/>
      <c r="CT10092" s="531"/>
    </row>
    <row r="10093" spans="1:98">
      <c r="A10093" s="532"/>
      <c r="AR10093" s="2513"/>
      <c r="CT10093" s="531"/>
    </row>
    <row r="10094" spans="1:98">
      <c r="A10094" s="532"/>
      <c r="AR10094" s="2513"/>
      <c r="CT10094" s="531"/>
    </row>
    <row r="10095" spans="1:98">
      <c r="A10095" s="532"/>
      <c r="AR10095" s="2513"/>
      <c r="CT10095" s="531"/>
    </row>
    <row r="10096" spans="1:98">
      <c r="A10096" s="532"/>
      <c r="AR10096" s="2513"/>
      <c r="CT10096" s="531"/>
    </row>
    <row r="10097" spans="1:98">
      <c r="A10097" s="532"/>
      <c r="AR10097" s="2513"/>
      <c r="CT10097" s="531"/>
    </row>
    <row r="10098" spans="1:98">
      <c r="A10098" s="532"/>
      <c r="AR10098" s="2513"/>
      <c r="CT10098" s="531"/>
    </row>
    <row r="10099" spans="1:98">
      <c r="A10099" s="532"/>
      <c r="AR10099" s="2513"/>
      <c r="CT10099" s="531"/>
    </row>
    <row r="10100" spans="1:98">
      <c r="A10100" s="532"/>
      <c r="AR10100" s="2513"/>
      <c r="CT10100" s="531"/>
    </row>
    <row r="10101" spans="1:98">
      <c r="A10101" s="532"/>
      <c r="AR10101" s="2513"/>
      <c r="CT10101" s="531"/>
    </row>
    <row r="10102" spans="1:98">
      <c r="A10102" s="532"/>
      <c r="AR10102" s="2513"/>
      <c r="CT10102" s="531"/>
    </row>
    <row r="10103" spans="1:98">
      <c r="A10103" s="532"/>
      <c r="AR10103" s="2513"/>
      <c r="CT10103" s="531"/>
    </row>
    <row r="10104" spans="1:98">
      <c r="A10104" s="532"/>
      <c r="AR10104" s="2513"/>
      <c r="CT10104" s="531"/>
    </row>
    <row r="10105" spans="1:98">
      <c r="A10105" s="532"/>
      <c r="AR10105" s="2513"/>
      <c r="CT10105" s="531"/>
    </row>
    <row r="10106" spans="1:98">
      <c r="A10106" s="532"/>
      <c r="AR10106" s="2513"/>
      <c r="CT10106" s="531"/>
    </row>
    <row r="10107" spans="1:98">
      <c r="A10107" s="532"/>
      <c r="AR10107" s="2513"/>
      <c r="CT10107" s="531"/>
    </row>
    <row r="10108" spans="1:98">
      <c r="A10108" s="532"/>
      <c r="AR10108" s="2513"/>
      <c r="CT10108" s="531"/>
    </row>
    <row r="10109" spans="1:98">
      <c r="A10109" s="532"/>
      <c r="AR10109" s="2513"/>
      <c r="CT10109" s="531"/>
    </row>
    <row r="10110" spans="1:98">
      <c r="A10110" s="532"/>
      <c r="AR10110" s="2513"/>
      <c r="CT10110" s="531"/>
    </row>
    <row r="10111" spans="1:98">
      <c r="A10111" s="532"/>
      <c r="AR10111" s="2513"/>
      <c r="CT10111" s="531"/>
    </row>
    <row r="10112" spans="1:98">
      <c r="A10112" s="532"/>
      <c r="AR10112" s="2513"/>
      <c r="CT10112" s="531"/>
    </row>
    <row r="10113" spans="1:98">
      <c r="A10113" s="532"/>
      <c r="AR10113" s="2513"/>
      <c r="CT10113" s="531"/>
    </row>
    <row r="10114" spans="1:98">
      <c r="A10114" s="532"/>
      <c r="AR10114" s="2513"/>
      <c r="CT10114" s="531"/>
    </row>
    <row r="10115" spans="1:98">
      <c r="A10115" s="532"/>
      <c r="AR10115" s="2513"/>
      <c r="CT10115" s="531"/>
    </row>
    <row r="10116" spans="1:98">
      <c r="A10116" s="532"/>
      <c r="AR10116" s="2513"/>
      <c r="CT10116" s="531"/>
    </row>
    <row r="10117" spans="1:98">
      <c r="A10117" s="532"/>
      <c r="AR10117" s="2513"/>
      <c r="CT10117" s="531"/>
    </row>
    <row r="10118" spans="1:98">
      <c r="A10118" s="532"/>
      <c r="AR10118" s="2513"/>
      <c r="CT10118" s="531"/>
    </row>
    <row r="10119" spans="1:98">
      <c r="A10119" s="532"/>
      <c r="AR10119" s="2513"/>
      <c r="CT10119" s="531"/>
    </row>
    <row r="10120" spans="1:98">
      <c r="A10120" s="532"/>
      <c r="AR10120" s="2513"/>
      <c r="CT10120" s="531"/>
    </row>
    <row r="10121" spans="1:98">
      <c r="A10121" s="532"/>
      <c r="AR10121" s="2513"/>
      <c r="CT10121" s="531"/>
    </row>
    <row r="10122" spans="1:98">
      <c r="A10122" s="532"/>
      <c r="AR10122" s="2513"/>
      <c r="CT10122" s="531"/>
    </row>
    <row r="10123" spans="1:98">
      <c r="A10123" s="532"/>
      <c r="AR10123" s="2513"/>
      <c r="CT10123" s="531"/>
    </row>
    <row r="10124" spans="1:98">
      <c r="A10124" s="532"/>
      <c r="AR10124" s="2513"/>
      <c r="CT10124" s="531"/>
    </row>
    <row r="10125" spans="1:98">
      <c r="A10125" s="532"/>
      <c r="AR10125" s="2513"/>
      <c r="CT10125" s="531"/>
    </row>
    <row r="10126" spans="1:98">
      <c r="A10126" s="532"/>
      <c r="AR10126" s="2513"/>
      <c r="CT10126" s="531"/>
    </row>
    <row r="10127" spans="1:98">
      <c r="A10127" s="532"/>
      <c r="AR10127" s="2513"/>
      <c r="CT10127" s="531"/>
    </row>
    <row r="10128" spans="1:98">
      <c r="A10128" s="532"/>
      <c r="AR10128" s="2513"/>
      <c r="CT10128" s="531"/>
    </row>
    <row r="10129" spans="1:98">
      <c r="A10129" s="532"/>
      <c r="AR10129" s="2513"/>
      <c r="CT10129" s="531"/>
    </row>
    <row r="10130" spans="1:98">
      <c r="A10130" s="532"/>
      <c r="AR10130" s="2513"/>
      <c r="CT10130" s="531"/>
    </row>
    <row r="10131" spans="1:98">
      <c r="A10131" s="532"/>
      <c r="AR10131" s="2513"/>
      <c r="CT10131" s="531"/>
    </row>
    <row r="10132" spans="1:98">
      <c r="A10132" s="532"/>
      <c r="AR10132" s="2513"/>
      <c r="CT10132" s="531"/>
    </row>
    <row r="10133" spans="1:98">
      <c r="A10133" s="532"/>
      <c r="AR10133" s="2513"/>
      <c r="CT10133" s="531"/>
    </row>
    <row r="10134" spans="1:98">
      <c r="A10134" s="532"/>
      <c r="AR10134" s="2513"/>
      <c r="CT10134" s="531"/>
    </row>
    <row r="10135" spans="1:98">
      <c r="A10135" s="532"/>
      <c r="AR10135" s="2513"/>
      <c r="CT10135" s="531"/>
    </row>
    <row r="10136" spans="1:98">
      <c r="A10136" s="532"/>
      <c r="AR10136" s="2513"/>
      <c r="CT10136" s="531"/>
    </row>
    <row r="10137" spans="1:98">
      <c r="A10137" s="532"/>
      <c r="AR10137" s="2513"/>
      <c r="CT10137" s="531"/>
    </row>
    <row r="10138" spans="1:98">
      <c r="A10138" s="532"/>
      <c r="AR10138" s="2513"/>
      <c r="CT10138" s="531"/>
    </row>
    <row r="10139" spans="1:98">
      <c r="A10139" s="532"/>
      <c r="AR10139" s="2513"/>
      <c r="CT10139" s="531"/>
    </row>
    <row r="10140" spans="1:98">
      <c r="A10140" s="532"/>
      <c r="AR10140" s="2513"/>
      <c r="CT10140" s="531"/>
    </row>
    <row r="10141" spans="1:98">
      <c r="A10141" s="532"/>
      <c r="AR10141" s="2513"/>
      <c r="CT10141" s="531"/>
    </row>
    <row r="10142" spans="1:98">
      <c r="A10142" s="532"/>
      <c r="AR10142" s="2513"/>
      <c r="CT10142" s="531"/>
    </row>
    <row r="10143" spans="1:98">
      <c r="A10143" s="532"/>
      <c r="AR10143" s="2513"/>
      <c r="CT10143" s="531"/>
    </row>
    <row r="10144" spans="1:98">
      <c r="A10144" s="532"/>
      <c r="AR10144" s="2513"/>
      <c r="CT10144" s="531"/>
    </row>
    <row r="10145" spans="1:98">
      <c r="A10145" s="532"/>
      <c r="AR10145" s="2513"/>
      <c r="CT10145" s="531"/>
    </row>
    <row r="10146" spans="1:98">
      <c r="A10146" s="532"/>
      <c r="AR10146" s="2513"/>
      <c r="CT10146" s="531"/>
    </row>
    <row r="10147" spans="1:98">
      <c r="A10147" s="532"/>
      <c r="AR10147" s="2513"/>
      <c r="CT10147" s="531"/>
    </row>
    <row r="10148" spans="1:98">
      <c r="A10148" s="532"/>
      <c r="AR10148" s="2513"/>
      <c r="CT10148" s="531"/>
    </row>
    <row r="10149" spans="1:98">
      <c r="A10149" s="532"/>
      <c r="AR10149" s="2513"/>
      <c r="CT10149" s="531"/>
    </row>
    <row r="10150" spans="1:98">
      <c r="A10150" s="532"/>
      <c r="AR10150" s="2513"/>
      <c r="CT10150" s="531"/>
    </row>
    <row r="10151" spans="1:98">
      <c r="A10151" s="532"/>
      <c r="AR10151" s="2513"/>
      <c r="CT10151" s="531"/>
    </row>
    <row r="10152" spans="1:98">
      <c r="A10152" s="532"/>
      <c r="AR10152" s="2513"/>
      <c r="CT10152" s="531"/>
    </row>
    <row r="10153" spans="1:98">
      <c r="A10153" s="532"/>
      <c r="AR10153" s="2513"/>
      <c r="CT10153" s="531"/>
    </row>
    <row r="10154" spans="1:98">
      <c r="A10154" s="532"/>
      <c r="AR10154" s="2513"/>
      <c r="CT10154" s="531"/>
    </row>
    <row r="10155" spans="1:98">
      <c r="A10155" s="532"/>
      <c r="AR10155" s="2513"/>
      <c r="CT10155" s="531"/>
    </row>
    <row r="10156" spans="1:98">
      <c r="A10156" s="532"/>
      <c r="AR10156" s="2513"/>
      <c r="CT10156" s="531"/>
    </row>
    <row r="10157" spans="1:98">
      <c r="A10157" s="532"/>
      <c r="AR10157" s="2513"/>
      <c r="CT10157" s="531"/>
    </row>
    <row r="10158" spans="1:98">
      <c r="A10158" s="532"/>
      <c r="AR10158" s="2513"/>
      <c r="CT10158" s="531"/>
    </row>
    <row r="10159" spans="1:98">
      <c r="A10159" s="532"/>
      <c r="AR10159" s="2513"/>
      <c r="CT10159" s="531"/>
    </row>
    <row r="10160" spans="1:98">
      <c r="A10160" s="532"/>
      <c r="AR10160" s="2513"/>
      <c r="CT10160" s="531"/>
    </row>
    <row r="10161" spans="1:98">
      <c r="A10161" s="532"/>
      <c r="AR10161" s="2513"/>
      <c r="CT10161" s="531"/>
    </row>
    <row r="10162" spans="1:98">
      <c r="A10162" s="532"/>
      <c r="AR10162" s="2513"/>
      <c r="CT10162" s="531"/>
    </row>
    <row r="10163" spans="1:98">
      <c r="A10163" s="532"/>
      <c r="AR10163" s="2513"/>
      <c r="CT10163" s="531"/>
    </row>
    <row r="10164" spans="1:98">
      <c r="A10164" s="532"/>
      <c r="AR10164" s="2513"/>
      <c r="CT10164" s="531"/>
    </row>
    <row r="10165" spans="1:98">
      <c r="A10165" s="532"/>
      <c r="AR10165" s="2513"/>
      <c r="CT10165" s="531"/>
    </row>
    <row r="10166" spans="1:98">
      <c r="A10166" s="532"/>
      <c r="AR10166" s="2513"/>
      <c r="CT10166" s="531"/>
    </row>
    <row r="10167" spans="1:98">
      <c r="A10167" s="532"/>
      <c r="AR10167" s="2513"/>
      <c r="CT10167" s="531"/>
    </row>
    <row r="10168" spans="1:98">
      <c r="A10168" s="532"/>
      <c r="AR10168" s="2513"/>
      <c r="CT10168" s="531"/>
    </row>
    <row r="10169" spans="1:98">
      <c r="A10169" s="532"/>
      <c r="AR10169" s="2513"/>
      <c r="CT10169" s="531"/>
    </row>
    <row r="10170" spans="1:98">
      <c r="A10170" s="532"/>
      <c r="AR10170" s="2513"/>
      <c r="CT10170" s="531"/>
    </row>
    <row r="10171" spans="1:98">
      <c r="A10171" s="532"/>
      <c r="AR10171" s="2513"/>
      <c r="CT10171" s="531"/>
    </row>
    <row r="10172" spans="1:98">
      <c r="A10172" s="532"/>
      <c r="AR10172" s="2513"/>
      <c r="CT10172" s="531"/>
    </row>
    <row r="10173" spans="1:98">
      <c r="A10173" s="532"/>
      <c r="AR10173" s="2513"/>
      <c r="CT10173" s="531"/>
    </row>
    <row r="10174" spans="1:98">
      <c r="A10174" s="532"/>
      <c r="AR10174" s="2513"/>
      <c r="CT10174" s="531"/>
    </row>
    <row r="10175" spans="1:98">
      <c r="A10175" s="532"/>
      <c r="AR10175" s="2513"/>
      <c r="CT10175" s="531"/>
    </row>
    <row r="10176" spans="1:98">
      <c r="A10176" s="532"/>
      <c r="AR10176" s="2513"/>
      <c r="CT10176" s="531"/>
    </row>
    <row r="10177" spans="1:98">
      <c r="A10177" s="532"/>
      <c r="AR10177" s="2513"/>
      <c r="CT10177" s="531"/>
    </row>
    <row r="10178" spans="1:98">
      <c r="A10178" s="532"/>
      <c r="AR10178" s="2513"/>
      <c r="CT10178" s="531"/>
    </row>
    <row r="10179" spans="1:98">
      <c r="A10179" s="532"/>
      <c r="AR10179" s="2513"/>
      <c r="CT10179" s="531"/>
    </row>
    <row r="10180" spans="1:98">
      <c r="A10180" s="532"/>
      <c r="AR10180" s="2513"/>
      <c r="CT10180" s="531"/>
    </row>
    <row r="10181" spans="1:98">
      <c r="A10181" s="532"/>
      <c r="AR10181" s="2513"/>
      <c r="CT10181" s="531"/>
    </row>
    <row r="10182" spans="1:98">
      <c r="A10182" s="532"/>
      <c r="AR10182" s="2513"/>
      <c r="CT10182" s="531"/>
    </row>
    <row r="10183" spans="1:98">
      <c r="A10183" s="532"/>
      <c r="AR10183" s="2513"/>
      <c r="CT10183" s="531"/>
    </row>
    <row r="10184" spans="1:98">
      <c r="A10184" s="532"/>
      <c r="AR10184" s="2513"/>
      <c r="CT10184" s="531"/>
    </row>
    <row r="10185" spans="1:98">
      <c r="A10185" s="532"/>
      <c r="AR10185" s="2513"/>
      <c r="CT10185" s="531"/>
    </row>
    <row r="10186" spans="1:98">
      <c r="A10186" s="532"/>
      <c r="AR10186" s="2513"/>
      <c r="CT10186" s="531"/>
    </row>
    <row r="10187" spans="1:98">
      <c r="A10187" s="532"/>
      <c r="AR10187" s="2513"/>
      <c r="CT10187" s="531"/>
    </row>
    <row r="10188" spans="1:98">
      <c r="A10188" s="532"/>
      <c r="AR10188" s="2513"/>
      <c r="CT10188" s="531"/>
    </row>
    <row r="10189" spans="1:98">
      <c r="A10189" s="532"/>
      <c r="AR10189" s="2513"/>
      <c r="CT10189" s="531"/>
    </row>
    <row r="10190" spans="1:98">
      <c r="A10190" s="532"/>
      <c r="AR10190" s="2513"/>
      <c r="CT10190" s="531"/>
    </row>
    <row r="10191" spans="1:98">
      <c r="A10191" s="532"/>
      <c r="AR10191" s="2513"/>
      <c r="CT10191" s="531"/>
    </row>
    <row r="10192" spans="1:98">
      <c r="A10192" s="532"/>
      <c r="AR10192" s="2513"/>
      <c r="CT10192" s="531"/>
    </row>
    <row r="10193" spans="1:98">
      <c r="A10193" s="532"/>
      <c r="AR10193" s="2513"/>
      <c r="CT10193" s="531"/>
    </row>
    <row r="10194" spans="1:98">
      <c r="A10194" s="532"/>
      <c r="AR10194" s="2513"/>
      <c r="CT10194" s="531"/>
    </row>
    <row r="10195" spans="1:98">
      <c r="A10195" s="532"/>
      <c r="AR10195" s="2513"/>
      <c r="CT10195" s="531"/>
    </row>
    <row r="10196" spans="1:98">
      <c r="A10196" s="532"/>
      <c r="AR10196" s="2513"/>
      <c r="CT10196" s="531"/>
    </row>
    <row r="10197" spans="1:98">
      <c r="A10197" s="532"/>
      <c r="AR10197" s="2513"/>
      <c r="CT10197" s="531"/>
    </row>
    <row r="10198" spans="1:98">
      <c r="A10198" s="532"/>
      <c r="AR10198" s="2513"/>
      <c r="CT10198" s="531"/>
    </row>
    <row r="10199" spans="1:98">
      <c r="A10199" s="532"/>
      <c r="AR10199" s="2513"/>
      <c r="CT10199" s="531"/>
    </row>
    <row r="10200" spans="1:98">
      <c r="A10200" s="532"/>
      <c r="AR10200" s="2513"/>
      <c r="CT10200" s="531"/>
    </row>
    <row r="10201" spans="1:98">
      <c r="A10201" s="532"/>
      <c r="AR10201" s="2513"/>
      <c r="CT10201" s="531"/>
    </row>
    <row r="10202" spans="1:98">
      <c r="A10202" s="532"/>
      <c r="AR10202" s="2513"/>
      <c r="CT10202" s="531"/>
    </row>
    <row r="10203" spans="1:98">
      <c r="A10203" s="532"/>
      <c r="AR10203" s="2513"/>
      <c r="CT10203" s="531"/>
    </row>
    <row r="10204" spans="1:98">
      <c r="A10204" s="532"/>
      <c r="AR10204" s="2513"/>
      <c r="CT10204" s="531"/>
    </row>
    <row r="10205" spans="1:98">
      <c r="A10205" s="532"/>
      <c r="AR10205" s="2513"/>
      <c r="CT10205" s="531"/>
    </row>
    <row r="10206" spans="1:98">
      <c r="A10206" s="532"/>
      <c r="AR10206" s="2513"/>
      <c r="CT10206" s="531"/>
    </row>
    <row r="10207" spans="1:98">
      <c r="A10207" s="532"/>
      <c r="AR10207" s="2513"/>
      <c r="CT10207" s="531"/>
    </row>
    <row r="10208" spans="1:98">
      <c r="A10208" s="532"/>
      <c r="AR10208" s="2513"/>
      <c r="CT10208" s="531"/>
    </row>
    <row r="10209" spans="1:98">
      <c r="A10209" s="532"/>
      <c r="AR10209" s="2513"/>
      <c r="CT10209" s="531"/>
    </row>
    <row r="10210" spans="1:98">
      <c r="A10210" s="532"/>
      <c r="AR10210" s="2513"/>
      <c r="CT10210" s="531"/>
    </row>
    <row r="10211" spans="1:98">
      <c r="A10211" s="532"/>
      <c r="AR10211" s="2513"/>
      <c r="CT10211" s="531"/>
    </row>
    <row r="10212" spans="1:98">
      <c r="A10212" s="532"/>
      <c r="AR10212" s="2513"/>
      <c r="CT10212" s="531"/>
    </row>
    <row r="10213" spans="1:98">
      <c r="A10213" s="532"/>
      <c r="AR10213" s="2513"/>
      <c r="CT10213" s="531"/>
    </row>
    <row r="10214" spans="1:98">
      <c r="A10214" s="532"/>
      <c r="AR10214" s="2513"/>
      <c r="CT10214" s="531"/>
    </row>
    <row r="10215" spans="1:98">
      <c r="A10215" s="532"/>
      <c r="AR10215" s="2513"/>
      <c r="CT10215" s="531"/>
    </row>
    <row r="10216" spans="1:98">
      <c r="A10216" s="532"/>
      <c r="AR10216" s="2513"/>
      <c r="CT10216" s="531"/>
    </row>
    <row r="10217" spans="1:98">
      <c r="A10217" s="532"/>
      <c r="AR10217" s="2513"/>
      <c r="CT10217" s="531"/>
    </row>
    <row r="10218" spans="1:98">
      <c r="A10218" s="532"/>
      <c r="AR10218" s="2513"/>
      <c r="CT10218" s="531"/>
    </row>
    <row r="10219" spans="1:98">
      <c r="A10219" s="532"/>
      <c r="AR10219" s="2513"/>
      <c r="CT10219" s="531"/>
    </row>
    <row r="10220" spans="1:98">
      <c r="A10220" s="532"/>
      <c r="AR10220" s="2513"/>
      <c r="CT10220" s="531"/>
    </row>
    <row r="10221" spans="1:98">
      <c r="A10221" s="532"/>
      <c r="AR10221" s="2513"/>
      <c r="CT10221" s="531"/>
    </row>
    <row r="10222" spans="1:98">
      <c r="A10222" s="532"/>
      <c r="AR10222" s="2513"/>
      <c r="CT10222" s="531"/>
    </row>
    <row r="10223" spans="1:98">
      <c r="A10223" s="532"/>
      <c r="AR10223" s="2513"/>
      <c r="CT10223" s="531"/>
    </row>
    <row r="10224" spans="1:98">
      <c r="A10224" s="532"/>
      <c r="AR10224" s="2513"/>
      <c r="CT10224" s="531"/>
    </row>
    <row r="10225" spans="1:98">
      <c r="A10225" s="532"/>
      <c r="AR10225" s="2513"/>
      <c r="CT10225" s="531"/>
    </row>
    <row r="10226" spans="1:98">
      <c r="A10226" s="532"/>
      <c r="AR10226" s="2513"/>
      <c r="CT10226" s="531"/>
    </row>
    <row r="10227" spans="1:98">
      <c r="A10227" s="532"/>
      <c r="AR10227" s="2513"/>
      <c r="CT10227" s="531"/>
    </row>
    <row r="10228" spans="1:98">
      <c r="A10228" s="532"/>
      <c r="AR10228" s="2513"/>
      <c r="CT10228" s="531"/>
    </row>
    <row r="10229" spans="1:98">
      <c r="A10229" s="532"/>
      <c r="AR10229" s="2513"/>
      <c r="CT10229" s="531"/>
    </row>
    <row r="10230" spans="1:98">
      <c r="A10230" s="532"/>
      <c r="AR10230" s="2513"/>
      <c r="CT10230" s="531"/>
    </row>
    <row r="10231" spans="1:98">
      <c r="A10231" s="532"/>
      <c r="AR10231" s="2513"/>
      <c r="CT10231" s="531"/>
    </row>
    <row r="10232" spans="1:98">
      <c r="A10232" s="532"/>
      <c r="AR10232" s="2513"/>
      <c r="CT10232" s="531"/>
    </row>
    <row r="10233" spans="1:98">
      <c r="A10233" s="532"/>
      <c r="AR10233" s="2513"/>
      <c r="CT10233" s="531"/>
    </row>
    <row r="10234" spans="1:98">
      <c r="A10234" s="532"/>
      <c r="AR10234" s="2513"/>
      <c r="CT10234" s="531"/>
    </row>
    <row r="10235" spans="1:98">
      <c r="A10235" s="532"/>
      <c r="AR10235" s="2513"/>
      <c r="CT10235" s="531"/>
    </row>
    <row r="10236" spans="1:98">
      <c r="A10236" s="532"/>
      <c r="AR10236" s="2513"/>
      <c r="CT10236" s="531"/>
    </row>
    <row r="10237" spans="1:98">
      <c r="A10237" s="532"/>
      <c r="AR10237" s="2513"/>
      <c r="CT10237" s="531"/>
    </row>
    <row r="10238" spans="1:98">
      <c r="A10238" s="532"/>
      <c r="AR10238" s="2513"/>
      <c r="CT10238" s="531"/>
    </row>
    <row r="10239" spans="1:98">
      <c r="A10239" s="532"/>
      <c r="AR10239" s="2513"/>
      <c r="CT10239" s="531"/>
    </row>
    <row r="10240" spans="1:98">
      <c r="A10240" s="532"/>
      <c r="AR10240" s="2513"/>
      <c r="CT10240" s="531"/>
    </row>
    <row r="10241" spans="1:98">
      <c r="A10241" s="532"/>
      <c r="AR10241" s="2513"/>
      <c r="CT10241" s="531"/>
    </row>
    <row r="10242" spans="1:98">
      <c r="A10242" s="532"/>
      <c r="AR10242" s="2513"/>
      <c r="CT10242" s="531"/>
    </row>
    <row r="10243" spans="1:98">
      <c r="A10243" s="532"/>
      <c r="AR10243" s="2513"/>
      <c r="CT10243" s="531"/>
    </row>
    <row r="10244" spans="1:98">
      <c r="A10244" s="532"/>
      <c r="AR10244" s="2513"/>
      <c r="CT10244" s="531"/>
    </row>
    <row r="10245" spans="1:98">
      <c r="A10245" s="532"/>
      <c r="AR10245" s="2513"/>
      <c r="CT10245" s="531"/>
    </row>
    <row r="10246" spans="1:98">
      <c r="A10246" s="532"/>
      <c r="AR10246" s="2513"/>
      <c r="CT10246" s="531"/>
    </row>
    <row r="10247" spans="1:98">
      <c r="A10247" s="532"/>
      <c r="AR10247" s="2513"/>
      <c r="CT10247" s="531"/>
    </row>
    <row r="10248" spans="1:98">
      <c r="A10248" s="532"/>
      <c r="AR10248" s="2513"/>
      <c r="CT10248" s="531"/>
    </row>
    <row r="10249" spans="1:98">
      <c r="A10249" s="532"/>
      <c r="AR10249" s="2513"/>
      <c r="CT10249" s="531"/>
    </row>
    <row r="10250" spans="1:98">
      <c r="A10250" s="532"/>
      <c r="AR10250" s="2513"/>
      <c r="CT10250" s="531"/>
    </row>
    <row r="10251" spans="1:98">
      <c r="A10251" s="532"/>
      <c r="AR10251" s="2513"/>
      <c r="CT10251" s="531"/>
    </row>
    <row r="10252" spans="1:98">
      <c r="A10252" s="532"/>
      <c r="AR10252" s="2513"/>
      <c r="CT10252" s="531"/>
    </row>
    <row r="10253" spans="1:98">
      <c r="A10253" s="532"/>
      <c r="AR10253" s="2513"/>
      <c r="CT10253" s="531"/>
    </row>
    <row r="10254" spans="1:98">
      <c r="A10254" s="532"/>
      <c r="AR10254" s="2513"/>
      <c r="CT10254" s="531"/>
    </row>
    <row r="10255" spans="1:98">
      <c r="A10255" s="532"/>
      <c r="AR10255" s="2513"/>
      <c r="CT10255" s="531"/>
    </row>
    <row r="10256" spans="1:98">
      <c r="A10256" s="532"/>
      <c r="AR10256" s="2513"/>
      <c r="CT10256" s="531"/>
    </row>
    <row r="10257" spans="1:98">
      <c r="A10257" s="532"/>
      <c r="AR10257" s="2513"/>
      <c r="CT10257" s="531"/>
    </row>
    <row r="10258" spans="1:98">
      <c r="A10258" s="532"/>
      <c r="AR10258" s="2513"/>
      <c r="CT10258" s="531"/>
    </row>
    <row r="10259" spans="1:98">
      <c r="A10259" s="532"/>
      <c r="AR10259" s="2513"/>
      <c r="CT10259" s="531"/>
    </row>
    <row r="10260" spans="1:98">
      <c r="A10260" s="532"/>
      <c r="AR10260" s="2513"/>
      <c r="CT10260" s="531"/>
    </row>
    <row r="10261" spans="1:98">
      <c r="A10261" s="532"/>
      <c r="AR10261" s="2513"/>
      <c r="CT10261" s="531"/>
    </row>
    <row r="10262" spans="1:98">
      <c r="A10262" s="532"/>
      <c r="AR10262" s="2513"/>
      <c r="CT10262" s="531"/>
    </row>
    <row r="10263" spans="1:98">
      <c r="A10263" s="532"/>
      <c r="AR10263" s="2513"/>
      <c r="CT10263" s="531"/>
    </row>
    <row r="10264" spans="1:98">
      <c r="A10264" s="532"/>
      <c r="AR10264" s="2513"/>
      <c r="CT10264" s="531"/>
    </row>
    <row r="10265" spans="1:98">
      <c r="A10265" s="532"/>
      <c r="AR10265" s="2513"/>
      <c r="CT10265" s="531"/>
    </row>
    <row r="10266" spans="1:98">
      <c r="A10266" s="532"/>
      <c r="AR10266" s="2513"/>
      <c r="CT10266" s="531"/>
    </row>
    <row r="10267" spans="1:98">
      <c r="A10267" s="532"/>
      <c r="AR10267" s="2513"/>
      <c r="CT10267" s="531"/>
    </row>
    <row r="10268" spans="1:98">
      <c r="A10268" s="532"/>
      <c r="AR10268" s="2513"/>
      <c r="CT10268" s="531"/>
    </row>
    <row r="10269" spans="1:98">
      <c r="A10269" s="532"/>
      <c r="AR10269" s="2513"/>
      <c r="CT10269" s="531"/>
    </row>
    <row r="10270" spans="1:98">
      <c r="A10270" s="532"/>
      <c r="AR10270" s="2513"/>
      <c r="CT10270" s="531"/>
    </row>
    <row r="10271" spans="1:98">
      <c r="A10271" s="532"/>
      <c r="AR10271" s="2513"/>
      <c r="CT10271" s="531"/>
    </row>
    <row r="10272" spans="1:98">
      <c r="A10272" s="532"/>
      <c r="AR10272" s="2513"/>
      <c r="CT10272" s="531"/>
    </row>
    <row r="10273" spans="1:98">
      <c r="A10273" s="532"/>
      <c r="AR10273" s="2513"/>
      <c r="CT10273" s="531"/>
    </row>
    <row r="10274" spans="1:98">
      <c r="A10274" s="532"/>
      <c r="AR10274" s="2513"/>
      <c r="CT10274" s="531"/>
    </row>
    <row r="10275" spans="1:98">
      <c r="A10275" s="532"/>
      <c r="AR10275" s="2513"/>
      <c r="CT10275" s="531"/>
    </row>
    <row r="10276" spans="1:98">
      <c r="A10276" s="532"/>
      <c r="AR10276" s="2513"/>
      <c r="CT10276" s="531"/>
    </row>
    <row r="10277" spans="1:98">
      <c r="A10277" s="532"/>
      <c r="AR10277" s="2513"/>
      <c r="CT10277" s="531"/>
    </row>
    <row r="10278" spans="1:98">
      <c r="A10278" s="532"/>
      <c r="AR10278" s="2513"/>
      <c r="CT10278" s="531"/>
    </row>
    <row r="10279" spans="1:98">
      <c r="A10279" s="532"/>
      <c r="AR10279" s="2513"/>
      <c r="CT10279" s="531"/>
    </row>
    <row r="10280" spans="1:98">
      <c r="A10280" s="532"/>
      <c r="AR10280" s="2513"/>
      <c r="CT10280" s="531"/>
    </row>
    <row r="10281" spans="1:98">
      <c r="A10281" s="532"/>
      <c r="AR10281" s="2513"/>
      <c r="CT10281" s="531"/>
    </row>
    <row r="10282" spans="1:98">
      <c r="A10282" s="532"/>
      <c r="AR10282" s="2513"/>
      <c r="CT10282" s="531"/>
    </row>
    <row r="10283" spans="1:98">
      <c r="A10283" s="532"/>
      <c r="AR10283" s="2513"/>
      <c r="CT10283" s="531"/>
    </row>
    <row r="10284" spans="1:98">
      <c r="A10284" s="532"/>
      <c r="AR10284" s="2513"/>
      <c r="CT10284" s="531"/>
    </row>
    <row r="10285" spans="1:98">
      <c r="A10285" s="532"/>
      <c r="AR10285" s="2513"/>
      <c r="CT10285" s="531"/>
    </row>
    <row r="10286" spans="1:98">
      <c r="A10286" s="532"/>
      <c r="AR10286" s="2513"/>
      <c r="CT10286" s="531"/>
    </row>
    <row r="10287" spans="1:98">
      <c r="A10287" s="532"/>
      <c r="AR10287" s="2513"/>
      <c r="CT10287" s="531"/>
    </row>
    <row r="10288" spans="1:98">
      <c r="A10288" s="532"/>
      <c r="AR10288" s="2513"/>
      <c r="CT10288" s="531"/>
    </row>
    <row r="10289" spans="1:98">
      <c r="A10289" s="532"/>
      <c r="AR10289" s="2513"/>
      <c r="CT10289" s="531"/>
    </row>
    <row r="10290" spans="1:98">
      <c r="A10290" s="532"/>
      <c r="AR10290" s="2513"/>
      <c r="CT10290" s="531"/>
    </row>
    <row r="10291" spans="1:98">
      <c r="A10291" s="532"/>
      <c r="AR10291" s="2513"/>
      <c r="CT10291" s="531"/>
    </row>
    <row r="10292" spans="1:98">
      <c r="A10292" s="532"/>
      <c r="AR10292" s="2513"/>
      <c r="CT10292" s="531"/>
    </row>
    <row r="10293" spans="1:98">
      <c r="A10293" s="532"/>
      <c r="AR10293" s="2513"/>
      <c r="CT10293" s="531"/>
    </row>
    <row r="10294" spans="1:98">
      <c r="A10294" s="532"/>
      <c r="AR10294" s="2513"/>
      <c r="CT10294" s="531"/>
    </row>
    <row r="10295" spans="1:98">
      <c r="A10295" s="532"/>
      <c r="AR10295" s="2513"/>
      <c r="CT10295" s="531"/>
    </row>
    <row r="10296" spans="1:98">
      <c r="A10296" s="532"/>
      <c r="AR10296" s="2513"/>
      <c r="CT10296" s="531"/>
    </row>
    <row r="10297" spans="1:98">
      <c r="A10297" s="532"/>
      <c r="AR10297" s="2513"/>
      <c r="CT10297" s="531"/>
    </row>
    <row r="10298" spans="1:98">
      <c r="A10298" s="532"/>
      <c r="AR10298" s="2513"/>
      <c r="CT10298" s="531"/>
    </row>
    <row r="10299" spans="1:98">
      <c r="A10299" s="532"/>
      <c r="AR10299" s="2513"/>
      <c r="CT10299" s="531"/>
    </row>
    <row r="10300" spans="1:98">
      <c r="A10300" s="532"/>
      <c r="AR10300" s="2513"/>
      <c r="CT10300" s="531"/>
    </row>
    <row r="10301" spans="1:98">
      <c r="A10301" s="532"/>
      <c r="AR10301" s="2513"/>
      <c r="CT10301" s="531"/>
    </row>
    <row r="10302" spans="1:98">
      <c r="A10302" s="532"/>
      <c r="AR10302" s="2513"/>
      <c r="CT10302" s="531"/>
    </row>
    <row r="10303" spans="1:98">
      <c r="A10303" s="532"/>
      <c r="AR10303" s="2513"/>
      <c r="CT10303" s="531"/>
    </row>
    <row r="10304" spans="1:98">
      <c r="A10304" s="532"/>
      <c r="AR10304" s="2513"/>
      <c r="CT10304" s="531"/>
    </row>
    <row r="10305" spans="1:98">
      <c r="A10305" s="532"/>
      <c r="AR10305" s="2513"/>
      <c r="CT10305" s="531"/>
    </row>
    <row r="10306" spans="1:98">
      <c r="A10306" s="532"/>
      <c r="AR10306" s="2513"/>
      <c r="CT10306" s="531"/>
    </row>
    <row r="10307" spans="1:98">
      <c r="A10307" s="532"/>
      <c r="AR10307" s="2513"/>
      <c r="CT10307" s="531"/>
    </row>
    <row r="10308" spans="1:98">
      <c r="A10308" s="532"/>
      <c r="AR10308" s="2513"/>
      <c r="CT10308" s="531"/>
    </row>
    <row r="10309" spans="1:98">
      <c r="A10309" s="532"/>
      <c r="AR10309" s="2513"/>
      <c r="CT10309" s="531"/>
    </row>
    <row r="10310" spans="1:98">
      <c r="A10310" s="532"/>
      <c r="AR10310" s="2513"/>
      <c r="CT10310" s="531"/>
    </row>
    <row r="10311" spans="1:98">
      <c r="A10311" s="532"/>
      <c r="AR10311" s="2513"/>
      <c r="CT10311" s="531"/>
    </row>
    <row r="10312" spans="1:98">
      <c r="A10312" s="532"/>
      <c r="AR10312" s="2513"/>
      <c r="CT10312" s="531"/>
    </row>
    <row r="10313" spans="1:98">
      <c r="A10313" s="532"/>
      <c r="AR10313" s="2513"/>
      <c r="CT10313" s="531"/>
    </row>
    <row r="10314" spans="1:98">
      <c r="A10314" s="532"/>
      <c r="AR10314" s="2513"/>
      <c r="CT10314" s="531"/>
    </row>
    <row r="10315" spans="1:98">
      <c r="A10315" s="532"/>
      <c r="AR10315" s="2513"/>
      <c r="CT10315" s="531"/>
    </row>
    <row r="10316" spans="1:98">
      <c r="A10316" s="532"/>
      <c r="AR10316" s="2513"/>
      <c r="CT10316" s="531"/>
    </row>
    <row r="10317" spans="1:98">
      <c r="A10317" s="532"/>
      <c r="AR10317" s="2513"/>
      <c r="CT10317" s="531"/>
    </row>
    <row r="10318" spans="1:98">
      <c r="A10318" s="532"/>
      <c r="AR10318" s="2513"/>
      <c r="CT10318" s="531"/>
    </row>
    <row r="10319" spans="1:98">
      <c r="A10319" s="532"/>
      <c r="AR10319" s="2513"/>
      <c r="CT10319" s="531"/>
    </row>
    <row r="10320" spans="1:98">
      <c r="A10320" s="532"/>
      <c r="AR10320" s="2513"/>
      <c r="CT10320" s="531"/>
    </row>
    <row r="10321" spans="1:98">
      <c r="A10321" s="532"/>
      <c r="AR10321" s="2513"/>
      <c r="CT10321" s="531"/>
    </row>
    <row r="10322" spans="1:98">
      <c r="A10322" s="532"/>
      <c r="AR10322" s="2513"/>
      <c r="CT10322" s="531"/>
    </row>
    <row r="10323" spans="1:98">
      <c r="A10323" s="532"/>
      <c r="AR10323" s="2513"/>
      <c r="CT10323" s="531"/>
    </row>
    <row r="10324" spans="1:98">
      <c r="A10324" s="532"/>
      <c r="AR10324" s="2513"/>
      <c r="CT10324" s="531"/>
    </row>
    <row r="10325" spans="1:98">
      <c r="A10325" s="532"/>
      <c r="AR10325" s="2513"/>
      <c r="CT10325" s="531"/>
    </row>
    <row r="10326" spans="1:98">
      <c r="A10326" s="532"/>
      <c r="AR10326" s="2513"/>
      <c r="CT10326" s="531"/>
    </row>
    <row r="10327" spans="1:98">
      <c r="A10327" s="532"/>
      <c r="AR10327" s="2513"/>
      <c r="CT10327" s="531"/>
    </row>
    <row r="10328" spans="1:98">
      <c r="A10328" s="532"/>
      <c r="AR10328" s="2513"/>
      <c r="CT10328" s="531"/>
    </row>
    <row r="10329" spans="1:98">
      <c r="A10329" s="532"/>
      <c r="AR10329" s="2513"/>
      <c r="CT10329" s="531"/>
    </row>
    <row r="10330" spans="1:98">
      <c r="A10330" s="532"/>
      <c r="AR10330" s="2513"/>
      <c r="CT10330" s="531"/>
    </row>
    <row r="10331" spans="1:98">
      <c r="A10331" s="532"/>
      <c r="AR10331" s="2513"/>
      <c r="CT10331" s="531"/>
    </row>
    <row r="10332" spans="1:98">
      <c r="A10332" s="532"/>
      <c r="AR10332" s="2513"/>
      <c r="CT10332" s="531"/>
    </row>
    <row r="10333" spans="1:98">
      <c r="A10333" s="532"/>
      <c r="AR10333" s="2513"/>
      <c r="CT10333" s="531"/>
    </row>
    <row r="10334" spans="1:98">
      <c r="A10334" s="532"/>
      <c r="AR10334" s="2513"/>
      <c r="CT10334" s="531"/>
    </row>
    <row r="10335" spans="1:98">
      <c r="A10335" s="532"/>
      <c r="AR10335" s="2513"/>
      <c r="CT10335" s="531"/>
    </row>
    <row r="10336" spans="1:98">
      <c r="A10336" s="532"/>
      <c r="AR10336" s="2513"/>
      <c r="CT10336" s="531"/>
    </row>
    <row r="10337" spans="1:98">
      <c r="A10337" s="532"/>
      <c r="AR10337" s="2513"/>
      <c r="CT10337" s="531"/>
    </row>
    <row r="10338" spans="1:98">
      <c r="A10338" s="532"/>
      <c r="AR10338" s="2513"/>
      <c r="CT10338" s="531"/>
    </row>
    <row r="10339" spans="1:98">
      <c r="A10339" s="532"/>
      <c r="AR10339" s="2513"/>
      <c r="CT10339" s="531"/>
    </row>
    <row r="10340" spans="1:98">
      <c r="A10340" s="532"/>
      <c r="AR10340" s="2513"/>
      <c r="CT10340" s="531"/>
    </row>
    <row r="10341" spans="1:98">
      <c r="A10341" s="532"/>
      <c r="AR10341" s="2513"/>
      <c r="CT10341" s="531"/>
    </row>
    <row r="10342" spans="1:98">
      <c r="A10342" s="532"/>
      <c r="AR10342" s="2513"/>
      <c r="CT10342" s="531"/>
    </row>
    <row r="10343" spans="1:98">
      <c r="A10343" s="532"/>
      <c r="AR10343" s="2513"/>
      <c r="CT10343" s="531"/>
    </row>
    <row r="10344" spans="1:98">
      <c r="A10344" s="532"/>
      <c r="AR10344" s="2513"/>
      <c r="CT10344" s="531"/>
    </row>
    <row r="10345" spans="1:98">
      <c r="A10345" s="532"/>
      <c r="AR10345" s="2513"/>
      <c r="CT10345" s="531"/>
    </row>
    <row r="10346" spans="1:98">
      <c r="A10346" s="532"/>
      <c r="AR10346" s="2513"/>
      <c r="CT10346" s="531"/>
    </row>
    <row r="10347" spans="1:98">
      <c r="A10347" s="532"/>
      <c r="AR10347" s="2513"/>
      <c r="CT10347" s="531"/>
    </row>
    <row r="10348" spans="1:98">
      <c r="A10348" s="532"/>
      <c r="AR10348" s="2513"/>
      <c r="CT10348" s="531"/>
    </row>
    <row r="10349" spans="1:98">
      <c r="A10349" s="532"/>
      <c r="AR10349" s="2513"/>
      <c r="CT10349" s="531"/>
    </row>
    <row r="10350" spans="1:98">
      <c r="A10350" s="532"/>
      <c r="AR10350" s="2513"/>
      <c r="CT10350" s="531"/>
    </row>
    <row r="10351" spans="1:98">
      <c r="A10351" s="532"/>
      <c r="AR10351" s="2513"/>
      <c r="CT10351" s="531"/>
    </row>
    <row r="10352" spans="1:98">
      <c r="A10352" s="532"/>
      <c r="AR10352" s="2513"/>
      <c r="CT10352" s="531"/>
    </row>
    <row r="10353" spans="1:98">
      <c r="A10353" s="532"/>
      <c r="AR10353" s="2513"/>
      <c r="CT10353" s="531"/>
    </row>
    <row r="10354" spans="1:98">
      <c r="A10354" s="532"/>
      <c r="AR10354" s="2513"/>
      <c r="CT10354" s="531"/>
    </row>
    <row r="10355" spans="1:98">
      <c r="A10355" s="532"/>
      <c r="AR10355" s="2513"/>
      <c r="CT10355" s="531"/>
    </row>
    <row r="10356" spans="1:98">
      <c r="A10356" s="532"/>
      <c r="AR10356" s="2513"/>
      <c r="CT10356" s="531"/>
    </row>
    <row r="10357" spans="1:98">
      <c r="A10357" s="532"/>
      <c r="AR10357" s="2513"/>
      <c r="CT10357" s="531"/>
    </row>
    <row r="10358" spans="1:98">
      <c r="A10358" s="532"/>
      <c r="AR10358" s="2513"/>
      <c r="CT10358" s="531"/>
    </row>
    <row r="10359" spans="1:98">
      <c r="A10359" s="532"/>
      <c r="AR10359" s="2513"/>
      <c r="CT10359" s="531"/>
    </row>
    <row r="10360" spans="1:98">
      <c r="A10360" s="532"/>
      <c r="AR10360" s="2513"/>
      <c r="CT10360" s="531"/>
    </row>
    <row r="10361" spans="1:98">
      <c r="A10361" s="532"/>
      <c r="AR10361" s="2513"/>
      <c r="CT10361" s="531"/>
    </row>
    <row r="10362" spans="1:98">
      <c r="A10362" s="532"/>
      <c r="AR10362" s="2513"/>
      <c r="CT10362" s="531"/>
    </row>
    <row r="10363" spans="1:98">
      <c r="A10363" s="532"/>
      <c r="AR10363" s="2513"/>
      <c r="CT10363" s="531"/>
    </row>
    <row r="10364" spans="1:98">
      <c r="A10364" s="532"/>
      <c r="AR10364" s="2513"/>
      <c r="CT10364" s="531"/>
    </row>
    <row r="10365" spans="1:98">
      <c r="A10365" s="532"/>
      <c r="AR10365" s="2513"/>
      <c r="CT10365" s="531"/>
    </row>
    <row r="10366" spans="1:98">
      <c r="A10366" s="532"/>
      <c r="AR10366" s="2513"/>
      <c r="CT10366" s="531"/>
    </row>
    <row r="10367" spans="1:98">
      <c r="A10367" s="532"/>
      <c r="AR10367" s="2513"/>
      <c r="CT10367" s="531"/>
    </row>
    <row r="10368" spans="1:98">
      <c r="A10368" s="532"/>
      <c r="AR10368" s="2513"/>
      <c r="CT10368" s="531"/>
    </row>
    <row r="10369" spans="1:98">
      <c r="A10369" s="532"/>
      <c r="AR10369" s="2513"/>
      <c r="CT10369" s="531"/>
    </row>
    <row r="10370" spans="1:98">
      <c r="A10370" s="532"/>
      <c r="AR10370" s="2513"/>
      <c r="CT10370" s="531"/>
    </row>
    <row r="10371" spans="1:98">
      <c r="A10371" s="532"/>
      <c r="AR10371" s="2513"/>
      <c r="CT10371" s="531"/>
    </row>
    <row r="10372" spans="1:98">
      <c r="A10372" s="532"/>
      <c r="AR10372" s="2513"/>
      <c r="CT10372" s="531"/>
    </row>
    <row r="10373" spans="1:98">
      <c r="A10373" s="532"/>
      <c r="AR10373" s="2513"/>
      <c r="CT10373" s="531"/>
    </row>
    <row r="10374" spans="1:98">
      <c r="A10374" s="532"/>
      <c r="AR10374" s="2513"/>
      <c r="CT10374" s="531"/>
    </row>
    <row r="10375" spans="1:98">
      <c r="A10375" s="532"/>
      <c r="AR10375" s="2513"/>
      <c r="CT10375" s="531"/>
    </row>
    <row r="10376" spans="1:98">
      <c r="A10376" s="532"/>
      <c r="AR10376" s="2513"/>
      <c r="CT10376" s="531"/>
    </row>
    <row r="10377" spans="1:98">
      <c r="A10377" s="532"/>
      <c r="AR10377" s="2513"/>
      <c r="CT10377" s="531"/>
    </row>
    <row r="10378" spans="1:98">
      <c r="A10378" s="532"/>
      <c r="AR10378" s="2513"/>
      <c r="CT10378" s="531"/>
    </row>
    <row r="10379" spans="1:98">
      <c r="A10379" s="532"/>
      <c r="AR10379" s="2513"/>
      <c r="CT10379" s="531"/>
    </row>
    <row r="10380" spans="1:98">
      <c r="A10380" s="532"/>
      <c r="AR10380" s="2513"/>
      <c r="CT10380" s="531"/>
    </row>
    <row r="10381" spans="1:98">
      <c r="A10381" s="532"/>
      <c r="AR10381" s="2513"/>
      <c r="CT10381" s="531"/>
    </row>
    <row r="10382" spans="1:98">
      <c r="A10382" s="532"/>
      <c r="AR10382" s="2513"/>
      <c r="CT10382" s="531"/>
    </row>
    <row r="10383" spans="1:98">
      <c r="A10383" s="532"/>
      <c r="AR10383" s="2513"/>
      <c r="CT10383" s="531"/>
    </row>
    <row r="10384" spans="1:98">
      <c r="A10384" s="532"/>
      <c r="AR10384" s="2513"/>
      <c r="CT10384" s="531"/>
    </row>
    <row r="10385" spans="1:98">
      <c r="A10385" s="532"/>
      <c r="AR10385" s="2513"/>
      <c r="CT10385" s="531"/>
    </row>
    <row r="10386" spans="1:98">
      <c r="A10386" s="532"/>
      <c r="AR10386" s="2513"/>
      <c r="CT10386" s="531"/>
    </row>
    <row r="10387" spans="1:98">
      <c r="A10387" s="532"/>
      <c r="AR10387" s="2513"/>
      <c r="CT10387" s="531"/>
    </row>
    <row r="10388" spans="1:98">
      <c r="A10388" s="532"/>
      <c r="AR10388" s="2513"/>
      <c r="CT10388" s="531"/>
    </row>
    <row r="10389" spans="1:98">
      <c r="A10389" s="532"/>
      <c r="AR10389" s="2513"/>
      <c r="CT10389" s="531"/>
    </row>
    <row r="10390" spans="1:98">
      <c r="A10390" s="532"/>
      <c r="AR10390" s="2513"/>
      <c r="CT10390" s="531"/>
    </row>
    <row r="10391" spans="1:98">
      <c r="A10391" s="532"/>
      <c r="AR10391" s="2513"/>
      <c r="CT10391" s="531"/>
    </row>
    <row r="10392" spans="1:98">
      <c r="A10392" s="532"/>
      <c r="AR10392" s="2513"/>
      <c r="CT10392" s="531"/>
    </row>
    <row r="10393" spans="1:98">
      <c r="A10393" s="532"/>
      <c r="AR10393" s="2513"/>
      <c r="CT10393" s="531"/>
    </row>
    <row r="10394" spans="1:98">
      <c r="A10394" s="532"/>
      <c r="AR10394" s="2513"/>
      <c r="CT10394" s="531"/>
    </row>
    <row r="10395" spans="1:98">
      <c r="A10395" s="532"/>
      <c r="AR10395" s="2513"/>
      <c r="CT10395" s="531"/>
    </row>
    <row r="10396" spans="1:98">
      <c r="A10396" s="532"/>
      <c r="AR10396" s="2513"/>
      <c r="CT10396" s="531"/>
    </row>
    <row r="10397" spans="1:98">
      <c r="A10397" s="532"/>
      <c r="AR10397" s="2513"/>
      <c r="CT10397" s="531"/>
    </row>
    <row r="10398" spans="1:98">
      <c r="A10398" s="532"/>
      <c r="AR10398" s="2513"/>
      <c r="CT10398" s="531"/>
    </row>
    <row r="10399" spans="1:98">
      <c r="A10399" s="532"/>
      <c r="AR10399" s="2513"/>
      <c r="CT10399" s="531"/>
    </row>
    <row r="10400" spans="1:98">
      <c r="A10400" s="532"/>
      <c r="AR10400" s="2513"/>
      <c r="CT10400" s="531"/>
    </row>
    <row r="10401" spans="1:98">
      <c r="A10401" s="532"/>
      <c r="AR10401" s="2513"/>
      <c r="CT10401" s="531"/>
    </row>
    <row r="10402" spans="1:98">
      <c r="A10402" s="532"/>
      <c r="AR10402" s="2513"/>
      <c r="CT10402" s="531"/>
    </row>
    <row r="10403" spans="1:98">
      <c r="A10403" s="532"/>
      <c r="AR10403" s="2513"/>
      <c r="CT10403" s="531"/>
    </row>
    <row r="10404" spans="1:98">
      <c r="A10404" s="532"/>
      <c r="AR10404" s="2513"/>
      <c r="CT10404" s="531"/>
    </row>
    <row r="10405" spans="1:98">
      <c r="A10405" s="532"/>
      <c r="AR10405" s="2513"/>
      <c r="CT10405" s="531"/>
    </row>
    <row r="10406" spans="1:98">
      <c r="A10406" s="532"/>
      <c r="AR10406" s="2513"/>
      <c r="CT10406" s="531"/>
    </row>
    <row r="10407" spans="1:98">
      <c r="A10407" s="532"/>
      <c r="AR10407" s="2513"/>
      <c r="CT10407" s="531"/>
    </row>
    <row r="10408" spans="1:98">
      <c r="A10408" s="532"/>
      <c r="AR10408" s="2513"/>
      <c r="CT10408" s="531"/>
    </row>
    <row r="10409" spans="1:98">
      <c r="A10409" s="532"/>
      <c r="AR10409" s="2513"/>
      <c r="CT10409" s="531"/>
    </row>
    <row r="10410" spans="1:98">
      <c r="A10410" s="532"/>
      <c r="AR10410" s="2513"/>
      <c r="CT10410" s="531"/>
    </row>
    <row r="10411" spans="1:98">
      <c r="A10411" s="532"/>
      <c r="AR10411" s="2513"/>
      <c r="CT10411" s="531"/>
    </row>
    <row r="10412" spans="1:98">
      <c r="A10412" s="532"/>
      <c r="AR10412" s="2513"/>
      <c r="CT10412" s="531"/>
    </row>
    <row r="10413" spans="1:98">
      <c r="A10413" s="532"/>
      <c r="AR10413" s="2513"/>
      <c r="CT10413" s="531"/>
    </row>
    <row r="10414" spans="1:98">
      <c r="A10414" s="532"/>
      <c r="AR10414" s="2513"/>
      <c r="CT10414" s="531"/>
    </row>
    <row r="10415" spans="1:98">
      <c r="A10415" s="532"/>
      <c r="AR10415" s="2513"/>
      <c r="CT10415" s="531"/>
    </row>
    <row r="10416" spans="1:98">
      <c r="A10416" s="532"/>
      <c r="AR10416" s="2513"/>
      <c r="CT10416" s="531"/>
    </row>
    <row r="10417" spans="1:98">
      <c r="A10417" s="532"/>
      <c r="AR10417" s="2513"/>
      <c r="CT10417" s="531"/>
    </row>
    <row r="10418" spans="1:98">
      <c r="A10418" s="532"/>
      <c r="AR10418" s="2513"/>
      <c r="CT10418" s="531"/>
    </row>
    <row r="10419" spans="1:98">
      <c r="A10419" s="532"/>
      <c r="AR10419" s="2513"/>
      <c r="CT10419" s="531"/>
    </row>
    <row r="10420" spans="1:98">
      <c r="A10420" s="532"/>
      <c r="AR10420" s="2513"/>
      <c r="CT10420" s="531"/>
    </row>
    <row r="10421" spans="1:98">
      <c r="A10421" s="532"/>
      <c r="AR10421" s="2513"/>
      <c r="CT10421" s="531"/>
    </row>
    <row r="10422" spans="1:98">
      <c r="A10422" s="532"/>
      <c r="AR10422" s="2513"/>
      <c r="CT10422" s="531"/>
    </row>
    <row r="10423" spans="1:98">
      <c r="A10423" s="532"/>
      <c r="AR10423" s="2513"/>
      <c r="CT10423" s="531"/>
    </row>
    <row r="10424" spans="1:98">
      <c r="A10424" s="532"/>
      <c r="AR10424" s="2513"/>
      <c r="CT10424" s="531"/>
    </row>
    <row r="10425" spans="1:98">
      <c r="A10425" s="532"/>
      <c r="AR10425" s="2513"/>
      <c r="CT10425" s="531"/>
    </row>
    <row r="10426" spans="1:98">
      <c r="A10426" s="532"/>
      <c r="AR10426" s="2513"/>
      <c r="CT10426" s="531"/>
    </row>
    <row r="10427" spans="1:98">
      <c r="A10427" s="532"/>
      <c r="AR10427" s="2513"/>
      <c r="CT10427" s="531"/>
    </row>
    <row r="10428" spans="1:98">
      <c r="A10428" s="532"/>
      <c r="AR10428" s="2513"/>
      <c r="CT10428" s="531"/>
    </row>
    <row r="10429" spans="1:98">
      <c r="A10429" s="532"/>
      <c r="AR10429" s="2513"/>
      <c r="CT10429" s="531"/>
    </row>
    <row r="10430" spans="1:98">
      <c r="A10430" s="532"/>
      <c r="AR10430" s="2513"/>
      <c r="CT10430" s="531"/>
    </row>
    <row r="10431" spans="1:98">
      <c r="A10431" s="532"/>
      <c r="AR10431" s="2513"/>
      <c r="CT10431" s="531"/>
    </row>
    <row r="10432" spans="1:98">
      <c r="A10432" s="532"/>
      <c r="AR10432" s="2513"/>
      <c r="CT10432" s="531"/>
    </row>
    <row r="10433" spans="1:98">
      <c r="A10433" s="532"/>
      <c r="AR10433" s="2513"/>
      <c r="CT10433" s="531"/>
    </row>
    <row r="10434" spans="1:98">
      <c r="A10434" s="532"/>
      <c r="AR10434" s="2513"/>
      <c r="CT10434" s="531"/>
    </row>
    <row r="10435" spans="1:98">
      <c r="A10435" s="532"/>
      <c r="AR10435" s="2513"/>
      <c r="CT10435" s="531"/>
    </row>
    <row r="10436" spans="1:98">
      <c r="A10436" s="532"/>
      <c r="AR10436" s="2513"/>
      <c r="CT10436" s="531"/>
    </row>
    <row r="10437" spans="1:98">
      <c r="A10437" s="532"/>
      <c r="AR10437" s="2513"/>
      <c r="CT10437" s="531"/>
    </row>
    <row r="10438" spans="1:98">
      <c r="A10438" s="532"/>
      <c r="AR10438" s="2513"/>
      <c r="CT10438" s="531"/>
    </row>
    <row r="10439" spans="1:98">
      <c r="A10439" s="532"/>
      <c r="AR10439" s="2513"/>
      <c r="CT10439" s="531"/>
    </row>
    <row r="10440" spans="1:98">
      <c r="A10440" s="532"/>
      <c r="AR10440" s="2513"/>
      <c r="CT10440" s="531"/>
    </row>
    <row r="10441" spans="1:98">
      <c r="A10441" s="532"/>
      <c r="AR10441" s="2513"/>
      <c r="CT10441" s="531"/>
    </row>
    <row r="10442" spans="1:98">
      <c r="A10442" s="532"/>
      <c r="AR10442" s="2513"/>
      <c r="CT10442" s="531"/>
    </row>
    <row r="10443" spans="1:98">
      <c r="A10443" s="532"/>
      <c r="AR10443" s="2513"/>
      <c r="CT10443" s="531"/>
    </row>
    <row r="10444" spans="1:98">
      <c r="A10444" s="532"/>
      <c r="AR10444" s="2513"/>
      <c r="CT10444" s="531"/>
    </row>
    <row r="10445" spans="1:98">
      <c r="A10445" s="532"/>
      <c r="AR10445" s="2513"/>
      <c r="CT10445" s="531"/>
    </row>
    <row r="10446" spans="1:98">
      <c r="A10446" s="532"/>
      <c r="AR10446" s="2513"/>
      <c r="CT10446" s="531"/>
    </row>
    <row r="10447" spans="1:98">
      <c r="A10447" s="532"/>
      <c r="AR10447" s="2513"/>
      <c r="CT10447" s="531"/>
    </row>
    <row r="10448" spans="1:98">
      <c r="A10448" s="532"/>
      <c r="AR10448" s="2513"/>
      <c r="CT10448" s="531"/>
    </row>
    <row r="10449" spans="1:98">
      <c r="A10449" s="532"/>
      <c r="AR10449" s="2513"/>
      <c r="CT10449" s="531"/>
    </row>
    <row r="10450" spans="1:98">
      <c r="A10450" s="532"/>
      <c r="AR10450" s="2513"/>
      <c r="CT10450" s="531"/>
    </row>
    <row r="10451" spans="1:98">
      <c r="A10451" s="532"/>
      <c r="AR10451" s="2513"/>
      <c r="CT10451" s="531"/>
    </row>
    <row r="10452" spans="1:98">
      <c r="A10452" s="532"/>
      <c r="AR10452" s="2513"/>
      <c r="CT10452" s="531"/>
    </row>
    <row r="10453" spans="1:98">
      <c r="A10453" s="532"/>
      <c r="AR10453" s="2513"/>
      <c r="CT10453" s="531"/>
    </row>
    <row r="10454" spans="1:98">
      <c r="A10454" s="532"/>
      <c r="AR10454" s="2513"/>
      <c r="CT10454" s="531"/>
    </row>
    <row r="10455" spans="1:98">
      <c r="A10455" s="532"/>
      <c r="AR10455" s="2513"/>
      <c r="CT10455" s="531"/>
    </row>
    <row r="10456" spans="1:98">
      <c r="A10456" s="532"/>
      <c r="AR10456" s="2513"/>
      <c r="CT10456" s="531"/>
    </row>
    <row r="10457" spans="1:98">
      <c r="A10457" s="532"/>
      <c r="AR10457" s="2513"/>
      <c r="CT10457" s="531"/>
    </row>
    <row r="10458" spans="1:98">
      <c r="A10458" s="532"/>
      <c r="AR10458" s="2513"/>
      <c r="CT10458" s="531"/>
    </row>
    <row r="10459" spans="1:98">
      <c r="A10459" s="532"/>
      <c r="AR10459" s="2513"/>
      <c r="CT10459" s="531"/>
    </row>
    <row r="10460" spans="1:98">
      <c r="A10460" s="532"/>
      <c r="AR10460" s="2513"/>
      <c r="CT10460" s="531"/>
    </row>
    <row r="10461" spans="1:98">
      <c r="A10461" s="532"/>
      <c r="AR10461" s="2513"/>
      <c r="CT10461" s="531"/>
    </row>
    <row r="10462" spans="1:98">
      <c r="A10462" s="532"/>
      <c r="AR10462" s="2513"/>
      <c r="CT10462" s="531"/>
    </row>
    <row r="10463" spans="1:98">
      <c r="A10463" s="532"/>
      <c r="AR10463" s="2513"/>
      <c r="CT10463" s="531"/>
    </row>
    <row r="10464" spans="1:98">
      <c r="A10464" s="532"/>
      <c r="AR10464" s="2513"/>
      <c r="CT10464" s="531"/>
    </row>
    <row r="10465" spans="1:98">
      <c r="A10465" s="532"/>
      <c r="AR10465" s="2513"/>
      <c r="CT10465" s="531"/>
    </row>
    <row r="10466" spans="1:98">
      <c r="A10466" s="532"/>
      <c r="AR10466" s="2513"/>
      <c r="CT10466" s="531"/>
    </row>
    <row r="10467" spans="1:98">
      <c r="A10467" s="532"/>
      <c r="AR10467" s="2513"/>
      <c r="CT10467" s="531"/>
    </row>
    <row r="10468" spans="1:98">
      <c r="A10468" s="532"/>
      <c r="AR10468" s="2513"/>
      <c r="CT10468" s="531"/>
    </row>
    <row r="10469" spans="1:98">
      <c r="A10469" s="532"/>
      <c r="AR10469" s="2513"/>
      <c r="CT10469" s="531"/>
    </row>
    <row r="10470" spans="1:98">
      <c r="A10470" s="532"/>
      <c r="AR10470" s="2513"/>
      <c r="CT10470" s="531"/>
    </row>
    <row r="10471" spans="1:98">
      <c r="A10471" s="532"/>
      <c r="AR10471" s="2513"/>
      <c r="CT10471" s="531"/>
    </row>
    <row r="10472" spans="1:98">
      <c r="A10472" s="532"/>
      <c r="AR10472" s="2513"/>
      <c r="CT10472" s="531"/>
    </row>
    <row r="10473" spans="1:98">
      <c r="A10473" s="532"/>
      <c r="AR10473" s="2513"/>
      <c r="CT10473" s="531"/>
    </row>
    <row r="10474" spans="1:98">
      <c r="A10474" s="532"/>
      <c r="AR10474" s="2513"/>
      <c r="CT10474" s="531"/>
    </row>
    <row r="10475" spans="1:98">
      <c r="A10475" s="532"/>
      <c r="AR10475" s="2513"/>
      <c r="CT10475" s="531"/>
    </row>
    <row r="10476" spans="1:98">
      <c r="A10476" s="532"/>
      <c r="AR10476" s="2513"/>
      <c r="CT10476" s="531"/>
    </row>
    <row r="10477" spans="1:98">
      <c r="A10477" s="532"/>
      <c r="AR10477" s="2513"/>
      <c r="CT10477" s="531"/>
    </row>
    <row r="10478" spans="1:98">
      <c r="A10478" s="532"/>
      <c r="AR10478" s="2513"/>
      <c r="CT10478" s="531"/>
    </row>
    <row r="10479" spans="1:98">
      <c r="A10479" s="532"/>
      <c r="AR10479" s="2513"/>
      <c r="CT10479" s="531"/>
    </row>
    <row r="10480" spans="1:98">
      <c r="A10480" s="532"/>
      <c r="AR10480" s="2513"/>
      <c r="CT10480" s="531"/>
    </row>
    <row r="10481" spans="1:98">
      <c r="A10481" s="532"/>
      <c r="AR10481" s="2513"/>
      <c r="CT10481" s="531"/>
    </row>
    <row r="10482" spans="1:98">
      <c r="A10482" s="532"/>
      <c r="AR10482" s="2513"/>
      <c r="CT10482" s="531"/>
    </row>
    <row r="10483" spans="1:98">
      <c r="A10483" s="532"/>
      <c r="AR10483" s="2513"/>
      <c r="CT10483" s="531"/>
    </row>
    <row r="10484" spans="1:98">
      <c r="A10484" s="532"/>
      <c r="AR10484" s="2513"/>
      <c r="CT10484" s="531"/>
    </row>
    <row r="10485" spans="1:98">
      <c r="A10485" s="532"/>
      <c r="AR10485" s="2513"/>
      <c r="CT10485" s="531"/>
    </row>
    <row r="10486" spans="1:98">
      <c r="A10486" s="532"/>
      <c r="AR10486" s="2513"/>
      <c r="CT10486" s="531"/>
    </row>
    <row r="10487" spans="1:98">
      <c r="A10487" s="532"/>
      <c r="AR10487" s="2513"/>
      <c r="CT10487" s="531"/>
    </row>
    <row r="10488" spans="1:98">
      <c r="A10488" s="532"/>
      <c r="AR10488" s="2513"/>
      <c r="CT10488" s="531"/>
    </row>
    <row r="10489" spans="1:98">
      <c r="A10489" s="532"/>
      <c r="AR10489" s="2513"/>
      <c r="CT10489" s="531"/>
    </row>
    <row r="10490" spans="1:98">
      <c r="A10490" s="532"/>
      <c r="AR10490" s="2513"/>
      <c r="CT10490" s="531"/>
    </row>
    <row r="10491" spans="1:98">
      <c r="A10491" s="532"/>
      <c r="AR10491" s="2513"/>
      <c r="CT10491" s="531"/>
    </row>
    <row r="10492" spans="1:98">
      <c r="A10492" s="532"/>
      <c r="AR10492" s="2513"/>
      <c r="CT10492" s="531"/>
    </row>
    <row r="10493" spans="1:98">
      <c r="A10493" s="532"/>
      <c r="AR10493" s="2513"/>
      <c r="CT10493" s="531"/>
    </row>
    <row r="10494" spans="1:98">
      <c r="A10494" s="532"/>
      <c r="AR10494" s="2513"/>
      <c r="CT10494" s="531"/>
    </row>
    <row r="10495" spans="1:98">
      <c r="A10495" s="532"/>
      <c r="AR10495" s="2513"/>
      <c r="CT10495" s="531"/>
    </row>
    <row r="10496" spans="1:98">
      <c r="A10496" s="532"/>
      <c r="AR10496" s="2513"/>
      <c r="CT10496" s="531"/>
    </row>
    <row r="10497" spans="1:98">
      <c r="A10497" s="532"/>
      <c r="AR10497" s="2513"/>
      <c r="CT10497" s="531"/>
    </row>
    <row r="10498" spans="1:98">
      <c r="A10498" s="532"/>
      <c r="AR10498" s="2513"/>
      <c r="CT10498" s="531"/>
    </row>
    <row r="10499" spans="1:98">
      <c r="A10499" s="532"/>
      <c r="AR10499" s="2513"/>
      <c r="CT10499" s="531"/>
    </row>
    <row r="10500" spans="1:98">
      <c r="A10500" s="532"/>
      <c r="AR10500" s="2513"/>
      <c r="CT10500" s="531"/>
    </row>
    <row r="10501" spans="1:98">
      <c r="A10501" s="532"/>
      <c r="AR10501" s="2513"/>
      <c r="CT10501" s="531"/>
    </row>
    <row r="10502" spans="1:98">
      <c r="A10502" s="532"/>
      <c r="AR10502" s="2513"/>
      <c r="CT10502" s="531"/>
    </row>
    <row r="10503" spans="1:98">
      <c r="A10503" s="532"/>
      <c r="AR10503" s="2513"/>
      <c r="CT10503" s="531"/>
    </row>
    <row r="10504" spans="1:98">
      <c r="A10504" s="532"/>
      <c r="AR10504" s="2513"/>
      <c r="CT10504" s="531"/>
    </row>
    <row r="10505" spans="1:98">
      <c r="A10505" s="532"/>
      <c r="AR10505" s="2513"/>
      <c r="CT10505" s="531"/>
    </row>
    <row r="10506" spans="1:98">
      <c r="A10506" s="532"/>
      <c r="AR10506" s="2513"/>
      <c r="CT10506" s="531"/>
    </row>
    <row r="10507" spans="1:98">
      <c r="A10507" s="532"/>
      <c r="AR10507" s="2513"/>
      <c r="CT10507" s="531"/>
    </row>
    <row r="10508" spans="1:98">
      <c r="A10508" s="532"/>
      <c r="AR10508" s="2513"/>
      <c r="CT10508" s="531"/>
    </row>
    <row r="10509" spans="1:98">
      <c r="A10509" s="532"/>
      <c r="AR10509" s="2513"/>
      <c r="CT10509" s="531"/>
    </row>
    <row r="10510" spans="1:98">
      <c r="A10510" s="532"/>
      <c r="AR10510" s="2513"/>
      <c r="CT10510" s="531"/>
    </row>
    <row r="10511" spans="1:98">
      <c r="A10511" s="532"/>
      <c r="AR10511" s="2513"/>
      <c r="CT10511" s="531"/>
    </row>
    <row r="10512" spans="1:98">
      <c r="A10512" s="532"/>
      <c r="AR10512" s="2513"/>
      <c r="CT10512" s="531"/>
    </row>
    <row r="10513" spans="1:98">
      <c r="A10513" s="532"/>
      <c r="AR10513" s="2513"/>
      <c r="CT10513" s="531"/>
    </row>
    <row r="10514" spans="1:98">
      <c r="A10514" s="532"/>
      <c r="AR10514" s="2513"/>
      <c r="CT10514" s="531"/>
    </row>
    <row r="10515" spans="1:98">
      <c r="A10515" s="532"/>
      <c r="AR10515" s="2513"/>
      <c r="CT10515" s="531"/>
    </row>
    <row r="10516" spans="1:98">
      <c r="A10516" s="532"/>
      <c r="AR10516" s="2513"/>
      <c r="CT10516" s="531"/>
    </row>
    <row r="10517" spans="1:98">
      <c r="A10517" s="532"/>
      <c r="AR10517" s="2513"/>
      <c r="CT10517" s="531"/>
    </row>
    <row r="10518" spans="1:98">
      <c r="A10518" s="532"/>
      <c r="AR10518" s="2513"/>
      <c r="CT10518" s="531"/>
    </row>
    <row r="10519" spans="1:98">
      <c r="A10519" s="532"/>
      <c r="AR10519" s="2513"/>
      <c r="CT10519" s="531"/>
    </row>
    <row r="10520" spans="1:98">
      <c r="A10520" s="532"/>
      <c r="AR10520" s="2513"/>
      <c r="CT10520" s="531"/>
    </row>
    <row r="10521" spans="1:98">
      <c r="A10521" s="532"/>
      <c r="AR10521" s="2513"/>
      <c r="CT10521" s="531"/>
    </row>
    <row r="10522" spans="1:98">
      <c r="A10522" s="532"/>
      <c r="AR10522" s="2513"/>
      <c r="CT10522" s="531"/>
    </row>
    <row r="10523" spans="1:98">
      <c r="A10523" s="532"/>
      <c r="AR10523" s="2513"/>
      <c r="CT10523" s="531"/>
    </row>
    <row r="10524" spans="1:98">
      <c r="A10524" s="532"/>
      <c r="AR10524" s="2513"/>
      <c r="CT10524" s="531"/>
    </row>
    <row r="10525" spans="1:98">
      <c r="A10525" s="532"/>
      <c r="AR10525" s="2513"/>
      <c r="CT10525" s="531"/>
    </row>
    <row r="10526" spans="1:98">
      <c r="A10526" s="532"/>
      <c r="AR10526" s="2513"/>
      <c r="CT10526" s="531"/>
    </row>
    <row r="10527" spans="1:98">
      <c r="A10527" s="532"/>
      <c r="AR10527" s="2513"/>
      <c r="CT10527" s="531"/>
    </row>
    <row r="10528" spans="1:98">
      <c r="A10528" s="532"/>
      <c r="AR10528" s="2513"/>
      <c r="CT10528" s="531"/>
    </row>
    <row r="10529" spans="1:98">
      <c r="A10529" s="532"/>
      <c r="AR10529" s="2513"/>
      <c r="CT10529" s="531"/>
    </row>
    <row r="10530" spans="1:98">
      <c r="A10530" s="532"/>
      <c r="AR10530" s="2513"/>
      <c r="CT10530" s="531"/>
    </row>
    <row r="10531" spans="1:98">
      <c r="A10531" s="532"/>
      <c r="AR10531" s="2513"/>
      <c r="CT10531" s="531"/>
    </row>
    <row r="10532" spans="1:98">
      <c r="A10532" s="532"/>
      <c r="AR10532" s="2513"/>
      <c r="CT10532" s="531"/>
    </row>
    <row r="10533" spans="1:98">
      <c r="A10533" s="532"/>
      <c r="AR10533" s="2513"/>
      <c r="CT10533" s="531"/>
    </row>
    <row r="10534" spans="1:98">
      <c r="A10534" s="532"/>
      <c r="AR10534" s="2513"/>
      <c r="CT10534" s="531"/>
    </row>
    <row r="10535" spans="1:98">
      <c r="A10535" s="532"/>
      <c r="AR10535" s="2513"/>
      <c r="CT10535" s="531"/>
    </row>
    <row r="10536" spans="1:98">
      <c r="A10536" s="532"/>
      <c r="AR10536" s="2513"/>
      <c r="CT10536" s="531"/>
    </row>
    <row r="10537" spans="1:98">
      <c r="A10537" s="532"/>
      <c r="AR10537" s="2513"/>
      <c r="CT10537" s="531"/>
    </row>
    <row r="10538" spans="1:98">
      <c r="A10538" s="532"/>
      <c r="AR10538" s="2513"/>
      <c r="CT10538" s="531"/>
    </row>
    <row r="10539" spans="1:98">
      <c r="A10539" s="532"/>
      <c r="AR10539" s="2513"/>
      <c r="CT10539" s="531"/>
    </row>
    <row r="10540" spans="1:98">
      <c r="A10540" s="532"/>
      <c r="AR10540" s="2513"/>
      <c r="CT10540" s="531"/>
    </row>
    <row r="10541" spans="1:98">
      <c r="A10541" s="532"/>
      <c r="AR10541" s="2513"/>
      <c r="CT10541" s="531"/>
    </row>
    <row r="10542" spans="1:98">
      <c r="A10542" s="532"/>
      <c r="AR10542" s="2513"/>
      <c r="CT10542" s="531"/>
    </row>
    <row r="10543" spans="1:98">
      <c r="A10543" s="532"/>
      <c r="AR10543" s="2513"/>
      <c r="CT10543" s="531"/>
    </row>
    <row r="10544" spans="1:98">
      <c r="A10544" s="532"/>
      <c r="AR10544" s="2513"/>
      <c r="CT10544" s="531"/>
    </row>
    <row r="10545" spans="1:98">
      <c r="A10545" s="532"/>
      <c r="AR10545" s="2513"/>
      <c r="CT10545" s="531"/>
    </row>
    <row r="10546" spans="1:98">
      <c r="A10546" s="532"/>
      <c r="AR10546" s="2513"/>
      <c r="CT10546" s="531"/>
    </row>
    <row r="10547" spans="1:98">
      <c r="A10547" s="532"/>
      <c r="AR10547" s="2513"/>
      <c r="CT10547" s="531"/>
    </row>
    <row r="10548" spans="1:98">
      <c r="A10548" s="532"/>
      <c r="AR10548" s="2513"/>
      <c r="CT10548" s="531"/>
    </row>
    <row r="10549" spans="1:98">
      <c r="A10549" s="532"/>
      <c r="AR10549" s="2513"/>
      <c r="CT10549" s="531"/>
    </row>
    <row r="10550" spans="1:98">
      <c r="A10550" s="532"/>
      <c r="AR10550" s="2513"/>
      <c r="CT10550" s="531"/>
    </row>
    <row r="10551" spans="1:98">
      <c r="A10551" s="532"/>
      <c r="AR10551" s="2513"/>
      <c r="CT10551" s="531"/>
    </row>
    <row r="10552" spans="1:98">
      <c r="A10552" s="532"/>
      <c r="AR10552" s="2513"/>
      <c r="CT10552" s="531"/>
    </row>
    <row r="10553" spans="1:98">
      <c r="A10553" s="532"/>
      <c r="AR10553" s="2513"/>
      <c r="CT10553" s="531"/>
    </row>
    <row r="10554" spans="1:98">
      <c r="A10554" s="532"/>
      <c r="AR10554" s="2513"/>
      <c r="CT10554" s="531"/>
    </row>
    <row r="10555" spans="1:98">
      <c r="A10555" s="532"/>
      <c r="AR10555" s="2513"/>
      <c r="CT10555" s="531"/>
    </row>
    <row r="10556" spans="1:98">
      <c r="A10556" s="532"/>
      <c r="AR10556" s="2513"/>
      <c r="CT10556" s="531"/>
    </row>
    <row r="10557" spans="1:98">
      <c r="A10557" s="532"/>
      <c r="AR10557" s="2513"/>
      <c r="CT10557" s="531"/>
    </row>
    <row r="10558" spans="1:98">
      <c r="A10558" s="532"/>
      <c r="AR10558" s="2513"/>
      <c r="CT10558" s="531"/>
    </row>
    <row r="10559" spans="1:98">
      <c r="A10559" s="532"/>
      <c r="AR10559" s="2513"/>
      <c r="CT10559" s="531"/>
    </row>
    <row r="10560" spans="1:98">
      <c r="A10560" s="532"/>
      <c r="AR10560" s="2513"/>
      <c r="CT10560" s="531"/>
    </row>
    <row r="10561" spans="1:98">
      <c r="A10561" s="532"/>
      <c r="AR10561" s="2513"/>
      <c r="CT10561" s="531"/>
    </row>
    <row r="10562" spans="1:98">
      <c r="A10562" s="532"/>
      <c r="AR10562" s="2513"/>
      <c r="CT10562" s="531"/>
    </row>
    <row r="10563" spans="1:98">
      <c r="A10563" s="532"/>
      <c r="AR10563" s="2513"/>
      <c r="CT10563" s="531"/>
    </row>
    <row r="10564" spans="1:98">
      <c r="A10564" s="532"/>
      <c r="AR10564" s="2513"/>
      <c r="CT10564" s="531"/>
    </row>
    <row r="10565" spans="1:98">
      <c r="A10565" s="532"/>
      <c r="AR10565" s="2513"/>
      <c r="CT10565" s="531"/>
    </row>
    <row r="10566" spans="1:98">
      <c r="A10566" s="532"/>
      <c r="AR10566" s="2513"/>
      <c r="CT10566" s="531"/>
    </row>
    <row r="10567" spans="1:98">
      <c r="A10567" s="532"/>
      <c r="AR10567" s="2513"/>
      <c r="CT10567" s="531"/>
    </row>
    <row r="10568" spans="1:98">
      <c r="A10568" s="532"/>
      <c r="AR10568" s="2513"/>
      <c r="CT10568" s="531"/>
    </row>
    <row r="10569" spans="1:98">
      <c r="A10569" s="532"/>
      <c r="AR10569" s="2513"/>
      <c r="CT10569" s="531"/>
    </row>
    <row r="10570" spans="1:98">
      <c r="A10570" s="532"/>
      <c r="AR10570" s="2513"/>
      <c r="CT10570" s="531"/>
    </row>
    <row r="10571" spans="1:98">
      <c r="A10571" s="532"/>
      <c r="AR10571" s="2513"/>
      <c r="CT10571" s="531"/>
    </row>
    <row r="10572" spans="1:98">
      <c r="A10572" s="532"/>
      <c r="AR10572" s="2513"/>
      <c r="CT10572" s="531"/>
    </row>
    <row r="10573" spans="1:98">
      <c r="A10573" s="532"/>
      <c r="AR10573" s="2513"/>
      <c r="CT10573" s="531"/>
    </row>
    <row r="10574" spans="1:98">
      <c r="A10574" s="532"/>
      <c r="AR10574" s="2513"/>
      <c r="CT10574" s="531"/>
    </row>
    <row r="10575" spans="1:98">
      <c r="A10575" s="532"/>
      <c r="AR10575" s="2513"/>
      <c r="CT10575" s="531"/>
    </row>
    <row r="10576" spans="1:98">
      <c r="A10576" s="532"/>
      <c r="AR10576" s="2513"/>
      <c r="CT10576" s="531"/>
    </row>
    <row r="10577" spans="1:98">
      <c r="A10577" s="532"/>
      <c r="AR10577" s="2513"/>
      <c r="CT10577" s="531"/>
    </row>
    <row r="10578" spans="1:98">
      <c r="A10578" s="532"/>
      <c r="AR10578" s="2513"/>
      <c r="CT10578" s="531"/>
    </row>
    <row r="10579" spans="1:98">
      <c r="A10579" s="532"/>
      <c r="AR10579" s="2513"/>
      <c r="CT10579" s="531"/>
    </row>
    <row r="10580" spans="1:98">
      <c r="A10580" s="532"/>
      <c r="AR10580" s="2513"/>
      <c r="CT10580" s="531"/>
    </row>
    <row r="10581" spans="1:98">
      <c r="A10581" s="532"/>
      <c r="AR10581" s="2513"/>
      <c r="CT10581" s="531"/>
    </row>
    <row r="10582" spans="1:98">
      <c r="A10582" s="532"/>
      <c r="AR10582" s="2513"/>
      <c r="CT10582" s="531"/>
    </row>
    <row r="10583" spans="1:98">
      <c r="A10583" s="532"/>
      <c r="AR10583" s="2513"/>
      <c r="CT10583" s="531"/>
    </row>
    <row r="10584" spans="1:98">
      <c r="A10584" s="532"/>
      <c r="AR10584" s="2513"/>
      <c r="CT10584" s="531"/>
    </row>
    <row r="10585" spans="1:98">
      <c r="A10585" s="532"/>
      <c r="AR10585" s="2513"/>
      <c r="CT10585" s="531"/>
    </row>
    <row r="10586" spans="1:98">
      <c r="A10586" s="532"/>
      <c r="AR10586" s="2513"/>
      <c r="CT10586" s="531"/>
    </row>
    <row r="10587" spans="1:98">
      <c r="A10587" s="532"/>
      <c r="AR10587" s="2513"/>
      <c r="CT10587" s="531"/>
    </row>
    <row r="10588" spans="1:98">
      <c r="A10588" s="532"/>
      <c r="AR10588" s="2513"/>
      <c r="CT10588" s="531"/>
    </row>
    <row r="10589" spans="1:98">
      <c r="A10589" s="532"/>
      <c r="AR10589" s="2513"/>
      <c r="CT10589" s="531"/>
    </row>
    <row r="10590" spans="1:98">
      <c r="A10590" s="532"/>
      <c r="AR10590" s="2513"/>
      <c r="CT10590" s="531"/>
    </row>
    <row r="10591" spans="1:98">
      <c r="A10591" s="532"/>
      <c r="AR10591" s="2513"/>
      <c r="CT10591" s="531"/>
    </row>
    <row r="10592" spans="1:98">
      <c r="A10592" s="532"/>
      <c r="AR10592" s="2513"/>
      <c r="CT10592" s="531"/>
    </row>
    <row r="10593" spans="1:98">
      <c r="A10593" s="532"/>
      <c r="AR10593" s="2513"/>
      <c r="CT10593" s="531"/>
    </row>
    <row r="10594" spans="1:98">
      <c r="A10594" s="532"/>
      <c r="AR10594" s="2513"/>
      <c r="CT10594" s="531"/>
    </row>
    <row r="10595" spans="1:98">
      <c r="A10595" s="532"/>
      <c r="AR10595" s="2513"/>
      <c r="CT10595" s="531"/>
    </row>
    <row r="10596" spans="1:98">
      <c r="A10596" s="532"/>
      <c r="AR10596" s="2513"/>
      <c r="CT10596" s="531"/>
    </row>
    <row r="10597" spans="1:98">
      <c r="A10597" s="532"/>
      <c r="AR10597" s="2513"/>
      <c r="CT10597" s="531"/>
    </row>
    <row r="10598" spans="1:98">
      <c r="A10598" s="532"/>
      <c r="AR10598" s="2513"/>
      <c r="CT10598" s="531"/>
    </row>
    <row r="10599" spans="1:98">
      <c r="A10599" s="532"/>
      <c r="AR10599" s="2513"/>
      <c r="CT10599" s="531"/>
    </row>
    <row r="10600" spans="1:98">
      <c r="A10600" s="532"/>
      <c r="AR10600" s="2513"/>
      <c r="CT10600" s="531"/>
    </row>
    <row r="10601" spans="1:98">
      <c r="A10601" s="532"/>
      <c r="AR10601" s="2513"/>
      <c r="CT10601" s="531"/>
    </row>
    <row r="10602" spans="1:98">
      <c r="A10602" s="532"/>
      <c r="AR10602" s="2513"/>
      <c r="CT10602" s="531"/>
    </row>
    <row r="10603" spans="1:98">
      <c r="A10603" s="532"/>
      <c r="AR10603" s="2513"/>
      <c r="CT10603" s="531"/>
    </row>
    <row r="10604" spans="1:98">
      <c r="A10604" s="532"/>
      <c r="AR10604" s="2513"/>
      <c r="CT10604" s="531"/>
    </row>
    <row r="10605" spans="1:98">
      <c r="A10605" s="532"/>
      <c r="AR10605" s="2513"/>
      <c r="CT10605" s="531"/>
    </row>
    <row r="10606" spans="1:98">
      <c r="A10606" s="532"/>
      <c r="AR10606" s="2513"/>
      <c r="CT10606" s="531"/>
    </row>
    <row r="10607" spans="1:98">
      <c r="A10607" s="532"/>
      <c r="AR10607" s="2513"/>
      <c r="CT10607" s="531"/>
    </row>
    <row r="10608" spans="1:98">
      <c r="A10608" s="532"/>
      <c r="AR10608" s="2513"/>
      <c r="CT10608" s="531"/>
    </row>
    <row r="10609" spans="1:98">
      <c r="A10609" s="532"/>
      <c r="AR10609" s="2513"/>
      <c r="CT10609" s="531"/>
    </row>
    <row r="10610" spans="1:98">
      <c r="A10610" s="532"/>
      <c r="AR10610" s="2513"/>
      <c r="CT10610" s="531"/>
    </row>
    <row r="10611" spans="1:98">
      <c r="A10611" s="532"/>
      <c r="AR10611" s="2513"/>
      <c r="CT10611" s="531"/>
    </row>
    <row r="10612" spans="1:98">
      <c r="A10612" s="532"/>
      <c r="AR10612" s="2513"/>
      <c r="CT10612" s="531"/>
    </row>
    <row r="10613" spans="1:98">
      <c r="A10613" s="532"/>
      <c r="AR10613" s="2513"/>
      <c r="CT10613" s="531"/>
    </row>
    <row r="10614" spans="1:98">
      <c r="A10614" s="532"/>
      <c r="AR10614" s="2513"/>
      <c r="CT10614" s="531"/>
    </row>
    <row r="10615" spans="1:98">
      <c r="A10615" s="532"/>
      <c r="AR10615" s="2513"/>
      <c r="CT10615" s="531"/>
    </row>
    <row r="10616" spans="1:98">
      <c r="A10616" s="532"/>
      <c r="AR10616" s="2513"/>
      <c r="CT10616" s="531"/>
    </row>
    <row r="10617" spans="1:98">
      <c r="A10617" s="532"/>
      <c r="AR10617" s="2513"/>
      <c r="CT10617" s="531"/>
    </row>
    <row r="10618" spans="1:98">
      <c r="A10618" s="532"/>
      <c r="AR10618" s="2513"/>
      <c r="CT10618" s="531"/>
    </row>
    <row r="10619" spans="1:98">
      <c r="A10619" s="532"/>
      <c r="AR10619" s="2513"/>
      <c r="CT10619" s="531"/>
    </row>
    <row r="10620" spans="1:98">
      <c r="A10620" s="532"/>
      <c r="AR10620" s="2513"/>
      <c r="CT10620" s="531"/>
    </row>
    <row r="10621" spans="1:98">
      <c r="A10621" s="532"/>
      <c r="AR10621" s="2513"/>
      <c r="CT10621" s="531"/>
    </row>
    <row r="10622" spans="1:98">
      <c r="A10622" s="532"/>
      <c r="AR10622" s="2513"/>
      <c r="CT10622" s="531"/>
    </row>
    <row r="10623" spans="1:98">
      <c r="A10623" s="532"/>
      <c r="AR10623" s="2513"/>
      <c r="CT10623" s="531"/>
    </row>
    <row r="10624" spans="1:98">
      <c r="A10624" s="532"/>
      <c r="AR10624" s="2513"/>
      <c r="CT10624" s="531"/>
    </row>
    <row r="10625" spans="1:98">
      <c r="A10625" s="532"/>
      <c r="AR10625" s="2513"/>
      <c r="CT10625" s="531"/>
    </row>
    <row r="10626" spans="1:98">
      <c r="A10626" s="532"/>
      <c r="AR10626" s="2513"/>
      <c r="CT10626" s="531"/>
    </row>
    <row r="10627" spans="1:98">
      <c r="A10627" s="532"/>
      <c r="AR10627" s="2513"/>
      <c r="CT10627" s="531"/>
    </row>
    <row r="10628" spans="1:98">
      <c r="A10628" s="532"/>
      <c r="AR10628" s="2513"/>
      <c r="CT10628" s="531"/>
    </row>
    <row r="10629" spans="1:98">
      <c r="A10629" s="532"/>
      <c r="AR10629" s="2513"/>
      <c r="CT10629" s="531"/>
    </row>
    <row r="10630" spans="1:98">
      <c r="A10630" s="532"/>
      <c r="AR10630" s="2513"/>
      <c r="CT10630" s="531"/>
    </row>
    <row r="10631" spans="1:98">
      <c r="A10631" s="532"/>
      <c r="AR10631" s="2513"/>
      <c r="CT10631" s="531"/>
    </row>
    <row r="10632" spans="1:98">
      <c r="A10632" s="532"/>
      <c r="AR10632" s="2513"/>
      <c r="CT10632" s="531"/>
    </row>
    <row r="10633" spans="1:98">
      <c r="A10633" s="532"/>
      <c r="AR10633" s="2513"/>
      <c r="CT10633" s="531"/>
    </row>
    <row r="10634" spans="1:98">
      <c r="A10634" s="532"/>
      <c r="AR10634" s="2513"/>
      <c r="CT10634" s="531"/>
    </row>
    <row r="10635" spans="1:98">
      <c r="A10635" s="532"/>
      <c r="AR10635" s="2513"/>
      <c r="CT10635" s="531"/>
    </row>
    <row r="10636" spans="1:98">
      <c r="A10636" s="532"/>
      <c r="AR10636" s="2513"/>
      <c r="CT10636" s="531"/>
    </row>
    <row r="10637" spans="1:98">
      <c r="A10637" s="532"/>
      <c r="AR10637" s="2513"/>
      <c r="CT10637" s="531"/>
    </row>
    <row r="10638" spans="1:98">
      <c r="A10638" s="532"/>
      <c r="AR10638" s="2513"/>
      <c r="CT10638" s="531"/>
    </row>
    <row r="10639" spans="1:98">
      <c r="A10639" s="532"/>
      <c r="AR10639" s="2513"/>
      <c r="CT10639" s="531"/>
    </row>
    <row r="10640" spans="1:98">
      <c r="A10640" s="532"/>
      <c r="AR10640" s="2513"/>
      <c r="CT10640" s="531"/>
    </row>
    <row r="10641" spans="1:98">
      <c r="A10641" s="532"/>
      <c r="AR10641" s="2513"/>
      <c r="CT10641" s="531"/>
    </row>
    <row r="10642" spans="1:98">
      <c r="A10642" s="532"/>
      <c r="AR10642" s="2513"/>
      <c r="CT10642" s="531"/>
    </row>
    <row r="10643" spans="1:98">
      <c r="A10643" s="532"/>
      <c r="AR10643" s="2513"/>
      <c r="CT10643" s="531"/>
    </row>
    <row r="10644" spans="1:98">
      <c r="A10644" s="532"/>
      <c r="AR10644" s="2513"/>
      <c r="CT10644" s="531"/>
    </row>
    <row r="10645" spans="1:98">
      <c r="A10645" s="532"/>
      <c r="AR10645" s="2513"/>
      <c r="CT10645" s="531"/>
    </row>
    <row r="10646" spans="1:98">
      <c r="A10646" s="532"/>
      <c r="AR10646" s="2513"/>
      <c r="CT10646" s="531"/>
    </row>
    <row r="10647" spans="1:98">
      <c r="A10647" s="532"/>
      <c r="AR10647" s="2513"/>
      <c r="CT10647" s="531"/>
    </row>
    <row r="10648" spans="1:98">
      <c r="A10648" s="532"/>
      <c r="AR10648" s="2513"/>
      <c r="CT10648" s="531"/>
    </row>
    <row r="10649" spans="1:98">
      <c r="A10649" s="532"/>
      <c r="AR10649" s="2513"/>
      <c r="CT10649" s="531"/>
    </row>
    <row r="10650" spans="1:98">
      <c r="A10650" s="532"/>
      <c r="AR10650" s="2513"/>
      <c r="CT10650" s="531"/>
    </row>
    <row r="10651" spans="1:98">
      <c r="A10651" s="532"/>
      <c r="AR10651" s="2513"/>
      <c r="CT10651" s="531"/>
    </row>
    <row r="10652" spans="1:98">
      <c r="A10652" s="532"/>
      <c r="AR10652" s="2513"/>
      <c r="CT10652" s="531"/>
    </row>
    <row r="10653" spans="1:98">
      <c r="A10653" s="532"/>
      <c r="AR10653" s="2513"/>
      <c r="CT10653" s="531"/>
    </row>
    <row r="10654" spans="1:98">
      <c r="A10654" s="532"/>
      <c r="AR10654" s="2513"/>
      <c r="CT10654" s="531"/>
    </row>
    <row r="10655" spans="1:98">
      <c r="A10655" s="532"/>
      <c r="AR10655" s="2513"/>
      <c r="CT10655" s="531"/>
    </row>
    <row r="10656" spans="1:98">
      <c r="A10656" s="532"/>
      <c r="AR10656" s="2513"/>
      <c r="CT10656" s="531"/>
    </row>
    <row r="10657" spans="1:98">
      <c r="A10657" s="532"/>
      <c r="AR10657" s="2513"/>
      <c r="CT10657" s="531"/>
    </row>
    <row r="10658" spans="1:98">
      <c r="A10658" s="532"/>
      <c r="AR10658" s="2513"/>
      <c r="CT10658" s="531"/>
    </row>
    <row r="10659" spans="1:98">
      <c r="A10659" s="532"/>
      <c r="AR10659" s="2513"/>
      <c r="CT10659" s="531"/>
    </row>
    <row r="10660" spans="1:98">
      <c r="A10660" s="532"/>
      <c r="AR10660" s="2513"/>
      <c r="CT10660" s="531"/>
    </row>
    <row r="10661" spans="1:98">
      <c r="A10661" s="532"/>
      <c r="AR10661" s="2513"/>
      <c r="CT10661" s="531"/>
    </row>
    <row r="10662" spans="1:98">
      <c r="A10662" s="532"/>
      <c r="AR10662" s="2513"/>
      <c r="CT10662" s="531"/>
    </row>
    <row r="10663" spans="1:98">
      <c r="A10663" s="532"/>
      <c r="AR10663" s="2513"/>
      <c r="CT10663" s="531"/>
    </row>
    <row r="10664" spans="1:98">
      <c r="A10664" s="532"/>
      <c r="AR10664" s="2513"/>
      <c r="CT10664" s="531"/>
    </row>
    <row r="10665" spans="1:98">
      <c r="A10665" s="532"/>
      <c r="AR10665" s="2513"/>
      <c r="CT10665" s="531"/>
    </row>
    <row r="10666" spans="1:98">
      <c r="A10666" s="532"/>
      <c r="AR10666" s="2513"/>
      <c r="CT10666" s="531"/>
    </row>
    <row r="10667" spans="1:98">
      <c r="A10667" s="532"/>
      <c r="AR10667" s="2513"/>
      <c r="CT10667" s="531"/>
    </row>
    <row r="10668" spans="1:98">
      <c r="A10668" s="532"/>
      <c r="AR10668" s="2513"/>
      <c r="CT10668" s="531"/>
    </row>
    <row r="10669" spans="1:98">
      <c r="A10669" s="532"/>
      <c r="AR10669" s="2513"/>
      <c r="CT10669" s="531"/>
    </row>
    <row r="10670" spans="1:98">
      <c r="A10670" s="532"/>
      <c r="AR10670" s="2513"/>
      <c r="CT10670" s="531"/>
    </row>
    <row r="10671" spans="1:98">
      <c r="A10671" s="532"/>
      <c r="AR10671" s="2513"/>
      <c r="CT10671" s="531"/>
    </row>
    <row r="10672" spans="1:98">
      <c r="A10672" s="532"/>
      <c r="AR10672" s="2513"/>
      <c r="CT10672" s="531"/>
    </row>
    <row r="10673" spans="1:98">
      <c r="A10673" s="532"/>
      <c r="AR10673" s="2513"/>
      <c r="CT10673" s="531"/>
    </row>
    <row r="10674" spans="1:98">
      <c r="A10674" s="532"/>
      <c r="AR10674" s="2513"/>
      <c r="CT10674" s="531"/>
    </row>
    <row r="10675" spans="1:98">
      <c r="A10675" s="532"/>
      <c r="AR10675" s="2513"/>
      <c r="CT10675" s="531"/>
    </row>
    <row r="10676" spans="1:98">
      <c r="A10676" s="532"/>
      <c r="AR10676" s="2513"/>
      <c r="CT10676" s="531"/>
    </row>
    <row r="10677" spans="1:98">
      <c r="A10677" s="532"/>
      <c r="AR10677" s="2513"/>
      <c r="CT10677" s="531"/>
    </row>
    <row r="10678" spans="1:98">
      <c r="A10678" s="532"/>
      <c r="AR10678" s="2513"/>
      <c r="CT10678" s="531"/>
    </row>
    <row r="10679" spans="1:98">
      <c r="A10679" s="532"/>
      <c r="AR10679" s="2513"/>
      <c r="CT10679" s="531"/>
    </row>
    <row r="10680" spans="1:98">
      <c r="A10680" s="532"/>
      <c r="AR10680" s="2513"/>
      <c r="CT10680" s="531"/>
    </row>
    <row r="10681" spans="1:98">
      <c r="A10681" s="532"/>
      <c r="AR10681" s="2513"/>
      <c r="CT10681" s="531"/>
    </row>
    <row r="10682" spans="1:98">
      <c r="A10682" s="532"/>
      <c r="AR10682" s="2513"/>
      <c r="CT10682" s="531"/>
    </row>
    <row r="10683" spans="1:98">
      <c r="A10683" s="532"/>
      <c r="AR10683" s="2513"/>
      <c r="CT10683" s="531"/>
    </row>
    <row r="10684" spans="1:98">
      <c r="A10684" s="532"/>
      <c r="AR10684" s="2513"/>
      <c r="CT10684" s="531"/>
    </row>
    <row r="10685" spans="1:98">
      <c r="A10685" s="532"/>
      <c r="AR10685" s="2513"/>
      <c r="CT10685" s="531"/>
    </row>
    <row r="10686" spans="1:98">
      <c r="A10686" s="532"/>
      <c r="AR10686" s="2513"/>
      <c r="CT10686" s="531"/>
    </row>
    <row r="10687" spans="1:98">
      <c r="A10687" s="532"/>
      <c r="AR10687" s="2513"/>
      <c r="CT10687" s="531"/>
    </row>
    <row r="10688" spans="1:98">
      <c r="A10688" s="532"/>
      <c r="AR10688" s="2513"/>
      <c r="CT10688" s="531"/>
    </row>
    <row r="10689" spans="1:98">
      <c r="A10689" s="532"/>
      <c r="AR10689" s="2513"/>
      <c r="CT10689" s="531"/>
    </row>
    <row r="10690" spans="1:98">
      <c r="A10690" s="532"/>
      <c r="AR10690" s="2513"/>
      <c r="CT10690" s="531"/>
    </row>
    <row r="10691" spans="1:98">
      <c r="A10691" s="532"/>
      <c r="AR10691" s="2513"/>
      <c r="CT10691" s="531"/>
    </row>
    <row r="10692" spans="1:98">
      <c r="A10692" s="532"/>
      <c r="AR10692" s="2513"/>
      <c r="CT10692" s="531"/>
    </row>
    <row r="10693" spans="1:98">
      <c r="A10693" s="532"/>
      <c r="AR10693" s="2513"/>
      <c r="CT10693" s="531"/>
    </row>
    <row r="10694" spans="1:98">
      <c r="A10694" s="532"/>
      <c r="AR10694" s="2513"/>
      <c r="CT10694" s="531"/>
    </row>
    <row r="10695" spans="1:98">
      <c r="A10695" s="532"/>
      <c r="AR10695" s="2513"/>
      <c r="CT10695" s="531"/>
    </row>
    <row r="10696" spans="1:98">
      <c r="A10696" s="532"/>
      <c r="AR10696" s="2513"/>
      <c r="CT10696" s="531"/>
    </row>
    <row r="10697" spans="1:98">
      <c r="A10697" s="532"/>
      <c r="AR10697" s="2513"/>
      <c r="CT10697" s="531"/>
    </row>
    <row r="10698" spans="1:98">
      <c r="A10698" s="532"/>
      <c r="AR10698" s="2513"/>
      <c r="CT10698" s="531"/>
    </row>
    <row r="10699" spans="1:98">
      <c r="A10699" s="532"/>
      <c r="AR10699" s="2513"/>
      <c r="CT10699" s="531"/>
    </row>
    <row r="10700" spans="1:98">
      <c r="A10700" s="532"/>
      <c r="AR10700" s="2513"/>
      <c r="CT10700" s="531"/>
    </row>
    <row r="10701" spans="1:98">
      <c r="A10701" s="532"/>
      <c r="AR10701" s="2513"/>
      <c r="CT10701" s="531"/>
    </row>
    <row r="10702" spans="1:98">
      <c r="A10702" s="532"/>
      <c r="AR10702" s="2513"/>
      <c r="CT10702" s="531"/>
    </row>
    <row r="10703" spans="1:98">
      <c r="A10703" s="532"/>
      <c r="AR10703" s="2513"/>
      <c r="CT10703" s="531"/>
    </row>
    <row r="10704" spans="1:98">
      <c r="A10704" s="532"/>
      <c r="AR10704" s="2513"/>
      <c r="CT10704" s="531"/>
    </row>
    <row r="10705" spans="1:98">
      <c r="A10705" s="532"/>
      <c r="AR10705" s="2513"/>
      <c r="CT10705" s="531"/>
    </row>
    <row r="10706" spans="1:98">
      <c r="A10706" s="532"/>
      <c r="AR10706" s="2513"/>
      <c r="CT10706" s="531"/>
    </row>
    <row r="10707" spans="1:98">
      <c r="A10707" s="532"/>
      <c r="AR10707" s="2513"/>
      <c r="CT10707" s="531"/>
    </row>
    <row r="10708" spans="1:98">
      <c r="A10708" s="532"/>
      <c r="AR10708" s="2513"/>
      <c r="CT10708" s="531"/>
    </row>
    <row r="10709" spans="1:98">
      <c r="A10709" s="532"/>
      <c r="AR10709" s="2513"/>
      <c r="CT10709" s="531"/>
    </row>
    <row r="10710" spans="1:98">
      <c r="A10710" s="532"/>
      <c r="AR10710" s="2513"/>
      <c r="CT10710" s="531"/>
    </row>
    <row r="10711" spans="1:98">
      <c r="A10711" s="532"/>
      <c r="AR10711" s="2513"/>
      <c r="CT10711" s="531"/>
    </row>
    <row r="10712" spans="1:98">
      <c r="A10712" s="532"/>
      <c r="AR10712" s="2513"/>
      <c r="CT10712" s="531"/>
    </row>
    <row r="10713" spans="1:98">
      <c r="A10713" s="532"/>
      <c r="AR10713" s="2513"/>
      <c r="CT10713" s="531"/>
    </row>
    <row r="10714" spans="1:98">
      <c r="A10714" s="532"/>
      <c r="AR10714" s="2513"/>
      <c r="CT10714" s="531"/>
    </row>
    <row r="10715" spans="1:98">
      <c r="A10715" s="532"/>
      <c r="AR10715" s="2513"/>
      <c r="CT10715" s="531"/>
    </row>
    <row r="10716" spans="1:98">
      <c r="A10716" s="532"/>
      <c r="AR10716" s="2513"/>
      <c r="CT10716" s="531"/>
    </row>
    <row r="10717" spans="1:98">
      <c r="A10717" s="532"/>
      <c r="AR10717" s="2513"/>
      <c r="CT10717" s="531"/>
    </row>
    <row r="10718" spans="1:98">
      <c r="A10718" s="532"/>
      <c r="AR10718" s="2513"/>
      <c r="CT10718" s="531"/>
    </row>
    <row r="10719" spans="1:98">
      <c r="A10719" s="532"/>
      <c r="AR10719" s="2513"/>
      <c r="CT10719" s="531"/>
    </row>
    <row r="10720" spans="1:98">
      <c r="A10720" s="532"/>
      <c r="AR10720" s="2513"/>
      <c r="CT10720" s="531"/>
    </row>
    <row r="10721" spans="1:98">
      <c r="A10721" s="532"/>
      <c r="AR10721" s="2513"/>
      <c r="CT10721" s="531"/>
    </row>
    <row r="10722" spans="1:98">
      <c r="A10722" s="532"/>
      <c r="AR10722" s="2513"/>
      <c r="CT10722" s="531"/>
    </row>
    <row r="10723" spans="1:98">
      <c r="A10723" s="532"/>
      <c r="AR10723" s="2513"/>
      <c r="CT10723" s="531"/>
    </row>
    <row r="10724" spans="1:98">
      <c r="A10724" s="532"/>
      <c r="AR10724" s="2513"/>
      <c r="CT10724" s="531"/>
    </row>
    <row r="10725" spans="1:98">
      <c r="A10725" s="532"/>
      <c r="AR10725" s="2513"/>
      <c r="CT10725" s="531"/>
    </row>
    <row r="10726" spans="1:98">
      <c r="A10726" s="532"/>
      <c r="AR10726" s="2513"/>
      <c r="CT10726" s="531"/>
    </row>
    <row r="10727" spans="1:98">
      <c r="A10727" s="532"/>
      <c r="AR10727" s="2513"/>
      <c r="CT10727" s="531"/>
    </row>
    <row r="10728" spans="1:98">
      <c r="A10728" s="532"/>
      <c r="AR10728" s="2513"/>
      <c r="CT10728" s="531"/>
    </row>
    <row r="10729" spans="1:98">
      <c r="A10729" s="532"/>
      <c r="AR10729" s="2513"/>
      <c r="CT10729" s="531"/>
    </row>
    <row r="10730" spans="1:98">
      <c r="A10730" s="532"/>
      <c r="AR10730" s="2513"/>
      <c r="CT10730" s="531"/>
    </row>
    <row r="10731" spans="1:98">
      <c r="A10731" s="532"/>
      <c r="AR10731" s="2513"/>
      <c r="CT10731" s="531"/>
    </row>
    <row r="10732" spans="1:98">
      <c r="A10732" s="532"/>
      <c r="AR10732" s="2513"/>
      <c r="CT10732" s="531"/>
    </row>
    <row r="10733" spans="1:98">
      <c r="A10733" s="532"/>
      <c r="AR10733" s="2513"/>
      <c r="CT10733" s="531"/>
    </row>
    <row r="10734" spans="1:98">
      <c r="A10734" s="532"/>
      <c r="AR10734" s="2513"/>
      <c r="CT10734" s="531"/>
    </row>
    <row r="10735" spans="1:98">
      <c r="A10735" s="532"/>
      <c r="AR10735" s="2513"/>
      <c r="CT10735" s="531"/>
    </row>
    <row r="10736" spans="1:98">
      <c r="A10736" s="532"/>
      <c r="AR10736" s="2513"/>
      <c r="CT10736" s="531"/>
    </row>
    <row r="10737" spans="1:98">
      <c r="A10737" s="532"/>
      <c r="AR10737" s="2513"/>
      <c r="CT10737" s="531"/>
    </row>
    <row r="10738" spans="1:98">
      <c r="A10738" s="532"/>
      <c r="AR10738" s="2513"/>
      <c r="CT10738" s="531"/>
    </row>
    <row r="10739" spans="1:98">
      <c r="A10739" s="532"/>
      <c r="AR10739" s="2513"/>
      <c r="CT10739" s="531"/>
    </row>
    <row r="10740" spans="1:98">
      <c r="A10740" s="532"/>
      <c r="AR10740" s="2513"/>
      <c r="CT10740" s="531"/>
    </row>
    <row r="10741" spans="1:98">
      <c r="A10741" s="532"/>
      <c r="AR10741" s="2513"/>
      <c r="CT10741" s="531"/>
    </row>
    <row r="10742" spans="1:98">
      <c r="A10742" s="532"/>
      <c r="AR10742" s="2513"/>
      <c r="CT10742" s="531"/>
    </row>
    <row r="10743" spans="1:98">
      <c r="A10743" s="532"/>
      <c r="AR10743" s="2513"/>
      <c r="CT10743" s="531"/>
    </row>
    <row r="10744" spans="1:98">
      <c r="A10744" s="532"/>
      <c r="AR10744" s="2513"/>
      <c r="CT10744" s="531"/>
    </row>
    <row r="10745" spans="1:98">
      <c r="A10745" s="532"/>
      <c r="AR10745" s="2513"/>
      <c r="CT10745" s="531"/>
    </row>
    <row r="10746" spans="1:98">
      <c r="A10746" s="532"/>
      <c r="AR10746" s="2513"/>
      <c r="CT10746" s="531"/>
    </row>
    <row r="10747" spans="1:98">
      <c r="A10747" s="532"/>
      <c r="AR10747" s="2513"/>
      <c r="CT10747" s="531"/>
    </row>
    <row r="10748" spans="1:98">
      <c r="A10748" s="532"/>
      <c r="AR10748" s="2513"/>
      <c r="CT10748" s="531"/>
    </row>
    <row r="10749" spans="1:98">
      <c r="A10749" s="532"/>
      <c r="AR10749" s="2513"/>
      <c r="CT10749" s="531"/>
    </row>
    <row r="10750" spans="1:98">
      <c r="A10750" s="532"/>
      <c r="AR10750" s="2513"/>
      <c r="CT10750" s="531"/>
    </row>
    <row r="10751" spans="1:98">
      <c r="A10751" s="532"/>
      <c r="AR10751" s="2513"/>
      <c r="CT10751" s="531"/>
    </row>
    <row r="10752" spans="1:98">
      <c r="A10752" s="532"/>
      <c r="AR10752" s="2513"/>
      <c r="CT10752" s="531"/>
    </row>
    <row r="10753" spans="1:98">
      <c r="A10753" s="532"/>
      <c r="AR10753" s="2513"/>
      <c r="CT10753" s="531"/>
    </row>
    <row r="10754" spans="1:98">
      <c r="A10754" s="532"/>
      <c r="AR10754" s="2513"/>
      <c r="CT10754" s="531"/>
    </row>
    <row r="10755" spans="1:98">
      <c r="A10755" s="532"/>
      <c r="AR10755" s="2513"/>
      <c r="CT10755" s="531"/>
    </row>
    <row r="10756" spans="1:98">
      <c r="A10756" s="532"/>
      <c r="AR10756" s="2513"/>
      <c r="CT10756" s="531"/>
    </row>
    <row r="10757" spans="1:98">
      <c r="A10757" s="532"/>
      <c r="AR10757" s="2513"/>
      <c r="CT10757" s="531"/>
    </row>
    <row r="10758" spans="1:98">
      <c r="A10758" s="532"/>
      <c r="AR10758" s="2513"/>
      <c r="CT10758" s="531"/>
    </row>
    <row r="10759" spans="1:98">
      <c r="A10759" s="532"/>
      <c r="AR10759" s="2513"/>
      <c r="CT10759" s="531"/>
    </row>
    <row r="10760" spans="1:98">
      <c r="A10760" s="532"/>
      <c r="AR10760" s="2513"/>
      <c r="CT10760" s="531"/>
    </row>
    <row r="10761" spans="1:98">
      <c r="A10761" s="532"/>
      <c r="AR10761" s="2513"/>
      <c r="CT10761" s="531"/>
    </row>
    <row r="10762" spans="1:98">
      <c r="A10762" s="532"/>
      <c r="AR10762" s="2513"/>
      <c r="CT10762" s="531"/>
    </row>
    <row r="10763" spans="1:98">
      <c r="A10763" s="532"/>
      <c r="AR10763" s="2513"/>
      <c r="CT10763" s="531"/>
    </row>
    <row r="10764" spans="1:98">
      <c r="A10764" s="532"/>
      <c r="AR10764" s="2513"/>
      <c r="CT10764" s="531"/>
    </row>
    <row r="10765" spans="1:98">
      <c r="A10765" s="532"/>
      <c r="AR10765" s="2513"/>
      <c r="CT10765" s="531"/>
    </row>
    <row r="10766" spans="1:98">
      <c r="A10766" s="532"/>
      <c r="AR10766" s="2513"/>
      <c r="CT10766" s="531"/>
    </row>
    <row r="10767" spans="1:98">
      <c r="A10767" s="532"/>
      <c r="AR10767" s="2513"/>
      <c r="CT10767" s="531"/>
    </row>
    <row r="10768" spans="1:98">
      <c r="A10768" s="532"/>
      <c r="AR10768" s="2513"/>
      <c r="CT10768" s="531"/>
    </row>
    <row r="10769" spans="1:98">
      <c r="A10769" s="532"/>
      <c r="AR10769" s="2513"/>
      <c r="CT10769" s="531"/>
    </row>
    <row r="10770" spans="1:98">
      <c r="A10770" s="532"/>
      <c r="AR10770" s="2513"/>
      <c r="CT10770" s="531"/>
    </row>
    <row r="10771" spans="1:98">
      <c r="A10771" s="532"/>
      <c r="AR10771" s="2513"/>
      <c r="CT10771" s="531"/>
    </row>
    <row r="10772" spans="1:98">
      <c r="A10772" s="532"/>
      <c r="AR10772" s="2513"/>
      <c r="CT10772" s="531"/>
    </row>
    <row r="10773" spans="1:98">
      <c r="A10773" s="532"/>
      <c r="AR10773" s="2513"/>
      <c r="CT10773" s="531"/>
    </row>
    <row r="10774" spans="1:98">
      <c r="A10774" s="532"/>
      <c r="AR10774" s="2513"/>
      <c r="CT10774" s="531"/>
    </row>
    <row r="10775" spans="1:98">
      <c r="A10775" s="532"/>
      <c r="AR10775" s="2513"/>
      <c r="CT10775" s="531"/>
    </row>
    <row r="10776" spans="1:98">
      <c r="A10776" s="532"/>
      <c r="AR10776" s="2513"/>
      <c r="CT10776" s="531"/>
    </row>
    <row r="10777" spans="1:98">
      <c r="A10777" s="532"/>
      <c r="AR10777" s="2513"/>
      <c r="CT10777" s="531"/>
    </row>
    <row r="10778" spans="1:98">
      <c r="A10778" s="532"/>
      <c r="AR10778" s="2513"/>
      <c r="CT10778" s="531"/>
    </row>
    <row r="10779" spans="1:98">
      <c r="A10779" s="532"/>
      <c r="AR10779" s="2513"/>
      <c r="CT10779" s="531"/>
    </row>
    <row r="10780" spans="1:98">
      <c r="A10780" s="532"/>
      <c r="AR10780" s="2513"/>
      <c r="CT10780" s="531"/>
    </row>
    <row r="10781" spans="1:98">
      <c r="A10781" s="532"/>
      <c r="AR10781" s="2513"/>
      <c r="CT10781" s="531"/>
    </row>
    <row r="10782" spans="1:98">
      <c r="A10782" s="532"/>
      <c r="AR10782" s="2513"/>
      <c r="CT10782" s="531"/>
    </row>
    <row r="10783" spans="1:98">
      <c r="A10783" s="532"/>
      <c r="AR10783" s="2513"/>
      <c r="CT10783" s="531"/>
    </row>
    <row r="10784" spans="1:98">
      <c r="A10784" s="532"/>
      <c r="AR10784" s="2513"/>
      <c r="CT10784" s="531"/>
    </row>
    <row r="10785" spans="1:98">
      <c r="A10785" s="532"/>
      <c r="AR10785" s="2513"/>
      <c r="CT10785" s="531"/>
    </row>
    <row r="10786" spans="1:98">
      <c r="A10786" s="532"/>
      <c r="AR10786" s="2513"/>
      <c r="CT10786" s="531"/>
    </row>
    <row r="10787" spans="1:98">
      <c r="A10787" s="532"/>
      <c r="AR10787" s="2513"/>
      <c r="CT10787" s="531"/>
    </row>
    <row r="10788" spans="1:98">
      <c r="A10788" s="532"/>
      <c r="AR10788" s="2513"/>
      <c r="CT10788" s="531"/>
    </row>
    <row r="10789" spans="1:98">
      <c r="A10789" s="532"/>
      <c r="AR10789" s="2513"/>
      <c r="CT10789" s="531"/>
    </row>
    <row r="10790" spans="1:98">
      <c r="A10790" s="532"/>
      <c r="AR10790" s="2513"/>
      <c r="CT10790" s="531"/>
    </row>
    <row r="10791" spans="1:98">
      <c r="A10791" s="532"/>
      <c r="AR10791" s="2513"/>
      <c r="CT10791" s="531"/>
    </row>
    <row r="10792" spans="1:98">
      <c r="A10792" s="532"/>
      <c r="AR10792" s="2513"/>
      <c r="CT10792" s="531"/>
    </row>
    <row r="10793" spans="1:98">
      <c r="A10793" s="532"/>
      <c r="AR10793" s="2513"/>
      <c r="CT10793" s="531"/>
    </row>
    <row r="10794" spans="1:98">
      <c r="A10794" s="532"/>
      <c r="AR10794" s="2513"/>
      <c r="CT10794" s="531"/>
    </row>
    <row r="10795" spans="1:98">
      <c r="A10795" s="532"/>
      <c r="AR10795" s="2513"/>
      <c r="CT10795" s="531"/>
    </row>
    <row r="10796" spans="1:98">
      <c r="A10796" s="532"/>
      <c r="AR10796" s="2513"/>
      <c r="CT10796" s="531"/>
    </row>
    <row r="10797" spans="1:98">
      <c r="A10797" s="532"/>
      <c r="AR10797" s="2513"/>
      <c r="CT10797" s="531"/>
    </row>
    <row r="10798" spans="1:98">
      <c r="A10798" s="532"/>
      <c r="AR10798" s="2513"/>
      <c r="CT10798" s="531"/>
    </row>
    <row r="10799" spans="1:98">
      <c r="A10799" s="532"/>
      <c r="AR10799" s="2513"/>
      <c r="CT10799" s="531"/>
    </row>
    <row r="10800" spans="1:98">
      <c r="A10800" s="532"/>
      <c r="AR10800" s="2513"/>
      <c r="CT10800" s="531"/>
    </row>
    <row r="10801" spans="1:98">
      <c r="A10801" s="532"/>
      <c r="AR10801" s="2513"/>
      <c r="CT10801" s="531"/>
    </row>
    <row r="10802" spans="1:98">
      <c r="A10802" s="532"/>
      <c r="AR10802" s="2513"/>
      <c r="CT10802" s="531"/>
    </row>
    <row r="10803" spans="1:98">
      <c r="A10803" s="532"/>
      <c r="AR10803" s="2513"/>
      <c r="CT10803" s="531"/>
    </row>
    <row r="10804" spans="1:98">
      <c r="A10804" s="532"/>
      <c r="AR10804" s="2513"/>
      <c r="CT10804" s="531"/>
    </row>
    <row r="10805" spans="1:98">
      <c r="A10805" s="532"/>
      <c r="AR10805" s="2513"/>
      <c r="CT10805" s="531"/>
    </row>
    <row r="10806" spans="1:98">
      <c r="A10806" s="532"/>
      <c r="AR10806" s="2513"/>
      <c r="CT10806" s="531"/>
    </row>
    <row r="10807" spans="1:98">
      <c r="A10807" s="532"/>
      <c r="AR10807" s="2513"/>
      <c r="CT10807" s="531"/>
    </row>
    <row r="10808" spans="1:98">
      <c r="A10808" s="532"/>
      <c r="AR10808" s="2513"/>
      <c r="CT10808" s="531"/>
    </row>
    <row r="10809" spans="1:98">
      <c r="A10809" s="532"/>
      <c r="AR10809" s="2513"/>
      <c r="CT10809" s="531"/>
    </row>
    <row r="10810" spans="1:98">
      <c r="A10810" s="532"/>
      <c r="AR10810" s="2513"/>
      <c r="CT10810" s="531"/>
    </row>
    <row r="10811" spans="1:98">
      <c r="A10811" s="532"/>
      <c r="AR10811" s="2513"/>
      <c r="CT10811" s="531"/>
    </row>
    <row r="10812" spans="1:98">
      <c r="A10812" s="532"/>
      <c r="AR10812" s="2513"/>
      <c r="CT10812" s="531"/>
    </row>
    <row r="10813" spans="1:98">
      <c r="A10813" s="532"/>
      <c r="AR10813" s="2513"/>
      <c r="CT10813" s="531"/>
    </row>
    <row r="10814" spans="1:98">
      <c r="A10814" s="532"/>
      <c r="AR10814" s="2513"/>
      <c r="CT10814" s="531"/>
    </row>
    <row r="10815" spans="1:98">
      <c r="A10815" s="532"/>
      <c r="AR10815" s="2513"/>
      <c r="CT10815" s="531"/>
    </row>
    <row r="10816" spans="1:98">
      <c r="A10816" s="532"/>
      <c r="AR10816" s="2513"/>
      <c r="CT10816" s="531"/>
    </row>
    <row r="10817" spans="1:98">
      <c r="A10817" s="532"/>
      <c r="AR10817" s="2513"/>
      <c r="CT10817" s="531"/>
    </row>
    <row r="10818" spans="1:98">
      <c r="A10818" s="532"/>
      <c r="AR10818" s="2513"/>
      <c r="CT10818" s="531"/>
    </row>
    <row r="10819" spans="1:98">
      <c r="A10819" s="532"/>
      <c r="AR10819" s="2513"/>
      <c r="CT10819" s="531"/>
    </row>
    <row r="10820" spans="1:98">
      <c r="A10820" s="532"/>
      <c r="AR10820" s="2513"/>
      <c r="CT10820" s="531"/>
    </row>
    <row r="10821" spans="1:98">
      <c r="A10821" s="532"/>
      <c r="AR10821" s="2513"/>
      <c r="CT10821" s="531"/>
    </row>
    <row r="10822" spans="1:98">
      <c r="A10822" s="532"/>
      <c r="AR10822" s="2513"/>
      <c r="CT10822" s="531"/>
    </row>
    <row r="10823" spans="1:98">
      <c r="A10823" s="532"/>
      <c r="AR10823" s="2513"/>
      <c r="CT10823" s="531"/>
    </row>
    <row r="10824" spans="1:98">
      <c r="A10824" s="532"/>
      <c r="AR10824" s="2513"/>
      <c r="CT10824" s="531"/>
    </row>
    <row r="10825" spans="1:98">
      <c r="A10825" s="532"/>
      <c r="AR10825" s="2513"/>
      <c r="CT10825" s="531"/>
    </row>
    <row r="10826" spans="1:98">
      <c r="A10826" s="532"/>
      <c r="AR10826" s="2513"/>
      <c r="CT10826" s="531"/>
    </row>
    <row r="10827" spans="1:98">
      <c r="A10827" s="532"/>
      <c r="AR10827" s="2513"/>
      <c r="CT10827" s="531"/>
    </row>
    <row r="10828" spans="1:98">
      <c r="A10828" s="532"/>
      <c r="AR10828" s="2513"/>
      <c r="CT10828" s="531"/>
    </row>
    <row r="10829" spans="1:98">
      <c r="A10829" s="532"/>
      <c r="AR10829" s="2513"/>
      <c r="CT10829" s="531"/>
    </row>
    <row r="10830" spans="1:98">
      <c r="A10830" s="532"/>
      <c r="AR10830" s="2513"/>
      <c r="CT10830" s="531"/>
    </row>
    <row r="10831" spans="1:98">
      <c r="A10831" s="532"/>
      <c r="AR10831" s="2513"/>
      <c r="CT10831" s="531"/>
    </row>
    <row r="10832" spans="1:98">
      <c r="A10832" s="532"/>
      <c r="AR10832" s="2513"/>
      <c r="CT10832" s="531"/>
    </row>
    <row r="10833" spans="1:98">
      <c r="A10833" s="532"/>
      <c r="AR10833" s="2513"/>
      <c r="CT10833" s="531"/>
    </row>
    <row r="10834" spans="1:98">
      <c r="A10834" s="532"/>
      <c r="AR10834" s="2513"/>
      <c r="CT10834" s="531"/>
    </row>
    <row r="10835" spans="1:98">
      <c r="A10835" s="532"/>
      <c r="AR10835" s="2513"/>
      <c r="CT10835" s="531"/>
    </row>
    <row r="10836" spans="1:98">
      <c r="A10836" s="532"/>
      <c r="AR10836" s="2513"/>
      <c r="CT10836" s="531"/>
    </row>
    <row r="10837" spans="1:98">
      <c r="A10837" s="532"/>
      <c r="AR10837" s="2513"/>
      <c r="CT10837" s="531"/>
    </row>
    <row r="10838" spans="1:98">
      <c r="A10838" s="532"/>
      <c r="AR10838" s="2513"/>
      <c r="CT10838" s="531"/>
    </row>
    <row r="10839" spans="1:98">
      <c r="A10839" s="532"/>
      <c r="AR10839" s="2513"/>
      <c r="CT10839" s="531"/>
    </row>
    <row r="10840" spans="1:98">
      <c r="A10840" s="532"/>
      <c r="AR10840" s="2513"/>
      <c r="CT10840" s="531"/>
    </row>
    <row r="10841" spans="1:98">
      <c r="A10841" s="532"/>
      <c r="AR10841" s="2513"/>
      <c r="CT10841" s="531"/>
    </row>
    <row r="10842" spans="1:98">
      <c r="A10842" s="532"/>
      <c r="AR10842" s="2513"/>
      <c r="CT10842" s="531"/>
    </row>
    <row r="10843" spans="1:98">
      <c r="A10843" s="532"/>
      <c r="AR10843" s="2513"/>
      <c r="CT10843" s="531"/>
    </row>
    <row r="10844" spans="1:98">
      <c r="A10844" s="532"/>
      <c r="AR10844" s="2513"/>
      <c r="CT10844" s="531"/>
    </row>
    <row r="10845" spans="1:98">
      <c r="A10845" s="532"/>
      <c r="AR10845" s="2513"/>
      <c r="CT10845" s="531"/>
    </row>
    <row r="10846" spans="1:98">
      <c r="A10846" s="532"/>
      <c r="AR10846" s="2513"/>
      <c r="CT10846" s="531"/>
    </row>
    <row r="10847" spans="1:98">
      <c r="A10847" s="532"/>
      <c r="AR10847" s="2513"/>
      <c r="CT10847" s="531"/>
    </row>
    <row r="10848" spans="1:98">
      <c r="A10848" s="532"/>
      <c r="AR10848" s="2513"/>
      <c r="CT10848" s="531"/>
    </row>
    <row r="10849" spans="1:98">
      <c r="A10849" s="532"/>
      <c r="AR10849" s="2513"/>
      <c r="CT10849" s="531"/>
    </row>
    <row r="10850" spans="1:98">
      <c r="A10850" s="532"/>
      <c r="AR10850" s="2513"/>
      <c r="CT10850" s="531"/>
    </row>
    <row r="10851" spans="1:98">
      <c r="A10851" s="532"/>
      <c r="AR10851" s="2513"/>
      <c r="CT10851" s="531"/>
    </row>
    <row r="10852" spans="1:98">
      <c r="A10852" s="532"/>
      <c r="AR10852" s="2513"/>
      <c r="CT10852" s="531"/>
    </row>
    <row r="10853" spans="1:98">
      <c r="A10853" s="532"/>
      <c r="AR10853" s="2513"/>
      <c r="CT10853" s="531"/>
    </row>
    <row r="10854" spans="1:98">
      <c r="A10854" s="532"/>
      <c r="AR10854" s="2513"/>
      <c r="CT10854" s="531"/>
    </row>
    <row r="10855" spans="1:98">
      <c r="A10855" s="532"/>
      <c r="AR10855" s="2513"/>
      <c r="CT10855" s="531"/>
    </row>
    <row r="10856" spans="1:98">
      <c r="A10856" s="532"/>
      <c r="AR10856" s="2513"/>
      <c r="CT10856" s="531"/>
    </row>
    <row r="10857" spans="1:98">
      <c r="A10857" s="532"/>
      <c r="AR10857" s="2513"/>
      <c r="CT10857" s="531"/>
    </row>
    <row r="10858" spans="1:98">
      <c r="A10858" s="532"/>
      <c r="AR10858" s="2513"/>
      <c r="CT10858" s="531"/>
    </row>
    <row r="10859" spans="1:98">
      <c r="A10859" s="532"/>
      <c r="AR10859" s="2513"/>
      <c r="CT10859" s="531"/>
    </row>
    <row r="10860" spans="1:98">
      <c r="A10860" s="532"/>
      <c r="AR10860" s="2513"/>
      <c r="CT10860" s="531"/>
    </row>
    <row r="10861" spans="1:98">
      <c r="A10861" s="532"/>
      <c r="AR10861" s="2513"/>
      <c r="CT10861" s="531"/>
    </row>
    <row r="10862" spans="1:98">
      <c r="A10862" s="532"/>
      <c r="AR10862" s="2513"/>
      <c r="CT10862" s="531"/>
    </row>
    <row r="10863" spans="1:98">
      <c r="A10863" s="532"/>
      <c r="AR10863" s="2513"/>
      <c r="CT10863" s="531"/>
    </row>
    <row r="10864" spans="1:98">
      <c r="A10864" s="532"/>
      <c r="AR10864" s="2513"/>
      <c r="CT10864" s="531"/>
    </row>
    <row r="10865" spans="1:98">
      <c r="A10865" s="532"/>
      <c r="AR10865" s="2513"/>
      <c r="CT10865" s="531"/>
    </row>
    <row r="10866" spans="1:98">
      <c r="A10866" s="532"/>
      <c r="AR10866" s="2513"/>
      <c r="CT10866" s="531"/>
    </row>
    <row r="10867" spans="1:98">
      <c r="A10867" s="532"/>
      <c r="AR10867" s="2513"/>
      <c r="CT10867" s="531"/>
    </row>
    <row r="10868" spans="1:98">
      <c r="A10868" s="532"/>
      <c r="AR10868" s="2513"/>
      <c r="CT10868" s="531"/>
    </row>
    <row r="10869" spans="1:98">
      <c r="A10869" s="532"/>
      <c r="AR10869" s="2513"/>
      <c r="CT10869" s="531"/>
    </row>
    <row r="10870" spans="1:98">
      <c r="A10870" s="532"/>
      <c r="AR10870" s="2513"/>
      <c r="CT10870" s="531"/>
    </row>
    <row r="10871" spans="1:98">
      <c r="A10871" s="532"/>
      <c r="AR10871" s="2513"/>
      <c r="CT10871" s="531"/>
    </row>
    <row r="10872" spans="1:98">
      <c r="A10872" s="532"/>
      <c r="AR10872" s="2513"/>
      <c r="CT10872" s="531"/>
    </row>
    <row r="10873" spans="1:98">
      <c r="A10873" s="532"/>
      <c r="AR10873" s="2513"/>
      <c r="CT10873" s="531"/>
    </row>
    <row r="10874" spans="1:98">
      <c r="A10874" s="532"/>
      <c r="AR10874" s="2513"/>
      <c r="CT10874" s="531"/>
    </row>
    <row r="10875" spans="1:98">
      <c r="A10875" s="532"/>
      <c r="AR10875" s="2513"/>
      <c r="CT10875" s="531"/>
    </row>
    <row r="10876" spans="1:98">
      <c r="A10876" s="532"/>
      <c r="AR10876" s="2513"/>
      <c r="CT10876" s="531"/>
    </row>
    <row r="10877" spans="1:98">
      <c r="A10877" s="532"/>
      <c r="AR10877" s="2513"/>
      <c r="CT10877" s="531"/>
    </row>
    <row r="10878" spans="1:98">
      <c r="A10878" s="532"/>
      <c r="AR10878" s="2513"/>
      <c r="CT10878" s="531"/>
    </row>
    <row r="10879" spans="1:98">
      <c r="A10879" s="532"/>
      <c r="AR10879" s="2513"/>
      <c r="CT10879" s="531"/>
    </row>
    <row r="10880" spans="1:98">
      <c r="A10880" s="532"/>
      <c r="AR10880" s="2513"/>
      <c r="CT10880" s="531"/>
    </row>
    <row r="10881" spans="1:98">
      <c r="A10881" s="532"/>
      <c r="AR10881" s="2513"/>
      <c r="CT10881" s="531"/>
    </row>
    <row r="10882" spans="1:98">
      <c r="A10882" s="532"/>
      <c r="AR10882" s="2513"/>
      <c r="CT10882" s="531"/>
    </row>
    <row r="10883" spans="1:98">
      <c r="A10883" s="532"/>
      <c r="AR10883" s="2513"/>
      <c r="CT10883" s="531"/>
    </row>
    <row r="10884" spans="1:98">
      <c r="A10884" s="532"/>
      <c r="AR10884" s="2513"/>
      <c r="CT10884" s="531"/>
    </row>
    <row r="10885" spans="1:98">
      <c r="A10885" s="532"/>
      <c r="AR10885" s="2513"/>
      <c r="CT10885" s="531"/>
    </row>
    <row r="10886" spans="1:98">
      <c r="A10886" s="532"/>
      <c r="AR10886" s="2513"/>
      <c r="CT10886" s="531"/>
    </row>
    <row r="10887" spans="1:98">
      <c r="A10887" s="532"/>
      <c r="AR10887" s="2513"/>
      <c r="CT10887" s="531"/>
    </row>
    <row r="10888" spans="1:98">
      <c r="A10888" s="532"/>
      <c r="AR10888" s="2513"/>
      <c r="CT10888" s="531"/>
    </row>
    <row r="10889" spans="1:98">
      <c r="A10889" s="532"/>
      <c r="AR10889" s="2513"/>
      <c r="CT10889" s="531"/>
    </row>
    <row r="10890" spans="1:98">
      <c r="A10890" s="532"/>
      <c r="AR10890" s="2513"/>
      <c r="CT10890" s="531"/>
    </row>
    <row r="10891" spans="1:98">
      <c r="A10891" s="532"/>
      <c r="AR10891" s="2513"/>
      <c r="CT10891" s="531"/>
    </row>
    <row r="10892" spans="1:98">
      <c r="A10892" s="532"/>
      <c r="AR10892" s="2513"/>
      <c r="CT10892" s="531"/>
    </row>
    <row r="10893" spans="1:98">
      <c r="A10893" s="532"/>
      <c r="AR10893" s="2513"/>
      <c r="CT10893" s="531"/>
    </row>
    <row r="10894" spans="1:98">
      <c r="A10894" s="532"/>
      <c r="AR10894" s="2513"/>
      <c r="CT10894" s="531"/>
    </row>
    <row r="10895" spans="1:98">
      <c r="A10895" s="532"/>
      <c r="AR10895" s="2513"/>
      <c r="CT10895" s="531"/>
    </row>
    <row r="10896" spans="1:98">
      <c r="A10896" s="532"/>
      <c r="AR10896" s="2513"/>
      <c r="CT10896" s="531"/>
    </row>
    <row r="10897" spans="1:98">
      <c r="A10897" s="532"/>
      <c r="AR10897" s="2513"/>
      <c r="CT10897" s="531"/>
    </row>
    <row r="10898" spans="1:98">
      <c r="A10898" s="532"/>
      <c r="AR10898" s="2513"/>
      <c r="CT10898" s="531"/>
    </row>
    <row r="10899" spans="1:98">
      <c r="A10899" s="532"/>
      <c r="AR10899" s="2513"/>
      <c r="CT10899" s="531"/>
    </row>
    <row r="10900" spans="1:98">
      <c r="A10900" s="532"/>
      <c r="AR10900" s="2513"/>
      <c r="CT10900" s="531"/>
    </row>
    <row r="10901" spans="1:98">
      <c r="A10901" s="532"/>
      <c r="AR10901" s="2513"/>
      <c r="CT10901" s="531"/>
    </row>
    <row r="10902" spans="1:98">
      <c r="A10902" s="532"/>
      <c r="AR10902" s="2513"/>
      <c r="CT10902" s="531"/>
    </row>
    <row r="10903" spans="1:98">
      <c r="A10903" s="532"/>
      <c r="AR10903" s="2513"/>
      <c r="CT10903" s="531"/>
    </row>
    <row r="10904" spans="1:98">
      <c r="A10904" s="532"/>
      <c r="AR10904" s="2513"/>
      <c r="CT10904" s="531"/>
    </row>
    <row r="10905" spans="1:98">
      <c r="A10905" s="532"/>
      <c r="AR10905" s="2513"/>
      <c r="CT10905" s="531"/>
    </row>
    <row r="10906" spans="1:98">
      <c r="A10906" s="532"/>
      <c r="AR10906" s="2513"/>
      <c r="CT10906" s="531"/>
    </row>
    <row r="10907" spans="1:98">
      <c r="A10907" s="532"/>
      <c r="AR10907" s="2513"/>
      <c r="CT10907" s="531"/>
    </row>
    <row r="10908" spans="1:98">
      <c r="A10908" s="532"/>
      <c r="AR10908" s="2513"/>
      <c r="CT10908" s="531"/>
    </row>
    <row r="10909" spans="1:98">
      <c r="A10909" s="532"/>
      <c r="AR10909" s="2513"/>
      <c r="CT10909" s="531"/>
    </row>
    <row r="10910" spans="1:98">
      <c r="A10910" s="532"/>
      <c r="AR10910" s="2513"/>
      <c r="CT10910" s="531"/>
    </row>
    <row r="10911" spans="1:98">
      <c r="A10911" s="532"/>
      <c r="AR10911" s="2513"/>
      <c r="CT10911" s="531"/>
    </row>
    <row r="10912" spans="1:98">
      <c r="A10912" s="532"/>
      <c r="AR10912" s="2513"/>
      <c r="CT10912" s="531"/>
    </row>
    <row r="10913" spans="1:98">
      <c r="A10913" s="532"/>
      <c r="AR10913" s="2513"/>
      <c r="CT10913" s="531"/>
    </row>
    <row r="10914" spans="1:98">
      <c r="A10914" s="532"/>
      <c r="AR10914" s="2513"/>
      <c r="CT10914" s="531"/>
    </row>
    <row r="10915" spans="1:98">
      <c r="A10915" s="532"/>
      <c r="AR10915" s="2513"/>
      <c r="CT10915" s="531"/>
    </row>
    <row r="10916" spans="1:98">
      <c r="A10916" s="532"/>
      <c r="AR10916" s="2513"/>
      <c r="CT10916" s="531"/>
    </row>
    <row r="10917" spans="1:98">
      <c r="A10917" s="532"/>
      <c r="AR10917" s="2513"/>
      <c r="CT10917" s="531"/>
    </row>
    <row r="10918" spans="1:98">
      <c r="A10918" s="532"/>
      <c r="AR10918" s="2513"/>
      <c r="CT10918" s="531"/>
    </row>
    <row r="10919" spans="1:98">
      <c r="A10919" s="532"/>
      <c r="AR10919" s="2513"/>
      <c r="CT10919" s="531"/>
    </row>
    <row r="10920" spans="1:98">
      <c r="A10920" s="532"/>
      <c r="AR10920" s="2513"/>
      <c r="CT10920" s="531"/>
    </row>
    <row r="10921" spans="1:98">
      <c r="A10921" s="532"/>
      <c r="AR10921" s="2513"/>
      <c r="CT10921" s="531"/>
    </row>
    <row r="10922" spans="1:98">
      <c r="A10922" s="532"/>
      <c r="AR10922" s="2513"/>
      <c r="CT10922" s="531"/>
    </row>
    <row r="10923" spans="1:98">
      <c r="A10923" s="532"/>
      <c r="AR10923" s="2513"/>
      <c r="CT10923" s="531"/>
    </row>
    <row r="10924" spans="1:98">
      <c r="A10924" s="532"/>
      <c r="AR10924" s="2513"/>
      <c r="CT10924" s="531"/>
    </row>
    <row r="10925" spans="1:98">
      <c r="A10925" s="532"/>
      <c r="AR10925" s="2513"/>
      <c r="CT10925" s="531"/>
    </row>
    <row r="10926" spans="1:98">
      <c r="A10926" s="532"/>
      <c r="AR10926" s="2513"/>
      <c r="CT10926" s="531"/>
    </row>
    <row r="10927" spans="1:98">
      <c r="A10927" s="532"/>
      <c r="AR10927" s="2513"/>
      <c r="CT10927" s="531"/>
    </row>
    <row r="10928" spans="1:98">
      <c r="A10928" s="532"/>
      <c r="AR10928" s="2513"/>
      <c r="CT10928" s="531"/>
    </row>
    <row r="10929" spans="1:98">
      <c r="A10929" s="532"/>
      <c r="AR10929" s="2513"/>
      <c r="CT10929" s="531"/>
    </row>
    <row r="10930" spans="1:98">
      <c r="A10930" s="532"/>
      <c r="AR10930" s="2513"/>
      <c r="CT10930" s="531"/>
    </row>
    <row r="10931" spans="1:98">
      <c r="A10931" s="532"/>
      <c r="AR10931" s="2513"/>
      <c r="CT10931" s="531"/>
    </row>
    <row r="10932" spans="1:98">
      <c r="A10932" s="532"/>
      <c r="AR10932" s="2513"/>
      <c r="CT10932" s="531"/>
    </row>
    <row r="10933" spans="1:98">
      <c r="A10933" s="532"/>
      <c r="AR10933" s="2513"/>
      <c r="CT10933" s="531"/>
    </row>
    <row r="10934" spans="1:98">
      <c r="A10934" s="532"/>
      <c r="AR10934" s="2513"/>
      <c r="CT10934" s="531"/>
    </row>
    <row r="10935" spans="1:98">
      <c r="A10935" s="532"/>
      <c r="AR10935" s="2513"/>
      <c r="CT10935" s="531"/>
    </row>
    <row r="10936" spans="1:98">
      <c r="A10936" s="532"/>
      <c r="AR10936" s="2513"/>
      <c r="CT10936" s="531"/>
    </row>
    <row r="10937" spans="1:98">
      <c r="A10937" s="532"/>
      <c r="AR10937" s="2513"/>
      <c r="CT10937" s="531"/>
    </row>
    <row r="10938" spans="1:98">
      <c r="A10938" s="532"/>
      <c r="AR10938" s="2513"/>
      <c r="CT10938" s="531"/>
    </row>
    <row r="10939" spans="1:98">
      <c r="A10939" s="532"/>
      <c r="AR10939" s="2513"/>
      <c r="CT10939" s="531"/>
    </row>
    <row r="10940" spans="1:98">
      <c r="A10940" s="532"/>
      <c r="AR10940" s="2513"/>
      <c r="CT10940" s="531"/>
    </row>
    <row r="10941" spans="1:98">
      <c r="A10941" s="532"/>
      <c r="AR10941" s="2513"/>
      <c r="CT10941" s="531"/>
    </row>
    <row r="10942" spans="1:98">
      <c r="A10942" s="532"/>
      <c r="AR10942" s="2513"/>
      <c r="CT10942" s="531"/>
    </row>
    <row r="10943" spans="1:98">
      <c r="A10943" s="532"/>
      <c r="AR10943" s="2513"/>
      <c r="CT10943" s="531"/>
    </row>
    <row r="10944" spans="1:98">
      <c r="A10944" s="532"/>
      <c r="AR10944" s="2513"/>
      <c r="CT10944" s="531"/>
    </row>
    <row r="10945" spans="1:98">
      <c r="A10945" s="532"/>
      <c r="AR10945" s="2513"/>
      <c r="CT10945" s="531"/>
    </row>
    <row r="10946" spans="1:98">
      <c r="A10946" s="532"/>
      <c r="AR10946" s="2513"/>
      <c r="CT10946" s="531"/>
    </row>
    <row r="10947" spans="1:98">
      <c r="A10947" s="532"/>
      <c r="AR10947" s="2513"/>
      <c r="CT10947" s="531"/>
    </row>
    <row r="10948" spans="1:98">
      <c r="A10948" s="532"/>
      <c r="AR10948" s="2513"/>
      <c r="CT10948" s="531"/>
    </row>
    <row r="10949" spans="1:98">
      <c r="A10949" s="532"/>
      <c r="AR10949" s="2513"/>
      <c r="CT10949" s="531"/>
    </row>
    <row r="10950" spans="1:98">
      <c r="A10950" s="532"/>
      <c r="AR10950" s="2513"/>
      <c r="CT10950" s="531"/>
    </row>
    <row r="10951" spans="1:98">
      <c r="A10951" s="532"/>
      <c r="AR10951" s="2513"/>
      <c r="CT10951" s="531"/>
    </row>
    <row r="10952" spans="1:98">
      <c r="A10952" s="532"/>
      <c r="AR10952" s="2513"/>
      <c r="CT10952" s="531"/>
    </row>
    <row r="10953" spans="1:98">
      <c r="A10953" s="532"/>
      <c r="AR10953" s="2513"/>
      <c r="CT10953" s="531"/>
    </row>
    <row r="10954" spans="1:98">
      <c r="A10954" s="532"/>
      <c r="AR10954" s="2513"/>
      <c r="CT10954" s="531"/>
    </row>
    <row r="10955" spans="1:98">
      <c r="A10955" s="532"/>
      <c r="AR10955" s="2513"/>
      <c r="CT10955" s="531"/>
    </row>
    <row r="10956" spans="1:98">
      <c r="A10956" s="532"/>
      <c r="AR10956" s="2513"/>
      <c r="CT10956" s="531"/>
    </row>
    <row r="10957" spans="1:98">
      <c r="A10957" s="532"/>
      <c r="AR10957" s="2513"/>
      <c r="CT10957" s="531"/>
    </row>
    <row r="10958" spans="1:98">
      <c r="A10958" s="532"/>
      <c r="AR10958" s="2513"/>
      <c r="CT10958" s="531"/>
    </row>
    <row r="10959" spans="1:98">
      <c r="A10959" s="532"/>
      <c r="AR10959" s="2513"/>
      <c r="CT10959" s="531"/>
    </row>
    <row r="10960" spans="1:98">
      <c r="A10960" s="532"/>
      <c r="AR10960" s="2513"/>
      <c r="CT10960" s="531"/>
    </row>
    <row r="10961" spans="1:98">
      <c r="A10961" s="532"/>
      <c r="AR10961" s="2513"/>
      <c r="CT10961" s="531"/>
    </row>
    <row r="10962" spans="1:98">
      <c r="A10962" s="532"/>
      <c r="AR10962" s="2513"/>
      <c r="CT10962" s="531"/>
    </row>
    <row r="10963" spans="1:98">
      <c r="A10963" s="532"/>
      <c r="AR10963" s="2513"/>
      <c r="CT10963" s="531"/>
    </row>
    <row r="10964" spans="1:98">
      <c r="A10964" s="532"/>
      <c r="AR10964" s="2513"/>
      <c r="CT10964" s="531"/>
    </row>
    <row r="10965" spans="1:98">
      <c r="A10965" s="532"/>
      <c r="AR10965" s="2513"/>
      <c r="CT10965" s="531"/>
    </row>
    <row r="10966" spans="1:98">
      <c r="A10966" s="532"/>
      <c r="AR10966" s="2513"/>
      <c r="CT10966" s="531"/>
    </row>
    <row r="10967" spans="1:98">
      <c r="A10967" s="532"/>
      <c r="AR10967" s="2513"/>
      <c r="CT10967" s="531"/>
    </row>
    <row r="10968" spans="1:98">
      <c r="A10968" s="532"/>
      <c r="AR10968" s="2513"/>
      <c r="CT10968" s="531"/>
    </row>
    <row r="10969" spans="1:98">
      <c r="A10969" s="532"/>
      <c r="AR10969" s="2513"/>
      <c r="CT10969" s="531"/>
    </row>
    <row r="10970" spans="1:98">
      <c r="A10970" s="532"/>
      <c r="AR10970" s="2513"/>
      <c r="CT10970" s="531"/>
    </row>
    <row r="10971" spans="1:98">
      <c r="A10971" s="532"/>
      <c r="AR10971" s="2513"/>
      <c r="CT10971" s="531"/>
    </row>
    <row r="10972" spans="1:98">
      <c r="A10972" s="532"/>
      <c r="AR10972" s="2513"/>
      <c r="CT10972" s="531"/>
    </row>
    <row r="10973" spans="1:98">
      <c r="A10973" s="532"/>
      <c r="AR10973" s="2513"/>
      <c r="CT10973" s="531"/>
    </row>
    <row r="10974" spans="1:98">
      <c r="A10974" s="532"/>
      <c r="AR10974" s="2513"/>
      <c r="CT10974" s="531"/>
    </row>
    <row r="10975" spans="1:98">
      <c r="A10975" s="532"/>
      <c r="AR10975" s="2513"/>
      <c r="CT10975" s="531"/>
    </row>
    <row r="10976" spans="1:98">
      <c r="A10976" s="532"/>
      <c r="AR10976" s="2513"/>
      <c r="CT10976" s="531"/>
    </row>
    <row r="10977" spans="1:98">
      <c r="A10977" s="532"/>
      <c r="AR10977" s="2513"/>
      <c r="CT10977" s="531"/>
    </row>
    <row r="10978" spans="1:98">
      <c r="A10978" s="532"/>
      <c r="AR10978" s="2513"/>
      <c r="CT10978" s="531"/>
    </row>
    <row r="10979" spans="1:98">
      <c r="A10979" s="532"/>
      <c r="AR10979" s="2513"/>
      <c r="CT10979" s="531"/>
    </row>
    <row r="10980" spans="1:98">
      <c r="A10980" s="532"/>
      <c r="AR10980" s="2513"/>
      <c r="CT10980" s="531"/>
    </row>
    <row r="10981" spans="1:98">
      <c r="A10981" s="532"/>
      <c r="AR10981" s="2513"/>
      <c r="CT10981" s="531"/>
    </row>
    <row r="10982" spans="1:98">
      <c r="A10982" s="532"/>
      <c r="AR10982" s="2513"/>
      <c r="CT10982" s="531"/>
    </row>
    <row r="10983" spans="1:98">
      <c r="A10983" s="532"/>
      <c r="AR10983" s="2513"/>
      <c r="CT10983" s="531"/>
    </row>
    <row r="10984" spans="1:98">
      <c r="A10984" s="532"/>
      <c r="AR10984" s="2513"/>
      <c r="CT10984" s="531"/>
    </row>
    <row r="10985" spans="1:98">
      <c r="A10985" s="532"/>
      <c r="AR10985" s="2513"/>
      <c r="CT10985" s="531"/>
    </row>
    <row r="10986" spans="1:98">
      <c r="A10986" s="532"/>
      <c r="AR10986" s="2513"/>
      <c r="CT10986" s="531"/>
    </row>
    <row r="10987" spans="1:98">
      <c r="A10987" s="532"/>
      <c r="AR10987" s="2513"/>
      <c r="CT10987" s="531"/>
    </row>
    <row r="10988" spans="1:98">
      <c r="A10988" s="532"/>
      <c r="AR10988" s="2513"/>
      <c r="CT10988" s="531"/>
    </row>
    <row r="10989" spans="1:98">
      <c r="A10989" s="532"/>
      <c r="AR10989" s="2513"/>
      <c r="CT10989" s="531"/>
    </row>
    <row r="10990" spans="1:98">
      <c r="A10990" s="532"/>
      <c r="AR10990" s="2513"/>
      <c r="CT10990" s="531"/>
    </row>
    <row r="10991" spans="1:98">
      <c r="A10991" s="532"/>
      <c r="AR10991" s="2513"/>
      <c r="CT10991" s="531"/>
    </row>
    <row r="10992" spans="1:98">
      <c r="A10992" s="532"/>
      <c r="AR10992" s="2513"/>
      <c r="CT10992" s="531"/>
    </row>
    <row r="10993" spans="1:98">
      <c r="A10993" s="532"/>
      <c r="AR10993" s="2513"/>
      <c r="CT10993" s="531"/>
    </row>
    <row r="10994" spans="1:98">
      <c r="A10994" s="532"/>
      <c r="AR10994" s="2513"/>
      <c r="CT10994" s="531"/>
    </row>
    <row r="10995" spans="1:98">
      <c r="A10995" s="532"/>
      <c r="AR10995" s="2513"/>
      <c r="CT10995" s="531"/>
    </row>
    <row r="10996" spans="1:98">
      <c r="A10996" s="532"/>
      <c r="AR10996" s="2513"/>
      <c r="CT10996" s="531"/>
    </row>
    <row r="10997" spans="1:98">
      <c r="A10997" s="532"/>
      <c r="AR10997" s="2513"/>
      <c r="CT10997" s="531"/>
    </row>
    <row r="10998" spans="1:98">
      <c r="A10998" s="532"/>
      <c r="AR10998" s="2513"/>
      <c r="CT10998" s="531"/>
    </row>
    <row r="10999" spans="1:98">
      <c r="A10999" s="532"/>
      <c r="AR10999" s="2513"/>
      <c r="CT10999" s="531"/>
    </row>
    <row r="11000" spans="1:98">
      <c r="A11000" s="532"/>
      <c r="AR11000" s="2513"/>
      <c r="CT11000" s="531"/>
    </row>
    <row r="11001" spans="1:98">
      <c r="A11001" s="532"/>
      <c r="AR11001" s="2513"/>
      <c r="CT11001" s="531"/>
    </row>
    <row r="11002" spans="1:98">
      <c r="A11002" s="532"/>
      <c r="AR11002" s="2513"/>
      <c r="CT11002" s="531"/>
    </row>
    <row r="11003" spans="1:98">
      <c r="A11003" s="532"/>
      <c r="AR11003" s="2513"/>
      <c r="CT11003" s="531"/>
    </row>
    <row r="11004" spans="1:98">
      <c r="A11004" s="532"/>
      <c r="AR11004" s="2513"/>
      <c r="CT11004" s="531"/>
    </row>
    <row r="11005" spans="1:98">
      <c r="A11005" s="532"/>
      <c r="AR11005" s="2513"/>
      <c r="CT11005" s="531"/>
    </row>
    <row r="11006" spans="1:98">
      <c r="A11006" s="532"/>
      <c r="AR11006" s="2513"/>
      <c r="CT11006" s="531"/>
    </row>
    <row r="11007" spans="1:98">
      <c r="A11007" s="532"/>
      <c r="AR11007" s="2513"/>
      <c r="CT11007" s="531"/>
    </row>
    <row r="11008" spans="1:98">
      <c r="A11008" s="532"/>
      <c r="AR11008" s="2513"/>
      <c r="CT11008" s="531"/>
    </row>
    <row r="11009" spans="1:98">
      <c r="A11009" s="532"/>
      <c r="AR11009" s="2513"/>
      <c r="CT11009" s="531"/>
    </row>
    <row r="11010" spans="1:98">
      <c r="A11010" s="532"/>
      <c r="AR11010" s="2513"/>
      <c r="CT11010" s="531"/>
    </row>
    <row r="11011" spans="1:98">
      <c r="A11011" s="532"/>
      <c r="AR11011" s="2513"/>
      <c r="CT11011" s="531"/>
    </row>
    <row r="11012" spans="1:98">
      <c r="A11012" s="532"/>
      <c r="AR11012" s="2513"/>
      <c r="CT11012" s="531"/>
    </row>
    <row r="11013" spans="1:98">
      <c r="A11013" s="532"/>
      <c r="AR11013" s="2513"/>
      <c r="CT11013" s="531"/>
    </row>
    <row r="11014" spans="1:98">
      <c r="A11014" s="532"/>
      <c r="AR11014" s="2513"/>
      <c r="CT11014" s="531"/>
    </row>
    <row r="11015" spans="1:98">
      <c r="A11015" s="532"/>
      <c r="AR11015" s="2513"/>
      <c r="CT11015" s="531"/>
    </row>
    <row r="11016" spans="1:98">
      <c r="A11016" s="532"/>
      <c r="AR11016" s="2513"/>
      <c r="CT11016" s="531"/>
    </row>
    <row r="11017" spans="1:98">
      <c r="A11017" s="532"/>
      <c r="AR11017" s="2513"/>
      <c r="CT11017" s="531"/>
    </row>
    <row r="11018" spans="1:98">
      <c r="A11018" s="532"/>
      <c r="AR11018" s="2513"/>
      <c r="CT11018" s="531"/>
    </row>
    <row r="11019" spans="1:98">
      <c r="A11019" s="532"/>
      <c r="AR11019" s="2513"/>
      <c r="CT11019" s="531"/>
    </row>
    <row r="11020" spans="1:98">
      <c r="A11020" s="532"/>
      <c r="AR11020" s="2513"/>
      <c r="CT11020" s="531"/>
    </row>
    <row r="11021" spans="1:98">
      <c r="A11021" s="532"/>
      <c r="AR11021" s="2513"/>
      <c r="CT11021" s="531"/>
    </row>
    <row r="11022" spans="1:98">
      <c r="A11022" s="532"/>
      <c r="AR11022" s="2513"/>
      <c r="CT11022" s="531"/>
    </row>
    <row r="11023" spans="1:98">
      <c r="A11023" s="532"/>
      <c r="AR11023" s="2513"/>
      <c r="CT11023" s="531"/>
    </row>
    <row r="11024" spans="1:98">
      <c r="A11024" s="532"/>
      <c r="AR11024" s="2513"/>
      <c r="CT11024" s="531"/>
    </row>
    <row r="11025" spans="1:98">
      <c r="A11025" s="532"/>
      <c r="AR11025" s="2513"/>
      <c r="CT11025" s="531"/>
    </row>
    <row r="11026" spans="1:98">
      <c r="A11026" s="532"/>
      <c r="AR11026" s="2513"/>
      <c r="CT11026" s="531"/>
    </row>
    <row r="11027" spans="1:98">
      <c r="A11027" s="532"/>
      <c r="AR11027" s="2513"/>
      <c r="CT11027" s="531"/>
    </row>
    <row r="11028" spans="1:98">
      <c r="A11028" s="532"/>
      <c r="AR11028" s="2513"/>
      <c r="CT11028" s="531"/>
    </row>
    <row r="11029" spans="1:98">
      <c r="A11029" s="532"/>
      <c r="AR11029" s="2513"/>
      <c r="CT11029" s="531"/>
    </row>
    <row r="11030" spans="1:98">
      <c r="A11030" s="532"/>
      <c r="AR11030" s="2513"/>
      <c r="CT11030" s="531"/>
    </row>
    <row r="11031" spans="1:98">
      <c r="A11031" s="532"/>
      <c r="AR11031" s="2513"/>
      <c r="CT11031" s="531"/>
    </row>
    <row r="11032" spans="1:98">
      <c r="A11032" s="532"/>
      <c r="AR11032" s="2513"/>
      <c r="CT11032" s="531"/>
    </row>
    <row r="11033" spans="1:98">
      <c r="A11033" s="532"/>
      <c r="AR11033" s="2513"/>
      <c r="CT11033" s="531"/>
    </row>
    <row r="11034" spans="1:98">
      <c r="A11034" s="532"/>
      <c r="AR11034" s="2513"/>
      <c r="CT11034" s="531"/>
    </row>
    <row r="11035" spans="1:98">
      <c r="A11035" s="532"/>
      <c r="AR11035" s="2513"/>
      <c r="CT11035" s="531"/>
    </row>
    <row r="11036" spans="1:98">
      <c r="A11036" s="532"/>
      <c r="AR11036" s="2513"/>
      <c r="CT11036" s="531"/>
    </row>
    <row r="11037" spans="1:98">
      <c r="A11037" s="532"/>
      <c r="AR11037" s="2513"/>
      <c r="CT11037" s="531"/>
    </row>
    <row r="11038" spans="1:98">
      <c r="A11038" s="532"/>
      <c r="AR11038" s="2513"/>
      <c r="CT11038" s="531"/>
    </row>
    <row r="11039" spans="1:98">
      <c r="A11039" s="532"/>
      <c r="AR11039" s="2513"/>
      <c r="CT11039" s="531"/>
    </row>
    <row r="11040" spans="1:98">
      <c r="A11040" s="532"/>
      <c r="AR11040" s="2513"/>
      <c r="CT11040" s="531"/>
    </row>
    <row r="11041" spans="1:98">
      <c r="A11041" s="532"/>
      <c r="AR11041" s="2513"/>
      <c r="CT11041" s="531"/>
    </row>
    <row r="11042" spans="1:98">
      <c r="A11042" s="532"/>
      <c r="AR11042" s="2513"/>
      <c r="CT11042" s="531"/>
    </row>
    <row r="11043" spans="1:98">
      <c r="A11043" s="532"/>
      <c r="AR11043" s="2513"/>
      <c r="CT11043" s="531"/>
    </row>
    <row r="11044" spans="1:98">
      <c r="A11044" s="532"/>
      <c r="AR11044" s="2513"/>
      <c r="CT11044" s="531"/>
    </row>
    <row r="11045" spans="1:98">
      <c r="A11045" s="532"/>
      <c r="AR11045" s="2513"/>
      <c r="CT11045" s="531"/>
    </row>
    <row r="11046" spans="1:98">
      <c r="A11046" s="532"/>
      <c r="AR11046" s="2513"/>
      <c r="CT11046" s="531"/>
    </row>
    <row r="11047" spans="1:98">
      <c r="A11047" s="532"/>
      <c r="AR11047" s="2513"/>
      <c r="CT11047" s="531"/>
    </row>
    <row r="11048" spans="1:98">
      <c r="A11048" s="532"/>
      <c r="AR11048" s="2513"/>
      <c r="CT11048" s="531"/>
    </row>
    <row r="11049" spans="1:98">
      <c r="A11049" s="532"/>
      <c r="AR11049" s="2513"/>
      <c r="CT11049" s="531"/>
    </row>
    <row r="11050" spans="1:98">
      <c r="A11050" s="532"/>
      <c r="AR11050" s="2513"/>
      <c r="CT11050" s="531"/>
    </row>
    <row r="11051" spans="1:98">
      <c r="A11051" s="532"/>
      <c r="AR11051" s="2513"/>
      <c r="CT11051" s="531"/>
    </row>
    <row r="11052" spans="1:98">
      <c r="A11052" s="532"/>
      <c r="AR11052" s="2513"/>
      <c r="CT11052" s="531"/>
    </row>
    <row r="11053" spans="1:98">
      <c r="A11053" s="532"/>
      <c r="AR11053" s="2513"/>
      <c r="CT11053" s="531"/>
    </row>
    <row r="11054" spans="1:98">
      <c r="A11054" s="532"/>
      <c r="AR11054" s="2513"/>
      <c r="CT11054" s="531"/>
    </row>
    <row r="11055" spans="1:98">
      <c r="A11055" s="532"/>
      <c r="AR11055" s="2513"/>
      <c r="CT11055" s="531"/>
    </row>
    <row r="11056" spans="1:98">
      <c r="A11056" s="532"/>
      <c r="AR11056" s="2513"/>
      <c r="CT11056" s="531"/>
    </row>
    <row r="11057" spans="1:98">
      <c r="A11057" s="532"/>
      <c r="AR11057" s="2513"/>
      <c r="CT11057" s="531"/>
    </row>
    <row r="11058" spans="1:98">
      <c r="A11058" s="532"/>
      <c r="AR11058" s="2513"/>
      <c r="CT11058" s="531"/>
    </row>
    <row r="11059" spans="1:98">
      <c r="A11059" s="532"/>
      <c r="AR11059" s="2513"/>
      <c r="CT11059" s="531"/>
    </row>
    <row r="11060" spans="1:98">
      <c r="A11060" s="532"/>
      <c r="AR11060" s="2513"/>
      <c r="CT11060" s="531"/>
    </row>
    <row r="11061" spans="1:98">
      <c r="A11061" s="532"/>
      <c r="AR11061" s="2513"/>
      <c r="CT11061" s="531"/>
    </row>
    <row r="11062" spans="1:98">
      <c r="A11062" s="532"/>
      <c r="AR11062" s="2513"/>
      <c r="CT11062" s="531"/>
    </row>
    <row r="11063" spans="1:98">
      <c r="A11063" s="532"/>
      <c r="AR11063" s="2513"/>
      <c r="CT11063" s="531"/>
    </row>
    <row r="11064" spans="1:98">
      <c r="A11064" s="532"/>
      <c r="AR11064" s="2513"/>
      <c r="CT11064" s="531"/>
    </row>
    <row r="11065" spans="1:98">
      <c r="A11065" s="532"/>
      <c r="AR11065" s="2513"/>
      <c r="CT11065" s="531"/>
    </row>
    <row r="11066" spans="1:98">
      <c r="A11066" s="532"/>
      <c r="AR11066" s="2513"/>
      <c r="CT11066" s="531"/>
    </row>
    <row r="11067" spans="1:98">
      <c r="A11067" s="532"/>
      <c r="AR11067" s="2513"/>
      <c r="CT11067" s="531"/>
    </row>
    <row r="11068" spans="1:98">
      <c r="A11068" s="532"/>
      <c r="AR11068" s="2513"/>
      <c r="CT11068" s="531"/>
    </row>
    <row r="11069" spans="1:98">
      <c r="A11069" s="532"/>
      <c r="AR11069" s="2513"/>
      <c r="CT11069" s="531"/>
    </row>
    <row r="11070" spans="1:98">
      <c r="A11070" s="532"/>
      <c r="AR11070" s="2513"/>
      <c r="CT11070" s="531"/>
    </row>
    <row r="11071" spans="1:98">
      <c r="A11071" s="532"/>
      <c r="AR11071" s="2513"/>
      <c r="CT11071" s="531"/>
    </row>
    <row r="11072" spans="1:98">
      <c r="A11072" s="532"/>
      <c r="AR11072" s="2513"/>
      <c r="CT11072" s="531"/>
    </row>
    <row r="11073" spans="1:98">
      <c r="A11073" s="532"/>
      <c r="AR11073" s="2513"/>
      <c r="CT11073" s="531"/>
    </row>
    <row r="11074" spans="1:98">
      <c r="A11074" s="532"/>
      <c r="AR11074" s="2513"/>
      <c r="CT11074" s="531"/>
    </row>
    <row r="11075" spans="1:98">
      <c r="A11075" s="532"/>
      <c r="AR11075" s="2513"/>
      <c r="CT11075" s="531"/>
    </row>
    <row r="11076" spans="1:98">
      <c r="A11076" s="532"/>
      <c r="AR11076" s="2513"/>
      <c r="CT11076" s="531"/>
    </row>
    <row r="11077" spans="1:98">
      <c r="A11077" s="532"/>
      <c r="AR11077" s="2513"/>
      <c r="CT11077" s="531"/>
    </row>
    <row r="11078" spans="1:98">
      <c r="A11078" s="532"/>
      <c r="AR11078" s="2513"/>
      <c r="CT11078" s="531"/>
    </row>
    <row r="11079" spans="1:98">
      <c r="A11079" s="532"/>
      <c r="AR11079" s="2513"/>
      <c r="CT11079" s="531"/>
    </row>
    <row r="11080" spans="1:98">
      <c r="A11080" s="532"/>
      <c r="AR11080" s="2513"/>
      <c r="CT11080" s="531"/>
    </row>
    <row r="11081" spans="1:98">
      <c r="A11081" s="532"/>
      <c r="AR11081" s="2513"/>
      <c r="CT11081" s="531"/>
    </row>
    <row r="11082" spans="1:98">
      <c r="A11082" s="532"/>
      <c r="AR11082" s="2513"/>
      <c r="CT11082" s="531"/>
    </row>
    <row r="11083" spans="1:98">
      <c r="A11083" s="532"/>
      <c r="AR11083" s="2513"/>
      <c r="CT11083" s="531"/>
    </row>
    <row r="11084" spans="1:98">
      <c r="A11084" s="532"/>
      <c r="AR11084" s="2513"/>
      <c r="CT11084" s="531"/>
    </row>
    <row r="11085" spans="1:98">
      <c r="A11085" s="532"/>
      <c r="AR11085" s="2513"/>
      <c r="CT11085" s="531"/>
    </row>
    <row r="11086" spans="1:98">
      <c r="A11086" s="532"/>
      <c r="AR11086" s="2513"/>
      <c r="CT11086" s="531"/>
    </row>
    <row r="11087" spans="1:98">
      <c r="A11087" s="532"/>
      <c r="AR11087" s="2513"/>
      <c r="CT11087" s="531"/>
    </row>
    <row r="11088" spans="1:98">
      <c r="A11088" s="532"/>
      <c r="AR11088" s="2513"/>
      <c r="CT11088" s="531"/>
    </row>
    <row r="11089" spans="1:98">
      <c r="A11089" s="532"/>
      <c r="AR11089" s="2513"/>
      <c r="CT11089" s="531"/>
    </row>
    <row r="11090" spans="1:98">
      <c r="A11090" s="532"/>
      <c r="AR11090" s="2513"/>
      <c r="CT11090" s="531"/>
    </row>
    <row r="11091" spans="1:98">
      <c r="A11091" s="532"/>
      <c r="AR11091" s="2513"/>
      <c r="CT11091" s="531"/>
    </row>
    <row r="11092" spans="1:98">
      <c r="A11092" s="532"/>
      <c r="AR11092" s="2513"/>
      <c r="CT11092" s="531"/>
    </row>
    <row r="11093" spans="1:98">
      <c r="A11093" s="532"/>
      <c r="AR11093" s="2513"/>
      <c r="CT11093" s="531"/>
    </row>
    <row r="11094" spans="1:98">
      <c r="A11094" s="532"/>
      <c r="AR11094" s="2513"/>
      <c r="CT11094" s="531"/>
    </row>
    <row r="11095" spans="1:98">
      <c r="A11095" s="532"/>
      <c r="AR11095" s="2513"/>
      <c r="CT11095" s="531"/>
    </row>
    <row r="11096" spans="1:98">
      <c r="A11096" s="532"/>
      <c r="AR11096" s="2513"/>
      <c r="CT11096" s="531"/>
    </row>
    <row r="11097" spans="1:98">
      <c r="A11097" s="532"/>
      <c r="AR11097" s="2513"/>
      <c r="CT11097" s="531"/>
    </row>
    <row r="11098" spans="1:98">
      <c r="A11098" s="532"/>
      <c r="AR11098" s="2513"/>
      <c r="CT11098" s="531"/>
    </row>
    <row r="11099" spans="1:98">
      <c r="A11099" s="532"/>
      <c r="AR11099" s="2513"/>
      <c r="CT11099" s="531"/>
    </row>
    <row r="11100" spans="1:98">
      <c r="A11100" s="532"/>
      <c r="AR11100" s="2513"/>
      <c r="CT11100" s="531"/>
    </row>
    <row r="11101" spans="1:98">
      <c r="A11101" s="532"/>
      <c r="AR11101" s="2513"/>
      <c r="CT11101" s="531"/>
    </row>
    <row r="11102" spans="1:98">
      <c r="A11102" s="532"/>
      <c r="AR11102" s="2513"/>
      <c r="CT11102" s="531"/>
    </row>
    <row r="11103" spans="1:98">
      <c r="A11103" s="532"/>
      <c r="AR11103" s="2513"/>
      <c r="CT11103" s="531"/>
    </row>
    <row r="11104" spans="1:98">
      <c r="A11104" s="532"/>
      <c r="AR11104" s="2513"/>
      <c r="CT11104" s="531"/>
    </row>
    <row r="11105" spans="1:98">
      <c r="A11105" s="532"/>
      <c r="AR11105" s="2513"/>
      <c r="CT11105" s="531"/>
    </row>
    <row r="11106" spans="1:98">
      <c r="A11106" s="532"/>
      <c r="AR11106" s="2513"/>
      <c r="CT11106" s="531"/>
    </row>
    <row r="11107" spans="1:98">
      <c r="A11107" s="532"/>
      <c r="AR11107" s="2513"/>
      <c r="CT11107" s="531"/>
    </row>
    <row r="11108" spans="1:98">
      <c r="A11108" s="532"/>
      <c r="AR11108" s="2513"/>
      <c r="CT11108" s="531"/>
    </row>
    <row r="11109" spans="1:98">
      <c r="A11109" s="532"/>
      <c r="AR11109" s="2513"/>
      <c r="CT11109" s="531"/>
    </row>
    <row r="11110" spans="1:98">
      <c r="A11110" s="532"/>
      <c r="AR11110" s="2513"/>
      <c r="CT11110" s="531"/>
    </row>
    <row r="11111" spans="1:98">
      <c r="A11111" s="532"/>
      <c r="AR11111" s="2513"/>
      <c r="CT11111" s="531"/>
    </row>
    <row r="11112" spans="1:98">
      <c r="A11112" s="532"/>
      <c r="AR11112" s="2513"/>
      <c r="CT11112" s="531"/>
    </row>
    <row r="11113" spans="1:98">
      <c r="A11113" s="532"/>
      <c r="AR11113" s="2513"/>
      <c r="CT11113" s="531"/>
    </row>
    <row r="11114" spans="1:98">
      <c r="A11114" s="532"/>
      <c r="AR11114" s="2513"/>
      <c r="CT11114" s="531"/>
    </row>
    <row r="11115" spans="1:98">
      <c r="A11115" s="532"/>
      <c r="AR11115" s="2513"/>
      <c r="CT11115" s="531"/>
    </row>
    <row r="11116" spans="1:98">
      <c r="A11116" s="532"/>
      <c r="AR11116" s="2513"/>
      <c r="CT11116" s="531"/>
    </row>
    <row r="11117" spans="1:98">
      <c r="A11117" s="532"/>
      <c r="AR11117" s="2513"/>
      <c r="CT11117" s="531"/>
    </row>
    <row r="11118" spans="1:98">
      <c r="A11118" s="532"/>
      <c r="AR11118" s="2513"/>
      <c r="CT11118" s="531"/>
    </row>
    <row r="11119" spans="1:98">
      <c r="A11119" s="532"/>
      <c r="AR11119" s="2513"/>
      <c r="CT11119" s="531"/>
    </row>
    <row r="11120" spans="1:98">
      <c r="A11120" s="532"/>
      <c r="AR11120" s="2513"/>
      <c r="CT11120" s="531"/>
    </row>
    <row r="11121" spans="1:98">
      <c r="A11121" s="532"/>
      <c r="AR11121" s="2513"/>
      <c r="CT11121" s="531"/>
    </row>
    <row r="11122" spans="1:98">
      <c r="A11122" s="532"/>
      <c r="AR11122" s="2513"/>
      <c r="CT11122" s="531"/>
    </row>
    <row r="11123" spans="1:98">
      <c r="A11123" s="532"/>
      <c r="AR11123" s="2513"/>
      <c r="CT11123" s="531"/>
    </row>
    <row r="11124" spans="1:98">
      <c r="A11124" s="532"/>
      <c r="AR11124" s="2513"/>
      <c r="CT11124" s="531"/>
    </row>
    <row r="11125" spans="1:98">
      <c r="A11125" s="532"/>
      <c r="AR11125" s="2513"/>
      <c r="CT11125" s="531"/>
    </row>
    <row r="11126" spans="1:98">
      <c r="A11126" s="532"/>
      <c r="AR11126" s="2513"/>
      <c r="CT11126" s="531"/>
    </row>
    <row r="11127" spans="1:98">
      <c r="A11127" s="532"/>
      <c r="AR11127" s="2513"/>
      <c r="CT11127" s="531"/>
    </row>
    <row r="11128" spans="1:98">
      <c r="A11128" s="532"/>
      <c r="AR11128" s="2513"/>
      <c r="CT11128" s="531"/>
    </row>
    <row r="11129" spans="1:98">
      <c r="A11129" s="532"/>
      <c r="AR11129" s="2513"/>
      <c r="CT11129" s="531"/>
    </row>
    <row r="11130" spans="1:98">
      <c r="A11130" s="532"/>
      <c r="AR11130" s="2513"/>
      <c r="CT11130" s="531"/>
    </row>
    <row r="11131" spans="1:98">
      <c r="A11131" s="532"/>
      <c r="AR11131" s="2513"/>
      <c r="CT11131" s="531"/>
    </row>
    <row r="11132" spans="1:98">
      <c r="A11132" s="532"/>
      <c r="AR11132" s="2513"/>
      <c r="CT11132" s="531"/>
    </row>
    <row r="11133" spans="1:98">
      <c r="A11133" s="532"/>
      <c r="AR11133" s="2513"/>
      <c r="CT11133" s="531"/>
    </row>
    <row r="11134" spans="1:98">
      <c r="A11134" s="532"/>
      <c r="AR11134" s="2513"/>
      <c r="CT11134" s="531"/>
    </row>
    <row r="11135" spans="1:98">
      <c r="A11135" s="532"/>
      <c r="AR11135" s="2513"/>
      <c r="CT11135" s="531"/>
    </row>
    <row r="11136" spans="1:98">
      <c r="A11136" s="532"/>
      <c r="AR11136" s="2513"/>
      <c r="CT11136" s="531"/>
    </row>
    <row r="11137" spans="1:98">
      <c r="A11137" s="532"/>
      <c r="AR11137" s="2513"/>
      <c r="CT11137" s="531"/>
    </row>
    <row r="11138" spans="1:98">
      <c r="A11138" s="532"/>
      <c r="AR11138" s="2513"/>
      <c r="CT11138" s="531"/>
    </row>
    <row r="11139" spans="1:98">
      <c r="A11139" s="532"/>
      <c r="AR11139" s="2513"/>
      <c r="CT11139" s="531"/>
    </row>
    <row r="11140" spans="1:98">
      <c r="A11140" s="532"/>
      <c r="AR11140" s="2513"/>
      <c r="CT11140" s="531"/>
    </row>
    <row r="11141" spans="1:98">
      <c r="A11141" s="532"/>
      <c r="AR11141" s="2513"/>
      <c r="CT11141" s="531"/>
    </row>
    <row r="11142" spans="1:98">
      <c r="A11142" s="532"/>
      <c r="AR11142" s="2513"/>
      <c r="CT11142" s="531"/>
    </row>
    <row r="11143" spans="1:98">
      <c r="A11143" s="532"/>
      <c r="AR11143" s="2513"/>
      <c r="CT11143" s="531"/>
    </row>
    <row r="11144" spans="1:98">
      <c r="A11144" s="532"/>
      <c r="AR11144" s="2513"/>
      <c r="CT11144" s="531"/>
    </row>
    <row r="11145" spans="1:98">
      <c r="A11145" s="532"/>
      <c r="AR11145" s="2513"/>
      <c r="CT11145" s="531"/>
    </row>
    <row r="11146" spans="1:98">
      <c r="A11146" s="532"/>
      <c r="AR11146" s="2513"/>
      <c r="CT11146" s="531"/>
    </row>
    <row r="11147" spans="1:98">
      <c r="A11147" s="532"/>
      <c r="AR11147" s="2513"/>
      <c r="CT11147" s="531"/>
    </row>
    <row r="11148" spans="1:98">
      <c r="A11148" s="532"/>
      <c r="AR11148" s="2513"/>
      <c r="CT11148" s="531"/>
    </row>
    <row r="11149" spans="1:98">
      <c r="A11149" s="532"/>
      <c r="AR11149" s="2513"/>
      <c r="CT11149" s="531"/>
    </row>
    <row r="11150" spans="1:98">
      <c r="A11150" s="532"/>
      <c r="AR11150" s="2513"/>
      <c r="CT11150" s="531"/>
    </row>
    <row r="11151" spans="1:98">
      <c r="A11151" s="532"/>
      <c r="AR11151" s="2513"/>
      <c r="CT11151" s="531"/>
    </row>
    <row r="11152" spans="1:98">
      <c r="A11152" s="532"/>
      <c r="AR11152" s="2513"/>
      <c r="CT11152" s="531"/>
    </row>
    <row r="11153" spans="1:98">
      <c r="A11153" s="532"/>
      <c r="AR11153" s="2513"/>
      <c r="CT11153" s="531"/>
    </row>
    <row r="11154" spans="1:98">
      <c r="A11154" s="532"/>
      <c r="AR11154" s="2513"/>
      <c r="CT11154" s="531"/>
    </row>
    <row r="11155" spans="1:98">
      <c r="A11155" s="532"/>
      <c r="AR11155" s="2513"/>
      <c r="CT11155" s="531"/>
    </row>
    <row r="11156" spans="1:98">
      <c r="A11156" s="532"/>
      <c r="AR11156" s="2513"/>
      <c r="CT11156" s="531"/>
    </row>
    <row r="11157" spans="1:98">
      <c r="A11157" s="532"/>
      <c r="AR11157" s="2513"/>
      <c r="CT11157" s="531"/>
    </row>
    <row r="11158" spans="1:98">
      <c r="A11158" s="532"/>
      <c r="AR11158" s="2513"/>
      <c r="CT11158" s="531"/>
    </row>
    <row r="11159" spans="1:98">
      <c r="A11159" s="532"/>
      <c r="AR11159" s="2513"/>
      <c r="CT11159" s="531"/>
    </row>
    <row r="11160" spans="1:98">
      <c r="A11160" s="532"/>
      <c r="AR11160" s="2513"/>
      <c r="CT11160" s="531"/>
    </row>
    <row r="11161" spans="1:98">
      <c r="A11161" s="532"/>
      <c r="AR11161" s="2513"/>
      <c r="CT11161" s="531"/>
    </row>
    <row r="11162" spans="1:98">
      <c r="A11162" s="532"/>
      <c r="AR11162" s="2513"/>
      <c r="CT11162" s="531"/>
    </row>
    <row r="11163" spans="1:98">
      <c r="A11163" s="532"/>
      <c r="AR11163" s="2513"/>
      <c r="CT11163" s="531"/>
    </row>
    <row r="11164" spans="1:98">
      <c r="A11164" s="532"/>
      <c r="AR11164" s="2513"/>
      <c r="CT11164" s="531"/>
    </row>
    <row r="11165" spans="1:98">
      <c r="A11165" s="532"/>
      <c r="AR11165" s="2513"/>
      <c r="CT11165" s="531"/>
    </row>
    <row r="11166" spans="1:98">
      <c r="A11166" s="532"/>
      <c r="AR11166" s="2513"/>
      <c r="CT11166" s="531"/>
    </row>
    <row r="11167" spans="1:98">
      <c r="A11167" s="532"/>
      <c r="AR11167" s="2513"/>
      <c r="CT11167" s="531"/>
    </row>
    <row r="11168" spans="1:98">
      <c r="A11168" s="532"/>
      <c r="AR11168" s="2513"/>
      <c r="CT11168" s="531"/>
    </row>
    <row r="11169" spans="1:98">
      <c r="A11169" s="532"/>
      <c r="AR11169" s="2513"/>
      <c r="CT11169" s="531"/>
    </row>
    <row r="11170" spans="1:98">
      <c r="A11170" s="532"/>
      <c r="AR11170" s="2513"/>
      <c r="CT11170" s="531"/>
    </row>
    <row r="11171" spans="1:98">
      <c r="A11171" s="532"/>
      <c r="AR11171" s="2513"/>
      <c r="CT11171" s="531"/>
    </row>
    <row r="11172" spans="1:98">
      <c r="A11172" s="532"/>
      <c r="AR11172" s="2513"/>
      <c r="CT11172" s="531"/>
    </row>
    <row r="11173" spans="1:98">
      <c r="A11173" s="532"/>
      <c r="AR11173" s="2513"/>
      <c r="CT11173" s="531"/>
    </row>
    <row r="11174" spans="1:98">
      <c r="A11174" s="532"/>
      <c r="AR11174" s="2513"/>
      <c r="CT11174" s="531"/>
    </row>
    <row r="11175" spans="1:98">
      <c r="A11175" s="532"/>
      <c r="AR11175" s="2513"/>
      <c r="CT11175" s="531"/>
    </row>
    <row r="11176" spans="1:98">
      <c r="A11176" s="532"/>
      <c r="AR11176" s="2513"/>
      <c r="CT11176" s="531"/>
    </row>
    <row r="11177" spans="1:98">
      <c r="A11177" s="532"/>
      <c r="AR11177" s="2513"/>
      <c r="CT11177" s="531"/>
    </row>
    <row r="11178" spans="1:98">
      <c r="A11178" s="532"/>
      <c r="AR11178" s="2513"/>
      <c r="CT11178" s="531"/>
    </row>
    <row r="11179" spans="1:98">
      <c r="A11179" s="532"/>
      <c r="AR11179" s="2513"/>
      <c r="CT11179" s="531"/>
    </row>
    <row r="11180" spans="1:98">
      <c r="A11180" s="532"/>
      <c r="AR11180" s="2513"/>
      <c r="CT11180" s="531"/>
    </row>
    <row r="11181" spans="1:98">
      <c r="A11181" s="532"/>
      <c r="AR11181" s="2513"/>
      <c r="CT11181" s="531"/>
    </row>
    <row r="11182" spans="1:98">
      <c r="A11182" s="532"/>
      <c r="AR11182" s="2513"/>
      <c r="CT11182" s="531"/>
    </row>
    <row r="11183" spans="1:98">
      <c r="A11183" s="532"/>
      <c r="AR11183" s="2513"/>
      <c r="CT11183" s="531"/>
    </row>
    <row r="11184" spans="1:98">
      <c r="A11184" s="532"/>
      <c r="AR11184" s="2513"/>
      <c r="CT11184" s="531"/>
    </row>
    <row r="11185" spans="1:98">
      <c r="A11185" s="532"/>
      <c r="AR11185" s="2513"/>
      <c r="CT11185" s="531"/>
    </row>
    <row r="11186" spans="1:98">
      <c r="A11186" s="532"/>
      <c r="AR11186" s="2513"/>
      <c r="CT11186" s="531"/>
    </row>
    <row r="11187" spans="1:98">
      <c r="A11187" s="532"/>
      <c r="AR11187" s="2513"/>
      <c r="CT11187" s="531"/>
    </row>
    <row r="11188" spans="1:98">
      <c r="A11188" s="532"/>
      <c r="AR11188" s="2513"/>
      <c r="CT11188" s="531"/>
    </row>
    <row r="11189" spans="1:98">
      <c r="A11189" s="532"/>
      <c r="AR11189" s="2513"/>
      <c r="CT11189" s="531"/>
    </row>
    <row r="11190" spans="1:98">
      <c r="A11190" s="532"/>
      <c r="AR11190" s="2513"/>
      <c r="CT11190" s="531"/>
    </row>
    <row r="11191" spans="1:98">
      <c r="A11191" s="532"/>
      <c r="AR11191" s="2513"/>
      <c r="CT11191" s="531"/>
    </row>
    <row r="11192" spans="1:98">
      <c r="A11192" s="532"/>
      <c r="AR11192" s="2513"/>
      <c r="CT11192" s="531"/>
    </row>
    <row r="11193" spans="1:98">
      <c r="A11193" s="532"/>
      <c r="AR11193" s="2513"/>
      <c r="CT11193" s="531"/>
    </row>
    <row r="11194" spans="1:98">
      <c r="A11194" s="532"/>
      <c r="AR11194" s="2513"/>
      <c r="CT11194" s="531"/>
    </row>
    <row r="11195" spans="1:98">
      <c r="A11195" s="532"/>
      <c r="AR11195" s="2513"/>
      <c r="CT11195" s="531"/>
    </row>
    <row r="11196" spans="1:98">
      <c r="A11196" s="532"/>
      <c r="AR11196" s="2513"/>
      <c r="CT11196" s="531"/>
    </row>
    <row r="11197" spans="1:98">
      <c r="A11197" s="532"/>
      <c r="AR11197" s="2513"/>
      <c r="CT11197" s="531"/>
    </row>
    <row r="11198" spans="1:98">
      <c r="A11198" s="532"/>
      <c r="AR11198" s="2513"/>
      <c r="CT11198" s="531"/>
    </row>
    <row r="11199" spans="1:98">
      <c r="A11199" s="532"/>
      <c r="AR11199" s="2513"/>
      <c r="CT11199" s="531"/>
    </row>
    <row r="11200" spans="1:98">
      <c r="A11200" s="532"/>
      <c r="AR11200" s="2513"/>
      <c r="CT11200" s="531"/>
    </row>
    <row r="11201" spans="1:98">
      <c r="A11201" s="532"/>
      <c r="AR11201" s="2513"/>
      <c r="CT11201" s="531"/>
    </row>
    <row r="11202" spans="1:98">
      <c r="A11202" s="532"/>
      <c r="AR11202" s="2513"/>
      <c r="CT11202" s="531"/>
    </row>
    <row r="11203" spans="1:98">
      <c r="A11203" s="532"/>
      <c r="AR11203" s="2513"/>
      <c r="CT11203" s="531"/>
    </row>
    <row r="11204" spans="1:98">
      <c r="A11204" s="532"/>
      <c r="AR11204" s="2513"/>
      <c r="CT11204" s="531"/>
    </row>
    <row r="11205" spans="1:98">
      <c r="A11205" s="532"/>
      <c r="AR11205" s="2513"/>
      <c r="CT11205" s="531"/>
    </row>
    <row r="11206" spans="1:98">
      <c r="A11206" s="532"/>
      <c r="AR11206" s="2513"/>
      <c r="CT11206" s="531"/>
    </row>
    <row r="11207" spans="1:98">
      <c r="A11207" s="532"/>
      <c r="AR11207" s="2513"/>
      <c r="CT11207" s="531"/>
    </row>
    <row r="11208" spans="1:98">
      <c r="A11208" s="532"/>
      <c r="AR11208" s="2513"/>
      <c r="CT11208" s="531"/>
    </row>
    <row r="11209" spans="1:98">
      <c r="A11209" s="532"/>
      <c r="AR11209" s="2513"/>
      <c r="CT11209" s="531"/>
    </row>
    <row r="11210" spans="1:98">
      <c r="A11210" s="532"/>
      <c r="AR11210" s="2513"/>
      <c r="CT11210" s="531"/>
    </row>
    <row r="11211" spans="1:98">
      <c r="A11211" s="532"/>
      <c r="AR11211" s="2513"/>
      <c r="CT11211" s="531"/>
    </row>
    <row r="11212" spans="1:98">
      <c r="A11212" s="532"/>
      <c r="AR11212" s="2513"/>
      <c r="CT11212" s="531"/>
    </row>
    <row r="11213" spans="1:98">
      <c r="A11213" s="532"/>
      <c r="AR11213" s="2513"/>
      <c r="CT11213" s="531"/>
    </row>
    <row r="11214" spans="1:98">
      <c r="A11214" s="532"/>
      <c r="AR11214" s="2513"/>
      <c r="CT11214" s="531"/>
    </row>
    <row r="11215" spans="1:98">
      <c r="A11215" s="532"/>
      <c r="AR11215" s="2513"/>
      <c r="CT11215" s="531"/>
    </row>
    <row r="11216" spans="1:98">
      <c r="A11216" s="532"/>
      <c r="AR11216" s="2513"/>
      <c r="CT11216" s="531"/>
    </row>
    <row r="11217" spans="1:98">
      <c r="A11217" s="532"/>
      <c r="AR11217" s="2513"/>
      <c r="CT11217" s="531"/>
    </row>
    <row r="11218" spans="1:98">
      <c r="A11218" s="532"/>
      <c r="AR11218" s="2513"/>
      <c r="CT11218" s="531"/>
    </row>
    <row r="11219" spans="1:98">
      <c r="A11219" s="532"/>
      <c r="AR11219" s="2513"/>
      <c r="CT11219" s="531"/>
    </row>
    <row r="11220" spans="1:98">
      <c r="A11220" s="532"/>
      <c r="AR11220" s="2513"/>
      <c r="CT11220" s="531"/>
    </row>
    <row r="11221" spans="1:98">
      <c r="A11221" s="532"/>
      <c r="AR11221" s="2513"/>
      <c r="CT11221" s="531"/>
    </row>
    <row r="11222" spans="1:98">
      <c r="A11222" s="532"/>
      <c r="AR11222" s="2513"/>
      <c r="CT11222" s="531"/>
    </row>
    <row r="11223" spans="1:98">
      <c r="A11223" s="532"/>
      <c r="AR11223" s="2513"/>
      <c r="CT11223" s="531"/>
    </row>
    <row r="11224" spans="1:98">
      <c r="A11224" s="532"/>
      <c r="AR11224" s="2513"/>
      <c r="CT11224" s="531"/>
    </row>
    <row r="11225" spans="1:98">
      <c r="A11225" s="532"/>
      <c r="AR11225" s="2513"/>
      <c r="CT11225" s="531"/>
    </row>
    <row r="11226" spans="1:98">
      <c r="A11226" s="532"/>
      <c r="AR11226" s="2513"/>
      <c r="CT11226" s="531"/>
    </row>
    <row r="11227" spans="1:98">
      <c r="A11227" s="532"/>
      <c r="AR11227" s="2513"/>
      <c r="CT11227" s="531"/>
    </row>
    <row r="11228" spans="1:98">
      <c r="A11228" s="532"/>
      <c r="AR11228" s="2513"/>
      <c r="CT11228" s="531"/>
    </row>
    <row r="11229" spans="1:98">
      <c r="A11229" s="532"/>
      <c r="AR11229" s="2513"/>
      <c r="CT11229" s="531"/>
    </row>
    <row r="11230" spans="1:98">
      <c r="A11230" s="532"/>
      <c r="AR11230" s="2513"/>
      <c r="CT11230" s="531"/>
    </row>
    <row r="11231" spans="1:98">
      <c r="A11231" s="532"/>
      <c r="AR11231" s="2513"/>
      <c r="CT11231" s="531"/>
    </row>
    <row r="11232" spans="1:98">
      <c r="A11232" s="532"/>
      <c r="AR11232" s="2513"/>
      <c r="CT11232" s="531"/>
    </row>
    <row r="11233" spans="1:98">
      <c r="A11233" s="532"/>
      <c r="AR11233" s="2513"/>
      <c r="CT11233" s="531"/>
    </row>
    <row r="11234" spans="1:98">
      <c r="A11234" s="532"/>
      <c r="AR11234" s="2513"/>
      <c r="CT11234" s="531"/>
    </row>
    <row r="11235" spans="1:98">
      <c r="A11235" s="532"/>
      <c r="AR11235" s="2513"/>
      <c r="CT11235" s="531"/>
    </row>
    <row r="11236" spans="1:98">
      <c r="A11236" s="532"/>
      <c r="AR11236" s="2513"/>
      <c r="CT11236" s="531"/>
    </row>
    <row r="11237" spans="1:98">
      <c r="A11237" s="532"/>
      <c r="AR11237" s="2513"/>
      <c r="CT11237" s="531"/>
    </row>
    <row r="11238" spans="1:98">
      <c r="A11238" s="532"/>
      <c r="AR11238" s="2513"/>
      <c r="CT11238" s="531"/>
    </row>
    <row r="11239" spans="1:98">
      <c r="A11239" s="532"/>
      <c r="AR11239" s="2513"/>
      <c r="CT11239" s="531"/>
    </row>
    <row r="11240" spans="1:98">
      <c r="A11240" s="532"/>
      <c r="AR11240" s="2513"/>
      <c r="CT11240" s="531"/>
    </row>
    <row r="11241" spans="1:98">
      <c r="A11241" s="532"/>
      <c r="AR11241" s="2513"/>
      <c r="CT11241" s="531"/>
    </row>
    <row r="11242" spans="1:98">
      <c r="A11242" s="532"/>
      <c r="AR11242" s="2513"/>
      <c r="CT11242" s="531"/>
    </row>
    <row r="11243" spans="1:98">
      <c r="A11243" s="532"/>
      <c r="AR11243" s="2513"/>
      <c r="CT11243" s="531"/>
    </row>
    <row r="11244" spans="1:98">
      <c r="A11244" s="532"/>
      <c r="AR11244" s="2513"/>
      <c r="CT11244" s="531"/>
    </row>
    <row r="11245" spans="1:98">
      <c r="A11245" s="532"/>
      <c r="AR11245" s="2513"/>
      <c r="CT11245" s="531"/>
    </row>
    <row r="11246" spans="1:98">
      <c r="A11246" s="532"/>
      <c r="AR11246" s="2513"/>
      <c r="CT11246" s="531"/>
    </row>
    <row r="11247" spans="1:98">
      <c r="A11247" s="532"/>
      <c r="AR11247" s="2513"/>
      <c r="CT11247" s="531"/>
    </row>
    <row r="11248" spans="1:98">
      <c r="A11248" s="532"/>
      <c r="AR11248" s="2513"/>
      <c r="CT11248" s="531"/>
    </row>
    <row r="11249" spans="1:98">
      <c r="A11249" s="532"/>
      <c r="AR11249" s="2513"/>
      <c r="CT11249" s="531"/>
    </row>
    <row r="11250" spans="1:98">
      <c r="A11250" s="532"/>
      <c r="AR11250" s="2513"/>
      <c r="CT11250" s="531"/>
    </row>
    <row r="11251" spans="1:98">
      <c r="A11251" s="532"/>
      <c r="AR11251" s="2513"/>
      <c r="CT11251" s="531"/>
    </row>
    <row r="11252" spans="1:98">
      <c r="A11252" s="532"/>
      <c r="AR11252" s="2513"/>
      <c r="CT11252" s="531"/>
    </row>
    <row r="11253" spans="1:98">
      <c r="A11253" s="532"/>
      <c r="AR11253" s="2513"/>
      <c r="CT11253" s="531"/>
    </row>
    <row r="11254" spans="1:98">
      <c r="A11254" s="532"/>
      <c r="AR11254" s="2513"/>
      <c r="CT11254" s="531"/>
    </row>
    <row r="11255" spans="1:98">
      <c r="A11255" s="532"/>
      <c r="AR11255" s="2513"/>
      <c r="CT11255" s="531"/>
    </row>
    <row r="11256" spans="1:98">
      <c r="A11256" s="532"/>
      <c r="AR11256" s="2513"/>
      <c r="CT11256" s="531"/>
    </row>
    <row r="11257" spans="1:98">
      <c r="A11257" s="532"/>
      <c r="AR11257" s="2513"/>
      <c r="CT11257" s="531"/>
    </row>
    <row r="11258" spans="1:98">
      <c r="A11258" s="532"/>
      <c r="AR11258" s="2513"/>
      <c r="CT11258" s="531"/>
    </row>
    <row r="11259" spans="1:98">
      <c r="A11259" s="532"/>
      <c r="AR11259" s="2513"/>
      <c r="CT11259" s="531"/>
    </row>
    <row r="11260" spans="1:98">
      <c r="A11260" s="532"/>
      <c r="AR11260" s="2513"/>
      <c r="CT11260" s="531"/>
    </row>
    <row r="11261" spans="1:98">
      <c r="A11261" s="532"/>
      <c r="AR11261" s="2513"/>
      <c r="CT11261" s="531"/>
    </row>
    <row r="11262" spans="1:98">
      <c r="A11262" s="532"/>
      <c r="AR11262" s="2513"/>
      <c r="CT11262" s="531"/>
    </row>
    <row r="11263" spans="1:98">
      <c r="A11263" s="532"/>
      <c r="AR11263" s="2513"/>
      <c r="CT11263" s="531"/>
    </row>
    <row r="11264" spans="1:98">
      <c r="A11264" s="532"/>
      <c r="AR11264" s="2513"/>
      <c r="CT11264" s="531"/>
    </row>
    <row r="11265" spans="1:98">
      <c r="A11265" s="532"/>
      <c r="AR11265" s="2513"/>
      <c r="CT11265" s="531"/>
    </row>
    <row r="11266" spans="1:98">
      <c r="A11266" s="532"/>
      <c r="AR11266" s="2513"/>
      <c r="CT11266" s="531"/>
    </row>
    <row r="11267" spans="1:98">
      <c r="A11267" s="532"/>
      <c r="AR11267" s="2513"/>
      <c r="CT11267" s="531"/>
    </row>
    <row r="11268" spans="1:98">
      <c r="A11268" s="532"/>
      <c r="AR11268" s="2513"/>
      <c r="CT11268" s="531"/>
    </row>
    <row r="11269" spans="1:98">
      <c r="A11269" s="532"/>
      <c r="AR11269" s="2513"/>
      <c r="CT11269" s="531"/>
    </row>
    <row r="11270" spans="1:98">
      <c r="A11270" s="532"/>
      <c r="AR11270" s="2513"/>
      <c r="CT11270" s="531"/>
    </row>
    <row r="11271" spans="1:98">
      <c r="A11271" s="532"/>
      <c r="AR11271" s="2513"/>
      <c r="CT11271" s="531"/>
    </row>
    <row r="11272" spans="1:98">
      <c r="A11272" s="532"/>
      <c r="AR11272" s="2513"/>
      <c r="CT11272" s="531"/>
    </row>
    <row r="11273" spans="1:98">
      <c r="A11273" s="532"/>
      <c r="AR11273" s="2513"/>
      <c r="CT11273" s="531"/>
    </row>
    <row r="11274" spans="1:98">
      <c r="A11274" s="532"/>
      <c r="AR11274" s="2513"/>
      <c r="CT11274" s="531"/>
    </row>
    <row r="11275" spans="1:98">
      <c r="A11275" s="532"/>
      <c r="AR11275" s="2513"/>
      <c r="CT11275" s="531"/>
    </row>
    <row r="11276" spans="1:98">
      <c r="A11276" s="532"/>
      <c r="AR11276" s="2513"/>
      <c r="CT11276" s="531"/>
    </row>
    <row r="11277" spans="1:98">
      <c r="A11277" s="532"/>
      <c r="AR11277" s="2513"/>
      <c r="CT11277" s="531"/>
    </row>
    <row r="11278" spans="1:98">
      <c r="A11278" s="532"/>
      <c r="AR11278" s="2513"/>
      <c r="CT11278" s="531"/>
    </row>
    <row r="11279" spans="1:98">
      <c r="A11279" s="532"/>
      <c r="AR11279" s="2513"/>
      <c r="CT11279" s="531"/>
    </row>
    <row r="11280" spans="1:98">
      <c r="A11280" s="532"/>
      <c r="AR11280" s="2513"/>
      <c r="CT11280" s="531"/>
    </row>
    <row r="11281" spans="1:98">
      <c r="A11281" s="532"/>
      <c r="AR11281" s="2513"/>
      <c r="CT11281" s="531"/>
    </row>
    <row r="11282" spans="1:98">
      <c r="A11282" s="532"/>
      <c r="AR11282" s="2513"/>
      <c r="CT11282" s="531"/>
    </row>
    <row r="11283" spans="1:98">
      <c r="A11283" s="532"/>
      <c r="AR11283" s="2513"/>
      <c r="CT11283" s="531"/>
    </row>
    <row r="11284" spans="1:98">
      <c r="A11284" s="532"/>
      <c r="AR11284" s="2513"/>
      <c r="CT11284" s="531"/>
    </row>
    <row r="11285" spans="1:98">
      <c r="A11285" s="532"/>
      <c r="AR11285" s="2513"/>
      <c r="CT11285" s="531"/>
    </row>
    <row r="11286" spans="1:98">
      <c r="A11286" s="532"/>
      <c r="AR11286" s="2513"/>
      <c r="CT11286" s="531"/>
    </row>
    <row r="11287" spans="1:98">
      <c r="A11287" s="532"/>
      <c r="AR11287" s="2513"/>
      <c r="CT11287" s="531"/>
    </row>
    <row r="11288" spans="1:98">
      <c r="A11288" s="532"/>
      <c r="AR11288" s="2513"/>
      <c r="CT11288" s="531"/>
    </row>
    <row r="11289" spans="1:98">
      <c r="A11289" s="532"/>
      <c r="AR11289" s="2513"/>
      <c r="CT11289" s="531"/>
    </row>
    <row r="11290" spans="1:98">
      <c r="A11290" s="532"/>
      <c r="AR11290" s="2513"/>
      <c r="CT11290" s="531"/>
    </row>
    <row r="11291" spans="1:98">
      <c r="A11291" s="532"/>
      <c r="AR11291" s="2513"/>
      <c r="CT11291" s="531"/>
    </row>
    <row r="11292" spans="1:98">
      <c r="A11292" s="532"/>
      <c r="AR11292" s="2513"/>
      <c r="CT11292" s="531"/>
    </row>
    <row r="11293" spans="1:98">
      <c r="A11293" s="532"/>
      <c r="AR11293" s="2513"/>
      <c r="CT11293" s="531"/>
    </row>
    <row r="11294" spans="1:98">
      <c r="A11294" s="532"/>
      <c r="AR11294" s="2513"/>
      <c r="CT11294" s="531"/>
    </row>
    <row r="11295" spans="1:98">
      <c r="A11295" s="532"/>
      <c r="AR11295" s="2513"/>
      <c r="CT11295" s="531"/>
    </row>
    <row r="11296" spans="1:98">
      <c r="A11296" s="532"/>
      <c r="AR11296" s="2513"/>
      <c r="CT11296" s="531"/>
    </row>
    <row r="11297" spans="1:98">
      <c r="A11297" s="532"/>
      <c r="AR11297" s="2513"/>
      <c r="CT11297" s="531"/>
    </row>
    <row r="11298" spans="1:98">
      <c r="A11298" s="532"/>
      <c r="AR11298" s="2513"/>
      <c r="CT11298" s="531"/>
    </row>
    <row r="11299" spans="1:98">
      <c r="A11299" s="532"/>
      <c r="AR11299" s="2513"/>
      <c r="CT11299" s="531"/>
    </row>
    <row r="11300" spans="1:98">
      <c r="A11300" s="532"/>
      <c r="AR11300" s="2513"/>
      <c r="CT11300" s="531"/>
    </row>
    <row r="11301" spans="1:98">
      <c r="A11301" s="532"/>
      <c r="AR11301" s="2513"/>
      <c r="CT11301" s="531"/>
    </row>
    <row r="11302" spans="1:98">
      <c r="A11302" s="532"/>
      <c r="AR11302" s="2513"/>
      <c r="CT11302" s="531"/>
    </row>
    <row r="11303" spans="1:98">
      <c r="A11303" s="532"/>
      <c r="AR11303" s="2513"/>
      <c r="CT11303" s="531"/>
    </row>
    <row r="11304" spans="1:98">
      <c r="A11304" s="532"/>
      <c r="AR11304" s="2513"/>
      <c r="CT11304" s="531"/>
    </row>
    <row r="11305" spans="1:98">
      <c r="A11305" s="532"/>
      <c r="AR11305" s="2513"/>
      <c r="CT11305" s="531"/>
    </row>
    <row r="11306" spans="1:98">
      <c r="A11306" s="532"/>
      <c r="AR11306" s="2513"/>
      <c r="CT11306" s="531"/>
    </row>
    <row r="11307" spans="1:98">
      <c r="A11307" s="532"/>
      <c r="AR11307" s="2513"/>
      <c r="CT11307" s="531"/>
    </row>
    <row r="11308" spans="1:98">
      <c r="A11308" s="532"/>
      <c r="AR11308" s="2513"/>
      <c r="CT11308" s="531"/>
    </row>
    <row r="11309" spans="1:98">
      <c r="A11309" s="532"/>
      <c r="AR11309" s="2513"/>
      <c r="CT11309" s="531"/>
    </row>
    <row r="11310" spans="1:98">
      <c r="A11310" s="532"/>
      <c r="AR11310" s="2513"/>
      <c r="CT11310" s="531"/>
    </row>
    <row r="11311" spans="1:98">
      <c r="A11311" s="532"/>
      <c r="AR11311" s="2513"/>
      <c r="CT11311" s="531"/>
    </row>
    <row r="11312" spans="1:98">
      <c r="A11312" s="532"/>
      <c r="AR11312" s="2513"/>
      <c r="CT11312" s="531"/>
    </row>
    <row r="11313" spans="1:98">
      <c r="A11313" s="532"/>
      <c r="AR11313" s="2513"/>
      <c r="CT11313" s="531"/>
    </row>
    <row r="11314" spans="1:98">
      <c r="A11314" s="532"/>
      <c r="AR11314" s="2513"/>
      <c r="CT11314" s="531"/>
    </row>
    <row r="11315" spans="1:98">
      <c r="A11315" s="532"/>
      <c r="AR11315" s="2513"/>
      <c r="CT11315" s="531"/>
    </row>
    <row r="11316" spans="1:98">
      <c r="A11316" s="532"/>
      <c r="AR11316" s="2513"/>
      <c r="CT11316" s="531"/>
    </row>
    <row r="11317" spans="1:98">
      <c r="A11317" s="532"/>
      <c r="AR11317" s="2513"/>
      <c r="CT11317" s="531"/>
    </row>
    <row r="11318" spans="1:98">
      <c r="A11318" s="532"/>
      <c r="AR11318" s="2513"/>
      <c r="CT11318" s="531"/>
    </row>
    <row r="11319" spans="1:98">
      <c r="A11319" s="532"/>
      <c r="AR11319" s="2513"/>
      <c r="CT11319" s="531"/>
    </row>
    <row r="11320" spans="1:98">
      <c r="A11320" s="532"/>
      <c r="AR11320" s="2513"/>
      <c r="CT11320" s="531"/>
    </row>
    <row r="11321" spans="1:98">
      <c r="A11321" s="532"/>
      <c r="AR11321" s="2513"/>
      <c r="CT11321" s="531"/>
    </row>
    <row r="11322" spans="1:98">
      <c r="A11322" s="532"/>
      <c r="AR11322" s="2513"/>
      <c r="CT11322" s="531"/>
    </row>
    <row r="11323" spans="1:98">
      <c r="A11323" s="532"/>
      <c r="AR11323" s="2513"/>
      <c r="CT11323" s="531"/>
    </row>
    <row r="11324" spans="1:98">
      <c r="A11324" s="532"/>
      <c r="AR11324" s="2513"/>
      <c r="CT11324" s="531"/>
    </row>
    <row r="11325" spans="1:98">
      <c r="A11325" s="532"/>
      <c r="AR11325" s="2513"/>
      <c r="CT11325" s="531"/>
    </row>
    <row r="11326" spans="1:98">
      <c r="A11326" s="532"/>
      <c r="AR11326" s="2513"/>
      <c r="CT11326" s="531"/>
    </row>
    <row r="11327" spans="1:98">
      <c r="A11327" s="532"/>
      <c r="AR11327" s="2513"/>
      <c r="CT11327" s="531"/>
    </row>
    <row r="11328" spans="1:98">
      <c r="A11328" s="532"/>
      <c r="AR11328" s="2513"/>
      <c r="CT11328" s="531"/>
    </row>
    <row r="11329" spans="1:98">
      <c r="A11329" s="532"/>
      <c r="AR11329" s="2513"/>
      <c r="CT11329" s="531"/>
    </row>
    <row r="11330" spans="1:98">
      <c r="A11330" s="532"/>
      <c r="AR11330" s="2513"/>
      <c r="CT11330" s="531"/>
    </row>
    <row r="11331" spans="1:98">
      <c r="A11331" s="532"/>
      <c r="AR11331" s="2513"/>
      <c r="CT11331" s="531"/>
    </row>
    <row r="11332" spans="1:98">
      <c r="A11332" s="532"/>
      <c r="AR11332" s="2513"/>
      <c r="CT11332" s="531"/>
    </row>
    <row r="11333" spans="1:98">
      <c r="A11333" s="532"/>
      <c r="AR11333" s="2513"/>
      <c r="CT11333" s="531"/>
    </row>
    <row r="11334" spans="1:98">
      <c r="A11334" s="532"/>
      <c r="AR11334" s="2513"/>
      <c r="CT11334" s="531"/>
    </row>
    <row r="11335" spans="1:98">
      <c r="A11335" s="532"/>
      <c r="AR11335" s="2513"/>
      <c r="CT11335" s="531"/>
    </row>
    <row r="11336" spans="1:98">
      <c r="A11336" s="532"/>
      <c r="AR11336" s="2513"/>
      <c r="CT11336" s="531"/>
    </row>
    <row r="11337" spans="1:98">
      <c r="A11337" s="532"/>
      <c r="AR11337" s="2513"/>
      <c r="CT11337" s="531"/>
    </row>
    <row r="11338" spans="1:98">
      <c r="A11338" s="532"/>
      <c r="AR11338" s="2513"/>
      <c r="CT11338" s="531"/>
    </row>
    <row r="11339" spans="1:98">
      <c r="A11339" s="532"/>
      <c r="AR11339" s="2513"/>
      <c r="CT11339" s="531"/>
    </row>
    <row r="11340" spans="1:98">
      <c r="A11340" s="532"/>
      <c r="AR11340" s="2513"/>
      <c r="CT11340" s="531"/>
    </row>
    <row r="11341" spans="1:98">
      <c r="A11341" s="532"/>
      <c r="AR11341" s="2513"/>
      <c r="CT11341" s="531"/>
    </row>
    <row r="11342" spans="1:98">
      <c r="A11342" s="532"/>
      <c r="AR11342" s="2513"/>
      <c r="CT11342" s="531"/>
    </row>
    <row r="11343" spans="1:98">
      <c r="A11343" s="532"/>
      <c r="AR11343" s="2513"/>
      <c r="CT11343" s="531"/>
    </row>
    <row r="11344" spans="1:98">
      <c r="A11344" s="532"/>
      <c r="AR11344" s="2513"/>
      <c r="CT11344" s="531"/>
    </row>
    <row r="11345" spans="1:98">
      <c r="A11345" s="532"/>
      <c r="AR11345" s="2513"/>
      <c r="CT11345" s="531"/>
    </row>
    <row r="11346" spans="1:98">
      <c r="A11346" s="532"/>
      <c r="AR11346" s="2513"/>
      <c r="CT11346" s="531"/>
    </row>
    <row r="11347" spans="1:98">
      <c r="A11347" s="532"/>
      <c r="AR11347" s="2513"/>
      <c r="CT11347" s="531"/>
    </row>
    <row r="11348" spans="1:98">
      <c r="A11348" s="532"/>
      <c r="AR11348" s="2513"/>
      <c r="CT11348" s="531"/>
    </row>
    <row r="11349" spans="1:98">
      <c r="A11349" s="532"/>
      <c r="AR11349" s="2513"/>
      <c r="CT11349" s="531"/>
    </row>
    <row r="11350" spans="1:98">
      <c r="A11350" s="532"/>
      <c r="AR11350" s="2513"/>
      <c r="CT11350" s="531"/>
    </row>
    <row r="11351" spans="1:98">
      <c r="A11351" s="532"/>
      <c r="AR11351" s="2513"/>
      <c r="CT11351" s="531"/>
    </row>
    <row r="11352" spans="1:98">
      <c r="A11352" s="532"/>
      <c r="AR11352" s="2513"/>
      <c r="CT11352" s="531"/>
    </row>
    <row r="11353" spans="1:98">
      <c r="A11353" s="532"/>
      <c r="AR11353" s="2513"/>
      <c r="CT11353" s="531"/>
    </row>
    <row r="11354" spans="1:98">
      <c r="A11354" s="532"/>
      <c r="AR11354" s="2513"/>
      <c r="CT11354" s="531"/>
    </row>
    <row r="11355" spans="1:98">
      <c r="A11355" s="532"/>
      <c r="AR11355" s="2513"/>
      <c r="CT11355" s="531"/>
    </row>
    <row r="11356" spans="1:98">
      <c r="A11356" s="532"/>
      <c r="AR11356" s="2513"/>
      <c r="CT11356" s="531"/>
    </row>
    <row r="11357" spans="1:98">
      <c r="A11357" s="532"/>
      <c r="AR11357" s="2513"/>
      <c r="CT11357" s="531"/>
    </row>
    <row r="11358" spans="1:98">
      <c r="A11358" s="532"/>
      <c r="AR11358" s="2513"/>
      <c r="CT11358" s="531"/>
    </row>
    <row r="11359" spans="1:98">
      <c r="A11359" s="532"/>
      <c r="AR11359" s="2513"/>
      <c r="CT11359" s="531"/>
    </row>
    <row r="11360" spans="1:98">
      <c r="A11360" s="532"/>
      <c r="AR11360" s="2513"/>
      <c r="CT11360" s="531"/>
    </row>
    <row r="11361" spans="1:98">
      <c r="A11361" s="532"/>
      <c r="AR11361" s="2513"/>
      <c r="CT11361" s="531"/>
    </row>
    <row r="11362" spans="1:98">
      <c r="A11362" s="532"/>
      <c r="AR11362" s="2513"/>
      <c r="CT11362" s="531"/>
    </row>
    <row r="11363" spans="1:98">
      <c r="A11363" s="532"/>
      <c r="AR11363" s="2513"/>
      <c r="CT11363" s="531"/>
    </row>
    <row r="11364" spans="1:98">
      <c r="A11364" s="532"/>
      <c r="AR11364" s="2513"/>
      <c r="CT11364" s="531"/>
    </row>
    <row r="11365" spans="1:98">
      <c r="A11365" s="532"/>
      <c r="AR11365" s="2513"/>
      <c r="CT11365" s="531"/>
    </row>
    <row r="11366" spans="1:98">
      <c r="A11366" s="532"/>
      <c r="AR11366" s="2513"/>
      <c r="CT11366" s="531"/>
    </row>
    <row r="11367" spans="1:98">
      <c r="A11367" s="532"/>
      <c r="AR11367" s="2513"/>
      <c r="CT11367" s="531"/>
    </row>
    <row r="11368" spans="1:98">
      <c r="A11368" s="532"/>
      <c r="AR11368" s="2513"/>
      <c r="CT11368" s="531"/>
    </row>
    <row r="11369" spans="1:98">
      <c r="A11369" s="532"/>
      <c r="AR11369" s="2513"/>
      <c r="CT11369" s="531"/>
    </row>
    <row r="11370" spans="1:98">
      <c r="A11370" s="532"/>
      <c r="AR11370" s="2513"/>
      <c r="CT11370" s="531"/>
    </row>
    <row r="11371" spans="1:98">
      <c r="A11371" s="532"/>
      <c r="AR11371" s="2513"/>
      <c r="CT11371" s="531"/>
    </row>
    <row r="11372" spans="1:98">
      <c r="A11372" s="532"/>
      <c r="AR11372" s="2513"/>
      <c r="CT11372" s="531"/>
    </row>
    <row r="11373" spans="1:98">
      <c r="A11373" s="532"/>
      <c r="AR11373" s="2513"/>
      <c r="CT11373" s="531"/>
    </row>
    <row r="11374" spans="1:98">
      <c r="A11374" s="532"/>
      <c r="AR11374" s="2513"/>
      <c r="CT11374" s="531"/>
    </row>
    <row r="11375" spans="1:98">
      <c r="A11375" s="532"/>
      <c r="AR11375" s="2513"/>
      <c r="CT11375" s="531"/>
    </row>
    <row r="11376" spans="1:98">
      <c r="A11376" s="532"/>
      <c r="AR11376" s="2513"/>
      <c r="CT11376" s="531"/>
    </row>
    <row r="11377" spans="1:98">
      <c r="A11377" s="532"/>
      <c r="AR11377" s="2513"/>
      <c r="CT11377" s="531"/>
    </row>
    <row r="11378" spans="1:98">
      <c r="A11378" s="532"/>
      <c r="AR11378" s="2513"/>
      <c r="CT11378" s="531"/>
    </row>
    <row r="11379" spans="1:98">
      <c r="A11379" s="532"/>
      <c r="AR11379" s="2513"/>
      <c r="CT11379" s="531"/>
    </row>
    <row r="11380" spans="1:98">
      <c r="A11380" s="532"/>
      <c r="AR11380" s="2513"/>
      <c r="CT11380" s="531"/>
    </row>
    <row r="11381" spans="1:98">
      <c r="A11381" s="532"/>
      <c r="AR11381" s="2513"/>
      <c r="CT11381" s="531"/>
    </row>
    <row r="11382" spans="1:98">
      <c r="A11382" s="532"/>
      <c r="AR11382" s="2513"/>
      <c r="CT11382" s="531"/>
    </row>
    <row r="11383" spans="1:98">
      <c r="A11383" s="532"/>
      <c r="AR11383" s="2513"/>
      <c r="CT11383" s="531"/>
    </row>
    <row r="11384" spans="1:98">
      <c r="A11384" s="532"/>
      <c r="AR11384" s="2513"/>
      <c r="CT11384" s="531"/>
    </row>
    <row r="11385" spans="1:98">
      <c r="A11385" s="532"/>
      <c r="AR11385" s="2513"/>
      <c r="CT11385" s="531"/>
    </row>
    <row r="11386" spans="1:98">
      <c r="A11386" s="532"/>
      <c r="AR11386" s="2513"/>
      <c r="CT11386" s="531"/>
    </row>
    <row r="11387" spans="1:98">
      <c r="A11387" s="532"/>
      <c r="AR11387" s="2513"/>
      <c r="CT11387" s="531"/>
    </row>
    <row r="11388" spans="1:98">
      <c r="A11388" s="532"/>
      <c r="AR11388" s="2513"/>
      <c r="CT11388" s="531"/>
    </row>
    <row r="11389" spans="1:98">
      <c r="A11389" s="532"/>
      <c r="AR11389" s="2513"/>
      <c r="CT11389" s="531"/>
    </row>
    <row r="11390" spans="1:98">
      <c r="A11390" s="532"/>
      <c r="AR11390" s="2513"/>
      <c r="CT11390" s="531"/>
    </row>
    <row r="11391" spans="1:98">
      <c r="A11391" s="532"/>
      <c r="AR11391" s="2513"/>
      <c r="CT11391" s="531"/>
    </row>
    <row r="11392" spans="1:98">
      <c r="A11392" s="532"/>
      <c r="AR11392" s="2513"/>
      <c r="CT11392" s="531"/>
    </row>
    <row r="11393" spans="1:98">
      <c r="A11393" s="532"/>
      <c r="AR11393" s="2513"/>
      <c r="CT11393" s="531"/>
    </row>
    <row r="11394" spans="1:98">
      <c r="A11394" s="532"/>
      <c r="AR11394" s="2513"/>
      <c r="CT11394" s="531"/>
    </row>
    <row r="11395" spans="1:98">
      <c r="A11395" s="532"/>
      <c r="AR11395" s="2513"/>
      <c r="CT11395" s="531"/>
    </row>
    <row r="11396" spans="1:98">
      <c r="A11396" s="532"/>
      <c r="AR11396" s="2513"/>
      <c r="CT11396" s="531"/>
    </row>
    <row r="11397" spans="1:98">
      <c r="A11397" s="532"/>
      <c r="AR11397" s="2513"/>
      <c r="CT11397" s="531"/>
    </row>
    <row r="11398" spans="1:98">
      <c r="A11398" s="532"/>
      <c r="AR11398" s="2513"/>
      <c r="CT11398" s="531"/>
    </row>
    <row r="11399" spans="1:98">
      <c r="A11399" s="532"/>
      <c r="AR11399" s="2513"/>
      <c r="CT11399" s="531"/>
    </row>
    <row r="11400" spans="1:98">
      <c r="A11400" s="532"/>
      <c r="AR11400" s="2513"/>
      <c r="CT11400" s="531"/>
    </row>
    <row r="11401" spans="1:98">
      <c r="A11401" s="532"/>
      <c r="AR11401" s="2513"/>
      <c r="CT11401" s="531"/>
    </row>
    <row r="11402" spans="1:98">
      <c r="A11402" s="532"/>
      <c r="AR11402" s="2513"/>
      <c r="CT11402" s="531"/>
    </row>
    <row r="11403" spans="1:98">
      <c r="A11403" s="532"/>
      <c r="AR11403" s="2513"/>
      <c r="CT11403" s="531"/>
    </row>
    <row r="11404" spans="1:98">
      <c r="A11404" s="532"/>
      <c r="AR11404" s="2513"/>
      <c r="CT11404" s="531"/>
    </row>
    <row r="11405" spans="1:98">
      <c r="A11405" s="532"/>
      <c r="AR11405" s="2513"/>
      <c r="CT11405" s="531"/>
    </row>
    <row r="11406" spans="1:98">
      <c r="A11406" s="532"/>
      <c r="AR11406" s="2513"/>
      <c r="CT11406" s="531"/>
    </row>
    <row r="11407" spans="1:98">
      <c r="A11407" s="532"/>
      <c r="AR11407" s="2513"/>
      <c r="CT11407" s="531"/>
    </row>
    <row r="11408" spans="1:98">
      <c r="A11408" s="532"/>
      <c r="AR11408" s="2513"/>
      <c r="CT11408" s="531"/>
    </row>
    <row r="11409" spans="1:98">
      <c r="A11409" s="532"/>
      <c r="AR11409" s="2513"/>
      <c r="CT11409" s="531"/>
    </row>
    <row r="11410" spans="1:98">
      <c r="A11410" s="532"/>
      <c r="AR11410" s="2513"/>
      <c r="CT11410" s="531"/>
    </row>
    <row r="11411" spans="1:98">
      <c r="A11411" s="532"/>
      <c r="AR11411" s="2513"/>
      <c r="CT11411" s="531"/>
    </row>
    <row r="11412" spans="1:98">
      <c r="A11412" s="532"/>
      <c r="AR11412" s="2513"/>
      <c r="CT11412" s="531"/>
    </row>
    <row r="11413" spans="1:98">
      <c r="A11413" s="532"/>
      <c r="AR11413" s="2513"/>
      <c r="CT11413" s="531"/>
    </row>
    <row r="11414" spans="1:98">
      <c r="A11414" s="532"/>
      <c r="AR11414" s="2513"/>
      <c r="CT11414" s="531"/>
    </row>
    <row r="11415" spans="1:98">
      <c r="A11415" s="532"/>
      <c r="AR11415" s="2513"/>
      <c r="CT11415" s="531"/>
    </row>
    <row r="11416" spans="1:98">
      <c r="A11416" s="532"/>
      <c r="AR11416" s="2513"/>
      <c r="CT11416" s="531"/>
    </row>
    <row r="11417" spans="1:98">
      <c r="A11417" s="532"/>
      <c r="AR11417" s="2513"/>
      <c r="CT11417" s="531"/>
    </row>
    <row r="11418" spans="1:98">
      <c r="A11418" s="532"/>
      <c r="AR11418" s="2513"/>
      <c r="CT11418" s="531"/>
    </row>
    <row r="11419" spans="1:98">
      <c r="A11419" s="532"/>
      <c r="AR11419" s="2513"/>
      <c r="CT11419" s="531"/>
    </row>
    <row r="11420" spans="1:98">
      <c r="A11420" s="532"/>
      <c r="AR11420" s="2513"/>
      <c r="CT11420" s="531"/>
    </row>
    <row r="11421" spans="1:98">
      <c r="A11421" s="532"/>
      <c r="AR11421" s="2513"/>
      <c r="CT11421" s="531"/>
    </row>
    <row r="11422" spans="1:98">
      <c r="A11422" s="532"/>
      <c r="AR11422" s="2513"/>
      <c r="CT11422" s="531"/>
    </row>
    <row r="11423" spans="1:98">
      <c r="A11423" s="532"/>
      <c r="AR11423" s="2513"/>
      <c r="CT11423" s="531"/>
    </row>
    <row r="11424" spans="1:98">
      <c r="A11424" s="532"/>
      <c r="AR11424" s="2513"/>
      <c r="CT11424" s="531"/>
    </row>
    <row r="11425" spans="1:98">
      <c r="A11425" s="532"/>
      <c r="AR11425" s="2513"/>
      <c r="CT11425" s="531"/>
    </row>
    <row r="11426" spans="1:98">
      <c r="A11426" s="532"/>
      <c r="AR11426" s="2513"/>
      <c r="CT11426" s="531"/>
    </row>
    <row r="11427" spans="1:98">
      <c r="A11427" s="532"/>
      <c r="AR11427" s="2513"/>
      <c r="CT11427" s="531"/>
    </row>
    <row r="11428" spans="1:98">
      <c r="A11428" s="532"/>
      <c r="AR11428" s="2513"/>
      <c r="CT11428" s="531"/>
    </row>
    <row r="11429" spans="1:98">
      <c r="A11429" s="532"/>
      <c r="AR11429" s="2513"/>
      <c r="CT11429" s="531"/>
    </row>
    <row r="11430" spans="1:98">
      <c r="A11430" s="532"/>
      <c r="AR11430" s="2513"/>
      <c r="CT11430" s="531"/>
    </row>
    <row r="11431" spans="1:98">
      <c r="A11431" s="532"/>
      <c r="AR11431" s="2513"/>
      <c r="CT11431" s="531"/>
    </row>
    <row r="11432" spans="1:98">
      <c r="A11432" s="532"/>
      <c r="AR11432" s="2513"/>
      <c r="CT11432" s="531"/>
    </row>
    <row r="11433" spans="1:98">
      <c r="A11433" s="532"/>
      <c r="AR11433" s="2513"/>
      <c r="CT11433" s="531"/>
    </row>
    <row r="11434" spans="1:98">
      <c r="A11434" s="532"/>
      <c r="AR11434" s="2513"/>
      <c r="CT11434" s="531"/>
    </row>
    <row r="11435" spans="1:98">
      <c r="A11435" s="532"/>
      <c r="AR11435" s="2513"/>
      <c r="CT11435" s="531"/>
    </row>
    <row r="11436" spans="1:98">
      <c r="A11436" s="532"/>
      <c r="AR11436" s="2513"/>
      <c r="CT11436" s="531"/>
    </row>
    <row r="11437" spans="1:98">
      <c r="A11437" s="532"/>
      <c r="AR11437" s="2513"/>
      <c r="CT11437" s="531"/>
    </row>
    <row r="11438" spans="1:98">
      <c r="A11438" s="532"/>
      <c r="AR11438" s="2513"/>
      <c r="CT11438" s="531"/>
    </row>
    <row r="11439" spans="1:98">
      <c r="A11439" s="532"/>
      <c r="AR11439" s="2513"/>
      <c r="CT11439" s="531"/>
    </row>
    <row r="11440" spans="1:98">
      <c r="A11440" s="532"/>
      <c r="AR11440" s="2513"/>
      <c r="CT11440" s="531"/>
    </row>
    <row r="11441" spans="1:98">
      <c r="A11441" s="532"/>
      <c r="AR11441" s="2513"/>
      <c r="CT11441" s="531"/>
    </row>
    <row r="11442" spans="1:98">
      <c r="A11442" s="532"/>
      <c r="AR11442" s="2513"/>
      <c r="CT11442" s="531"/>
    </row>
    <row r="11443" spans="1:98">
      <c r="A11443" s="532"/>
      <c r="AR11443" s="2513"/>
      <c r="CT11443" s="531"/>
    </row>
    <row r="11444" spans="1:98">
      <c r="A11444" s="532"/>
      <c r="AR11444" s="2513"/>
      <c r="CT11444" s="531"/>
    </row>
    <row r="11445" spans="1:98">
      <c r="A11445" s="532"/>
      <c r="AR11445" s="2513"/>
      <c r="CT11445" s="531"/>
    </row>
    <row r="11446" spans="1:98">
      <c r="A11446" s="532"/>
      <c r="AR11446" s="2513"/>
      <c r="CT11446" s="531"/>
    </row>
    <row r="11447" spans="1:98">
      <c r="A11447" s="532"/>
      <c r="AR11447" s="2513"/>
      <c r="CT11447" s="531"/>
    </row>
    <row r="11448" spans="1:98">
      <c r="A11448" s="532"/>
      <c r="AR11448" s="2513"/>
      <c r="CT11448" s="531"/>
    </row>
    <row r="11449" spans="1:98">
      <c r="A11449" s="532"/>
      <c r="AR11449" s="2513"/>
      <c r="CT11449" s="531"/>
    </row>
    <row r="11450" spans="1:98">
      <c r="A11450" s="532"/>
      <c r="AR11450" s="2513"/>
      <c r="CT11450" s="531"/>
    </row>
    <row r="11451" spans="1:98">
      <c r="A11451" s="532"/>
      <c r="AR11451" s="2513"/>
      <c r="CT11451" s="531"/>
    </row>
    <row r="11452" spans="1:98">
      <c r="A11452" s="532"/>
      <c r="AR11452" s="2513"/>
      <c r="CT11452" s="531"/>
    </row>
    <row r="11453" spans="1:98">
      <c r="A11453" s="532"/>
      <c r="AR11453" s="2513"/>
      <c r="CT11453" s="531"/>
    </row>
    <row r="11454" spans="1:98">
      <c r="A11454" s="532"/>
      <c r="AR11454" s="2513"/>
      <c r="CT11454" s="531"/>
    </row>
    <row r="11455" spans="1:98">
      <c r="A11455" s="532"/>
      <c r="AR11455" s="2513"/>
      <c r="CT11455" s="531"/>
    </row>
    <row r="11456" spans="1:98">
      <c r="A11456" s="532"/>
      <c r="AR11456" s="2513"/>
      <c r="CT11456" s="531"/>
    </row>
    <row r="11457" spans="1:98">
      <c r="A11457" s="532"/>
      <c r="AR11457" s="2513"/>
      <c r="CT11457" s="531"/>
    </row>
    <row r="11458" spans="1:98">
      <c r="A11458" s="532"/>
      <c r="AR11458" s="2513"/>
      <c r="CT11458" s="531"/>
    </row>
    <row r="11459" spans="1:98">
      <c r="A11459" s="532"/>
      <c r="AR11459" s="2513"/>
      <c r="CT11459" s="531"/>
    </row>
    <row r="11460" spans="1:98">
      <c r="A11460" s="532"/>
      <c r="AR11460" s="2513"/>
      <c r="CT11460" s="531"/>
    </row>
    <row r="11461" spans="1:98">
      <c r="A11461" s="532"/>
      <c r="AR11461" s="2513"/>
      <c r="CT11461" s="531"/>
    </row>
    <row r="11462" spans="1:98">
      <c r="A11462" s="532"/>
      <c r="AR11462" s="2513"/>
      <c r="CT11462" s="531"/>
    </row>
    <row r="11463" spans="1:98">
      <c r="A11463" s="532"/>
      <c r="AR11463" s="2513"/>
      <c r="CT11463" s="531"/>
    </row>
    <row r="11464" spans="1:98">
      <c r="A11464" s="532"/>
      <c r="AR11464" s="2513"/>
      <c r="CT11464" s="531"/>
    </row>
    <row r="11465" spans="1:98">
      <c r="A11465" s="532"/>
      <c r="AR11465" s="2513"/>
      <c r="CT11465" s="531"/>
    </row>
    <row r="11466" spans="1:98">
      <c r="A11466" s="532"/>
      <c r="AR11466" s="2513"/>
      <c r="CT11466" s="531"/>
    </row>
    <row r="11467" spans="1:98">
      <c r="A11467" s="532"/>
      <c r="AR11467" s="2513"/>
      <c r="CT11467" s="531"/>
    </row>
    <row r="11468" spans="1:98">
      <c r="A11468" s="532"/>
      <c r="AR11468" s="2513"/>
      <c r="CT11468" s="531"/>
    </row>
    <row r="11469" spans="1:98">
      <c r="A11469" s="532"/>
      <c r="AR11469" s="2513"/>
      <c r="CT11469" s="531"/>
    </row>
    <row r="11470" spans="1:98">
      <c r="A11470" s="532"/>
      <c r="AR11470" s="2513"/>
      <c r="CT11470" s="531"/>
    </row>
    <row r="11471" spans="1:98">
      <c r="A11471" s="532"/>
      <c r="AR11471" s="2513"/>
      <c r="CT11471" s="531"/>
    </row>
    <row r="11472" spans="1:98">
      <c r="A11472" s="532"/>
      <c r="AR11472" s="2513"/>
      <c r="CT11472" s="531"/>
    </row>
    <row r="11473" spans="1:98">
      <c r="A11473" s="532"/>
      <c r="AR11473" s="2513"/>
      <c r="CT11473" s="531"/>
    </row>
    <row r="11474" spans="1:98">
      <c r="A11474" s="532"/>
      <c r="AR11474" s="2513"/>
      <c r="CT11474" s="531"/>
    </row>
    <row r="11475" spans="1:98">
      <c r="A11475" s="532"/>
      <c r="AR11475" s="2513"/>
      <c r="CT11475" s="531"/>
    </row>
    <row r="11476" spans="1:98">
      <c r="A11476" s="532"/>
      <c r="AR11476" s="2513"/>
      <c r="CT11476" s="531"/>
    </row>
    <row r="11477" spans="1:98">
      <c r="A11477" s="532"/>
      <c r="AR11477" s="2513"/>
      <c r="CT11477" s="531"/>
    </row>
    <row r="11478" spans="1:98">
      <c r="A11478" s="532"/>
      <c r="AR11478" s="2513"/>
      <c r="CT11478" s="531"/>
    </row>
    <row r="11479" spans="1:98">
      <c r="A11479" s="532"/>
      <c r="AR11479" s="2513"/>
      <c r="CT11479" s="531"/>
    </row>
    <row r="11480" spans="1:98">
      <c r="A11480" s="532"/>
      <c r="AR11480" s="2513"/>
      <c r="CT11480" s="531"/>
    </row>
    <row r="11481" spans="1:98">
      <c r="A11481" s="532"/>
      <c r="AR11481" s="2513"/>
      <c r="CT11481" s="531"/>
    </row>
    <row r="11482" spans="1:98">
      <c r="A11482" s="532"/>
      <c r="AR11482" s="2513"/>
      <c r="CT11482" s="531"/>
    </row>
    <row r="11483" spans="1:98">
      <c r="A11483" s="532"/>
      <c r="AR11483" s="2513"/>
      <c r="CT11483" s="531"/>
    </row>
    <row r="11484" spans="1:98">
      <c r="A11484" s="532"/>
      <c r="AR11484" s="2513"/>
      <c r="CT11484" s="531"/>
    </row>
    <row r="11485" spans="1:98">
      <c r="A11485" s="532"/>
      <c r="AR11485" s="2513"/>
      <c r="CT11485" s="531"/>
    </row>
    <row r="11486" spans="1:98">
      <c r="A11486" s="532"/>
      <c r="AR11486" s="2513"/>
      <c r="CT11486" s="531"/>
    </row>
    <row r="11487" spans="1:98">
      <c r="A11487" s="532"/>
      <c r="AR11487" s="2513"/>
      <c r="CT11487" s="531"/>
    </row>
    <row r="11488" spans="1:98">
      <c r="A11488" s="532"/>
      <c r="AR11488" s="2513"/>
      <c r="CT11488" s="531"/>
    </row>
    <row r="11489" spans="1:98">
      <c r="A11489" s="532"/>
      <c r="AR11489" s="2513"/>
      <c r="CT11489" s="531"/>
    </row>
    <row r="11490" spans="1:98">
      <c r="A11490" s="532"/>
      <c r="AR11490" s="2513"/>
      <c r="CT11490" s="531"/>
    </row>
    <row r="11491" spans="1:98">
      <c r="A11491" s="532"/>
      <c r="AR11491" s="2513"/>
      <c r="CT11491" s="531"/>
    </row>
    <row r="11492" spans="1:98">
      <c r="A11492" s="532"/>
      <c r="AR11492" s="2513"/>
      <c r="CT11492" s="531"/>
    </row>
    <row r="11493" spans="1:98">
      <c r="A11493" s="532"/>
      <c r="AR11493" s="2513"/>
      <c r="CT11493" s="531"/>
    </row>
    <row r="11494" spans="1:98">
      <c r="A11494" s="532"/>
      <c r="AR11494" s="2513"/>
      <c r="CT11494" s="531"/>
    </row>
    <row r="11495" spans="1:98">
      <c r="A11495" s="532"/>
      <c r="AR11495" s="2513"/>
      <c r="CT11495" s="531"/>
    </row>
    <row r="11496" spans="1:98">
      <c r="A11496" s="532"/>
      <c r="AR11496" s="2513"/>
      <c r="CT11496" s="531"/>
    </row>
    <row r="11497" spans="1:98">
      <c r="A11497" s="532"/>
      <c r="AR11497" s="2513"/>
      <c r="CT11497" s="531"/>
    </row>
    <row r="11498" spans="1:98">
      <c r="A11498" s="532"/>
      <c r="AR11498" s="2513"/>
      <c r="CT11498" s="531"/>
    </row>
    <row r="11499" spans="1:98">
      <c r="A11499" s="532"/>
      <c r="AR11499" s="2513"/>
      <c r="CT11499" s="531"/>
    </row>
    <row r="11500" spans="1:98">
      <c r="A11500" s="532"/>
      <c r="AR11500" s="2513"/>
      <c r="CT11500" s="531"/>
    </row>
    <row r="11501" spans="1:98">
      <c r="A11501" s="532"/>
      <c r="AR11501" s="2513"/>
      <c r="CT11501" s="531"/>
    </row>
    <row r="11502" spans="1:98">
      <c r="A11502" s="532"/>
      <c r="AR11502" s="2513"/>
      <c r="CT11502" s="531"/>
    </row>
    <row r="11503" spans="1:98">
      <c r="A11503" s="532"/>
      <c r="AR11503" s="2513"/>
      <c r="CT11503" s="531"/>
    </row>
    <row r="11504" spans="1:98">
      <c r="A11504" s="532"/>
      <c r="AR11504" s="2513"/>
      <c r="CT11504" s="531"/>
    </row>
    <row r="11505" spans="1:98">
      <c r="A11505" s="532"/>
      <c r="AR11505" s="2513"/>
      <c r="CT11505" s="531"/>
    </row>
    <row r="11506" spans="1:98">
      <c r="A11506" s="532"/>
      <c r="AR11506" s="2513"/>
      <c r="CT11506" s="531"/>
    </row>
    <row r="11507" spans="1:98">
      <c r="A11507" s="532"/>
      <c r="AR11507" s="2513"/>
      <c r="CT11507" s="531"/>
    </row>
    <row r="11508" spans="1:98">
      <c r="A11508" s="532"/>
      <c r="AR11508" s="2513"/>
      <c r="CT11508" s="531"/>
    </row>
    <row r="11509" spans="1:98">
      <c r="A11509" s="532"/>
      <c r="AR11509" s="2513"/>
      <c r="CT11509" s="531"/>
    </row>
    <row r="11510" spans="1:98">
      <c r="A11510" s="532"/>
      <c r="AR11510" s="2513"/>
      <c r="CT11510" s="531"/>
    </row>
    <row r="11511" spans="1:98">
      <c r="A11511" s="532"/>
      <c r="AR11511" s="2513"/>
      <c r="CT11511" s="531"/>
    </row>
    <row r="11512" spans="1:98">
      <c r="A11512" s="532"/>
      <c r="AR11512" s="2513"/>
      <c r="CT11512" s="531"/>
    </row>
    <row r="11513" spans="1:98">
      <c r="A11513" s="532"/>
      <c r="AR11513" s="2513"/>
      <c r="CT11513" s="531"/>
    </row>
    <row r="11514" spans="1:98">
      <c r="A11514" s="532"/>
      <c r="AR11514" s="2513"/>
      <c r="CT11514" s="531"/>
    </row>
    <row r="11515" spans="1:98">
      <c r="A11515" s="532"/>
      <c r="AR11515" s="2513"/>
      <c r="CT11515" s="531"/>
    </row>
    <row r="11516" spans="1:98">
      <c r="A11516" s="532"/>
      <c r="AR11516" s="2513"/>
      <c r="CT11516" s="531"/>
    </row>
    <row r="11517" spans="1:98">
      <c r="A11517" s="532"/>
      <c r="AR11517" s="2513"/>
      <c r="CT11517" s="531"/>
    </row>
    <row r="11518" spans="1:98">
      <c r="A11518" s="532"/>
      <c r="AR11518" s="2513"/>
      <c r="CT11518" s="531"/>
    </row>
    <row r="11519" spans="1:98">
      <c r="A11519" s="532"/>
      <c r="AR11519" s="2513"/>
      <c r="CT11519" s="531"/>
    </row>
    <row r="11520" spans="1:98">
      <c r="A11520" s="532"/>
      <c r="AR11520" s="2513"/>
      <c r="CT11520" s="531"/>
    </row>
    <row r="11521" spans="1:98">
      <c r="A11521" s="532"/>
      <c r="AR11521" s="2513"/>
      <c r="CT11521" s="531"/>
    </row>
    <row r="11522" spans="1:98">
      <c r="A11522" s="532"/>
      <c r="AR11522" s="2513"/>
      <c r="CT11522" s="531"/>
    </row>
    <row r="11523" spans="1:98">
      <c r="A11523" s="532"/>
      <c r="AR11523" s="2513"/>
      <c r="CT11523" s="531"/>
    </row>
    <row r="11524" spans="1:98">
      <c r="A11524" s="532"/>
      <c r="AR11524" s="2513"/>
      <c r="CT11524" s="531"/>
    </row>
    <row r="11525" spans="1:98">
      <c r="A11525" s="532"/>
      <c r="AR11525" s="2513"/>
      <c r="CT11525" s="531"/>
    </row>
    <row r="11526" spans="1:98">
      <c r="A11526" s="532"/>
      <c r="AR11526" s="2513"/>
      <c r="CT11526" s="531"/>
    </row>
    <row r="11527" spans="1:98">
      <c r="A11527" s="532"/>
      <c r="AR11527" s="2513"/>
      <c r="CT11527" s="531"/>
    </row>
    <row r="11528" spans="1:98">
      <c r="A11528" s="532"/>
      <c r="AR11528" s="2513"/>
      <c r="CT11528" s="531"/>
    </row>
    <row r="11529" spans="1:98">
      <c r="A11529" s="532"/>
      <c r="AR11529" s="2513"/>
      <c r="CT11529" s="531"/>
    </row>
    <row r="11530" spans="1:98">
      <c r="A11530" s="532"/>
      <c r="AR11530" s="2513"/>
      <c r="CT11530" s="531"/>
    </row>
    <row r="11531" spans="1:98">
      <c r="A11531" s="532"/>
      <c r="AR11531" s="2513"/>
      <c r="CT11531" s="531"/>
    </row>
    <row r="11532" spans="1:98">
      <c r="A11532" s="532"/>
      <c r="AR11532" s="2513"/>
      <c r="CT11532" s="531"/>
    </row>
    <row r="11533" spans="1:98">
      <c r="A11533" s="532"/>
      <c r="AR11533" s="2513"/>
      <c r="CT11533" s="531"/>
    </row>
    <row r="11534" spans="1:98">
      <c r="A11534" s="532"/>
      <c r="AR11534" s="2513"/>
      <c r="CT11534" s="531"/>
    </row>
    <row r="11535" spans="1:98">
      <c r="A11535" s="532"/>
      <c r="AR11535" s="2513"/>
      <c r="CT11535" s="531"/>
    </row>
    <row r="11536" spans="1:98">
      <c r="A11536" s="532"/>
      <c r="AR11536" s="2513"/>
      <c r="CT11536" s="531"/>
    </row>
    <row r="11537" spans="1:98">
      <c r="A11537" s="532"/>
      <c r="AR11537" s="2513"/>
      <c r="CT11537" s="531"/>
    </row>
    <row r="11538" spans="1:98">
      <c r="A11538" s="532"/>
      <c r="AR11538" s="2513"/>
      <c r="CT11538" s="531"/>
    </row>
    <row r="11539" spans="1:98">
      <c r="A11539" s="532"/>
      <c r="AR11539" s="2513"/>
      <c r="CT11539" s="531"/>
    </row>
    <row r="11540" spans="1:98">
      <c r="A11540" s="532"/>
      <c r="AR11540" s="2513"/>
      <c r="CT11540" s="531"/>
    </row>
    <row r="11541" spans="1:98">
      <c r="A11541" s="532"/>
      <c r="AR11541" s="2513"/>
      <c r="CT11541" s="531"/>
    </row>
    <row r="11542" spans="1:98">
      <c r="A11542" s="532"/>
      <c r="AR11542" s="2513"/>
      <c r="CT11542" s="531"/>
    </row>
    <row r="11543" spans="1:98">
      <c r="A11543" s="532"/>
      <c r="AR11543" s="2513"/>
      <c r="CT11543" s="531"/>
    </row>
    <row r="11544" spans="1:98">
      <c r="A11544" s="532"/>
      <c r="AR11544" s="2513"/>
      <c r="CT11544" s="531"/>
    </row>
    <row r="11545" spans="1:98">
      <c r="A11545" s="532"/>
      <c r="AR11545" s="2513"/>
      <c r="CT11545" s="531"/>
    </row>
    <row r="11546" spans="1:98">
      <c r="A11546" s="532"/>
      <c r="AR11546" s="2513"/>
      <c r="CT11546" s="531"/>
    </row>
    <row r="11547" spans="1:98">
      <c r="A11547" s="532"/>
      <c r="AR11547" s="2513"/>
      <c r="CT11547" s="531"/>
    </row>
    <row r="11548" spans="1:98">
      <c r="A11548" s="532"/>
      <c r="AR11548" s="2513"/>
      <c r="CT11548" s="531"/>
    </row>
    <row r="11549" spans="1:98">
      <c r="A11549" s="532"/>
      <c r="AR11549" s="2513"/>
      <c r="CT11549" s="531"/>
    </row>
    <row r="11550" spans="1:98">
      <c r="A11550" s="532"/>
      <c r="AR11550" s="2513"/>
      <c r="CT11550" s="531"/>
    </row>
    <row r="11551" spans="1:98">
      <c r="A11551" s="532"/>
      <c r="AR11551" s="2513"/>
      <c r="CT11551" s="531"/>
    </row>
    <row r="11552" spans="1:98">
      <c r="A11552" s="532"/>
      <c r="AR11552" s="2513"/>
      <c r="CT11552" s="531"/>
    </row>
    <row r="11553" spans="1:98">
      <c r="A11553" s="532"/>
      <c r="AR11553" s="2513"/>
      <c r="CT11553" s="531"/>
    </row>
    <row r="11554" spans="1:98">
      <c r="A11554" s="532"/>
      <c r="AR11554" s="2513"/>
      <c r="CT11554" s="531"/>
    </row>
    <row r="11555" spans="1:98">
      <c r="A11555" s="532"/>
      <c r="AR11555" s="2513"/>
      <c r="CT11555" s="531"/>
    </row>
    <row r="11556" spans="1:98">
      <c r="A11556" s="532"/>
      <c r="AR11556" s="2513"/>
      <c r="CT11556" s="531"/>
    </row>
    <row r="11557" spans="1:98">
      <c r="A11557" s="532"/>
      <c r="AR11557" s="2513"/>
      <c r="CT11557" s="531"/>
    </row>
    <row r="11558" spans="1:98">
      <c r="A11558" s="532"/>
      <c r="AR11558" s="2513"/>
      <c r="CT11558" s="531"/>
    </row>
    <row r="11559" spans="1:98">
      <c r="A11559" s="532"/>
      <c r="AR11559" s="2513"/>
      <c r="CT11559" s="531"/>
    </row>
    <row r="11560" spans="1:98">
      <c r="A11560" s="532"/>
      <c r="AR11560" s="2513"/>
      <c r="CT11560" s="531"/>
    </row>
    <row r="11561" spans="1:98">
      <c r="A11561" s="532"/>
      <c r="AR11561" s="2513"/>
      <c r="CT11561" s="531"/>
    </row>
    <row r="11562" spans="1:98">
      <c r="A11562" s="532"/>
      <c r="AR11562" s="2513"/>
      <c r="CT11562" s="531"/>
    </row>
    <row r="11563" spans="1:98">
      <c r="A11563" s="532"/>
      <c r="AR11563" s="2513"/>
      <c r="CT11563" s="531"/>
    </row>
    <row r="11564" spans="1:98">
      <c r="A11564" s="532"/>
      <c r="AR11564" s="2513"/>
      <c r="CT11564" s="531"/>
    </row>
    <row r="11565" spans="1:98">
      <c r="A11565" s="532"/>
      <c r="AR11565" s="2513"/>
      <c r="CT11565" s="531"/>
    </row>
    <row r="11566" spans="1:98">
      <c r="A11566" s="532"/>
      <c r="AR11566" s="2513"/>
      <c r="CT11566" s="531"/>
    </row>
    <row r="11567" spans="1:98">
      <c r="A11567" s="532"/>
      <c r="AR11567" s="2513"/>
      <c r="CT11567" s="531"/>
    </row>
    <row r="11568" spans="1:98">
      <c r="A11568" s="532"/>
      <c r="AR11568" s="2513"/>
      <c r="CT11568" s="531"/>
    </row>
    <row r="11569" spans="1:98">
      <c r="A11569" s="532"/>
      <c r="AR11569" s="2513"/>
      <c r="CT11569" s="531"/>
    </row>
    <row r="11570" spans="1:98">
      <c r="A11570" s="532"/>
      <c r="AR11570" s="2513"/>
      <c r="CT11570" s="531"/>
    </row>
    <row r="11571" spans="1:98">
      <c r="A11571" s="532"/>
      <c r="AR11571" s="2513"/>
      <c r="CT11571" s="531"/>
    </row>
    <row r="11572" spans="1:98">
      <c r="A11572" s="532"/>
      <c r="AR11572" s="2513"/>
      <c r="CT11572" s="531"/>
    </row>
    <row r="11573" spans="1:98">
      <c r="A11573" s="532"/>
      <c r="AR11573" s="2513"/>
      <c r="CT11573" s="531"/>
    </row>
    <row r="11574" spans="1:98">
      <c r="A11574" s="532"/>
      <c r="AR11574" s="2513"/>
      <c r="CT11574" s="531"/>
    </row>
    <row r="11575" spans="1:98">
      <c r="A11575" s="532"/>
      <c r="AR11575" s="2513"/>
      <c r="CT11575" s="531"/>
    </row>
    <row r="11576" spans="1:98">
      <c r="A11576" s="532"/>
      <c r="AR11576" s="2513"/>
      <c r="CT11576" s="531"/>
    </row>
    <row r="11577" spans="1:98">
      <c r="A11577" s="532"/>
      <c r="AR11577" s="2513"/>
      <c r="CT11577" s="531"/>
    </row>
    <row r="11578" spans="1:98">
      <c r="A11578" s="532"/>
      <c r="AR11578" s="2513"/>
      <c r="CT11578" s="531"/>
    </row>
    <row r="11579" spans="1:98">
      <c r="A11579" s="532"/>
      <c r="AR11579" s="2513"/>
      <c r="CT11579" s="531"/>
    </row>
    <row r="11580" spans="1:98">
      <c r="A11580" s="532"/>
      <c r="AR11580" s="2513"/>
      <c r="CT11580" s="531"/>
    </row>
    <row r="11581" spans="1:98">
      <c r="A11581" s="532"/>
      <c r="AR11581" s="2513"/>
      <c r="CT11581" s="531"/>
    </row>
    <row r="11582" spans="1:98">
      <c r="A11582" s="532"/>
      <c r="AR11582" s="2513"/>
      <c r="CT11582" s="531"/>
    </row>
    <row r="11583" spans="1:98">
      <c r="A11583" s="532"/>
      <c r="AR11583" s="2513"/>
      <c r="CT11583" s="531"/>
    </row>
    <row r="11584" spans="1:98">
      <c r="A11584" s="532"/>
      <c r="AR11584" s="2513"/>
      <c r="CT11584" s="531"/>
    </row>
    <row r="11585" spans="1:98">
      <c r="A11585" s="532"/>
      <c r="AR11585" s="2513"/>
      <c r="CT11585" s="531"/>
    </row>
    <row r="11586" spans="1:98">
      <c r="A11586" s="532"/>
      <c r="AR11586" s="2513"/>
      <c r="CT11586" s="531"/>
    </row>
    <row r="11587" spans="1:98">
      <c r="A11587" s="532"/>
      <c r="AR11587" s="2513"/>
      <c r="CT11587" s="531"/>
    </row>
    <row r="11588" spans="1:98">
      <c r="A11588" s="532"/>
      <c r="AR11588" s="2513"/>
      <c r="CT11588" s="531"/>
    </row>
    <row r="11589" spans="1:98">
      <c r="A11589" s="532"/>
      <c r="AR11589" s="2513"/>
      <c r="CT11589" s="531"/>
    </row>
    <row r="11590" spans="1:98">
      <c r="A11590" s="532"/>
      <c r="AR11590" s="2513"/>
      <c r="CT11590" s="531"/>
    </row>
    <row r="11591" spans="1:98">
      <c r="A11591" s="532"/>
      <c r="AR11591" s="2513"/>
      <c r="CT11591" s="531"/>
    </row>
    <row r="11592" spans="1:98">
      <c r="A11592" s="532"/>
      <c r="AR11592" s="2513"/>
      <c r="CT11592" s="531"/>
    </row>
    <row r="11593" spans="1:98">
      <c r="A11593" s="532"/>
      <c r="AR11593" s="2513"/>
      <c r="CT11593" s="531"/>
    </row>
    <row r="11594" spans="1:98">
      <c r="A11594" s="532"/>
      <c r="AR11594" s="2513"/>
      <c r="CT11594" s="531"/>
    </row>
    <row r="11595" spans="1:98">
      <c r="A11595" s="532"/>
      <c r="AR11595" s="2513"/>
      <c r="CT11595" s="531"/>
    </row>
    <row r="11596" spans="1:98">
      <c r="A11596" s="532"/>
      <c r="AR11596" s="2513"/>
      <c r="CT11596" s="531"/>
    </row>
    <row r="11597" spans="1:98">
      <c r="A11597" s="532"/>
      <c r="AR11597" s="2513"/>
      <c r="CT11597" s="531"/>
    </row>
    <row r="11598" spans="1:98">
      <c r="A11598" s="532"/>
      <c r="AR11598" s="2513"/>
      <c r="CT11598" s="531"/>
    </row>
    <row r="11599" spans="1:98">
      <c r="A11599" s="532"/>
      <c r="AR11599" s="2513"/>
      <c r="CT11599" s="531"/>
    </row>
    <row r="11600" spans="1:98">
      <c r="A11600" s="532"/>
      <c r="AR11600" s="2513"/>
      <c r="CT11600" s="531"/>
    </row>
    <row r="11601" spans="1:98">
      <c r="A11601" s="532"/>
      <c r="AR11601" s="2513"/>
      <c r="CT11601" s="531"/>
    </row>
    <row r="11602" spans="1:98">
      <c r="A11602" s="532"/>
      <c r="AR11602" s="2513"/>
      <c r="CT11602" s="531"/>
    </row>
    <row r="11603" spans="1:98">
      <c r="A11603" s="532"/>
      <c r="AR11603" s="2513"/>
      <c r="CT11603" s="531"/>
    </row>
    <row r="11604" spans="1:98">
      <c r="A11604" s="532"/>
      <c r="AR11604" s="2513"/>
      <c r="CT11604" s="531"/>
    </row>
    <row r="11605" spans="1:98">
      <c r="A11605" s="532"/>
      <c r="AR11605" s="2513"/>
      <c r="CT11605" s="531"/>
    </row>
    <row r="11606" spans="1:98">
      <c r="A11606" s="532"/>
      <c r="AR11606" s="2513"/>
      <c r="CT11606" s="531"/>
    </row>
    <row r="11607" spans="1:98">
      <c r="A11607" s="532"/>
      <c r="AR11607" s="2513"/>
      <c r="CT11607" s="531"/>
    </row>
    <row r="11608" spans="1:98">
      <c r="A11608" s="532"/>
      <c r="AR11608" s="2513"/>
      <c r="CT11608" s="531"/>
    </row>
    <row r="11609" spans="1:98">
      <c r="A11609" s="532"/>
      <c r="AR11609" s="2513"/>
      <c r="CT11609" s="531"/>
    </row>
    <row r="11610" spans="1:98">
      <c r="A11610" s="532"/>
      <c r="AR11610" s="2513"/>
      <c r="CT11610" s="531"/>
    </row>
    <row r="11611" spans="1:98">
      <c r="A11611" s="532"/>
      <c r="AR11611" s="2513"/>
      <c r="CT11611" s="531"/>
    </row>
    <row r="11612" spans="1:98">
      <c r="A11612" s="532"/>
      <c r="AR11612" s="2513"/>
      <c r="CT11612" s="531"/>
    </row>
    <row r="11613" spans="1:98">
      <c r="A11613" s="532"/>
      <c r="AR11613" s="2513"/>
      <c r="CT11613" s="531"/>
    </row>
    <row r="11614" spans="1:98">
      <c r="A11614" s="532"/>
      <c r="AR11614" s="2513"/>
      <c r="CT11614" s="531"/>
    </row>
    <row r="11615" spans="1:98">
      <c r="A11615" s="532"/>
      <c r="AR11615" s="2513"/>
      <c r="CT11615" s="531"/>
    </row>
    <row r="11616" spans="1:98">
      <c r="A11616" s="532"/>
      <c r="AR11616" s="2513"/>
      <c r="CT11616" s="531"/>
    </row>
    <row r="11617" spans="1:98">
      <c r="A11617" s="532"/>
      <c r="AR11617" s="2513"/>
      <c r="CT11617" s="531"/>
    </row>
    <row r="11618" spans="1:98">
      <c r="A11618" s="532"/>
      <c r="AR11618" s="2513"/>
      <c r="CT11618" s="531"/>
    </row>
    <row r="11619" spans="1:98">
      <c r="A11619" s="532"/>
      <c r="AR11619" s="2513"/>
      <c r="CT11619" s="531"/>
    </row>
    <row r="11620" spans="1:98">
      <c r="A11620" s="532"/>
      <c r="AR11620" s="2513"/>
      <c r="CT11620" s="531"/>
    </row>
    <row r="11621" spans="1:98">
      <c r="A11621" s="532"/>
      <c r="AR11621" s="2513"/>
      <c r="CT11621" s="531"/>
    </row>
    <row r="11622" spans="1:98">
      <c r="A11622" s="532"/>
      <c r="AR11622" s="2513"/>
      <c r="CT11622" s="531"/>
    </row>
    <row r="11623" spans="1:98">
      <c r="A11623" s="532"/>
      <c r="AR11623" s="2513"/>
      <c r="CT11623" s="531"/>
    </row>
    <row r="11624" spans="1:98">
      <c r="A11624" s="532"/>
      <c r="AR11624" s="2513"/>
      <c r="CT11624" s="531"/>
    </row>
    <row r="11625" spans="1:98">
      <c r="A11625" s="532"/>
      <c r="AR11625" s="2513"/>
      <c r="CT11625" s="531"/>
    </row>
    <row r="11626" spans="1:98">
      <c r="A11626" s="532"/>
      <c r="AR11626" s="2513"/>
      <c r="CT11626" s="531"/>
    </row>
    <row r="11627" spans="1:98">
      <c r="A11627" s="532"/>
      <c r="AR11627" s="2513"/>
      <c r="CT11627" s="531"/>
    </row>
    <row r="11628" spans="1:98">
      <c r="A11628" s="532"/>
      <c r="AR11628" s="2513"/>
      <c r="CT11628" s="531"/>
    </row>
    <row r="11629" spans="1:98">
      <c r="A11629" s="532"/>
      <c r="AR11629" s="2513"/>
      <c r="CT11629" s="531"/>
    </row>
    <row r="11630" spans="1:98">
      <c r="A11630" s="532"/>
      <c r="AR11630" s="2513"/>
      <c r="CT11630" s="531"/>
    </row>
    <row r="11631" spans="1:98">
      <c r="A11631" s="532"/>
      <c r="AR11631" s="2513"/>
      <c r="CT11631" s="531"/>
    </row>
    <row r="11632" spans="1:98">
      <c r="A11632" s="532"/>
      <c r="AR11632" s="2513"/>
      <c r="CT11632" s="531"/>
    </row>
    <row r="11633" spans="1:98">
      <c r="A11633" s="532"/>
      <c r="AR11633" s="2513"/>
      <c r="CT11633" s="531"/>
    </row>
    <row r="11634" spans="1:98">
      <c r="A11634" s="532"/>
      <c r="AR11634" s="2513"/>
      <c r="CT11634" s="531"/>
    </row>
    <row r="11635" spans="1:98">
      <c r="A11635" s="532"/>
      <c r="AR11635" s="2513"/>
      <c r="CT11635" s="531"/>
    </row>
    <row r="11636" spans="1:98">
      <c r="A11636" s="532"/>
      <c r="AR11636" s="2513"/>
      <c r="CT11636" s="531"/>
    </row>
    <row r="11637" spans="1:98">
      <c r="A11637" s="532"/>
      <c r="AR11637" s="2513"/>
      <c r="CT11637" s="531"/>
    </row>
    <row r="11638" spans="1:98">
      <c r="A11638" s="532"/>
      <c r="AR11638" s="2513"/>
      <c r="CT11638" s="531"/>
    </row>
    <row r="11639" spans="1:98">
      <c r="A11639" s="532"/>
      <c r="AR11639" s="2513"/>
      <c r="CT11639" s="531"/>
    </row>
    <row r="11640" spans="1:98">
      <c r="A11640" s="532"/>
      <c r="AR11640" s="2513"/>
      <c r="CT11640" s="531"/>
    </row>
    <row r="11641" spans="1:98">
      <c r="A11641" s="532"/>
      <c r="AR11641" s="2513"/>
      <c r="CT11641" s="531"/>
    </row>
    <row r="11642" spans="1:98">
      <c r="A11642" s="532"/>
      <c r="AR11642" s="2513"/>
      <c r="CT11642" s="531"/>
    </row>
    <row r="11643" spans="1:98">
      <c r="A11643" s="532"/>
      <c r="AR11643" s="2513"/>
      <c r="CT11643" s="531"/>
    </row>
    <row r="11644" spans="1:98">
      <c r="A11644" s="532"/>
      <c r="AR11644" s="2513"/>
      <c r="CT11644" s="531"/>
    </row>
    <row r="11645" spans="1:98">
      <c r="A11645" s="532"/>
      <c r="AR11645" s="2513"/>
      <c r="CT11645" s="531"/>
    </row>
    <row r="11646" spans="1:98">
      <c r="A11646" s="532"/>
      <c r="AR11646" s="2513"/>
      <c r="CT11646" s="531"/>
    </row>
    <row r="11647" spans="1:98">
      <c r="A11647" s="532"/>
      <c r="AR11647" s="2513"/>
      <c r="CT11647" s="531"/>
    </row>
    <row r="11648" spans="1:98">
      <c r="A11648" s="532"/>
      <c r="AR11648" s="2513"/>
      <c r="CT11648" s="531"/>
    </row>
    <row r="11649" spans="1:98">
      <c r="A11649" s="532"/>
      <c r="AR11649" s="2513"/>
      <c r="CT11649" s="531"/>
    </row>
    <row r="11650" spans="1:98">
      <c r="A11650" s="532"/>
      <c r="AR11650" s="2513"/>
      <c r="CT11650" s="531"/>
    </row>
    <row r="11651" spans="1:98">
      <c r="A11651" s="532"/>
      <c r="AR11651" s="2513"/>
      <c r="CT11651" s="531"/>
    </row>
    <row r="11652" spans="1:98">
      <c r="A11652" s="532"/>
      <c r="AR11652" s="2513"/>
      <c r="CT11652" s="531"/>
    </row>
    <row r="11653" spans="1:98">
      <c r="A11653" s="532"/>
      <c r="AR11653" s="2513"/>
      <c r="CT11653" s="531"/>
    </row>
    <row r="11654" spans="1:98">
      <c r="A11654" s="532"/>
      <c r="AR11654" s="2513"/>
      <c r="CT11654" s="531"/>
    </row>
    <row r="11655" spans="1:98">
      <c r="A11655" s="532"/>
      <c r="AR11655" s="2513"/>
      <c r="CT11655" s="531"/>
    </row>
    <row r="11656" spans="1:98">
      <c r="A11656" s="532"/>
      <c r="AR11656" s="2513"/>
      <c r="CT11656" s="531"/>
    </row>
    <row r="11657" spans="1:98">
      <c r="A11657" s="532"/>
      <c r="AR11657" s="2513"/>
      <c r="CT11657" s="531"/>
    </row>
    <row r="11658" spans="1:98">
      <c r="A11658" s="532"/>
      <c r="AR11658" s="2513"/>
      <c r="CT11658" s="531"/>
    </row>
    <row r="11659" spans="1:98">
      <c r="A11659" s="532"/>
      <c r="AR11659" s="2513"/>
      <c r="CT11659" s="531"/>
    </row>
    <row r="11660" spans="1:98">
      <c r="A11660" s="532"/>
      <c r="AR11660" s="2513"/>
      <c r="CT11660" s="531"/>
    </row>
    <row r="11661" spans="1:98">
      <c r="A11661" s="532"/>
      <c r="AR11661" s="2513"/>
      <c r="CT11661" s="531"/>
    </row>
    <row r="11662" spans="1:98">
      <c r="A11662" s="532"/>
      <c r="AR11662" s="2513"/>
      <c r="CT11662" s="531"/>
    </row>
    <row r="11663" spans="1:98">
      <c r="A11663" s="532"/>
      <c r="AR11663" s="2513"/>
      <c r="CT11663" s="531"/>
    </row>
    <row r="11664" spans="1:98">
      <c r="A11664" s="532"/>
      <c r="AR11664" s="2513"/>
      <c r="CT11664" s="531"/>
    </row>
    <row r="11665" spans="1:98">
      <c r="A11665" s="532"/>
      <c r="AR11665" s="2513"/>
      <c r="CT11665" s="531"/>
    </row>
    <row r="11666" spans="1:98">
      <c r="A11666" s="532"/>
      <c r="AR11666" s="2513"/>
      <c r="CT11666" s="531"/>
    </row>
    <row r="11667" spans="1:98">
      <c r="A11667" s="532"/>
      <c r="AR11667" s="2513"/>
      <c r="CT11667" s="531"/>
    </row>
    <row r="11668" spans="1:98">
      <c r="A11668" s="532"/>
      <c r="AR11668" s="2513"/>
      <c r="CT11668" s="531"/>
    </row>
    <row r="11669" spans="1:98">
      <c r="A11669" s="532"/>
      <c r="AR11669" s="2513"/>
      <c r="CT11669" s="531"/>
    </row>
    <row r="11670" spans="1:98">
      <c r="A11670" s="532"/>
      <c r="AR11670" s="2513"/>
      <c r="CT11670" s="531"/>
    </row>
    <row r="11671" spans="1:98">
      <c r="A11671" s="532"/>
      <c r="AR11671" s="2513"/>
      <c r="CT11671" s="531"/>
    </row>
    <row r="11672" spans="1:98">
      <c r="A11672" s="532"/>
      <c r="AR11672" s="2513"/>
      <c r="CT11672" s="531"/>
    </row>
    <row r="11673" spans="1:98">
      <c r="A11673" s="532"/>
      <c r="AR11673" s="2513"/>
      <c r="CT11673" s="531"/>
    </row>
    <row r="11674" spans="1:98">
      <c r="A11674" s="532"/>
      <c r="AR11674" s="2513"/>
      <c r="CT11674" s="531"/>
    </row>
    <row r="11675" spans="1:98">
      <c r="A11675" s="532"/>
      <c r="AR11675" s="2513"/>
      <c r="CT11675" s="531"/>
    </row>
    <row r="11676" spans="1:98">
      <c r="A11676" s="532"/>
      <c r="AR11676" s="2513"/>
      <c r="CT11676" s="531"/>
    </row>
    <row r="11677" spans="1:98">
      <c r="A11677" s="532"/>
      <c r="AR11677" s="2513"/>
      <c r="CT11677" s="531"/>
    </row>
    <row r="11678" spans="1:98">
      <c r="A11678" s="532"/>
      <c r="AR11678" s="2513"/>
      <c r="CT11678" s="531"/>
    </row>
    <row r="11679" spans="1:98">
      <c r="A11679" s="532"/>
      <c r="AR11679" s="2513"/>
      <c r="CT11679" s="531"/>
    </row>
    <row r="11680" spans="1:98">
      <c r="A11680" s="532"/>
      <c r="AR11680" s="2513"/>
      <c r="CT11680" s="531"/>
    </row>
    <row r="11681" spans="1:98">
      <c r="A11681" s="532"/>
      <c r="AR11681" s="2513"/>
      <c r="CT11681" s="531"/>
    </row>
    <row r="11682" spans="1:98">
      <c r="A11682" s="532"/>
      <c r="AR11682" s="2513"/>
      <c r="CT11682" s="531"/>
    </row>
    <row r="11683" spans="1:98">
      <c r="A11683" s="532"/>
      <c r="AR11683" s="2513"/>
      <c r="CT11683" s="531"/>
    </row>
    <row r="11684" spans="1:98">
      <c r="A11684" s="532"/>
      <c r="AR11684" s="2513"/>
      <c r="CT11684" s="531"/>
    </row>
    <row r="11685" spans="1:98">
      <c r="A11685" s="532"/>
      <c r="AR11685" s="2513"/>
      <c r="CT11685" s="531"/>
    </row>
    <row r="11686" spans="1:98">
      <c r="A11686" s="532"/>
      <c r="AR11686" s="2513"/>
      <c r="CT11686" s="531"/>
    </row>
    <row r="11687" spans="1:98">
      <c r="A11687" s="532"/>
      <c r="AR11687" s="2513"/>
      <c r="CT11687" s="531"/>
    </row>
    <row r="11688" spans="1:98">
      <c r="A11688" s="532"/>
      <c r="AR11688" s="2513"/>
      <c r="CT11688" s="531"/>
    </row>
    <row r="11689" spans="1:98">
      <c r="A11689" s="532"/>
      <c r="AR11689" s="2513"/>
      <c r="CT11689" s="531"/>
    </row>
    <row r="11690" spans="1:98">
      <c r="A11690" s="532"/>
      <c r="AR11690" s="2513"/>
      <c r="CT11690" s="531"/>
    </row>
    <row r="11691" spans="1:98">
      <c r="A11691" s="532"/>
      <c r="AR11691" s="2513"/>
      <c r="CT11691" s="531"/>
    </row>
    <row r="11692" spans="1:98">
      <c r="A11692" s="532"/>
      <c r="AR11692" s="2513"/>
      <c r="CT11692" s="531"/>
    </row>
    <row r="11693" spans="1:98">
      <c r="A11693" s="532"/>
      <c r="AR11693" s="2513"/>
      <c r="CT11693" s="531"/>
    </row>
    <row r="11694" spans="1:98">
      <c r="A11694" s="532"/>
      <c r="AR11694" s="2513"/>
      <c r="CT11694" s="531"/>
    </row>
    <row r="11695" spans="1:98">
      <c r="A11695" s="532"/>
      <c r="AR11695" s="2513"/>
      <c r="CT11695" s="531"/>
    </row>
    <row r="11696" spans="1:98">
      <c r="A11696" s="532"/>
      <c r="AR11696" s="2513"/>
      <c r="CT11696" s="531"/>
    </row>
    <row r="11697" spans="1:98">
      <c r="A11697" s="532"/>
      <c r="AR11697" s="2513"/>
      <c r="CT11697" s="531"/>
    </row>
    <row r="11698" spans="1:98">
      <c r="A11698" s="532"/>
      <c r="AR11698" s="2513"/>
      <c r="CT11698" s="531"/>
    </row>
    <row r="11699" spans="1:98">
      <c r="A11699" s="532"/>
      <c r="AR11699" s="2513"/>
      <c r="CT11699" s="531"/>
    </row>
    <row r="11700" spans="1:98">
      <c r="A11700" s="532"/>
      <c r="AR11700" s="2513"/>
      <c r="CT11700" s="531"/>
    </row>
    <row r="11701" spans="1:98">
      <c r="A11701" s="532"/>
      <c r="AR11701" s="2513"/>
      <c r="CT11701" s="531"/>
    </row>
    <row r="11702" spans="1:98">
      <c r="A11702" s="532"/>
      <c r="AR11702" s="2513"/>
      <c r="CT11702" s="531"/>
    </row>
    <row r="11703" spans="1:98">
      <c r="A11703" s="532"/>
      <c r="AR11703" s="2513"/>
      <c r="CT11703" s="531"/>
    </row>
    <row r="11704" spans="1:98">
      <c r="A11704" s="532"/>
      <c r="AR11704" s="2513"/>
      <c r="CT11704" s="531"/>
    </row>
    <row r="11705" spans="1:98">
      <c r="A11705" s="532"/>
      <c r="AR11705" s="2513"/>
      <c r="CT11705" s="531"/>
    </row>
    <row r="11706" spans="1:98">
      <c r="A11706" s="532"/>
      <c r="AR11706" s="2513"/>
      <c r="CT11706" s="531"/>
    </row>
    <row r="11707" spans="1:98">
      <c r="A11707" s="532"/>
      <c r="AR11707" s="2513"/>
      <c r="CT11707" s="531"/>
    </row>
    <row r="11708" spans="1:98">
      <c r="A11708" s="532"/>
      <c r="AR11708" s="2513"/>
      <c r="CT11708" s="531"/>
    </row>
    <row r="11709" spans="1:98">
      <c r="A11709" s="532"/>
      <c r="AR11709" s="2513"/>
      <c r="CT11709" s="531"/>
    </row>
    <row r="11710" spans="1:98">
      <c r="A11710" s="532"/>
      <c r="AR11710" s="2513"/>
      <c r="CT11710" s="531"/>
    </row>
    <row r="11711" spans="1:98">
      <c r="A11711" s="532"/>
      <c r="AR11711" s="2513"/>
      <c r="CT11711" s="531"/>
    </row>
    <row r="11712" spans="1:98">
      <c r="A11712" s="532"/>
      <c r="AR11712" s="2513"/>
      <c r="CT11712" s="531"/>
    </row>
    <row r="11713" spans="1:98">
      <c r="A11713" s="532"/>
      <c r="AR11713" s="2513"/>
      <c r="CT11713" s="531"/>
    </row>
    <row r="11714" spans="1:98">
      <c r="A11714" s="532"/>
      <c r="AR11714" s="2513"/>
      <c r="CT11714" s="531"/>
    </row>
    <row r="11715" spans="1:98">
      <c r="A11715" s="532"/>
      <c r="AR11715" s="2513"/>
      <c r="CT11715" s="531"/>
    </row>
    <row r="11716" spans="1:98">
      <c r="A11716" s="532"/>
      <c r="AR11716" s="2513"/>
      <c r="CT11716" s="531"/>
    </row>
    <row r="11717" spans="1:98">
      <c r="A11717" s="532"/>
      <c r="AR11717" s="2513"/>
      <c r="CT11717" s="531"/>
    </row>
    <row r="11718" spans="1:98">
      <c r="A11718" s="532"/>
      <c r="AR11718" s="2513"/>
      <c r="CT11718" s="531"/>
    </row>
    <row r="11719" spans="1:98">
      <c r="A11719" s="532"/>
      <c r="AR11719" s="2513"/>
      <c r="CT11719" s="531"/>
    </row>
    <row r="11720" spans="1:98">
      <c r="A11720" s="532"/>
      <c r="AR11720" s="2513"/>
      <c r="CT11720" s="531"/>
    </row>
    <row r="11721" spans="1:98">
      <c r="A11721" s="532"/>
      <c r="AR11721" s="2513"/>
      <c r="CT11721" s="531"/>
    </row>
    <row r="11722" spans="1:98">
      <c r="A11722" s="532"/>
      <c r="AR11722" s="2513"/>
      <c r="CT11722" s="531"/>
    </row>
    <row r="11723" spans="1:98">
      <c r="A11723" s="532"/>
      <c r="AR11723" s="2513"/>
      <c r="CT11723" s="531"/>
    </row>
    <row r="11724" spans="1:98">
      <c r="A11724" s="532"/>
      <c r="AR11724" s="2513"/>
      <c r="CT11724" s="531"/>
    </row>
    <row r="11725" spans="1:98">
      <c r="A11725" s="532"/>
      <c r="AR11725" s="2513"/>
      <c r="CT11725" s="531"/>
    </row>
    <row r="11726" spans="1:98">
      <c r="A11726" s="532"/>
      <c r="AR11726" s="2513"/>
      <c r="CT11726" s="531"/>
    </row>
    <row r="11727" spans="1:98">
      <c r="A11727" s="532"/>
      <c r="AR11727" s="2513"/>
      <c r="CT11727" s="531"/>
    </row>
    <row r="11728" spans="1:98">
      <c r="A11728" s="532"/>
      <c r="AR11728" s="2513"/>
      <c r="CT11728" s="531"/>
    </row>
    <row r="11729" spans="1:98">
      <c r="A11729" s="532"/>
      <c r="AR11729" s="2513"/>
      <c r="CT11729" s="531"/>
    </row>
    <row r="11730" spans="1:98">
      <c r="A11730" s="532"/>
      <c r="AR11730" s="2513"/>
      <c r="CT11730" s="531"/>
    </row>
    <row r="11731" spans="1:98">
      <c r="A11731" s="532"/>
      <c r="AR11731" s="2513"/>
      <c r="CT11731" s="531"/>
    </row>
    <row r="11732" spans="1:98">
      <c r="A11732" s="532"/>
      <c r="AR11732" s="2513"/>
      <c r="CT11732" s="531"/>
    </row>
    <row r="11733" spans="1:98">
      <c r="A11733" s="532"/>
      <c r="AR11733" s="2513"/>
      <c r="CT11733" s="531"/>
    </row>
    <row r="11734" spans="1:98">
      <c r="A11734" s="532"/>
      <c r="AR11734" s="2513"/>
      <c r="CT11734" s="531"/>
    </row>
    <row r="11735" spans="1:98">
      <c r="A11735" s="532"/>
      <c r="AR11735" s="2513"/>
      <c r="CT11735" s="531"/>
    </row>
    <row r="11736" spans="1:98">
      <c r="A11736" s="532"/>
      <c r="AR11736" s="2513"/>
      <c r="CT11736" s="531"/>
    </row>
    <row r="11737" spans="1:98">
      <c r="A11737" s="532"/>
      <c r="AR11737" s="2513"/>
      <c r="CT11737" s="531"/>
    </row>
    <row r="11738" spans="1:98">
      <c r="A11738" s="532"/>
      <c r="AR11738" s="2513"/>
      <c r="CT11738" s="531"/>
    </row>
    <row r="11739" spans="1:98">
      <c r="A11739" s="532"/>
      <c r="AR11739" s="2513"/>
      <c r="CT11739" s="531"/>
    </row>
    <row r="11740" spans="1:98">
      <c r="A11740" s="532"/>
      <c r="AR11740" s="2513"/>
      <c r="CT11740" s="531"/>
    </row>
    <row r="11741" spans="1:98">
      <c r="A11741" s="532"/>
      <c r="AR11741" s="2513"/>
      <c r="CT11741" s="531"/>
    </row>
    <row r="11742" spans="1:98">
      <c r="A11742" s="532"/>
      <c r="AR11742" s="2513"/>
      <c r="CT11742" s="531"/>
    </row>
    <row r="11743" spans="1:98">
      <c r="A11743" s="532"/>
      <c r="AR11743" s="2513"/>
      <c r="CT11743" s="531"/>
    </row>
    <row r="11744" spans="1:98">
      <c r="A11744" s="532"/>
      <c r="AR11744" s="2513"/>
      <c r="CT11744" s="531"/>
    </row>
    <row r="11745" spans="1:98">
      <c r="A11745" s="532"/>
      <c r="AR11745" s="2513"/>
      <c r="CT11745" s="531"/>
    </row>
    <row r="11746" spans="1:98">
      <c r="A11746" s="532"/>
      <c r="AR11746" s="2513"/>
      <c r="CT11746" s="531"/>
    </row>
    <row r="11747" spans="1:98">
      <c r="A11747" s="532"/>
      <c r="AR11747" s="2513"/>
      <c r="CT11747" s="531"/>
    </row>
    <row r="11748" spans="1:98">
      <c r="A11748" s="532"/>
      <c r="AR11748" s="2513"/>
      <c r="CT11748" s="531"/>
    </row>
    <row r="11749" spans="1:98">
      <c r="A11749" s="532"/>
      <c r="AR11749" s="2513"/>
      <c r="CT11749" s="531"/>
    </row>
    <row r="11750" spans="1:98">
      <c r="A11750" s="532"/>
      <c r="AR11750" s="2513"/>
      <c r="CT11750" s="531"/>
    </row>
    <row r="11751" spans="1:98">
      <c r="A11751" s="532"/>
      <c r="AR11751" s="2513"/>
      <c r="CT11751" s="531"/>
    </row>
    <row r="11752" spans="1:98">
      <c r="A11752" s="532"/>
      <c r="AR11752" s="2513"/>
      <c r="CT11752" s="531"/>
    </row>
    <row r="11753" spans="1:98">
      <c r="A11753" s="532"/>
      <c r="AR11753" s="2513"/>
      <c r="CT11753" s="531"/>
    </row>
    <row r="11754" spans="1:98">
      <c r="A11754" s="532"/>
      <c r="AR11754" s="2513"/>
      <c r="CT11754" s="531"/>
    </row>
    <row r="11755" spans="1:98">
      <c r="A11755" s="532"/>
      <c r="AR11755" s="2513"/>
      <c r="CT11755" s="531"/>
    </row>
    <row r="11756" spans="1:98">
      <c r="A11756" s="532"/>
      <c r="AR11756" s="2513"/>
      <c r="CT11756" s="531"/>
    </row>
    <row r="11757" spans="1:98">
      <c r="A11757" s="532"/>
      <c r="AR11757" s="2513"/>
      <c r="CT11757" s="531"/>
    </row>
    <row r="11758" spans="1:98">
      <c r="A11758" s="532"/>
      <c r="AR11758" s="2513"/>
      <c r="CT11758" s="531"/>
    </row>
    <row r="11759" spans="1:98">
      <c r="A11759" s="532"/>
      <c r="AR11759" s="2513"/>
      <c r="CT11759" s="531"/>
    </row>
    <row r="11760" spans="1:98">
      <c r="A11760" s="532"/>
      <c r="AR11760" s="2513"/>
      <c r="CT11760" s="531"/>
    </row>
    <row r="11761" spans="1:98">
      <c r="A11761" s="532"/>
      <c r="AR11761" s="2513"/>
      <c r="CT11761" s="531"/>
    </row>
    <row r="11762" spans="1:98">
      <c r="A11762" s="532"/>
      <c r="AR11762" s="2513"/>
      <c r="CT11762" s="531"/>
    </row>
    <row r="11763" spans="1:98">
      <c r="A11763" s="532"/>
      <c r="AR11763" s="2513"/>
      <c r="CT11763" s="531"/>
    </row>
    <row r="11764" spans="1:98">
      <c r="A11764" s="532"/>
      <c r="AR11764" s="2513"/>
      <c r="CT11764" s="531"/>
    </row>
    <row r="11765" spans="1:98">
      <c r="A11765" s="532"/>
      <c r="AR11765" s="2513"/>
      <c r="CT11765" s="531"/>
    </row>
    <row r="11766" spans="1:98">
      <c r="A11766" s="532"/>
      <c r="AR11766" s="2513"/>
      <c r="CT11766" s="531"/>
    </row>
    <row r="11767" spans="1:98">
      <c r="A11767" s="532"/>
      <c r="AR11767" s="2513"/>
      <c r="CT11767" s="531"/>
    </row>
    <row r="11768" spans="1:98">
      <c r="A11768" s="532"/>
      <c r="AR11768" s="2513"/>
      <c r="CT11768" s="531"/>
    </row>
    <row r="11769" spans="1:98">
      <c r="A11769" s="532"/>
      <c r="AR11769" s="2513"/>
      <c r="CT11769" s="531"/>
    </row>
    <row r="11770" spans="1:98">
      <c r="A11770" s="532"/>
      <c r="AR11770" s="2513"/>
      <c r="CT11770" s="531"/>
    </row>
    <row r="11771" spans="1:98">
      <c r="A11771" s="532"/>
      <c r="AR11771" s="2513"/>
      <c r="CT11771" s="531"/>
    </row>
    <row r="11772" spans="1:98">
      <c r="A11772" s="532"/>
      <c r="AR11772" s="2513"/>
      <c r="CT11772" s="531"/>
    </row>
    <row r="11773" spans="1:98">
      <c r="A11773" s="532"/>
      <c r="AR11773" s="2513"/>
      <c r="CT11773" s="531"/>
    </row>
    <row r="11774" spans="1:98">
      <c r="A11774" s="532"/>
      <c r="AR11774" s="2513"/>
      <c r="CT11774" s="531"/>
    </row>
    <row r="11775" spans="1:98">
      <c r="A11775" s="532"/>
      <c r="AR11775" s="2513"/>
      <c r="CT11775" s="531"/>
    </row>
    <row r="11776" spans="1:98">
      <c r="A11776" s="532"/>
      <c r="AR11776" s="2513"/>
      <c r="CT11776" s="531"/>
    </row>
    <row r="11777" spans="1:98">
      <c r="A11777" s="532"/>
      <c r="AR11777" s="2513"/>
      <c r="CT11777" s="531"/>
    </row>
    <row r="11778" spans="1:98">
      <c r="A11778" s="532"/>
      <c r="AR11778" s="2513"/>
      <c r="CT11778" s="531"/>
    </row>
    <row r="11779" spans="1:98">
      <c r="A11779" s="532"/>
      <c r="AR11779" s="2513"/>
      <c r="CT11779" s="531"/>
    </row>
    <row r="11780" spans="1:98">
      <c r="A11780" s="532"/>
      <c r="AR11780" s="2513"/>
      <c r="CT11780" s="531"/>
    </row>
    <row r="11781" spans="1:98">
      <c r="A11781" s="532"/>
      <c r="AR11781" s="2513"/>
      <c r="CT11781" s="531"/>
    </row>
    <row r="11782" spans="1:98">
      <c r="A11782" s="532"/>
      <c r="AR11782" s="2513"/>
      <c r="CT11782" s="531"/>
    </row>
    <row r="11783" spans="1:98">
      <c r="A11783" s="532"/>
      <c r="AR11783" s="2513"/>
      <c r="CT11783" s="531"/>
    </row>
    <row r="11784" spans="1:98">
      <c r="A11784" s="532"/>
      <c r="AR11784" s="2513"/>
      <c r="CT11784" s="531"/>
    </row>
    <row r="11785" spans="1:98">
      <c r="A11785" s="532"/>
      <c r="AR11785" s="2513"/>
      <c r="CT11785" s="531"/>
    </row>
    <row r="11786" spans="1:98">
      <c r="A11786" s="532"/>
      <c r="AR11786" s="2513"/>
      <c r="CT11786" s="531"/>
    </row>
    <row r="11787" spans="1:98">
      <c r="A11787" s="532"/>
      <c r="AR11787" s="2513"/>
      <c r="CT11787" s="531"/>
    </row>
    <row r="11788" spans="1:98">
      <c r="A11788" s="532"/>
      <c r="AR11788" s="2513"/>
      <c r="CT11788" s="531"/>
    </row>
    <row r="11789" spans="1:98">
      <c r="A11789" s="532"/>
      <c r="AR11789" s="2513"/>
      <c r="CT11789" s="531"/>
    </row>
    <row r="11790" spans="1:98">
      <c r="A11790" s="532"/>
      <c r="AR11790" s="2513"/>
      <c r="CT11790" s="531"/>
    </row>
    <row r="11791" spans="1:98">
      <c r="A11791" s="532"/>
      <c r="AR11791" s="2513"/>
      <c r="CT11791" s="531"/>
    </row>
    <row r="11792" spans="1:98">
      <c r="A11792" s="532"/>
      <c r="AR11792" s="2513"/>
      <c r="CT11792" s="531"/>
    </row>
    <row r="11793" spans="1:98">
      <c r="A11793" s="532"/>
      <c r="AR11793" s="2513"/>
      <c r="CT11793" s="531"/>
    </row>
    <row r="11794" spans="1:98">
      <c r="A11794" s="532"/>
      <c r="AR11794" s="2513"/>
      <c r="CT11794" s="531"/>
    </row>
    <row r="11795" spans="1:98">
      <c r="A11795" s="532"/>
      <c r="AR11795" s="2513"/>
      <c r="CT11795" s="531"/>
    </row>
    <row r="11796" spans="1:98">
      <c r="A11796" s="532"/>
      <c r="AR11796" s="2513"/>
      <c r="CT11796" s="531"/>
    </row>
    <row r="11797" spans="1:98">
      <c r="A11797" s="532"/>
      <c r="AR11797" s="2513"/>
      <c r="CT11797" s="531"/>
    </row>
    <row r="11798" spans="1:98">
      <c r="A11798" s="532"/>
      <c r="AR11798" s="2513"/>
      <c r="CT11798" s="531"/>
    </row>
    <row r="11799" spans="1:98">
      <c r="A11799" s="532"/>
      <c r="AR11799" s="2513"/>
      <c r="CT11799" s="531"/>
    </row>
    <row r="11800" spans="1:98">
      <c r="A11800" s="532"/>
      <c r="AR11800" s="2513"/>
      <c r="CT11800" s="531"/>
    </row>
    <row r="11801" spans="1:98">
      <c r="A11801" s="532"/>
      <c r="AR11801" s="2513"/>
      <c r="CT11801" s="531"/>
    </row>
    <row r="11802" spans="1:98">
      <c r="A11802" s="532"/>
      <c r="AR11802" s="2513"/>
      <c r="CT11802" s="531"/>
    </row>
    <row r="11803" spans="1:98">
      <c r="A11803" s="532"/>
      <c r="AR11803" s="2513"/>
      <c r="CT11803" s="531"/>
    </row>
    <row r="11804" spans="1:98">
      <c r="A11804" s="532"/>
      <c r="AR11804" s="2513"/>
      <c r="CT11804" s="531"/>
    </row>
    <row r="11805" spans="1:98">
      <c r="A11805" s="532"/>
      <c r="AR11805" s="2513"/>
      <c r="CT11805" s="531"/>
    </row>
    <row r="11806" spans="1:98">
      <c r="A11806" s="532"/>
      <c r="AR11806" s="2513"/>
      <c r="CT11806" s="531"/>
    </row>
    <row r="11807" spans="1:98">
      <c r="A11807" s="532"/>
      <c r="AR11807" s="2513"/>
      <c r="CT11807" s="531"/>
    </row>
    <row r="11808" spans="1:98">
      <c r="A11808" s="532"/>
      <c r="AR11808" s="2513"/>
      <c r="CT11808" s="531"/>
    </row>
    <row r="11809" spans="1:98">
      <c r="A11809" s="532"/>
      <c r="AR11809" s="2513"/>
      <c r="CT11809" s="531"/>
    </row>
    <row r="11810" spans="1:98">
      <c r="A11810" s="532"/>
      <c r="AR11810" s="2513"/>
      <c r="CT11810" s="531"/>
    </row>
    <row r="11811" spans="1:98">
      <c r="A11811" s="532"/>
      <c r="AR11811" s="2513"/>
      <c r="CT11811" s="531"/>
    </row>
    <row r="11812" spans="1:98">
      <c r="A11812" s="532"/>
      <c r="AR11812" s="2513"/>
      <c r="CT11812" s="531"/>
    </row>
    <row r="11813" spans="1:98">
      <c r="A11813" s="532"/>
      <c r="AR11813" s="2513"/>
      <c r="CT11813" s="531"/>
    </row>
    <row r="11814" spans="1:98">
      <c r="A11814" s="532"/>
      <c r="AR11814" s="2513"/>
      <c r="CT11814" s="531"/>
    </row>
    <row r="11815" spans="1:98">
      <c r="A11815" s="532"/>
      <c r="AR11815" s="2513"/>
      <c r="CT11815" s="531"/>
    </row>
    <row r="11816" spans="1:98">
      <c r="A11816" s="532"/>
      <c r="AR11816" s="2513"/>
      <c r="CT11816" s="531"/>
    </row>
    <row r="11817" spans="1:98">
      <c r="A11817" s="532"/>
      <c r="AR11817" s="2513"/>
      <c r="CT11817" s="531"/>
    </row>
    <row r="11818" spans="1:98">
      <c r="A11818" s="532"/>
      <c r="AR11818" s="2513"/>
      <c r="CT11818" s="531"/>
    </row>
    <row r="11819" spans="1:98">
      <c r="A11819" s="532"/>
      <c r="AR11819" s="2513"/>
      <c r="CT11819" s="531"/>
    </row>
    <row r="11820" spans="1:98">
      <c r="A11820" s="532"/>
      <c r="AR11820" s="2513"/>
      <c r="CT11820" s="531"/>
    </row>
    <row r="11821" spans="1:98">
      <c r="A11821" s="532"/>
      <c r="AR11821" s="2513"/>
      <c r="CT11821" s="531"/>
    </row>
    <row r="11822" spans="1:98">
      <c r="A11822" s="532"/>
      <c r="AR11822" s="2513"/>
      <c r="CT11822" s="531"/>
    </row>
    <row r="11823" spans="1:98">
      <c r="A11823" s="532"/>
      <c r="AR11823" s="2513"/>
      <c r="CT11823" s="531"/>
    </row>
    <row r="11824" spans="1:98">
      <c r="A11824" s="532"/>
      <c r="AR11824" s="2513"/>
      <c r="CT11824" s="531"/>
    </row>
    <row r="11825" spans="1:98">
      <c r="A11825" s="532"/>
      <c r="AR11825" s="2513"/>
      <c r="CT11825" s="531"/>
    </row>
    <row r="11826" spans="1:98">
      <c r="A11826" s="532"/>
      <c r="AR11826" s="2513"/>
      <c r="CT11826" s="531"/>
    </row>
    <row r="11827" spans="1:98">
      <c r="A11827" s="532"/>
      <c r="AR11827" s="2513"/>
      <c r="CT11827" s="531"/>
    </row>
    <row r="11828" spans="1:98">
      <c r="A11828" s="532"/>
      <c r="AR11828" s="2513"/>
      <c r="CT11828" s="531"/>
    </row>
    <row r="11829" spans="1:98">
      <c r="A11829" s="532"/>
      <c r="AR11829" s="2513"/>
      <c r="CT11829" s="531"/>
    </row>
    <row r="11830" spans="1:98">
      <c r="A11830" s="532"/>
      <c r="AR11830" s="2513"/>
      <c r="CT11830" s="531"/>
    </row>
    <row r="11831" spans="1:98">
      <c r="A11831" s="532"/>
      <c r="AR11831" s="2513"/>
      <c r="CT11831" s="531"/>
    </row>
    <row r="11832" spans="1:98">
      <c r="A11832" s="532"/>
      <c r="AR11832" s="2513"/>
      <c r="CT11832" s="531"/>
    </row>
    <row r="11833" spans="1:98">
      <c r="A11833" s="532"/>
      <c r="AR11833" s="2513"/>
      <c r="CT11833" s="531"/>
    </row>
    <row r="11834" spans="1:98">
      <c r="A11834" s="532"/>
      <c r="AR11834" s="2513"/>
      <c r="CT11834" s="531"/>
    </row>
    <row r="11835" spans="1:98">
      <c r="A11835" s="532"/>
      <c r="AR11835" s="2513"/>
      <c r="CT11835" s="531"/>
    </row>
    <row r="11836" spans="1:98">
      <c r="A11836" s="532"/>
      <c r="AR11836" s="2513"/>
      <c r="CT11836" s="531"/>
    </row>
    <row r="11837" spans="1:98">
      <c r="A11837" s="532"/>
      <c r="AR11837" s="2513"/>
      <c r="CT11837" s="531"/>
    </row>
    <row r="11838" spans="1:98">
      <c r="A11838" s="532"/>
      <c r="AR11838" s="2513"/>
      <c r="CT11838" s="531"/>
    </row>
    <row r="11839" spans="1:98">
      <c r="A11839" s="532"/>
      <c r="AR11839" s="2513"/>
      <c r="CT11839" s="531"/>
    </row>
    <row r="11840" spans="1:98">
      <c r="A11840" s="532"/>
      <c r="AR11840" s="2513"/>
      <c r="CT11840" s="531"/>
    </row>
    <row r="11841" spans="1:98">
      <c r="A11841" s="532"/>
      <c r="AR11841" s="2513"/>
      <c r="CT11841" s="531"/>
    </row>
    <row r="11842" spans="1:98">
      <c r="A11842" s="532"/>
      <c r="AR11842" s="2513"/>
      <c r="CT11842" s="531"/>
    </row>
    <row r="11843" spans="1:98">
      <c r="A11843" s="532"/>
      <c r="AR11843" s="2513"/>
      <c r="CT11843" s="531"/>
    </row>
    <row r="11844" spans="1:98">
      <c r="A11844" s="532"/>
      <c r="AR11844" s="2513"/>
      <c r="CT11844" s="531"/>
    </row>
    <row r="11845" spans="1:98">
      <c r="A11845" s="532"/>
      <c r="AR11845" s="2513"/>
      <c r="CT11845" s="531"/>
    </row>
    <row r="11846" spans="1:98">
      <c r="A11846" s="532"/>
      <c r="AR11846" s="2513"/>
      <c r="CT11846" s="531"/>
    </row>
    <row r="11847" spans="1:98">
      <c r="A11847" s="532"/>
      <c r="AR11847" s="2513"/>
      <c r="CT11847" s="531"/>
    </row>
    <row r="11848" spans="1:98">
      <c r="A11848" s="532"/>
      <c r="AR11848" s="2513"/>
      <c r="CT11848" s="531"/>
    </row>
    <row r="11849" spans="1:98">
      <c r="A11849" s="532"/>
      <c r="AR11849" s="2513"/>
      <c r="CT11849" s="531"/>
    </row>
    <row r="11850" spans="1:98">
      <c r="A11850" s="532"/>
      <c r="AR11850" s="2513"/>
      <c r="CT11850" s="531"/>
    </row>
    <row r="11851" spans="1:98">
      <c r="A11851" s="532"/>
      <c r="AR11851" s="2513"/>
      <c r="CT11851" s="531"/>
    </row>
    <row r="11852" spans="1:98">
      <c r="A11852" s="532"/>
      <c r="AR11852" s="2513"/>
      <c r="CT11852" s="531"/>
    </row>
    <row r="11853" spans="1:98">
      <c r="A11853" s="532"/>
      <c r="AR11853" s="2513"/>
      <c r="CT11853" s="531"/>
    </row>
    <row r="11854" spans="1:98">
      <c r="A11854" s="532"/>
      <c r="AR11854" s="2513"/>
      <c r="CT11854" s="531"/>
    </row>
    <row r="11855" spans="1:98">
      <c r="A11855" s="532"/>
      <c r="AR11855" s="2513"/>
      <c r="CT11855" s="531"/>
    </row>
    <row r="11856" spans="1:98">
      <c r="A11856" s="532"/>
      <c r="AR11856" s="2513"/>
      <c r="CT11856" s="531"/>
    </row>
    <row r="11857" spans="1:98">
      <c r="A11857" s="532"/>
      <c r="AR11857" s="2513"/>
      <c r="CT11857" s="531"/>
    </row>
    <row r="11858" spans="1:98">
      <c r="A11858" s="532"/>
      <c r="AR11858" s="2513"/>
      <c r="CT11858" s="531"/>
    </row>
    <row r="11859" spans="1:98">
      <c r="A11859" s="532"/>
      <c r="AR11859" s="2513"/>
      <c r="CT11859" s="531"/>
    </row>
    <row r="11860" spans="1:98">
      <c r="A11860" s="532"/>
      <c r="AR11860" s="2513"/>
      <c r="CT11860" s="531"/>
    </row>
    <row r="11861" spans="1:98">
      <c r="A11861" s="532"/>
      <c r="AR11861" s="2513"/>
      <c r="CT11861" s="531"/>
    </row>
    <row r="11862" spans="1:98">
      <c r="A11862" s="532"/>
      <c r="AR11862" s="2513"/>
      <c r="CT11862" s="531"/>
    </row>
    <row r="11863" spans="1:98">
      <c r="A11863" s="532"/>
      <c r="AR11863" s="2513"/>
      <c r="CT11863" s="531"/>
    </row>
    <row r="11864" spans="1:98">
      <c r="A11864" s="532"/>
      <c r="AR11864" s="2513"/>
      <c r="CT11864" s="531"/>
    </row>
    <row r="11865" spans="1:98">
      <c r="A11865" s="532"/>
      <c r="AR11865" s="2513"/>
      <c r="CT11865" s="531"/>
    </row>
    <row r="11866" spans="1:98">
      <c r="A11866" s="532"/>
      <c r="AR11866" s="2513"/>
      <c r="CT11866" s="531"/>
    </row>
    <row r="11867" spans="1:98">
      <c r="A11867" s="532"/>
      <c r="AR11867" s="2513"/>
      <c r="CT11867" s="531"/>
    </row>
    <row r="11868" spans="1:98">
      <c r="A11868" s="532"/>
      <c r="AR11868" s="2513"/>
      <c r="CT11868" s="531"/>
    </row>
    <row r="11869" spans="1:98">
      <c r="A11869" s="532"/>
      <c r="AR11869" s="2513"/>
      <c r="CT11869" s="531"/>
    </row>
    <row r="11870" spans="1:98">
      <c r="A11870" s="532"/>
      <c r="AR11870" s="2513"/>
      <c r="CT11870" s="531"/>
    </row>
    <row r="11871" spans="1:98">
      <c r="A11871" s="532"/>
      <c r="AR11871" s="2513"/>
      <c r="CT11871" s="531"/>
    </row>
    <row r="11872" spans="1:98">
      <c r="A11872" s="532"/>
      <c r="AR11872" s="2513"/>
      <c r="CT11872" s="531"/>
    </row>
    <row r="11873" spans="1:98">
      <c r="A11873" s="532"/>
      <c r="AR11873" s="2513"/>
      <c r="CT11873" s="531"/>
    </row>
    <row r="11874" spans="1:98">
      <c r="A11874" s="532"/>
      <c r="AR11874" s="2513"/>
      <c r="CT11874" s="531"/>
    </row>
    <row r="11875" spans="1:98">
      <c r="A11875" s="532"/>
      <c r="AR11875" s="2513"/>
      <c r="CT11875" s="531"/>
    </row>
    <row r="11876" spans="1:98">
      <c r="A11876" s="532"/>
      <c r="AR11876" s="2513"/>
      <c r="CT11876" s="531"/>
    </row>
    <row r="11877" spans="1:98">
      <c r="A11877" s="532"/>
      <c r="AR11877" s="2513"/>
      <c r="CT11877" s="531"/>
    </row>
    <row r="11878" spans="1:98">
      <c r="A11878" s="532"/>
      <c r="AR11878" s="2513"/>
      <c r="CT11878" s="531"/>
    </row>
    <row r="11879" spans="1:98">
      <c r="A11879" s="532"/>
      <c r="AR11879" s="2513"/>
      <c r="CT11879" s="531"/>
    </row>
    <row r="11880" spans="1:98">
      <c r="A11880" s="532"/>
      <c r="AR11880" s="2513"/>
      <c r="CT11880" s="531"/>
    </row>
    <row r="11881" spans="1:98">
      <c r="A11881" s="532"/>
      <c r="AR11881" s="2513"/>
      <c r="CT11881" s="531"/>
    </row>
    <row r="11882" spans="1:98">
      <c r="A11882" s="532"/>
      <c r="AR11882" s="2513"/>
      <c r="CT11882" s="531"/>
    </row>
    <row r="11883" spans="1:98">
      <c r="A11883" s="532"/>
      <c r="AR11883" s="2513"/>
      <c r="CT11883" s="531"/>
    </row>
    <row r="11884" spans="1:98">
      <c r="A11884" s="532"/>
      <c r="AR11884" s="2513"/>
      <c r="CT11884" s="531"/>
    </row>
    <row r="11885" spans="1:98">
      <c r="A11885" s="532"/>
      <c r="AR11885" s="2513"/>
      <c r="CT11885" s="531"/>
    </row>
    <row r="11886" spans="1:98">
      <c r="A11886" s="532"/>
      <c r="AR11886" s="2513"/>
      <c r="CT11886" s="531"/>
    </row>
    <row r="11887" spans="1:98">
      <c r="A11887" s="532"/>
      <c r="AR11887" s="2513"/>
      <c r="CT11887" s="531"/>
    </row>
    <row r="11888" spans="1:98">
      <c r="A11888" s="532"/>
      <c r="AR11888" s="2513"/>
      <c r="CT11888" s="531"/>
    </row>
    <row r="11889" spans="1:98">
      <c r="A11889" s="532"/>
      <c r="AR11889" s="2513"/>
      <c r="CT11889" s="531"/>
    </row>
    <row r="11890" spans="1:98">
      <c r="A11890" s="532"/>
      <c r="AR11890" s="2513"/>
      <c r="CT11890" s="531"/>
    </row>
    <row r="11891" spans="1:98">
      <c r="A11891" s="532"/>
      <c r="AR11891" s="2513"/>
      <c r="CT11891" s="531"/>
    </row>
    <row r="11892" spans="1:98">
      <c r="A11892" s="532"/>
      <c r="AR11892" s="2513"/>
      <c r="CT11892" s="531"/>
    </row>
    <row r="11893" spans="1:98">
      <c r="A11893" s="532"/>
      <c r="AR11893" s="2513"/>
      <c r="CT11893" s="531"/>
    </row>
    <row r="11894" spans="1:98">
      <c r="A11894" s="532"/>
      <c r="AR11894" s="2513"/>
      <c r="CT11894" s="531"/>
    </row>
    <row r="11895" spans="1:98">
      <c r="A11895" s="532"/>
      <c r="AR11895" s="2513"/>
      <c r="CT11895" s="531"/>
    </row>
    <row r="11896" spans="1:98">
      <c r="A11896" s="532"/>
      <c r="AR11896" s="2513"/>
      <c r="CT11896" s="531"/>
    </row>
    <row r="11897" spans="1:98">
      <c r="A11897" s="532"/>
      <c r="AR11897" s="2513"/>
      <c r="CT11897" s="531"/>
    </row>
    <row r="11898" spans="1:98">
      <c r="A11898" s="532"/>
      <c r="AR11898" s="2513"/>
      <c r="CT11898" s="531"/>
    </row>
    <row r="11899" spans="1:98">
      <c r="A11899" s="532"/>
      <c r="AR11899" s="2513"/>
      <c r="CT11899" s="531"/>
    </row>
    <row r="11900" spans="1:98">
      <c r="A11900" s="532"/>
      <c r="AR11900" s="2513"/>
      <c r="CT11900" s="531"/>
    </row>
    <row r="11901" spans="1:98">
      <c r="A11901" s="532"/>
      <c r="AR11901" s="2513"/>
      <c r="CT11901" s="531"/>
    </row>
    <row r="11902" spans="1:98">
      <c r="A11902" s="532"/>
      <c r="AR11902" s="2513"/>
      <c r="CT11902" s="531"/>
    </row>
    <row r="11903" spans="1:98">
      <c r="A11903" s="532"/>
      <c r="AR11903" s="2513"/>
      <c r="CT11903" s="531"/>
    </row>
    <row r="11904" spans="1:98">
      <c r="A11904" s="532"/>
      <c r="AR11904" s="2513"/>
      <c r="CT11904" s="531"/>
    </row>
    <row r="11905" spans="1:98">
      <c r="A11905" s="532"/>
      <c r="AR11905" s="2513"/>
      <c r="CT11905" s="531"/>
    </row>
    <row r="11906" spans="1:98">
      <c r="A11906" s="532"/>
      <c r="AR11906" s="2513"/>
      <c r="CT11906" s="531"/>
    </row>
    <row r="11907" spans="1:98">
      <c r="A11907" s="532"/>
      <c r="AR11907" s="2513"/>
      <c r="CT11907" s="531"/>
    </row>
    <row r="11908" spans="1:98">
      <c r="A11908" s="532"/>
      <c r="AR11908" s="2513"/>
      <c r="CT11908" s="531"/>
    </row>
    <row r="11909" spans="1:98">
      <c r="A11909" s="532"/>
      <c r="AR11909" s="2513"/>
      <c r="CT11909" s="531"/>
    </row>
    <row r="11910" spans="1:98">
      <c r="A11910" s="532"/>
      <c r="AR11910" s="2513"/>
      <c r="CT11910" s="531"/>
    </row>
    <row r="11911" spans="1:98">
      <c r="A11911" s="532"/>
      <c r="AR11911" s="2513"/>
      <c r="CT11911" s="531"/>
    </row>
    <row r="11912" spans="1:98">
      <c r="A11912" s="532"/>
      <c r="AR11912" s="2513"/>
      <c r="CT11912" s="531"/>
    </row>
    <row r="11913" spans="1:98">
      <c r="A11913" s="532"/>
      <c r="AR11913" s="2513"/>
      <c r="CT11913" s="531"/>
    </row>
    <row r="11914" spans="1:98">
      <c r="A11914" s="532"/>
      <c r="AR11914" s="2513"/>
      <c r="CT11914" s="531"/>
    </row>
    <row r="11915" spans="1:98">
      <c r="A11915" s="532"/>
      <c r="AR11915" s="2513"/>
      <c r="CT11915" s="531"/>
    </row>
    <row r="11916" spans="1:98">
      <c r="A11916" s="532"/>
      <c r="AR11916" s="2513"/>
      <c r="CT11916" s="531"/>
    </row>
    <row r="11917" spans="1:98">
      <c r="A11917" s="532"/>
      <c r="AR11917" s="2513"/>
      <c r="CT11917" s="531"/>
    </row>
    <row r="11918" spans="1:98">
      <c r="A11918" s="532"/>
      <c r="AR11918" s="2513"/>
      <c r="CT11918" s="531"/>
    </row>
    <row r="11919" spans="1:98">
      <c r="A11919" s="532"/>
      <c r="AR11919" s="2513"/>
      <c r="CT11919" s="531"/>
    </row>
    <row r="11920" spans="1:98">
      <c r="A11920" s="532"/>
      <c r="AR11920" s="2513"/>
      <c r="CT11920" s="531"/>
    </row>
    <row r="11921" spans="1:98">
      <c r="A11921" s="532"/>
      <c r="AR11921" s="2513"/>
      <c r="CT11921" s="531"/>
    </row>
    <row r="11922" spans="1:98">
      <c r="A11922" s="532"/>
      <c r="AR11922" s="2513"/>
      <c r="CT11922" s="531"/>
    </row>
    <row r="11923" spans="1:98">
      <c r="A11923" s="532"/>
      <c r="AR11923" s="2513"/>
      <c r="CT11923" s="531"/>
    </row>
    <row r="11924" spans="1:98">
      <c r="A11924" s="532"/>
      <c r="AR11924" s="2513"/>
      <c r="CT11924" s="531"/>
    </row>
    <row r="11925" spans="1:98">
      <c r="A11925" s="532"/>
      <c r="AR11925" s="2513"/>
      <c r="CT11925" s="531"/>
    </row>
    <row r="11926" spans="1:98">
      <c r="A11926" s="532"/>
      <c r="AR11926" s="2513"/>
      <c r="CT11926" s="531"/>
    </row>
    <row r="11927" spans="1:98">
      <c r="A11927" s="532"/>
      <c r="AR11927" s="2513"/>
      <c r="CT11927" s="531"/>
    </row>
    <row r="11928" spans="1:98">
      <c r="A11928" s="532"/>
      <c r="AR11928" s="2513"/>
      <c r="CT11928" s="531"/>
    </row>
    <row r="11929" spans="1:98">
      <c r="A11929" s="532"/>
      <c r="AR11929" s="2513"/>
      <c r="CT11929" s="531"/>
    </row>
    <row r="11930" spans="1:98">
      <c r="A11930" s="532"/>
      <c r="AR11930" s="2513"/>
      <c r="CT11930" s="531"/>
    </row>
    <row r="11931" spans="1:98">
      <c r="A11931" s="532"/>
      <c r="AR11931" s="2513"/>
      <c r="CT11931" s="531"/>
    </row>
    <row r="11932" spans="1:98">
      <c r="A11932" s="532"/>
      <c r="AR11932" s="2513"/>
      <c r="CT11932" s="531"/>
    </row>
    <row r="11933" spans="1:98">
      <c r="A11933" s="532"/>
      <c r="AR11933" s="2513"/>
      <c r="CT11933" s="531"/>
    </row>
    <row r="11934" spans="1:98">
      <c r="A11934" s="532"/>
      <c r="AR11934" s="2513"/>
      <c r="CT11934" s="531"/>
    </row>
    <row r="11935" spans="1:98">
      <c r="A11935" s="532"/>
      <c r="AR11935" s="2513"/>
      <c r="CT11935" s="531"/>
    </row>
    <row r="11936" spans="1:98">
      <c r="A11936" s="532"/>
      <c r="AR11936" s="2513"/>
      <c r="CT11936" s="531"/>
    </row>
    <row r="11937" spans="1:98">
      <c r="A11937" s="532"/>
      <c r="AR11937" s="2513"/>
      <c r="CT11937" s="531"/>
    </row>
    <row r="11938" spans="1:98">
      <c r="A11938" s="532"/>
      <c r="AR11938" s="2513"/>
      <c r="CT11938" s="531"/>
    </row>
    <row r="11939" spans="1:98">
      <c r="A11939" s="532"/>
      <c r="AR11939" s="2513"/>
      <c r="CT11939" s="531"/>
    </row>
    <row r="11940" spans="1:98">
      <c r="A11940" s="532"/>
      <c r="AR11940" s="2513"/>
      <c r="CT11940" s="531"/>
    </row>
    <row r="11941" spans="1:98">
      <c r="A11941" s="532"/>
      <c r="AR11941" s="2513"/>
      <c r="CT11941" s="531"/>
    </row>
    <row r="11942" spans="1:98">
      <c r="A11942" s="532"/>
      <c r="AR11942" s="2513"/>
      <c r="CT11942" s="531"/>
    </row>
    <row r="11943" spans="1:98">
      <c r="A11943" s="532"/>
      <c r="AR11943" s="2513"/>
      <c r="CT11943" s="531"/>
    </row>
    <row r="11944" spans="1:98">
      <c r="A11944" s="532"/>
      <c r="AR11944" s="2513"/>
      <c r="CT11944" s="531"/>
    </row>
    <row r="11945" spans="1:98">
      <c r="A11945" s="532"/>
      <c r="AR11945" s="2513"/>
      <c r="CT11945" s="531"/>
    </row>
    <row r="11946" spans="1:98">
      <c r="A11946" s="532"/>
      <c r="AR11946" s="2513"/>
      <c r="CT11946" s="531"/>
    </row>
    <row r="11947" spans="1:98">
      <c r="A11947" s="532"/>
      <c r="AR11947" s="2513"/>
      <c r="CT11947" s="531"/>
    </row>
    <row r="11948" spans="1:98">
      <c r="A11948" s="532"/>
      <c r="AR11948" s="2513"/>
      <c r="CT11948" s="531"/>
    </row>
    <row r="11949" spans="1:98">
      <c r="A11949" s="532"/>
      <c r="AR11949" s="2513"/>
      <c r="CT11949" s="531"/>
    </row>
    <row r="11950" spans="1:98">
      <c r="A11950" s="532"/>
      <c r="AR11950" s="2513"/>
      <c r="CT11950" s="531"/>
    </row>
    <row r="11951" spans="1:98">
      <c r="A11951" s="532"/>
      <c r="AR11951" s="2513"/>
      <c r="CT11951" s="531"/>
    </row>
    <row r="11952" spans="1:98">
      <c r="A11952" s="532"/>
      <c r="AR11952" s="2513"/>
      <c r="CT11952" s="531"/>
    </row>
    <row r="11953" spans="1:98">
      <c r="A11953" s="532"/>
      <c r="AR11953" s="2513"/>
      <c r="CT11953" s="531"/>
    </row>
    <row r="11954" spans="1:98">
      <c r="A11954" s="532"/>
      <c r="AR11954" s="2513"/>
      <c r="CT11954" s="531"/>
    </row>
    <row r="11955" spans="1:98">
      <c r="A11955" s="532"/>
      <c r="AR11955" s="2513"/>
      <c r="CT11955" s="531"/>
    </row>
    <row r="11956" spans="1:98">
      <c r="A11956" s="532"/>
      <c r="AR11956" s="2513"/>
      <c r="CT11956" s="531"/>
    </row>
    <row r="11957" spans="1:98">
      <c r="A11957" s="532"/>
      <c r="AR11957" s="2513"/>
      <c r="CT11957" s="531"/>
    </row>
    <row r="11958" spans="1:98">
      <c r="A11958" s="532"/>
      <c r="AR11958" s="2513"/>
      <c r="CT11958" s="531"/>
    </row>
    <row r="11959" spans="1:98">
      <c r="A11959" s="532"/>
      <c r="AR11959" s="2513"/>
      <c r="CT11959" s="531"/>
    </row>
    <row r="11960" spans="1:98">
      <c r="A11960" s="532"/>
      <c r="AR11960" s="2513"/>
      <c r="CT11960" s="531"/>
    </row>
    <row r="11961" spans="1:98">
      <c r="A11961" s="532"/>
      <c r="AR11961" s="2513"/>
      <c r="CT11961" s="531"/>
    </row>
    <row r="11962" spans="1:98">
      <c r="A11962" s="532"/>
      <c r="AR11962" s="2513"/>
      <c r="CT11962" s="531"/>
    </row>
    <row r="11963" spans="1:98">
      <c r="A11963" s="532"/>
      <c r="AR11963" s="2513"/>
      <c r="CT11963" s="531"/>
    </row>
    <row r="11964" spans="1:98">
      <c r="A11964" s="532"/>
      <c r="AR11964" s="2513"/>
      <c r="CT11964" s="531"/>
    </row>
    <row r="11965" spans="1:98">
      <c r="A11965" s="532"/>
      <c r="AR11965" s="2513"/>
      <c r="CT11965" s="531"/>
    </row>
    <row r="11966" spans="1:98">
      <c r="A11966" s="532"/>
      <c r="AR11966" s="2513"/>
      <c r="CT11966" s="531"/>
    </row>
    <row r="11967" spans="1:98">
      <c r="A11967" s="532"/>
      <c r="AR11967" s="2513"/>
      <c r="CT11967" s="531"/>
    </row>
    <row r="11968" spans="1:98">
      <c r="A11968" s="532"/>
      <c r="AR11968" s="2513"/>
      <c r="CT11968" s="531"/>
    </row>
    <row r="11969" spans="1:98">
      <c r="A11969" s="532"/>
      <c r="AR11969" s="2513"/>
      <c r="CT11969" s="531"/>
    </row>
    <row r="11970" spans="1:98">
      <c r="A11970" s="532"/>
      <c r="AR11970" s="2513"/>
      <c r="CT11970" s="531"/>
    </row>
    <row r="11971" spans="1:98">
      <c r="A11971" s="532"/>
      <c r="AR11971" s="2513"/>
      <c r="CT11971" s="531"/>
    </row>
    <row r="11972" spans="1:98">
      <c r="A11972" s="532"/>
      <c r="AR11972" s="2513"/>
      <c r="CT11972" s="531"/>
    </row>
    <row r="11973" spans="1:98">
      <c r="A11973" s="532"/>
      <c r="AR11973" s="2513"/>
      <c r="CT11973" s="531"/>
    </row>
    <row r="11974" spans="1:98">
      <c r="A11974" s="532"/>
      <c r="AR11974" s="2513"/>
      <c r="CT11974" s="531"/>
    </row>
    <row r="11975" spans="1:98">
      <c r="A11975" s="532"/>
      <c r="AR11975" s="2513"/>
      <c r="CT11975" s="531"/>
    </row>
    <row r="11976" spans="1:98">
      <c r="A11976" s="532"/>
      <c r="AR11976" s="2513"/>
      <c r="CT11976" s="531"/>
    </row>
    <row r="11977" spans="1:98">
      <c r="A11977" s="532"/>
      <c r="AR11977" s="2513"/>
      <c r="CT11977" s="531"/>
    </row>
    <row r="11978" spans="1:98">
      <c r="A11978" s="532"/>
      <c r="AR11978" s="2513"/>
      <c r="CT11978" s="531"/>
    </row>
    <row r="11979" spans="1:98">
      <c r="A11979" s="532"/>
      <c r="AR11979" s="2513"/>
      <c r="CT11979" s="531"/>
    </row>
    <row r="11980" spans="1:98">
      <c r="A11980" s="532"/>
      <c r="AR11980" s="2513"/>
      <c r="CT11980" s="531"/>
    </row>
    <row r="11981" spans="1:98">
      <c r="A11981" s="532"/>
      <c r="AR11981" s="2513"/>
      <c r="CT11981" s="531"/>
    </row>
    <row r="11982" spans="1:98">
      <c r="A11982" s="532"/>
      <c r="AR11982" s="2513"/>
      <c r="CT11982" s="531"/>
    </row>
    <row r="11983" spans="1:98">
      <c r="A11983" s="532"/>
      <c r="AR11983" s="2513"/>
      <c r="CT11983" s="531"/>
    </row>
    <row r="11984" spans="1:98">
      <c r="A11984" s="532"/>
      <c r="AR11984" s="2513"/>
      <c r="CT11984" s="531"/>
    </row>
    <row r="11985" spans="1:98">
      <c r="A11985" s="532"/>
      <c r="AR11985" s="2513"/>
      <c r="CT11985" s="531"/>
    </row>
    <row r="11986" spans="1:98">
      <c r="A11986" s="532"/>
      <c r="AR11986" s="2513"/>
      <c r="CT11986" s="531"/>
    </row>
    <row r="11987" spans="1:98">
      <c r="A11987" s="532"/>
      <c r="AR11987" s="2513"/>
      <c r="CT11987" s="531"/>
    </row>
    <row r="11988" spans="1:98">
      <c r="A11988" s="532"/>
      <c r="AR11988" s="2513"/>
      <c r="CT11988" s="531"/>
    </row>
    <row r="11989" spans="1:98">
      <c r="A11989" s="532"/>
      <c r="AR11989" s="2513"/>
      <c r="CT11989" s="531"/>
    </row>
    <row r="11990" spans="1:98">
      <c r="A11990" s="532"/>
      <c r="AR11990" s="2513"/>
      <c r="CT11990" s="531"/>
    </row>
    <row r="11991" spans="1:98">
      <c r="A11991" s="532"/>
      <c r="AR11991" s="2513"/>
      <c r="CT11991" s="531"/>
    </row>
    <row r="11992" spans="1:98">
      <c r="A11992" s="532"/>
      <c r="AR11992" s="2513"/>
      <c r="CT11992" s="531"/>
    </row>
    <row r="11993" spans="1:98">
      <c r="A11993" s="532"/>
      <c r="AR11993" s="2513"/>
      <c r="CT11993" s="531"/>
    </row>
    <row r="11994" spans="1:98">
      <c r="A11994" s="532"/>
      <c r="AR11994" s="2513"/>
      <c r="CT11994" s="531"/>
    </row>
    <row r="11995" spans="1:98">
      <c r="A11995" s="532"/>
      <c r="AR11995" s="2513"/>
      <c r="CT11995" s="531"/>
    </row>
    <row r="11996" spans="1:98">
      <c r="A11996" s="532"/>
      <c r="AR11996" s="2513"/>
      <c r="CT11996" s="531"/>
    </row>
    <row r="11997" spans="1:98">
      <c r="A11997" s="532"/>
      <c r="AR11997" s="2513"/>
      <c r="CT11997" s="531"/>
    </row>
    <row r="11998" spans="1:98">
      <c r="A11998" s="532"/>
      <c r="AR11998" s="2513"/>
      <c r="CT11998" s="531"/>
    </row>
    <row r="11999" spans="1:98">
      <c r="A11999" s="532"/>
      <c r="AR11999" s="2513"/>
      <c r="CT11999" s="531"/>
    </row>
    <row r="12000" spans="1:98">
      <c r="A12000" s="532"/>
      <c r="AR12000" s="2513"/>
      <c r="CT12000" s="531"/>
    </row>
    <row r="12001" spans="1:98">
      <c r="A12001" s="532"/>
      <c r="AR12001" s="2513"/>
      <c r="CT12001" s="531"/>
    </row>
    <row r="12002" spans="1:98">
      <c r="A12002" s="532"/>
      <c r="AR12002" s="2513"/>
      <c r="CT12002" s="531"/>
    </row>
    <row r="12003" spans="1:98">
      <c r="A12003" s="532"/>
      <c r="AR12003" s="2513"/>
      <c r="CT12003" s="531"/>
    </row>
    <row r="12004" spans="1:98">
      <c r="A12004" s="532"/>
      <c r="AR12004" s="2513"/>
      <c r="CT12004" s="531"/>
    </row>
    <row r="12005" spans="1:98">
      <c r="A12005" s="532"/>
      <c r="AR12005" s="2513"/>
      <c r="CT12005" s="531"/>
    </row>
    <row r="12006" spans="1:98">
      <c r="A12006" s="532"/>
      <c r="AR12006" s="2513"/>
      <c r="CT12006" s="531"/>
    </row>
    <row r="12007" spans="1:98">
      <c r="A12007" s="532"/>
      <c r="AR12007" s="2513"/>
      <c r="CT12007" s="531"/>
    </row>
    <row r="12008" spans="1:98">
      <c r="A12008" s="532"/>
      <c r="AR12008" s="2513"/>
      <c r="CT12008" s="531"/>
    </row>
    <row r="12009" spans="1:98">
      <c r="A12009" s="532"/>
      <c r="AR12009" s="2513"/>
      <c r="CT12009" s="531"/>
    </row>
    <row r="12010" spans="1:98">
      <c r="A12010" s="532"/>
      <c r="AR12010" s="2513"/>
      <c r="CT12010" s="531"/>
    </row>
    <row r="12011" spans="1:98">
      <c r="A12011" s="532"/>
      <c r="AR12011" s="2513"/>
      <c r="CT12011" s="531"/>
    </row>
    <row r="12012" spans="1:98">
      <c r="A12012" s="532"/>
      <c r="AR12012" s="2513"/>
      <c r="CT12012" s="531"/>
    </row>
    <row r="12013" spans="1:98">
      <c r="A12013" s="532"/>
      <c r="AR12013" s="2513"/>
      <c r="CT12013" s="531"/>
    </row>
    <row r="12014" spans="1:98">
      <c r="A12014" s="532"/>
      <c r="AR12014" s="2513"/>
      <c r="CT12014" s="531"/>
    </row>
    <row r="12015" spans="1:98">
      <c r="A12015" s="532"/>
      <c r="AR12015" s="2513"/>
      <c r="CT12015" s="531"/>
    </row>
    <row r="12016" spans="1:98">
      <c r="A12016" s="532"/>
      <c r="AR12016" s="2513"/>
      <c r="CT12016" s="531"/>
    </row>
    <row r="12017" spans="1:98">
      <c r="A12017" s="532"/>
      <c r="AR12017" s="2513"/>
      <c r="CT12017" s="531"/>
    </row>
    <row r="12018" spans="1:98">
      <c r="A12018" s="532"/>
      <c r="AR12018" s="2513"/>
      <c r="CT12018" s="531"/>
    </row>
    <row r="12019" spans="1:98">
      <c r="A12019" s="532"/>
      <c r="AR12019" s="2513"/>
      <c r="CT12019" s="531"/>
    </row>
    <row r="12020" spans="1:98">
      <c r="A12020" s="532"/>
      <c r="AR12020" s="2513"/>
      <c r="CT12020" s="531"/>
    </row>
    <row r="12021" spans="1:98">
      <c r="A12021" s="532"/>
      <c r="AR12021" s="2513"/>
      <c r="CT12021" s="531"/>
    </row>
    <row r="12022" spans="1:98">
      <c r="A12022" s="532"/>
      <c r="AR12022" s="2513"/>
      <c r="CT12022" s="531"/>
    </row>
    <row r="12023" spans="1:98">
      <c r="A12023" s="532"/>
      <c r="AR12023" s="2513"/>
      <c r="CT12023" s="531"/>
    </row>
    <row r="12024" spans="1:98">
      <c r="A12024" s="532"/>
      <c r="AR12024" s="2513"/>
      <c r="CT12024" s="531"/>
    </row>
    <row r="12025" spans="1:98">
      <c r="A12025" s="532"/>
      <c r="AR12025" s="2513"/>
      <c r="CT12025" s="531"/>
    </row>
    <row r="12026" spans="1:98">
      <c r="A12026" s="532"/>
      <c r="AR12026" s="2513"/>
      <c r="CT12026" s="531"/>
    </row>
    <row r="12027" spans="1:98">
      <c r="A12027" s="532"/>
      <c r="AR12027" s="2513"/>
      <c r="CT12027" s="531"/>
    </row>
    <row r="12028" spans="1:98">
      <c r="A12028" s="532"/>
      <c r="AR12028" s="2513"/>
      <c r="CT12028" s="531"/>
    </row>
    <row r="12029" spans="1:98">
      <c r="A12029" s="532"/>
      <c r="AR12029" s="2513"/>
      <c r="CT12029" s="531"/>
    </row>
    <row r="12030" spans="1:98">
      <c r="A12030" s="532"/>
      <c r="AR12030" s="2513"/>
      <c r="CT12030" s="531"/>
    </row>
    <row r="12031" spans="1:98">
      <c r="A12031" s="532"/>
      <c r="AR12031" s="2513"/>
      <c r="CT12031" s="531"/>
    </row>
    <row r="12032" spans="1:98">
      <c r="A12032" s="532"/>
      <c r="AR12032" s="2513"/>
      <c r="CT12032" s="531"/>
    </row>
    <row r="12033" spans="1:98">
      <c r="A12033" s="532"/>
      <c r="AR12033" s="2513"/>
      <c r="CT12033" s="531"/>
    </row>
    <row r="12034" spans="1:98">
      <c r="A12034" s="532"/>
      <c r="AR12034" s="2513"/>
      <c r="CT12034" s="531"/>
    </row>
    <row r="12035" spans="1:98">
      <c r="A12035" s="532"/>
      <c r="AR12035" s="2513"/>
      <c r="CT12035" s="531"/>
    </row>
    <row r="12036" spans="1:98">
      <c r="A12036" s="532"/>
      <c r="AR12036" s="2513"/>
      <c r="CT12036" s="531"/>
    </row>
    <row r="12037" spans="1:98">
      <c r="A12037" s="532"/>
      <c r="AR12037" s="2513"/>
      <c r="CT12037" s="531"/>
    </row>
    <row r="12038" spans="1:98">
      <c r="A12038" s="532"/>
      <c r="AR12038" s="2513"/>
      <c r="CT12038" s="531"/>
    </row>
    <row r="12039" spans="1:98">
      <c r="A12039" s="532"/>
      <c r="AR12039" s="2513"/>
      <c r="CT12039" s="531"/>
    </row>
    <row r="12040" spans="1:98">
      <c r="A12040" s="532"/>
      <c r="AR12040" s="2513"/>
      <c r="CT12040" s="531"/>
    </row>
    <row r="12041" spans="1:98">
      <c r="A12041" s="532"/>
      <c r="AR12041" s="2513"/>
      <c r="CT12041" s="531"/>
    </row>
    <row r="12042" spans="1:98">
      <c r="A12042" s="532"/>
      <c r="AR12042" s="2513"/>
      <c r="CT12042" s="531"/>
    </row>
    <row r="12043" spans="1:98">
      <c r="A12043" s="532"/>
      <c r="AR12043" s="2513"/>
      <c r="CT12043" s="531"/>
    </row>
    <row r="12044" spans="1:98">
      <c r="A12044" s="532"/>
      <c r="AR12044" s="2513"/>
      <c r="CT12044" s="531"/>
    </row>
    <row r="12045" spans="1:98">
      <c r="A12045" s="532"/>
      <c r="AR12045" s="2513"/>
      <c r="CT12045" s="531"/>
    </row>
    <row r="12046" spans="1:98">
      <c r="A12046" s="532"/>
      <c r="AR12046" s="2513"/>
      <c r="CT12046" s="531"/>
    </row>
    <row r="12047" spans="1:98">
      <c r="A12047" s="532"/>
      <c r="AR12047" s="2513"/>
      <c r="CT12047" s="531"/>
    </row>
    <row r="12048" spans="1:98">
      <c r="A12048" s="532"/>
      <c r="AR12048" s="2513"/>
      <c r="CT12048" s="531"/>
    </row>
    <row r="12049" spans="1:98">
      <c r="A12049" s="532"/>
      <c r="AR12049" s="2513"/>
      <c r="CT12049" s="531"/>
    </row>
    <row r="12050" spans="1:98">
      <c r="A12050" s="532"/>
      <c r="AR12050" s="2513"/>
      <c r="CT12050" s="531"/>
    </row>
    <row r="12051" spans="1:98">
      <c r="A12051" s="532"/>
      <c r="AR12051" s="2513"/>
      <c r="CT12051" s="531"/>
    </row>
    <row r="12052" spans="1:98">
      <c r="A12052" s="532"/>
      <c r="AR12052" s="2513"/>
      <c r="CT12052" s="531"/>
    </row>
    <row r="12053" spans="1:98">
      <c r="A12053" s="532"/>
      <c r="AR12053" s="2513"/>
      <c r="CT12053" s="531"/>
    </row>
    <row r="12054" spans="1:98">
      <c r="A12054" s="532"/>
      <c r="AR12054" s="2513"/>
      <c r="CT12054" s="531"/>
    </row>
    <row r="12055" spans="1:98">
      <c r="A12055" s="532"/>
      <c r="AR12055" s="2513"/>
      <c r="CT12055" s="531"/>
    </row>
    <row r="12056" spans="1:98">
      <c r="A12056" s="532"/>
      <c r="AR12056" s="2513"/>
      <c r="CT12056" s="531"/>
    </row>
    <row r="12057" spans="1:98">
      <c r="A12057" s="532"/>
      <c r="AR12057" s="2513"/>
      <c r="CT12057" s="531"/>
    </row>
    <row r="12058" spans="1:98">
      <c r="A12058" s="532"/>
      <c r="AR12058" s="2513"/>
      <c r="CT12058" s="531"/>
    </row>
    <row r="12059" spans="1:98">
      <c r="A12059" s="532"/>
      <c r="AR12059" s="2513"/>
      <c r="CT12059" s="531"/>
    </row>
    <row r="12060" spans="1:98">
      <c r="A12060" s="532"/>
      <c r="AR12060" s="2513"/>
      <c r="CT12060" s="531"/>
    </row>
    <row r="12061" spans="1:98">
      <c r="A12061" s="532"/>
      <c r="AR12061" s="2513"/>
      <c r="CT12061" s="531"/>
    </row>
    <row r="12062" spans="1:98">
      <c r="A12062" s="532"/>
      <c r="AR12062" s="2513"/>
      <c r="CT12062" s="531"/>
    </row>
    <row r="12063" spans="1:98">
      <c r="A12063" s="532"/>
      <c r="AR12063" s="2513"/>
      <c r="CT12063" s="531"/>
    </row>
    <row r="12064" spans="1:98">
      <c r="A12064" s="532"/>
      <c r="AR12064" s="2513"/>
      <c r="CT12064" s="531"/>
    </row>
    <row r="12065" spans="1:98">
      <c r="A12065" s="532"/>
      <c r="AR12065" s="2513"/>
      <c r="CT12065" s="531"/>
    </row>
    <row r="12066" spans="1:98">
      <c r="A12066" s="532"/>
      <c r="AR12066" s="2513"/>
      <c r="CT12066" s="531"/>
    </row>
    <row r="12067" spans="1:98">
      <c r="A12067" s="532"/>
      <c r="AR12067" s="2513"/>
      <c r="CT12067" s="531"/>
    </row>
    <row r="12068" spans="1:98">
      <c r="A12068" s="532"/>
      <c r="AR12068" s="2513"/>
      <c r="CT12068" s="531"/>
    </row>
    <row r="12069" spans="1:98">
      <c r="A12069" s="532"/>
      <c r="AR12069" s="2513"/>
      <c r="CT12069" s="531"/>
    </row>
    <row r="12070" spans="1:98">
      <c r="A12070" s="532"/>
      <c r="AR12070" s="2513"/>
      <c r="CT12070" s="531"/>
    </row>
    <row r="12071" spans="1:98">
      <c r="A12071" s="532"/>
      <c r="AR12071" s="2513"/>
      <c r="CT12071" s="531"/>
    </row>
    <row r="12072" spans="1:98">
      <c r="A12072" s="532"/>
      <c r="AR12072" s="2513"/>
      <c r="CT12072" s="531"/>
    </row>
    <row r="12073" spans="1:98">
      <c r="A12073" s="532"/>
      <c r="AR12073" s="2513"/>
      <c r="CT12073" s="531"/>
    </row>
    <row r="12074" spans="1:98">
      <c r="A12074" s="532"/>
      <c r="AR12074" s="2513"/>
      <c r="CT12074" s="531"/>
    </row>
    <row r="12075" spans="1:98">
      <c r="A12075" s="532"/>
      <c r="AR12075" s="2513"/>
      <c r="CT12075" s="531"/>
    </row>
    <row r="12076" spans="1:98">
      <c r="A12076" s="532"/>
      <c r="AR12076" s="2513"/>
      <c r="CT12076" s="531"/>
    </row>
    <row r="12077" spans="1:98">
      <c r="A12077" s="532"/>
      <c r="AR12077" s="2513"/>
      <c r="CT12077" s="531"/>
    </row>
    <row r="12078" spans="1:98">
      <c r="A12078" s="532"/>
      <c r="AR12078" s="2513"/>
      <c r="CT12078" s="531"/>
    </row>
    <row r="12079" spans="1:98">
      <c r="A12079" s="532"/>
      <c r="AR12079" s="2513"/>
      <c r="CT12079" s="531"/>
    </row>
    <row r="12080" spans="1:98">
      <c r="A12080" s="532"/>
      <c r="AR12080" s="2513"/>
      <c r="CT12080" s="531"/>
    </row>
    <row r="12081" spans="1:98">
      <c r="A12081" s="532"/>
      <c r="AR12081" s="2513"/>
      <c r="CT12081" s="531"/>
    </row>
    <row r="12082" spans="1:98">
      <c r="A12082" s="532"/>
      <c r="AR12082" s="2513"/>
      <c r="CT12082" s="531"/>
    </row>
    <row r="12083" spans="1:98">
      <c r="A12083" s="532"/>
      <c r="AR12083" s="2513"/>
      <c r="CT12083" s="531"/>
    </row>
    <row r="12084" spans="1:98">
      <c r="A12084" s="532"/>
      <c r="AR12084" s="2513"/>
      <c r="CT12084" s="531"/>
    </row>
    <row r="12085" spans="1:98">
      <c r="A12085" s="532"/>
      <c r="AR12085" s="2513"/>
      <c r="CT12085" s="531"/>
    </row>
    <row r="12086" spans="1:98">
      <c r="A12086" s="532"/>
      <c r="AR12086" s="2513"/>
      <c r="CT12086" s="531"/>
    </row>
    <row r="12087" spans="1:98">
      <c r="A12087" s="532"/>
      <c r="AR12087" s="2513"/>
      <c r="CT12087" s="531"/>
    </row>
    <row r="12088" spans="1:98">
      <c r="A12088" s="532"/>
      <c r="AR12088" s="2513"/>
      <c r="CT12088" s="531"/>
    </row>
    <row r="12089" spans="1:98">
      <c r="A12089" s="532"/>
      <c r="AR12089" s="2513"/>
      <c r="CT12089" s="531"/>
    </row>
    <row r="12090" spans="1:98">
      <c r="A12090" s="532"/>
      <c r="AR12090" s="2513"/>
      <c r="CT12090" s="531"/>
    </row>
    <row r="12091" spans="1:98">
      <c r="A12091" s="532"/>
      <c r="AR12091" s="2513"/>
      <c r="CT12091" s="531"/>
    </row>
    <row r="12092" spans="1:98">
      <c r="A12092" s="532"/>
      <c r="AR12092" s="2513"/>
      <c r="CT12092" s="531"/>
    </row>
    <row r="12093" spans="1:98">
      <c r="A12093" s="532"/>
      <c r="AR12093" s="2513"/>
      <c r="CT12093" s="531"/>
    </row>
    <row r="12094" spans="1:98">
      <c r="A12094" s="532"/>
      <c r="AR12094" s="2513"/>
      <c r="CT12094" s="531"/>
    </row>
    <row r="12095" spans="1:98">
      <c r="A12095" s="532"/>
      <c r="AR12095" s="2513"/>
      <c r="CT12095" s="531"/>
    </row>
    <row r="12096" spans="1:98">
      <c r="A12096" s="532"/>
      <c r="AR12096" s="2513"/>
      <c r="CT12096" s="531"/>
    </row>
    <row r="12097" spans="1:98">
      <c r="A12097" s="532"/>
      <c r="AR12097" s="2513"/>
      <c r="CT12097" s="531"/>
    </row>
    <row r="12098" spans="1:98">
      <c r="A12098" s="532"/>
      <c r="AR12098" s="2513"/>
      <c r="CT12098" s="531"/>
    </row>
    <row r="12099" spans="1:98">
      <c r="A12099" s="532"/>
      <c r="AR12099" s="2513"/>
      <c r="CT12099" s="531"/>
    </row>
    <row r="12100" spans="1:98">
      <c r="A12100" s="532"/>
      <c r="AR12100" s="2513"/>
      <c r="CT12100" s="531"/>
    </row>
    <row r="12101" spans="1:98">
      <c r="A12101" s="532"/>
      <c r="AR12101" s="2513"/>
      <c r="CT12101" s="531"/>
    </row>
    <row r="12102" spans="1:98">
      <c r="A12102" s="532"/>
      <c r="AR12102" s="2513"/>
      <c r="CT12102" s="531"/>
    </row>
    <row r="12103" spans="1:98">
      <c r="A12103" s="532"/>
      <c r="AR12103" s="2513"/>
      <c r="CT12103" s="531"/>
    </row>
    <row r="12104" spans="1:98">
      <c r="A12104" s="532"/>
      <c r="AR12104" s="2513"/>
      <c r="CT12104" s="531"/>
    </row>
    <row r="12105" spans="1:98">
      <c r="A12105" s="532"/>
      <c r="AR12105" s="2513"/>
      <c r="CT12105" s="531"/>
    </row>
    <row r="12106" spans="1:98">
      <c r="A12106" s="532"/>
      <c r="AR12106" s="2513"/>
      <c r="CT12106" s="531"/>
    </row>
    <row r="12107" spans="1:98">
      <c r="A12107" s="532"/>
      <c r="AR12107" s="2513"/>
      <c r="CT12107" s="531"/>
    </row>
    <row r="12108" spans="1:98">
      <c r="A12108" s="532"/>
      <c r="AR12108" s="2513"/>
      <c r="CT12108" s="531"/>
    </row>
    <row r="12109" spans="1:98">
      <c r="A12109" s="532"/>
      <c r="AR12109" s="2513"/>
      <c r="CT12109" s="531"/>
    </row>
    <row r="12110" spans="1:98">
      <c r="A12110" s="532"/>
      <c r="AR12110" s="2513"/>
      <c r="CT12110" s="531"/>
    </row>
    <row r="12111" spans="1:98">
      <c r="A12111" s="532"/>
      <c r="AR12111" s="2513"/>
      <c r="CT12111" s="531"/>
    </row>
    <row r="12112" spans="1:98">
      <c r="A12112" s="532"/>
      <c r="AR12112" s="2513"/>
      <c r="CT12112" s="531"/>
    </row>
    <row r="12113" spans="1:98">
      <c r="A12113" s="532"/>
      <c r="AR12113" s="2513"/>
      <c r="CT12113" s="531"/>
    </row>
    <row r="12114" spans="1:98">
      <c r="A12114" s="532"/>
      <c r="AR12114" s="2513"/>
      <c r="CT12114" s="531"/>
    </row>
    <row r="12115" spans="1:98">
      <c r="A12115" s="532"/>
      <c r="AR12115" s="2513"/>
      <c r="CT12115" s="531"/>
    </row>
    <row r="12116" spans="1:98">
      <c r="A12116" s="532"/>
      <c r="AR12116" s="2513"/>
      <c r="CT12116" s="531"/>
    </row>
    <row r="12117" spans="1:98">
      <c r="A12117" s="532"/>
      <c r="AR12117" s="2513"/>
      <c r="CT12117" s="531"/>
    </row>
    <row r="12118" spans="1:98">
      <c r="A12118" s="532"/>
      <c r="AR12118" s="2513"/>
      <c r="CT12118" s="531"/>
    </row>
    <row r="12119" spans="1:98">
      <c r="A12119" s="532"/>
      <c r="AR12119" s="2513"/>
      <c r="CT12119" s="531"/>
    </row>
    <row r="12120" spans="1:98">
      <c r="A12120" s="532"/>
      <c r="AR12120" s="2513"/>
      <c r="CT12120" s="531"/>
    </row>
    <row r="12121" spans="1:98">
      <c r="A12121" s="532"/>
      <c r="AR12121" s="2513"/>
      <c r="CT12121" s="531"/>
    </row>
    <row r="12122" spans="1:98">
      <c r="A12122" s="532"/>
      <c r="AR12122" s="2513"/>
      <c r="CT12122" s="531"/>
    </row>
    <row r="12123" spans="1:98">
      <c r="A12123" s="532"/>
      <c r="AR12123" s="2513"/>
      <c r="CT12123" s="531"/>
    </row>
    <row r="12124" spans="1:98">
      <c r="A12124" s="532"/>
      <c r="AR12124" s="2513"/>
      <c r="CT12124" s="531"/>
    </row>
    <row r="12125" spans="1:98">
      <c r="A12125" s="532"/>
      <c r="AR12125" s="2513"/>
      <c r="CT12125" s="531"/>
    </row>
    <row r="12126" spans="1:98">
      <c r="A12126" s="532"/>
      <c r="AR12126" s="2513"/>
      <c r="CT12126" s="531"/>
    </row>
    <row r="12127" spans="1:98">
      <c r="A12127" s="532"/>
      <c r="AR12127" s="2513"/>
      <c r="CT12127" s="531"/>
    </row>
    <row r="12128" spans="1:98">
      <c r="A12128" s="532"/>
      <c r="AR12128" s="2513"/>
      <c r="CT12128" s="531"/>
    </row>
    <row r="12129" spans="1:98">
      <c r="A12129" s="532"/>
      <c r="AR12129" s="2513"/>
      <c r="CT12129" s="531"/>
    </row>
    <row r="12130" spans="1:98">
      <c r="A12130" s="532"/>
      <c r="AR12130" s="2513"/>
      <c r="CT12130" s="531"/>
    </row>
    <row r="12131" spans="1:98">
      <c r="A12131" s="532"/>
      <c r="AR12131" s="2513"/>
      <c r="CT12131" s="531"/>
    </row>
    <row r="12132" spans="1:98">
      <c r="A12132" s="532"/>
      <c r="AR12132" s="2513"/>
      <c r="CT12132" s="531"/>
    </row>
    <row r="12133" spans="1:98">
      <c r="A12133" s="532"/>
      <c r="AR12133" s="2513"/>
      <c r="CT12133" s="531"/>
    </row>
    <row r="12134" spans="1:98">
      <c r="A12134" s="532"/>
      <c r="AR12134" s="2513"/>
      <c r="CT12134" s="531"/>
    </row>
    <row r="12135" spans="1:98">
      <c r="A12135" s="532"/>
      <c r="AR12135" s="2513"/>
      <c r="CT12135" s="531"/>
    </row>
    <row r="12136" spans="1:98">
      <c r="A12136" s="532"/>
      <c r="AR12136" s="2513"/>
      <c r="CT12136" s="531"/>
    </row>
    <row r="12137" spans="1:98">
      <c r="A12137" s="532"/>
      <c r="AR12137" s="2513"/>
      <c r="CT12137" s="531"/>
    </row>
    <row r="12138" spans="1:98">
      <c r="A12138" s="532"/>
      <c r="AR12138" s="2513"/>
      <c r="CT12138" s="531"/>
    </row>
    <row r="12139" spans="1:98">
      <c r="A12139" s="532"/>
      <c r="AR12139" s="2513"/>
      <c r="CT12139" s="531"/>
    </row>
    <row r="12140" spans="1:98">
      <c r="A12140" s="532"/>
      <c r="AR12140" s="2513"/>
      <c r="CT12140" s="531"/>
    </row>
    <row r="12141" spans="1:98">
      <c r="A12141" s="532"/>
      <c r="AR12141" s="2513"/>
      <c r="CT12141" s="531"/>
    </row>
    <row r="12142" spans="1:98">
      <c r="A12142" s="532"/>
      <c r="AR12142" s="2513"/>
      <c r="CT12142" s="531"/>
    </row>
    <row r="12143" spans="1:98">
      <c r="A12143" s="532"/>
      <c r="AR12143" s="2513"/>
      <c r="CT12143" s="531"/>
    </row>
    <row r="12144" spans="1:98">
      <c r="A12144" s="532"/>
      <c r="AR12144" s="2513"/>
      <c r="CT12144" s="531"/>
    </row>
    <row r="12145" spans="1:98">
      <c r="A12145" s="532"/>
      <c r="AR12145" s="2513"/>
      <c r="CT12145" s="531"/>
    </row>
    <row r="12146" spans="1:98">
      <c r="A12146" s="532"/>
      <c r="AR12146" s="2513"/>
      <c r="CT12146" s="531"/>
    </row>
    <row r="12147" spans="1:98">
      <c r="A12147" s="532"/>
      <c r="AR12147" s="2513"/>
      <c r="CT12147" s="531"/>
    </row>
    <row r="12148" spans="1:98">
      <c r="A12148" s="532"/>
      <c r="AR12148" s="2513"/>
      <c r="CT12148" s="531"/>
    </row>
    <row r="12149" spans="1:98">
      <c r="A12149" s="532"/>
      <c r="AR12149" s="2513"/>
      <c r="CT12149" s="531"/>
    </row>
    <row r="12150" spans="1:98">
      <c r="A12150" s="532"/>
      <c r="AR12150" s="2513"/>
      <c r="CT12150" s="531"/>
    </row>
    <row r="12151" spans="1:98">
      <c r="A12151" s="532"/>
      <c r="AR12151" s="2513"/>
      <c r="CT12151" s="531"/>
    </row>
    <row r="12152" spans="1:98">
      <c r="A12152" s="532"/>
      <c r="AR12152" s="2513"/>
      <c r="CT12152" s="531"/>
    </row>
    <row r="12153" spans="1:98">
      <c r="A12153" s="532"/>
      <c r="AR12153" s="2513"/>
      <c r="CT12153" s="531"/>
    </row>
    <row r="12154" spans="1:98">
      <c r="A12154" s="532"/>
      <c r="AR12154" s="2513"/>
      <c r="CT12154" s="531"/>
    </row>
    <row r="12155" spans="1:98">
      <c r="A12155" s="532"/>
      <c r="AR12155" s="2513"/>
      <c r="CT12155" s="531"/>
    </row>
    <row r="12156" spans="1:98">
      <c r="A12156" s="532"/>
      <c r="AR12156" s="2513"/>
      <c r="CT12156" s="531"/>
    </row>
    <row r="12157" spans="1:98">
      <c r="A12157" s="532"/>
      <c r="AR12157" s="2513"/>
      <c r="CT12157" s="531"/>
    </row>
    <row r="12158" spans="1:98">
      <c r="A12158" s="532"/>
      <c r="AR12158" s="2513"/>
      <c r="CT12158" s="531"/>
    </row>
    <row r="12159" spans="1:98">
      <c r="A12159" s="532"/>
      <c r="AR12159" s="2513"/>
      <c r="CT12159" s="531"/>
    </row>
    <row r="12160" spans="1:98">
      <c r="A12160" s="532"/>
      <c r="AR12160" s="2513"/>
      <c r="CT12160" s="531"/>
    </row>
    <row r="12161" spans="1:98">
      <c r="A12161" s="532"/>
      <c r="AR12161" s="2513"/>
      <c r="CT12161" s="531"/>
    </row>
    <row r="12162" spans="1:98">
      <c r="A12162" s="532"/>
      <c r="AR12162" s="2513"/>
      <c r="CT12162" s="531"/>
    </row>
    <row r="12163" spans="1:98">
      <c r="A12163" s="532"/>
      <c r="AR12163" s="2513"/>
      <c r="CT12163" s="531"/>
    </row>
    <row r="12164" spans="1:98">
      <c r="A12164" s="532"/>
      <c r="AR12164" s="2513"/>
      <c r="CT12164" s="531"/>
    </row>
    <row r="12165" spans="1:98">
      <c r="A12165" s="532"/>
      <c r="AR12165" s="2513"/>
      <c r="CT12165" s="531"/>
    </row>
    <row r="12166" spans="1:98">
      <c r="A12166" s="532"/>
      <c r="AR12166" s="2513"/>
      <c r="CT12166" s="531"/>
    </row>
    <row r="12167" spans="1:98">
      <c r="A12167" s="532"/>
      <c r="AR12167" s="2513"/>
      <c r="CT12167" s="531"/>
    </row>
    <row r="12168" spans="1:98">
      <c r="A12168" s="532"/>
      <c r="AR12168" s="2513"/>
      <c r="CT12168" s="531"/>
    </row>
    <row r="12169" spans="1:98">
      <c r="A12169" s="532"/>
      <c r="AR12169" s="2513"/>
      <c r="CT12169" s="531"/>
    </row>
    <row r="12170" spans="1:98">
      <c r="A12170" s="532"/>
      <c r="AR12170" s="2513"/>
      <c r="CT12170" s="531"/>
    </row>
    <row r="12171" spans="1:98">
      <c r="A12171" s="532"/>
      <c r="AR12171" s="2513"/>
      <c r="CT12171" s="531"/>
    </row>
    <row r="12172" spans="1:98">
      <c r="A12172" s="532"/>
      <c r="AR12172" s="2513"/>
      <c r="CT12172" s="531"/>
    </row>
    <row r="12173" spans="1:98">
      <c r="A12173" s="532"/>
      <c r="AR12173" s="2513"/>
      <c r="CT12173" s="531"/>
    </row>
    <row r="12174" spans="1:98">
      <c r="A12174" s="532"/>
      <c r="AR12174" s="2513"/>
      <c r="CT12174" s="531"/>
    </row>
    <row r="12175" spans="1:98">
      <c r="A12175" s="532"/>
      <c r="AR12175" s="2513"/>
      <c r="CT12175" s="531"/>
    </row>
    <row r="12176" spans="1:98">
      <c r="A12176" s="532"/>
      <c r="AR12176" s="2513"/>
      <c r="CT12176" s="531"/>
    </row>
    <row r="12177" spans="1:98">
      <c r="A12177" s="532"/>
      <c r="AR12177" s="2513"/>
      <c r="CT12177" s="531"/>
    </row>
    <row r="12178" spans="1:98">
      <c r="A12178" s="532"/>
      <c r="AR12178" s="2513"/>
      <c r="CT12178" s="531"/>
    </row>
    <row r="12179" spans="1:98">
      <c r="A12179" s="532"/>
      <c r="AR12179" s="2513"/>
      <c r="CT12179" s="531"/>
    </row>
    <row r="12180" spans="1:98">
      <c r="A12180" s="532"/>
      <c r="AR12180" s="2513"/>
      <c r="CT12180" s="531"/>
    </row>
    <row r="12181" spans="1:98">
      <c r="A12181" s="532"/>
      <c r="AR12181" s="2513"/>
      <c r="CT12181" s="531"/>
    </row>
    <row r="12182" spans="1:98">
      <c r="A12182" s="532"/>
      <c r="AR12182" s="2513"/>
      <c r="CT12182" s="531"/>
    </row>
    <row r="12183" spans="1:98">
      <c r="A12183" s="532"/>
      <c r="AR12183" s="2513"/>
      <c r="CT12183" s="531"/>
    </row>
    <row r="12184" spans="1:98">
      <c r="A12184" s="532"/>
      <c r="AR12184" s="2513"/>
      <c r="CT12184" s="531"/>
    </row>
    <row r="12185" spans="1:98">
      <c r="A12185" s="532"/>
      <c r="AR12185" s="2513"/>
      <c r="CT12185" s="531"/>
    </row>
    <row r="12186" spans="1:98">
      <c r="A12186" s="532"/>
      <c r="AR12186" s="2513"/>
      <c r="CT12186" s="531"/>
    </row>
    <row r="12187" spans="1:98">
      <c r="A12187" s="532"/>
      <c r="AR12187" s="2513"/>
      <c r="CT12187" s="531"/>
    </row>
    <row r="12188" spans="1:98">
      <c r="A12188" s="532"/>
      <c r="AR12188" s="2513"/>
      <c r="CT12188" s="531"/>
    </row>
    <row r="12189" spans="1:98">
      <c r="A12189" s="532"/>
      <c r="AR12189" s="2513"/>
      <c r="CT12189" s="531"/>
    </row>
    <row r="12190" spans="1:98">
      <c r="A12190" s="532"/>
      <c r="AR12190" s="2513"/>
      <c r="CT12190" s="531"/>
    </row>
    <row r="12191" spans="1:98">
      <c r="A12191" s="532"/>
      <c r="AR12191" s="2513"/>
      <c r="CT12191" s="531"/>
    </row>
    <row r="12192" spans="1:98">
      <c r="A12192" s="532"/>
      <c r="AR12192" s="2513"/>
      <c r="CT12192" s="531"/>
    </row>
    <row r="12193" spans="1:98">
      <c r="A12193" s="532"/>
      <c r="AR12193" s="2513"/>
      <c r="CT12193" s="531"/>
    </row>
    <row r="12194" spans="1:98">
      <c r="A12194" s="532"/>
      <c r="AR12194" s="2513"/>
      <c r="CT12194" s="531"/>
    </row>
    <row r="12195" spans="1:98">
      <c r="A12195" s="532"/>
      <c r="AR12195" s="2513"/>
      <c r="CT12195" s="531"/>
    </row>
    <row r="12196" spans="1:98">
      <c r="A12196" s="532"/>
      <c r="AR12196" s="2513"/>
      <c r="CT12196" s="531"/>
    </row>
    <row r="12197" spans="1:98">
      <c r="A12197" s="532"/>
      <c r="AR12197" s="2513"/>
      <c r="CT12197" s="531"/>
    </row>
    <row r="12198" spans="1:98">
      <c r="A12198" s="532"/>
      <c r="AR12198" s="2513"/>
      <c r="CT12198" s="531"/>
    </row>
    <row r="12199" spans="1:98">
      <c r="A12199" s="532"/>
      <c r="AR12199" s="2513"/>
      <c r="CT12199" s="531"/>
    </row>
    <row r="12200" spans="1:98">
      <c r="A12200" s="532"/>
      <c r="AR12200" s="2513"/>
      <c r="CT12200" s="531"/>
    </row>
    <row r="12201" spans="1:98">
      <c r="A12201" s="532"/>
      <c r="AR12201" s="2513"/>
      <c r="CT12201" s="531"/>
    </row>
    <row r="12202" spans="1:98">
      <c r="A12202" s="532"/>
      <c r="AR12202" s="2513"/>
      <c r="CT12202" s="531"/>
    </row>
    <row r="12203" spans="1:98">
      <c r="A12203" s="532"/>
      <c r="AR12203" s="2513"/>
      <c r="CT12203" s="531"/>
    </row>
    <row r="12204" spans="1:98">
      <c r="A12204" s="532"/>
      <c r="AR12204" s="2513"/>
      <c r="CT12204" s="531"/>
    </row>
    <row r="12205" spans="1:98">
      <c r="A12205" s="532"/>
      <c r="AR12205" s="2513"/>
      <c r="CT12205" s="531"/>
    </row>
    <row r="12206" spans="1:98">
      <c r="A12206" s="532"/>
      <c r="AR12206" s="2513"/>
      <c r="CT12206" s="531"/>
    </row>
    <row r="12207" spans="1:98">
      <c r="A12207" s="532"/>
      <c r="AR12207" s="2513"/>
      <c r="CT12207" s="531"/>
    </row>
    <row r="12208" spans="1:98">
      <c r="A12208" s="532"/>
      <c r="AR12208" s="2513"/>
      <c r="CT12208" s="531"/>
    </row>
    <row r="12209" spans="1:98">
      <c r="A12209" s="532"/>
      <c r="AR12209" s="2513"/>
      <c r="CT12209" s="531"/>
    </row>
    <row r="12210" spans="1:98">
      <c r="A12210" s="532"/>
      <c r="AR12210" s="2513"/>
      <c r="CT12210" s="531"/>
    </row>
    <row r="12211" spans="1:98">
      <c r="A12211" s="532"/>
      <c r="AR12211" s="2513"/>
      <c r="CT12211" s="531"/>
    </row>
    <row r="12212" spans="1:98">
      <c r="A12212" s="532"/>
      <c r="AR12212" s="2513"/>
      <c r="CT12212" s="531"/>
    </row>
    <row r="12213" spans="1:98">
      <c r="A12213" s="532"/>
      <c r="AR12213" s="2513"/>
      <c r="CT12213" s="531"/>
    </row>
    <row r="12214" spans="1:98">
      <c r="A12214" s="532"/>
      <c r="AR12214" s="2513"/>
      <c r="CT12214" s="531"/>
    </row>
    <row r="12215" spans="1:98">
      <c r="A12215" s="532"/>
      <c r="AR12215" s="2513"/>
      <c r="CT12215" s="531"/>
    </row>
    <row r="12216" spans="1:98">
      <c r="A12216" s="532"/>
      <c r="AR12216" s="2513"/>
      <c r="CT12216" s="531"/>
    </row>
    <row r="12217" spans="1:98">
      <c r="A12217" s="532"/>
      <c r="AR12217" s="2513"/>
      <c r="CT12217" s="531"/>
    </row>
    <row r="12218" spans="1:98">
      <c r="A12218" s="532"/>
      <c r="AR12218" s="2513"/>
      <c r="CT12218" s="531"/>
    </row>
    <row r="12219" spans="1:98">
      <c r="A12219" s="532"/>
      <c r="AR12219" s="2513"/>
      <c r="CT12219" s="531"/>
    </row>
    <row r="12220" spans="1:98">
      <c r="A12220" s="532"/>
      <c r="AR12220" s="2513"/>
      <c r="CT12220" s="531"/>
    </row>
    <row r="12221" spans="1:98">
      <c r="A12221" s="532"/>
      <c r="AR12221" s="2513"/>
      <c r="CT12221" s="531"/>
    </row>
    <row r="12222" spans="1:98">
      <c r="A12222" s="532"/>
      <c r="AR12222" s="2513"/>
      <c r="CT12222" s="531"/>
    </row>
    <row r="12223" spans="1:98">
      <c r="A12223" s="532"/>
      <c r="AR12223" s="2513"/>
      <c r="CT12223" s="531"/>
    </row>
    <row r="12224" spans="1:98">
      <c r="A12224" s="532"/>
      <c r="AR12224" s="2513"/>
      <c r="CT12224" s="531"/>
    </row>
    <row r="12225" spans="1:98">
      <c r="A12225" s="532"/>
      <c r="AR12225" s="2513"/>
      <c r="CT12225" s="531"/>
    </row>
    <row r="12226" spans="1:98">
      <c r="A12226" s="532"/>
      <c r="AR12226" s="2513"/>
      <c r="CT12226" s="531"/>
    </row>
    <row r="12227" spans="1:98">
      <c r="A12227" s="532"/>
      <c r="AR12227" s="2513"/>
      <c r="CT12227" s="531"/>
    </row>
    <row r="12228" spans="1:98">
      <c r="A12228" s="532"/>
      <c r="AR12228" s="2513"/>
      <c r="CT12228" s="531"/>
    </row>
    <row r="12229" spans="1:98">
      <c r="A12229" s="532"/>
      <c r="AR12229" s="2513"/>
      <c r="CT12229" s="531"/>
    </row>
    <row r="12230" spans="1:98">
      <c r="A12230" s="532"/>
      <c r="AR12230" s="2513"/>
      <c r="CT12230" s="531"/>
    </row>
    <row r="12231" spans="1:98">
      <c r="A12231" s="532"/>
      <c r="AR12231" s="2513"/>
      <c r="CT12231" s="531"/>
    </row>
    <row r="12232" spans="1:98">
      <c r="A12232" s="532"/>
      <c r="AR12232" s="2513"/>
      <c r="CT12232" s="531"/>
    </row>
    <row r="12233" spans="1:98">
      <c r="A12233" s="532"/>
      <c r="AR12233" s="2513"/>
      <c r="CT12233" s="531"/>
    </row>
    <row r="12234" spans="1:98">
      <c r="A12234" s="532"/>
      <c r="AR12234" s="2513"/>
      <c r="CT12234" s="531"/>
    </row>
    <row r="12235" spans="1:98">
      <c r="A12235" s="532"/>
      <c r="AR12235" s="2513"/>
      <c r="CT12235" s="531"/>
    </row>
    <row r="12236" spans="1:98">
      <c r="A12236" s="532"/>
      <c r="AR12236" s="2513"/>
      <c r="CT12236" s="531"/>
    </row>
    <row r="12237" spans="1:98">
      <c r="A12237" s="532"/>
      <c r="AR12237" s="2513"/>
      <c r="CT12237" s="531"/>
    </row>
    <row r="12238" spans="1:98">
      <c r="A12238" s="532"/>
      <c r="AR12238" s="2513"/>
      <c r="CT12238" s="531"/>
    </row>
    <row r="12239" spans="1:98">
      <c r="A12239" s="532"/>
      <c r="AR12239" s="2513"/>
      <c r="CT12239" s="531"/>
    </row>
    <row r="12240" spans="1:98">
      <c r="A12240" s="532"/>
      <c r="AR12240" s="2513"/>
      <c r="CT12240" s="531"/>
    </row>
    <row r="12241" spans="1:98">
      <c r="A12241" s="532"/>
      <c r="AR12241" s="2513"/>
      <c r="CT12241" s="531"/>
    </row>
    <row r="12242" spans="1:98">
      <c r="A12242" s="532"/>
      <c r="AR12242" s="2513"/>
      <c r="CT12242" s="531"/>
    </row>
    <row r="12243" spans="1:98">
      <c r="A12243" s="532"/>
      <c r="AR12243" s="2513"/>
      <c r="CT12243" s="531"/>
    </row>
    <row r="12244" spans="1:98">
      <c r="A12244" s="532"/>
      <c r="AR12244" s="2513"/>
      <c r="CT12244" s="531"/>
    </row>
    <row r="12245" spans="1:98">
      <c r="A12245" s="532"/>
      <c r="AR12245" s="2513"/>
      <c r="CT12245" s="531"/>
    </row>
    <row r="12246" spans="1:98">
      <c r="A12246" s="532"/>
      <c r="AR12246" s="2513"/>
      <c r="CT12246" s="531"/>
    </row>
    <row r="12247" spans="1:98">
      <c r="A12247" s="532"/>
      <c r="AR12247" s="2513"/>
      <c r="CT12247" s="531"/>
    </row>
    <row r="12248" spans="1:98">
      <c r="A12248" s="532"/>
      <c r="AR12248" s="2513"/>
      <c r="CT12248" s="531"/>
    </row>
    <row r="12249" spans="1:98">
      <c r="A12249" s="532"/>
      <c r="AR12249" s="2513"/>
      <c r="CT12249" s="531"/>
    </row>
    <row r="12250" spans="1:98">
      <c r="A12250" s="532"/>
      <c r="AR12250" s="2513"/>
      <c r="CT12250" s="531"/>
    </row>
    <row r="12251" spans="1:98">
      <c r="A12251" s="532"/>
      <c r="AR12251" s="2513"/>
      <c r="CT12251" s="531"/>
    </row>
    <row r="12252" spans="1:98">
      <c r="A12252" s="532"/>
      <c r="AR12252" s="2513"/>
      <c r="CT12252" s="531"/>
    </row>
    <row r="12253" spans="1:98">
      <c r="A12253" s="532"/>
      <c r="AR12253" s="2513"/>
      <c r="CT12253" s="531"/>
    </row>
    <row r="12254" spans="1:98">
      <c r="A12254" s="532"/>
      <c r="AR12254" s="2513"/>
      <c r="CT12254" s="531"/>
    </row>
    <row r="12255" spans="1:98">
      <c r="A12255" s="532"/>
      <c r="AR12255" s="2513"/>
      <c r="CT12255" s="531"/>
    </row>
    <row r="12256" spans="1:98">
      <c r="A12256" s="532"/>
      <c r="AR12256" s="2513"/>
      <c r="CT12256" s="531"/>
    </row>
    <row r="12257" spans="1:98">
      <c r="A12257" s="532"/>
      <c r="AR12257" s="2513"/>
      <c r="CT12257" s="531"/>
    </row>
    <row r="12258" spans="1:98">
      <c r="A12258" s="532"/>
      <c r="AR12258" s="2513"/>
      <c r="CT12258" s="531"/>
    </row>
    <row r="12259" spans="1:98">
      <c r="A12259" s="532"/>
      <c r="AR12259" s="2513"/>
      <c r="CT12259" s="531"/>
    </row>
    <row r="12260" spans="1:98">
      <c r="A12260" s="532"/>
      <c r="AR12260" s="2513"/>
      <c r="CT12260" s="531"/>
    </row>
    <row r="12261" spans="1:98">
      <c r="A12261" s="532"/>
      <c r="AR12261" s="2513"/>
      <c r="CT12261" s="531"/>
    </row>
    <row r="12262" spans="1:98">
      <c r="A12262" s="532"/>
      <c r="AR12262" s="2513"/>
      <c r="CT12262" s="531"/>
    </row>
    <row r="12263" spans="1:98">
      <c r="A12263" s="532"/>
      <c r="AR12263" s="2513"/>
      <c r="CT12263" s="531"/>
    </row>
    <row r="12264" spans="1:98">
      <c r="A12264" s="532"/>
      <c r="AR12264" s="2513"/>
      <c r="CT12264" s="531"/>
    </row>
    <row r="12265" spans="1:98">
      <c r="A12265" s="532"/>
      <c r="AR12265" s="2513"/>
      <c r="CT12265" s="531"/>
    </row>
    <row r="12266" spans="1:98">
      <c r="A12266" s="532"/>
      <c r="AR12266" s="2513"/>
      <c r="CT12266" s="531"/>
    </row>
    <row r="12267" spans="1:98">
      <c r="A12267" s="532"/>
      <c r="AR12267" s="2513"/>
      <c r="CT12267" s="531"/>
    </row>
    <row r="12268" spans="1:98">
      <c r="A12268" s="532"/>
      <c r="AR12268" s="2513"/>
      <c r="CT12268" s="531"/>
    </row>
    <row r="12269" spans="1:98">
      <c r="A12269" s="532"/>
      <c r="AR12269" s="2513"/>
      <c r="CT12269" s="531"/>
    </row>
    <row r="12270" spans="1:98">
      <c r="A12270" s="532"/>
      <c r="AR12270" s="2513"/>
      <c r="CT12270" s="531"/>
    </row>
    <row r="12271" spans="1:98">
      <c r="A12271" s="532"/>
      <c r="AR12271" s="2513"/>
      <c r="CT12271" s="531"/>
    </row>
    <row r="12272" spans="1:98">
      <c r="A12272" s="532"/>
      <c r="AR12272" s="2513"/>
      <c r="CT12272" s="531"/>
    </row>
    <row r="12273" spans="1:98">
      <c r="A12273" s="532"/>
      <c r="AR12273" s="2513"/>
      <c r="CT12273" s="531"/>
    </row>
    <row r="12274" spans="1:98">
      <c r="A12274" s="532"/>
      <c r="AR12274" s="2513"/>
      <c r="CT12274" s="531"/>
    </row>
    <row r="12275" spans="1:98">
      <c r="A12275" s="532"/>
      <c r="AR12275" s="2513"/>
      <c r="CT12275" s="531"/>
    </row>
    <row r="12276" spans="1:98">
      <c r="A12276" s="532"/>
      <c r="AR12276" s="2513"/>
      <c r="CT12276" s="531"/>
    </row>
    <row r="12277" spans="1:98">
      <c r="A12277" s="532"/>
      <c r="AR12277" s="2513"/>
      <c r="CT12277" s="531"/>
    </row>
    <row r="12278" spans="1:98">
      <c r="A12278" s="532"/>
      <c r="AR12278" s="2513"/>
      <c r="CT12278" s="531"/>
    </row>
    <row r="12279" spans="1:98">
      <c r="A12279" s="532"/>
      <c r="AR12279" s="2513"/>
      <c r="CT12279" s="531"/>
    </row>
    <row r="12280" spans="1:98">
      <c r="A12280" s="532"/>
      <c r="AR12280" s="2513"/>
      <c r="CT12280" s="531"/>
    </row>
    <row r="12281" spans="1:98">
      <c r="A12281" s="532"/>
      <c r="AR12281" s="2513"/>
      <c r="CT12281" s="531"/>
    </row>
    <row r="12282" spans="1:98">
      <c r="A12282" s="532"/>
      <c r="AR12282" s="2513"/>
      <c r="CT12282" s="531"/>
    </row>
    <row r="12283" spans="1:98">
      <c r="A12283" s="532"/>
      <c r="AR12283" s="2513"/>
      <c r="CT12283" s="531"/>
    </row>
    <row r="12284" spans="1:98">
      <c r="A12284" s="532"/>
      <c r="AR12284" s="2513"/>
      <c r="CT12284" s="531"/>
    </row>
    <row r="12285" spans="1:98">
      <c r="A12285" s="532"/>
      <c r="AR12285" s="2513"/>
      <c r="CT12285" s="531"/>
    </row>
    <row r="12286" spans="1:98">
      <c r="A12286" s="532"/>
      <c r="AR12286" s="2513"/>
      <c r="CT12286" s="531"/>
    </row>
    <row r="12287" spans="1:98">
      <c r="A12287" s="532"/>
      <c r="AR12287" s="2513"/>
      <c r="CT12287" s="531"/>
    </row>
    <row r="12288" spans="1:98">
      <c r="A12288" s="532"/>
      <c r="AR12288" s="2513"/>
      <c r="CT12288" s="531"/>
    </row>
    <row r="12289" spans="1:98">
      <c r="A12289" s="532"/>
      <c r="AR12289" s="2513"/>
      <c r="CT12289" s="531"/>
    </row>
    <row r="12290" spans="1:98">
      <c r="A12290" s="532"/>
      <c r="AR12290" s="2513"/>
      <c r="CT12290" s="531"/>
    </row>
    <row r="12291" spans="1:98">
      <c r="A12291" s="532"/>
      <c r="AR12291" s="2513"/>
      <c r="CT12291" s="531"/>
    </row>
    <row r="12292" spans="1:98">
      <c r="A12292" s="532"/>
      <c r="AR12292" s="2513"/>
      <c r="CT12292" s="531"/>
    </row>
    <row r="12293" spans="1:98">
      <c r="A12293" s="532"/>
      <c r="AR12293" s="2513"/>
      <c r="CT12293" s="531"/>
    </row>
    <row r="12294" spans="1:98">
      <c r="A12294" s="532"/>
      <c r="AR12294" s="2513"/>
      <c r="CT12294" s="531"/>
    </row>
    <row r="12295" spans="1:98">
      <c r="A12295" s="532"/>
      <c r="AR12295" s="2513"/>
      <c r="CT12295" s="531"/>
    </row>
    <row r="12296" spans="1:98">
      <c r="A12296" s="532"/>
      <c r="AR12296" s="2513"/>
      <c r="CT12296" s="531"/>
    </row>
    <row r="12297" spans="1:98">
      <c r="A12297" s="532"/>
      <c r="AR12297" s="2513"/>
      <c r="CT12297" s="531"/>
    </row>
    <row r="12298" spans="1:98">
      <c r="A12298" s="532"/>
      <c r="AR12298" s="2513"/>
      <c r="CT12298" s="531"/>
    </row>
    <row r="12299" spans="1:98">
      <c r="A12299" s="532"/>
      <c r="AR12299" s="2513"/>
      <c r="CT12299" s="531"/>
    </row>
    <row r="12300" spans="1:98">
      <c r="A12300" s="532"/>
      <c r="AR12300" s="2513"/>
      <c r="CT12300" s="531"/>
    </row>
    <row r="12301" spans="1:98">
      <c r="A12301" s="532"/>
      <c r="AR12301" s="2513"/>
      <c r="CT12301" s="531"/>
    </row>
    <row r="12302" spans="1:98">
      <c r="A12302" s="532"/>
      <c r="AR12302" s="2513"/>
      <c r="CT12302" s="531"/>
    </row>
    <row r="12303" spans="1:98">
      <c r="A12303" s="532"/>
      <c r="AR12303" s="2513"/>
      <c r="CT12303" s="531"/>
    </row>
    <row r="12304" spans="1:98">
      <c r="A12304" s="532"/>
      <c r="AR12304" s="2513"/>
      <c r="CT12304" s="531"/>
    </row>
    <row r="12305" spans="1:98">
      <c r="A12305" s="532"/>
      <c r="AR12305" s="2513"/>
      <c r="CT12305" s="531"/>
    </row>
    <row r="12306" spans="1:98">
      <c r="A12306" s="532"/>
      <c r="AR12306" s="2513"/>
      <c r="CT12306" s="531"/>
    </row>
    <row r="12307" spans="1:98">
      <c r="A12307" s="532"/>
      <c r="AR12307" s="2513"/>
      <c r="CT12307" s="531"/>
    </row>
    <row r="12308" spans="1:98">
      <c r="A12308" s="532"/>
      <c r="AR12308" s="2513"/>
      <c r="CT12308" s="531"/>
    </row>
    <row r="12309" spans="1:98">
      <c r="A12309" s="532"/>
      <c r="AR12309" s="2513"/>
      <c r="CT12309" s="531"/>
    </row>
    <row r="12310" spans="1:98">
      <c r="A12310" s="532"/>
      <c r="AR12310" s="2513"/>
      <c r="CT12310" s="531"/>
    </row>
    <row r="12311" spans="1:98">
      <c r="A12311" s="532"/>
      <c r="AR12311" s="2513"/>
      <c r="CT12311" s="531"/>
    </row>
    <row r="12312" spans="1:98">
      <c r="A12312" s="532"/>
      <c r="AR12312" s="2513"/>
      <c r="CT12312" s="531"/>
    </row>
    <row r="12313" spans="1:98">
      <c r="A12313" s="532"/>
      <c r="AR12313" s="2513"/>
      <c r="CT12313" s="531"/>
    </row>
    <row r="12314" spans="1:98">
      <c r="A12314" s="532"/>
      <c r="AR12314" s="2513"/>
      <c r="CT12314" s="531"/>
    </row>
    <row r="12315" spans="1:98">
      <c r="A12315" s="532"/>
      <c r="AR12315" s="2513"/>
      <c r="CT12315" s="531"/>
    </row>
    <row r="12316" spans="1:98">
      <c r="A12316" s="532"/>
      <c r="AR12316" s="2513"/>
      <c r="CT12316" s="531"/>
    </row>
    <row r="12317" spans="1:98">
      <c r="A12317" s="532"/>
      <c r="AR12317" s="2513"/>
      <c r="CT12317" s="531"/>
    </row>
    <row r="12318" spans="1:98">
      <c r="A12318" s="532"/>
      <c r="AR12318" s="2513"/>
      <c r="CT12318" s="531"/>
    </row>
    <row r="12319" spans="1:98">
      <c r="A12319" s="532"/>
      <c r="AR12319" s="2513"/>
      <c r="CT12319" s="531"/>
    </row>
    <row r="12320" spans="1:98">
      <c r="A12320" s="532"/>
      <c r="AR12320" s="2513"/>
      <c r="CT12320" s="531"/>
    </row>
    <row r="12321" spans="1:98">
      <c r="A12321" s="532"/>
      <c r="AR12321" s="2513"/>
      <c r="CT12321" s="531"/>
    </row>
    <row r="12322" spans="1:98">
      <c r="A12322" s="532"/>
      <c r="AR12322" s="2513"/>
      <c r="CT12322" s="531"/>
    </row>
    <row r="12323" spans="1:98">
      <c r="A12323" s="532"/>
      <c r="AR12323" s="2513"/>
      <c r="CT12323" s="531"/>
    </row>
    <row r="12324" spans="1:98">
      <c r="A12324" s="532"/>
      <c r="AR12324" s="2513"/>
      <c r="CT12324" s="531"/>
    </row>
    <row r="12325" spans="1:98">
      <c r="A12325" s="532"/>
      <c r="AR12325" s="2513"/>
      <c r="CT12325" s="531"/>
    </row>
    <row r="12326" spans="1:98">
      <c r="A12326" s="532"/>
      <c r="AR12326" s="2513"/>
      <c r="CT12326" s="531"/>
    </row>
    <row r="12327" spans="1:98">
      <c r="A12327" s="532"/>
      <c r="AR12327" s="2513"/>
      <c r="CT12327" s="531"/>
    </row>
    <row r="12328" spans="1:98">
      <c r="A12328" s="532"/>
      <c r="AR12328" s="2513"/>
      <c r="CT12328" s="531"/>
    </row>
    <row r="12329" spans="1:98">
      <c r="A12329" s="532"/>
      <c r="AR12329" s="2513"/>
      <c r="CT12329" s="531"/>
    </row>
    <row r="12330" spans="1:98">
      <c r="A12330" s="532"/>
      <c r="AR12330" s="2513"/>
      <c r="CT12330" s="531"/>
    </row>
    <row r="12331" spans="1:98">
      <c r="A12331" s="532"/>
      <c r="AR12331" s="2513"/>
      <c r="CT12331" s="531"/>
    </row>
    <row r="12332" spans="1:98">
      <c r="A12332" s="532"/>
      <c r="AR12332" s="2513"/>
      <c r="CT12332" s="531"/>
    </row>
    <row r="12333" spans="1:98">
      <c r="A12333" s="532"/>
      <c r="AR12333" s="2513"/>
      <c r="CT12333" s="531"/>
    </row>
    <row r="12334" spans="1:98">
      <c r="A12334" s="532"/>
      <c r="AR12334" s="2513"/>
      <c r="CT12334" s="531"/>
    </row>
    <row r="12335" spans="1:98">
      <c r="A12335" s="532"/>
      <c r="AR12335" s="2513"/>
      <c r="CT12335" s="531"/>
    </row>
    <row r="12336" spans="1:98">
      <c r="A12336" s="532"/>
      <c r="AR12336" s="2513"/>
      <c r="CT12336" s="531"/>
    </row>
    <row r="12337" spans="1:98">
      <c r="A12337" s="532"/>
      <c r="AR12337" s="2513"/>
      <c r="CT12337" s="531"/>
    </row>
    <row r="12338" spans="1:98">
      <c r="A12338" s="532"/>
      <c r="AR12338" s="2513"/>
      <c r="CT12338" s="531"/>
    </row>
    <row r="12339" spans="1:98">
      <c r="A12339" s="532"/>
      <c r="AR12339" s="2513"/>
      <c r="CT12339" s="531"/>
    </row>
    <row r="12340" spans="1:98">
      <c r="A12340" s="532"/>
      <c r="AR12340" s="2513"/>
      <c r="CT12340" s="531"/>
    </row>
    <row r="12341" spans="1:98">
      <c r="A12341" s="532"/>
      <c r="AR12341" s="2513"/>
      <c r="CT12341" s="531"/>
    </row>
    <row r="12342" spans="1:98">
      <c r="A12342" s="532"/>
      <c r="AR12342" s="2513"/>
      <c r="CT12342" s="531"/>
    </row>
    <row r="12343" spans="1:98">
      <c r="A12343" s="532"/>
      <c r="AR12343" s="2513"/>
      <c r="CT12343" s="531"/>
    </row>
    <row r="12344" spans="1:98">
      <c r="A12344" s="532"/>
      <c r="AR12344" s="2513"/>
      <c r="CT12344" s="531"/>
    </row>
    <row r="12345" spans="1:98">
      <c r="A12345" s="532"/>
      <c r="AR12345" s="2513"/>
      <c r="CT12345" s="531"/>
    </row>
    <row r="12346" spans="1:98">
      <c r="A12346" s="532"/>
      <c r="AR12346" s="2513"/>
      <c r="CT12346" s="531"/>
    </row>
    <row r="12347" spans="1:98">
      <c r="A12347" s="532"/>
      <c r="AR12347" s="2513"/>
      <c r="CT12347" s="531"/>
    </row>
    <row r="12348" spans="1:98">
      <c r="A12348" s="532"/>
      <c r="AR12348" s="2513"/>
      <c r="CT12348" s="531"/>
    </row>
    <row r="12349" spans="1:98">
      <c r="A12349" s="532"/>
      <c r="AR12349" s="2513"/>
      <c r="CT12349" s="531"/>
    </row>
    <row r="12350" spans="1:98">
      <c r="A12350" s="532"/>
      <c r="AR12350" s="2513"/>
      <c r="CT12350" s="531"/>
    </row>
    <row r="12351" spans="1:98">
      <c r="A12351" s="532"/>
      <c r="AR12351" s="2513"/>
      <c r="CT12351" s="531"/>
    </row>
    <row r="12352" spans="1:98">
      <c r="A12352" s="532"/>
      <c r="AR12352" s="2513"/>
      <c r="CT12352" s="531"/>
    </row>
    <row r="12353" spans="1:98">
      <c r="A12353" s="532"/>
      <c r="AR12353" s="2513"/>
      <c r="CT12353" s="531"/>
    </row>
    <row r="12354" spans="1:98">
      <c r="A12354" s="532"/>
      <c r="AR12354" s="2513"/>
      <c r="CT12354" s="531"/>
    </row>
    <row r="12355" spans="1:98">
      <c r="A12355" s="532"/>
      <c r="AR12355" s="2513"/>
      <c r="CT12355" s="531"/>
    </row>
    <row r="12356" spans="1:98">
      <c r="A12356" s="532"/>
      <c r="AR12356" s="2513"/>
      <c r="CT12356" s="531"/>
    </row>
    <row r="12357" spans="1:98">
      <c r="A12357" s="532"/>
      <c r="AR12357" s="2513"/>
      <c r="CT12357" s="531"/>
    </row>
    <row r="12358" spans="1:98">
      <c r="A12358" s="532"/>
      <c r="AR12358" s="2513"/>
      <c r="CT12358" s="531"/>
    </row>
    <row r="12359" spans="1:98">
      <c r="A12359" s="532"/>
      <c r="AR12359" s="2513"/>
      <c r="CT12359" s="531"/>
    </row>
    <row r="12360" spans="1:98">
      <c r="A12360" s="532"/>
      <c r="AR12360" s="2513"/>
      <c r="CT12360" s="531"/>
    </row>
    <row r="12361" spans="1:98">
      <c r="A12361" s="532"/>
      <c r="AR12361" s="2513"/>
      <c r="CT12361" s="531"/>
    </row>
    <row r="12362" spans="1:98">
      <c r="A12362" s="532"/>
      <c r="AR12362" s="2513"/>
      <c r="CT12362" s="531"/>
    </row>
    <row r="12363" spans="1:98">
      <c r="A12363" s="532"/>
      <c r="AR12363" s="2513"/>
      <c r="CT12363" s="531"/>
    </row>
    <row r="12364" spans="1:98">
      <c r="A12364" s="532"/>
      <c r="AR12364" s="2513"/>
      <c r="CT12364" s="531"/>
    </row>
    <row r="12365" spans="1:98">
      <c r="A12365" s="532"/>
      <c r="AR12365" s="2513"/>
      <c r="CT12365" s="531"/>
    </row>
    <row r="12366" spans="1:98">
      <c r="A12366" s="532"/>
      <c r="AR12366" s="2513"/>
      <c r="CT12366" s="531"/>
    </row>
    <row r="12367" spans="1:98">
      <c r="A12367" s="532"/>
      <c r="AR12367" s="2513"/>
      <c r="CT12367" s="531"/>
    </row>
    <row r="12368" spans="1:98">
      <c r="A12368" s="532"/>
      <c r="AR12368" s="2513"/>
      <c r="CT12368" s="531"/>
    </row>
    <row r="12369" spans="1:98">
      <c r="A12369" s="532"/>
      <c r="AR12369" s="2513"/>
      <c r="CT12369" s="531"/>
    </row>
    <row r="12370" spans="1:98">
      <c r="A12370" s="532"/>
      <c r="AR12370" s="2513"/>
      <c r="CT12370" s="531"/>
    </row>
    <row r="12371" spans="1:98">
      <c r="A12371" s="532"/>
      <c r="AR12371" s="2513"/>
      <c r="CT12371" s="531"/>
    </row>
    <row r="12372" spans="1:98">
      <c r="A12372" s="532"/>
      <c r="AR12372" s="2513"/>
      <c r="CT12372" s="531"/>
    </row>
    <row r="12373" spans="1:98">
      <c r="A12373" s="532"/>
      <c r="AR12373" s="2513"/>
      <c r="CT12373" s="531"/>
    </row>
    <row r="12374" spans="1:98">
      <c r="A12374" s="532"/>
      <c r="AR12374" s="2513"/>
      <c r="CT12374" s="531"/>
    </row>
    <row r="12375" spans="1:98">
      <c r="A12375" s="532"/>
      <c r="AR12375" s="2513"/>
      <c r="CT12375" s="531"/>
    </row>
    <row r="12376" spans="1:98">
      <c r="A12376" s="532"/>
      <c r="AR12376" s="2513"/>
      <c r="CT12376" s="531"/>
    </row>
    <row r="12377" spans="1:98">
      <c r="A12377" s="532"/>
      <c r="AR12377" s="2513"/>
      <c r="CT12377" s="531"/>
    </row>
    <row r="12378" spans="1:98">
      <c r="A12378" s="532"/>
      <c r="AR12378" s="2513"/>
      <c r="CT12378" s="531"/>
    </row>
    <row r="12379" spans="1:98">
      <c r="A12379" s="532"/>
      <c r="AR12379" s="2513"/>
      <c r="CT12379" s="531"/>
    </row>
    <row r="12380" spans="1:98">
      <c r="A12380" s="532"/>
      <c r="AR12380" s="2513"/>
      <c r="CT12380" s="531"/>
    </row>
    <row r="12381" spans="1:98">
      <c r="A12381" s="532"/>
      <c r="AR12381" s="2513"/>
      <c r="CT12381" s="531"/>
    </row>
    <row r="12382" spans="1:98">
      <c r="A12382" s="532"/>
      <c r="AR12382" s="2513"/>
      <c r="CT12382" s="531"/>
    </row>
    <row r="12383" spans="1:98">
      <c r="A12383" s="532"/>
      <c r="AR12383" s="2513"/>
      <c r="CT12383" s="531"/>
    </row>
    <row r="12384" spans="1:98">
      <c r="A12384" s="532"/>
      <c r="AR12384" s="2513"/>
      <c r="CT12384" s="531"/>
    </row>
    <row r="12385" spans="1:98">
      <c r="A12385" s="532"/>
      <c r="AR12385" s="2513"/>
      <c r="CT12385" s="531"/>
    </row>
    <row r="12386" spans="1:98">
      <c r="A12386" s="532"/>
      <c r="AR12386" s="2513"/>
      <c r="CT12386" s="531"/>
    </row>
    <row r="12387" spans="1:98">
      <c r="A12387" s="532"/>
      <c r="AR12387" s="2513"/>
      <c r="CT12387" s="531"/>
    </row>
    <row r="12388" spans="1:98">
      <c r="A12388" s="532"/>
      <c r="AR12388" s="2513"/>
      <c r="CT12388" s="531"/>
    </row>
    <row r="12389" spans="1:98">
      <c r="A12389" s="532"/>
      <c r="AR12389" s="2513"/>
      <c r="CT12389" s="531"/>
    </row>
    <row r="12390" spans="1:98">
      <c r="A12390" s="532"/>
      <c r="AR12390" s="2513"/>
      <c r="CT12390" s="531"/>
    </row>
    <row r="12391" spans="1:98">
      <c r="A12391" s="532"/>
      <c r="AR12391" s="2513"/>
      <c r="CT12391" s="531"/>
    </row>
    <row r="12392" spans="1:98">
      <c r="A12392" s="532"/>
      <c r="AR12392" s="2513"/>
      <c r="CT12392" s="531"/>
    </row>
    <row r="12393" spans="1:98">
      <c r="A12393" s="532"/>
      <c r="AR12393" s="2513"/>
      <c r="CT12393" s="531"/>
    </row>
    <row r="12394" spans="1:98">
      <c r="A12394" s="532"/>
      <c r="AR12394" s="2513"/>
      <c r="CT12394" s="531"/>
    </row>
    <row r="12395" spans="1:98">
      <c r="A12395" s="532"/>
      <c r="AR12395" s="2513"/>
      <c r="CT12395" s="531"/>
    </row>
    <row r="12396" spans="1:98">
      <c r="A12396" s="532"/>
      <c r="AR12396" s="2513"/>
      <c r="CT12396" s="531"/>
    </row>
    <row r="12397" spans="1:98">
      <c r="A12397" s="532"/>
      <c r="AR12397" s="2513"/>
      <c r="CT12397" s="531"/>
    </row>
    <row r="12398" spans="1:98">
      <c r="A12398" s="532"/>
      <c r="AR12398" s="2513"/>
      <c r="CT12398" s="531"/>
    </row>
    <row r="12399" spans="1:98">
      <c r="A12399" s="532"/>
      <c r="AR12399" s="2513"/>
      <c r="CT12399" s="531"/>
    </row>
    <row r="12400" spans="1:98">
      <c r="A12400" s="532"/>
      <c r="AR12400" s="2513"/>
      <c r="CT12400" s="531"/>
    </row>
    <row r="12401" spans="1:98">
      <c r="A12401" s="532"/>
      <c r="AR12401" s="2513"/>
      <c r="CT12401" s="531"/>
    </row>
    <row r="12402" spans="1:98">
      <c r="A12402" s="532"/>
      <c r="AR12402" s="2513"/>
      <c r="CT12402" s="531"/>
    </row>
    <row r="12403" spans="1:98">
      <c r="A12403" s="532"/>
      <c r="AR12403" s="2513"/>
      <c r="CT12403" s="531"/>
    </row>
    <row r="12404" spans="1:98">
      <c r="A12404" s="532"/>
      <c r="AR12404" s="2513"/>
      <c r="CT12404" s="531"/>
    </row>
    <row r="12405" spans="1:98">
      <c r="A12405" s="532"/>
      <c r="AR12405" s="2513"/>
      <c r="CT12405" s="531"/>
    </row>
    <row r="12406" spans="1:98">
      <c r="A12406" s="532"/>
      <c r="AR12406" s="2513"/>
      <c r="CT12406" s="531"/>
    </row>
    <row r="12407" spans="1:98">
      <c r="A12407" s="532"/>
      <c r="AR12407" s="2513"/>
      <c r="CT12407" s="531"/>
    </row>
    <row r="12408" spans="1:98">
      <c r="A12408" s="532"/>
      <c r="AR12408" s="2513"/>
      <c r="CT12408" s="531"/>
    </row>
    <row r="12409" spans="1:98">
      <c r="A12409" s="532"/>
      <c r="AR12409" s="2513"/>
      <c r="CT12409" s="531"/>
    </row>
    <row r="12410" spans="1:98">
      <c r="A12410" s="532"/>
      <c r="AR12410" s="2513"/>
      <c r="CT12410" s="531"/>
    </row>
    <row r="12411" spans="1:98">
      <c r="A12411" s="532"/>
      <c r="AR12411" s="2513"/>
      <c r="CT12411" s="531"/>
    </row>
    <row r="12412" spans="1:98">
      <c r="A12412" s="532"/>
      <c r="AR12412" s="2513"/>
      <c r="CT12412" s="531"/>
    </row>
    <row r="12413" spans="1:98">
      <c r="A12413" s="532"/>
      <c r="AR12413" s="2513"/>
      <c r="CT12413" s="531"/>
    </row>
    <row r="12414" spans="1:98">
      <c r="A12414" s="532"/>
      <c r="AR12414" s="2513"/>
      <c r="CT12414" s="531"/>
    </row>
    <row r="12415" spans="1:98">
      <c r="A12415" s="532"/>
      <c r="AR12415" s="2513"/>
      <c r="CT12415" s="531"/>
    </row>
    <row r="12416" spans="1:98">
      <c r="A12416" s="532"/>
      <c r="AR12416" s="2513"/>
      <c r="CT12416" s="531"/>
    </row>
    <row r="12417" spans="1:98">
      <c r="A12417" s="532"/>
      <c r="AR12417" s="2513"/>
      <c r="CT12417" s="531"/>
    </row>
    <row r="12418" spans="1:98">
      <c r="A12418" s="532"/>
      <c r="AR12418" s="2513"/>
      <c r="CT12418" s="531"/>
    </row>
    <row r="12419" spans="1:98">
      <c r="A12419" s="532"/>
      <c r="AR12419" s="2513"/>
      <c r="CT12419" s="531"/>
    </row>
    <row r="12420" spans="1:98">
      <c r="A12420" s="532"/>
      <c r="AR12420" s="2513"/>
      <c r="CT12420" s="531"/>
    </row>
    <row r="12421" spans="1:98">
      <c r="A12421" s="532"/>
      <c r="AR12421" s="2513"/>
      <c r="CT12421" s="531"/>
    </row>
    <row r="12422" spans="1:98">
      <c r="A12422" s="532"/>
      <c r="AR12422" s="2513"/>
      <c r="CT12422" s="531"/>
    </row>
    <row r="12423" spans="1:98">
      <c r="A12423" s="532"/>
      <c r="AR12423" s="2513"/>
      <c r="CT12423" s="531"/>
    </row>
    <row r="12424" spans="1:98">
      <c r="A12424" s="532"/>
      <c r="AR12424" s="2513"/>
      <c r="CT12424" s="531"/>
    </row>
    <row r="12425" spans="1:98">
      <c r="A12425" s="532"/>
      <c r="AR12425" s="2513"/>
      <c r="CT12425" s="531"/>
    </row>
    <row r="12426" spans="1:98">
      <c r="A12426" s="532"/>
      <c r="AR12426" s="2513"/>
      <c r="CT12426" s="531"/>
    </row>
    <row r="12427" spans="1:98">
      <c r="A12427" s="532"/>
      <c r="AR12427" s="2513"/>
      <c r="CT12427" s="531"/>
    </row>
    <row r="12428" spans="1:98">
      <c r="A12428" s="532"/>
      <c r="AR12428" s="2513"/>
      <c r="CT12428" s="531"/>
    </row>
    <row r="12429" spans="1:98">
      <c r="A12429" s="532"/>
      <c r="AR12429" s="2513"/>
      <c r="CT12429" s="531"/>
    </row>
    <row r="12430" spans="1:98">
      <c r="A12430" s="532"/>
      <c r="AR12430" s="2513"/>
      <c r="CT12430" s="531"/>
    </row>
    <row r="12431" spans="1:98">
      <c r="A12431" s="532"/>
      <c r="AR12431" s="2513"/>
      <c r="CT12431" s="531"/>
    </row>
    <row r="12432" spans="1:98">
      <c r="A12432" s="532"/>
      <c r="AR12432" s="2513"/>
      <c r="CT12432" s="531"/>
    </row>
    <row r="12433" spans="1:98">
      <c r="A12433" s="532"/>
      <c r="AR12433" s="2513"/>
      <c r="CT12433" s="531"/>
    </row>
    <row r="12434" spans="1:98">
      <c r="A12434" s="532"/>
      <c r="AR12434" s="2513"/>
      <c r="CT12434" s="531"/>
    </row>
    <row r="12435" spans="1:98">
      <c r="A12435" s="532"/>
      <c r="AR12435" s="2513"/>
      <c r="CT12435" s="531"/>
    </row>
    <row r="12436" spans="1:98">
      <c r="A12436" s="532"/>
      <c r="AR12436" s="2513"/>
      <c r="CT12436" s="531"/>
    </row>
    <row r="12437" spans="1:98">
      <c r="A12437" s="532"/>
      <c r="AR12437" s="2513"/>
      <c r="CT12437" s="531"/>
    </row>
    <row r="12438" spans="1:98">
      <c r="A12438" s="532"/>
      <c r="AR12438" s="2513"/>
      <c r="CT12438" s="531"/>
    </row>
    <row r="12439" spans="1:98">
      <c r="A12439" s="532"/>
      <c r="AR12439" s="2513"/>
      <c r="CT12439" s="531"/>
    </row>
    <row r="12440" spans="1:98">
      <c r="A12440" s="532"/>
      <c r="AR12440" s="2513"/>
      <c r="CT12440" s="531"/>
    </row>
    <row r="12441" spans="1:98">
      <c r="A12441" s="532"/>
      <c r="AR12441" s="2513"/>
      <c r="CT12441" s="531"/>
    </row>
    <row r="12442" spans="1:98">
      <c r="A12442" s="532"/>
      <c r="AR12442" s="2513"/>
      <c r="CT12442" s="531"/>
    </row>
    <row r="12443" spans="1:98">
      <c r="A12443" s="532"/>
      <c r="AR12443" s="2513"/>
      <c r="CT12443" s="531"/>
    </row>
    <row r="12444" spans="1:98">
      <c r="A12444" s="532"/>
      <c r="AR12444" s="2513"/>
      <c r="CT12444" s="531"/>
    </row>
    <row r="12445" spans="1:98">
      <c r="A12445" s="532"/>
      <c r="AR12445" s="2513"/>
      <c r="CT12445" s="531"/>
    </row>
    <row r="12446" spans="1:98">
      <c r="A12446" s="532"/>
      <c r="AR12446" s="2513"/>
      <c r="CT12446" s="531"/>
    </row>
    <row r="12447" spans="1:98">
      <c r="A12447" s="532"/>
      <c r="AR12447" s="2513"/>
      <c r="CT12447" s="531"/>
    </row>
    <row r="12448" spans="1:98">
      <c r="A12448" s="532"/>
      <c r="AR12448" s="2513"/>
      <c r="CT12448" s="531"/>
    </row>
    <row r="12449" spans="1:98">
      <c r="A12449" s="532"/>
      <c r="AR12449" s="2513"/>
      <c r="CT12449" s="531"/>
    </row>
    <row r="12450" spans="1:98">
      <c r="A12450" s="532"/>
      <c r="AR12450" s="2513"/>
      <c r="CT12450" s="531"/>
    </row>
    <row r="12451" spans="1:98">
      <c r="A12451" s="532"/>
      <c r="AR12451" s="2513"/>
      <c r="CT12451" s="531"/>
    </row>
    <row r="12452" spans="1:98">
      <c r="A12452" s="532"/>
      <c r="AR12452" s="2513"/>
      <c r="CT12452" s="531"/>
    </row>
    <row r="12453" spans="1:98">
      <c r="A12453" s="532"/>
      <c r="AR12453" s="2513"/>
      <c r="CT12453" s="531"/>
    </row>
    <row r="12454" spans="1:98">
      <c r="A12454" s="532"/>
      <c r="AR12454" s="2513"/>
      <c r="CT12454" s="531"/>
    </row>
    <row r="12455" spans="1:98">
      <c r="A12455" s="532"/>
      <c r="AR12455" s="2513"/>
      <c r="CT12455" s="531"/>
    </row>
    <row r="12456" spans="1:98">
      <c r="A12456" s="532"/>
      <c r="AR12456" s="2513"/>
      <c r="CT12456" s="531"/>
    </row>
    <row r="12457" spans="1:98">
      <c r="A12457" s="532"/>
      <c r="AR12457" s="2513"/>
      <c r="CT12457" s="531"/>
    </row>
    <row r="12458" spans="1:98">
      <c r="A12458" s="532"/>
      <c r="AR12458" s="2513"/>
      <c r="CT12458" s="531"/>
    </row>
    <row r="12459" spans="1:98">
      <c r="A12459" s="532"/>
      <c r="AR12459" s="2513"/>
      <c r="CT12459" s="531"/>
    </row>
    <row r="12460" spans="1:98">
      <c r="A12460" s="532"/>
      <c r="AR12460" s="2513"/>
      <c r="CT12460" s="531"/>
    </row>
    <row r="12461" spans="1:98">
      <c r="A12461" s="532"/>
      <c r="AR12461" s="2513"/>
      <c r="CT12461" s="531"/>
    </row>
    <row r="12462" spans="1:98">
      <c r="A12462" s="532"/>
      <c r="AR12462" s="2513"/>
      <c r="CT12462" s="531"/>
    </row>
    <row r="12463" spans="1:98">
      <c r="A12463" s="532"/>
      <c r="AR12463" s="2513"/>
      <c r="CT12463" s="531"/>
    </row>
    <row r="12464" spans="1:98">
      <c r="A12464" s="532"/>
      <c r="AR12464" s="2513"/>
      <c r="CT12464" s="531"/>
    </row>
    <row r="12465" spans="1:98">
      <c r="A12465" s="532"/>
      <c r="AR12465" s="2513"/>
      <c r="CT12465" s="531"/>
    </row>
    <row r="12466" spans="1:98">
      <c r="A12466" s="532"/>
      <c r="AR12466" s="2513"/>
      <c r="CT12466" s="531"/>
    </row>
    <row r="12467" spans="1:98">
      <c r="A12467" s="532"/>
      <c r="AR12467" s="2513"/>
      <c r="CT12467" s="531"/>
    </row>
    <row r="12468" spans="1:98">
      <c r="A12468" s="532"/>
      <c r="AR12468" s="2513"/>
      <c r="CT12468" s="531"/>
    </row>
    <row r="12469" spans="1:98">
      <c r="A12469" s="532"/>
      <c r="AR12469" s="2513"/>
      <c r="CT12469" s="531"/>
    </row>
    <row r="12470" spans="1:98">
      <c r="A12470" s="532"/>
      <c r="AR12470" s="2513"/>
      <c r="CT12470" s="531"/>
    </row>
    <row r="12471" spans="1:98">
      <c r="A12471" s="532"/>
      <c r="AR12471" s="2513"/>
      <c r="CT12471" s="531"/>
    </row>
    <row r="12472" spans="1:98">
      <c r="A12472" s="532"/>
      <c r="AR12472" s="2513"/>
      <c r="CT12472" s="531"/>
    </row>
    <row r="12473" spans="1:98">
      <c r="A12473" s="532"/>
      <c r="AR12473" s="2513"/>
      <c r="CT12473" s="531"/>
    </row>
    <row r="12474" spans="1:98">
      <c r="A12474" s="532"/>
      <c r="AR12474" s="2513"/>
      <c r="CT12474" s="531"/>
    </row>
    <row r="12475" spans="1:98">
      <c r="A12475" s="532"/>
      <c r="AR12475" s="2513"/>
      <c r="CT12475" s="531"/>
    </row>
    <row r="12476" spans="1:98">
      <c r="A12476" s="532"/>
      <c r="AR12476" s="2513"/>
      <c r="CT12476" s="531"/>
    </row>
    <row r="12477" spans="1:98">
      <c r="A12477" s="532"/>
      <c r="AR12477" s="2513"/>
      <c r="CT12477" s="531"/>
    </row>
    <row r="12478" spans="1:98">
      <c r="A12478" s="532"/>
      <c r="AR12478" s="2513"/>
      <c r="CT12478" s="531"/>
    </row>
    <row r="12479" spans="1:98">
      <c r="A12479" s="532"/>
      <c r="AR12479" s="2513"/>
      <c r="CT12479" s="531"/>
    </row>
    <row r="12480" spans="1:98">
      <c r="A12480" s="532"/>
      <c r="AR12480" s="2513"/>
      <c r="CT12480" s="531"/>
    </row>
    <row r="12481" spans="1:98">
      <c r="A12481" s="532"/>
      <c r="AR12481" s="2513"/>
      <c r="CT12481" s="531"/>
    </row>
    <row r="12482" spans="1:98">
      <c r="A12482" s="532"/>
      <c r="AR12482" s="2513"/>
      <c r="CT12482" s="531"/>
    </row>
    <row r="12483" spans="1:98">
      <c r="A12483" s="532"/>
      <c r="AR12483" s="2513"/>
      <c r="CT12483" s="531"/>
    </row>
    <row r="12484" spans="1:98">
      <c r="A12484" s="532"/>
      <c r="AR12484" s="2513"/>
      <c r="CT12484" s="531"/>
    </row>
    <row r="12485" spans="1:98">
      <c r="A12485" s="532"/>
      <c r="AR12485" s="2513"/>
      <c r="CT12485" s="531"/>
    </row>
    <row r="12486" spans="1:98">
      <c r="A12486" s="532"/>
      <c r="AR12486" s="2513"/>
      <c r="CT12486" s="531"/>
    </row>
    <row r="12487" spans="1:98">
      <c r="A12487" s="532"/>
      <c r="AR12487" s="2513"/>
      <c r="CT12487" s="531"/>
    </row>
    <row r="12488" spans="1:98">
      <c r="A12488" s="532"/>
      <c r="AR12488" s="2513"/>
      <c r="CT12488" s="531"/>
    </row>
    <row r="12489" spans="1:98">
      <c r="A12489" s="532"/>
      <c r="AR12489" s="2513"/>
      <c r="CT12489" s="531"/>
    </row>
    <row r="12490" spans="1:98">
      <c r="A12490" s="532"/>
      <c r="AR12490" s="2513"/>
      <c r="CT12490" s="531"/>
    </row>
    <row r="12491" spans="1:98">
      <c r="A12491" s="532"/>
      <c r="AR12491" s="2513"/>
      <c r="CT12491" s="531"/>
    </row>
    <row r="12492" spans="1:98">
      <c r="A12492" s="532"/>
      <c r="AR12492" s="2513"/>
      <c r="CT12492" s="531"/>
    </row>
    <row r="12493" spans="1:98">
      <c r="A12493" s="532"/>
      <c r="AR12493" s="2513"/>
      <c r="CT12493" s="531"/>
    </row>
    <row r="12494" spans="1:98">
      <c r="A12494" s="532"/>
      <c r="AR12494" s="2513"/>
      <c r="CT12494" s="531"/>
    </row>
    <row r="12495" spans="1:98">
      <c r="A12495" s="532"/>
      <c r="AR12495" s="2513"/>
      <c r="CT12495" s="531"/>
    </row>
    <row r="12496" spans="1:98">
      <c r="A12496" s="532"/>
      <c r="AR12496" s="2513"/>
      <c r="CT12496" s="531"/>
    </row>
    <row r="12497" spans="1:98">
      <c r="A12497" s="532"/>
      <c r="AR12497" s="2513"/>
      <c r="CT12497" s="531"/>
    </row>
    <row r="12498" spans="1:98">
      <c r="A12498" s="532"/>
      <c r="AR12498" s="2513"/>
      <c r="CT12498" s="531"/>
    </row>
    <row r="12499" spans="1:98">
      <c r="A12499" s="532"/>
      <c r="AR12499" s="2513"/>
      <c r="CT12499" s="531"/>
    </row>
    <row r="12500" spans="1:98">
      <c r="A12500" s="532"/>
      <c r="AR12500" s="2513"/>
      <c r="CT12500" s="531"/>
    </row>
    <row r="12501" spans="1:98">
      <c r="A12501" s="532"/>
      <c r="AR12501" s="2513"/>
      <c r="CT12501" s="531"/>
    </row>
    <row r="12502" spans="1:98">
      <c r="A12502" s="532"/>
      <c r="AR12502" s="2513"/>
      <c r="CT12502" s="531"/>
    </row>
    <row r="12503" spans="1:98">
      <c r="A12503" s="532"/>
      <c r="AR12503" s="2513"/>
      <c r="CT12503" s="531"/>
    </row>
    <row r="12504" spans="1:98">
      <c r="A12504" s="532"/>
      <c r="AR12504" s="2513"/>
      <c r="CT12504" s="531"/>
    </row>
    <row r="12505" spans="1:98">
      <c r="A12505" s="532"/>
      <c r="AR12505" s="2513"/>
      <c r="CT12505" s="531"/>
    </row>
    <row r="12506" spans="1:98">
      <c r="A12506" s="532"/>
      <c r="AR12506" s="2513"/>
      <c r="CT12506" s="531"/>
    </row>
    <row r="12507" spans="1:98">
      <c r="A12507" s="532"/>
      <c r="AR12507" s="2513"/>
      <c r="CT12507" s="531"/>
    </row>
    <row r="12508" spans="1:98">
      <c r="A12508" s="532"/>
      <c r="AR12508" s="2513"/>
      <c r="CT12508" s="531"/>
    </row>
    <row r="12509" spans="1:98">
      <c r="A12509" s="532"/>
      <c r="AR12509" s="2513"/>
      <c r="CT12509" s="531"/>
    </row>
    <row r="12510" spans="1:98">
      <c r="A12510" s="532"/>
      <c r="AR12510" s="2513"/>
      <c r="CT12510" s="531"/>
    </row>
    <row r="12511" spans="1:98">
      <c r="A12511" s="532"/>
      <c r="AR12511" s="2513"/>
      <c r="CT12511" s="531"/>
    </row>
    <row r="12512" spans="1:98">
      <c r="A12512" s="532"/>
      <c r="AR12512" s="2513"/>
      <c r="CT12512" s="531"/>
    </row>
    <row r="12513" spans="1:98">
      <c r="A12513" s="532"/>
      <c r="AR12513" s="2513"/>
      <c r="CT12513" s="531"/>
    </row>
    <row r="12514" spans="1:98">
      <c r="A12514" s="532"/>
      <c r="AR12514" s="2513"/>
      <c r="CT12514" s="531"/>
    </row>
    <row r="12515" spans="1:98">
      <c r="A12515" s="532"/>
      <c r="AR12515" s="2513"/>
      <c r="CT12515" s="531"/>
    </row>
    <row r="12516" spans="1:98">
      <c r="A12516" s="532"/>
      <c r="AR12516" s="2513"/>
      <c r="CT12516" s="531"/>
    </row>
    <row r="12517" spans="1:98">
      <c r="A12517" s="532"/>
      <c r="AR12517" s="2513"/>
      <c r="CT12517" s="531"/>
    </row>
    <row r="12518" spans="1:98">
      <c r="A12518" s="532"/>
      <c r="AR12518" s="2513"/>
      <c r="CT12518" s="531"/>
    </row>
    <row r="12519" spans="1:98">
      <c r="A12519" s="532"/>
      <c r="AR12519" s="2513"/>
      <c r="CT12519" s="531"/>
    </row>
    <row r="12520" spans="1:98">
      <c r="A12520" s="532"/>
      <c r="AR12520" s="2513"/>
      <c r="CT12520" s="531"/>
    </row>
    <row r="12521" spans="1:98">
      <c r="A12521" s="532"/>
      <c r="AR12521" s="2513"/>
      <c r="CT12521" s="531"/>
    </row>
    <row r="12522" spans="1:98">
      <c r="A12522" s="532"/>
      <c r="AR12522" s="2513"/>
      <c r="CT12522" s="531"/>
    </row>
    <row r="12523" spans="1:98">
      <c r="A12523" s="532"/>
      <c r="AR12523" s="2513"/>
      <c r="CT12523" s="531"/>
    </row>
    <row r="12524" spans="1:98">
      <c r="A12524" s="532"/>
      <c r="AR12524" s="2513"/>
      <c r="CT12524" s="531"/>
    </row>
    <row r="12525" spans="1:98">
      <c r="A12525" s="532"/>
      <c r="AR12525" s="2513"/>
      <c r="CT12525" s="531"/>
    </row>
    <row r="12526" spans="1:98">
      <c r="A12526" s="532"/>
      <c r="AR12526" s="2513"/>
      <c r="CT12526" s="531"/>
    </row>
    <row r="12527" spans="1:98">
      <c r="A12527" s="532"/>
      <c r="AR12527" s="2513"/>
      <c r="CT12527" s="531"/>
    </row>
    <row r="12528" spans="1:98">
      <c r="A12528" s="532"/>
      <c r="AR12528" s="2513"/>
      <c r="CT12528" s="531"/>
    </row>
    <row r="12529" spans="1:98">
      <c r="A12529" s="532"/>
      <c r="AR12529" s="2513"/>
      <c r="CT12529" s="531"/>
    </row>
    <row r="12530" spans="1:98">
      <c r="A12530" s="532"/>
      <c r="AR12530" s="2513"/>
      <c r="CT12530" s="531"/>
    </row>
    <row r="12531" spans="1:98">
      <c r="A12531" s="532"/>
      <c r="AR12531" s="2513"/>
      <c r="CT12531" s="531"/>
    </row>
    <row r="12532" spans="1:98">
      <c r="A12532" s="532"/>
      <c r="AR12532" s="2513"/>
      <c r="CT12532" s="531"/>
    </row>
    <row r="12533" spans="1:98">
      <c r="A12533" s="532"/>
      <c r="AR12533" s="2513"/>
      <c r="CT12533" s="531"/>
    </row>
    <row r="12534" spans="1:98">
      <c r="A12534" s="532"/>
      <c r="AR12534" s="2513"/>
      <c r="CT12534" s="531"/>
    </row>
    <row r="12535" spans="1:98">
      <c r="A12535" s="532"/>
      <c r="AR12535" s="2513"/>
      <c r="CT12535" s="531"/>
    </row>
    <row r="12536" spans="1:98">
      <c r="A12536" s="532"/>
      <c r="AR12536" s="2513"/>
      <c r="CT12536" s="531"/>
    </row>
    <row r="12537" spans="1:98">
      <c r="A12537" s="532"/>
      <c r="AR12537" s="2513"/>
      <c r="CT12537" s="531"/>
    </row>
    <row r="12538" spans="1:98">
      <c r="A12538" s="532"/>
      <c r="AR12538" s="2513"/>
      <c r="CT12538" s="531"/>
    </row>
    <row r="12539" spans="1:98">
      <c r="A12539" s="532"/>
      <c r="AR12539" s="2513"/>
      <c r="CT12539" s="531"/>
    </row>
    <row r="12540" spans="1:98">
      <c r="A12540" s="532"/>
      <c r="AR12540" s="2513"/>
      <c r="CT12540" s="531"/>
    </row>
    <row r="12541" spans="1:98">
      <c r="A12541" s="532"/>
      <c r="AR12541" s="2513"/>
      <c r="CT12541" s="531"/>
    </row>
    <row r="12542" spans="1:98">
      <c r="A12542" s="532"/>
      <c r="AR12542" s="2513"/>
      <c r="CT12542" s="531"/>
    </row>
    <row r="12543" spans="1:98">
      <c r="A12543" s="532"/>
      <c r="AR12543" s="2513"/>
      <c r="CT12543" s="531"/>
    </row>
    <row r="12544" spans="1:98">
      <c r="A12544" s="532"/>
      <c r="AR12544" s="2513"/>
      <c r="CT12544" s="531"/>
    </row>
    <row r="12545" spans="1:98">
      <c r="A12545" s="532"/>
      <c r="AR12545" s="2513"/>
      <c r="CT12545" s="531"/>
    </row>
    <row r="12546" spans="1:98">
      <c r="A12546" s="532"/>
      <c r="AR12546" s="2513"/>
      <c r="CT12546" s="531"/>
    </row>
    <row r="12547" spans="1:98">
      <c r="A12547" s="532"/>
      <c r="AR12547" s="2513"/>
      <c r="CT12547" s="531"/>
    </row>
    <row r="12548" spans="1:98">
      <c r="A12548" s="532"/>
      <c r="AR12548" s="2513"/>
      <c r="CT12548" s="531"/>
    </row>
    <row r="12549" spans="1:98">
      <c r="A12549" s="532"/>
      <c r="AR12549" s="2513"/>
      <c r="CT12549" s="531"/>
    </row>
    <row r="12550" spans="1:98">
      <c r="A12550" s="532"/>
      <c r="AR12550" s="2513"/>
      <c r="CT12550" s="531"/>
    </row>
    <row r="12551" spans="1:98">
      <c r="A12551" s="532"/>
      <c r="AR12551" s="2513"/>
      <c r="CT12551" s="531"/>
    </row>
    <row r="12552" spans="1:98">
      <c r="A12552" s="532"/>
      <c r="AR12552" s="2513"/>
      <c r="CT12552" s="531"/>
    </row>
    <row r="12553" spans="1:98">
      <c r="A12553" s="532"/>
      <c r="AR12553" s="2513"/>
      <c r="CT12553" s="531"/>
    </row>
    <row r="12554" spans="1:98">
      <c r="A12554" s="532"/>
      <c r="AR12554" s="2513"/>
      <c r="CT12554" s="531"/>
    </row>
    <row r="12555" spans="1:98">
      <c r="A12555" s="532"/>
      <c r="AR12555" s="2513"/>
      <c r="CT12555" s="531"/>
    </row>
    <row r="12556" spans="1:98">
      <c r="A12556" s="532"/>
      <c r="AR12556" s="2513"/>
      <c r="CT12556" s="531"/>
    </row>
    <row r="12557" spans="1:98">
      <c r="A12557" s="532"/>
      <c r="AR12557" s="2513"/>
      <c r="CT12557" s="531"/>
    </row>
    <row r="12558" spans="1:98">
      <c r="A12558" s="532"/>
      <c r="AR12558" s="2513"/>
      <c r="CT12558" s="531"/>
    </row>
    <row r="12559" spans="1:98">
      <c r="A12559" s="532"/>
      <c r="AR12559" s="2513"/>
      <c r="CT12559" s="531"/>
    </row>
    <row r="12560" spans="1:98">
      <c r="A12560" s="532"/>
      <c r="AR12560" s="2513"/>
      <c r="CT12560" s="531"/>
    </row>
    <row r="12561" spans="1:98">
      <c r="A12561" s="532"/>
      <c r="AR12561" s="2513"/>
      <c r="CT12561" s="531"/>
    </row>
    <row r="12562" spans="1:98">
      <c r="A12562" s="532"/>
      <c r="AR12562" s="2513"/>
      <c r="CT12562" s="531"/>
    </row>
    <row r="12563" spans="1:98">
      <c r="A12563" s="532"/>
      <c r="AR12563" s="2513"/>
      <c r="CT12563" s="531"/>
    </row>
    <row r="12564" spans="1:98">
      <c r="A12564" s="532"/>
      <c r="AR12564" s="2513"/>
      <c r="CT12564" s="531"/>
    </row>
    <row r="12565" spans="1:98">
      <c r="A12565" s="532"/>
      <c r="AR12565" s="2513"/>
      <c r="CT12565" s="531"/>
    </row>
    <row r="12566" spans="1:98">
      <c r="A12566" s="532"/>
      <c r="AR12566" s="2513"/>
      <c r="CT12566" s="531"/>
    </row>
    <row r="12567" spans="1:98">
      <c r="A12567" s="532"/>
      <c r="AR12567" s="2513"/>
      <c r="CT12567" s="531"/>
    </row>
    <row r="12568" spans="1:98">
      <c r="A12568" s="532"/>
      <c r="AR12568" s="2513"/>
      <c r="CT12568" s="531"/>
    </row>
    <row r="12569" spans="1:98">
      <c r="A12569" s="532"/>
      <c r="AR12569" s="2513"/>
      <c r="CT12569" s="531"/>
    </row>
    <row r="12570" spans="1:98">
      <c r="A12570" s="532"/>
      <c r="AR12570" s="2513"/>
      <c r="CT12570" s="531"/>
    </row>
    <row r="12571" spans="1:98">
      <c r="A12571" s="532"/>
      <c r="AR12571" s="2513"/>
      <c r="CT12571" s="531"/>
    </row>
    <row r="12572" spans="1:98">
      <c r="A12572" s="532"/>
      <c r="AR12572" s="2513"/>
      <c r="CT12572" s="531"/>
    </row>
    <row r="12573" spans="1:98">
      <c r="A12573" s="532"/>
      <c r="AR12573" s="2513"/>
      <c r="CT12573" s="531"/>
    </row>
    <row r="12574" spans="1:98">
      <c r="A12574" s="532"/>
      <c r="AR12574" s="2513"/>
      <c r="CT12574" s="531"/>
    </row>
    <row r="12575" spans="1:98">
      <c r="A12575" s="532"/>
      <c r="AR12575" s="2513"/>
      <c r="CT12575" s="531"/>
    </row>
    <row r="12576" spans="1:98">
      <c r="A12576" s="532"/>
      <c r="AR12576" s="2513"/>
      <c r="CT12576" s="531"/>
    </row>
    <row r="12577" spans="1:98">
      <c r="A12577" s="532"/>
      <c r="AR12577" s="2513"/>
      <c r="CT12577" s="531"/>
    </row>
    <row r="12578" spans="1:98">
      <c r="A12578" s="532"/>
      <c r="AR12578" s="2513"/>
      <c r="CT12578" s="531"/>
    </row>
    <row r="12579" spans="1:98">
      <c r="A12579" s="532"/>
      <c r="AR12579" s="2513"/>
      <c r="CT12579" s="531"/>
    </row>
    <row r="12580" spans="1:98">
      <c r="A12580" s="532"/>
      <c r="AR12580" s="2513"/>
      <c r="CT12580" s="531"/>
    </row>
    <row r="12581" spans="1:98">
      <c r="A12581" s="532"/>
      <c r="AR12581" s="2513"/>
      <c r="CT12581" s="531"/>
    </row>
    <row r="12582" spans="1:98">
      <c r="A12582" s="532"/>
      <c r="AR12582" s="2513"/>
      <c r="CT12582" s="531"/>
    </row>
    <row r="12583" spans="1:98">
      <c r="A12583" s="532"/>
      <c r="AR12583" s="2513"/>
      <c r="CT12583" s="531"/>
    </row>
    <row r="12584" spans="1:98">
      <c r="A12584" s="532"/>
      <c r="AR12584" s="2513"/>
      <c r="CT12584" s="531"/>
    </row>
    <row r="12585" spans="1:98">
      <c r="A12585" s="532"/>
      <c r="AR12585" s="2513"/>
      <c r="CT12585" s="531"/>
    </row>
    <row r="12586" spans="1:98">
      <c r="A12586" s="532"/>
      <c r="AR12586" s="2513"/>
      <c r="CT12586" s="531"/>
    </row>
    <row r="12587" spans="1:98">
      <c r="A12587" s="532"/>
      <c r="AR12587" s="2513"/>
      <c r="CT12587" s="531"/>
    </row>
    <row r="12588" spans="1:98">
      <c r="A12588" s="532"/>
      <c r="AR12588" s="2513"/>
      <c r="CT12588" s="531"/>
    </row>
    <row r="12589" spans="1:98">
      <c r="A12589" s="532"/>
      <c r="AR12589" s="2513"/>
      <c r="CT12589" s="531"/>
    </row>
    <row r="12590" spans="1:98">
      <c r="A12590" s="532"/>
      <c r="AR12590" s="2513"/>
      <c r="CT12590" s="531"/>
    </row>
    <row r="12591" spans="1:98">
      <c r="A12591" s="532"/>
      <c r="AR12591" s="2513"/>
      <c r="CT12591" s="531"/>
    </row>
    <row r="12592" spans="1:98">
      <c r="A12592" s="532"/>
      <c r="AR12592" s="2513"/>
      <c r="CT12592" s="531"/>
    </row>
    <row r="12593" spans="1:98">
      <c r="A12593" s="532"/>
      <c r="AR12593" s="2513"/>
      <c r="CT12593" s="531"/>
    </row>
    <row r="12594" spans="1:98">
      <c r="A12594" s="532"/>
      <c r="AR12594" s="2513"/>
      <c r="CT12594" s="531"/>
    </row>
    <row r="12595" spans="1:98">
      <c r="A12595" s="532"/>
      <c r="AR12595" s="2513"/>
      <c r="CT12595" s="531"/>
    </row>
    <row r="12596" spans="1:98">
      <c r="A12596" s="532"/>
      <c r="AR12596" s="2513"/>
      <c r="CT12596" s="531"/>
    </row>
    <row r="12597" spans="1:98">
      <c r="A12597" s="532"/>
      <c r="AR12597" s="2513"/>
      <c r="CT12597" s="531"/>
    </row>
    <row r="12598" spans="1:98">
      <c r="A12598" s="532"/>
      <c r="AR12598" s="2513"/>
      <c r="CT12598" s="531"/>
    </row>
    <row r="12599" spans="1:98">
      <c r="A12599" s="532"/>
      <c r="AR12599" s="2513"/>
      <c r="CT12599" s="531"/>
    </row>
    <row r="12600" spans="1:98">
      <c r="A12600" s="532"/>
      <c r="AR12600" s="2513"/>
      <c r="CT12600" s="531"/>
    </row>
    <row r="12601" spans="1:98">
      <c r="A12601" s="532"/>
      <c r="AR12601" s="2513"/>
      <c r="CT12601" s="531"/>
    </row>
    <row r="12602" spans="1:98">
      <c r="A12602" s="532"/>
      <c r="AR12602" s="2513"/>
      <c r="CT12602" s="531"/>
    </row>
    <row r="12603" spans="1:98">
      <c r="A12603" s="532"/>
      <c r="AR12603" s="2513"/>
      <c r="CT12603" s="531"/>
    </row>
    <row r="12604" spans="1:98">
      <c r="A12604" s="532"/>
      <c r="AR12604" s="2513"/>
      <c r="CT12604" s="531"/>
    </row>
    <row r="12605" spans="1:98">
      <c r="A12605" s="532"/>
      <c r="AR12605" s="2513"/>
      <c r="CT12605" s="531"/>
    </row>
    <row r="12606" spans="1:98">
      <c r="A12606" s="532"/>
      <c r="AR12606" s="2513"/>
      <c r="CT12606" s="531"/>
    </row>
    <row r="12607" spans="1:98">
      <c r="A12607" s="532"/>
      <c r="AR12607" s="2513"/>
      <c r="CT12607" s="531"/>
    </row>
    <row r="12608" spans="1:98">
      <c r="A12608" s="532"/>
      <c r="AR12608" s="2513"/>
      <c r="CT12608" s="531"/>
    </row>
    <row r="12609" spans="1:98">
      <c r="A12609" s="532"/>
      <c r="AR12609" s="2513"/>
      <c r="CT12609" s="531"/>
    </row>
    <row r="12610" spans="1:98">
      <c r="A12610" s="532"/>
      <c r="AR12610" s="2513"/>
      <c r="CT12610" s="531"/>
    </row>
    <row r="12611" spans="1:98">
      <c r="A12611" s="532"/>
      <c r="AR12611" s="2513"/>
      <c r="CT12611" s="531"/>
    </row>
    <row r="12612" spans="1:98">
      <c r="A12612" s="532"/>
      <c r="AR12612" s="2513"/>
      <c r="CT12612" s="531"/>
    </row>
    <row r="12613" spans="1:98">
      <c r="A12613" s="532"/>
      <c r="AR12613" s="2513"/>
      <c r="CT12613" s="531"/>
    </row>
    <row r="12614" spans="1:98">
      <c r="A12614" s="532"/>
      <c r="AR12614" s="2513"/>
      <c r="CT12614" s="531"/>
    </row>
    <row r="12615" spans="1:98">
      <c r="A12615" s="532"/>
      <c r="AR12615" s="2513"/>
      <c r="CT12615" s="531"/>
    </row>
    <row r="12616" spans="1:98">
      <c r="A12616" s="532"/>
      <c r="AR12616" s="2513"/>
      <c r="CT12616" s="531"/>
    </row>
    <row r="12617" spans="1:98">
      <c r="A12617" s="532"/>
      <c r="AR12617" s="2513"/>
      <c r="CT12617" s="531"/>
    </row>
    <row r="12618" spans="1:98">
      <c r="A12618" s="532"/>
      <c r="AR12618" s="2513"/>
      <c r="CT12618" s="531"/>
    </row>
    <row r="12619" spans="1:98">
      <c r="A12619" s="532"/>
      <c r="AR12619" s="2513"/>
      <c r="CT12619" s="531"/>
    </row>
    <row r="12620" spans="1:98">
      <c r="A12620" s="532"/>
      <c r="AR12620" s="2513"/>
      <c r="CT12620" s="531"/>
    </row>
    <row r="12621" spans="1:98">
      <c r="A12621" s="532"/>
      <c r="AR12621" s="2513"/>
      <c r="CT12621" s="531"/>
    </row>
    <row r="12622" spans="1:98">
      <c r="A12622" s="532"/>
      <c r="AR12622" s="2513"/>
      <c r="CT12622" s="531"/>
    </row>
    <row r="12623" spans="1:98">
      <c r="A12623" s="532"/>
      <c r="AR12623" s="2513"/>
      <c r="CT12623" s="531"/>
    </row>
    <row r="12624" spans="1:98">
      <c r="A12624" s="532"/>
      <c r="AR12624" s="2513"/>
      <c r="CT12624" s="531"/>
    </row>
    <row r="12625" spans="1:98">
      <c r="A12625" s="532"/>
      <c r="AR12625" s="2513"/>
      <c r="CT12625" s="531"/>
    </row>
    <row r="12626" spans="1:98">
      <c r="A12626" s="532"/>
      <c r="AR12626" s="2513"/>
      <c r="CT12626" s="531"/>
    </row>
    <row r="12627" spans="1:98">
      <c r="A12627" s="532"/>
      <c r="AR12627" s="2513"/>
      <c r="CT12627" s="531"/>
    </row>
    <row r="12628" spans="1:98">
      <c r="A12628" s="532"/>
      <c r="AR12628" s="2513"/>
      <c r="CT12628" s="531"/>
    </row>
    <row r="12629" spans="1:98">
      <c r="A12629" s="532"/>
      <c r="AR12629" s="2513"/>
      <c r="CT12629" s="531"/>
    </row>
    <row r="12630" spans="1:98">
      <c r="A12630" s="532"/>
      <c r="AR12630" s="2513"/>
      <c r="CT12630" s="531"/>
    </row>
    <row r="12631" spans="1:98">
      <c r="A12631" s="532"/>
      <c r="AR12631" s="2513"/>
      <c r="CT12631" s="531"/>
    </row>
    <row r="12632" spans="1:98">
      <c r="A12632" s="532"/>
      <c r="AR12632" s="2513"/>
      <c r="CT12632" s="531"/>
    </row>
    <row r="12633" spans="1:98">
      <c r="A12633" s="532"/>
      <c r="AR12633" s="2513"/>
      <c r="CT12633" s="531"/>
    </row>
    <row r="12634" spans="1:98">
      <c r="A12634" s="532"/>
      <c r="AR12634" s="2513"/>
      <c r="CT12634" s="531"/>
    </row>
    <row r="12635" spans="1:98">
      <c r="A12635" s="532"/>
      <c r="AR12635" s="2513"/>
      <c r="CT12635" s="531"/>
    </row>
    <row r="12636" spans="1:98">
      <c r="A12636" s="532"/>
      <c r="AR12636" s="2513"/>
      <c r="CT12636" s="531"/>
    </row>
    <row r="12637" spans="1:98">
      <c r="A12637" s="532"/>
      <c r="AR12637" s="2513"/>
      <c r="CT12637" s="531"/>
    </row>
    <row r="12638" spans="1:98">
      <c r="A12638" s="532"/>
      <c r="AR12638" s="2513"/>
      <c r="CT12638" s="531"/>
    </row>
    <row r="12639" spans="1:98">
      <c r="A12639" s="532"/>
      <c r="AR12639" s="2513"/>
      <c r="CT12639" s="531"/>
    </row>
    <row r="12640" spans="1:98">
      <c r="A12640" s="532"/>
      <c r="AR12640" s="2513"/>
      <c r="CT12640" s="531"/>
    </row>
    <row r="12641" spans="1:98">
      <c r="A12641" s="532"/>
      <c r="AR12641" s="2513"/>
      <c r="CT12641" s="531"/>
    </row>
    <row r="12642" spans="1:98">
      <c r="A12642" s="532"/>
      <c r="AR12642" s="2513"/>
      <c r="CT12642" s="531"/>
    </row>
    <row r="12643" spans="1:98">
      <c r="A12643" s="532"/>
      <c r="AR12643" s="2513"/>
      <c r="CT12643" s="531"/>
    </row>
    <row r="12644" spans="1:98">
      <c r="A12644" s="532"/>
      <c r="AR12644" s="2513"/>
      <c r="CT12644" s="531"/>
    </row>
    <row r="12645" spans="1:98">
      <c r="A12645" s="532"/>
      <c r="AR12645" s="2513"/>
      <c r="CT12645" s="531"/>
    </row>
    <row r="12646" spans="1:98">
      <c r="A12646" s="532"/>
      <c r="AR12646" s="2513"/>
      <c r="CT12646" s="531"/>
    </row>
    <row r="12647" spans="1:98">
      <c r="A12647" s="532"/>
      <c r="AR12647" s="2513"/>
      <c r="CT12647" s="531"/>
    </row>
    <row r="12648" spans="1:98">
      <c r="A12648" s="532"/>
      <c r="AR12648" s="2513"/>
      <c r="CT12648" s="531"/>
    </row>
    <row r="12649" spans="1:98">
      <c r="A12649" s="532"/>
      <c r="AR12649" s="2513"/>
      <c r="CT12649" s="531"/>
    </row>
    <row r="12650" spans="1:98">
      <c r="A12650" s="532"/>
      <c r="AR12650" s="2513"/>
      <c r="CT12650" s="531"/>
    </row>
    <row r="12651" spans="1:98">
      <c r="A12651" s="532"/>
      <c r="AR12651" s="2513"/>
      <c r="CT12651" s="531"/>
    </row>
    <row r="12652" spans="1:98">
      <c r="A12652" s="532"/>
      <c r="AR12652" s="2513"/>
      <c r="CT12652" s="531"/>
    </row>
    <row r="12653" spans="1:98">
      <c r="A12653" s="532"/>
      <c r="AR12653" s="2513"/>
      <c r="CT12653" s="531"/>
    </row>
    <row r="12654" spans="1:98">
      <c r="A12654" s="532"/>
      <c r="AR12654" s="2513"/>
      <c r="CT12654" s="531"/>
    </row>
    <row r="12655" spans="1:98">
      <c r="A12655" s="532"/>
      <c r="AR12655" s="2513"/>
      <c r="CT12655" s="531"/>
    </row>
    <row r="12656" spans="1:98">
      <c r="A12656" s="532"/>
      <c r="AR12656" s="2513"/>
      <c r="CT12656" s="531"/>
    </row>
    <row r="12657" spans="1:98">
      <c r="A12657" s="532"/>
      <c r="AR12657" s="2513"/>
      <c r="CT12657" s="531"/>
    </row>
    <row r="12658" spans="1:98">
      <c r="A12658" s="532"/>
      <c r="AR12658" s="2513"/>
      <c r="CT12658" s="531"/>
    </row>
    <row r="12659" spans="1:98">
      <c r="A12659" s="532"/>
      <c r="AR12659" s="2513"/>
      <c r="CT12659" s="531"/>
    </row>
    <row r="12660" spans="1:98">
      <c r="A12660" s="532"/>
      <c r="AR12660" s="2513"/>
      <c r="CT12660" s="531"/>
    </row>
    <row r="12661" spans="1:98">
      <c r="A12661" s="532"/>
      <c r="AR12661" s="2513"/>
      <c r="CT12661" s="531"/>
    </row>
    <row r="12662" spans="1:98">
      <c r="A12662" s="532"/>
      <c r="AR12662" s="2513"/>
      <c r="CT12662" s="531"/>
    </row>
    <row r="12663" spans="1:98">
      <c r="A12663" s="532"/>
      <c r="AR12663" s="2513"/>
      <c r="CT12663" s="531"/>
    </row>
    <row r="12664" spans="1:98">
      <c r="A12664" s="532"/>
      <c r="AR12664" s="2513"/>
      <c r="CT12664" s="531"/>
    </row>
    <row r="12665" spans="1:98">
      <c r="A12665" s="532"/>
      <c r="AR12665" s="2513"/>
      <c r="CT12665" s="531"/>
    </row>
    <row r="12666" spans="1:98">
      <c r="A12666" s="532"/>
      <c r="AR12666" s="2513"/>
      <c r="CT12666" s="531"/>
    </row>
    <row r="12667" spans="1:98">
      <c r="A12667" s="532"/>
      <c r="AR12667" s="2513"/>
      <c r="CT12667" s="531"/>
    </row>
    <row r="12668" spans="1:98">
      <c r="A12668" s="532"/>
      <c r="AR12668" s="2513"/>
      <c r="CT12668" s="531"/>
    </row>
    <row r="12669" spans="1:98">
      <c r="A12669" s="532"/>
      <c r="AR12669" s="2513"/>
      <c r="CT12669" s="531"/>
    </row>
    <row r="12670" spans="1:98">
      <c r="A12670" s="532"/>
      <c r="AR12670" s="2513"/>
      <c r="CT12670" s="531"/>
    </row>
    <row r="12671" spans="1:98">
      <c r="A12671" s="532"/>
      <c r="AR12671" s="2513"/>
      <c r="CT12671" s="531"/>
    </row>
    <row r="12672" spans="1:98">
      <c r="A12672" s="532"/>
      <c r="AR12672" s="2513"/>
      <c r="CT12672" s="531"/>
    </row>
    <row r="12673" spans="1:98">
      <c r="A12673" s="532"/>
      <c r="AR12673" s="2513"/>
      <c r="CT12673" s="531"/>
    </row>
    <row r="12674" spans="1:98">
      <c r="A12674" s="532"/>
      <c r="AR12674" s="2513"/>
      <c r="CT12674" s="531"/>
    </row>
    <row r="12675" spans="1:98">
      <c r="A12675" s="532"/>
      <c r="AR12675" s="2513"/>
      <c r="CT12675" s="531"/>
    </row>
    <row r="12676" spans="1:98">
      <c r="A12676" s="532"/>
      <c r="AR12676" s="2513"/>
      <c r="CT12676" s="531"/>
    </row>
    <row r="12677" spans="1:98">
      <c r="A12677" s="532"/>
      <c r="AR12677" s="2513"/>
      <c r="CT12677" s="531"/>
    </row>
    <row r="12678" spans="1:98">
      <c r="A12678" s="532"/>
      <c r="AR12678" s="2513"/>
      <c r="CT12678" s="531"/>
    </row>
    <row r="12679" spans="1:98">
      <c r="A12679" s="532"/>
      <c r="AR12679" s="2513"/>
      <c r="CT12679" s="531"/>
    </row>
    <row r="12680" spans="1:98">
      <c r="A12680" s="532"/>
      <c r="AR12680" s="2513"/>
      <c r="CT12680" s="531"/>
    </row>
    <row r="12681" spans="1:98">
      <c r="A12681" s="532"/>
      <c r="AR12681" s="2513"/>
      <c r="CT12681" s="531"/>
    </row>
    <row r="12682" spans="1:98">
      <c r="A12682" s="532"/>
      <c r="AR12682" s="2513"/>
      <c r="CT12682" s="531"/>
    </row>
    <row r="12683" spans="1:98">
      <c r="A12683" s="532"/>
      <c r="AR12683" s="2513"/>
      <c r="CT12683" s="531"/>
    </row>
    <row r="12684" spans="1:98">
      <c r="A12684" s="532"/>
      <c r="AR12684" s="2513"/>
      <c r="CT12684" s="531"/>
    </row>
    <row r="12685" spans="1:98">
      <c r="A12685" s="532"/>
      <c r="AR12685" s="2513"/>
      <c r="CT12685" s="531"/>
    </row>
    <row r="12686" spans="1:98">
      <c r="A12686" s="532"/>
      <c r="AR12686" s="2513"/>
      <c r="CT12686" s="531"/>
    </row>
    <row r="12687" spans="1:98">
      <c r="A12687" s="532"/>
      <c r="AR12687" s="2513"/>
      <c r="CT12687" s="531"/>
    </row>
    <row r="12688" spans="1:98">
      <c r="A12688" s="532"/>
      <c r="AR12688" s="2513"/>
      <c r="CT12688" s="531"/>
    </row>
    <row r="12689" spans="1:98">
      <c r="A12689" s="532"/>
      <c r="AR12689" s="2513"/>
      <c r="CT12689" s="531"/>
    </row>
    <row r="12690" spans="1:98">
      <c r="A12690" s="532"/>
      <c r="AR12690" s="2513"/>
      <c r="CT12690" s="531"/>
    </row>
    <row r="12691" spans="1:98">
      <c r="A12691" s="532"/>
      <c r="AR12691" s="2513"/>
      <c r="CT12691" s="531"/>
    </row>
    <row r="12692" spans="1:98">
      <c r="A12692" s="532"/>
      <c r="AR12692" s="2513"/>
      <c r="CT12692" s="531"/>
    </row>
    <row r="12693" spans="1:98">
      <c r="A12693" s="532"/>
      <c r="AR12693" s="2513"/>
      <c r="CT12693" s="531"/>
    </row>
    <row r="12694" spans="1:98">
      <c r="A12694" s="532"/>
      <c r="AR12694" s="2513"/>
      <c r="CT12694" s="531"/>
    </row>
    <row r="12695" spans="1:98">
      <c r="A12695" s="532"/>
      <c r="AR12695" s="2513"/>
      <c r="CT12695" s="531"/>
    </row>
    <row r="12696" spans="1:98">
      <c r="A12696" s="532"/>
      <c r="AR12696" s="2513"/>
      <c r="CT12696" s="531"/>
    </row>
    <row r="12697" spans="1:98">
      <c r="A12697" s="532"/>
      <c r="AR12697" s="2513"/>
      <c r="CT12697" s="531"/>
    </row>
    <row r="12698" spans="1:98">
      <c r="A12698" s="532"/>
      <c r="AR12698" s="2513"/>
      <c r="CT12698" s="531"/>
    </row>
    <row r="12699" spans="1:98">
      <c r="A12699" s="532"/>
      <c r="AR12699" s="2513"/>
      <c r="CT12699" s="531"/>
    </row>
    <row r="12700" spans="1:98">
      <c r="A12700" s="532"/>
      <c r="AR12700" s="2513"/>
      <c r="CT12700" s="531"/>
    </row>
    <row r="12701" spans="1:98">
      <c r="A12701" s="532"/>
      <c r="AR12701" s="2513"/>
      <c r="CT12701" s="531"/>
    </row>
    <row r="12702" spans="1:98">
      <c r="A12702" s="532"/>
      <c r="AR12702" s="2513"/>
      <c r="CT12702" s="531"/>
    </row>
    <row r="12703" spans="1:98">
      <c r="A12703" s="532"/>
      <c r="AR12703" s="2513"/>
      <c r="CT12703" s="531"/>
    </row>
    <row r="12704" spans="1:98">
      <c r="A12704" s="532"/>
      <c r="AR12704" s="2513"/>
      <c r="CT12704" s="531"/>
    </row>
    <row r="12705" spans="1:98">
      <c r="A12705" s="532"/>
      <c r="AR12705" s="2513"/>
      <c r="CT12705" s="531"/>
    </row>
    <row r="12706" spans="1:98">
      <c r="A12706" s="532"/>
      <c r="AR12706" s="2513"/>
      <c r="CT12706" s="531"/>
    </row>
    <row r="12707" spans="1:98">
      <c r="A12707" s="532"/>
      <c r="AR12707" s="2513"/>
      <c r="CT12707" s="531"/>
    </row>
    <row r="12708" spans="1:98">
      <c r="A12708" s="532"/>
      <c r="AR12708" s="2513"/>
      <c r="CT12708" s="531"/>
    </row>
    <row r="12709" spans="1:98">
      <c r="A12709" s="532"/>
      <c r="AR12709" s="2513"/>
      <c r="CT12709" s="531"/>
    </row>
    <row r="12710" spans="1:98">
      <c r="A12710" s="532"/>
      <c r="AR12710" s="2513"/>
      <c r="CT12710" s="531"/>
    </row>
    <row r="12711" spans="1:98">
      <c r="A12711" s="532"/>
      <c r="AR12711" s="2513"/>
      <c r="CT12711" s="531"/>
    </row>
    <row r="12712" spans="1:98">
      <c r="A12712" s="532"/>
      <c r="AR12712" s="2513"/>
      <c r="CT12712" s="531"/>
    </row>
    <row r="12713" spans="1:98">
      <c r="A12713" s="532"/>
      <c r="AR12713" s="2513"/>
      <c r="CT12713" s="531"/>
    </row>
    <row r="12714" spans="1:98">
      <c r="A12714" s="532"/>
      <c r="AR12714" s="2513"/>
      <c r="CT12714" s="531"/>
    </row>
    <row r="12715" spans="1:98">
      <c r="A12715" s="532"/>
      <c r="AR12715" s="2513"/>
      <c r="CT12715" s="531"/>
    </row>
    <row r="12716" spans="1:98">
      <c r="A12716" s="532"/>
      <c r="AR12716" s="2513"/>
      <c r="CT12716" s="531"/>
    </row>
    <row r="12717" spans="1:98">
      <c r="A12717" s="532"/>
      <c r="AR12717" s="2513"/>
      <c r="CT12717" s="531"/>
    </row>
    <row r="12718" spans="1:98">
      <c r="A12718" s="532"/>
      <c r="AR12718" s="2513"/>
      <c r="CT12718" s="531"/>
    </row>
    <row r="12719" spans="1:98">
      <c r="A12719" s="532"/>
      <c r="AR12719" s="2513"/>
      <c r="CT12719" s="531"/>
    </row>
    <row r="12720" spans="1:98">
      <c r="A12720" s="532"/>
      <c r="AR12720" s="2513"/>
      <c r="CT12720" s="531"/>
    </row>
    <row r="12721" spans="1:98">
      <c r="A12721" s="532"/>
      <c r="AR12721" s="2513"/>
      <c r="CT12721" s="531"/>
    </row>
    <row r="12722" spans="1:98">
      <c r="A12722" s="532"/>
      <c r="AR12722" s="2513"/>
      <c r="CT12722" s="531"/>
    </row>
    <row r="12723" spans="1:98">
      <c r="A12723" s="532"/>
      <c r="AR12723" s="2513"/>
      <c r="CT12723" s="531"/>
    </row>
    <row r="12724" spans="1:98">
      <c r="A12724" s="532"/>
      <c r="AR12724" s="2513"/>
      <c r="CT12724" s="531"/>
    </row>
    <row r="12725" spans="1:98">
      <c r="A12725" s="532"/>
      <c r="AR12725" s="2513"/>
      <c r="CT12725" s="531"/>
    </row>
    <row r="12726" spans="1:98">
      <c r="A12726" s="532"/>
      <c r="AR12726" s="2513"/>
      <c r="CT12726" s="531"/>
    </row>
    <row r="12727" spans="1:98">
      <c r="A12727" s="532"/>
      <c r="AR12727" s="2513"/>
      <c r="CT12727" s="531"/>
    </row>
    <row r="12728" spans="1:98">
      <c r="A12728" s="532"/>
      <c r="AR12728" s="2513"/>
      <c r="CT12728" s="531"/>
    </row>
    <row r="12729" spans="1:98">
      <c r="A12729" s="532"/>
      <c r="AR12729" s="2513"/>
      <c r="CT12729" s="531"/>
    </row>
    <row r="12730" spans="1:98">
      <c r="A12730" s="532"/>
      <c r="AR12730" s="2513"/>
      <c r="CT12730" s="531"/>
    </row>
    <row r="12731" spans="1:98">
      <c r="A12731" s="532"/>
      <c r="AR12731" s="2513"/>
      <c r="CT12731" s="531"/>
    </row>
    <row r="12732" spans="1:98">
      <c r="A12732" s="532"/>
      <c r="AR12732" s="2513"/>
      <c r="CT12732" s="531"/>
    </row>
    <row r="12733" spans="1:98">
      <c r="A12733" s="532"/>
      <c r="AR12733" s="2513"/>
      <c r="CT12733" s="531"/>
    </row>
    <row r="12734" spans="1:98">
      <c r="A12734" s="532"/>
      <c r="AR12734" s="2513"/>
      <c r="CT12734" s="531"/>
    </row>
    <row r="12735" spans="1:98">
      <c r="A12735" s="532"/>
      <c r="AR12735" s="2513"/>
      <c r="CT12735" s="531"/>
    </row>
    <row r="12736" spans="1:98">
      <c r="A12736" s="532"/>
      <c r="AR12736" s="2513"/>
      <c r="CT12736" s="531"/>
    </row>
    <row r="12737" spans="1:98">
      <c r="A12737" s="532"/>
      <c r="AR12737" s="2513"/>
      <c r="CT12737" s="531"/>
    </row>
    <row r="12738" spans="1:98">
      <c r="A12738" s="532"/>
      <c r="AR12738" s="2513"/>
      <c r="CT12738" s="531"/>
    </row>
    <row r="12739" spans="1:98">
      <c r="A12739" s="532"/>
      <c r="AR12739" s="2513"/>
      <c r="CT12739" s="531"/>
    </row>
    <row r="12740" spans="1:98">
      <c r="A12740" s="532"/>
      <c r="AR12740" s="2513"/>
      <c r="CT12740" s="531"/>
    </row>
    <row r="12741" spans="1:98">
      <c r="A12741" s="532"/>
      <c r="AR12741" s="2513"/>
      <c r="CT12741" s="531"/>
    </row>
    <row r="12742" spans="1:98">
      <c r="A12742" s="532"/>
      <c r="AR12742" s="2513"/>
      <c r="CT12742" s="531"/>
    </row>
    <row r="12743" spans="1:98">
      <c r="A12743" s="532"/>
      <c r="AR12743" s="2513"/>
      <c r="CT12743" s="531"/>
    </row>
    <row r="12744" spans="1:98">
      <c r="A12744" s="532"/>
      <c r="AR12744" s="2513"/>
      <c r="CT12744" s="531"/>
    </row>
    <row r="12745" spans="1:98">
      <c r="A12745" s="532"/>
      <c r="AR12745" s="2513"/>
      <c r="CT12745" s="531"/>
    </row>
    <row r="12746" spans="1:98">
      <c r="A12746" s="532"/>
      <c r="AR12746" s="2513"/>
      <c r="CT12746" s="531"/>
    </row>
    <row r="12747" spans="1:98">
      <c r="A12747" s="532"/>
      <c r="AR12747" s="2513"/>
      <c r="CT12747" s="531"/>
    </row>
    <row r="12748" spans="1:98">
      <c r="A12748" s="532"/>
      <c r="AR12748" s="2513"/>
      <c r="CT12748" s="531"/>
    </row>
    <row r="12749" spans="1:98">
      <c r="A12749" s="532"/>
      <c r="AR12749" s="2513"/>
      <c r="CT12749" s="531"/>
    </row>
    <row r="12750" spans="1:98">
      <c r="A12750" s="532"/>
      <c r="AR12750" s="2513"/>
      <c r="CT12750" s="531"/>
    </row>
    <row r="12751" spans="1:98">
      <c r="A12751" s="532"/>
      <c r="AR12751" s="2513"/>
      <c r="CT12751" s="531"/>
    </row>
    <row r="12752" spans="1:98">
      <c r="A12752" s="532"/>
      <c r="AR12752" s="2513"/>
      <c r="CT12752" s="531"/>
    </row>
    <row r="12753" spans="1:98">
      <c r="A12753" s="532"/>
      <c r="AR12753" s="2513"/>
      <c r="CT12753" s="531"/>
    </row>
    <row r="12754" spans="1:98">
      <c r="A12754" s="532"/>
      <c r="AR12754" s="2513"/>
      <c r="CT12754" s="531"/>
    </row>
    <row r="12755" spans="1:98">
      <c r="A12755" s="532"/>
      <c r="AR12755" s="2513"/>
      <c r="CT12755" s="531"/>
    </row>
    <row r="12756" spans="1:98">
      <c r="A12756" s="532"/>
      <c r="AR12756" s="2513"/>
      <c r="CT12756" s="531"/>
    </row>
    <row r="12757" spans="1:98">
      <c r="A12757" s="532"/>
      <c r="AR12757" s="2513"/>
      <c r="CT12757" s="531"/>
    </row>
    <row r="12758" spans="1:98">
      <c r="A12758" s="532"/>
      <c r="AR12758" s="2513"/>
      <c r="CT12758" s="531"/>
    </row>
    <row r="12759" spans="1:98">
      <c r="A12759" s="532"/>
      <c r="AR12759" s="2513"/>
      <c r="CT12759" s="531"/>
    </row>
    <row r="12760" spans="1:98">
      <c r="A12760" s="532"/>
      <c r="AR12760" s="2513"/>
      <c r="CT12760" s="531"/>
    </row>
    <row r="12761" spans="1:98">
      <c r="A12761" s="532"/>
      <c r="AR12761" s="2513"/>
      <c r="CT12761" s="531"/>
    </row>
    <row r="12762" spans="1:98">
      <c r="A12762" s="532"/>
      <c r="AR12762" s="2513"/>
      <c r="CT12762" s="531"/>
    </row>
    <row r="12763" spans="1:98">
      <c r="A12763" s="532"/>
      <c r="AR12763" s="2513"/>
      <c r="CT12763" s="531"/>
    </row>
    <row r="12764" spans="1:98">
      <c r="A12764" s="532"/>
      <c r="AR12764" s="2513"/>
      <c r="CT12764" s="531"/>
    </row>
    <row r="12765" spans="1:98">
      <c r="A12765" s="532"/>
      <c r="AR12765" s="2513"/>
      <c r="CT12765" s="531"/>
    </row>
    <row r="12766" spans="1:98">
      <c r="A12766" s="532"/>
      <c r="AR12766" s="2513"/>
      <c r="CT12766" s="531"/>
    </row>
    <row r="12767" spans="1:98">
      <c r="A12767" s="532"/>
      <c r="AR12767" s="2513"/>
      <c r="CT12767" s="531"/>
    </row>
    <row r="12768" spans="1:98">
      <c r="A12768" s="532"/>
      <c r="AR12768" s="2513"/>
      <c r="CT12768" s="531"/>
    </row>
    <row r="12769" spans="1:98">
      <c r="A12769" s="532"/>
      <c r="AR12769" s="2513"/>
      <c r="CT12769" s="531"/>
    </row>
    <row r="12770" spans="1:98">
      <c r="A12770" s="532"/>
      <c r="AR12770" s="2513"/>
      <c r="CT12770" s="531"/>
    </row>
    <row r="12771" spans="1:98">
      <c r="A12771" s="532"/>
      <c r="AR12771" s="2513"/>
      <c r="CT12771" s="531"/>
    </row>
    <row r="12772" spans="1:98">
      <c r="A12772" s="532"/>
      <c r="AR12772" s="2513"/>
      <c r="CT12772" s="531"/>
    </row>
    <row r="12773" spans="1:98">
      <c r="A12773" s="532"/>
      <c r="AR12773" s="2513"/>
      <c r="CT12773" s="531"/>
    </row>
    <row r="12774" spans="1:98">
      <c r="A12774" s="532"/>
      <c r="AR12774" s="2513"/>
      <c r="CT12774" s="531"/>
    </row>
    <row r="12775" spans="1:98">
      <c r="A12775" s="532"/>
      <c r="AR12775" s="2513"/>
      <c r="CT12775" s="531"/>
    </row>
    <row r="12776" spans="1:98">
      <c r="A12776" s="532"/>
      <c r="AR12776" s="2513"/>
      <c r="CT12776" s="531"/>
    </row>
    <row r="12777" spans="1:98">
      <c r="A12777" s="532"/>
      <c r="AR12777" s="2513"/>
      <c r="CT12777" s="531"/>
    </row>
    <row r="12778" spans="1:98">
      <c r="A12778" s="532"/>
      <c r="AR12778" s="2513"/>
      <c r="CT12778" s="531"/>
    </row>
    <row r="12779" spans="1:98">
      <c r="A12779" s="532"/>
      <c r="AR12779" s="2513"/>
      <c r="CT12779" s="531"/>
    </row>
    <row r="12780" spans="1:98">
      <c r="A12780" s="532"/>
      <c r="AR12780" s="2513"/>
      <c r="CT12780" s="531"/>
    </row>
    <row r="12781" spans="1:98">
      <c r="A12781" s="532"/>
      <c r="AR12781" s="2513"/>
      <c r="CT12781" s="531"/>
    </row>
    <row r="12782" spans="1:98">
      <c r="A12782" s="532"/>
      <c r="AR12782" s="2513"/>
      <c r="CT12782" s="531"/>
    </row>
    <row r="12783" spans="1:98">
      <c r="A12783" s="532"/>
      <c r="AR12783" s="2513"/>
      <c r="CT12783" s="531"/>
    </row>
    <row r="12784" spans="1:98">
      <c r="A12784" s="532"/>
      <c r="AR12784" s="2513"/>
      <c r="CT12784" s="531"/>
    </row>
    <row r="12785" spans="1:98">
      <c r="A12785" s="532"/>
      <c r="AR12785" s="2513"/>
      <c r="CT12785" s="531"/>
    </row>
    <row r="12786" spans="1:98">
      <c r="A12786" s="532"/>
      <c r="AR12786" s="2513"/>
      <c r="CT12786" s="531"/>
    </row>
    <row r="12787" spans="1:98">
      <c r="A12787" s="532"/>
      <c r="AR12787" s="2513"/>
      <c r="CT12787" s="531"/>
    </row>
    <row r="12788" spans="1:98">
      <c r="A12788" s="532"/>
      <c r="AR12788" s="2513"/>
      <c r="CT12788" s="531"/>
    </row>
    <row r="12789" spans="1:98">
      <c r="A12789" s="532"/>
      <c r="AR12789" s="2513"/>
      <c r="CT12789" s="531"/>
    </row>
    <row r="12790" spans="1:98">
      <c r="A12790" s="532"/>
      <c r="AR12790" s="2513"/>
      <c r="CT12790" s="531"/>
    </row>
    <row r="12791" spans="1:98">
      <c r="A12791" s="532"/>
      <c r="AR12791" s="2513"/>
      <c r="CT12791" s="531"/>
    </row>
    <row r="12792" spans="1:98">
      <c r="A12792" s="532"/>
      <c r="AR12792" s="2513"/>
      <c r="CT12792" s="531"/>
    </row>
    <row r="12793" spans="1:98">
      <c r="A12793" s="532"/>
      <c r="AR12793" s="2513"/>
      <c r="CT12793" s="531"/>
    </row>
    <row r="12794" spans="1:98">
      <c r="A12794" s="532"/>
      <c r="AR12794" s="2513"/>
      <c r="CT12794" s="531"/>
    </row>
    <row r="12795" spans="1:98">
      <c r="A12795" s="532"/>
      <c r="AR12795" s="2513"/>
      <c r="CT12795" s="531"/>
    </row>
    <row r="12796" spans="1:98">
      <c r="A12796" s="532"/>
      <c r="AR12796" s="2513"/>
      <c r="CT12796" s="531"/>
    </row>
    <row r="12797" spans="1:98">
      <c r="A12797" s="532"/>
      <c r="AR12797" s="2513"/>
      <c r="CT12797" s="531"/>
    </row>
    <row r="12798" spans="1:98">
      <c r="A12798" s="532"/>
      <c r="AR12798" s="2513"/>
      <c r="CT12798" s="531"/>
    </row>
    <row r="12799" spans="1:98">
      <c r="A12799" s="532"/>
      <c r="AR12799" s="2513"/>
      <c r="CT12799" s="531"/>
    </row>
    <row r="12800" spans="1:98">
      <c r="A12800" s="532"/>
      <c r="AR12800" s="2513"/>
      <c r="CT12800" s="531"/>
    </row>
    <row r="12801" spans="1:98">
      <c r="A12801" s="532"/>
      <c r="AR12801" s="2513"/>
      <c r="CT12801" s="531"/>
    </row>
    <row r="12802" spans="1:98">
      <c r="A12802" s="532"/>
      <c r="AR12802" s="2513"/>
      <c r="CT12802" s="531"/>
    </row>
    <row r="12803" spans="1:98">
      <c r="A12803" s="532"/>
      <c r="AR12803" s="2513"/>
      <c r="CT12803" s="531"/>
    </row>
    <row r="12804" spans="1:98">
      <c r="A12804" s="532"/>
      <c r="AR12804" s="2513"/>
      <c r="CT12804" s="531"/>
    </row>
    <row r="12805" spans="1:98">
      <c r="A12805" s="532"/>
      <c r="AR12805" s="2513"/>
      <c r="CT12805" s="531"/>
    </row>
    <row r="12806" spans="1:98">
      <c r="A12806" s="532"/>
      <c r="AR12806" s="2513"/>
      <c r="CT12806" s="531"/>
    </row>
    <row r="12807" spans="1:98">
      <c r="A12807" s="532"/>
      <c r="AR12807" s="2513"/>
      <c r="CT12807" s="531"/>
    </row>
    <row r="12808" spans="1:98">
      <c r="A12808" s="532"/>
      <c r="AR12808" s="2513"/>
      <c r="CT12808" s="531"/>
    </row>
    <row r="12809" spans="1:98">
      <c r="A12809" s="532"/>
      <c r="AR12809" s="2513"/>
      <c r="CT12809" s="531"/>
    </row>
    <row r="12810" spans="1:98">
      <c r="A12810" s="532"/>
      <c r="AR12810" s="2513"/>
      <c r="CT12810" s="531"/>
    </row>
    <row r="12811" spans="1:98">
      <c r="A12811" s="532"/>
      <c r="AR12811" s="2513"/>
      <c r="CT12811" s="531"/>
    </row>
    <row r="12812" spans="1:98">
      <c r="A12812" s="532"/>
      <c r="AR12812" s="2513"/>
      <c r="CT12812" s="531"/>
    </row>
    <row r="12813" spans="1:98">
      <c r="A12813" s="532"/>
      <c r="AR12813" s="2513"/>
      <c r="CT12813" s="531"/>
    </row>
    <row r="12814" spans="1:98">
      <c r="A12814" s="532"/>
      <c r="AR12814" s="2513"/>
      <c r="CT12814" s="531"/>
    </row>
    <row r="12815" spans="1:98">
      <c r="A12815" s="532"/>
      <c r="AR12815" s="2513"/>
      <c r="CT12815" s="531"/>
    </row>
    <row r="12816" spans="1:98">
      <c r="A12816" s="532"/>
      <c r="AR12816" s="2513"/>
      <c r="CT12816" s="531"/>
    </row>
    <row r="12817" spans="1:98">
      <c r="A12817" s="532"/>
      <c r="AR12817" s="2513"/>
      <c r="CT12817" s="531"/>
    </row>
    <row r="12818" spans="1:98">
      <c r="A12818" s="532"/>
      <c r="AR12818" s="2513"/>
      <c r="CT12818" s="531"/>
    </row>
    <row r="12819" spans="1:98">
      <c r="A12819" s="532"/>
      <c r="AR12819" s="2513"/>
      <c r="CT12819" s="531"/>
    </row>
    <row r="12820" spans="1:98">
      <c r="A12820" s="532"/>
      <c r="AR12820" s="2513"/>
      <c r="CT12820" s="531"/>
    </row>
    <row r="12821" spans="1:98">
      <c r="A12821" s="532"/>
      <c r="AR12821" s="2513"/>
      <c r="CT12821" s="531"/>
    </row>
    <row r="12822" spans="1:98">
      <c r="A12822" s="532"/>
      <c r="AR12822" s="2513"/>
      <c r="CT12822" s="531"/>
    </row>
    <row r="12823" spans="1:98">
      <c r="A12823" s="532"/>
      <c r="AR12823" s="2513"/>
      <c r="CT12823" s="531"/>
    </row>
    <row r="12824" spans="1:98">
      <c r="A12824" s="532"/>
      <c r="AR12824" s="2513"/>
      <c r="CT12824" s="531"/>
    </row>
    <row r="12825" spans="1:98">
      <c r="A12825" s="532"/>
      <c r="AR12825" s="2513"/>
      <c r="CT12825" s="531"/>
    </row>
    <row r="12826" spans="1:98">
      <c r="A12826" s="532"/>
      <c r="AR12826" s="2513"/>
      <c r="CT12826" s="531"/>
    </row>
    <row r="12827" spans="1:98">
      <c r="A12827" s="532"/>
      <c r="AR12827" s="2513"/>
      <c r="CT12827" s="531"/>
    </row>
    <row r="12828" spans="1:98">
      <c r="A12828" s="532"/>
      <c r="AR12828" s="2513"/>
      <c r="CT12828" s="531"/>
    </row>
    <row r="12829" spans="1:98">
      <c r="A12829" s="532"/>
      <c r="AR12829" s="2513"/>
      <c r="CT12829" s="531"/>
    </row>
    <row r="12830" spans="1:98">
      <c r="A12830" s="532"/>
      <c r="AR12830" s="2513"/>
      <c r="CT12830" s="531"/>
    </row>
    <row r="12831" spans="1:98">
      <c r="A12831" s="532"/>
      <c r="AR12831" s="2513"/>
      <c r="CT12831" s="531"/>
    </row>
    <row r="12832" spans="1:98">
      <c r="A12832" s="532"/>
      <c r="AR12832" s="2513"/>
      <c r="CT12832" s="531"/>
    </row>
    <row r="12833" spans="1:98">
      <c r="A12833" s="532"/>
      <c r="AR12833" s="2513"/>
      <c r="CT12833" s="531"/>
    </row>
    <row r="12834" spans="1:98">
      <c r="A12834" s="532"/>
      <c r="AR12834" s="2513"/>
      <c r="CT12834" s="531"/>
    </row>
    <row r="12835" spans="1:98">
      <c r="A12835" s="532"/>
      <c r="AR12835" s="2513"/>
      <c r="CT12835" s="531"/>
    </row>
    <row r="12836" spans="1:98">
      <c r="A12836" s="532"/>
      <c r="AR12836" s="2513"/>
      <c r="CT12836" s="531"/>
    </row>
    <row r="12837" spans="1:98">
      <c r="A12837" s="532"/>
      <c r="AR12837" s="2513"/>
      <c r="CT12837" s="531"/>
    </row>
    <row r="12838" spans="1:98">
      <c r="A12838" s="532"/>
      <c r="AR12838" s="2513"/>
      <c r="CT12838" s="531"/>
    </row>
    <row r="12839" spans="1:98">
      <c r="A12839" s="532"/>
      <c r="AR12839" s="2513"/>
      <c r="CT12839" s="531"/>
    </row>
    <row r="12840" spans="1:98">
      <c r="A12840" s="532"/>
      <c r="AR12840" s="2513"/>
      <c r="CT12840" s="531"/>
    </row>
    <row r="12841" spans="1:98">
      <c r="A12841" s="532"/>
      <c r="AR12841" s="2513"/>
      <c r="CT12841" s="531"/>
    </row>
    <row r="12842" spans="1:98">
      <c r="A12842" s="532"/>
      <c r="AR12842" s="2513"/>
      <c r="CT12842" s="531"/>
    </row>
    <row r="12843" spans="1:98">
      <c r="A12843" s="532"/>
      <c r="AR12843" s="2513"/>
      <c r="CT12843" s="531"/>
    </row>
    <row r="12844" spans="1:98">
      <c r="A12844" s="532"/>
      <c r="AR12844" s="2513"/>
      <c r="CT12844" s="531"/>
    </row>
    <row r="12845" spans="1:98">
      <c r="A12845" s="532"/>
      <c r="AR12845" s="2513"/>
      <c r="CT12845" s="531"/>
    </row>
    <row r="12846" spans="1:98">
      <c r="A12846" s="532"/>
      <c r="AR12846" s="2513"/>
      <c r="CT12846" s="531"/>
    </row>
    <row r="12847" spans="1:98">
      <c r="A12847" s="532"/>
      <c r="AR12847" s="2513"/>
      <c r="CT12847" s="531"/>
    </row>
    <row r="12848" spans="1:98">
      <c r="A12848" s="532"/>
      <c r="AR12848" s="2513"/>
      <c r="CT12848" s="531"/>
    </row>
    <row r="12849" spans="1:98">
      <c r="A12849" s="532"/>
      <c r="AR12849" s="2513"/>
      <c r="CT12849" s="531"/>
    </row>
    <row r="12850" spans="1:98">
      <c r="A12850" s="532"/>
      <c r="AR12850" s="2513"/>
      <c r="CT12850" s="531"/>
    </row>
    <row r="12851" spans="1:98">
      <c r="A12851" s="532"/>
      <c r="AR12851" s="2513"/>
      <c r="CT12851" s="531"/>
    </row>
    <row r="12852" spans="1:98">
      <c r="A12852" s="532"/>
      <c r="AR12852" s="2513"/>
      <c r="CT12852" s="531"/>
    </row>
    <row r="12853" spans="1:98">
      <c r="A12853" s="532"/>
      <c r="AR12853" s="2513"/>
      <c r="CT12853" s="531"/>
    </row>
    <row r="12854" spans="1:98">
      <c r="A12854" s="532"/>
      <c r="AR12854" s="2513"/>
      <c r="CT12854" s="531"/>
    </row>
    <row r="12855" spans="1:98">
      <c r="A12855" s="532"/>
      <c r="AR12855" s="2513"/>
      <c r="CT12855" s="531"/>
    </row>
    <row r="12856" spans="1:98">
      <c r="A12856" s="532"/>
      <c r="AR12856" s="2513"/>
      <c r="CT12856" s="531"/>
    </row>
    <row r="12857" spans="1:98">
      <c r="A12857" s="532"/>
      <c r="AR12857" s="2513"/>
      <c r="CT12857" s="531"/>
    </row>
    <row r="12858" spans="1:98">
      <c r="A12858" s="532"/>
      <c r="AR12858" s="2513"/>
      <c r="CT12858" s="531"/>
    </row>
    <row r="12859" spans="1:98">
      <c r="A12859" s="532"/>
      <c r="AR12859" s="2513"/>
      <c r="CT12859" s="531"/>
    </row>
    <row r="12860" spans="1:98">
      <c r="A12860" s="532"/>
      <c r="AR12860" s="2513"/>
      <c r="CT12860" s="531"/>
    </row>
    <row r="12861" spans="1:98">
      <c r="A12861" s="532"/>
      <c r="AR12861" s="2513"/>
      <c r="CT12861" s="531"/>
    </row>
    <row r="12862" spans="1:98">
      <c r="A12862" s="532"/>
      <c r="AR12862" s="2513"/>
      <c r="CT12862" s="531"/>
    </row>
    <row r="12863" spans="1:98">
      <c r="A12863" s="532"/>
      <c r="AR12863" s="2513"/>
      <c r="CT12863" s="531"/>
    </row>
    <row r="12864" spans="1:98">
      <c r="A12864" s="532"/>
      <c r="AR12864" s="2513"/>
      <c r="CT12864" s="531"/>
    </row>
    <row r="12865" spans="1:98">
      <c r="A12865" s="532"/>
      <c r="AR12865" s="2513"/>
      <c r="CT12865" s="531"/>
    </row>
    <row r="12866" spans="1:98">
      <c r="A12866" s="532"/>
      <c r="AR12866" s="2513"/>
      <c r="CT12866" s="531"/>
    </row>
    <row r="12867" spans="1:98">
      <c r="A12867" s="532"/>
      <c r="AR12867" s="2513"/>
      <c r="CT12867" s="531"/>
    </row>
    <row r="12868" spans="1:98">
      <c r="A12868" s="532"/>
      <c r="AR12868" s="2513"/>
      <c r="CT12868" s="531"/>
    </row>
    <row r="12869" spans="1:98">
      <c r="A12869" s="532"/>
      <c r="AR12869" s="2513"/>
      <c r="CT12869" s="531"/>
    </row>
    <row r="12870" spans="1:98">
      <c r="A12870" s="532"/>
      <c r="AR12870" s="2513"/>
      <c r="CT12870" s="531"/>
    </row>
    <row r="12871" spans="1:98">
      <c r="A12871" s="532"/>
      <c r="AR12871" s="2513"/>
      <c r="CT12871" s="531"/>
    </row>
    <row r="12872" spans="1:98">
      <c r="A12872" s="532"/>
      <c r="AR12872" s="2513"/>
      <c r="CT12872" s="531"/>
    </row>
    <row r="12873" spans="1:98">
      <c r="A12873" s="532"/>
      <c r="AR12873" s="2513"/>
      <c r="CT12873" s="531"/>
    </row>
    <row r="12874" spans="1:98">
      <c r="A12874" s="532"/>
      <c r="AR12874" s="2513"/>
      <c r="CT12874" s="531"/>
    </row>
    <row r="12875" spans="1:98">
      <c r="A12875" s="532"/>
      <c r="AR12875" s="2513"/>
      <c r="CT12875" s="531"/>
    </row>
    <row r="12876" spans="1:98">
      <c r="A12876" s="532"/>
      <c r="AR12876" s="2513"/>
      <c r="CT12876" s="531"/>
    </row>
    <row r="12877" spans="1:98">
      <c r="A12877" s="532"/>
      <c r="AR12877" s="2513"/>
      <c r="CT12877" s="531"/>
    </row>
    <row r="12878" spans="1:98">
      <c r="A12878" s="532"/>
      <c r="AR12878" s="2513"/>
      <c r="CT12878" s="531"/>
    </row>
    <row r="12879" spans="1:98">
      <c r="A12879" s="532"/>
      <c r="AR12879" s="2513"/>
      <c r="CT12879" s="531"/>
    </row>
    <row r="12880" spans="1:98">
      <c r="A12880" s="532"/>
      <c r="AR12880" s="2513"/>
      <c r="CT12880" s="531"/>
    </row>
    <row r="12881" spans="1:98">
      <c r="A12881" s="532"/>
      <c r="AR12881" s="2513"/>
      <c r="CT12881" s="531"/>
    </row>
    <row r="12882" spans="1:98">
      <c r="A12882" s="532"/>
      <c r="AR12882" s="2513"/>
      <c r="CT12882" s="531"/>
    </row>
    <row r="12883" spans="1:98">
      <c r="A12883" s="532"/>
      <c r="AR12883" s="2513"/>
      <c r="CT12883" s="531"/>
    </row>
    <row r="12884" spans="1:98">
      <c r="A12884" s="532"/>
      <c r="AR12884" s="2513"/>
      <c r="CT12884" s="531"/>
    </row>
    <row r="12885" spans="1:98">
      <c r="A12885" s="532"/>
      <c r="AR12885" s="2513"/>
      <c r="CT12885" s="531"/>
    </row>
    <row r="12886" spans="1:98">
      <c r="A12886" s="532"/>
      <c r="AR12886" s="2513"/>
      <c r="CT12886" s="531"/>
    </row>
    <row r="12887" spans="1:98">
      <c r="A12887" s="532"/>
      <c r="AR12887" s="2513"/>
      <c r="CT12887" s="531"/>
    </row>
    <row r="12888" spans="1:98">
      <c r="A12888" s="532"/>
      <c r="AR12888" s="2513"/>
      <c r="CT12888" s="531"/>
    </row>
    <row r="12889" spans="1:98">
      <c r="A12889" s="532"/>
      <c r="AR12889" s="2513"/>
      <c r="CT12889" s="531"/>
    </row>
    <row r="12890" spans="1:98">
      <c r="A12890" s="532"/>
      <c r="AR12890" s="2513"/>
      <c r="CT12890" s="531"/>
    </row>
    <row r="12891" spans="1:98">
      <c r="A12891" s="532"/>
      <c r="AR12891" s="2513"/>
      <c r="CT12891" s="531"/>
    </row>
    <row r="12892" spans="1:98">
      <c r="A12892" s="532"/>
      <c r="AR12892" s="2513"/>
      <c r="CT12892" s="531"/>
    </row>
    <row r="12893" spans="1:98">
      <c r="A12893" s="532"/>
      <c r="AR12893" s="2513"/>
      <c r="CT12893" s="531"/>
    </row>
    <row r="12894" spans="1:98">
      <c r="A12894" s="532"/>
      <c r="AR12894" s="2513"/>
      <c r="CT12894" s="531"/>
    </row>
    <row r="12895" spans="1:98">
      <c r="A12895" s="532"/>
      <c r="AR12895" s="2513"/>
      <c r="CT12895" s="531"/>
    </row>
    <row r="12896" spans="1:98">
      <c r="A12896" s="532"/>
      <c r="AR12896" s="2513"/>
      <c r="CT12896" s="531"/>
    </row>
    <row r="12897" spans="1:98">
      <c r="A12897" s="532"/>
      <c r="AR12897" s="2513"/>
      <c r="CT12897" s="531"/>
    </row>
    <row r="12898" spans="1:98">
      <c r="A12898" s="532"/>
      <c r="AR12898" s="2513"/>
      <c r="CT12898" s="531"/>
    </row>
    <row r="12899" spans="1:98">
      <c r="A12899" s="532"/>
      <c r="AR12899" s="2513"/>
      <c r="CT12899" s="531"/>
    </row>
    <row r="12900" spans="1:98">
      <c r="A12900" s="532"/>
      <c r="AR12900" s="2513"/>
      <c r="CT12900" s="531"/>
    </row>
    <row r="12901" spans="1:98">
      <c r="A12901" s="532"/>
      <c r="AR12901" s="2513"/>
      <c r="CT12901" s="531"/>
    </row>
    <row r="12902" spans="1:98">
      <c r="A12902" s="532"/>
      <c r="AR12902" s="2513"/>
      <c r="CT12902" s="531"/>
    </row>
    <row r="12903" spans="1:98">
      <c r="A12903" s="532"/>
      <c r="AR12903" s="2513"/>
      <c r="CT12903" s="531"/>
    </row>
    <row r="12904" spans="1:98">
      <c r="A12904" s="532"/>
      <c r="AR12904" s="2513"/>
      <c r="CT12904" s="531"/>
    </row>
    <row r="12905" spans="1:98">
      <c r="A12905" s="532"/>
      <c r="AR12905" s="2513"/>
      <c r="CT12905" s="531"/>
    </row>
    <row r="12906" spans="1:98">
      <c r="A12906" s="532"/>
      <c r="AR12906" s="2513"/>
      <c r="CT12906" s="531"/>
    </row>
    <row r="12907" spans="1:98">
      <c r="A12907" s="532"/>
      <c r="AR12907" s="2513"/>
      <c r="CT12907" s="531"/>
    </row>
    <row r="12908" spans="1:98">
      <c r="A12908" s="532"/>
      <c r="AR12908" s="2513"/>
      <c r="CT12908" s="531"/>
    </row>
    <row r="12909" spans="1:98">
      <c r="A12909" s="532"/>
      <c r="AR12909" s="2513"/>
      <c r="CT12909" s="531"/>
    </row>
    <row r="12910" spans="1:98">
      <c r="A12910" s="532"/>
      <c r="AR12910" s="2513"/>
      <c r="CT12910" s="531"/>
    </row>
    <row r="12911" spans="1:98">
      <c r="A12911" s="532"/>
      <c r="AR12911" s="2513"/>
      <c r="CT12911" s="531"/>
    </row>
    <row r="12912" spans="1:98">
      <c r="A12912" s="532"/>
      <c r="AR12912" s="2513"/>
      <c r="CT12912" s="531"/>
    </row>
    <row r="12913" spans="1:98">
      <c r="A12913" s="532"/>
      <c r="AR12913" s="2513"/>
      <c r="CT12913" s="531"/>
    </row>
    <row r="12914" spans="1:98">
      <c r="A12914" s="532"/>
      <c r="AR12914" s="2513"/>
      <c r="CT12914" s="531"/>
    </row>
    <row r="12915" spans="1:98">
      <c r="A12915" s="532"/>
      <c r="AR12915" s="2513"/>
      <c r="CT12915" s="531"/>
    </row>
    <row r="12916" spans="1:98">
      <c r="A12916" s="532"/>
      <c r="AR12916" s="2513"/>
      <c r="CT12916" s="531"/>
    </row>
    <row r="12917" spans="1:98">
      <c r="A12917" s="532"/>
      <c r="AR12917" s="2513"/>
      <c r="CT12917" s="531"/>
    </row>
    <row r="12918" spans="1:98">
      <c r="A12918" s="532"/>
      <c r="AR12918" s="2513"/>
      <c r="CT12918" s="531"/>
    </row>
    <row r="12919" spans="1:98">
      <c r="A12919" s="532"/>
      <c r="AR12919" s="2513"/>
      <c r="CT12919" s="531"/>
    </row>
    <row r="12920" spans="1:98">
      <c r="A12920" s="532"/>
      <c r="AR12920" s="2513"/>
      <c r="CT12920" s="531"/>
    </row>
    <row r="12921" spans="1:98">
      <c r="A12921" s="532"/>
      <c r="AR12921" s="2513"/>
      <c r="CT12921" s="531"/>
    </row>
    <row r="12922" spans="1:98">
      <c r="A12922" s="532"/>
      <c r="AR12922" s="2513"/>
      <c r="CT12922" s="531"/>
    </row>
    <row r="12923" spans="1:98">
      <c r="A12923" s="532"/>
      <c r="AR12923" s="2513"/>
      <c r="CT12923" s="531"/>
    </row>
    <row r="12924" spans="1:98">
      <c r="A12924" s="532"/>
      <c r="AR12924" s="2513"/>
      <c r="CT12924" s="531"/>
    </row>
    <row r="12925" spans="1:98">
      <c r="A12925" s="532"/>
      <c r="AR12925" s="2513"/>
      <c r="CT12925" s="531"/>
    </row>
    <row r="12926" spans="1:98">
      <c r="A12926" s="532"/>
      <c r="AR12926" s="2513"/>
      <c r="CT12926" s="531"/>
    </row>
    <row r="12927" spans="1:98">
      <c r="A12927" s="532"/>
      <c r="AR12927" s="2513"/>
      <c r="CT12927" s="531"/>
    </row>
    <row r="12928" spans="1:98">
      <c r="A12928" s="532"/>
      <c r="AR12928" s="2513"/>
      <c r="CT12928" s="531"/>
    </row>
    <row r="12929" spans="1:98">
      <c r="A12929" s="532"/>
      <c r="AR12929" s="2513"/>
      <c r="CT12929" s="531"/>
    </row>
    <row r="12930" spans="1:98">
      <c r="A12930" s="532"/>
      <c r="AR12930" s="2513"/>
      <c r="CT12930" s="531"/>
    </row>
    <row r="12931" spans="1:98">
      <c r="A12931" s="532"/>
      <c r="AR12931" s="2513"/>
      <c r="CT12931" s="531"/>
    </row>
    <row r="12932" spans="1:98">
      <c r="A12932" s="532"/>
      <c r="AR12932" s="2513"/>
      <c r="CT12932" s="531"/>
    </row>
    <row r="12933" spans="1:98">
      <c r="A12933" s="532"/>
      <c r="AR12933" s="2513"/>
      <c r="CT12933" s="531"/>
    </row>
    <row r="12934" spans="1:98">
      <c r="A12934" s="532"/>
      <c r="AR12934" s="2513"/>
      <c r="CT12934" s="531"/>
    </row>
    <row r="12935" spans="1:98">
      <c r="A12935" s="532"/>
      <c r="AR12935" s="2513"/>
      <c r="CT12935" s="531"/>
    </row>
    <row r="12936" spans="1:98">
      <c r="A12936" s="532"/>
      <c r="AR12936" s="2513"/>
      <c r="CT12936" s="531"/>
    </row>
    <row r="12937" spans="1:98">
      <c r="A12937" s="532"/>
      <c r="AR12937" s="2513"/>
      <c r="CT12937" s="531"/>
    </row>
    <row r="12938" spans="1:98">
      <c r="A12938" s="532"/>
      <c r="AR12938" s="2513"/>
      <c r="CT12938" s="531"/>
    </row>
    <row r="12939" spans="1:98">
      <c r="A12939" s="532"/>
      <c r="AR12939" s="2513"/>
      <c r="CT12939" s="531"/>
    </row>
    <row r="12940" spans="1:98">
      <c r="A12940" s="532"/>
      <c r="AR12940" s="2513"/>
      <c r="CT12940" s="531"/>
    </row>
    <row r="12941" spans="1:98">
      <c r="A12941" s="532"/>
      <c r="AR12941" s="2513"/>
      <c r="CT12941" s="531"/>
    </row>
    <row r="12942" spans="1:98">
      <c r="A12942" s="532"/>
      <c r="AR12942" s="2513"/>
      <c r="CT12942" s="531"/>
    </row>
    <row r="12943" spans="1:98">
      <c r="A12943" s="532"/>
      <c r="AR12943" s="2513"/>
      <c r="CT12943" s="531"/>
    </row>
    <row r="12944" spans="1:98">
      <c r="A12944" s="532"/>
      <c r="AR12944" s="2513"/>
      <c r="CT12944" s="531"/>
    </row>
    <row r="12945" spans="1:98">
      <c r="A12945" s="532"/>
      <c r="AR12945" s="2513"/>
      <c r="CT12945" s="531"/>
    </row>
    <row r="12946" spans="1:98">
      <c r="A12946" s="532"/>
      <c r="AR12946" s="2513"/>
      <c r="CT12946" s="531"/>
    </row>
    <row r="12947" spans="1:98">
      <c r="A12947" s="532"/>
      <c r="AR12947" s="2513"/>
      <c r="CT12947" s="531"/>
    </row>
    <row r="12948" spans="1:98">
      <c r="A12948" s="532"/>
      <c r="AR12948" s="2513"/>
      <c r="CT12948" s="531"/>
    </row>
    <row r="12949" spans="1:98">
      <c r="A12949" s="532"/>
      <c r="AR12949" s="2513"/>
      <c r="CT12949" s="531"/>
    </row>
    <row r="12950" spans="1:98">
      <c r="A12950" s="532"/>
      <c r="AR12950" s="2513"/>
      <c r="CT12950" s="531"/>
    </row>
    <row r="12951" spans="1:98">
      <c r="A12951" s="532"/>
      <c r="AR12951" s="2513"/>
      <c r="CT12951" s="531"/>
    </row>
    <row r="12952" spans="1:98">
      <c r="A12952" s="532"/>
      <c r="AR12952" s="2513"/>
      <c r="CT12952" s="531"/>
    </row>
    <row r="12953" spans="1:98">
      <c r="A12953" s="532"/>
      <c r="AR12953" s="2513"/>
      <c r="CT12953" s="531"/>
    </row>
    <row r="12954" spans="1:98">
      <c r="A12954" s="532"/>
      <c r="AR12954" s="2513"/>
      <c r="CT12954" s="531"/>
    </row>
    <row r="12955" spans="1:98">
      <c r="A12955" s="532"/>
      <c r="AR12955" s="2513"/>
      <c r="CT12955" s="531"/>
    </row>
    <row r="12956" spans="1:98">
      <c r="A12956" s="532"/>
      <c r="AR12956" s="2513"/>
      <c r="CT12956" s="531"/>
    </row>
    <row r="12957" spans="1:98">
      <c r="A12957" s="532"/>
      <c r="AR12957" s="2513"/>
      <c r="CT12957" s="531"/>
    </row>
    <row r="12958" spans="1:98">
      <c r="A12958" s="532"/>
      <c r="AR12958" s="2513"/>
      <c r="CT12958" s="531"/>
    </row>
    <row r="12959" spans="1:98">
      <c r="A12959" s="532"/>
      <c r="AR12959" s="2513"/>
      <c r="CT12959" s="531"/>
    </row>
    <row r="12960" spans="1:98">
      <c r="A12960" s="532"/>
      <c r="AR12960" s="2513"/>
      <c r="CT12960" s="531"/>
    </row>
    <row r="12961" spans="1:98">
      <c r="A12961" s="532"/>
      <c r="AR12961" s="2513"/>
      <c r="CT12961" s="531"/>
    </row>
    <row r="12962" spans="1:98">
      <c r="A12962" s="532"/>
      <c r="AR12962" s="2513"/>
      <c r="CT12962" s="531"/>
    </row>
    <row r="12963" spans="1:98">
      <c r="A12963" s="532"/>
      <c r="AR12963" s="2513"/>
      <c r="CT12963" s="531"/>
    </row>
    <row r="12964" spans="1:98">
      <c r="A12964" s="532"/>
      <c r="AR12964" s="2513"/>
      <c r="CT12964" s="531"/>
    </row>
    <row r="12965" spans="1:98">
      <c r="A12965" s="532"/>
      <c r="AR12965" s="2513"/>
      <c r="CT12965" s="531"/>
    </row>
    <row r="12966" spans="1:98">
      <c r="A12966" s="532"/>
      <c r="AR12966" s="2513"/>
      <c r="CT12966" s="531"/>
    </row>
    <row r="12967" spans="1:98">
      <c r="A12967" s="532"/>
      <c r="AR12967" s="2513"/>
      <c r="CT12967" s="531"/>
    </row>
    <row r="12968" spans="1:98">
      <c r="A12968" s="532"/>
      <c r="AR12968" s="2513"/>
      <c r="CT12968" s="531"/>
    </row>
    <row r="12969" spans="1:98">
      <c r="A12969" s="532"/>
      <c r="AR12969" s="2513"/>
      <c r="CT12969" s="531"/>
    </row>
    <row r="12970" spans="1:98">
      <c r="A12970" s="532"/>
      <c r="AR12970" s="2513"/>
      <c r="CT12970" s="531"/>
    </row>
    <row r="12971" spans="1:98">
      <c r="A12971" s="532"/>
      <c r="AR12971" s="2513"/>
      <c r="CT12971" s="531"/>
    </row>
    <row r="12972" spans="1:98">
      <c r="A12972" s="532"/>
      <c r="AR12972" s="2513"/>
      <c r="CT12972" s="531"/>
    </row>
    <row r="12973" spans="1:98">
      <c r="A12973" s="532"/>
      <c r="AR12973" s="2513"/>
      <c r="CT12973" s="531"/>
    </row>
    <row r="12974" spans="1:98">
      <c r="A12974" s="532"/>
      <c r="AR12974" s="2513"/>
      <c r="CT12974" s="531"/>
    </row>
    <row r="12975" spans="1:98">
      <c r="A12975" s="532"/>
      <c r="AR12975" s="2513"/>
      <c r="CT12975" s="531"/>
    </row>
    <row r="12976" spans="1:98">
      <c r="A12976" s="532"/>
      <c r="AR12976" s="2513"/>
      <c r="CT12976" s="531"/>
    </row>
    <row r="12977" spans="1:98">
      <c r="A12977" s="532"/>
      <c r="AR12977" s="2513"/>
      <c r="CT12977" s="531"/>
    </row>
    <row r="12978" spans="1:98">
      <c r="A12978" s="532"/>
      <c r="AR12978" s="2513"/>
      <c r="CT12978" s="531"/>
    </row>
    <row r="12979" spans="1:98">
      <c r="A12979" s="532"/>
      <c r="AR12979" s="2513"/>
      <c r="CT12979" s="531"/>
    </row>
    <row r="12980" spans="1:98">
      <c r="A12980" s="532"/>
      <c r="AR12980" s="2513"/>
      <c r="CT12980" s="531"/>
    </row>
    <row r="12981" spans="1:98">
      <c r="A12981" s="532"/>
      <c r="AR12981" s="2513"/>
      <c r="CT12981" s="531"/>
    </row>
    <row r="12982" spans="1:98">
      <c r="A12982" s="532"/>
      <c r="AR12982" s="2513"/>
      <c r="CT12982" s="531"/>
    </row>
    <row r="12983" spans="1:98">
      <c r="A12983" s="532"/>
      <c r="AR12983" s="2513"/>
      <c r="CT12983" s="531"/>
    </row>
    <row r="12984" spans="1:98">
      <c r="A12984" s="532"/>
      <c r="AR12984" s="2513"/>
      <c r="CT12984" s="531"/>
    </row>
    <row r="12985" spans="1:98">
      <c r="A12985" s="532"/>
      <c r="AR12985" s="2513"/>
      <c r="CT12985" s="531"/>
    </row>
    <row r="12986" spans="1:98">
      <c r="A12986" s="532"/>
      <c r="AR12986" s="2513"/>
      <c r="CT12986" s="531"/>
    </row>
    <row r="12987" spans="1:98">
      <c r="A12987" s="532"/>
      <c r="AR12987" s="2513"/>
      <c r="CT12987" s="531"/>
    </row>
    <row r="12988" spans="1:98">
      <c r="A12988" s="532"/>
      <c r="AR12988" s="2513"/>
      <c r="CT12988" s="531"/>
    </row>
    <row r="12989" spans="1:98">
      <c r="A12989" s="532"/>
      <c r="AR12989" s="2513"/>
      <c r="CT12989" s="531"/>
    </row>
    <row r="12990" spans="1:98">
      <c r="A12990" s="532"/>
      <c r="AR12990" s="2513"/>
      <c r="CT12990" s="531"/>
    </row>
    <row r="12991" spans="1:98">
      <c r="A12991" s="532"/>
      <c r="AR12991" s="2513"/>
      <c r="CT12991" s="531"/>
    </row>
    <row r="12992" spans="1:98">
      <c r="A12992" s="532"/>
      <c r="AR12992" s="2513"/>
      <c r="CT12992" s="531"/>
    </row>
    <row r="12993" spans="1:98">
      <c r="A12993" s="532"/>
      <c r="AR12993" s="2513"/>
      <c r="CT12993" s="531"/>
    </row>
    <row r="12994" spans="1:98">
      <c r="A12994" s="532"/>
      <c r="AR12994" s="2513"/>
      <c r="CT12994" s="531"/>
    </row>
    <row r="12995" spans="1:98">
      <c r="A12995" s="532"/>
      <c r="AR12995" s="2513"/>
      <c r="CT12995" s="531"/>
    </row>
    <row r="12996" spans="1:98">
      <c r="A12996" s="532"/>
      <c r="AR12996" s="2513"/>
      <c r="CT12996" s="531"/>
    </row>
    <row r="12997" spans="1:98">
      <c r="A12997" s="532"/>
      <c r="AR12997" s="2513"/>
      <c r="CT12997" s="531"/>
    </row>
    <row r="12998" spans="1:98">
      <c r="A12998" s="532"/>
      <c r="AR12998" s="2513"/>
      <c r="CT12998" s="531"/>
    </row>
    <row r="12999" spans="1:98">
      <c r="A12999" s="532"/>
      <c r="AR12999" s="2513"/>
      <c r="CT12999" s="531"/>
    </row>
    <row r="13000" spans="1:98">
      <c r="A13000" s="532"/>
      <c r="AR13000" s="2513"/>
      <c r="CT13000" s="531"/>
    </row>
    <row r="13001" spans="1:98">
      <c r="A13001" s="532"/>
      <c r="AR13001" s="2513"/>
      <c r="CT13001" s="531"/>
    </row>
    <row r="13002" spans="1:98">
      <c r="A13002" s="532"/>
      <c r="AR13002" s="2513"/>
      <c r="CT13002" s="531"/>
    </row>
    <row r="13003" spans="1:98">
      <c r="A13003" s="532"/>
      <c r="AR13003" s="2513"/>
      <c r="CT13003" s="531"/>
    </row>
    <row r="13004" spans="1:98">
      <c r="A13004" s="532"/>
      <c r="AR13004" s="2513"/>
      <c r="CT13004" s="531"/>
    </row>
    <row r="13005" spans="1:98">
      <c r="A13005" s="532"/>
      <c r="AR13005" s="2513"/>
      <c r="CT13005" s="531"/>
    </row>
    <row r="13006" spans="1:98">
      <c r="A13006" s="532"/>
      <c r="AR13006" s="2513"/>
      <c r="CT13006" s="531"/>
    </row>
    <row r="13007" spans="1:98">
      <c r="A13007" s="532"/>
      <c r="AR13007" s="2513"/>
      <c r="CT13007" s="531"/>
    </row>
    <row r="13008" spans="1:98">
      <c r="A13008" s="532"/>
      <c r="AR13008" s="2513"/>
      <c r="CT13008" s="531"/>
    </row>
    <row r="13009" spans="1:98">
      <c r="A13009" s="532"/>
      <c r="AR13009" s="2513"/>
      <c r="CT13009" s="531"/>
    </row>
    <row r="13010" spans="1:98">
      <c r="A13010" s="532"/>
      <c r="AR13010" s="2513"/>
      <c r="CT13010" s="531"/>
    </row>
    <row r="13011" spans="1:98">
      <c r="A13011" s="532"/>
      <c r="AR13011" s="2513"/>
      <c r="CT13011" s="531"/>
    </row>
    <row r="13012" spans="1:98">
      <c r="A13012" s="532"/>
      <c r="AR13012" s="2513"/>
      <c r="CT13012" s="531"/>
    </row>
    <row r="13013" spans="1:98">
      <c r="A13013" s="532"/>
      <c r="AR13013" s="2513"/>
      <c r="CT13013" s="531"/>
    </row>
    <row r="13014" spans="1:98">
      <c r="A13014" s="532"/>
      <c r="AR13014" s="2513"/>
      <c r="CT13014" s="531"/>
    </row>
    <row r="13015" spans="1:98">
      <c r="A13015" s="532"/>
      <c r="AR13015" s="2513"/>
      <c r="CT13015" s="531"/>
    </row>
    <row r="13016" spans="1:98">
      <c r="A13016" s="532"/>
      <c r="AR13016" s="2513"/>
      <c r="CT13016" s="531"/>
    </row>
    <row r="13017" spans="1:98">
      <c r="A13017" s="532"/>
      <c r="AR13017" s="2513"/>
      <c r="CT13017" s="531"/>
    </row>
    <row r="13018" spans="1:98">
      <c r="A13018" s="532"/>
      <c r="AR13018" s="2513"/>
      <c r="CT13018" s="531"/>
    </row>
    <row r="13019" spans="1:98">
      <c r="A13019" s="532"/>
      <c r="AR13019" s="2513"/>
      <c r="CT13019" s="531"/>
    </row>
    <row r="13020" spans="1:98">
      <c r="A13020" s="532"/>
      <c r="AR13020" s="2513"/>
      <c r="CT13020" s="531"/>
    </row>
    <row r="13021" spans="1:98">
      <c r="A13021" s="532"/>
      <c r="AR13021" s="2513"/>
      <c r="CT13021" s="531"/>
    </row>
    <row r="13022" spans="1:98">
      <c r="A13022" s="532"/>
      <c r="AR13022" s="2513"/>
      <c r="CT13022" s="531"/>
    </row>
    <row r="13023" spans="1:98">
      <c r="A13023" s="532"/>
      <c r="AR13023" s="2513"/>
      <c r="CT13023" s="531"/>
    </row>
    <row r="13024" spans="1:98">
      <c r="A13024" s="532"/>
      <c r="AR13024" s="2513"/>
      <c r="CT13024" s="531"/>
    </row>
    <row r="13025" spans="1:98">
      <c r="A13025" s="532"/>
      <c r="AR13025" s="2513"/>
      <c r="CT13025" s="531"/>
    </row>
    <row r="13026" spans="1:98">
      <c r="A13026" s="532"/>
      <c r="AR13026" s="2513"/>
      <c r="CT13026" s="531"/>
    </row>
    <row r="13027" spans="1:98">
      <c r="A13027" s="532"/>
      <c r="AR13027" s="2513"/>
      <c r="CT13027" s="531"/>
    </row>
    <row r="13028" spans="1:98">
      <c r="A13028" s="532"/>
      <c r="AR13028" s="2513"/>
      <c r="CT13028" s="531"/>
    </row>
    <row r="13029" spans="1:98">
      <c r="A13029" s="532"/>
      <c r="AR13029" s="2513"/>
      <c r="CT13029" s="531"/>
    </row>
    <row r="13030" spans="1:98">
      <c r="A13030" s="532"/>
      <c r="AR13030" s="2513"/>
      <c r="CT13030" s="531"/>
    </row>
    <row r="13031" spans="1:98">
      <c r="A13031" s="532"/>
      <c r="AR13031" s="2513"/>
      <c r="CT13031" s="531"/>
    </row>
    <row r="13032" spans="1:98">
      <c r="A13032" s="532"/>
      <c r="AR13032" s="2513"/>
      <c r="CT13032" s="531"/>
    </row>
    <row r="13033" spans="1:98">
      <c r="A13033" s="532"/>
      <c r="AR13033" s="2513"/>
      <c r="CT13033" s="531"/>
    </row>
    <row r="13034" spans="1:98">
      <c r="A13034" s="532"/>
      <c r="AR13034" s="2513"/>
      <c r="CT13034" s="531"/>
    </row>
    <row r="13035" spans="1:98">
      <c r="A13035" s="532"/>
      <c r="AR13035" s="2513"/>
      <c r="CT13035" s="531"/>
    </row>
    <row r="13036" spans="1:98">
      <c r="A13036" s="532"/>
      <c r="AR13036" s="2513"/>
      <c r="CT13036" s="531"/>
    </row>
    <row r="13037" spans="1:98">
      <c r="A13037" s="532"/>
      <c r="AR13037" s="2513"/>
      <c r="CT13037" s="531"/>
    </row>
    <row r="13038" spans="1:98">
      <c r="A13038" s="532"/>
      <c r="AR13038" s="2513"/>
      <c r="CT13038" s="531"/>
    </row>
    <row r="13039" spans="1:98">
      <c r="A13039" s="532"/>
      <c r="AR13039" s="2513"/>
      <c r="CT13039" s="531"/>
    </row>
    <row r="13040" spans="1:98">
      <c r="A13040" s="532"/>
      <c r="AR13040" s="2513"/>
      <c r="CT13040" s="531"/>
    </row>
    <row r="13041" spans="1:98">
      <c r="A13041" s="532"/>
      <c r="AR13041" s="2513"/>
      <c r="CT13041" s="531"/>
    </row>
    <row r="13042" spans="1:98">
      <c r="A13042" s="532"/>
      <c r="AR13042" s="2513"/>
      <c r="CT13042" s="531"/>
    </row>
    <row r="13043" spans="1:98">
      <c r="A13043" s="532"/>
      <c r="AR13043" s="2513"/>
      <c r="CT13043" s="531"/>
    </row>
    <row r="13044" spans="1:98">
      <c r="A13044" s="532"/>
      <c r="AR13044" s="2513"/>
      <c r="CT13044" s="531"/>
    </row>
    <row r="13045" spans="1:98">
      <c r="A13045" s="532"/>
      <c r="AR13045" s="2513"/>
      <c r="CT13045" s="531"/>
    </row>
    <row r="13046" spans="1:98">
      <c r="A13046" s="532"/>
      <c r="AR13046" s="2513"/>
      <c r="CT13046" s="531"/>
    </row>
    <row r="13047" spans="1:98">
      <c r="A13047" s="532"/>
      <c r="AR13047" s="2513"/>
      <c r="CT13047" s="531"/>
    </row>
    <row r="13048" spans="1:98">
      <c r="A13048" s="532"/>
      <c r="AR13048" s="2513"/>
      <c r="CT13048" s="531"/>
    </row>
    <row r="13049" spans="1:98">
      <c r="A13049" s="532"/>
      <c r="AR13049" s="2513"/>
      <c r="CT13049" s="531"/>
    </row>
    <row r="13050" spans="1:98">
      <c r="A13050" s="532"/>
      <c r="AR13050" s="2513"/>
      <c r="CT13050" s="531"/>
    </row>
    <row r="13051" spans="1:98">
      <c r="A13051" s="532"/>
      <c r="AR13051" s="2513"/>
      <c r="CT13051" s="531"/>
    </row>
    <row r="13052" spans="1:98">
      <c r="A13052" s="532"/>
      <c r="AR13052" s="2513"/>
      <c r="CT13052" s="531"/>
    </row>
    <row r="13053" spans="1:98">
      <c r="A13053" s="532"/>
      <c r="AR13053" s="2513"/>
      <c r="CT13053" s="531"/>
    </row>
    <row r="13054" spans="1:98">
      <c r="A13054" s="532"/>
      <c r="AR13054" s="2513"/>
      <c r="CT13054" s="531"/>
    </row>
    <row r="13055" spans="1:98">
      <c r="A13055" s="532"/>
      <c r="AR13055" s="2513"/>
      <c r="CT13055" s="531"/>
    </row>
    <row r="13056" spans="1:98">
      <c r="A13056" s="532"/>
      <c r="AR13056" s="2513"/>
      <c r="CT13056" s="531"/>
    </row>
    <row r="13057" spans="1:98">
      <c r="A13057" s="532"/>
      <c r="AR13057" s="2513"/>
      <c r="CT13057" s="531"/>
    </row>
    <row r="13058" spans="1:98">
      <c r="A13058" s="532"/>
      <c r="AR13058" s="2513"/>
      <c r="CT13058" s="531"/>
    </row>
    <row r="13059" spans="1:98">
      <c r="A13059" s="532"/>
      <c r="AR13059" s="2513"/>
      <c r="CT13059" s="531"/>
    </row>
    <row r="13060" spans="1:98">
      <c r="A13060" s="532"/>
      <c r="AR13060" s="2513"/>
      <c r="CT13060" s="531"/>
    </row>
    <row r="13061" spans="1:98">
      <c r="A13061" s="532"/>
      <c r="AR13061" s="2513"/>
      <c r="CT13061" s="531"/>
    </row>
    <row r="13062" spans="1:98">
      <c r="A13062" s="532"/>
      <c r="AR13062" s="2513"/>
      <c r="CT13062" s="531"/>
    </row>
    <row r="13063" spans="1:98">
      <c r="A13063" s="532"/>
      <c r="AR13063" s="2513"/>
      <c r="CT13063" s="531"/>
    </row>
    <row r="13064" spans="1:98">
      <c r="A13064" s="532"/>
      <c r="AR13064" s="2513"/>
      <c r="CT13064" s="531"/>
    </row>
    <row r="13065" spans="1:98">
      <c r="A13065" s="532"/>
      <c r="AR13065" s="2513"/>
      <c r="CT13065" s="531"/>
    </row>
    <row r="13066" spans="1:98">
      <c r="A13066" s="532"/>
      <c r="AR13066" s="2513"/>
      <c r="CT13066" s="531"/>
    </row>
    <row r="13067" spans="1:98">
      <c r="A13067" s="532"/>
      <c r="AR13067" s="2513"/>
      <c r="CT13067" s="531"/>
    </row>
    <row r="13068" spans="1:98">
      <c r="A13068" s="532"/>
      <c r="AR13068" s="2513"/>
      <c r="CT13068" s="531"/>
    </row>
    <row r="13069" spans="1:98">
      <c r="A13069" s="532"/>
      <c r="AR13069" s="2513"/>
      <c r="CT13069" s="531"/>
    </row>
    <row r="13070" spans="1:98">
      <c r="A13070" s="532"/>
      <c r="AR13070" s="2513"/>
      <c r="CT13070" s="531"/>
    </row>
    <row r="13071" spans="1:98">
      <c r="A13071" s="532"/>
      <c r="AR13071" s="2513"/>
      <c r="CT13071" s="531"/>
    </row>
    <row r="13072" spans="1:98">
      <c r="A13072" s="532"/>
      <c r="AR13072" s="2513"/>
      <c r="CT13072" s="531"/>
    </row>
    <row r="13073" spans="1:98">
      <c r="A13073" s="532"/>
      <c r="AR13073" s="2513"/>
      <c r="CT13073" s="531"/>
    </row>
    <row r="13074" spans="1:98">
      <c r="A13074" s="532"/>
      <c r="AR13074" s="2513"/>
      <c r="CT13074" s="531"/>
    </row>
    <row r="13075" spans="1:98">
      <c r="A13075" s="532"/>
      <c r="AR13075" s="2513"/>
      <c r="CT13075" s="531"/>
    </row>
    <row r="13076" spans="1:98">
      <c r="A13076" s="532"/>
      <c r="AR13076" s="2513"/>
      <c r="CT13076" s="531"/>
    </row>
    <row r="13077" spans="1:98">
      <c r="A13077" s="532"/>
      <c r="AR13077" s="2513"/>
      <c r="CT13077" s="531"/>
    </row>
    <row r="13078" spans="1:98">
      <c r="A13078" s="532"/>
      <c r="AR13078" s="2513"/>
      <c r="CT13078" s="531"/>
    </row>
    <row r="13079" spans="1:98">
      <c r="A13079" s="532"/>
      <c r="AR13079" s="2513"/>
      <c r="CT13079" s="531"/>
    </row>
    <row r="13080" spans="1:98">
      <c r="A13080" s="532"/>
      <c r="AR13080" s="2513"/>
      <c r="CT13080" s="531"/>
    </row>
    <row r="13081" spans="1:98">
      <c r="A13081" s="532"/>
      <c r="AR13081" s="2513"/>
      <c r="CT13081" s="531"/>
    </row>
    <row r="13082" spans="1:98">
      <c r="A13082" s="532"/>
      <c r="AR13082" s="2513"/>
      <c r="CT13082" s="531"/>
    </row>
    <row r="13083" spans="1:98">
      <c r="A13083" s="532"/>
      <c r="AR13083" s="2513"/>
      <c r="CT13083" s="531"/>
    </row>
    <row r="13084" spans="1:98">
      <c r="A13084" s="532"/>
      <c r="AR13084" s="2513"/>
      <c r="CT13084" s="531"/>
    </row>
    <row r="13085" spans="1:98">
      <c r="A13085" s="532"/>
      <c r="AR13085" s="2513"/>
      <c r="CT13085" s="531"/>
    </row>
    <row r="13086" spans="1:98">
      <c r="A13086" s="532"/>
      <c r="AR13086" s="2513"/>
      <c r="CT13086" s="531"/>
    </row>
    <row r="13087" spans="1:98">
      <c r="A13087" s="532"/>
      <c r="AR13087" s="2513"/>
      <c r="CT13087" s="531"/>
    </row>
    <row r="13088" spans="1:98">
      <c r="A13088" s="532"/>
      <c r="AR13088" s="2513"/>
      <c r="CT13088" s="531"/>
    </row>
    <row r="13089" spans="1:98">
      <c r="A13089" s="532"/>
      <c r="AR13089" s="2513"/>
      <c r="CT13089" s="531"/>
    </row>
    <row r="13090" spans="1:98">
      <c r="A13090" s="532"/>
      <c r="AR13090" s="2513"/>
      <c r="CT13090" s="531"/>
    </row>
    <row r="13091" spans="1:98">
      <c r="A13091" s="532"/>
      <c r="AR13091" s="2513"/>
      <c r="CT13091" s="531"/>
    </row>
    <row r="13092" spans="1:98">
      <c r="A13092" s="532"/>
      <c r="AR13092" s="2513"/>
      <c r="CT13092" s="531"/>
    </row>
    <row r="13093" spans="1:98">
      <c r="A13093" s="532"/>
      <c r="AR13093" s="2513"/>
      <c r="CT13093" s="531"/>
    </row>
    <row r="13094" spans="1:98">
      <c r="A13094" s="532"/>
      <c r="AR13094" s="2513"/>
      <c r="CT13094" s="531"/>
    </row>
    <row r="13095" spans="1:98">
      <c r="A13095" s="532"/>
      <c r="AR13095" s="2513"/>
      <c r="CT13095" s="531"/>
    </row>
    <row r="13096" spans="1:98">
      <c r="A13096" s="532"/>
      <c r="AR13096" s="2513"/>
      <c r="CT13096" s="531"/>
    </row>
    <row r="13097" spans="1:98">
      <c r="A13097" s="532"/>
      <c r="AR13097" s="2513"/>
      <c r="CT13097" s="531"/>
    </row>
    <row r="13098" spans="1:98">
      <c r="A13098" s="532"/>
      <c r="AR13098" s="2513"/>
      <c r="CT13098" s="531"/>
    </row>
    <row r="13099" spans="1:98">
      <c r="A13099" s="532"/>
      <c r="AR13099" s="2513"/>
      <c r="CT13099" s="531"/>
    </row>
    <row r="13100" spans="1:98">
      <c r="A13100" s="532"/>
      <c r="AR13100" s="2513"/>
      <c r="CT13100" s="531"/>
    </row>
    <row r="13101" spans="1:98">
      <c r="A13101" s="532"/>
      <c r="AR13101" s="2513"/>
      <c r="CT13101" s="531"/>
    </row>
    <row r="13102" spans="1:98">
      <c r="A13102" s="532"/>
      <c r="AR13102" s="2513"/>
      <c r="CT13102" s="531"/>
    </row>
    <row r="13103" spans="1:98">
      <c r="A13103" s="532"/>
      <c r="AR13103" s="2513"/>
      <c r="CT13103" s="531"/>
    </row>
    <row r="13104" spans="1:98">
      <c r="A13104" s="532"/>
      <c r="AR13104" s="2513"/>
      <c r="CT13104" s="531"/>
    </row>
    <row r="13105" spans="1:98">
      <c r="A13105" s="532"/>
      <c r="AR13105" s="2513"/>
      <c r="CT13105" s="531"/>
    </row>
    <row r="13106" spans="1:98">
      <c r="A13106" s="532"/>
      <c r="AR13106" s="2513"/>
      <c r="CT13106" s="531"/>
    </row>
    <row r="13107" spans="1:98">
      <c r="A13107" s="532"/>
      <c r="AR13107" s="2513"/>
      <c r="CT13107" s="531"/>
    </row>
    <row r="13108" spans="1:98">
      <c r="A13108" s="532"/>
      <c r="AR13108" s="2513"/>
      <c r="CT13108" s="531"/>
    </row>
    <row r="13109" spans="1:98">
      <c r="A13109" s="532"/>
      <c r="AR13109" s="2513"/>
      <c r="CT13109" s="531"/>
    </row>
    <row r="13110" spans="1:98">
      <c r="A13110" s="532"/>
      <c r="AR13110" s="2513"/>
      <c r="CT13110" s="531"/>
    </row>
    <row r="13111" spans="1:98">
      <c r="A13111" s="532"/>
      <c r="AR13111" s="2513"/>
      <c r="CT13111" s="531"/>
    </row>
    <row r="13112" spans="1:98">
      <c r="A13112" s="532"/>
      <c r="AR13112" s="2513"/>
      <c r="CT13112" s="531"/>
    </row>
    <row r="13113" spans="1:98">
      <c r="A13113" s="532"/>
      <c r="AR13113" s="2513"/>
      <c r="CT13113" s="531"/>
    </row>
    <row r="13114" spans="1:98">
      <c r="A13114" s="532"/>
      <c r="AR13114" s="2513"/>
      <c r="CT13114" s="531"/>
    </row>
    <row r="13115" spans="1:98">
      <c r="A13115" s="532"/>
      <c r="AR13115" s="2513"/>
      <c r="CT13115" s="531"/>
    </row>
    <row r="13116" spans="1:98">
      <c r="A13116" s="532"/>
      <c r="AR13116" s="2513"/>
      <c r="CT13116" s="531"/>
    </row>
    <row r="13117" spans="1:98">
      <c r="A13117" s="532"/>
      <c r="AR13117" s="2513"/>
      <c r="CT13117" s="531"/>
    </row>
    <row r="13118" spans="1:98">
      <c r="A13118" s="532"/>
      <c r="AR13118" s="2513"/>
      <c r="CT13118" s="531"/>
    </row>
    <row r="13119" spans="1:98">
      <c r="A13119" s="532"/>
      <c r="AR13119" s="2513"/>
      <c r="CT13119" s="531"/>
    </row>
    <row r="13120" spans="1:98">
      <c r="A13120" s="532"/>
      <c r="AR13120" s="2513"/>
      <c r="CT13120" s="531"/>
    </row>
    <row r="13121" spans="1:98">
      <c r="A13121" s="532"/>
      <c r="AR13121" s="2513"/>
      <c r="CT13121" s="531"/>
    </row>
    <row r="13122" spans="1:98">
      <c r="A13122" s="532"/>
      <c r="AR13122" s="2513"/>
      <c r="CT13122" s="531"/>
    </row>
    <row r="13123" spans="1:98">
      <c r="A13123" s="532"/>
      <c r="AR13123" s="2513"/>
      <c r="CT13123" s="531"/>
    </row>
    <row r="13124" spans="1:98">
      <c r="A13124" s="532"/>
      <c r="AR13124" s="2513"/>
      <c r="CT13124" s="531"/>
    </row>
    <row r="13125" spans="1:98">
      <c r="A13125" s="532"/>
      <c r="AR13125" s="2513"/>
      <c r="CT13125" s="531"/>
    </row>
    <row r="13126" spans="1:98">
      <c r="A13126" s="532"/>
      <c r="AR13126" s="2513"/>
      <c r="CT13126" s="531"/>
    </row>
    <row r="13127" spans="1:98">
      <c r="A13127" s="532"/>
      <c r="AR13127" s="2513"/>
      <c r="CT13127" s="531"/>
    </row>
    <row r="13128" spans="1:98">
      <c r="A13128" s="532"/>
      <c r="AR13128" s="2513"/>
      <c r="CT13128" s="531"/>
    </row>
    <row r="13129" spans="1:98">
      <c r="A13129" s="532"/>
      <c r="AR13129" s="2513"/>
      <c r="CT13129" s="531"/>
    </row>
    <row r="13130" spans="1:98">
      <c r="A13130" s="532"/>
      <c r="AR13130" s="2513"/>
      <c r="CT13130" s="531"/>
    </row>
    <row r="13131" spans="1:98">
      <c r="A13131" s="532"/>
      <c r="AR13131" s="2513"/>
      <c r="CT13131" s="531"/>
    </row>
    <row r="13132" spans="1:98">
      <c r="A13132" s="532"/>
      <c r="AR13132" s="2513"/>
      <c r="CT13132" s="531"/>
    </row>
    <row r="13133" spans="1:98">
      <c r="A13133" s="532"/>
      <c r="AR13133" s="2513"/>
      <c r="CT13133" s="531"/>
    </row>
    <row r="13134" spans="1:98">
      <c r="A13134" s="532"/>
      <c r="AR13134" s="2513"/>
      <c r="CT13134" s="531"/>
    </row>
    <row r="13135" spans="1:98">
      <c r="A13135" s="532"/>
      <c r="AR13135" s="2513"/>
      <c r="CT13135" s="531"/>
    </row>
    <row r="13136" spans="1:98">
      <c r="A13136" s="532"/>
      <c r="AR13136" s="2513"/>
      <c r="CT13136" s="531"/>
    </row>
    <row r="13137" spans="1:98">
      <c r="A13137" s="532"/>
      <c r="AR13137" s="2513"/>
      <c r="CT13137" s="531"/>
    </row>
    <row r="13138" spans="1:98">
      <c r="A13138" s="532"/>
      <c r="AR13138" s="2513"/>
      <c r="CT13138" s="531"/>
    </row>
    <row r="13139" spans="1:98">
      <c r="A13139" s="532"/>
      <c r="AR13139" s="2513"/>
      <c r="CT13139" s="531"/>
    </row>
    <row r="13140" spans="1:98">
      <c r="A13140" s="532"/>
      <c r="AR13140" s="2513"/>
      <c r="CT13140" s="531"/>
    </row>
    <row r="13141" spans="1:98">
      <c r="A13141" s="532"/>
      <c r="AR13141" s="2513"/>
      <c r="CT13141" s="531"/>
    </row>
    <row r="13142" spans="1:98">
      <c r="A13142" s="532"/>
      <c r="AR13142" s="2513"/>
      <c r="CT13142" s="531"/>
    </row>
    <row r="13143" spans="1:98">
      <c r="A13143" s="532"/>
      <c r="AR13143" s="2513"/>
      <c r="CT13143" s="531"/>
    </row>
    <row r="13144" spans="1:98">
      <c r="A13144" s="532"/>
      <c r="AR13144" s="2513"/>
      <c r="CT13144" s="531"/>
    </row>
    <row r="13145" spans="1:98">
      <c r="A13145" s="532"/>
      <c r="AR13145" s="2513"/>
      <c r="CT13145" s="531"/>
    </row>
    <row r="13146" spans="1:98">
      <c r="A13146" s="532"/>
      <c r="AR13146" s="2513"/>
      <c r="CT13146" s="531"/>
    </row>
    <row r="13147" spans="1:98">
      <c r="A13147" s="532"/>
      <c r="AR13147" s="2513"/>
      <c r="CT13147" s="531"/>
    </row>
    <row r="13148" spans="1:98">
      <c r="A13148" s="532"/>
      <c r="AR13148" s="2513"/>
      <c r="CT13148" s="531"/>
    </row>
    <row r="13149" spans="1:98">
      <c r="A13149" s="532"/>
      <c r="AR13149" s="2513"/>
      <c r="CT13149" s="531"/>
    </row>
    <row r="13150" spans="1:98">
      <c r="A13150" s="532"/>
      <c r="AR13150" s="2513"/>
      <c r="CT13150" s="531"/>
    </row>
    <row r="13151" spans="1:98">
      <c r="A13151" s="532"/>
      <c r="AR13151" s="2513"/>
      <c r="CT13151" s="531"/>
    </row>
    <row r="13152" spans="1:98">
      <c r="A13152" s="532"/>
      <c r="AR13152" s="2513"/>
      <c r="CT13152" s="531"/>
    </row>
    <row r="13153" spans="1:98">
      <c r="A13153" s="532"/>
      <c r="AR13153" s="2513"/>
      <c r="CT13153" s="531"/>
    </row>
    <row r="13154" spans="1:98">
      <c r="A13154" s="532"/>
      <c r="AR13154" s="2513"/>
      <c r="CT13154" s="531"/>
    </row>
    <row r="13155" spans="1:98">
      <c r="A13155" s="532"/>
      <c r="AR13155" s="2513"/>
      <c r="CT13155" s="531"/>
    </row>
    <row r="13156" spans="1:98">
      <c r="A13156" s="532"/>
      <c r="AR13156" s="2513"/>
      <c r="CT13156" s="531"/>
    </row>
    <row r="13157" spans="1:98">
      <c r="A13157" s="532"/>
      <c r="AR13157" s="2513"/>
      <c r="CT13157" s="531"/>
    </row>
    <row r="13158" spans="1:98">
      <c r="A13158" s="532"/>
      <c r="AR13158" s="2513"/>
      <c r="CT13158" s="531"/>
    </row>
    <row r="13159" spans="1:98">
      <c r="A13159" s="532"/>
      <c r="AR13159" s="2513"/>
      <c r="CT13159" s="531"/>
    </row>
    <row r="13160" spans="1:98">
      <c r="A13160" s="532"/>
      <c r="AR13160" s="2513"/>
      <c r="CT13160" s="531"/>
    </row>
    <row r="13161" spans="1:98">
      <c r="A13161" s="532"/>
      <c r="AR13161" s="2513"/>
      <c r="CT13161" s="531"/>
    </row>
    <row r="13162" spans="1:98">
      <c r="A13162" s="532"/>
      <c r="AR13162" s="2513"/>
      <c r="CT13162" s="531"/>
    </row>
    <row r="13163" spans="1:98">
      <c r="A13163" s="532"/>
      <c r="AR13163" s="2513"/>
      <c r="CT13163" s="531"/>
    </row>
    <row r="13164" spans="1:98">
      <c r="A13164" s="532"/>
      <c r="AR13164" s="2513"/>
      <c r="CT13164" s="531"/>
    </row>
    <row r="13165" spans="1:98">
      <c r="A13165" s="532"/>
      <c r="AR13165" s="2513"/>
      <c r="CT13165" s="531"/>
    </row>
    <row r="13166" spans="1:98">
      <c r="A13166" s="532"/>
      <c r="AR13166" s="2513"/>
      <c r="CT13166" s="531"/>
    </row>
    <row r="13167" spans="1:98">
      <c r="A13167" s="532"/>
      <c r="AR13167" s="2513"/>
      <c r="CT13167" s="531"/>
    </row>
    <row r="13168" spans="1:98">
      <c r="A13168" s="532"/>
      <c r="AR13168" s="2513"/>
      <c r="CT13168" s="531"/>
    </row>
    <row r="13169" spans="1:98">
      <c r="A13169" s="532"/>
      <c r="AR13169" s="2513"/>
      <c r="CT13169" s="531"/>
    </row>
    <row r="13170" spans="1:98">
      <c r="A13170" s="532"/>
      <c r="AR13170" s="2513"/>
      <c r="CT13170" s="531"/>
    </row>
    <row r="13171" spans="1:98">
      <c r="A13171" s="532"/>
      <c r="AR13171" s="2513"/>
      <c r="CT13171" s="531"/>
    </row>
    <row r="13172" spans="1:98">
      <c r="A13172" s="532"/>
      <c r="AR13172" s="2513"/>
      <c r="CT13172" s="531"/>
    </row>
    <row r="13173" spans="1:98">
      <c r="A13173" s="532"/>
      <c r="AR13173" s="2513"/>
      <c r="CT13173" s="531"/>
    </row>
    <row r="13174" spans="1:98">
      <c r="A13174" s="532"/>
      <c r="AR13174" s="2513"/>
      <c r="CT13174" s="531"/>
    </row>
    <row r="13175" spans="1:98">
      <c r="A13175" s="532"/>
      <c r="AR13175" s="2513"/>
      <c r="CT13175" s="531"/>
    </row>
    <row r="13176" spans="1:98">
      <c r="A13176" s="532"/>
      <c r="AR13176" s="2513"/>
      <c r="CT13176" s="531"/>
    </row>
    <row r="13177" spans="1:98">
      <c r="A13177" s="532"/>
      <c r="AR13177" s="2513"/>
      <c r="CT13177" s="531"/>
    </row>
    <row r="13178" spans="1:98">
      <c r="A13178" s="532"/>
      <c r="AR13178" s="2513"/>
      <c r="CT13178" s="531"/>
    </row>
    <row r="13179" spans="1:98">
      <c r="A13179" s="532"/>
      <c r="AR13179" s="2513"/>
      <c r="CT13179" s="531"/>
    </row>
    <row r="13180" spans="1:98">
      <c r="A13180" s="532"/>
      <c r="AR13180" s="2513"/>
      <c r="CT13180" s="531"/>
    </row>
    <row r="13181" spans="1:98">
      <c r="A13181" s="532"/>
      <c r="AR13181" s="2513"/>
      <c r="CT13181" s="531"/>
    </row>
    <row r="13182" spans="1:98">
      <c r="A13182" s="532"/>
      <c r="AR13182" s="2513"/>
      <c r="CT13182" s="531"/>
    </row>
    <row r="13183" spans="1:98">
      <c r="A13183" s="532"/>
      <c r="AR13183" s="2513"/>
      <c r="CT13183" s="531"/>
    </row>
    <row r="13184" spans="1:98">
      <c r="A13184" s="532"/>
      <c r="AR13184" s="2513"/>
      <c r="CT13184" s="531"/>
    </row>
    <row r="13185" spans="1:98">
      <c r="A13185" s="532"/>
      <c r="AR13185" s="2513"/>
      <c r="CT13185" s="531"/>
    </row>
    <row r="13186" spans="1:98">
      <c r="A13186" s="532"/>
      <c r="AR13186" s="2513"/>
      <c r="CT13186" s="531"/>
    </row>
    <row r="13187" spans="1:98">
      <c r="A13187" s="532"/>
      <c r="AR13187" s="2513"/>
      <c r="CT13187" s="531"/>
    </row>
    <row r="13188" spans="1:98">
      <c r="A13188" s="532"/>
      <c r="AR13188" s="2513"/>
      <c r="CT13188" s="531"/>
    </row>
    <row r="13189" spans="1:98">
      <c r="A13189" s="532"/>
      <c r="AR13189" s="2513"/>
      <c r="CT13189" s="531"/>
    </row>
    <row r="13190" spans="1:98">
      <c r="A13190" s="532"/>
      <c r="AR13190" s="2513"/>
      <c r="CT13190" s="531"/>
    </row>
    <row r="13191" spans="1:98">
      <c r="A13191" s="532"/>
      <c r="AR13191" s="2513"/>
      <c r="CT13191" s="531"/>
    </row>
    <row r="13192" spans="1:98">
      <c r="A13192" s="532"/>
      <c r="AR13192" s="2513"/>
      <c r="CT13192" s="531"/>
    </row>
    <row r="13193" spans="1:98">
      <c r="A13193" s="532"/>
      <c r="AR13193" s="2513"/>
      <c r="CT13193" s="531"/>
    </row>
    <row r="13194" spans="1:98">
      <c r="A13194" s="532"/>
      <c r="AR13194" s="2513"/>
      <c r="CT13194" s="531"/>
    </row>
    <row r="13195" spans="1:98">
      <c r="A13195" s="532"/>
      <c r="AR13195" s="2513"/>
      <c r="CT13195" s="531"/>
    </row>
    <row r="13196" spans="1:98">
      <c r="A13196" s="532"/>
      <c r="AR13196" s="2513"/>
      <c r="CT13196" s="531"/>
    </row>
    <row r="13197" spans="1:98">
      <c r="A13197" s="532"/>
      <c r="AR13197" s="2513"/>
      <c r="CT13197" s="531"/>
    </row>
    <row r="13198" spans="1:98">
      <c r="A13198" s="532"/>
      <c r="AR13198" s="2513"/>
      <c r="CT13198" s="531"/>
    </row>
    <row r="13199" spans="1:98">
      <c r="A13199" s="532"/>
      <c r="AR13199" s="2513"/>
      <c r="CT13199" s="531"/>
    </row>
    <row r="13200" spans="1:98">
      <c r="A13200" s="532"/>
      <c r="AR13200" s="2513"/>
      <c r="CT13200" s="531"/>
    </row>
    <row r="13201" spans="1:98">
      <c r="A13201" s="532"/>
      <c r="AR13201" s="2513"/>
      <c r="CT13201" s="531"/>
    </row>
    <row r="13202" spans="1:98">
      <c r="A13202" s="532"/>
      <c r="AR13202" s="2513"/>
      <c r="CT13202" s="531"/>
    </row>
    <row r="13203" spans="1:98">
      <c r="A13203" s="532"/>
      <c r="AR13203" s="2513"/>
      <c r="CT13203" s="531"/>
    </row>
    <row r="13204" spans="1:98">
      <c r="A13204" s="532"/>
      <c r="AR13204" s="2513"/>
      <c r="CT13204" s="531"/>
    </row>
    <row r="13205" spans="1:98">
      <c r="A13205" s="532"/>
      <c r="AR13205" s="2513"/>
      <c r="CT13205" s="531"/>
    </row>
    <row r="13206" spans="1:98">
      <c r="A13206" s="532"/>
      <c r="AR13206" s="2513"/>
      <c r="CT13206" s="531"/>
    </row>
    <row r="13207" spans="1:98">
      <c r="A13207" s="532"/>
      <c r="AR13207" s="2513"/>
      <c r="CT13207" s="531"/>
    </row>
    <row r="13208" spans="1:98">
      <c r="A13208" s="532"/>
      <c r="AR13208" s="2513"/>
      <c r="CT13208" s="531"/>
    </row>
    <row r="13209" spans="1:98">
      <c r="A13209" s="532"/>
      <c r="AR13209" s="2513"/>
      <c r="CT13209" s="531"/>
    </row>
    <row r="13210" spans="1:98">
      <c r="A13210" s="532"/>
      <c r="AR13210" s="2513"/>
      <c r="CT13210" s="531"/>
    </row>
    <row r="13211" spans="1:98">
      <c r="A13211" s="532"/>
      <c r="AR13211" s="2513"/>
      <c r="CT13211" s="531"/>
    </row>
    <row r="13212" spans="1:98">
      <c r="A13212" s="532"/>
      <c r="AR13212" s="2513"/>
      <c r="CT13212" s="531"/>
    </row>
    <row r="13213" spans="1:98">
      <c r="A13213" s="532"/>
      <c r="AR13213" s="2513"/>
      <c r="CT13213" s="531"/>
    </row>
    <row r="13214" spans="1:98">
      <c r="A13214" s="532"/>
      <c r="AR13214" s="2513"/>
      <c r="CT13214" s="531"/>
    </row>
    <row r="13215" spans="1:98">
      <c r="A13215" s="532"/>
      <c r="AR13215" s="2513"/>
      <c r="CT13215" s="531"/>
    </row>
    <row r="13216" spans="1:98">
      <c r="A13216" s="532"/>
      <c r="AR13216" s="2513"/>
      <c r="CT13216" s="531"/>
    </row>
    <row r="13217" spans="1:98">
      <c r="A13217" s="532"/>
      <c r="AR13217" s="2513"/>
      <c r="CT13217" s="531"/>
    </row>
    <row r="13218" spans="1:98">
      <c r="A13218" s="532"/>
      <c r="AR13218" s="2513"/>
      <c r="CT13218" s="531"/>
    </row>
    <row r="13219" spans="1:98">
      <c r="A13219" s="532"/>
      <c r="AR13219" s="2513"/>
      <c r="CT13219" s="531"/>
    </row>
    <row r="13220" spans="1:98">
      <c r="A13220" s="532"/>
      <c r="AR13220" s="2513"/>
      <c r="CT13220" s="531"/>
    </row>
    <row r="13221" spans="1:98">
      <c r="A13221" s="532"/>
      <c r="AR13221" s="2513"/>
      <c r="CT13221" s="531"/>
    </row>
    <row r="13222" spans="1:98">
      <c r="A13222" s="532"/>
      <c r="AR13222" s="2513"/>
      <c r="CT13222" s="531"/>
    </row>
    <row r="13223" spans="1:98">
      <c r="A13223" s="532"/>
      <c r="AR13223" s="2513"/>
      <c r="CT13223" s="531"/>
    </row>
    <row r="13224" spans="1:98">
      <c r="A13224" s="532"/>
      <c r="AR13224" s="2513"/>
      <c r="CT13224" s="531"/>
    </row>
    <row r="13225" spans="1:98">
      <c r="A13225" s="532"/>
      <c r="AR13225" s="2513"/>
      <c r="CT13225" s="531"/>
    </row>
    <row r="13226" spans="1:98">
      <c r="A13226" s="532"/>
      <c r="AR13226" s="2513"/>
      <c r="CT13226" s="531"/>
    </row>
    <row r="13227" spans="1:98">
      <c r="A13227" s="532"/>
      <c r="AR13227" s="2513"/>
      <c r="CT13227" s="531"/>
    </row>
    <row r="13228" spans="1:98">
      <c r="A13228" s="532"/>
      <c r="AR13228" s="2513"/>
      <c r="CT13228" s="531"/>
    </row>
    <row r="13229" spans="1:98">
      <c r="A13229" s="532"/>
      <c r="AR13229" s="2513"/>
      <c r="CT13229" s="531"/>
    </row>
    <row r="13230" spans="1:98">
      <c r="A13230" s="532"/>
      <c r="AR13230" s="2513"/>
      <c r="CT13230" s="531"/>
    </row>
    <row r="13231" spans="1:98">
      <c r="A13231" s="532"/>
      <c r="AR13231" s="2513"/>
      <c r="CT13231" s="531"/>
    </row>
    <row r="13232" spans="1:98">
      <c r="A13232" s="532"/>
      <c r="AR13232" s="2513"/>
      <c r="CT13232" s="531"/>
    </row>
    <row r="13233" spans="1:98">
      <c r="A13233" s="532"/>
      <c r="AR13233" s="2513"/>
      <c r="CT13233" s="531"/>
    </row>
    <row r="13234" spans="1:98">
      <c r="A13234" s="532"/>
      <c r="AR13234" s="2513"/>
      <c r="CT13234" s="531"/>
    </row>
    <row r="13235" spans="1:98">
      <c r="A13235" s="532"/>
      <c r="AR13235" s="2513"/>
      <c r="CT13235" s="531"/>
    </row>
    <row r="13236" spans="1:98">
      <c r="A13236" s="532"/>
      <c r="AR13236" s="2513"/>
      <c r="CT13236" s="531"/>
    </row>
    <row r="13237" spans="1:98">
      <c r="A13237" s="532"/>
      <c r="AR13237" s="2513"/>
      <c r="CT13237" s="531"/>
    </row>
    <row r="13238" spans="1:98">
      <c r="A13238" s="532"/>
      <c r="AR13238" s="2513"/>
      <c r="CT13238" s="531"/>
    </row>
    <row r="13239" spans="1:98">
      <c r="A13239" s="532"/>
      <c r="AR13239" s="2513"/>
      <c r="CT13239" s="531"/>
    </row>
    <row r="13240" spans="1:98">
      <c r="A13240" s="532"/>
      <c r="AR13240" s="2513"/>
      <c r="CT13240" s="531"/>
    </row>
    <row r="13241" spans="1:98">
      <c r="A13241" s="532"/>
      <c r="AR13241" s="2513"/>
      <c r="CT13241" s="531"/>
    </row>
    <row r="13242" spans="1:98">
      <c r="A13242" s="532"/>
      <c r="AR13242" s="2513"/>
      <c r="CT13242" s="531"/>
    </row>
    <row r="13243" spans="1:98">
      <c r="A13243" s="532"/>
      <c r="AR13243" s="2513"/>
      <c r="CT13243" s="531"/>
    </row>
    <row r="13244" spans="1:98">
      <c r="A13244" s="532"/>
      <c r="AR13244" s="2513"/>
      <c r="CT13244" s="531"/>
    </row>
    <row r="13245" spans="1:98">
      <c r="A13245" s="532"/>
      <c r="AR13245" s="2513"/>
      <c r="CT13245" s="531"/>
    </row>
    <row r="13246" spans="1:98">
      <c r="A13246" s="532"/>
      <c r="AR13246" s="2513"/>
      <c r="CT13246" s="531"/>
    </row>
    <row r="13247" spans="1:98">
      <c r="A13247" s="532"/>
      <c r="AR13247" s="2513"/>
      <c r="CT13247" s="531"/>
    </row>
    <row r="13248" spans="1:98">
      <c r="A13248" s="532"/>
      <c r="AR13248" s="2513"/>
      <c r="CT13248" s="531"/>
    </row>
    <row r="13249" spans="1:98">
      <c r="A13249" s="532"/>
      <c r="AR13249" s="2513"/>
      <c r="CT13249" s="531"/>
    </row>
    <row r="13250" spans="1:98">
      <c r="A13250" s="532"/>
      <c r="AR13250" s="2513"/>
      <c r="CT13250" s="531"/>
    </row>
    <row r="13251" spans="1:98">
      <c r="A13251" s="532"/>
      <c r="AR13251" s="2513"/>
      <c r="CT13251" s="531"/>
    </row>
    <row r="13252" spans="1:98">
      <c r="A13252" s="532"/>
      <c r="AR13252" s="2513"/>
      <c r="CT13252" s="531"/>
    </row>
    <row r="13253" spans="1:98">
      <c r="A13253" s="532"/>
      <c r="AR13253" s="2513"/>
      <c r="CT13253" s="531"/>
    </row>
    <row r="13254" spans="1:98">
      <c r="A13254" s="532"/>
      <c r="AR13254" s="2513"/>
      <c r="CT13254" s="531"/>
    </row>
    <row r="13255" spans="1:98">
      <c r="A13255" s="532"/>
      <c r="AR13255" s="2513"/>
      <c r="CT13255" s="531"/>
    </row>
    <row r="13256" spans="1:98">
      <c r="A13256" s="532"/>
      <c r="AR13256" s="2513"/>
      <c r="CT13256" s="531"/>
    </row>
    <row r="13257" spans="1:98">
      <c r="A13257" s="532"/>
      <c r="AR13257" s="2513"/>
      <c r="CT13257" s="531"/>
    </row>
    <row r="13258" spans="1:98">
      <c r="A13258" s="532"/>
      <c r="AR13258" s="2513"/>
      <c r="CT13258" s="531"/>
    </row>
    <row r="13259" spans="1:98">
      <c r="A13259" s="532"/>
      <c r="AR13259" s="2513"/>
      <c r="CT13259" s="531"/>
    </row>
    <row r="13260" spans="1:98">
      <c r="A13260" s="532"/>
      <c r="AR13260" s="2513"/>
      <c r="CT13260" s="531"/>
    </row>
    <row r="13261" spans="1:98">
      <c r="A13261" s="532"/>
      <c r="AR13261" s="2513"/>
      <c r="CT13261" s="531"/>
    </row>
    <row r="13262" spans="1:98">
      <c r="A13262" s="532"/>
      <c r="AR13262" s="2513"/>
      <c r="CT13262" s="531"/>
    </row>
    <row r="13263" spans="1:98">
      <c r="A13263" s="532"/>
      <c r="AR13263" s="2513"/>
      <c r="CT13263" s="531"/>
    </row>
    <row r="13264" spans="1:98">
      <c r="A13264" s="532"/>
      <c r="AR13264" s="2513"/>
      <c r="CT13264" s="531"/>
    </row>
    <row r="13265" spans="1:98">
      <c r="A13265" s="532"/>
      <c r="AR13265" s="2513"/>
      <c r="CT13265" s="531"/>
    </row>
    <row r="13266" spans="1:98">
      <c r="A13266" s="532"/>
      <c r="AR13266" s="2513"/>
      <c r="CT13266" s="531"/>
    </row>
    <row r="13267" spans="1:98">
      <c r="A13267" s="532"/>
      <c r="AR13267" s="2513"/>
      <c r="CT13267" s="531"/>
    </row>
    <row r="13268" spans="1:98">
      <c r="A13268" s="532"/>
      <c r="AR13268" s="2513"/>
      <c r="CT13268" s="531"/>
    </row>
    <row r="13269" spans="1:98">
      <c r="A13269" s="532"/>
      <c r="AR13269" s="2513"/>
      <c r="CT13269" s="531"/>
    </row>
    <row r="13270" spans="1:98">
      <c r="A13270" s="532"/>
      <c r="AR13270" s="2513"/>
      <c r="CT13270" s="531"/>
    </row>
    <row r="13271" spans="1:98">
      <c r="A13271" s="532"/>
      <c r="AR13271" s="2513"/>
      <c r="CT13271" s="531"/>
    </row>
    <row r="13272" spans="1:98">
      <c r="A13272" s="532"/>
      <c r="AR13272" s="2513"/>
      <c r="CT13272" s="531"/>
    </row>
    <row r="13273" spans="1:98">
      <c r="A13273" s="532"/>
      <c r="AR13273" s="2513"/>
      <c r="CT13273" s="531"/>
    </row>
    <row r="13274" spans="1:98">
      <c r="A13274" s="532"/>
      <c r="AR13274" s="2513"/>
      <c r="CT13274" s="531"/>
    </row>
    <row r="13275" spans="1:98">
      <c r="A13275" s="532"/>
      <c r="AR13275" s="2513"/>
      <c r="CT13275" s="531"/>
    </row>
    <row r="13276" spans="1:98">
      <c r="A13276" s="532"/>
      <c r="AR13276" s="2513"/>
      <c r="CT13276" s="531"/>
    </row>
    <row r="13277" spans="1:98">
      <c r="A13277" s="532"/>
      <c r="AR13277" s="2513"/>
      <c r="CT13277" s="531"/>
    </row>
    <row r="13278" spans="1:98">
      <c r="A13278" s="532"/>
      <c r="AR13278" s="2513"/>
      <c r="CT13278" s="531"/>
    </row>
    <row r="13279" spans="1:98">
      <c r="A13279" s="532"/>
      <c r="AR13279" s="2513"/>
      <c r="CT13279" s="531"/>
    </row>
    <row r="13280" spans="1:98">
      <c r="A13280" s="532"/>
      <c r="AR13280" s="2513"/>
      <c r="CT13280" s="531"/>
    </row>
    <row r="13281" spans="1:98">
      <c r="A13281" s="532"/>
      <c r="AR13281" s="2513"/>
      <c r="CT13281" s="531"/>
    </row>
    <row r="13282" spans="1:98">
      <c r="A13282" s="532"/>
      <c r="AR13282" s="2513"/>
      <c r="CT13282" s="531"/>
    </row>
    <row r="13283" spans="1:98">
      <c r="A13283" s="532"/>
      <c r="AR13283" s="2513"/>
      <c r="CT13283" s="531"/>
    </row>
    <row r="13284" spans="1:98">
      <c r="A13284" s="532"/>
      <c r="AR13284" s="2513"/>
      <c r="CT13284" s="531"/>
    </row>
    <row r="13285" spans="1:98">
      <c r="A13285" s="532"/>
      <c r="AR13285" s="2513"/>
      <c r="CT13285" s="531"/>
    </row>
    <row r="13286" spans="1:98">
      <c r="A13286" s="532"/>
      <c r="AR13286" s="2513"/>
      <c r="CT13286" s="531"/>
    </row>
    <row r="13287" spans="1:98">
      <c r="A13287" s="532"/>
      <c r="AR13287" s="2513"/>
      <c r="CT13287" s="531"/>
    </row>
    <row r="13288" spans="1:98">
      <c r="A13288" s="532"/>
      <c r="AR13288" s="2513"/>
      <c r="CT13288" s="531"/>
    </row>
    <row r="13289" spans="1:98">
      <c r="A13289" s="532"/>
      <c r="AR13289" s="2513"/>
      <c r="CT13289" s="531"/>
    </row>
    <row r="13290" spans="1:98">
      <c r="A13290" s="532"/>
      <c r="AR13290" s="2513"/>
      <c r="CT13290" s="531"/>
    </row>
    <row r="13291" spans="1:98">
      <c r="A13291" s="532"/>
      <c r="AR13291" s="2513"/>
      <c r="CT13291" s="531"/>
    </row>
    <row r="13292" spans="1:98">
      <c r="A13292" s="532"/>
      <c r="AR13292" s="2513"/>
      <c r="CT13292" s="531"/>
    </row>
    <row r="13293" spans="1:98">
      <c r="A13293" s="532"/>
      <c r="AR13293" s="2513"/>
      <c r="CT13293" s="531"/>
    </row>
    <row r="13294" spans="1:98">
      <c r="A13294" s="532"/>
      <c r="AR13294" s="2513"/>
      <c r="CT13294" s="531"/>
    </row>
    <row r="13295" spans="1:98">
      <c r="A13295" s="532"/>
      <c r="AR13295" s="2513"/>
      <c r="CT13295" s="531"/>
    </row>
    <row r="13296" spans="1:98">
      <c r="A13296" s="532"/>
      <c r="AR13296" s="2513"/>
      <c r="CT13296" s="531"/>
    </row>
    <row r="13297" spans="1:98">
      <c r="A13297" s="532"/>
      <c r="AR13297" s="2513"/>
      <c r="CT13297" s="531"/>
    </row>
    <row r="13298" spans="1:98">
      <c r="A13298" s="532"/>
      <c r="AR13298" s="2513"/>
      <c r="CT13298" s="531"/>
    </row>
    <row r="13299" spans="1:98">
      <c r="A13299" s="532"/>
      <c r="AR13299" s="2513"/>
      <c r="CT13299" s="531"/>
    </row>
    <row r="13300" spans="1:98">
      <c r="A13300" s="532"/>
      <c r="AR13300" s="2513"/>
      <c r="CT13300" s="531"/>
    </row>
    <row r="13301" spans="1:98">
      <c r="A13301" s="532"/>
      <c r="AR13301" s="2513"/>
      <c r="CT13301" s="531"/>
    </row>
    <row r="13302" spans="1:98">
      <c r="A13302" s="532"/>
      <c r="AR13302" s="2513"/>
      <c r="CT13302" s="531"/>
    </row>
    <row r="13303" spans="1:98">
      <c r="A13303" s="532"/>
      <c r="AR13303" s="2513"/>
      <c r="CT13303" s="531"/>
    </row>
    <row r="13304" spans="1:98">
      <c r="A13304" s="532"/>
      <c r="AR13304" s="2513"/>
      <c r="CT13304" s="531"/>
    </row>
    <row r="13305" spans="1:98">
      <c r="A13305" s="532"/>
      <c r="AR13305" s="2513"/>
      <c r="CT13305" s="531"/>
    </row>
    <row r="13306" spans="1:98">
      <c r="A13306" s="532"/>
      <c r="AR13306" s="2513"/>
      <c r="CT13306" s="531"/>
    </row>
    <row r="13307" spans="1:98">
      <c r="A13307" s="532"/>
      <c r="AR13307" s="2513"/>
      <c r="CT13307" s="531"/>
    </row>
    <row r="13308" spans="1:98">
      <c r="A13308" s="532"/>
      <c r="AR13308" s="2513"/>
      <c r="CT13308" s="531"/>
    </row>
    <row r="13309" spans="1:98">
      <c r="A13309" s="532"/>
      <c r="AR13309" s="2513"/>
      <c r="CT13309" s="531"/>
    </row>
    <row r="13310" spans="1:98">
      <c r="A13310" s="532"/>
      <c r="AR13310" s="2513"/>
      <c r="CT13310" s="531"/>
    </row>
    <row r="13311" spans="1:98">
      <c r="A13311" s="532"/>
      <c r="AR13311" s="2513"/>
      <c r="CT13311" s="531"/>
    </row>
    <row r="13312" spans="1:98">
      <c r="A13312" s="532"/>
      <c r="AR13312" s="2513"/>
      <c r="CT13312" s="531"/>
    </row>
    <row r="13313" spans="1:98">
      <c r="A13313" s="532"/>
      <c r="AR13313" s="2513"/>
      <c r="CT13313" s="531"/>
    </row>
    <row r="13314" spans="1:98">
      <c r="A13314" s="532"/>
      <c r="AR13314" s="2513"/>
      <c r="CT13314" s="531"/>
    </row>
    <row r="13315" spans="1:98">
      <c r="A13315" s="532"/>
      <c r="AR13315" s="2513"/>
      <c r="CT13315" s="531"/>
    </row>
    <row r="13316" spans="1:98">
      <c r="A13316" s="532"/>
      <c r="AR13316" s="2513"/>
      <c r="CT13316" s="531"/>
    </row>
    <row r="13317" spans="1:98">
      <c r="A13317" s="532"/>
      <c r="AR13317" s="2513"/>
      <c r="CT13317" s="531"/>
    </row>
    <row r="13318" spans="1:98">
      <c r="A13318" s="532"/>
      <c r="AR13318" s="2513"/>
      <c r="CT13318" s="531"/>
    </row>
    <row r="13319" spans="1:98">
      <c r="A13319" s="532"/>
      <c r="AR13319" s="2513"/>
      <c r="CT13319" s="531"/>
    </row>
    <row r="13320" spans="1:98">
      <c r="A13320" s="532"/>
      <c r="AR13320" s="2513"/>
      <c r="CT13320" s="531"/>
    </row>
    <row r="13321" spans="1:98">
      <c r="A13321" s="532"/>
      <c r="AR13321" s="2513"/>
      <c r="CT13321" s="531"/>
    </row>
    <row r="13322" spans="1:98">
      <c r="A13322" s="532"/>
      <c r="AR13322" s="2513"/>
      <c r="CT13322" s="531"/>
    </row>
    <row r="13323" spans="1:98">
      <c r="A13323" s="532"/>
      <c r="AR13323" s="2513"/>
      <c r="CT13323" s="531"/>
    </row>
    <row r="13324" spans="1:98">
      <c r="A13324" s="532"/>
      <c r="AR13324" s="2513"/>
      <c r="CT13324" s="531"/>
    </row>
    <row r="13325" spans="1:98">
      <c r="A13325" s="532"/>
      <c r="AR13325" s="2513"/>
      <c r="CT13325" s="531"/>
    </row>
    <row r="13326" spans="1:98">
      <c r="A13326" s="532"/>
      <c r="AR13326" s="2513"/>
      <c r="CT13326" s="531"/>
    </row>
    <row r="13327" spans="1:98">
      <c r="A13327" s="532"/>
      <c r="AR13327" s="2513"/>
      <c r="CT13327" s="531"/>
    </row>
    <row r="13328" spans="1:98">
      <c r="A13328" s="532"/>
      <c r="AR13328" s="2513"/>
      <c r="CT13328" s="531"/>
    </row>
    <row r="13329" spans="1:98">
      <c r="A13329" s="532"/>
      <c r="AR13329" s="2513"/>
      <c r="CT13329" s="531"/>
    </row>
    <row r="13330" spans="1:98">
      <c r="A13330" s="532"/>
      <c r="AR13330" s="2513"/>
      <c r="CT13330" s="531"/>
    </row>
    <row r="13331" spans="1:98">
      <c r="A13331" s="532"/>
      <c r="AR13331" s="2513"/>
      <c r="CT13331" s="531"/>
    </row>
    <row r="13332" spans="1:98">
      <c r="A13332" s="532"/>
      <c r="AR13332" s="2513"/>
      <c r="CT13332" s="531"/>
    </row>
    <row r="13333" spans="1:98">
      <c r="A13333" s="532"/>
      <c r="AR13333" s="2513"/>
      <c r="CT13333" s="531"/>
    </row>
    <row r="13334" spans="1:98">
      <c r="A13334" s="532"/>
      <c r="AR13334" s="2513"/>
      <c r="CT13334" s="531"/>
    </row>
    <row r="13335" spans="1:98">
      <c r="A13335" s="532"/>
      <c r="AR13335" s="2513"/>
      <c r="CT13335" s="531"/>
    </row>
    <row r="13336" spans="1:98">
      <c r="A13336" s="532"/>
      <c r="AR13336" s="2513"/>
      <c r="CT13336" s="531"/>
    </row>
    <row r="13337" spans="1:98">
      <c r="A13337" s="532"/>
      <c r="AR13337" s="2513"/>
      <c r="CT13337" s="531"/>
    </row>
    <row r="13338" spans="1:98">
      <c r="A13338" s="532"/>
      <c r="AR13338" s="2513"/>
      <c r="CT13338" s="531"/>
    </row>
    <row r="13339" spans="1:98">
      <c r="A13339" s="532"/>
      <c r="AR13339" s="2513"/>
      <c r="CT13339" s="531"/>
    </row>
    <row r="13340" spans="1:98">
      <c r="A13340" s="532"/>
      <c r="AR13340" s="2513"/>
      <c r="CT13340" s="531"/>
    </row>
    <row r="13341" spans="1:98">
      <c r="A13341" s="532"/>
      <c r="AR13341" s="2513"/>
      <c r="CT13341" s="531"/>
    </row>
    <row r="13342" spans="1:98">
      <c r="A13342" s="532"/>
      <c r="AR13342" s="2513"/>
      <c r="CT13342" s="531"/>
    </row>
    <row r="13343" spans="1:98">
      <c r="A13343" s="532"/>
      <c r="AR13343" s="2513"/>
      <c r="CT13343" s="531"/>
    </row>
    <row r="13344" spans="1:98">
      <c r="A13344" s="532"/>
      <c r="AR13344" s="2513"/>
      <c r="CT13344" s="531"/>
    </row>
    <row r="13345" spans="1:98">
      <c r="A13345" s="532"/>
      <c r="AR13345" s="2513"/>
      <c r="CT13345" s="531"/>
    </row>
    <row r="13346" spans="1:98">
      <c r="A13346" s="532"/>
      <c r="AR13346" s="2513"/>
      <c r="CT13346" s="531"/>
    </row>
    <row r="13347" spans="1:98">
      <c r="A13347" s="532"/>
      <c r="AR13347" s="2513"/>
      <c r="CT13347" s="531"/>
    </row>
    <row r="13348" spans="1:98">
      <c r="A13348" s="532"/>
      <c r="AR13348" s="2513"/>
      <c r="CT13348" s="531"/>
    </row>
    <row r="13349" spans="1:98">
      <c r="A13349" s="532"/>
      <c r="AR13349" s="2513"/>
      <c r="CT13349" s="531"/>
    </row>
    <row r="13350" spans="1:98">
      <c r="A13350" s="532"/>
      <c r="AR13350" s="2513"/>
      <c r="CT13350" s="531"/>
    </row>
    <row r="13351" spans="1:98">
      <c r="A13351" s="532"/>
      <c r="AR13351" s="2513"/>
      <c r="CT13351" s="531"/>
    </row>
    <row r="13352" spans="1:98">
      <c r="A13352" s="532"/>
      <c r="AR13352" s="2513"/>
      <c r="CT13352" s="531"/>
    </row>
    <row r="13353" spans="1:98">
      <c r="A13353" s="532"/>
      <c r="AR13353" s="2513"/>
      <c r="CT13353" s="531"/>
    </row>
    <row r="13354" spans="1:98">
      <c r="A13354" s="532"/>
      <c r="AR13354" s="2513"/>
      <c r="CT13354" s="531"/>
    </row>
    <row r="13355" spans="1:98">
      <c r="A13355" s="532"/>
      <c r="AR13355" s="2513"/>
      <c r="CT13355" s="531"/>
    </row>
    <row r="13356" spans="1:98">
      <c r="A13356" s="532"/>
      <c r="AR13356" s="2513"/>
      <c r="CT13356" s="531"/>
    </row>
    <row r="13357" spans="1:98">
      <c r="A13357" s="532"/>
      <c r="AR13357" s="2513"/>
      <c r="CT13357" s="531"/>
    </row>
    <row r="13358" spans="1:98">
      <c r="A13358" s="532"/>
      <c r="AR13358" s="2513"/>
      <c r="CT13358" s="531"/>
    </row>
    <row r="13359" spans="1:98">
      <c r="A13359" s="532"/>
      <c r="AR13359" s="2513"/>
      <c r="CT13359" s="531"/>
    </row>
    <row r="13360" spans="1:98">
      <c r="A13360" s="532"/>
      <c r="AR13360" s="2513"/>
      <c r="CT13360" s="531"/>
    </row>
    <row r="13361" spans="1:98">
      <c r="A13361" s="532"/>
      <c r="AR13361" s="2513"/>
      <c r="CT13361" s="531"/>
    </row>
    <row r="13362" spans="1:98">
      <c r="A13362" s="532"/>
      <c r="AR13362" s="2513"/>
      <c r="CT13362" s="531"/>
    </row>
    <row r="13363" spans="1:98">
      <c r="A13363" s="532"/>
      <c r="AR13363" s="2513"/>
      <c r="CT13363" s="531"/>
    </row>
    <row r="13364" spans="1:98">
      <c r="A13364" s="532"/>
      <c r="AR13364" s="2513"/>
      <c r="CT13364" s="531"/>
    </row>
    <row r="13365" spans="1:98">
      <c r="A13365" s="532"/>
      <c r="AR13365" s="2513"/>
      <c r="CT13365" s="531"/>
    </row>
    <row r="13366" spans="1:98">
      <c r="A13366" s="532"/>
      <c r="AR13366" s="2513"/>
      <c r="CT13366" s="531"/>
    </row>
    <row r="13367" spans="1:98">
      <c r="A13367" s="532"/>
      <c r="AR13367" s="2513"/>
      <c r="CT13367" s="531"/>
    </row>
    <row r="13368" spans="1:98">
      <c r="A13368" s="532"/>
      <c r="AR13368" s="2513"/>
      <c r="CT13368" s="531"/>
    </row>
    <row r="13369" spans="1:98">
      <c r="A13369" s="532"/>
      <c r="AR13369" s="2513"/>
      <c r="CT13369" s="531"/>
    </row>
    <row r="13370" spans="1:98">
      <c r="A13370" s="532"/>
      <c r="AR13370" s="2513"/>
      <c r="CT13370" s="531"/>
    </row>
    <row r="13371" spans="1:98">
      <c r="A13371" s="532"/>
      <c r="AR13371" s="2513"/>
      <c r="CT13371" s="531"/>
    </row>
    <row r="13372" spans="1:98">
      <c r="A13372" s="532"/>
      <c r="AR13372" s="2513"/>
      <c r="CT13372" s="531"/>
    </row>
    <row r="13373" spans="1:98">
      <c r="A13373" s="532"/>
      <c r="AR13373" s="2513"/>
      <c r="CT13373" s="531"/>
    </row>
    <row r="13374" spans="1:98">
      <c r="A13374" s="532"/>
      <c r="AR13374" s="2513"/>
      <c r="CT13374" s="531"/>
    </row>
    <row r="13375" spans="1:98">
      <c r="A13375" s="532"/>
      <c r="AR13375" s="2513"/>
      <c r="CT13375" s="531"/>
    </row>
    <row r="13376" spans="1:98">
      <c r="A13376" s="532"/>
      <c r="AR13376" s="2513"/>
      <c r="CT13376" s="531"/>
    </row>
    <row r="13377" spans="1:98">
      <c r="A13377" s="532"/>
      <c r="AR13377" s="2513"/>
      <c r="CT13377" s="531"/>
    </row>
    <row r="13378" spans="1:98">
      <c r="A13378" s="532"/>
      <c r="AR13378" s="2513"/>
      <c r="CT13378" s="531"/>
    </row>
    <row r="13379" spans="1:98">
      <c r="A13379" s="532"/>
      <c r="AR13379" s="2513"/>
      <c r="CT13379" s="531"/>
    </row>
    <row r="13380" spans="1:98">
      <c r="A13380" s="532"/>
      <c r="AR13380" s="2513"/>
      <c r="CT13380" s="531"/>
    </row>
    <row r="13381" spans="1:98">
      <c r="A13381" s="532"/>
      <c r="AR13381" s="2513"/>
      <c r="CT13381" s="531"/>
    </row>
    <row r="13382" spans="1:98">
      <c r="A13382" s="532"/>
      <c r="AR13382" s="2513"/>
      <c r="CT13382" s="531"/>
    </row>
    <row r="13383" spans="1:98">
      <c r="A13383" s="532"/>
      <c r="AR13383" s="2513"/>
      <c r="CT13383" s="531"/>
    </row>
    <row r="13384" spans="1:98">
      <c r="A13384" s="532"/>
      <c r="AR13384" s="2513"/>
      <c r="CT13384" s="531"/>
    </row>
    <row r="13385" spans="1:98">
      <c r="A13385" s="532"/>
      <c r="AR13385" s="2513"/>
      <c r="CT13385" s="531"/>
    </row>
    <row r="13386" spans="1:98">
      <c r="A13386" s="532"/>
      <c r="AR13386" s="2513"/>
      <c r="CT13386" s="531"/>
    </row>
    <row r="13387" spans="1:98">
      <c r="A13387" s="532"/>
      <c r="AR13387" s="2513"/>
      <c r="CT13387" s="531"/>
    </row>
    <row r="13388" spans="1:98">
      <c r="A13388" s="532"/>
      <c r="AR13388" s="2513"/>
      <c r="CT13388" s="531"/>
    </row>
    <row r="13389" spans="1:98">
      <c r="A13389" s="532"/>
      <c r="AR13389" s="2513"/>
      <c r="CT13389" s="531"/>
    </row>
    <row r="13390" spans="1:98">
      <c r="A13390" s="532"/>
      <c r="AR13390" s="2513"/>
      <c r="CT13390" s="531"/>
    </row>
    <row r="13391" spans="1:98">
      <c r="A13391" s="532"/>
      <c r="AR13391" s="2513"/>
      <c r="CT13391" s="531"/>
    </row>
    <row r="13392" spans="1:98">
      <c r="A13392" s="532"/>
      <c r="AR13392" s="2513"/>
      <c r="CT13392" s="531"/>
    </row>
    <row r="13393" spans="1:98">
      <c r="A13393" s="532"/>
      <c r="AR13393" s="2513"/>
      <c r="CT13393" s="531"/>
    </row>
    <row r="13394" spans="1:98">
      <c r="A13394" s="532"/>
      <c r="AR13394" s="2513"/>
      <c r="CT13394" s="531"/>
    </row>
    <row r="13395" spans="1:98">
      <c r="A13395" s="532"/>
      <c r="AR13395" s="2513"/>
      <c r="CT13395" s="531"/>
    </row>
    <row r="13396" spans="1:98">
      <c r="A13396" s="532"/>
      <c r="AR13396" s="2513"/>
      <c r="CT13396" s="531"/>
    </row>
    <row r="13397" spans="1:98">
      <c r="A13397" s="532"/>
      <c r="AR13397" s="2513"/>
      <c r="CT13397" s="531"/>
    </row>
    <row r="13398" spans="1:98">
      <c r="A13398" s="532"/>
      <c r="AR13398" s="2513"/>
      <c r="CT13398" s="531"/>
    </row>
    <row r="13399" spans="1:98">
      <c r="A13399" s="532"/>
      <c r="AR13399" s="2513"/>
      <c r="CT13399" s="531"/>
    </row>
    <row r="13400" spans="1:98">
      <c r="A13400" s="532"/>
      <c r="AR13400" s="2513"/>
      <c r="CT13400" s="531"/>
    </row>
    <row r="13401" spans="1:98">
      <c r="A13401" s="532"/>
      <c r="AR13401" s="2513"/>
      <c r="CT13401" s="531"/>
    </row>
    <row r="13402" spans="1:98">
      <c r="A13402" s="532"/>
      <c r="AR13402" s="2513"/>
      <c r="CT13402" s="531"/>
    </row>
    <row r="13403" spans="1:98">
      <c r="A13403" s="532"/>
      <c r="AR13403" s="2513"/>
      <c r="CT13403" s="531"/>
    </row>
    <row r="13404" spans="1:98">
      <c r="A13404" s="532"/>
      <c r="AR13404" s="2513"/>
      <c r="CT13404" s="531"/>
    </row>
    <row r="13405" spans="1:98">
      <c r="A13405" s="532"/>
      <c r="AR13405" s="2513"/>
      <c r="CT13405" s="531"/>
    </row>
    <row r="13406" spans="1:98">
      <c r="A13406" s="532"/>
      <c r="AR13406" s="2513"/>
      <c r="CT13406" s="531"/>
    </row>
    <row r="13407" spans="1:98">
      <c r="A13407" s="532"/>
      <c r="AR13407" s="2513"/>
      <c r="CT13407" s="531"/>
    </row>
    <row r="13408" spans="1:98">
      <c r="A13408" s="532"/>
      <c r="AR13408" s="2513"/>
      <c r="CT13408" s="531"/>
    </row>
    <row r="13409" spans="1:98">
      <c r="A13409" s="532"/>
      <c r="AR13409" s="2513"/>
      <c r="CT13409" s="531"/>
    </row>
    <row r="13410" spans="1:98">
      <c r="A13410" s="532"/>
      <c r="AR13410" s="2513"/>
      <c r="CT13410" s="531"/>
    </row>
    <row r="13411" spans="1:98">
      <c r="A13411" s="532"/>
      <c r="AR13411" s="2513"/>
      <c r="CT13411" s="531"/>
    </row>
    <row r="13412" spans="1:98">
      <c r="A13412" s="532"/>
      <c r="AR13412" s="2513"/>
      <c r="CT13412" s="531"/>
    </row>
    <row r="13413" spans="1:98">
      <c r="A13413" s="532"/>
      <c r="AR13413" s="2513"/>
      <c r="CT13413" s="531"/>
    </row>
    <row r="13414" spans="1:98">
      <c r="A13414" s="532"/>
      <c r="AR13414" s="2513"/>
      <c r="CT13414" s="531"/>
    </row>
    <row r="13415" spans="1:98">
      <c r="A13415" s="532"/>
      <c r="AR13415" s="2513"/>
      <c r="CT13415" s="531"/>
    </row>
    <row r="13416" spans="1:98">
      <c r="A13416" s="532"/>
      <c r="AR13416" s="2513"/>
      <c r="CT13416" s="531"/>
    </row>
    <row r="13417" spans="1:98">
      <c r="A13417" s="532"/>
      <c r="AR13417" s="2513"/>
      <c r="CT13417" s="531"/>
    </row>
    <row r="13418" spans="1:98">
      <c r="A13418" s="532"/>
      <c r="AR13418" s="2513"/>
      <c r="CT13418" s="531"/>
    </row>
    <row r="13419" spans="1:98">
      <c r="A13419" s="532"/>
      <c r="AR13419" s="2513"/>
      <c r="CT13419" s="531"/>
    </row>
    <row r="13420" spans="1:98">
      <c r="A13420" s="532"/>
      <c r="AR13420" s="2513"/>
      <c r="CT13420" s="531"/>
    </row>
    <row r="13421" spans="1:98">
      <c r="A13421" s="532"/>
      <c r="AR13421" s="2513"/>
      <c r="CT13421" s="531"/>
    </row>
    <row r="13422" spans="1:98">
      <c r="A13422" s="532"/>
      <c r="AR13422" s="2513"/>
      <c r="CT13422" s="531"/>
    </row>
    <row r="13423" spans="1:98">
      <c r="A13423" s="532"/>
      <c r="AR13423" s="2513"/>
      <c r="CT13423" s="531"/>
    </row>
    <row r="13424" spans="1:98">
      <c r="A13424" s="532"/>
      <c r="AR13424" s="2513"/>
      <c r="CT13424" s="531"/>
    </row>
    <row r="13425" spans="1:98">
      <c r="A13425" s="532"/>
      <c r="AR13425" s="2513"/>
      <c r="CT13425" s="531"/>
    </row>
    <row r="13426" spans="1:98">
      <c r="A13426" s="532"/>
      <c r="AR13426" s="2513"/>
      <c r="CT13426" s="531"/>
    </row>
    <row r="13427" spans="1:98">
      <c r="A13427" s="532"/>
      <c r="AR13427" s="2513"/>
      <c r="CT13427" s="531"/>
    </row>
    <row r="13428" spans="1:98">
      <c r="A13428" s="532"/>
      <c r="AR13428" s="2513"/>
      <c r="CT13428" s="531"/>
    </row>
    <row r="13429" spans="1:98">
      <c r="A13429" s="532"/>
      <c r="AR13429" s="2513"/>
      <c r="CT13429" s="531"/>
    </row>
    <row r="13430" spans="1:98">
      <c r="A13430" s="532"/>
      <c r="AR13430" s="2513"/>
      <c r="CT13430" s="531"/>
    </row>
    <row r="13431" spans="1:98">
      <c r="A13431" s="532"/>
      <c r="AR13431" s="2513"/>
      <c r="CT13431" s="531"/>
    </row>
    <row r="13432" spans="1:98">
      <c r="A13432" s="532"/>
      <c r="AR13432" s="2513"/>
      <c r="CT13432" s="531"/>
    </row>
    <row r="13433" spans="1:98">
      <c r="A13433" s="532"/>
      <c r="AR13433" s="2513"/>
      <c r="CT13433" s="531"/>
    </row>
    <row r="13434" spans="1:98">
      <c r="A13434" s="532"/>
      <c r="AR13434" s="2513"/>
      <c r="CT13434" s="531"/>
    </row>
    <row r="13435" spans="1:98">
      <c r="A13435" s="532"/>
      <c r="AR13435" s="2513"/>
      <c r="CT13435" s="531"/>
    </row>
    <row r="13436" spans="1:98">
      <c r="A13436" s="532"/>
      <c r="AR13436" s="2513"/>
      <c r="CT13436" s="531"/>
    </row>
    <row r="13437" spans="1:98">
      <c r="A13437" s="532"/>
      <c r="AR13437" s="2513"/>
      <c r="CT13437" s="531"/>
    </row>
    <row r="13438" spans="1:98">
      <c r="A13438" s="532"/>
      <c r="AR13438" s="2513"/>
      <c r="CT13438" s="531"/>
    </row>
    <row r="13439" spans="1:98">
      <c r="A13439" s="532"/>
      <c r="AR13439" s="2513"/>
      <c r="CT13439" s="531"/>
    </row>
    <row r="13440" spans="1:98">
      <c r="A13440" s="532"/>
      <c r="AR13440" s="2513"/>
      <c r="CT13440" s="531"/>
    </row>
    <row r="13441" spans="1:98">
      <c r="A13441" s="532"/>
      <c r="AR13441" s="2513"/>
      <c r="CT13441" s="531"/>
    </row>
    <row r="13442" spans="1:98">
      <c r="A13442" s="532"/>
      <c r="AR13442" s="2513"/>
      <c r="CT13442" s="531"/>
    </row>
    <row r="13443" spans="1:98">
      <c r="A13443" s="532"/>
      <c r="AR13443" s="2513"/>
      <c r="CT13443" s="531"/>
    </row>
    <row r="13444" spans="1:98">
      <c r="A13444" s="532"/>
      <c r="AR13444" s="2513"/>
      <c r="CT13444" s="531"/>
    </row>
    <row r="13445" spans="1:98">
      <c r="A13445" s="532"/>
      <c r="AR13445" s="2513"/>
      <c r="CT13445" s="531"/>
    </row>
    <row r="13446" spans="1:98">
      <c r="A13446" s="532"/>
      <c r="AR13446" s="2513"/>
      <c r="CT13446" s="531"/>
    </row>
    <row r="13447" spans="1:98">
      <c r="A13447" s="532"/>
      <c r="AR13447" s="2513"/>
      <c r="CT13447" s="531"/>
    </row>
    <row r="13448" spans="1:98">
      <c r="A13448" s="532"/>
      <c r="AR13448" s="2513"/>
      <c r="CT13448" s="531"/>
    </row>
    <row r="13449" spans="1:98">
      <c r="A13449" s="532"/>
      <c r="AR13449" s="2513"/>
      <c r="CT13449" s="531"/>
    </row>
    <row r="13450" spans="1:98">
      <c r="A13450" s="532"/>
      <c r="AR13450" s="2513"/>
      <c r="CT13450" s="531"/>
    </row>
    <row r="13451" spans="1:98">
      <c r="A13451" s="532"/>
      <c r="AR13451" s="2513"/>
      <c r="CT13451" s="531"/>
    </row>
    <row r="13452" spans="1:98">
      <c r="A13452" s="532"/>
      <c r="AR13452" s="2513"/>
      <c r="CT13452" s="531"/>
    </row>
    <row r="13453" spans="1:98">
      <c r="A13453" s="532"/>
      <c r="AR13453" s="2513"/>
      <c r="CT13453" s="531"/>
    </row>
    <row r="13454" spans="1:98">
      <c r="A13454" s="532"/>
      <c r="AR13454" s="2513"/>
      <c r="CT13454" s="531"/>
    </row>
    <row r="13455" spans="1:98">
      <c r="A13455" s="532"/>
      <c r="AR13455" s="2513"/>
      <c r="CT13455" s="531"/>
    </row>
    <row r="13456" spans="1:98">
      <c r="A13456" s="532"/>
      <c r="AR13456" s="2513"/>
      <c r="CT13456" s="531"/>
    </row>
    <row r="13457" spans="1:98">
      <c r="A13457" s="532"/>
      <c r="AR13457" s="2513"/>
      <c r="CT13457" s="531"/>
    </row>
    <row r="13458" spans="1:98">
      <c r="A13458" s="532"/>
      <c r="AR13458" s="2513"/>
      <c r="CT13458" s="531"/>
    </row>
    <row r="13459" spans="1:98">
      <c r="A13459" s="532"/>
      <c r="AR13459" s="2513"/>
      <c r="CT13459" s="531"/>
    </row>
    <row r="13460" spans="1:98">
      <c r="A13460" s="532"/>
      <c r="AR13460" s="2513"/>
      <c r="CT13460" s="531"/>
    </row>
    <row r="13461" spans="1:98">
      <c r="A13461" s="532"/>
      <c r="AR13461" s="2513"/>
      <c r="CT13461" s="531"/>
    </row>
    <row r="13462" spans="1:98">
      <c r="A13462" s="532"/>
      <c r="AR13462" s="2513"/>
      <c r="CT13462" s="531"/>
    </row>
    <row r="13463" spans="1:98">
      <c r="A13463" s="532"/>
      <c r="AR13463" s="2513"/>
      <c r="CT13463" s="531"/>
    </row>
    <row r="13464" spans="1:98">
      <c r="A13464" s="532"/>
      <c r="AR13464" s="2513"/>
      <c r="CT13464" s="531"/>
    </row>
    <row r="13465" spans="1:98">
      <c r="A13465" s="532"/>
      <c r="AR13465" s="2513"/>
      <c r="CT13465" s="531"/>
    </row>
    <row r="13466" spans="1:98">
      <c r="A13466" s="532"/>
      <c r="AR13466" s="2513"/>
      <c r="CT13466" s="531"/>
    </row>
    <row r="13467" spans="1:98">
      <c r="A13467" s="532"/>
      <c r="AR13467" s="2513"/>
      <c r="CT13467" s="531"/>
    </row>
    <row r="13468" spans="1:98">
      <c r="A13468" s="532"/>
      <c r="AR13468" s="2513"/>
      <c r="CT13468" s="531"/>
    </row>
    <row r="13469" spans="1:98">
      <c r="A13469" s="532"/>
      <c r="AR13469" s="2513"/>
      <c r="CT13469" s="531"/>
    </row>
    <row r="13470" spans="1:98">
      <c r="A13470" s="532"/>
      <c r="AR13470" s="2513"/>
      <c r="CT13470" s="531"/>
    </row>
    <row r="13471" spans="1:98">
      <c r="A13471" s="532"/>
      <c r="AR13471" s="2513"/>
      <c r="CT13471" s="531"/>
    </row>
    <row r="13472" spans="1:98">
      <c r="A13472" s="532"/>
      <c r="AR13472" s="2513"/>
      <c r="CT13472" s="531"/>
    </row>
    <row r="13473" spans="1:98">
      <c r="A13473" s="532"/>
      <c r="AR13473" s="2513"/>
      <c r="CT13473" s="531"/>
    </row>
    <row r="13474" spans="1:98">
      <c r="A13474" s="532"/>
      <c r="AR13474" s="2513"/>
      <c r="CT13474" s="531"/>
    </row>
    <row r="13475" spans="1:98">
      <c r="A13475" s="532"/>
      <c r="AR13475" s="2513"/>
      <c r="CT13475" s="531"/>
    </row>
    <row r="13476" spans="1:98">
      <c r="A13476" s="532"/>
      <c r="AR13476" s="2513"/>
      <c r="CT13476" s="531"/>
    </row>
    <row r="13477" spans="1:98">
      <c r="A13477" s="532"/>
      <c r="AR13477" s="2513"/>
      <c r="CT13477" s="531"/>
    </row>
    <row r="13478" spans="1:98">
      <c r="A13478" s="532"/>
      <c r="AR13478" s="2513"/>
      <c r="CT13478" s="531"/>
    </row>
    <row r="13479" spans="1:98">
      <c r="A13479" s="532"/>
      <c r="AR13479" s="2513"/>
      <c r="CT13479" s="531"/>
    </row>
    <row r="13480" spans="1:98">
      <c r="A13480" s="532"/>
      <c r="AR13480" s="2513"/>
      <c r="CT13480" s="531"/>
    </row>
    <row r="13481" spans="1:98">
      <c r="A13481" s="532"/>
      <c r="AR13481" s="2513"/>
      <c r="CT13481" s="531"/>
    </row>
    <row r="13482" spans="1:98">
      <c r="A13482" s="532"/>
      <c r="AR13482" s="2513"/>
      <c r="CT13482" s="531"/>
    </row>
    <row r="13483" spans="1:98">
      <c r="A13483" s="532"/>
      <c r="AR13483" s="2513"/>
      <c r="CT13483" s="531"/>
    </row>
    <row r="13484" spans="1:98">
      <c r="A13484" s="532"/>
      <c r="AR13484" s="2513"/>
      <c r="CT13484" s="531"/>
    </row>
    <row r="13485" spans="1:98">
      <c r="A13485" s="532"/>
      <c r="AR13485" s="2513"/>
      <c r="CT13485" s="531"/>
    </row>
    <row r="13486" spans="1:98">
      <c r="A13486" s="532"/>
      <c r="AR13486" s="2513"/>
      <c r="CT13486" s="531"/>
    </row>
    <row r="13487" spans="1:98">
      <c r="A13487" s="532"/>
      <c r="AR13487" s="2513"/>
      <c r="CT13487" s="531"/>
    </row>
    <row r="13488" spans="1:98">
      <c r="A13488" s="532"/>
      <c r="AR13488" s="2513"/>
      <c r="CT13488" s="531"/>
    </row>
    <row r="13489" spans="1:98">
      <c r="A13489" s="532"/>
      <c r="AR13489" s="2513"/>
      <c r="CT13489" s="531"/>
    </row>
    <row r="13490" spans="1:98">
      <c r="A13490" s="532"/>
      <c r="AR13490" s="2513"/>
      <c r="CT13490" s="531"/>
    </row>
    <row r="13491" spans="1:98">
      <c r="A13491" s="532"/>
      <c r="AR13491" s="2513"/>
      <c r="CT13491" s="531"/>
    </row>
    <row r="13492" spans="1:98">
      <c r="A13492" s="532"/>
      <c r="AR13492" s="2513"/>
      <c r="CT13492" s="531"/>
    </row>
    <row r="13493" spans="1:98">
      <c r="A13493" s="532"/>
      <c r="AR13493" s="2513"/>
      <c r="CT13493" s="531"/>
    </row>
    <row r="13494" spans="1:98">
      <c r="A13494" s="532"/>
      <c r="AR13494" s="2513"/>
      <c r="CT13494" s="531"/>
    </row>
    <row r="13495" spans="1:98">
      <c r="A13495" s="532"/>
      <c r="AR13495" s="2513"/>
      <c r="CT13495" s="531"/>
    </row>
    <row r="13496" spans="1:98">
      <c r="A13496" s="532"/>
      <c r="AR13496" s="2513"/>
      <c r="CT13496" s="531"/>
    </row>
    <row r="13497" spans="1:98">
      <c r="A13497" s="532"/>
      <c r="AR13497" s="2513"/>
      <c r="CT13497" s="531"/>
    </row>
    <row r="13498" spans="1:98">
      <c r="A13498" s="532"/>
      <c r="AR13498" s="2513"/>
      <c r="CT13498" s="531"/>
    </row>
    <row r="13499" spans="1:98">
      <c r="A13499" s="532"/>
      <c r="AR13499" s="2513"/>
      <c r="CT13499" s="531"/>
    </row>
    <row r="13500" spans="1:98">
      <c r="A13500" s="532"/>
      <c r="AR13500" s="2513"/>
      <c r="CT13500" s="531"/>
    </row>
    <row r="13501" spans="1:98">
      <c r="A13501" s="532"/>
      <c r="AR13501" s="2513"/>
      <c r="CT13501" s="531"/>
    </row>
    <row r="13502" spans="1:98">
      <c r="A13502" s="532"/>
      <c r="AR13502" s="2513"/>
      <c r="CT13502" s="531"/>
    </row>
    <row r="13503" spans="1:98">
      <c r="A13503" s="532"/>
      <c r="AR13503" s="2513"/>
      <c r="CT13503" s="531"/>
    </row>
    <row r="13504" spans="1:98">
      <c r="A13504" s="532"/>
      <c r="AR13504" s="2513"/>
      <c r="CT13504" s="531"/>
    </row>
    <row r="13505" spans="1:98">
      <c r="A13505" s="532"/>
      <c r="AR13505" s="2513"/>
      <c r="CT13505" s="531"/>
    </row>
    <row r="13506" spans="1:98">
      <c r="A13506" s="532"/>
      <c r="AR13506" s="2513"/>
      <c r="CT13506" s="531"/>
    </row>
    <row r="13507" spans="1:98">
      <c r="A13507" s="532"/>
      <c r="AR13507" s="2513"/>
      <c r="CT13507" s="531"/>
    </row>
    <row r="13508" spans="1:98">
      <c r="A13508" s="532"/>
      <c r="AR13508" s="2513"/>
      <c r="CT13508" s="531"/>
    </row>
    <row r="13509" spans="1:98">
      <c r="A13509" s="532"/>
      <c r="AR13509" s="2513"/>
      <c r="CT13509" s="531"/>
    </row>
    <row r="13510" spans="1:98">
      <c r="A13510" s="532"/>
      <c r="AR13510" s="2513"/>
      <c r="CT13510" s="531"/>
    </row>
    <row r="13511" spans="1:98">
      <c r="A13511" s="532"/>
      <c r="AR13511" s="2513"/>
      <c r="CT13511" s="531"/>
    </row>
    <row r="13512" spans="1:98">
      <c r="A13512" s="532"/>
      <c r="AR13512" s="2513"/>
      <c r="CT13512" s="531"/>
    </row>
    <row r="13513" spans="1:98">
      <c r="A13513" s="532"/>
      <c r="AR13513" s="2513"/>
      <c r="CT13513" s="531"/>
    </row>
    <row r="13514" spans="1:98">
      <c r="A13514" s="532"/>
      <c r="AR13514" s="2513"/>
      <c r="CT13514" s="531"/>
    </row>
    <row r="13515" spans="1:98">
      <c r="A13515" s="532"/>
      <c r="AR13515" s="2513"/>
      <c r="CT13515" s="531"/>
    </row>
    <row r="13516" spans="1:98">
      <c r="A13516" s="532"/>
      <c r="AR13516" s="2513"/>
      <c r="CT13516" s="531"/>
    </row>
    <row r="13517" spans="1:98">
      <c r="A13517" s="532"/>
      <c r="AR13517" s="2513"/>
      <c r="CT13517" s="531"/>
    </row>
    <row r="13518" spans="1:98">
      <c r="A13518" s="532"/>
      <c r="AR13518" s="2513"/>
      <c r="CT13518" s="531"/>
    </row>
    <row r="13519" spans="1:98">
      <c r="A13519" s="532"/>
      <c r="AR13519" s="2513"/>
      <c r="CT13519" s="531"/>
    </row>
    <row r="13520" spans="1:98">
      <c r="A13520" s="532"/>
      <c r="AR13520" s="2513"/>
      <c r="CT13520" s="531"/>
    </row>
    <row r="13521" spans="1:98">
      <c r="A13521" s="532"/>
      <c r="AR13521" s="2513"/>
      <c r="CT13521" s="531"/>
    </row>
    <row r="13522" spans="1:98">
      <c r="A13522" s="532"/>
      <c r="AR13522" s="2513"/>
      <c r="CT13522" s="531"/>
    </row>
    <row r="13523" spans="1:98">
      <c r="A13523" s="532"/>
      <c r="AR13523" s="2513"/>
      <c r="CT13523" s="531"/>
    </row>
    <row r="13524" spans="1:98">
      <c r="A13524" s="532"/>
      <c r="AR13524" s="2513"/>
      <c r="CT13524" s="531"/>
    </row>
    <row r="13525" spans="1:98">
      <c r="A13525" s="532"/>
      <c r="AR13525" s="2513"/>
      <c r="CT13525" s="531"/>
    </row>
    <row r="13526" spans="1:98">
      <c r="A13526" s="532"/>
      <c r="AR13526" s="2513"/>
      <c r="CT13526" s="531"/>
    </row>
    <row r="13527" spans="1:98">
      <c r="A13527" s="532"/>
      <c r="AR13527" s="2513"/>
      <c r="CT13527" s="531"/>
    </row>
    <row r="13528" spans="1:98">
      <c r="A13528" s="532"/>
      <c r="AR13528" s="2513"/>
      <c r="CT13528" s="531"/>
    </row>
    <row r="13529" spans="1:98">
      <c r="A13529" s="532"/>
      <c r="AR13529" s="2513"/>
      <c r="CT13529" s="531"/>
    </row>
    <row r="13530" spans="1:98">
      <c r="A13530" s="532"/>
      <c r="AR13530" s="2513"/>
      <c r="CT13530" s="531"/>
    </row>
    <row r="13531" spans="1:98">
      <c r="A13531" s="532"/>
      <c r="AR13531" s="2513"/>
      <c r="CT13531" s="531"/>
    </row>
    <row r="13532" spans="1:98">
      <c r="A13532" s="532"/>
      <c r="AR13532" s="2513"/>
      <c r="CT13532" s="531"/>
    </row>
    <row r="13533" spans="1:98">
      <c r="A13533" s="532"/>
      <c r="AR13533" s="2513"/>
      <c r="CT13533" s="531"/>
    </row>
    <row r="13534" spans="1:98">
      <c r="A13534" s="532"/>
      <c r="AR13534" s="2513"/>
      <c r="CT13534" s="531"/>
    </row>
    <row r="13535" spans="1:98">
      <c r="A13535" s="532"/>
      <c r="AR13535" s="2513"/>
      <c r="CT13535" s="531"/>
    </row>
    <row r="13536" spans="1:98">
      <c r="A13536" s="532"/>
      <c r="AR13536" s="2513"/>
      <c r="CT13536" s="531"/>
    </row>
    <row r="13537" spans="1:98">
      <c r="A13537" s="532"/>
      <c r="AR13537" s="2513"/>
      <c r="CT13537" s="531"/>
    </row>
    <row r="13538" spans="1:98">
      <c r="A13538" s="532"/>
      <c r="AR13538" s="2513"/>
      <c r="CT13538" s="531"/>
    </row>
    <row r="13539" spans="1:98">
      <c r="A13539" s="532"/>
      <c r="AR13539" s="2513"/>
      <c r="CT13539" s="531"/>
    </row>
    <row r="13540" spans="1:98">
      <c r="A13540" s="532"/>
      <c r="AR13540" s="2513"/>
      <c r="CT13540" s="531"/>
    </row>
    <row r="13541" spans="1:98">
      <c r="A13541" s="532"/>
      <c r="AR13541" s="2513"/>
      <c r="CT13541" s="531"/>
    </row>
    <row r="13542" spans="1:98">
      <c r="A13542" s="532"/>
      <c r="AR13542" s="2513"/>
      <c r="CT13542" s="531"/>
    </row>
    <row r="13543" spans="1:98">
      <c r="A13543" s="532"/>
      <c r="AR13543" s="2513"/>
      <c r="CT13543" s="531"/>
    </row>
    <row r="13544" spans="1:98">
      <c r="A13544" s="532"/>
      <c r="AR13544" s="2513"/>
      <c r="CT13544" s="531"/>
    </row>
    <row r="13545" spans="1:98">
      <c r="A13545" s="532"/>
      <c r="AR13545" s="2513"/>
      <c r="CT13545" s="531"/>
    </row>
    <row r="13546" spans="1:98">
      <c r="A13546" s="532"/>
      <c r="AR13546" s="2513"/>
      <c r="CT13546" s="531"/>
    </row>
    <row r="13547" spans="1:98">
      <c r="A13547" s="532"/>
      <c r="AR13547" s="2513"/>
      <c r="CT13547" s="531"/>
    </row>
    <row r="13548" spans="1:98">
      <c r="A13548" s="532"/>
      <c r="AR13548" s="2513"/>
      <c r="CT13548" s="531"/>
    </row>
    <row r="13549" spans="1:98">
      <c r="A13549" s="532"/>
      <c r="AR13549" s="2513"/>
      <c r="CT13549" s="531"/>
    </row>
    <row r="13550" spans="1:98">
      <c r="A13550" s="532"/>
      <c r="AR13550" s="2513"/>
      <c r="CT13550" s="531"/>
    </row>
    <row r="13551" spans="1:98">
      <c r="A13551" s="532"/>
      <c r="AR13551" s="2513"/>
      <c r="CT13551" s="531"/>
    </row>
    <row r="13552" spans="1:98">
      <c r="A13552" s="532"/>
      <c r="AR13552" s="2513"/>
      <c r="CT13552" s="531"/>
    </row>
    <row r="13553" spans="1:98">
      <c r="A13553" s="532"/>
      <c r="AR13553" s="2513"/>
      <c r="CT13553" s="531"/>
    </row>
    <row r="13554" spans="1:98">
      <c r="A13554" s="532"/>
      <c r="AR13554" s="2513"/>
      <c r="CT13554" s="531"/>
    </row>
    <row r="13555" spans="1:98">
      <c r="A13555" s="532"/>
      <c r="AR13555" s="2513"/>
      <c r="CT13555" s="531"/>
    </row>
    <row r="13556" spans="1:98">
      <c r="A13556" s="532"/>
      <c r="AR13556" s="2513"/>
      <c r="CT13556" s="531"/>
    </row>
    <row r="13557" spans="1:98">
      <c r="A13557" s="532"/>
      <c r="AR13557" s="2513"/>
      <c r="CT13557" s="531"/>
    </row>
    <row r="13558" spans="1:98">
      <c r="A13558" s="532"/>
      <c r="AR13558" s="2513"/>
      <c r="CT13558" s="531"/>
    </row>
    <row r="13559" spans="1:98">
      <c r="A13559" s="532"/>
      <c r="AR13559" s="2513"/>
      <c r="CT13559" s="531"/>
    </row>
    <row r="13560" spans="1:98">
      <c r="A13560" s="532"/>
      <c r="AR13560" s="2513"/>
      <c r="CT13560" s="531"/>
    </row>
    <row r="13561" spans="1:98">
      <c r="A13561" s="532"/>
      <c r="AR13561" s="2513"/>
      <c r="CT13561" s="531"/>
    </row>
    <row r="13562" spans="1:98">
      <c r="A13562" s="532"/>
      <c r="AR13562" s="2513"/>
      <c r="CT13562" s="531"/>
    </row>
    <row r="13563" spans="1:98">
      <c r="A13563" s="532"/>
      <c r="AR13563" s="2513"/>
      <c r="CT13563" s="531"/>
    </row>
    <row r="13564" spans="1:98">
      <c r="A13564" s="532"/>
      <c r="AR13564" s="2513"/>
      <c r="CT13564" s="531"/>
    </row>
    <row r="13565" spans="1:98">
      <c r="A13565" s="532"/>
      <c r="AR13565" s="2513"/>
      <c r="CT13565" s="531"/>
    </row>
    <row r="13566" spans="1:98">
      <c r="A13566" s="532"/>
      <c r="AR13566" s="2513"/>
      <c r="CT13566" s="531"/>
    </row>
    <row r="13567" spans="1:98">
      <c r="A13567" s="532"/>
      <c r="AR13567" s="2513"/>
      <c r="CT13567" s="531"/>
    </row>
    <row r="13568" spans="1:98">
      <c r="A13568" s="532"/>
      <c r="AR13568" s="2513"/>
      <c r="CT13568" s="531"/>
    </row>
    <row r="13569" spans="1:98">
      <c r="A13569" s="532"/>
      <c r="AR13569" s="2513"/>
      <c r="CT13569" s="531"/>
    </row>
    <row r="13570" spans="1:98">
      <c r="A13570" s="532"/>
      <c r="AR13570" s="2513"/>
      <c r="CT13570" s="531"/>
    </row>
    <row r="13571" spans="1:98">
      <c r="A13571" s="532"/>
      <c r="AR13571" s="2513"/>
      <c r="CT13571" s="531"/>
    </row>
    <row r="13572" spans="1:98">
      <c r="A13572" s="532"/>
      <c r="AR13572" s="2513"/>
      <c r="CT13572" s="531"/>
    </row>
    <row r="13573" spans="1:98">
      <c r="A13573" s="532"/>
      <c r="AR13573" s="2513"/>
      <c r="CT13573" s="531"/>
    </row>
    <row r="13574" spans="1:98">
      <c r="A13574" s="532"/>
      <c r="AR13574" s="2513"/>
      <c r="CT13574" s="531"/>
    </row>
    <row r="13575" spans="1:98">
      <c r="A13575" s="532"/>
      <c r="AR13575" s="2513"/>
      <c r="CT13575" s="531"/>
    </row>
    <row r="13576" spans="1:98">
      <c r="A13576" s="532"/>
      <c r="AR13576" s="2513"/>
      <c r="CT13576" s="531"/>
    </row>
    <row r="13577" spans="1:98">
      <c r="A13577" s="532"/>
      <c r="AR13577" s="2513"/>
      <c r="CT13577" s="531"/>
    </row>
    <row r="13578" spans="1:98">
      <c r="A13578" s="532"/>
      <c r="AR13578" s="2513"/>
      <c r="CT13578" s="531"/>
    </row>
    <row r="13579" spans="1:98">
      <c r="A13579" s="532"/>
      <c r="AR13579" s="2513"/>
      <c r="CT13579" s="531"/>
    </row>
    <row r="13580" spans="1:98">
      <c r="A13580" s="532"/>
      <c r="AR13580" s="2513"/>
      <c r="CT13580" s="531"/>
    </row>
    <row r="13581" spans="1:98">
      <c r="A13581" s="532"/>
      <c r="AR13581" s="2513"/>
      <c r="CT13581" s="531"/>
    </row>
    <row r="13582" spans="1:98">
      <c r="A13582" s="532"/>
      <c r="AR13582" s="2513"/>
      <c r="CT13582" s="531"/>
    </row>
    <row r="13583" spans="1:98">
      <c r="A13583" s="532"/>
      <c r="AR13583" s="2513"/>
      <c r="CT13583" s="531"/>
    </row>
    <row r="13584" spans="1:98">
      <c r="A13584" s="532"/>
      <c r="AR13584" s="2513"/>
      <c r="CT13584" s="531"/>
    </row>
    <row r="13585" spans="1:98">
      <c r="A13585" s="532"/>
      <c r="AR13585" s="2513"/>
      <c r="CT13585" s="531"/>
    </row>
    <row r="13586" spans="1:98">
      <c r="A13586" s="532"/>
      <c r="AR13586" s="2513"/>
      <c r="CT13586" s="531"/>
    </row>
    <row r="13587" spans="1:98">
      <c r="A13587" s="532"/>
      <c r="AR13587" s="2513"/>
      <c r="CT13587" s="531"/>
    </row>
    <row r="13588" spans="1:98">
      <c r="A13588" s="532"/>
      <c r="AR13588" s="2513"/>
      <c r="CT13588" s="531"/>
    </row>
    <row r="13589" spans="1:98">
      <c r="A13589" s="532"/>
      <c r="AR13589" s="2513"/>
      <c r="CT13589" s="531"/>
    </row>
    <row r="13590" spans="1:98">
      <c r="A13590" s="532"/>
      <c r="AR13590" s="2513"/>
      <c r="CT13590" s="531"/>
    </row>
    <row r="13591" spans="1:98">
      <c r="A13591" s="532"/>
      <c r="AR13591" s="2513"/>
      <c r="CT13591" s="531"/>
    </row>
    <row r="13592" spans="1:98">
      <c r="A13592" s="532"/>
      <c r="AR13592" s="2513"/>
      <c r="CT13592" s="531"/>
    </row>
    <row r="13593" spans="1:98">
      <c r="A13593" s="532"/>
      <c r="AR13593" s="2513"/>
      <c r="CT13593" s="531"/>
    </row>
    <row r="13594" spans="1:98">
      <c r="A13594" s="532"/>
      <c r="AR13594" s="2513"/>
      <c r="CT13594" s="531"/>
    </row>
    <row r="13595" spans="1:98">
      <c r="A13595" s="532"/>
      <c r="AR13595" s="2513"/>
      <c r="CT13595" s="531"/>
    </row>
    <row r="13596" spans="1:98">
      <c r="A13596" s="532"/>
      <c r="AR13596" s="2513"/>
      <c r="CT13596" s="531"/>
    </row>
    <row r="13597" spans="1:98">
      <c r="A13597" s="532"/>
      <c r="AR13597" s="2513"/>
      <c r="CT13597" s="531"/>
    </row>
    <row r="13598" spans="1:98">
      <c r="A13598" s="532"/>
      <c r="AR13598" s="2513"/>
      <c r="CT13598" s="531"/>
    </row>
    <row r="13599" spans="1:98">
      <c r="A13599" s="532"/>
      <c r="AR13599" s="2513"/>
      <c r="CT13599" s="531"/>
    </row>
    <row r="13600" spans="1:98">
      <c r="A13600" s="532"/>
      <c r="AR13600" s="2513"/>
      <c r="CT13600" s="531"/>
    </row>
    <row r="13601" spans="1:98">
      <c r="A13601" s="532"/>
      <c r="AR13601" s="2513"/>
      <c r="CT13601" s="531"/>
    </row>
    <row r="13602" spans="1:98">
      <c r="A13602" s="532"/>
      <c r="AR13602" s="2513"/>
      <c r="CT13602" s="531"/>
    </row>
    <row r="13603" spans="1:98">
      <c r="A13603" s="532"/>
      <c r="AR13603" s="2513"/>
      <c r="CT13603" s="531"/>
    </row>
    <row r="13604" spans="1:98">
      <c r="A13604" s="532"/>
      <c r="AR13604" s="2513"/>
      <c r="CT13604" s="531"/>
    </row>
    <row r="13605" spans="1:98">
      <c r="A13605" s="532"/>
      <c r="AR13605" s="2513"/>
      <c r="CT13605" s="531"/>
    </row>
    <row r="13606" spans="1:98">
      <c r="A13606" s="532"/>
      <c r="AR13606" s="2513"/>
      <c r="CT13606" s="531"/>
    </row>
    <row r="13607" spans="1:98">
      <c r="A13607" s="532"/>
      <c r="AR13607" s="2513"/>
      <c r="CT13607" s="531"/>
    </row>
    <row r="13608" spans="1:98">
      <c r="A13608" s="532"/>
      <c r="AR13608" s="2513"/>
      <c r="CT13608" s="531"/>
    </row>
    <row r="13609" spans="1:98">
      <c r="A13609" s="532"/>
      <c r="AR13609" s="2513"/>
      <c r="CT13609" s="531"/>
    </row>
    <row r="13610" spans="1:98">
      <c r="A13610" s="532"/>
      <c r="AR13610" s="2513"/>
      <c r="CT13610" s="531"/>
    </row>
    <row r="13611" spans="1:98">
      <c r="A13611" s="532"/>
      <c r="AR13611" s="2513"/>
      <c r="CT13611" s="531"/>
    </row>
    <row r="13612" spans="1:98">
      <c r="A13612" s="532"/>
      <c r="AR13612" s="2513"/>
      <c r="CT13612" s="531"/>
    </row>
    <row r="13613" spans="1:98">
      <c r="A13613" s="532"/>
      <c r="AR13613" s="2513"/>
      <c r="CT13613" s="531"/>
    </row>
    <row r="13614" spans="1:98">
      <c r="A13614" s="532"/>
      <c r="AR13614" s="2513"/>
      <c r="CT13614" s="531"/>
    </row>
    <row r="13615" spans="1:98">
      <c r="A13615" s="532"/>
      <c r="AR13615" s="2513"/>
      <c r="CT13615" s="531"/>
    </row>
    <row r="13616" spans="1:98">
      <c r="A13616" s="532"/>
      <c r="AR13616" s="2513"/>
      <c r="CT13616" s="531"/>
    </row>
    <row r="13617" spans="1:98">
      <c r="A13617" s="532"/>
      <c r="AR13617" s="2513"/>
      <c r="CT13617" s="531"/>
    </row>
    <row r="13618" spans="1:98">
      <c r="A13618" s="532"/>
      <c r="AR13618" s="2513"/>
      <c r="CT13618" s="531"/>
    </row>
    <row r="13619" spans="1:98">
      <c r="A13619" s="532"/>
      <c r="AR13619" s="2513"/>
      <c r="CT13619" s="531"/>
    </row>
    <row r="13620" spans="1:98">
      <c r="A13620" s="532"/>
      <c r="AR13620" s="2513"/>
      <c r="CT13620" s="531"/>
    </row>
    <row r="13621" spans="1:98">
      <c r="A13621" s="532"/>
      <c r="AR13621" s="2513"/>
      <c r="CT13621" s="531"/>
    </row>
    <row r="13622" spans="1:98">
      <c r="A13622" s="532"/>
      <c r="AR13622" s="2513"/>
      <c r="CT13622" s="531"/>
    </row>
    <row r="13623" spans="1:98">
      <c r="A13623" s="532"/>
      <c r="AR13623" s="2513"/>
      <c r="CT13623" s="531"/>
    </row>
    <row r="13624" spans="1:98">
      <c r="A13624" s="532"/>
      <c r="AR13624" s="2513"/>
      <c r="CT13624" s="531"/>
    </row>
    <row r="13625" spans="1:98">
      <c r="A13625" s="532"/>
      <c r="AR13625" s="2513"/>
      <c r="CT13625" s="531"/>
    </row>
    <row r="13626" spans="1:98">
      <c r="A13626" s="532"/>
      <c r="AR13626" s="2513"/>
      <c r="CT13626" s="531"/>
    </row>
    <row r="13627" spans="1:98">
      <c r="A13627" s="532"/>
      <c r="AR13627" s="2513"/>
      <c r="CT13627" s="531"/>
    </row>
    <row r="13628" spans="1:98">
      <c r="A13628" s="532"/>
      <c r="AR13628" s="2513"/>
      <c r="CT13628" s="531"/>
    </row>
    <row r="13629" spans="1:98">
      <c r="A13629" s="532"/>
      <c r="AR13629" s="2513"/>
      <c r="CT13629" s="531"/>
    </row>
    <row r="13630" spans="1:98">
      <c r="A13630" s="532"/>
      <c r="AR13630" s="2513"/>
      <c r="CT13630" s="531"/>
    </row>
    <row r="13631" spans="1:98">
      <c r="A13631" s="532"/>
      <c r="AR13631" s="2513"/>
      <c r="CT13631" s="531"/>
    </row>
    <row r="13632" spans="1:98">
      <c r="A13632" s="532"/>
      <c r="AR13632" s="2513"/>
      <c r="CT13632" s="531"/>
    </row>
    <row r="13633" spans="1:98">
      <c r="A13633" s="532"/>
      <c r="AR13633" s="2513"/>
      <c r="CT13633" s="531"/>
    </row>
    <row r="13634" spans="1:98">
      <c r="A13634" s="532"/>
      <c r="AR13634" s="2513"/>
      <c r="CT13634" s="531"/>
    </row>
    <row r="13635" spans="1:98">
      <c r="A13635" s="532"/>
      <c r="AR13635" s="2513"/>
      <c r="CT13635" s="531"/>
    </row>
    <row r="13636" spans="1:98">
      <c r="A13636" s="532"/>
      <c r="AR13636" s="2513"/>
      <c r="CT13636" s="531"/>
    </row>
    <row r="13637" spans="1:98">
      <c r="A13637" s="532"/>
      <c r="AR13637" s="2513"/>
      <c r="CT13637" s="531"/>
    </row>
    <row r="13638" spans="1:98">
      <c r="A13638" s="532"/>
      <c r="AR13638" s="2513"/>
      <c r="CT13638" s="531"/>
    </row>
    <row r="13639" spans="1:98">
      <c r="A13639" s="532"/>
      <c r="AR13639" s="2513"/>
      <c r="CT13639" s="531"/>
    </row>
    <row r="13640" spans="1:98">
      <c r="A13640" s="532"/>
      <c r="AR13640" s="2513"/>
      <c r="CT13640" s="531"/>
    </row>
    <row r="13641" spans="1:98">
      <c r="A13641" s="532"/>
      <c r="AR13641" s="2513"/>
      <c r="CT13641" s="531"/>
    </row>
    <row r="13642" spans="1:98">
      <c r="A13642" s="532"/>
      <c r="AR13642" s="2513"/>
      <c r="CT13642" s="531"/>
    </row>
    <row r="13643" spans="1:98">
      <c r="A13643" s="532"/>
      <c r="AR13643" s="2513"/>
      <c r="CT13643" s="531"/>
    </row>
    <row r="13644" spans="1:98">
      <c r="A13644" s="532"/>
      <c r="AR13644" s="2513"/>
      <c r="CT13644" s="531"/>
    </row>
    <row r="13645" spans="1:98">
      <c r="A13645" s="532"/>
      <c r="AR13645" s="2513"/>
      <c r="CT13645" s="531"/>
    </row>
    <row r="13646" spans="1:98">
      <c r="A13646" s="532"/>
      <c r="AR13646" s="2513"/>
      <c r="CT13646" s="531"/>
    </row>
    <row r="13647" spans="1:98">
      <c r="A13647" s="532"/>
      <c r="AR13647" s="2513"/>
      <c r="CT13647" s="531"/>
    </row>
    <row r="13648" spans="1:98">
      <c r="A13648" s="532"/>
      <c r="AR13648" s="2513"/>
      <c r="CT13648" s="531"/>
    </row>
    <row r="13649" spans="1:98">
      <c r="A13649" s="532"/>
      <c r="AR13649" s="2513"/>
      <c r="CT13649" s="531"/>
    </row>
    <row r="13650" spans="1:98">
      <c r="A13650" s="532"/>
      <c r="AR13650" s="2513"/>
      <c r="CT13650" s="531"/>
    </row>
    <row r="13651" spans="1:98">
      <c r="A13651" s="532"/>
      <c r="AR13651" s="2513"/>
      <c r="CT13651" s="531"/>
    </row>
    <row r="13652" spans="1:98">
      <c r="A13652" s="532"/>
      <c r="AR13652" s="2513"/>
      <c r="CT13652" s="531"/>
    </row>
    <row r="13653" spans="1:98">
      <c r="A13653" s="532"/>
      <c r="AR13653" s="2513"/>
      <c r="CT13653" s="531"/>
    </row>
    <row r="13654" spans="1:98">
      <c r="A13654" s="532"/>
      <c r="AR13654" s="2513"/>
      <c r="CT13654" s="531"/>
    </row>
    <row r="13655" spans="1:98">
      <c r="A13655" s="532"/>
      <c r="AR13655" s="2513"/>
      <c r="CT13655" s="531"/>
    </row>
    <row r="13656" spans="1:98">
      <c r="A13656" s="532"/>
      <c r="AR13656" s="2513"/>
      <c r="CT13656" s="531"/>
    </row>
    <row r="13657" spans="1:98">
      <c r="A13657" s="532"/>
      <c r="AR13657" s="2513"/>
      <c r="CT13657" s="531"/>
    </row>
    <row r="13658" spans="1:98">
      <c r="A13658" s="532"/>
      <c r="AR13658" s="2513"/>
      <c r="CT13658" s="531"/>
    </row>
    <row r="13659" spans="1:98">
      <c r="A13659" s="532"/>
      <c r="AR13659" s="2513"/>
      <c r="CT13659" s="531"/>
    </row>
    <row r="13660" spans="1:98">
      <c r="A13660" s="532"/>
      <c r="AR13660" s="2513"/>
      <c r="CT13660" s="531"/>
    </row>
    <row r="13661" spans="1:98">
      <c r="A13661" s="532"/>
      <c r="AR13661" s="2513"/>
      <c r="CT13661" s="531"/>
    </row>
    <row r="13662" spans="1:98">
      <c r="A13662" s="532"/>
      <c r="AR13662" s="2513"/>
      <c r="CT13662" s="531"/>
    </row>
    <row r="13663" spans="1:98">
      <c r="A13663" s="532"/>
      <c r="AR13663" s="2513"/>
      <c r="CT13663" s="531"/>
    </row>
    <row r="13664" spans="1:98">
      <c r="A13664" s="532"/>
      <c r="AR13664" s="2513"/>
      <c r="CT13664" s="531"/>
    </row>
    <row r="13665" spans="1:98">
      <c r="A13665" s="532"/>
      <c r="AR13665" s="2513"/>
      <c r="CT13665" s="531"/>
    </row>
    <row r="13666" spans="1:98">
      <c r="A13666" s="532"/>
      <c r="AR13666" s="2513"/>
      <c r="CT13666" s="531"/>
    </row>
    <row r="13667" spans="1:98">
      <c r="A13667" s="532"/>
      <c r="AR13667" s="2513"/>
      <c r="CT13667" s="531"/>
    </row>
    <row r="13668" spans="1:98">
      <c r="A13668" s="532"/>
      <c r="AR13668" s="2513"/>
      <c r="CT13668" s="531"/>
    </row>
    <row r="13669" spans="1:98">
      <c r="A13669" s="532"/>
      <c r="AR13669" s="2513"/>
      <c r="CT13669" s="531"/>
    </row>
    <row r="13670" spans="1:98">
      <c r="A13670" s="532"/>
      <c r="AR13670" s="2513"/>
      <c r="CT13670" s="531"/>
    </row>
    <row r="13671" spans="1:98">
      <c r="A13671" s="532"/>
      <c r="AR13671" s="2513"/>
      <c r="CT13671" s="531"/>
    </row>
    <row r="13672" spans="1:98">
      <c r="A13672" s="532"/>
      <c r="AR13672" s="2513"/>
      <c r="CT13672" s="531"/>
    </row>
    <row r="13673" spans="1:98">
      <c r="A13673" s="532"/>
      <c r="AR13673" s="2513"/>
      <c r="CT13673" s="531"/>
    </row>
    <row r="13674" spans="1:98">
      <c r="A13674" s="532"/>
      <c r="AR13674" s="2513"/>
      <c r="CT13674" s="531"/>
    </row>
    <row r="13675" spans="1:98">
      <c r="A13675" s="532"/>
      <c r="AR13675" s="2513"/>
      <c r="CT13675" s="531"/>
    </row>
    <row r="13676" spans="1:98">
      <c r="A13676" s="532"/>
      <c r="AR13676" s="2513"/>
      <c r="CT13676" s="531"/>
    </row>
    <row r="13677" spans="1:98">
      <c r="A13677" s="532"/>
      <c r="AR13677" s="2513"/>
      <c r="CT13677" s="531"/>
    </row>
    <row r="13678" spans="1:98">
      <c r="A13678" s="532"/>
      <c r="AR13678" s="2513"/>
      <c r="CT13678" s="531"/>
    </row>
    <row r="13679" spans="1:98">
      <c r="A13679" s="532"/>
      <c r="AR13679" s="2513"/>
      <c r="CT13679" s="531"/>
    </row>
    <row r="13680" spans="1:98">
      <c r="A13680" s="532"/>
      <c r="AR13680" s="2513"/>
      <c r="CT13680" s="531"/>
    </row>
    <row r="13681" spans="1:98">
      <c r="A13681" s="532"/>
      <c r="AR13681" s="2513"/>
      <c r="CT13681" s="531"/>
    </row>
    <row r="13682" spans="1:98">
      <c r="A13682" s="532"/>
      <c r="AR13682" s="2513"/>
      <c r="CT13682" s="531"/>
    </row>
    <row r="13683" spans="1:98">
      <c r="A13683" s="532"/>
      <c r="AR13683" s="2513"/>
      <c r="CT13683" s="531"/>
    </row>
    <row r="13684" spans="1:98">
      <c r="A13684" s="532"/>
      <c r="AR13684" s="2513"/>
      <c r="CT13684" s="531"/>
    </row>
    <row r="13685" spans="1:98">
      <c r="A13685" s="532"/>
      <c r="AR13685" s="2513"/>
      <c r="CT13685" s="531"/>
    </row>
    <row r="13686" spans="1:98">
      <c r="A13686" s="532"/>
      <c r="AR13686" s="2513"/>
      <c r="CT13686" s="531"/>
    </row>
    <row r="13687" spans="1:98">
      <c r="A13687" s="532"/>
      <c r="AR13687" s="2513"/>
      <c r="CT13687" s="531"/>
    </row>
    <row r="13688" spans="1:98">
      <c r="A13688" s="532"/>
      <c r="AR13688" s="2513"/>
      <c r="CT13688" s="531"/>
    </row>
    <row r="13689" spans="1:98">
      <c r="A13689" s="532"/>
      <c r="AR13689" s="2513"/>
      <c r="CT13689" s="531"/>
    </row>
    <row r="13690" spans="1:98">
      <c r="A13690" s="532"/>
      <c r="AR13690" s="2513"/>
      <c r="CT13690" s="531"/>
    </row>
    <row r="13691" spans="1:98">
      <c r="A13691" s="532"/>
      <c r="AR13691" s="2513"/>
      <c r="CT13691" s="531"/>
    </row>
    <row r="13692" spans="1:98">
      <c r="A13692" s="532"/>
      <c r="AR13692" s="2513"/>
      <c r="CT13692" s="531"/>
    </row>
    <row r="13693" spans="1:98">
      <c r="A13693" s="532"/>
      <c r="AR13693" s="2513"/>
      <c r="CT13693" s="531"/>
    </row>
    <row r="13694" spans="1:98">
      <c r="A13694" s="532"/>
      <c r="AR13694" s="2513"/>
      <c r="CT13694" s="531"/>
    </row>
    <row r="13695" spans="1:98">
      <c r="A13695" s="532"/>
      <c r="AR13695" s="2513"/>
      <c r="CT13695" s="531"/>
    </row>
    <row r="13696" spans="1:98">
      <c r="A13696" s="532"/>
      <c r="AR13696" s="2513"/>
      <c r="CT13696" s="531"/>
    </row>
    <row r="13697" spans="1:98">
      <c r="A13697" s="532"/>
      <c r="AR13697" s="2513"/>
      <c r="CT13697" s="531"/>
    </row>
    <row r="13698" spans="1:98">
      <c r="A13698" s="532"/>
      <c r="AR13698" s="2513"/>
      <c r="CT13698" s="531"/>
    </row>
    <row r="13699" spans="1:98">
      <c r="A13699" s="532"/>
      <c r="AR13699" s="2513"/>
      <c r="CT13699" s="531"/>
    </row>
    <row r="13700" spans="1:98">
      <c r="A13700" s="532"/>
      <c r="AR13700" s="2513"/>
      <c r="CT13700" s="531"/>
    </row>
    <row r="13701" spans="1:98">
      <c r="A13701" s="532"/>
      <c r="AR13701" s="2513"/>
      <c r="CT13701" s="531"/>
    </row>
    <row r="13702" spans="1:98">
      <c r="A13702" s="532"/>
      <c r="AR13702" s="2513"/>
      <c r="CT13702" s="531"/>
    </row>
    <row r="13703" spans="1:98">
      <c r="A13703" s="532"/>
      <c r="AR13703" s="2513"/>
      <c r="CT13703" s="531"/>
    </row>
    <row r="13704" spans="1:98">
      <c r="A13704" s="532"/>
      <c r="AR13704" s="2513"/>
      <c r="CT13704" s="531"/>
    </row>
    <row r="13705" spans="1:98">
      <c r="A13705" s="532"/>
      <c r="AR13705" s="2513"/>
      <c r="CT13705" s="531"/>
    </row>
    <row r="13706" spans="1:98">
      <c r="A13706" s="532"/>
      <c r="AR13706" s="2513"/>
      <c r="CT13706" s="531"/>
    </row>
    <row r="13707" spans="1:98">
      <c r="A13707" s="532"/>
      <c r="AR13707" s="2513"/>
      <c r="CT13707" s="531"/>
    </row>
    <row r="13708" spans="1:98">
      <c r="A13708" s="532"/>
      <c r="AR13708" s="2513"/>
      <c r="CT13708" s="531"/>
    </row>
    <row r="13709" spans="1:98">
      <c r="A13709" s="532"/>
      <c r="AR13709" s="2513"/>
      <c r="CT13709" s="531"/>
    </row>
    <row r="13710" spans="1:98">
      <c r="A13710" s="532"/>
      <c r="AR13710" s="2513"/>
      <c r="CT13710" s="531"/>
    </row>
    <row r="13711" spans="1:98">
      <c r="A13711" s="532"/>
      <c r="AR13711" s="2513"/>
      <c r="CT13711" s="531"/>
    </row>
    <row r="13712" spans="1:98">
      <c r="A13712" s="532"/>
      <c r="AR13712" s="2513"/>
      <c r="CT13712" s="531"/>
    </row>
    <row r="13713" spans="1:98">
      <c r="A13713" s="532"/>
      <c r="AR13713" s="2513"/>
      <c r="CT13713" s="531"/>
    </row>
    <row r="13714" spans="1:98">
      <c r="A13714" s="532"/>
      <c r="AR13714" s="2513"/>
      <c r="CT13714" s="531"/>
    </row>
    <row r="13715" spans="1:98">
      <c r="A13715" s="532"/>
      <c r="AR13715" s="2513"/>
      <c r="CT13715" s="531"/>
    </row>
    <row r="13716" spans="1:98">
      <c r="A13716" s="532"/>
      <c r="AR13716" s="2513"/>
      <c r="CT13716" s="531"/>
    </row>
    <row r="13717" spans="1:98">
      <c r="A13717" s="532"/>
      <c r="AR13717" s="2513"/>
      <c r="CT13717" s="531"/>
    </row>
    <row r="13718" spans="1:98">
      <c r="A13718" s="532"/>
      <c r="AR13718" s="2513"/>
      <c r="CT13718" s="531"/>
    </row>
    <row r="13719" spans="1:98">
      <c r="A13719" s="532"/>
      <c r="AR13719" s="2513"/>
      <c r="CT13719" s="531"/>
    </row>
    <row r="13720" spans="1:98">
      <c r="A13720" s="532"/>
      <c r="AR13720" s="2513"/>
      <c r="CT13720" s="531"/>
    </row>
    <row r="13721" spans="1:98">
      <c r="A13721" s="532"/>
      <c r="AR13721" s="2513"/>
      <c r="CT13721" s="531"/>
    </row>
    <row r="13722" spans="1:98">
      <c r="A13722" s="532"/>
      <c r="AR13722" s="2513"/>
      <c r="CT13722" s="531"/>
    </row>
    <row r="13723" spans="1:98">
      <c r="A13723" s="532"/>
      <c r="AR13723" s="2513"/>
      <c r="CT13723" s="531"/>
    </row>
    <row r="13724" spans="1:98">
      <c r="A13724" s="532"/>
      <c r="AR13724" s="2513"/>
      <c r="CT13724" s="531"/>
    </row>
    <row r="13725" spans="1:98">
      <c r="A13725" s="532"/>
      <c r="AR13725" s="2513"/>
      <c r="CT13725" s="531"/>
    </row>
    <row r="13726" spans="1:98">
      <c r="A13726" s="532"/>
      <c r="AR13726" s="2513"/>
      <c r="CT13726" s="531"/>
    </row>
    <row r="13727" spans="1:98">
      <c r="A13727" s="532"/>
      <c r="AR13727" s="2513"/>
      <c r="CT13727" s="531"/>
    </row>
    <row r="13728" spans="1:98">
      <c r="A13728" s="532"/>
      <c r="AR13728" s="2513"/>
      <c r="CT13728" s="531"/>
    </row>
    <row r="13729" spans="1:98">
      <c r="A13729" s="532"/>
      <c r="AR13729" s="2513"/>
      <c r="CT13729" s="531"/>
    </row>
    <row r="13730" spans="1:98">
      <c r="A13730" s="532"/>
      <c r="AR13730" s="2513"/>
      <c r="CT13730" s="531"/>
    </row>
    <row r="13731" spans="1:98">
      <c r="A13731" s="532"/>
      <c r="AR13731" s="2513"/>
      <c r="CT13731" s="531"/>
    </row>
    <row r="13732" spans="1:98">
      <c r="A13732" s="532"/>
      <c r="AR13732" s="2513"/>
      <c r="CT13732" s="531"/>
    </row>
    <row r="13733" spans="1:98">
      <c r="A13733" s="532"/>
      <c r="AR13733" s="2513"/>
      <c r="CT13733" s="531"/>
    </row>
    <row r="13734" spans="1:98">
      <c r="A13734" s="532"/>
      <c r="AR13734" s="2513"/>
      <c r="CT13734" s="531"/>
    </row>
    <row r="13735" spans="1:98">
      <c r="A13735" s="532"/>
      <c r="AR13735" s="2513"/>
      <c r="CT13735" s="531"/>
    </row>
    <row r="13736" spans="1:98">
      <c r="A13736" s="532"/>
      <c r="AR13736" s="2513"/>
      <c r="CT13736" s="531"/>
    </row>
    <row r="13737" spans="1:98">
      <c r="A13737" s="532"/>
      <c r="AR13737" s="2513"/>
      <c r="CT13737" s="531"/>
    </row>
    <row r="13738" spans="1:98">
      <c r="A13738" s="532"/>
      <c r="AR13738" s="2513"/>
      <c r="CT13738" s="531"/>
    </row>
    <row r="13739" spans="1:98">
      <c r="A13739" s="532"/>
      <c r="AR13739" s="2513"/>
      <c r="CT13739" s="531"/>
    </row>
    <row r="13740" spans="1:98">
      <c r="A13740" s="532"/>
      <c r="AR13740" s="2513"/>
      <c r="CT13740" s="531"/>
    </row>
    <row r="13741" spans="1:98">
      <c r="A13741" s="532"/>
      <c r="AR13741" s="2513"/>
      <c r="CT13741" s="531"/>
    </row>
    <row r="13742" spans="1:98">
      <c r="A13742" s="532"/>
      <c r="AR13742" s="2513"/>
      <c r="CT13742" s="531"/>
    </row>
    <row r="13743" spans="1:98">
      <c r="A13743" s="532"/>
      <c r="AR13743" s="2513"/>
      <c r="CT13743" s="531"/>
    </row>
    <row r="13744" spans="1:98">
      <c r="A13744" s="532"/>
      <c r="AR13744" s="2513"/>
      <c r="CT13744" s="531"/>
    </row>
    <row r="13745" spans="1:98">
      <c r="A13745" s="532"/>
      <c r="AR13745" s="2513"/>
      <c r="CT13745" s="531"/>
    </row>
    <row r="13746" spans="1:98">
      <c r="A13746" s="532"/>
      <c r="AR13746" s="2513"/>
      <c r="CT13746" s="531"/>
    </row>
    <row r="13747" spans="1:98">
      <c r="A13747" s="532"/>
      <c r="AR13747" s="2513"/>
      <c r="CT13747" s="531"/>
    </row>
    <row r="13748" spans="1:98">
      <c r="A13748" s="532"/>
      <c r="AR13748" s="2513"/>
      <c r="CT13748" s="531"/>
    </row>
    <row r="13749" spans="1:98">
      <c r="A13749" s="532"/>
      <c r="AR13749" s="2513"/>
      <c r="CT13749" s="531"/>
    </row>
    <row r="13750" spans="1:98">
      <c r="A13750" s="532"/>
      <c r="AR13750" s="2513"/>
      <c r="CT13750" s="531"/>
    </row>
    <row r="13751" spans="1:98">
      <c r="A13751" s="532"/>
      <c r="AR13751" s="2513"/>
      <c r="CT13751" s="531"/>
    </row>
    <row r="13752" spans="1:98">
      <c r="A13752" s="532"/>
      <c r="AR13752" s="2513"/>
      <c r="CT13752" s="531"/>
    </row>
    <row r="13753" spans="1:98">
      <c r="A13753" s="532"/>
      <c r="AR13753" s="2513"/>
      <c r="CT13753" s="531"/>
    </row>
    <row r="13754" spans="1:98">
      <c r="A13754" s="532"/>
      <c r="AR13754" s="2513"/>
      <c r="CT13754" s="531"/>
    </row>
    <row r="13755" spans="1:98">
      <c r="A13755" s="532"/>
      <c r="AR13755" s="2513"/>
      <c r="CT13755" s="531"/>
    </row>
    <row r="13756" spans="1:98">
      <c r="A13756" s="532"/>
      <c r="AR13756" s="2513"/>
      <c r="CT13756" s="531"/>
    </row>
    <row r="13757" spans="1:98">
      <c r="A13757" s="532"/>
      <c r="AR13757" s="2513"/>
      <c r="CT13757" s="531"/>
    </row>
    <row r="13758" spans="1:98">
      <c r="A13758" s="532"/>
      <c r="AR13758" s="2513"/>
      <c r="CT13758" s="531"/>
    </row>
    <row r="13759" spans="1:98">
      <c r="A13759" s="532"/>
      <c r="AR13759" s="2513"/>
      <c r="CT13759" s="531"/>
    </row>
    <row r="13760" spans="1:98">
      <c r="A13760" s="532"/>
      <c r="AR13760" s="2513"/>
      <c r="CT13760" s="531"/>
    </row>
    <row r="13761" spans="1:98">
      <c r="A13761" s="532"/>
      <c r="AR13761" s="2513"/>
      <c r="CT13761" s="531"/>
    </row>
    <row r="13762" spans="1:98">
      <c r="A13762" s="532"/>
      <c r="AR13762" s="2513"/>
      <c r="CT13762" s="531"/>
    </row>
    <row r="13763" spans="1:98">
      <c r="A13763" s="532"/>
      <c r="AR13763" s="2513"/>
      <c r="CT13763" s="531"/>
    </row>
    <row r="13764" spans="1:98">
      <c r="A13764" s="532"/>
      <c r="AR13764" s="2513"/>
      <c r="CT13764" s="531"/>
    </row>
    <row r="13765" spans="1:98">
      <c r="A13765" s="532"/>
      <c r="AR13765" s="2513"/>
      <c r="CT13765" s="531"/>
    </row>
    <row r="13766" spans="1:98">
      <c r="A13766" s="532"/>
      <c r="AR13766" s="2513"/>
      <c r="CT13766" s="531"/>
    </row>
    <row r="13767" spans="1:98">
      <c r="A13767" s="532"/>
      <c r="AR13767" s="2513"/>
      <c r="CT13767" s="531"/>
    </row>
    <row r="13768" spans="1:98">
      <c r="A13768" s="532"/>
      <c r="AR13768" s="2513"/>
      <c r="CT13768" s="531"/>
    </row>
    <row r="13769" spans="1:98">
      <c r="A13769" s="532"/>
      <c r="AR13769" s="2513"/>
      <c r="CT13769" s="531"/>
    </row>
    <row r="13770" spans="1:98">
      <c r="A13770" s="532"/>
      <c r="AR13770" s="2513"/>
      <c r="CT13770" s="531"/>
    </row>
    <row r="13771" spans="1:98">
      <c r="A13771" s="532"/>
      <c r="AR13771" s="2513"/>
      <c r="CT13771" s="531"/>
    </row>
    <row r="13772" spans="1:98">
      <c r="A13772" s="532"/>
      <c r="AR13772" s="2513"/>
      <c r="CT13772" s="531"/>
    </row>
    <row r="13773" spans="1:98">
      <c r="A13773" s="532"/>
      <c r="AR13773" s="2513"/>
      <c r="CT13773" s="531"/>
    </row>
    <row r="13774" spans="1:98">
      <c r="A13774" s="532"/>
      <c r="AR13774" s="2513"/>
      <c r="CT13774" s="531"/>
    </row>
    <row r="13775" spans="1:98">
      <c r="A13775" s="532"/>
      <c r="AR13775" s="2513"/>
      <c r="CT13775" s="531"/>
    </row>
    <row r="13776" spans="1:98">
      <c r="A13776" s="532"/>
      <c r="AR13776" s="2513"/>
      <c r="CT13776" s="531"/>
    </row>
    <row r="13777" spans="1:98">
      <c r="A13777" s="532"/>
      <c r="AR13777" s="2513"/>
      <c r="CT13777" s="531"/>
    </row>
    <row r="13778" spans="1:98">
      <c r="A13778" s="532"/>
      <c r="AR13778" s="2513"/>
      <c r="CT13778" s="531"/>
    </row>
    <row r="13779" spans="1:98">
      <c r="A13779" s="532"/>
      <c r="AR13779" s="2513"/>
      <c r="CT13779" s="531"/>
    </row>
    <row r="13780" spans="1:98">
      <c r="A13780" s="532"/>
      <c r="AR13780" s="2513"/>
      <c r="CT13780" s="531"/>
    </row>
    <row r="13781" spans="1:98">
      <c r="A13781" s="532"/>
      <c r="AR13781" s="2513"/>
      <c r="CT13781" s="531"/>
    </row>
    <row r="13782" spans="1:98">
      <c r="A13782" s="532"/>
      <c r="AR13782" s="2513"/>
      <c r="CT13782" s="531"/>
    </row>
    <row r="13783" spans="1:98">
      <c r="A13783" s="532"/>
      <c r="AR13783" s="2513"/>
      <c r="CT13783" s="531"/>
    </row>
    <row r="13784" spans="1:98">
      <c r="A13784" s="532"/>
      <c r="AR13784" s="2513"/>
      <c r="CT13784" s="531"/>
    </row>
    <row r="13785" spans="1:98">
      <c r="A13785" s="532"/>
      <c r="AR13785" s="2513"/>
      <c r="CT13785" s="531"/>
    </row>
    <row r="13786" spans="1:98">
      <c r="A13786" s="532"/>
      <c r="AR13786" s="2513"/>
      <c r="CT13786" s="531"/>
    </row>
    <row r="13787" spans="1:98">
      <c r="A13787" s="532"/>
      <c r="AR13787" s="2513"/>
      <c r="CT13787" s="531"/>
    </row>
    <row r="13788" spans="1:98">
      <c r="A13788" s="532"/>
      <c r="AR13788" s="2513"/>
      <c r="CT13788" s="531"/>
    </row>
    <row r="13789" spans="1:98">
      <c r="A13789" s="532"/>
      <c r="AR13789" s="2513"/>
      <c r="CT13789" s="531"/>
    </row>
    <row r="13790" spans="1:98">
      <c r="A13790" s="532"/>
      <c r="AR13790" s="2513"/>
      <c r="CT13790" s="531"/>
    </row>
    <row r="13791" spans="1:98">
      <c r="A13791" s="532"/>
      <c r="AR13791" s="2513"/>
      <c r="CT13791" s="531"/>
    </row>
    <row r="13792" spans="1:98">
      <c r="A13792" s="532"/>
      <c r="AR13792" s="2513"/>
      <c r="CT13792" s="531"/>
    </row>
    <row r="13793" spans="1:98">
      <c r="A13793" s="532"/>
      <c r="AR13793" s="2513"/>
      <c r="CT13793" s="531"/>
    </row>
    <row r="13794" spans="1:98">
      <c r="A13794" s="532"/>
      <c r="AR13794" s="2513"/>
      <c r="CT13794" s="531"/>
    </row>
    <row r="13795" spans="1:98">
      <c r="A13795" s="532"/>
      <c r="AR13795" s="2513"/>
      <c r="CT13795" s="531"/>
    </row>
    <row r="13796" spans="1:98">
      <c r="A13796" s="532"/>
      <c r="AR13796" s="2513"/>
      <c r="CT13796" s="531"/>
    </row>
    <row r="13797" spans="1:98">
      <c r="A13797" s="532"/>
      <c r="AR13797" s="2513"/>
      <c r="CT13797" s="531"/>
    </row>
    <row r="13798" spans="1:98">
      <c r="A13798" s="532"/>
      <c r="AR13798" s="2513"/>
      <c r="CT13798" s="531"/>
    </row>
    <row r="13799" spans="1:98">
      <c r="A13799" s="532"/>
      <c r="AR13799" s="2513"/>
      <c r="CT13799" s="531"/>
    </row>
    <row r="13800" spans="1:98">
      <c r="A13800" s="532"/>
      <c r="AR13800" s="2513"/>
      <c r="CT13800" s="531"/>
    </row>
    <row r="13801" spans="1:98">
      <c r="A13801" s="532"/>
      <c r="AR13801" s="2513"/>
      <c r="CT13801" s="531"/>
    </row>
    <row r="13802" spans="1:98">
      <c r="A13802" s="532"/>
      <c r="AR13802" s="2513"/>
      <c r="CT13802" s="531"/>
    </row>
    <row r="13803" spans="1:98">
      <c r="A13803" s="532"/>
      <c r="AR13803" s="2513"/>
      <c r="CT13803" s="531"/>
    </row>
    <row r="13804" spans="1:98">
      <c r="A13804" s="532"/>
      <c r="AR13804" s="2513"/>
      <c r="CT13804" s="531"/>
    </row>
    <row r="13805" spans="1:98">
      <c r="A13805" s="532"/>
      <c r="AR13805" s="2513"/>
      <c r="CT13805" s="531"/>
    </row>
    <row r="13806" spans="1:98">
      <c r="A13806" s="532"/>
      <c r="AR13806" s="2513"/>
      <c r="CT13806" s="531"/>
    </row>
    <row r="13807" spans="1:98">
      <c r="A13807" s="532"/>
      <c r="AR13807" s="2513"/>
      <c r="CT13807" s="531"/>
    </row>
    <row r="13808" spans="1:98">
      <c r="A13808" s="532"/>
      <c r="AR13808" s="2513"/>
      <c r="CT13808" s="531"/>
    </row>
    <row r="13809" spans="1:98">
      <c r="A13809" s="532"/>
      <c r="AR13809" s="2513"/>
      <c r="CT13809" s="531"/>
    </row>
    <row r="13810" spans="1:98">
      <c r="A13810" s="532"/>
      <c r="AR13810" s="2513"/>
      <c r="CT13810" s="531"/>
    </row>
    <row r="13811" spans="1:98">
      <c r="A13811" s="532"/>
      <c r="AR13811" s="2513"/>
      <c r="CT13811" s="531"/>
    </row>
    <row r="13812" spans="1:98">
      <c r="A13812" s="532"/>
      <c r="AR13812" s="2513"/>
      <c r="CT13812" s="531"/>
    </row>
    <row r="13813" spans="1:98">
      <c r="A13813" s="532"/>
      <c r="AR13813" s="2513"/>
      <c r="CT13813" s="531"/>
    </row>
    <row r="13814" spans="1:98">
      <c r="A13814" s="532"/>
      <c r="AR13814" s="2513"/>
      <c r="CT13814" s="531"/>
    </row>
    <row r="13815" spans="1:98">
      <c r="A13815" s="532"/>
      <c r="AR13815" s="2513"/>
      <c r="CT13815" s="531"/>
    </row>
    <row r="13816" spans="1:98">
      <c r="A13816" s="532"/>
      <c r="AR13816" s="2513"/>
      <c r="CT13816" s="531"/>
    </row>
    <row r="13817" spans="1:98">
      <c r="A13817" s="532"/>
      <c r="AR13817" s="2513"/>
      <c r="CT13817" s="531"/>
    </row>
    <row r="13818" spans="1:98">
      <c r="A13818" s="532"/>
      <c r="AR13818" s="2513"/>
      <c r="CT13818" s="531"/>
    </row>
    <row r="13819" spans="1:98">
      <c r="A13819" s="532"/>
      <c r="AR13819" s="2513"/>
      <c r="CT13819" s="531"/>
    </row>
    <row r="13820" spans="1:98">
      <c r="A13820" s="532"/>
      <c r="AR13820" s="2513"/>
      <c r="CT13820" s="531"/>
    </row>
    <row r="13821" spans="1:98">
      <c r="A13821" s="532"/>
      <c r="AR13821" s="2513"/>
      <c r="CT13821" s="531"/>
    </row>
    <row r="13822" spans="1:98">
      <c r="A13822" s="532"/>
      <c r="AR13822" s="2513"/>
      <c r="CT13822" s="531"/>
    </row>
    <row r="13823" spans="1:98">
      <c r="A13823" s="532"/>
      <c r="AR13823" s="2513"/>
      <c r="CT13823" s="531"/>
    </row>
    <row r="13824" spans="1:98">
      <c r="A13824" s="532"/>
      <c r="AR13824" s="2513"/>
      <c r="CT13824" s="531"/>
    </row>
    <row r="13825" spans="1:98">
      <c r="A13825" s="532"/>
      <c r="AR13825" s="2513"/>
      <c r="CT13825" s="531"/>
    </row>
    <row r="13826" spans="1:98">
      <c r="A13826" s="532"/>
      <c r="AR13826" s="2513"/>
      <c r="CT13826" s="531"/>
    </row>
    <row r="13827" spans="1:98">
      <c r="A13827" s="532"/>
      <c r="AR13827" s="2513"/>
      <c r="CT13827" s="531"/>
    </row>
    <row r="13828" spans="1:98">
      <c r="A13828" s="532"/>
      <c r="AR13828" s="2513"/>
      <c r="CT13828" s="531"/>
    </row>
    <row r="13829" spans="1:98">
      <c r="A13829" s="532"/>
      <c r="AR13829" s="2513"/>
      <c r="CT13829" s="531"/>
    </row>
    <row r="13830" spans="1:98">
      <c r="A13830" s="532"/>
      <c r="AR13830" s="2513"/>
      <c r="CT13830" s="531"/>
    </row>
    <row r="13831" spans="1:98">
      <c r="A13831" s="532"/>
      <c r="AR13831" s="2513"/>
      <c r="CT13831" s="531"/>
    </row>
    <row r="13832" spans="1:98">
      <c r="A13832" s="532"/>
      <c r="AR13832" s="2513"/>
      <c r="CT13832" s="531"/>
    </row>
    <row r="13833" spans="1:98">
      <c r="A13833" s="532"/>
      <c r="AR13833" s="2513"/>
      <c r="CT13833" s="531"/>
    </row>
    <row r="13834" spans="1:98">
      <c r="A13834" s="532"/>
      <c r="AR13834" s="2513"/>
      <c r="CT13834" s="531"/>
    </row>
    <row r="13835" spans="1:98">
      <c r="A13835" s="532"/>
      <c r="AR13835" s="2513"/>
      <c r="CT13835" s="531"/>
    </row>
    <row r="13836" spans="1:98">
      <c r="A13836" s="532"/>
      <c r="AR13836" s="2513"/>
      <c r="CT13836" s="531"/>
    </row>
    <row r="13837" spans="1:98">
      <c r="A13837" s="532"/>
      <c r="AR13837" s="2513"/>
      <c r="CT13837" s="531"/>
    </row>
    <row r="13838" spans="1:98">
      <c r="A13838" s="532"/>
      <c r="AR13838" s="2513"/>
      <c r="CT13838" s="531"/>
    </row>
    <row r="13839" spans="1:98">
      <c r="A13839" s="532"/>
      <c r="AR13839" s="2513"/>
      <c r="CT13839" s="531"/>
    </row>
    <row r="13840" spans="1:98">
      <c r="A13840" s="532"/>
      <c r="AR13840" s="2513"/>
      <c r="CT13840" s="531"/>
    </row>
    <row r="13841" spans="1:98">
      <c r="A13841" s="532"/>
      <c r="AR13841" s="2513"/>
      <c r="CT13841" s="531"/>
    </row>
    <row r="13842" spans="1:98">
      <c r="A13842" s="532"/>
      <c r="AR13842" s="2513"/>
      <c r="CT13842" s="531"/>
    </row>
    <row r="13843" spans="1:98">
      <c r="A13843" s="532"/>
      <c r="AR13843" s="2513"/>
      <c r="CT13843" s="531"/>
    </row>
    <row r="13844" spans="1:98">
      <c r="A13844" s="532"/>
      <c r="AR13844" s="2513"/>
      <c r="CT13844" s="531"/>
    </row>
    <row r="13845" spans="1:98">
      <c r="A13845" s="532"/>
      <c r="AR13845" s="2513"/>
      <c r="CT13845" s="531"/>
    </row>
    <row r="13846" spans="1:98">
      <c r="A13846" s="532"/>
      <c r="AR13846" s="2513"/>
      <c r="CT13846" s="531"/>
    </row>
    <row r="13847" spans="1:98">
      <c r="A13847" s="532"/>
      <c r="AR13847" s="2513"/>
      <c r="CT13847" s="531"/>
    </row>
    <row r="13848" spans="1:98">
      <c r="A13848" s="532"/>
      <c r="AR13848" s="2513"/>
      <c r="CT13848" s="531"/>
    </row>
    <row r="13849" spans="1:98">
      <c r="A13849" s="532"/>
      <c r="AR13849" s="2513"/>
      <c r="CT13849" s="531"/>
    </row>
    <row r="13850" spans="1:98">
      <c r="A13850" s="532"/>
      <c r="AR13850" s="2513"/>
      <c r="CT13850" s="531"/>
    </row>
    <row r="13851" spans="1:98">
      <c r="A13851" s="532"/>
      <c r="AR13851" s="2513"/>
      <c r="CT13851" s="531"/>
    </row>
    <row r="13852" spans="1:98">
      <c r="A13852" s="532"/>
      <c r="AR13852" s="2513"/>
      <c r="CT13852" s="531"/>
    </row>
    <row r="13853" spans="1:98">
      <c r="A13853" s="532"/>
      <c r="AR13853" s="2513"/>
      <c r="CT13853" s="531"/>
    </row>
    <row r="13854" spans="1:98">
      <c r="A13854" s="532"/>
      <c r="AR13854" s="2513"/>
      <c r="CT13854" s="531"/>
    </row>
    <row r="13855" spans="1:98">
      <c r="A13855" s="532"/>
      <c r="AR13855" s="2513"/>
      <c r="CT13855" s="531"/>
    </row>
    <row r="13856" spans="1:98">
      <c r="A13856" s="532"/>
      <c r="AR13856" s="2513"/>
      <c r="CT13856" s="531"/>
    </row>
    <row r="13857" spans="1:98">
      <c r="A13857" s="532"/>
      <c r="AR13857" s="2513"/>
      <c r="CT13857" s="531"/>
    </row>
    <row r="13858" spans="1:98">
      <c r="A13858" s="532"/>
      <c r="AR13858" s="2513"/>
      <c r="CT13858" s="531"/>
    </row>
    <row r="13859" spans="1:98">
      <c r="A13859" s="532"/>
      <c r="AR13859" s="2513"/>
      <c r="CT13859" s="531"/>
    </row>
    <row r="13860" spans="1:98">
      <c r="A13860" s="532"/>
      <c r="AR13860" s="2513"/>
      <c r="CT13860" s="531"/>
    </row>
    <row r="13861" spans="1:98">
      <c r="A13861" s="532"/>
      <c r="AR13861" s="2513"/>
      <c r="CT13861" s="531"/>
    </row>
    <row r="13862" spans="1:98">
      <c r="A13862" s="532"/>
      <c r="AR13862" s="2513"/>
      <c r="CT13862" s="531"/>
    </row>
    <row r="13863" spans="1:98">
      <c r="A13863" s="532"/>
      <c r="AR13863" s="2513"/>
      <c r="CT13863" s="531"/>
    </row>
    <row r="13864" spans="1:98">
      <c r="A13864" s="532"/>
      <c r="AR13864" s="2513"/>
      <c r="CT13864" s="531"/>
    </row>
    <row r="13865" spans="1:98">
      <c r="A13865" s="532"/>
      <c r="AR13865" s="2513"/>
      <c r="CT13865" s="531"/>
    </row>
    <row r="13866" spans="1:98">
      <c r="A13866" s="532"/>
      <c r="AR13866" s="2513"/>
      <c r="CT13866" s="531"/>
    </row>
    <row r="13867" spans="1:98">
      <c r="A13867" s="532"/>
      <c r="AR13867" s="2513"/>
      <c r="CT13867" s="531"/>
    </row>
    <row r="13868" spans="1:98">
      <c r="A13868" s="532"/>
      <c r="AR13868" s="2513"/>
      <c r="CT13868" s="531"/>
    </row>
    <row r="13869" spans="1:98">
      <c r="A13869" s="532"/>
      <c r="AR13869" s="2513"/>
      <c r="CT13869" s="531"/>
    </row>
    <row r="13870" spans="1:98">
      <c r="A13870" s="532"/>
      <c r="AR13870" s="2513"/>
      <c r="CT13870" s="531"/>
    </row>
    <row r="13871" spans="1:98">
      <c r="A13871" s="532"/>
      <c r="AR13871" s="2513"/>
      <c r="CT13871" s="531"/>
    </row>
    <row r="13872" spans="1:98">
      <c r="A13872" s="532"/>
      <c r="AR13872" s="2513"/>
      <c r="CT13872" s="531"/>
    </row>
    <row r="13873" spans="1:98">
      <c r="A13873" s="532"/>
      <c r="AR13873" s="2513"/>
      <c r="CT13873" s="531"/>
    </row>
    <row r="13874" spans="1:98">
      <c r="A13874" s="532"/>
      <c r="AR13874" s="2513"/>
      <c r="CT13874" s="531"/>
    </row>
    <row r="13875" spans="1:98">
      <c r="A13875" s="532"/>
      <c r="AR13875" s="2513"/>
      <c r="CT13875" s="531"/>
    </row>
    <row r="13876" spans="1:98">
      <c r="A13876" s="532"/>
      <c r="AR13876" s="2513"/>
      <c r="CT13876" s="531"/>
    </row>
    <row r="13877" spans="1:98">
      <c r="A13877" s="532"/>
      <c r="AR13877" s="2513"/>
      <c r="CT13877" s="531"/>
    </row>
    <row r="13878" spans="1:98">
      <c r="A13878" s="532"/>
      <c r="AR13878" s="2513"/>
      <c r="CT13878" s="531"/>
    </row>
    <row r="13879" spans="1:98">
      <c r="A13879" s="532"/>
      <c r="AR13879" s="2513"/>
      <c r="CT13879" s="531"/>
    </row>
    <row r="13880" spans="1:98">
      <c r="A13880" s="532"/>
      <c r="AR13880" s="2513"/>
      <c r="CT13880" s="531"/>
    </row>
    <row r="13881" spans="1:98">
      <c r="A13881" s="532"/>
      <c r="AR13881" s="2513"/>
      <c r="CT13881" s="531"/>
    </row>
    <row r="13882" spans="1:98">
      <c r="A13882" s="532"/>
      <c r="AR13882" s="2513"/>
      <c r="CT13882" s="531"/>
    </row>
    <row r="13883" spans="1:98">
      <c r="A13883" s="532"/>
      <c r="AR13883" s="2513"/>
      <c r="CT13883" s="531"/>
    </row>
    <row r="13884" spans="1:98">
      <c r="A13884" s="532"/>
      <c r="AR13884" s="2513"/>
      <c r="CT13884" s="531"/>
    </row>
    <row r="13885" spans="1:98">
      <c r="A13885" s="532"/>
      <c r="AR13885" s="2513"/>
      <c r="CT13885" s="531"/>
    </row>
    <row r="13886" spans="1:98">
      <c r="A13886" s="532"/>
      <c r="AR13886" s="2513"/>
      <c r="CT13886" s="531"/>
    </row>
    <row r="13887" spans="1:98">
      <c r="A13887" s="532"/>
      <c r="AR13887" s="2513"/>
      <c r="CT13887" s="531"/>
    </row>
    <row r="13888" spans="1:98">
      <c r="A13888" s="532"/>
      <c r="AR13888" s="2513"/>
      <c r="CT13888" s="531"/>
    </row>
    <row r="13889" spans="1:98">
      <c r="A13889" s="532"/>
      <c r="AR13889" s="2513"/>
      <c r="CT13889" s="531"/>
    </row>
    <row r="13890" spans="1:98">
      <c r="A13890" s="532"/>
      <c r="AR13890" s="2513"/>
      <c r="CT13890" s="531"/>
    </row>
    <row r="13891" spans="1:98">
      <c r="A13891" s="532"/>
      <c r="AR13891" s="2513"/>
      <c r="CT13891" s="531"/>
    </row>
    <row r="13892" spans="1:98">
      <c r="A13892" s="532"/>
      <c r="AR13892" s="2513"/>
      <c r="CT13892" s="531"/>
    </row>
    <row r="13893" spans="1:98">
      <c r="A13893" s="532"/>
      <c r="AR13893" s="2513"/>
      <c r="CT13893" s="531"/>
    </row>
    <row r="13894" spans="1:98">
      <c r="A13894" s="532"/>
      <c r="AR13894" s="2513"/>
      <c r="CT13894" s="531"/>
    </row>
    <row r="13895" spans="1:98">
      <c r="A13895" s="532"/>
      <c r="AR13895" s="2513"/>
      <c r="CT13895" s="531"/>
    </row>
    <row r="13896" spans="1:98">
      <c r="A13896" s="532"/>
      <c r="AR13896" s="2513"/>
      <c r="CT13896" s="531"/>
    </row>
    <row r="13897" spans="1:98">
      <c r="A13897" s="532"/>
      <c r="AR13897" s="2513"/>
      <c r="CT13897" s="531"/>
    </row>
    <row r="13898" spans="1:98">
      <c r="A13898" s="532"/>
      <c r="AR13898" s="2513"/>
      <c r="CT13898" s="531"/>
    </row>
    <row r="13899" spans="1:98">
      <c r="A13899" s="532"/>
      <c r="AR13899" s="2513"/>
      <c r="CT13899" s="531"/>
    </row>
    <row r="13900" spans="1:98">
      <c r="A13900" s="532"/>
      <c r="AR13900" s="2513"/>
      <c r="CT13900" s="531"/>
    </row>
    <row r="13901" spans="1:98">
      <c r="A13901" s="532"/>
      <c r="AR13901" s="2513"/>
      <c r="CT13901" s="531"/>
    </row>
    <row r="13902" spans="1:98">
      <c r="A13902" s="532"/>
      <c r="AR13902" s="2513"/>
      <c r="CT13902" s="531"/>
    </row>
    <row r="13903" spans="1:98">
      <c r="A13903" s="532"/>
      <c r="AR13903" s="2513"/>
      <c r="CT13903" s="531"/>
    </row>
    <row r="13904" spans="1:98">
      <c r="A13904" s="532"/>
      <c r="AR13904" s="2513"/>
      <c r="CT13904" s="531"/>
    </row>
    <row r="13905" spans="1:98">
      <c r="A13905" s="532"/>
      <c r="AR13905" s="2513"/>
      <c r="CT13905" s="531"/>
    </row>
    <row r="13906" spans="1:98">
      <c r="A13906" s="532"/>
      <c r="AR13906" s="2513"/>
      <c r="CT13906" s="531"/>
    </row>
    <row r="13907" spans="1:98">
      <c r="A13907" s="532"/>
      <c r="AR13907" s="2513"/>
      <c r="CT13907" s="531"/>
    </row>
    <row r="13908" spans="1:98">
      <c r="A13908" s="532"/>
      <c r="AR13908" s="2513"/>
      <c r="CT13908" s="531"/>
    </row>
    <row r="13909" spans="1:98">
      <c r="A13909" s="532"/>
      <c r="AR13909" s="2513"/>
      <c r="CT13909" s="531"/>
    </row>
    <row r="13910" spans="1:98">
      <c r="A13910" s="532"/>
      <c r="AR13910" s="2513"/>
      <c r="CT13910" s="531"/>
    </row>
    <row r="13911" spans="1:98">
      <c r="A13911" s="532"/>
      <c r="AR13911" s="2513"/>
      <c r="CT13911" s="531"/>
    </row>
    <row r="13912" spans="1:98">
      <c r="A13912" s="532"/>
      <c r="AR13912" s="2513"/>
      <c r="CT13912" s="531"/>
    </row>
    <row r="13913" spans="1:98">
      <c r="A13913" s="532"/>
      <c r="AR13913" s="2513"/>
      <c r="CT13913" s="531"/>
    </row>
    <row r="13914" spans="1:98">
      <c r="A13914" s="532"/>
      <c r="AR13914" s="2513"/>
      <c r="CT13914" s="531"/>
    </row>
    <row r="13915" spans="1:98">
      <c r="A13915" s="532"/>
      <c r="AR13915" s="2513"/>
      <c r="CT13915" s="531"/>
    </row>
    <row r="13916" spans="1:98">
      <c r="A13916" s="532"/>
      <c r="AR13916" s="2513"/>
      <c r="CT13916" s="531"/>
    </row>
    <row r="13917" spans="1:98">
      <c r="A13917" s="532"/>
      <c r="AR13917" s="2513"/>
      <c r="CT13917" s="531"/>
    </row>
    <row r="13918" spans="1:98">
      <c r="A13918" s="532"/>
      <c r="AR13918" s="2513"/>
      <c r="CT13918" s="531"/>
    </row>
    <row r="13919" spans="1:98">
      <c r="A13919" s="532"/>
      <c r="AR13919" s="2513"/>
      <c r="CT13919" s="531"/>
    </row>
    <row r="13920" spans="1:98">
      <c r="A13920" s="532"/>
      <c r="AR13920" s="2513"/>
      <c r="CT13920" s="531"/>
    </row>
    <row r="13921" spans="1:98">
      <c r="A13921" s="532"/>
      <c r="AR13921" s="2513"/>
      <c r="CT13921" s="531"/>
    </row>
    <row r="13922" spans="1:98">
      <c r="A13922" s="532"/>
      <c r="AR13922" s="2513"/>
      <c r="CT13922" s="531"/>
    </row>
    <row r="13923" spans="1:98">
      <c r="A13923" s="532"/>
      <c r="AR13923" s="2513"/>
      <c r="CT13923" s="531"/>
    </row>
    <row r="13924" spans="1:98">
      <c r="A13924" s="532"/>
      <c r="AR13924" s="2513"/>
      <c r="CT13924" s="531"/>
    </row>
    <row r="13925" spans="1:98">
      <c r="A13925" s="532"/>
      <c r="AR13925" s="2513"/>
      <c r="CT13925" s="531"/>
    </row>
    <row r="13926" spans="1:98">
      <c r="A13926" s="532"/>
      <c r="AR13926" s="2513"/>
      <c r="CT13926" s="531"/>
    </row>
    <row r="13927" spans="1:98">
      <c r="A13927" s="532"/>
      <c r="AR13927" s="2513"/>
      <c r="CT13927" s="531"/>
    </row>
    <row r="13928" spans="1:98">
      <c r="A13928" s="532"/>
      <c r="AR13928" s="2513"/>
      <c r="CT13928" s="531"/>
    </row>
    <row r="13929" spans="1:98">
      <c r="A13929" s="532"/>
      <c r="AR13929" s="2513"/>
      <c r="CT13929" s="531"/>
    </row>
    <row r="13930" spans="1:98">
      <c r="A13930" s="532"/>
      <c r="AR13930" s="2513"/>
      <c r="CT13930" s="531"/>
    </row>
    <row r="13931" spans="1:98">
      <c r="A13931" s="532"/>
      <c r="AR13931" s="2513"/>
      <c r="CT13931" s="531"/>
    </row>
    <row r="13932" spans="1:98">
      <c r="A13932" s="532"/>
      <c r="AR13932" s="2513"/>
      <c r="CT13932" s="531"/>
    </row>
    <row r="13933" spans="1:98">
      <c r="A13933" s="532"/>
      <c r="AR13933" s="2513"/>
      <c r="CT13933" s="531"/>
    </row>
    <row r="13934" spans="1:98">
      <c r="A13934" s="532"/>
      <c r="AR13934" s="2513"/>
      <c r="CT13934" s="531"/>
    </row>
    <row r="13935" spans="1:98">
      <c r="A13935" s="532"/>
      <c r="AR13935" s="2513"/>
      <c r="CT13935" s="531"/>
    </row>
    <row r="13936" spans="1:98">
      <c r="A13936" s="532"/>
      <c r="AR13936" s="2513"/>
      <c r="CT13936" s="531"/>
    </row>
    <row r="13937" spans="1:98">
      <c r="A13937" s="532"/>
      <c r="AR13937" s="2513"/>
      <c r="CT13937" s="531"/>
    </row>
    <row r="13938" spans="1:98">
      <c r="A13938" s="532"/>
      <c r="AR13938" s="2513"/>
      <c r="CT13938" s="531"/>
    </row>
    <row r="13939" spans="1:98">
      <c r="A13939" s="532"/>
      <c r="AR13939" s="2513"/>
      <c r="CT13939" s="531"/>
    </row>
    <row r="13940" spans="1:98">
      <c r="A13940" s="532"/>
      <c r="AR13940" s="2513"/>
      <c r="CT13940" s="531"/>
    </row>
    <row r="13941" spans="1:98">
      <c r="A13941" s="532"/>
      <c r="AR13941" s="2513"/>
      <c r="CT13941" s="531"/>
    </row>
    <row r="13942" spans="1:98">
      <c r="A13942" s="532"/>
      <c r="AR13942" s="2513"/>
      <c r="CT13942" s="531"/>
    </row>
    <row r="13943" spans="1:98">
      <c r="A13943" s="532"/>
      <c r="AR13943" s="2513"/>
      <c r="CT13943" s="531"/>
    </row>
    <row r="13944" spans="1:98">
      <c r="A13944" s="532"/>
      <c r="AR13944" s="2513"/>
      <c r="CT13944" s="531"/>
    </row>
    <row r="13945" spans="1:98">
      <c r="A13945" s="532"/>
      <c r="AR13945" s="2513"/>
      <c r="CT13945" s="531"/>
    </row>
    <row r="13946" spans="1:98">
      <c r="A13946" s="532"/>
      <c r="AR13946" s="2513"/>
      <c r="CT13946" s="531"/>
    </row>
    <row r="13947" spans="1:98">
      <c r="A13947" s="532"/>
      <c r="AR13947" s="2513"/>
      <c r="CT13947" s="531"/>
    </row>
    <row r="13948" spans="1:98">
      <c r="A13948" s="532"/>
      <c r="AR13948" s="2513"/>
      <c r="CT13948" s="531"/>
    </row>
    <row r="13949" spans="1:98">
      <c r="A13949" s="532"/>
      <c r="AR13949" s="2513"/>
      <c r="CT13949" s="531"/>
    </row>
    <row r="13950" spans="1:98">
      <c r="A13950" s="532"/>
      <c r="AR13950" s="2513"/>
      <c r="CT13950" s="531"/>
    </row>
    <row r="13951" spans="1:98">
      <c r="A13951" s="532"/>
      <c r="AR13951" s="2513"/>
      <c r="CT13951" s="531"/>
    </row>
    <row r="13952" spans="1:98">
      <c r="A13952" s="532"/>
      <c r="AR13952" s="2513"/>
      <c r="CT13952" s="531"/>
    </row>
    <row r="13953" spans="1:98">
      <c r="A13953" s="532"/>
      <c r="AR13953" s="2513"/>
      <c r="CT13953" s="531"/>
    </row>
    <row r="13954" spans="1:98">
      <c r="A13954" s="532"/>
      <c r="AR13954" s="2513"/>
      <c r="CT13954" s="531"/>
    </row>
    <row r="13955" spans="1:98">
      <c r="A13955" s="532"/>
      <c r="AR13955" s="2513"/>
      <c r="CT13955" s="531"/>
    </row>
    <row r="13956" spans="1:98">
      <c r="A13956" s="532"/>
      <c r="AR13956" s="2513"/>
      <c r="CT13956" s="531"/>
    </row>
    <row r="13957" spans="1:98">
      <c r="A13957" s="532"/>
      <c r="AR13957" s="2513"/>
      <c r="CT13957" s="531"/>
    </row>
    <row r="13958" spans="1:98">
      <c r="A13958" s="532"/>
      <c r="AR13958" s="2513"/>
      <c r="CT13958" s="531"/>
    </row>
    <row r="13959" spans="1:98">
      <c r="A13959" s="532"/>
      <c r="AR13959" s="2513"/>
      <c r="CT13959" s="531"/>
    </row>
    <row r="13960" spans="1:98">
      <c r="A13960" s="532"/>
      <c r="AR13960" s="2513"/>
      <c r="CT13960" s="531"/>
    </row>
    <row r="13961" spans="1:98">
      <c r="A13961" s="532"/>
      <c r="AR13961" s="2513"/>
      <c r="CT13961" s="531"/>
    </row>
    <row r="13962" spans="1:98">
      <c r="A13962" s="532"/>
      <c r="AR13962" s="2513"/>
      <c r="CT13962" s="531"/>
    </row>
    <row r="13963" spans="1:98">
      <c r="A13963" s="532"/>
      <c r="AR13963" s="2513"/>
      <c r="CT13963" s="531"/>
    </row>
    <row r="13964" spans="1:98">
      <c r="A13964" s="532"/>
      <c r="AR13964" s="2513"/>
      <c r="CT13964" s="531"/>
    </row>
    <row r="13965" spans="1:98">
      <c r="A13965" s="532"/>
      <c r="AR13965" s="2513"/>
      <c r="CT13965" s="531"/>
    </row>
    <row r="13966" spans="1:98">
      <c r="A13966" s="532"/>
      <c r="AR13966" s="2513"/>
      <c r="CT13966" s="531"/>
    </row>
    <row r="13967" spans="1:98">
      <c r="A13967" s="532"/>
      <c r="AR13967" s="2513"/>
      <c r="CT13967" s="531"/>
    </row>
    <row r="13968" spans="1:98">
      <c r="A13968" s="532"/>
      <c r="AR13968" s="2513"/>
      <c r="CT13968" s="531"/>
    </row>
    <row r="13969" spans="1:98">
      <c r="A13969" s="532"/>
      <c r="AR13969" s="2513"/>
      <c r="CT13969" s="531"/>
    </row>
    <row r="13970" spans="1:98">
      <c r="A13970" s="532"/>
      <c r="AR13970" s="2513"/>
      <c r="CT13970" s="531"/>
    </row>
    <row r="13971" spans="1:98">
      <c r="A13971" s="532"/>
      <c r="AR13971" s="2513"/>
      <c r="CT13971" s="531"/>
    </row>
    <row r="13972" spans="1:98">
      <c r="A13972" s="532"/>
      <c r="AR13972" s="2513"/>
      <c r="CT13972" s="531"/>
    </row>
    <row r="13973" spans="1:98">
      <c r="A13973" s="532"/>
      <c r="AR13973" s="2513"/>
      <c r="CT13973" s="531"/>
    </row>
    <row r="13974" spans="1:98">
      <c r="A13974" s="532"/>
      <c r="AR13974" s="2513"/>
      <c r="CT13974" s="531"/>
    </row>
    <row r="13975" spans="1:98">
      <c r="A13975" s="532"/>
      <c r="AR13975" s="2513"/>
      <c r="CT13975" s="531"/>
    </row>
    <row r="13976" spans="1:98">
      <c r="A13976" s="532"/>
      <c r="AR13976" s="2513"/>
      <c r="CT13976" s="531"/>
    </row>
    <row r="13977" spans="1:98">
      <c r="A13977" s="532"/>
      <c r="AR13977" s="2513"/>
      <c r="CT13977" s="531"/>
    </row>
    <row r="13978" spans="1:98">
      <c r="A13978" s="532"/>
      <c r="AR13978" s="2513"/>
      <c r="CT13978" s="531"/>
    </row>
    <row r="13979" spans="1:98">
      <c r="A13979" s="532"/>
      <c r="AR13979" s="2513"/>
      <c r="CT13979" s="531"/>
    </row>
    <row r="13980" spans="1:98">
      <c r="A13980" s="532"/>
      <c r="AR13980" s="2513"/>
      <c r="CT13980" s="531"/>
    </row>
    <row r="13981" spans="1:98">
      <c r="A13981" s="532"/>
      <c r="AR13981" s="2513"/>
      <c r="CT13981" s="531"/>
    </row>
    <row r="13982" spans="1:98">
      <c r="A13982" s="532"/>
      <c r="AR13982" s="2513"/>
      <c r="CT13982" s="531"/>
    </row>
    <row r="13983" spans="1:98">
      <c r="A13983" s="532"/>
      <c r="AR13983" s="2513"/>
      <c r="CT13983" s="531"/>
    </row>
    <row r="13984" spans="1:98">
      <c r="A13984" s="532"/>
      <c r="AR13984" s="2513"/>
      <c r="CT13984" s="531"/>
    </row>
    <row r="13985" spans="1:98">
      <c r="A13985" s="532"/>
      <c r="AR13985" s="2513"/>
      <c r="CT13985" s="531"/>
    </row>
    <row r="13986" spans="1:98">
      <c r="A13986" s="532"/>
      <c r="AR13986" s="2513"/>
      <c r="CT13986" s="531"/>
    </row>
    <row r="13987" spans="1:98">
      <c r="A13987" s="532"/>
      <c r="AR13987" s="2513"/>
      <c r="CT13987" s="531"/>
    </row>
    <row r="13988" spans="1:98">
      <c r="A13988" s="532"/>
      <c r="AR13988" s="2513"/>
      <c r="CT13988" s="531"/>
    </row>
    <row r="13989" spans="1:98">
      <c r="A13989" s="532"/>
      <c r="AR13989" s="2513"/>
      <c r="CT13989" s="531"/>
    </row>
    <row r="13990" spans="1:98">
      <c r="A13990" s="532"/>
      <c r="AR13990" s="2513"/>
      <c r="CT13990" s="531"/>
    </row>
    <row r="13991" spans="1:98">
      <c r="A13991" s="532"/>
      <c r="AR13991" s="2513"/>
      <c r="CT13991" s="531"/>
    </row>
    <row r="13992" spans="1:98">
      <c r="A13992" s="532"/>
      <c r="AR13992" s="2513"/>
      <c r="CT13992" s="531"/>
    </row>
    <row r="13993" spans="1:98">
      <c r="A13993" s="532"/>
      <c r="AR13993" s="2513"/>
      <c r="CT13993" s="531"/>
    </row>
    <row r="13994" spans="1:98">
      <c r="A13994" s="532"/>
      <c r="AR13994" s="2513"/>
      <c r="CT13994" s="531"/>
    </row>
    <row r="13995" spans="1:98">
      <c r="A13995" s="532"/>
      <c r="AR13995" s="2513"/>
      <c r="CT13995" s="531"/>
    </row>
    <row r="13996" spans="1:98">
      <c r="A13996" s="532"/>
      <c r="AR13996" s="2513"/>
      <c r="CT13996" s="531"/>
    </row>
    <row r="13997" spans="1:98">
      <c r="A13997" s="532"/>
      <c r="AR13997" s="2513"/>
      <c r="CT13997" s="531"/>
    </row>
    <row r="13998" spans="1:98">
      <c r="A13998" s="532"/>
      <c r="AR13998" s="2513"/>
      <c r="CT13998" s="531"/>
    </row>
    <row r="13999" spans="1:98">
      <c r="A13999" s="532"/>
      <c r="AR13999" s="2513"/>
      <c r="CT13999" s="531"/>
    </row>
    <row r="14000" spans="1:98">
      <c r="A14000" s="532"/>
      <c r="AR14000" s="2513"/>
      <c r="CT14000" s="531"/>
    </row>
    <row r="14001" spans="1:98">
      <c r="A14001" s="532"/>
      <c r="AR14001" s="2513"/>
      <c r="CT14001" s="531"/>
    </row>
    <row r="14002" spans="1:98">
      <c r="A14002" s="532"/>
      <c r="AR14002" s="2513"/>
      <c r="CT14002" s="531"/>
    </row>
    <row r="14003" spans="1:98">
      <c r="A14003" s="532"/>
      <c r="AR14003" s="2513"/>
      <c r="CT14003" s="531"/>
    </row>
    <row r="14004" spans="1:98">
      <c r="A14004" s="532"/>
      <c r="AR14004" s="2513"/>
      <c r="CT14004" s="531"/>
    </row>
    <row r="14005" spans="1:98">
      <c r="A14005" s="532"/>
      <c r="AR14005" s="2513"/>
      <c r="CT14005" s="531"/>
    </row>
    <row r="14006" spans="1:98">
      <c r="A14006" s="532"/>
      <c r="AR14006" s="2513"/>
      <c r="CT14006" s="531"/>
    </row>
    <row r="14007" spans="1:98">
      <c r="A14007" s="532"/>
      <c r="AR14007" s="2513"/>
      <c r="CT14007" s="531"/>
    </row>
    <row r="14008" spans="1:98">
      <c r="A14008" s="532"/>
      <c r="AR14008" s="2513"/>
      <c r="CT14008" s="531"/>
    </row>
    <row r="14009" spans="1:98">
      <c r="A14009" s="532"/>
      <c r="AR14009" s="2513"/>
      <c r="CT14009" s="531"/>
    </row>
    <row r="14010" spans="1:98">
      <c r="A14010" s="532"/>
      <c r="AR14010" s="2513"/>
      <c r="CT14010" s="531"/>
    </row>
    <row r="14011" spans="1:98">
      <c r="A14011" s="532"/>
      <c r="AR14011" s="2513"/>
      <c r="CT14011" s="531"/>
    </row>
    <row r="14012" spans="1:98">
      <c r="A14012" s="532"/>
      <c r="AR14012" s="2513"/>
      <c r="CT14012" s="531"/>
    </row>
    <row r="14013" spans="1:98">
      <c r="A14013" s="532"/>
      <c r="AR14013" s="2513"/>
      <c r="CT14013" s="531"/>
    </row>
    <row r="14014" spans="1:98">
      <c r="A14014" s="532"/>
      <c r="AR14014" s="2513"/>
      <c r="CT14014" s="531"/>
    </row>
    <row r="14015" spans="1:98">
      <c r="A14015" s="532"/>
      <c r="AR14015" s="2513"/>
      <c r="CT14015" s="531"/>
    </row>
    <row r="14016" spans="1:98">
      <c r="A14016" s="532"/>
      <c r="AR14016" s="2513"/>
      <c r="CT14016" s="531"/>
    </row>
    <row r="14017" spans="1:98">
      <c r="A14017" s="532"/>
      <c r="AR14017" s="2513"/>
      <c r="CT14017" s="531"/>
    </row>
    <row r="14018" spans="1:98">
      <c r="A14018" s="532"/>
      <c r="AR14018" s="2513"/>
      <c r="CT14018" s="531"/>
    </row>
    <row r="14019" spans="1:98">
      <c r="A14019" s="532"/>
      <c r="AR14019" s="2513"/>
      <c r="CT14019" s="531"/>
    </row>
    <row r="14020" spans="1:98">
      <c r="A14020" s="532"/>
      <c r="AR14020" s="2513"/>
      <c r="CT14020" s="531"/>
    </row>
    <row r="14021" spans="1:98">
      <c r="A14021" s="532"/>
      <c r="AR14021" s="2513"/>
      <c r="CT14021" s="531"/>
    </row>
    <row r="14022" spans="1:98">
      <c r="A14022" s="532"/>
      <c r="AR14022" s="2513"/>
      <c r="CT14022" s="531"/>
    </row>
    <row r="14023" spans="1:98">
      <c r="A14023" s="532"/>
      <c r="AR14023" s="2513"/>
      <c r="CT14023" s="531"/>
    </row>
    <row r="14024" spans="1:98">
      <c r="A14024" s="532"/>
      <c r="AR14024" s="2513"/>
      <c r="CT14024" s="531"/>
    </row>
    <row r="14025" spans="1:98">
      <c r="A14025" s="532"/>
      <c r="AR14025" s="2513"/>
      <c r="CT14025" s="531"/>
    </row>
    <row r="14026" spans="1:98">
      <c r="A14026" s="532"/>
      <c r="AR14026" s="2513"/>
      <c r="CT14026" s="531"/>
    </row>
    <row r="14027" spans="1:98">
      <c r="A14027" s="532"/>
      <c r="AR14027" s="2513"/>
      <c r="CT14027" s="531"/>
    </row>
    <row r="14028" spans="1:98">
      <c r="A14028" s="532"/>
      <c r="AR14028" s="2513"/>
      <c r="CT14028" s="531"/>
    </row>
    <row r="14029" spans="1:98">
      <c r="A14029" s="532"/>
      <c r="AR14029" s="2513"/>
      <c r="CT14029" s="531"/>
    </row>
    <row r="14030" spans="1:98">
      <c r="A14030" s="532"/>
      <c r="AR14030" s="2513"/>
      <c r="CT14030" s="531"/>
    </row>
    <row r="14031" spans="1:98">
      <c r="A14031" s="532"/>
      <c r="AR14031" s="2513"/>
      <c r="CT14031" s="531"/>
    </row>
    <row r="14032" spans="1:98">
      <c r="A14032" s="532"/>
      <c r="AR14032" s="2513"/>
      <c r="CT14032" s="531"/>
    </row>
    <row r="14033" spans="1:98">
      <c r="A14033" s="532"/>
      <c r="AR14033" s="2513"/>
      <c r="CT14033" s="531"/>
    </row>
    <row r="14034" spans="1:98">
      <c r="A14034" s="532"/>
      <c r="AR14034" s="2513"/>
      <c r="CT14034" s="531"/>
    </row>
    <row r="14035" spans="1:98">
      <c r="A14035" s="532"/>
      <c r="AR14035" s="2513"/>
      <c r="CT14035" s="531"/>
    </row>
    <row r="14036" spans="1:98">
      <c r="A14036" s="532"/>
      <c r="AR14036" s="2513"/>
      <c r="CT14036" s="531"/>
    </row>
    <row r="14037" spans="1:98">
      <c r="A14037" s="532"/>
      <c r="AR14037" s="2513"/>
      <c r="CT14037" s="531"/>
    </row>
    <row r="14038" spans="1:98">
      <c r="A14038" s="532"/>
      <c r="AR14038" s="2513"/>
      <c r="CT14038" s="531"/>
    </row>
    <row r="14039" spans="1:98">
      <c r="A14039" s="532"/>
      <c r="AR14039" s="2513"/>
      <c r="CT14039" s="531"/>
    </row>
    <row r="14040" spans="1:98">
      <c r="A14040" s="532"/>
      <c r="AR14040" s="2513"/>
      <c r="CT14040" s="531"/>
    </row>
    <row r="14041" spans="1:98">
      <c r="A14041" s="532"/>
      <c r="AR14041" s="2513"/>
      <c r="CT14041" s="531"/>
    </row>
    <row r="14042" spans="1:98">
      <c r="A14042" s="532"/>
      <c r="AR14042" s="2513"/>
      <c r="CT14042" s="531"/>
    </row>
    <row r="14043" spans="1:98">
      <c r="A14043" s="532"/>
      <c r="AR14043" s="2513"/>
      <c r="CT14043" s="531"/>
    </row>
    <row r="14044" spans="1:98">
      <c r="A14044" s="532"/>
      <c r="AR14044" s="2513"/>
      <c r="CT14044" s="531"/>
    </row>
    <row r="14045" spans="1:98">
      <c r="A14045" s="532"/>
      <c r="AR14045" s="2513"/>
      <c r="CT14045" s="531"/>
    </row>
    <row r="14046" spans="1:98">
      <c r="A14046" s="532"/>
      <c r="AR14046" s="2513"/>
      <c r="CT14046" s="531"/>
    </row>
    <row r="14047" spans="1:98">
      <c r="A14047" s="532"/>
      <c r="AR14047" s="2513"/>
      <c r="CT14047" s="531"/>
    </row>
    <row r="14048" spans="1:98">
      <c r="A14048" s="532"/>
      <c r="AR14048" s="2513"/>
      <c r="CT14048" s="531"/>
    </row>
    <row r="14049" spans="1:98">
      <c r="A14049" s="532"/>
      <c r="AR14049" s="2513"/>
      <c r="CT14049" s="531"/>
    </row>
    <row r="14050" spans="1:98">
      <c r="A14050" s="532"/>
      <c r="AR14050" s="2513"/>
      <c r="CT14050" s="531"/>
    </row>
    <row r="14051" spans="1:98">
      <c r="A14051" s="532"/>
      <c r="AR14051" s="2513"/>
      <c r="CT14051" s="531"/>
    </row>
    <row r="14052" spans="1:98">
      <c r="A14052" s="532"/>
      <c r="AR14052" s="2513"/>
      <c r="CT14052" s="531"/>
    </row>
    <row r="14053" spans="1:98">
      <c r="A14053" s="532"/>
      <c r="AR14053" s="2513"/>
      <c r="CT14053" s="531"/>
    </row>
    <row r="14054" spans="1:98">
      <c r="A14054" s="532"/>
      <c r="AR14054" s="2513"/>
      <c r="CT14054" s="531"/>
    </row>
    <row r="14055" spans="1:98">
      <c r="A14055" s="532"/>
      <c r="AR14055" s="2513"/>
      <c r="CT14055" s="531"/>
    </row>
    <row r="14056" spans="1:98">
      <c r="A14056" s="532"/>
      <c r="AR14056" s="2513"/>
      <c r="CT14056" s="531"/>
    </row>
    <row r="14057" spans="1:98">
      <c r="A14057" s="532"/>
      <c r="AR14057" s="2513"/>
      <c r="CT14057" s="531"/>
    </row>
    <row r="14058" spans="1:98">
      <c r="A14058" s="532"/>
      <c r="AR14058" s="2513"/>
      <c r="CT14058" s="531"/>
    </row>
    <row r="14059" spans="1:98">
      <c r="A14059" s="532"/>
      <c r="AR14059" s="2513"/>
      <c r="CT14059" s="531"/>
    </row>
    <row r="14060" spans="1:98">
      <c r="A14060" s="532"/>
      <c r="AR14060" s="2513"/>
      <c r="CT14060" s="531"/>
    </row>
    <row r="14061" spans="1:98">
      <c r="A14061" s="532"/>
      <c r="AR14061" s="2513"/>
      <c r="CT14061" s="531"/>
    </row>
    <row r="14062" spans="1:98">
      <c r="A14062" s="532"/>
      <c r="AR14062" s="2513"/>
      <c r="CT14062" s="531"/>
    </row>
    <row r="14063" spans="1:98">
      <c r="A14063" s="532"/>
      <c r="AR14063" s="2513"/>
      <c r="CT14063" s="531"/>
    </row>
    <row r="14064" spans="1:98">
      <c r="A14064" s="532"/>
      <c r="AR14064" s="2513"/>
      <c r="CT14064" s="531"/>
    </row>
    <row r="14065" spans="1:98">
      <c r="A14065" s="532"/>
      <c r="AR14065" s="2513"/>
      <c r="CT14065" s="531"/>
    </row>
    <row r="14066" spans="1:98">
      <c r="A14066" s="532"/>
      <c r="AR14066" s="2513"/>
      <c r="CT14066" s="531"/>
    </row>
    <row r="14067" spans="1:98">
      <c r="A14067" s="532"/>
      <c r="AR14067" s="2513"/>
      <c r="CT14067" s="531"/>
    </row>
    <row r="14068" spans="1:98">
      <c r="A14068" s="532"/>
      <c r="AR14068" s="2513"/>
      <c r="CT14068" s="531"/>
    </row>
    <row r="14069" spans="1:98">
      <c r="A14069" s="532"/>
      <c r="AR14069" s="2513"/>
      <c r="CT14069" s="531"/>
    </row>
    <row r="14070" spans="1:98">
      <c r="A14070" s="532"/>
      <c r="AR14070" s="2513"/>
      <c r="CT14070" s="531"/>
    </row>
    <row r="14071" spans="1:98">
      <c r="A14071" s="532"/>
      <c r="AR14071" s="2513"/>
      <c r="CT14071" s="531"/>
    </row>
    <row r="14072" spans="1:98">
      <c r="A14072" s="532"/>
      <c r="AR14072" s="2513"/>
      <c r="CT14072" s="531"/>
    </row>
    <row r="14073" spans="1:98">
      <c r="A14073" s="532"/>
      <c r="AR14073" s="2513"/>
      <c r="CT14073" s="531"/>
    </row>
    <row r="14074" spans="1:98">
      <c r="A14074" s="532"/>
      <c r="AR14074" s="2513"/>
      <c r="CT14074" s="531"/>
    </row>
    <row r="14075" spans="1:98">
      <c r="A14075" s="532"/>
      <c r="AR14075" s="2513"/>
      <c r="CT14075" s="531"/>
    </row>
    <row r="14076" spans="1:98">
      <c r="A14076" s="532"/>
      <c r="AR14076" s="2513"/>
      <c r="CT14076" s="531"/>
    </row>
    <row r="14077" spans="1:98">
      <c r="A14077" s="532"/>
      <c r="AR14077" s="2513"/>
      <c r="CT14077" s="531"/>
    </row>
    <row r="14078" spans="1:98">
      <c r="A14078" s="532"/>
      <c r="AR14078" s="2513"/>
      <c r="CT14078" s="531"/>
    </row>
    <row r="14079" spans="1:98">
      <c r="A14079" s="532"/>
      <c r="AR14079" s="2513"/>
      <c r="CT14079" s="531"/>
    </row>
    <row r="14080" spans="1:98">
      <c r="A14080" s="532"/>
      <c r="AR14080" s="2513"/>
      <c r="CT14080" s="531"/>
    </row>
    <row r="14081" spans="1:98">
      <c r="A14081" s="532"/>
      <c r="AR14081" s="2513"/>
      <c r="CT14081" s="531"/>
    </row>
    <row r="14082" spans="1:98">
      <c r="A14082" s="532"/>
      <c r="AR14082" s="2513"/>
      <c r="CT14082" s="531"/>
    </row>
    <row r="14083" spans="1:98">
      <c r="A14083" s="532"/>
      <c r="AR14083" s="2513"/>
      <c r="CT14083" s="531"/>
    </row>
    <row r="14084" spans="1:98">
      <c r="A14084" s="532"/>
      <c r="AR14084" s="2513"/>
      <c r="CT14084" s="531"/>
    </row>
    <row r="14085" spans="1:98">
      <c r="A14085" s="532"/>
      <c r="AR14085" s="2513"/>
      <c r="CT14085" s="531"/>
    </row>
    <row r="14086" spans="1:98">
      <c r="A14086" s="532"/>
      <c r="AR14086" s="2513"/>
      <c r="CT14086" s="531"/>
    </row>
    <row r="14087" spans="1:98">
      <c r="A14087" s="532"/>
      <c r="AR14087" s="2513"/>
      <c r="CT14087" s="531"/>
    </row>
    <row r="14088" spans="1:98">
      <c r="A14088" s="532"/>
      <c r="AR14088" s="2513"/>
      <c r="CT14088" s="531"/>
    </row>
    <row r="14089" spans="1:98">
      <c r="A14089" s="532"/>
      <c r="AR14089" s="2513"/>
      <c r="CT14089" s="531"/>
    </row>
    <row r="14090" spans="1:98">
      <c r="A14090" s="532"/>
      <c r="AR14090" s="2513"/>
      <c r="CT14090" s="531"/>
    </row>
    <row r="14091" spans="1:98">
      <c r="A14091" s="532"/>
      <c r="AR14091" s="2513"/>
      <c r="CT14091" s="531"/>
    </row>
    <row r="14092" spans="1:98">
      <c r="A14092" s="532"/>
      <c r="AR14092" s="2513"/>
      <c r="CT14092" s="531"/>
    </row>
    <row r="14093" spans="1:98">
      <c r="A14093" s="532"/>
      <c r="AR14093" s="2513"/>
      <c r="CT14093" s="531"/>
    </row>
    <row r="14094" spans="1:98">
      <c r="A14094" s="532"/>
      <c r="AR14094" s="2513"/>
      <c r="CT14094" s="531"/>
    </row>
    <row r="14095" spans="1:98">
      <c r="A14095" s="532"/>
      <c r="AR14095" s="2513"/>
      <c r="CT14095" s="531"/>
    </row>
    <row r="14096" spans="1:98">
      <c r="A14096" s="532"/>
      <c r="AR14096" s="2513"/>
      <c r="CT14096" s="531"/>
    </row>
    <row r="14097" spans="1:98">
      <c r="A14097" s="532"/>
      <c r="AR14097" s="2513"/>
      <c r="CT14097" s="531"/>
    </row>
    <row r="14098" spans="1:98">
      <c r="A14098" s="532"/>
      <c r="AR14098" s="2513"/>
      <c r="CT14098" s="531"/>
    </row>
    <row r="14099" spans="1:98">
      <c r="A14099" s="532"/>
      <c r="AR14099" s="2513"/>
      <c r="CT14099" s="531"/>
    </row>
    <row r="14100" spans="1:98">
      <c r="A14100" s="532"/>
      <c r="AR14100" s="2513"/>
      <c r="CT14100" s="531"/>
    </row>
    <row r="14101" spans="1:98">
      <c r="A14101" s="532"/>
      <c r="AR14101" s="2513"/>
      <c r="CT14101" s="531"/>
    </row>
    <row r="14102" spans="1:98">
      <c r="A14102" s="532"/>
      <c r="AR14102" s="2513"/>
      <c r="CT14102" s="531"/>
    </row>
    <row r="14103" spans="1:98">
      <c r="A14103" s="532"/>
      <c r="AR14103" s="2513"/>
      <c r="CT14103" s="531"/>
    </row>
    <row r="14104" spans="1:98">
      <c r="A14104" s="532"/>
      <c r="AR14104" s="2513"/>
      <c r="CT14104" s="531"/>
    </row>
    <row r="14105" spans="1:98">
      <c r="A14105" s="532"/>
      <c r="AR14105" s="2513"/>
      <c r="CT14105" s="531"/>
    </row>
    <row r="14106" spans="1:98">
      <c r="A14106" s="532"/>
      <c r="AR14106" s="2513"/>
      <c r="CT14106" s="531"/>
    </row>
    <row r="14107" spans="1:98">
      <c r="A14107" s="532"/>
      <c r="AR14107" s="2513"/>
      <c r="CT14107" s="531"/>
    </row>
    <row r="14108" spans="1:98">
      <c r="A14108" s="532"/>
      <c r="AR14108" s="2513"/>
      <c r="CT14108" s="531"/>
    </row>
    <row r="14109" spans="1:98">
      <c r="A14109" s="532"/>
      <c r="AR14109" s="2513"/>
      <c r="CT14109" s="531"/>
    </row>
    <row r="14110" spans="1:98">
      <c r="A14110" s="532"/>
      <c r="AR14110" s="2513"/>
      <c r="CT14110" s="531"/>
    </row>
    <row r="14111" spans="1:98">
      <c r="A14111" s="532"/>
      <c r="AR14111" s="2513"/>
      <c r="CT14111" s="531"/>
    </row>
    <row r="14112" spans="1:98">
      <c r="A14112" s="532"/>
      <c r="AR14112" s="2513"/>
      <c r="CT14112" s="531"/>
    </row>
    <row r="14113" spans="1:98">
      <c r="A14113" s="532"/>
      <c r="AR14113" s="2513"/>
      <c r="CT14113" s="531"/>
    </row>
    <row r="14114" spans="1:98">
      <c r="A14114" s="532"/>
      <c r="AR14114" s="2513"/>
      <c r="CT14114" s="531"/>
    </row>
    <row r="14115" spans="1:98">
      <c r="A14115" s="532"/>
      <c r="AR14115" s="2513"/>
      <c r="CT14115" s="531"/>
    </row>
    <row r="14116" spans="1:98">
      <c r="A14116" s="532"/>
      <c r="AR14116" s="2513"/>
      <c r="CT14116" s="531"/>
    </row>
    <row r="14117" spans="1:98">
      <c r="A14117" s="532"/>
      <c r="AR14117" s="2513"/>
      <c r="CT14117" s="531"/>
    </row>
    <row r="14118" spans="1:98">
      <c r="A14118" s="532"/>
      <c r="AR14118" s="2513"/>
      <c r="CT14118" s="531"/>
    </row>
    <row r="14119" spans="1:98">
      <c r="A14119" s="532"/>
      <c r="AR14119" s="2513"/>
      <c r="CT14119" s="531"/>
    </row>
    <row r="14120" spans="1:98">
      <c r="A14120" s="532"/>
      <c r="AR14120" s="2513"/>
      <c r="CT14120" s="531"/>
    </row>
    <row r="14121" spans="1:98">
      <c r="A14121" s="532"/>
      <c r="AR14121" s="2513"/>
      <c r="CT14121" s="531"/>
    </row>
    <row r="14122" spans="1:98">
      <c r="A14122" s="532"/>
      <c r="AR14122" s="2513"/>
      <c r="CT14122" s="531"/>
    </row>
    <row r="14123" spans="1:98">
      <c r="A14123" s="532"/>
      <c r="AR14123" s="2513"/>
      <c r="CT14123" s="531"/>
    </row>
    <row r="14124" spans="1:98">
      <c r="A14124" s="532"/>
      <c r="AR14124" s="2513"/>
      <c r="CT14124" s="531"/>
    </row>
    <row r="14125" spans="1:98">
      <c r="A14125" s="532"/>
      <c r="AR14125" s="2513"/>
      <c r="CT14125" s="531"/>
    </row>
    <row r="14126" spans="1:98">
      <c r="A14126" s="532"/>
      <c r="AR14126" s="2513"/>
      <c r="CT14126" s="531"/>
    </row>
    <row r="14127" spans="1:98">
      <c r="A14127" s="532"/>
      <c r="AR14127" s="2513"/>
      <c r="CT14127" s="531"/>
    </row>
    <row r="14128" spans="1:98">
      <c r="A14128" s="532"/>
      <c r="AR14128" s="2513"/>
      <c r="CT14128" s="531"/>
    </row>
    <row r="14129" spans="1:98">
      <c r="A14129" s="532"/>
      <c r="AR14129" s="2513"/>
      <c r="CT14129" s="531"/>
    </row>
    <row r="14130" spans="1:98">
      <c r="A14130" s="532"/>
      <c r="AR14130" s="2513"/>
      <c r="CT14130" s="531"/>
    </row>
    <row r="14131" spans="1:98">
      <c r="A14131" s="532"/>
      <c r="AR14131" s="2513"/>
      <c r="CT14131" s="531"/>
    </row>
    <row r="14132" spans="1:98">
      <c r="A14132" s="532"/>
      <c r="AR14132" s="2513"/>
      <c r="CT14132" s="531"/>
    </row>
    <row r="14133" spans="1:98">
      <c r="A14133" s="532"/>
      <c r="AR14133" s="2513"/>
      <c r="CT14133" s="531"/>
    </row>
    <row r="14134" spans="1:98">
      <c r="A14134" s="532"/>
      <c r="AR14134" s="2513"/>
      <c r="CT14134" s="531"/>
    </row>
    <row r="14135" spans="1:98">
      <c r="A14135" s="532"/>
      <c r="AR14135" s="2513"/>
      <c r="CT14135" s="531"/>
    </row>
    <row r="14136" spans="1:98">
      <c r="A14136" s="532"/>
      <c r="AR14136" s="2513"/>
      <c r="CT14136" s="531"/>
    </row>
    <row r="14137" spans="1:98">
      <c r="A14137" s="532"/>
      <c r="AR14137" s="2513"/>
      <c r="CT14137" s="531"/>
    </row>
    <row r="14138" spans="1:98">
      <c r="A14138" s="532"/>
      <c r="AR14138" s="2513"/>
      <c r="CT14138" s="531"/>
    </row>
    <row r="14139" spans="1:98">
      <c r="A14139" s="532"/>
      <c r="AR14139" s="2513"/>
      <c r="CT14139" s="531"/>
    </row>
    <row r="14140" spans="1:98">
      <c r="A14140" s="532"/>
      <c r="AR14140" s="2513"/>
      <c r="CT14140" s="531"/>
    </row>
    <row r="14141" spans="1:98">
      <c r="A14141" s="532"/>
      <c r="AR14141" s="2513"/>
      <c r="CT14141" s="531"/>
    </row>
    <row r="14142" spans="1:98">
      <c r="A14142" s="532"/>
      <c r="AR14142" s="2513"/>
      <c r="CT14142" s="531"/>
    </row>
    <row r="14143" spans="1:98">
      <c r="A14143" s="532"/>
      <c r="AR14143" s="2513"/>
      <c r="CT14143" s="531"/>
    </row>
    <row r="14144" spans="1:98">
      <c r="A14144" s="532"/>
      <c r="AR14144" s="2513"/>
      <c r="CT14144" s="531"/>
    </row>
    <row r="14145" spans="1:98">
      <c r="A14145" s="532"/>
      <c r="AR14145" s="2513"/>
      <c r="CT14145" s="531"/>
    </row>
    <row r="14146" spans="1:98">
      <c r="A14146" s="532"/>
      <c r="AR14146" s="2513"/>
      <c r="CT14146" s="531"/>
    </row>
    <row r="14147" spans="1:98">
      <c r="A14147" s="532"/>
      <c r="AR14147" s="2513"/>
      <c r="CT14147" s="531"/>
    </row>
    <row r="14148" spans="1:98">
      <c r="A14148" s="532"/>
      <c r="AR14148" s="2513"/>
      <c r="CT14148" s="531"/>
    </row>
    <row r="14149" spans="1:98">
      <c r="A14149" s="532"/>
      <c r="AR14149" s="2513"/>
      <c r="CT14149" s="531"/>
    </row>
    <row r="14150" spans="1:98">
      <c r="A14150" s="532"/>
      <c r="AR14150" s="2513"/>
      <c r="CT14150" s="531"/>
    </row>
    <row r="14151" spans="1:98">
      <c r="A14151" s="532"/>
      <c r="AR14151" s="2513"/>
      <c r="CT14151" s="531"/>
    </row>
    <row r="14152" spans="1:98">
      <c r="A14152" s="532"/>
      <c r="AR14152" s="2513"/>
      <c r="CT14152" s="531"/>
    </row>
    <row r="14153" spans="1:98">
      <c r="A14153" s="532"/>
      <c r="AR14153" s="2513"/>
      <c r="CT14153" s="531"/>
    </row>
    <row r="14154" spans="1:98">
      <c r="A14154" s="532"/>
      <c r="AR14154" s="2513"/>
      <c r="CT14154" s="531"/>
    </row>
    <row r="14155" spans="1:98">
      <c r="A14155" s="532"/>
      <c r="AR14155" s="2513"/>
      <c r="CT14155" s="531"/>
    </row>
    <row r="14156" spans="1:98">
      <c r="A14156" s="532"/>
      <c r="AR14156" s="2513"/>
      <c r="CT14156" s="531"/>
    </row>
    <row r="14157" spans="1:98">
      <c r="A14157" s="532"/>
      <c r="AR14157" s="2513"/>
      <c r="CT14157" s="531"/>
    </row>
    <row r="14158" spans="1:98">
      <c r="A14158" s="532"/>
      <c r="AR14158" s="2513"/>
      <c r="CT14158" s="531"/>
    </row>
    <row r="14159" spans="1:98">
      <c r="A14159" s="532"/>
      <c r="AR14159" s="2513"/>
      <c r="CT14159" s="531"/>
    </row>
    <row r="14160" spans="1:98">
      <c r="A14160" s="532"/>
      <c r="AR14160" s="2513"/>
      <c r="CT14160" s="531"/>
    </row>
    <row r="14161" spans="1:98">
      <c r="A14161" s="532"/>
      <c r="AR14161" s="2513"/>
      <c r="CT14161" s="531"/>
    </row>
    <row r="14162" spans="1:98">
      <c r="A14162" s="532"/>
      <c r="AR14162" s="2513"/>
      <c r="CT14162" s="531"/>
    </row>
    <row r="14163" spans="1:98">
      <c r="A14163" s="532"/>
      <c r="AR14163" s="2513"/>
      <c r="CT14163" s="531"/>
    </row>
    <row r="14164" spans="1:98">
      <c r="A14164" s="532"/>
      <c r="AR14164" s="2513"/>
      <c r="CT14164" s="531"/>
    </row>
    <row r="14165" spans="1:98">
      <c r="A14165" s="532"/>
      <c r="AR14165" s="2513"/>
      <c r="CT14165" s="531"/>
    </row>
    <row r="14166" spans="1:98">
      <c r="A14166" s="532"/>
      <c r="AR14166" s="2513"/>
      <c r="CT14166" s="531"/>
    </row>
    <row r="14167" spans="1:98">
      <c r="A14167" s="532"/>
      <c r="AR14167" s="2513"/>
      <c r="CT14167" s="531"/>
    </row>
    <row r="14168" spans="1:98">
      <c r="A14168" s="532"/>
      <c r="AR14168" s="2513"/>
      <c r="CT14168" s="531"/>
    </row>
    <row r="14169" spans="1:98">
      <c r="A14169" s="532"/>
      <c r="AR14169" s="2513"/>
      <c r="CT14169" s="531"/>
    </row>
    <row r="14170" spans="1:98">
      <c r="A14170" s="532"/>
      <c r="AR14170" s="2513"/>
      <c r="CT14170" s="531"/>
    </row>
    <row r="14171" spans="1:98">
      <c r="A14171" s="532"/>
      <c r="AR14171" s="2513"/>
      <c r="CT14171" s="531"/>
    </row>
    <row r="14172" spans="1:98">
      <c r="A14172" s="532"/>
      <c r="AR14172" s="2513"/>
      <c r="CT14172" s="531"/>
    </row>
    <row r="14173" spans="1:98">
      <c r="A14173" s="532"/>
      <c r="AR14173" s="2513"/>
      <c r="CT14173" s="531"/>
    </row>
    <row r="14174" spans="1:98">
      <c r="A14174" s="532"/>
      <c r="AR14174" s="2513"/>
      <c r="CT14174" s="531"/>
    </row>
    <row r="14175" spans="1:98">
      <c r="A14175" s="532"/>
      <c r="AR14175" s="2513"/>
      <c r="CT14175" s="531"/>
    </row>
    <row r="14176" spans="1:98">
      <c r="A14176" s="532"/>
      <c r="AR14176" s="2513"/>
      <c r="CT14176" s="531"/>
    </row>
    <row r="14177" spans="1:98">
      <c r="A14177" s="532"/>
      <c r="AR14177" s="2513"/>
      <c r="CT14177" s="531"/>
    </row>
    <row r="14178" spans="1:98">
      <c r="A14178" s="532"/>
      <c r="AR14178" s="2513"/>
      <c r="CT14178" s="531"/>
    </row>
    <row r="14179" spans="1:98">
      <c r="A14179" s="532"/>
      <c r="AR14179" s="2513"/>
      <c r="CT14179" s="531"/>
    </row>
    <row r="14180" spans="1:98">
      <c r="A14180" s="532"/>
      <c r="AR14180" s="2513"/>
      <c r="CT14180" s="531"/>
    </row>
    <row r="14181" spans="1:98">
      <c r="A14181" s="532"/>
      <c r="AR14181" s="2513"/>
      <c r="CT14181" s="531"/>
    </row>
    <row r="14182" spans="1:98">
      <c r="A14182" s="532"/>
      <c r="AR14182" s="2513"/>
      <c r="CT14182" s="531"/>
    </row>
    <row r="14183" spans="1:98">
      <c r="A14183" s="532"/>
      <c r="AR14183" s="2513"/>
      <c r="CT14183" s="531"/>
    </row>
    <row r="14184" spans="1:98">
      <c r="A14184" s="532"/>
      <c r="AR14184" s="2513"/>
      <c r="CT14184" s="531"/>
    </row>
    <row r="14185" spans="1:98">
      <c r="A14185" s="532"/>
      <c r="AR14185" s="2513"/>
      <c r="CT14185" s="531"/>
    </row>
    <row r="14186" spans="1:98">
      <c r="A14186" s="532"/>
      <c r="AR14186" s="2513"/>
      <c r="CT14186" s="531"/>
    </row>
    <row r="14187" spans="1:98">
      <c r="A14187" s="532"/>
      <c r="AR14187" s="2513"/>
      <c r="CT14187" s="531"/>
    </row>
    <row r="14188" spans="1:98">
      <c r="A14188" s="532"/>
      <c r="AR14188" s="2513"/>
      <c r="CT14188" s="531"/>
    </row>
    <row r="14189" spans="1:98">
      <c r="A14189" s="532"/>
      <c r="AR14189" s="2513"/>
      <c r="CT14189" s="531"/>
    </row>
    <row r="14190" spans="1:98">
      <c r="A14190" s="532"/>
      <c r="AR14190" s="2513"/>
      <c r="CT14190" s="531"/>
    </row>
    <row r="14191" spans="1:98">
      <c r="A14191" s="532"/>
      <c r="AR14191" s="2513"/>
      <c r="CT14191" s="531"/>
    </row>
    <row r="14192" spans="1:98">
      <c r="A14192" s="532"/>
      <c r="AR14192" s="2513"/>
      <c r="CT14192" s="531"/>
    </row>
    <row r="14193" spans="1:98">
      <c r="A14193" s="532"/>
      <c r="AR14193" s="2513"/>
      <c r="CT14193" s="531"/>
    </row>
    <row r="14194" spans="1:98">
      <c r="A14194" s="532"/>
      <c r="AR14194" s="2513"/>
      <c r="CT14194" s="531"/>
    </row>
    <row r="14195" spans="1:98">
      <c r="A14195" s="532"/>
      <c r="AR14195" s="2513"/>
      <c r="CT14195" s="531"/>
    </row>
    <row r="14196" spans="1:98">
      <c r="A14196" s="532"/>
      <c r="AR14196" s="2513"/>
      <c r="CT14196" s="531"/>
    </row>
    <row r="14197" spans="1:98">
      <c r="A14197" s="532"/>
      <c r="AR14197" s="2513"/>
      <c r="CT14197" s="531"/>
    </row>
    <row r="14198" spans="1:98">
      <c r="A14198" s="532"/>
      <c r="AR14198" s="2513"/>
      <c r="CT14198" s="531"/>
    </row>
    <row r="14199" spans="1:98">
      <c r="A14199" s="532"/>
      <c r="AR14199" s="2513"/>
      <c r="CT14199" s="531"/>
    </row>
    <row r="14200" spans="1:98">
      <c r="A14200" s="532"/>
      <c r="AR14200" s="2513"/>
      <c r="CT14200" s="531"/>
    </row>
    <row r="14201" spans="1:98">
      <c r="A14201" s="532"/>
      <c r="AR14201" s="2513"/>
      <c r="CT14201" s="531"/>
    </row>
    <row r="14202" spans="1:98">
      <c r="A14202" s="532"/>
      <c r="AR14202" s="2513"/>
      <c r="CT14202" s="531"/>
    </row>
    <row r="14203" spans="1:98">
      <c r="A14203" s="532"/>
      <c r="AR14203" s="2513"/>
      <c r="CT14203" s="531"/>
    </row>
    <row r="14204" spans="1:98">
      <c r="A14204" s="532"/>
      <c r="AR14204" s="2513"/>
      <c r="CT14204" s="531"/>
    </row>
    <row r="14205" spans="1:98">
      <c r="A14205" s="532"/>
      <c r="AR14205" s="2513"/>
      <c r="CT14205" s="531"/>
    </row>
    <row r="14206" spans="1:98">
      <c r="A14206" s="532"/>
      <c r="AR14206" s="2513"/>
      <c r="CT14206" s="531"/>
    </row>
    <row r="14207" spans="1:98">
      <c r="A14207" s="532"/>
      <c r="AR14207" s="2513"/>
      <c r="CT14207" s="531"/>
    </row>
    <row r="14208" spans="1:98">
      <c r="A14208" s="532"/>
      <c r="AR14208" s="2513"/>
      <c r="CT14208" s="531"/>
    </row>
    <row r="14209" spans="1:98">
      <c r="A14209" s="532"/>
      <c r="AR14209" s="2513"/>
      <c r="CT14209" s="531"/>
    </row>
    <row r="14210" spans="1:98">
      <c r="A14210" s="532"/>
      <c r="AR14210" s="2513"/>
      <c r="CT14210" s="531"/>
    </row>
    <row r="14211" spans="1:98">
      <c r="A14211" s="532"/>
      <c r="AR14211" s="2513"/>
      <c r="CT14211" s="531"/>
    </row>
    <row r="14212" spans="1:98">
      <c r="A14212" s="532"/>
      <c r="AR14212" s="2513"/>
      <c r="CT14212" s="531"/>
    </row>
    <row r="14213" spans="1:98">
      <c r="A14213" s="532"/>
      <c r="AR14213" s="2513"/>
      <c r="CT14213" s="531"/>
    </row>
    <row r="14214" spans="1:98">
      <c r="A14214" s="532"/>
      <c r="AR14214" s="2513"/>
      <c r="CT14214" s="531"/>
    </row>
    <row r="14215" spans="1:98">
      <c r="A14215" s="532"/>
      <c r="AR14215" s="2513"/>
      <c r="CT14215" s="531"/>
    </row>
    <row r="14216" spans="1:98">
      <c r="A14216" s="532"/>
      <c r="AR14216" s="2513"/>
      <c r="CT14216" s="531"/>
    </row>
    <row r="14217" spans="1:98">
      <c r="A14217" s="532"/>
      <c r="AR14217" s="2513"/>
      <c r="CT14217" s="531"/>
    </row>
    <row r="14218" spans="1:98">
      <c r="A14218" s="532"/>
      <c r="AR14218" s="2513"/>
      <c r="CT14218" s="531"/>
    </row>
    <row r="14219" spans="1:98">
      <c r="A14219" s="532"/>
      <c r="AR14219" s="2513"/>
      <c r="CT14219" s="531"/>
    </row>
    <row r="14220" spans="1:98">
      <c r="A14220" s="532"/>
      <c r="AR14220" s="2513"/>
      <c r="CT14220" s="531"/>
    </row>
    <row r="14221" spans="1:98">
      <c r="A14221" s="532"/>
      <c r="AR14221" s="2513"/>
      <c r="CT14221" s="531"/>
    </row>
    <row r="14222" spans="1:98">
      <c r="A14222" s="532"/>
      <c r="AR14222" s="2513"/>
      <c r="CT14222" s="531"/>
    </row>
    <row r="14223" spans="1:98">
      <c r="A14223" s="532"/>
      <c r="AR14223" s="2513"/>
      <c r="CT14223" s="531"/>
    </row>
    <row r="14224" spans="1:98">
      <c r="A14224" s="532"/>
      <c r="AR14224" s="2513"/>
      <c r="CT14224" s="531"/>
    </row>
    <row r="14225" spans="1:98">
      <c r="A14225" s="532"/>
      <c r="AR14225" s="2513"/>
      <c r="CT14225" s="531"/>
    </row>
    <row r="14226" spans="1:98">
      <c r="A14226" s="532"/>
      <c r="AR14226" s="2513"/>
      <c r="CT14226" s="531"/>
    </row>
    <row r="14227" spans="1:98">
      <c r="A14227" s="532"/>
      <c r="AR14227" s="2513"/>
      <c r="CT14227" s="531"/>
    </row>
    <row r="14228" spans="1:98">
      <c r="A14228" s="532"/>
      <c r="AR14228" s="2513"/>
      <c r="CT14228" s="531"/>
    </row>
    <row r="14229" spans="1:98">
      <c r="A14229" s="532"/>
      <c r="AR14229" s="2513"/>
      <c r="CT14229" s="531"/>
    </row>
    <row r="14230" spans="1:98">
      <c r="A14230" s="532"/>
      <c r="AR14230" s="2513"/>
      <c r="CT14230" s="531"/>
    </row>
    <row r="14231" spans="1:98">
      <c r="A14231" s="532"/>
      <c r="AR14231" s="2513"/>
      <c r="CT14231" s="531"/>
    </row>
    <row r="14232" spans="1:98">
      <c r="A14232" s="532"/>
      <c r="AR14232" s="2513"/>
      <c r="CT14232" s="531"/>
    </row>
    <row r="14233" spans="1:98">
      <c r="A14233" s="532"/>
      <c r="AR14233" s="2513"/>
      <c r="CT14233" s="531"/>
    </row>
    <row r="14234" spans="1:98">
      <c r="A14234" s="532"/>
      <c r="AR14234" s="2513"/>
      <c r="CT14234" s="531"/>
    </row>
    <row r="14235" spans="1:98">
      <c r="A14235" s="532"/>
      <c r="AR14235" s="2513"/>
      <c r="CT14235" s="531"/>
    </row>
    <row r="14236" spans="1:98">
      <c r="A14236" s="532"/>
      <c r="AR14236" s="2513"/>
      <c r="CT14236" s="531"/>
    </row>
    <row r="14237" spans="1:98">
      <c r="A14237" s="532"/>
      <c r="AR14237" s="2513"/>
      <c r="CT14237" s="531"/>
    </row>
    <row r="14238" spans="1:98">
      <c r="A14238" s="532"/>
      <c r="AR14238" s="2513"/>
      <c r="CT14238" s="531"/>
    </row>
    <row r="14239" spans="1:98">
      <c r="A14239" s="532"/>
      <c r="AR14239" s="2513"/>
      <c r="CT14239" s="531"/>
    </row>
    <row r="14240" spans="1:98">
      <c r="A14240" s="532"/>
      <c r="AR14240" s="2513"/>
      <c r="CT14240" s="531"/>
    </row>
    <row r="14241" spans="1:98">
      <c r="A14241" s="532"/>
      <c r="AR14241" s="2513"/>
      <c r="CT14241" s="531"/>
    </row>
    <row r="14242" spans="1:98">
      <c r="A14242" s="532"/>
      <c r="AR14242" s="2513"/>
      <c r="CT14242" s="531"/>
    </row>
    <row r="14243" spans="1:98">
      <c r="A14243" s="532"/>
      <c r="AR14243" s="2513"/>
      <c r="CT14243" s="531"/>
    </row>
    <row r="14244" spans="1:98">
      <c r="A14244" s="532"/>
      <c r="AR14244" s="2513"/>
      <c r="CT14244" s="531"/>
    </row>
    <row r="14245" spans="1:98">
      <c r="A14245" s="532"/>
      <c r="AR14245" s="2513"/>
      <c r="CT14245" s="531"/>
    </row>
    <row r="14246" spans="1:98">
      <c r="A14246" s="532"/>
      <c r="AR14246" s="2513"/>
      <c r="CT14246" s="531"/>
    </row>
    <row r="14247" spans="1:98">
      <c r="A14247" s="532"/>
      <c r="AR14247" s="2513"/>
      <c r="CT14247" s="531"/>
    </row>
    <row r="14248" spans="1:98">
      <c r="A14248" s="532"/>
      <c r="AR14248" s="2513"/>
      <c r="CT14248" s="531"/>
    </row>
    <row r="14249" spans="1:98">
      <c r="A14249" s="532"/>
      <c r="AR14249" s="2513"/>
      <c r="CT14249" s="531"/>
    </row>
    <row r="14250" spans="1:98">
      <c r="A14250" s="532"/>
      <c r="AR14250" s="2513"/>
      <c r="CT14250" s="531"/>
    </row>
    <row r="14251" spans="1:98">
      <c r="A14251" s="532"/>
      <c r="AR14251" s="2513"/>
      <c r="CT14251" s="531"/>
    </row>
    <row r="14252" spans="1:98">
      <c r="A14252" s="532"/>
      <c r="AR14252" s="2513"/>
      <c r="CT14252" s="531"/>
    </row>
    <row r="14253" spans="1:98">
      <c r="A14253" s="532"/>
      <c r="AR14253" s="2513"/>
      <c r="CT14253" s="531"/>
    </row>
    <row r="14254" spans="1:98">
      <c r="A14254" s="532"/>
      <c r="AR14254" s="2513"/>
      <c r="CT14254" s="531"/>
    </row>
    <row r="14255" spans="1:98">
      <c r="A14255" s="532"/>
      <c r="AR14255" s="2513"/>
      <c r="CT14255" s="531"/>
    </row>
    <row r="14256" spans="1:98">
      <c r="A14256" s="532"/>
      <c r="AR14256" s="2513"/>
      <c r="CT14256" s="531"/>
    </row>
    <row r="14257" spans="1:98">
      <c r="A14257" s="532"/>
      <c r="AR14257" s="2513"/>
      <c r="CT14257" s="531"/>
    </row>
    <row r="14258" spans="1:98">
      <c r="A14258" s="532"/>
      <c r="AR14258" s="2513"/>
      <c r="CT14258" s="531"/>
    </row>
    <row r="14259" spans="1:98">
      <c r="A14259" s="532"/>
      <c r="AR14259" s="2513"/>
      <c r="CT14259" s="531"/>
    </row>
    <row r="14260" spans="1:98">
      <c r="A14260" s="532"/>
      <c r="AR14260" s="2513"/>
      <c r="CT14260" s="531"/>
    </row>
    <row r="14261" spans="1:98">
      <c r="A14261" s="532"/>
      <c r="AR14261" s="2513"/>
      <c r="CT14261" s="531"/>
    </row>
    <row r="14262" spans="1:98">
      <c r="A14262" s="532"/>
      <c r="AR14262" s="2513"/>
      <c r="CT14262" s="531"/>
    </row>
    <row r="14263" spans="1:98">
      <c r="A14263" s="532"/>
      <c r="AR14263" s="2513"/>
      <c r="CT14263" s="531"/>
    </row>
    <row r="14264" spans="1:98">
      <c r="A14264" s="532"/>
      <c r="AR14264" s="2513"/>
      <c r="CT14264" s="531"/>
    </row>
    <row r="14265" spans="1:98">
      <c r="A14265" s="532"/>
      <c r="AR14265" s="2513"/>
      <c r="CT14265" s="531"/>
    </row>
    <row r="14266" spans="1:98">
      <c r="A14266" s="532"/>
      <c r="AR14266" s="2513"/>
      <c r="CT14266" s="531"/>
    </row>
    <row r="14267" spans="1:98">
      <c r="A14267" s="532"/>
      <c r="AR14267" s="2513"/>
      <c r="CT14267" s="531"/>
    </row>
    <row r="14268" spans="1:98">
      <c r="A14268" s="532"/>
      <c r="AR14268" s="2513"/>
      <c r="CT14268" s="531"/>
    </row>
    <row r="14269" spans="1:98">
      <c r="A14269" s="532"/>
      <c r="AR14269" s="2513"/>
      <c r="CT14269" s="531"/>
    </row>
    <row r="14270" spans="1:98">
      <c r="A14270" s="532"/>
      <c r="AR14270" s="2513"/>
      <c r="CT14270" s="531"/>
    </row>
    <row r="14271" spans="1:98">
      <c r="A14271" s="532"/>
      <c r="AR14271" s="2513"/>
      <c r="CT14271" s="531"/>
    </row>
    <row r="14272" spans="1:98">
      <c r="A14272" s="532"/>
      <c r="AR14272" s="2513"/>
      <c r="CT14272" s="531"/>
    </row>
    <row r="14273" spans="1:98">
      <c r="A14273" s="532"/>
      <c r="AR14273" s="2513"/>
      <c r="CT14273" s="531"/>
    </row>
    <row r="14274" spans="1:98">
      <c r="A14274" s="532"/>
      <c r="AR14274" s="2513"/>
      <c r="CT14274" s="531"/>
    </row>
    <row r="14275" spans="1:98">
      <c r="A14275" s="532"/>
      <c r="AR14275" s="2513"/>
      <c r="CT14275" s="531"/>
    </row>
    <row r="14276" spans="1:98">
      <c r="A14276" s="532"/>
      <c r="AR14276" s="2513"/>
      <c r="CT14276" s="531"/>
    </row>
    <row r="14277" spans="1:98">
      <c r="A14277" s="532"/>
      <c r="AR14277" s="2513"/>
      <c r="CT14277" s="531"/>
    </row>
    <row r="14278" spans="1:98">
      <c r="A14278" s="532"/>
      <c r="AR14278" s="2513"/>
      <c r="CT14278" s="531"/>
    </row>
    <row r="14279" spans="1:98">
      <c r="A14279" s="532"/>
      <c r="AR14279" s="2513"/>
      <c r="CT14279" s="531"/>
    </row>
    <row r="14280" spans="1:98">
      <c r="A14280" s="532"/>
      <c r="AR14280" s="2513"/>
      <c r="CT14280" s="531"/>
    </row>
    <row r="14281" spans="1:98">
      <c r="A14281" s="532"/>
      <c r="AR14281" s="2513"/>
      <c r="CT14281" s="531"/>
    </row>
    <row r="14282" spans="1:98">
      <c r="A14282" s="532"/>
      <c r="AR14282" s="2513"/>
      <c r="CT14282" s="531"/>
    </row>
    <row r="14283" spans="1:98">
      <c r="A14283" s="532"/>
      <c r="AR14283" s="2513"/>
      <c r="CT14283" s="531"/>
    </row>
    <row r="14284" spans="1:98">
      <c r="A14284" s="532"/>
      <c r="AR14284" s="2513"/>
      <c r="CT14284" s="531"/>
    </row>
    <row r="14285" spans="1:98">
      <c r="A14285" s="532"/>
      <c r="AR14285" s="2513"/>
      <c r="CT14285" s="531"/>
    </row>
    <row r="14286" spans="1:98">
      <c r="A14286" s="532"/>
      <c r="AR14286" s="2513"/>
      <c r="CT14286" s="531"/>
    </row>
    <row r="14287" spans="1:98">
      <c r="A14287" s="532"/>
      <c r="AR14287" s="2513"/>
      <c r="CT14287" s="531"/>
    </row>
    <row r="14288" spans="1:98">
      <c r="A14288" s="532"/>
      <c r="AR14288" s="2513"/>
      <c r="CT14288" s="531"/>
    </row>
    <row r="14289" spans="1:98">
      <c r="A14289" s="532"/>
      <c r="AR14289" s="2513"/>
      <c r="CT14289" s="531"/>
    </row>
    <row r="14290" spans="1:98">
      <c r="A14290" s="532"/>
      <c r="AR14290" s="2513"/>
      <c r="CT14290" s="531"/>
    </row>
    <row r="14291" spans="1:98">
      <c r="A14291" s="532"/>
      <c r="AR14291" s="2513"/>
      <c r="CT14291" s="531"/>
    </row>
    <row r="14292" spans="1:98">
      <c r="A14292" s="532"/>
      <c r="AR14292" s="2513"/>
      <c r="CT14292" s="531"/>
    </row>
    <row r="14293" spans="1:98">
      <c r="A14293" s="532"/>
      <c r="AR14293" s="2513"/>
      <c r="CT14293" s="531"/>
    </row>
    <row r="14294" spans="1:98">
      <c r="A14294" s="532"/>
      <c r="AR14294" s="2513"/>
      <c r="CT14294" s="531"/>
    </row>
    <row r="14295" spans="1:98">
      <c r="A14295" s="532"/>
      <c r="AR14295" s="2513"/>
      <c r="CT14295" s="531"/>
    </row>
    <row r="14296" spans="1:98">
      <c r="A14296" s="532"/>
      <c r="AR14296" s="2513"/>
      <c r="CT14296" s="531"/>
    </row>
    <row r="14297" spans="1:98">
      <c r="A14297" s="532"/>
      <c r="AR14297" s="2513"/>
      <c r="CT14297" s="531"/>
    </row>
    <row r="14298" spans="1:98">
      <c r="A14298" s="532"/>
      <c r="AR14298" s="2513"/>
      <c r="CT14298" s="531"/>
    </row>
    <row r="14299" spans="1:98">
      <c r="A14299" s="532"/>
      <c r="AR14299" s="2513"/>
      <c r="CT14299" s="531"/>
    </row>
    <row r="14300" spans="1:98">
      <c r="A14300" s="532"/>
      <c r="AR14300" s="2513"/>
      <c r="CT14300" s="531"/>
    </row>
    <row r="14301" spans="1:98">
      <c r="A14301" s="532"/>
      <c r="AR14301" s="2513"/>
      <c r="CT14301" s="531"/>
    </row>
    <row r="14302" spans="1:98">
      <c r="A14302" s="532"/>
      <c r="AR14302" s="2513"/>
      <c r="CT14302" s="531"/>
    </row>
    <row r="14303" spans="1:98">
      <c r="A14303" s="532"/>
      <c r="AR14303" s="2513"/>
      <c r="CT14303" s="531"/>
    </row>
    <row r="14304" spans="1:98">
      <c r="A14304" s="532"/>
      <c r="AR14304" s="2513"/>
      <c r="CT14304" s="531"/>
    </row>
    <row r="14305" spans="1:98">
      <c r="A14305" s="532"/>
      <c r="AR14305" s="2513"/>
      <c r="CT14305" s="531"/>
    </row>
    <row r="14306" spans="1:98">
      <c r="A14306" s="532"/>
      <c r="AR14306" s="2513"/>
      <c r="CT14306" s="531"/>
    </row>
    <row r="14307" spans="1:98">
      <c r="A14307" s="532"/>
      <c r="AR14307" s="2513"/>
      <c r="CT14307" s="531"/>
    </row>
    <row r="14308" spans="1:98">
      <c r="A14308" s="532"/>
      <c r="AR14308" s="2513"/>
      <c r="CT14308" s="531"/>
    </row>
    <row r="14309" spans="1:98">
      <c r="A14309" s="532"/>
      <c r="AR14309" s="2513"/>
      <c r="CT14309" s="531"/>
    </row>
    <row r="14310" spans="1:98">
      <c r="A14310" s="532"/>
      <c r="AR14310" s="2513"/>
      <c r="CT14310" s="531"/>
    </row>
    <row r="14311" spans="1:98">
      <c r="A14311" s="532"/>
      <c r="AR14311" s="2513"/>
      <c r="CT14311" s="531"/>
    </row>
    <row r="14312" spans="1:98">
      <c r="A14312" s="532"/>
      <c r="AR14312" s="2513"/>
      <c r="CT14312" s="531"/>
    </row>
    <row r="14313" spans="1:98">
      <c r="A14313" s="532"/>
      <c r="AR14313" s="2513"/>
      <c r="CT14313" s="531"/>
    </row>
    <row r="14314" spans="1:98">
      <c r="A14314" s="532"/>
      <c r="AR14314" s="2513"/>
      <c r="CT14314" s="531"/>
    </row>
    <row r="14315" spans="1:98">
      <c r="A14315" s="532"/>
      <c r="AR14315" s="2513"/>
      <c r="CT14315" s="531"/>
    </row>
    <row r="14316" spans="1:98">
      <c r="A14316" s="532"/>
      <c r="AR14316" s="2513"/>
      <c r="CT14316" s="531"/>
    </row>
    <row r="14317" spans="1:98">
      <c r="A14317" s="532"/>
      <c r="AR14317" s="2513"/>
      <c r="CT14317" s="531"/>
    </row>
    <row r="14318" spans="1:98">
      <c r="A14318" s="532"/>
      <c r="AR14318" s="2513"/>
      <c r="CT14318" s="531"/>
    </row>
    <row r="14319" spans="1:98">
      <c r="A14319" s="532"/>
      <c r="AR14319" s="2513"/>
      <c r="CT14319" s="531"/>
    </row>
    <row r="14320" spans="1:98">
      <c r="A14320" s="532"/>
      <c r="AR14320" s="2513"/>
      <c r="CT14320" s="531"/>
    </row>
    <row r="14321" spans="1:98">
      <c r="A14321" s="532"/>
      <c r="AR14321" s="2513"/>
      <c r="CT14321" s="531"/>
    </row>
    <row r="14322" spans="1:98">
      <c r="A14322" s="532"/>
      <c r="AR14322" s="2513"/>
      <c r="CT14322" s="531"/>
    </row>
    <row r="14323" spans="1:98">
      <c r="A14323" s="532"/>
      <c r="AR14323" s="2513"/>
      <c r="CT14323" s="531"/>
    </row>
    <row r="14324" spans="1:98">
      <c r="A14324" s="532"/>
      <c r="AR14324" s="2513"/>
      <c r="CT14324" s="531"/>
    </row>
    <row r="14325" spans="1:98">
      <c r="A14325" s="532"/>
      <c r="AR14325" s="2513"/>
      <c r="CT14325" s="531"/>
    </row>
    <row r="14326" spans="1:98">
      <c r="A14326" s="532"/>
      <c r="AR14326" s="2513"/>
      <c r="CT14326" s="531"/>
    </row>
    <row r="14327" spans="1:98">
      <c r="A14327" s="532"/>
      <c r="AR14327" s="2513"/>
      <c r="CT14327" s="531"/>
    </row>
    <row r="14328" spans="1:98">
      <c r="A14328" s="532"/>
      <c r="AR14328" s="2513"/>
      <c r="CT14328" s="531"/>
    </row>
    <row r="14329" spans="1:98">
      <c r="A14329" s="532"/>
      <c r="AR14329" s="2513"/>
      <c r="CT14329" s="531"/>
    </row>
    <row r="14330" spans="1:98">
      <c r="A14330" s="532"/>
      <c r="AR14330" s="2513"/>
      <c r="CT14330" s="531"/>
    </row>
    <row r="14331" spans="1:98">
      <c r="A14331" s="532"/>
      <c r="AR14331" s="2513"/>
      <c r="CT14331" s="531"/>
    </row>
    <row r="14332" spans="1:98">
      <c r="A14332" s="532"/>
      <c r="AR14332" s="2513"/>
      <c r="CT14332" s="531"/>
    </row>
    <row r="14333" spans="1:98">
      <c r="A14333" s="532"/>
      <c r="AR14333" s="2513"/>
      <c r="CT14333" s="531"/>
    </row>
    <row r="14334" spans="1:98">
      <c r="A14334" s="532"/>
      <c r="AR14334" s="2513"/>
      <c r="CT14334" s="531"/>
    </row>
    <row r="14335" spans="1:98">
      <c r="A14335" s="532"/>
      <c r="AR14335" s="2513"/>
      <c r="CT14335" s="531"/>
    </row>
    <row r="14336" spans="1:98">
      <c r="A14336" s="532"/>
      <c r="AR14336" s="2513"/>
      <c r="CT14336" s="531"/>
    </row>
    <row r="14337" spans="1:98">
      <c r="A14337" s="532"/>
      <c r="AR14337" s="2513"/>
      <c r="CT14337" s="531"/>
    </row>
    <row r="14338" spans="1:98">
      <c r="A14338" s="532"/>
      <c r="AR14338" s="2513"/>
      <c r="CT14338" s="531"/>
    </row>
    <row r="14339" spans="1:98">
      <c r="A14339" s="532"/>
      <c r="AR14339" s="2513"/>
      <c r="CT14339" s="531"/>
    </row>
    <row r="14340" spans="1:98">
      <c r="A14340" s="532"/>
      <c r="AR14340" s="2513"/>
      <c r="CT14340" s="531"/>
    </row>
    <row r="14341" spans="1:98">
      <c r="A14341" s="532"/>
      <c r="AR14341" s="2513"/>
      <c r="CT14341" s="531"/>
    </row>
    <row r="14342" spans="1:98">
      <c r="A14342" s="532"/>
      <c r="AR14342" s="2513"/>
      <c r="CT14342" s="531"/>
    </row>
    <row r="14343" spans="1:98">
      <c r="A14343" s="532"/>
      <c r="AR14343" s="2513"/>
      <c r="CT14343" s="531"/>
    </row>
    <row r="14344" spans="1:98">
      <c r="A14344" s="532"/>
      <c r="AR14344" s="2513"/>
      <c r="CT14344" s="531"/>
    </row>
    <row r="14345" spans="1:98">
      <c r="A14345" s="532"/>
      <c r="AR14345" s="2513"/>
      <c r="CT14345" s="531"/>
    </row>
    <row r="14346" spans="1:98">
      <c r="A14346" s="532"/>
      <c r="AR14346" s="2513"/>
      <c r="CT14346" s="531"/>
    </row>
    <row r="14347" spans="1:98">
      <c r="A14347" s="532"/>
      <c r="AR14347" s="2513"/>
      <c r="CT14347" s="531"/>
    </row>
    <row r="14348" spans="1:98">
      <c r="A14348" s="532"/>
      <c r="AR14348" s="2513"/>
      <c r="CT14348" s="531"/>
    </row>
    <row r="14349" spans="1:98">
      <c r="A14349" s="532"/>
      <c r="AR14349" s="2513"/>
      <c r="CT14349" s="531"/>
    </row>
    <row r="14350" spans="1:98">
      <c r="A14350" s="532"/>
      <c r="AR14350" s="2513"/>
      <c r="CT14350" s="531"/>
    </row>
    <row r="14351" spans="1:98">
      <c r="A14351" s="532"/>
      <c r="AR14351" s="2513"/>
      <c r="CT14351" s="531"/>
    </row>
    <row r="14352" spans="1:98">
      <c r="A14352" s="532"/>
      <c r="AR14352" s="2513"/>
      <c r="CT14352" s="531"/>
    </row>
    <row r="14353" spans="1:98">
      <c r="A14353" s="532"/>
      <c r="AR14353" s="2513"/>
      <c r="CT14353" s="531"/>
    </row>
    <row r="14354" spans="1:98">
      <c r="A14354" s="532"/>
      <c r="AR14354" s="2513"/>
      <c r="CT14354" s="531"/>
    </row>
    <row r="14355" spans="1:98">
      <c r="A14355" s="532"/>
      <c r="AR14355" s="2513"/>
      <c r="CT14355" s="531"/>
    </row>
    <row r="14356" spans="1:98">
      <c r="A14356" s="532"/>
      <c r="AR14356" s="2513"/>
      <c r="CT14356" s="531"/>
    </row>
    <row r="14357" spans="1:98">
      <c r="A14357" s="532"/>
      <c r="AR14357" s="2513"/>
      <c r="CT14357" s="531"/>
    </row>
    <row r="14358" spans="1:98">
      <c r="A14358" s="532"/>
      <c r="AR14358" s="2513"/>
      <c r="CT14358" s="531"/>
    </row>
    <row r="14359" spans="1:98">
      <c r="A14359" s="532"/>
      <c r="AR14359" s="2513"/>
      <c r="CT14359" s="531"/>
    </row>
    <row r="14360" spans="1:98">
      <c r="A14360" s="532"/>
      <c r="AR14360" s="2513"/>
      <c r="CT14360" s="531"/>
    </row>
    <row r="14361" spans="1:98">
      <c r="A14361" s="532"/>
      <c r="AR14361" s="2513"/>
      <c r="CT14361" s="531"/>
    </row>
    <row r="14362" spans="1:98">
      <c r="A14362" s="532"/>
      <c r="AR14362" s="2513"/>
      <c r="CT14362" s="531"/>
    </row>
    <row r="14363" spans="1:98">
      <c r="A14363" s="532"/>
      <c r="AR14363" s="2513"/>
      <c r="CT14363" s="531"/>
    </row>
    <row r="14364" spans="1:98">
      <c r="A14364" s="532"/>
      <c r="AR14364" s="2513"/>
      <c r="CT14364" s="531"/>
    </row>
    <row r="14365" spans="1:98">
      <c r="A14365" s="532"/>
      <c r="AR14365" s="2513"/>
      <c r="CT14365" s="531"/>
    </row>
    <row r="14366" spans="1:98">
      <c r="A14366" s="532"/>
      <c r="AR14366" s="2513"/>
      <c r="CT14366" s="531"/>
    </row>
    <row r="14367" spans="1:98">
      <c r="A14367" s="532"/>
      <c r="AR14367" s="2513"/>
      <c r="CT14367" s="531"/>
    </row>
    <row r="14368" spans="1:98">
      <c r="A14368" s="532"/>
      <c r="AR14368" s="2513"/>
      <c r="CT14368" s="531"/>
    </row>
    <row r="14369" spans="1:98">
      <c r="A14369" s="532"/>
      <c r="AR14369" s="2513"/>
      <c r="CT14369" s="531"/>
    </row>
    <row r="14370" spans="1:98">
      <c r="A14370" s="532"/>
      <c r="AR14370" s="2513"/>
      <c r="CT14370" s="531"/>
    </row>
    <row r="14371" spans="1:98">
      <c r="A14371" s="532"/>
      <c r="AR14371" s="2513"/>
      <c r="CT14371" s="531"/>
    </row>
    <row r="14372" spans="1:98">
      <c r="A14372" s="532"/>
      <c r="AR14372" s="2513"/>
      <c r="CT14372" s="531"/>
    </row>
    <row r="14373" spans="1:98">
      <c r="A14373" s="532"/>
      <c r="AR14373" s="2513"/>
      <c r="CT14373" s="531"/>
    </row>
    <row r="14374" spans="1:98">
      <c r="A14374" s="532"/>
      <c r="AR14374" s="2513"/>
      <c r="CT14374" s="531"/>
    </row>
    <row r="14375" spans="1:98">
      <c r="A14375" s="532"/>
      <c r="AR14375" s="2513"/>
      <c r="CT14375" s="531"/>
    </row>
    <row r="14376" spans="1:98">
      <c r="A14376" s="532"/>
      <c r="AR14376" s="2513"/>
      <c r="CT14376" s="531"/>
    </row>
    <row r="14377" spans="1:98">
      <c r="A14377" s="532"/>
      <c r="AR14377" s="2513"/>
      <c r="CT14377" s="531"/>
    </row>
    <row r="14378" spans="1:98">
      <c r="A14378" s="532"/>
      <c r="AR14378" s="2513"/>
      <c r="CT14378" s="531"/>
    </row>
    <row r="14379" spans="1:98">
      <c r="A14379" s="532"/>
      <c r="AR14379" s="2513"/>
      <c r="CT14379" s="531"/>
    </row>
    <row r="14380" spans="1:98">
      <c r="A14380" s="532"/>
      <c r="AR14380" s="2513"/>
      <c r="CT14380" s="531"/>
    </row>
    <row r="14381" spans="1:98">
      <c r="A14381" s="532"/>
      <c r="AR14381" s="2513"/>
      <c r="CT14381" s="531"/>
    </row>
    <row r="14382" spans="1:98">
      <c r="A14382" s="532"/>
      <c r="AR14382" s="2513"/>
      <c r="CT14382" s="531"/>
    </row>
    <row r="14383" spans="1:98">
      <c r="A14383" s="532"/>
      <c r="AR14383" s="2513"/>
      <c r="CT14383" s="531"/>
    </row>
    <row r="14384" spans="1:98">
      <c r="A14384" s="532"/>
      <c r="AR14384" s="2513"/>
      <c r="CT14384" s="531"/>
    </row>
    <row r="14385" spans="1:98">
      <c r="A14385" s="532"/>
      <c r="AR14385" s="2513"/>
      <c r="CT14385" s="531"/>
    </row>
    <row r="14386" spans="1:98">
      <c r="A14386" s="532"/>
      <c r="AR14386" s="2513"/>
      <c r="CT14386" s="531"/>
    </row>
    <row r="14387" spans="1:98">
      <c r="A14387" s="532"/>
      <c r="AR14387" s="2513"/>
      <c r="CT14387" s="531"/>
    </row>
    <row r="14388" spans="1:98">
      <c r="A14388" s="532"/>
      <c r="AR14388" s="2513"/>
      <c r="CT14388" s="531"/>
    </row>
    <row r="14389" spans="1:98">
      <c r="A14389" s="532"/>
      <c r="AR14389" s="2513"/>
      <c r="CT14389" s="531"/>
    </row>
    <row r="14390" spans="1:98">
      <c r="A14390" s="532"/>
      <c r="AR14390" s="2513"/>
      <c r="CT14390" s="531"/>
    </row>
    <row r="14391" spans="1:98">
      <c r="A14391" s="532"/>
      <c r="AR14391" s="2513"/>
      <c r="CT14391" s="531"/>
    </row>
    <row r="14392" spans="1:98">
      <c r="A14392" s="532"/>
      <c r="AR14392" s="2513"/>
      <c r="CT14392" s="531"/>
    </row>
    <row r="14393" spans="1:98">
      <c r="A14393" s="532"/>
      <c r="AR14393" s="2513"/>
      <c r="CT14393" s="531"/>
    </row>
    <row r="14394" spans="1:98">
      <c r="A14394" s="532"/>
      <c r="AR14394" s="2513"/>
      <c r="CT14394" s="531"/>
    </row>
    <row r="14395" spans="1:98">
      <c r="A14395" s="532"/>
      <c r="AR14395" s="2513"/>
      <c r="CT14395" s="531"/>
    </row>
    <row r="14396" spans="1:98">
      <c r="A14396" s="532"/>
      <c r="AR14396" s="2513"/>
      <c r="CT14396" s="531"/>
    </row>
    <row r="14397" spans="1:98">
      <c r="A14397" s="532"/>
      <c r="AR14397" s="2513"/>
      <c r="CT14397" s="531"/>
    </row>
    <row r="14398" spans="1:98">
      <c r="A14398" s="532"/>
      <c r="AR14398" s="2513"/>
      <c r="CT14398" s="531"/>
    </row>
    <row r="14399" spans="1:98">
      <c r="A14399" s="532"/>
      <c r="AR14399" s="2513"/>
      <c r="CT14399" s="531"/>
    </row>
    <row r="14400" spans="1:98">
      <c r="A14400" s="532"/>
      <c r="AR14400" s="2513"/>
      <c r="CT14400" s="531"/>
    </row>
    <row r="14401" spans="1:98">
      <c r="A14401" s="532"/>
      <c r="AR14401" s="2513"/>
      <c r="CT14401" s="531"/>
    </row>
    <row r="14402" spans="1:98">
      <c r="A14402" s="532"/>
      <c r="AR14402" s="2513"/>
      <c r="CT14402" s="531"/>
    </row>
    <row r="14403" spans="1:98">
      <c r="A14403" s="532"/>
      <c r="AR14403" s="2513"/>
      <c r="CT14403" s="531"/>
    </row>
    <row r="14404" spans="1:98">
      <c r="A14404" s="532"/>
      <c r="AR14404" s="2513"/>
      <c r="CT14404" s="531"/>
    </row>
    <row r="14405" spans="1:98">
      <c r="A14405" s="532"/>
      <c r="AR14405" s="2513"/>
      <c r="CT14405" s="531"/>
    </row>
    <row r="14406" spans="1:98">
      <c r="A14406" s="532"/>
      <c r="AR14406" s="2513"/>
      <c r="CT14406" s="531"/>
    </row>
    <row r="14407" spans="1:98">
      <c r="A14407" s="532"/>
      <c r="AR14407" s="2513"/>
      <c r="CT14407" s="531"/>
    </row>
    <row r="14408" spans="1:98">
      <c r="A14408" s="532"/>
      <c r="AR14408" s="2513"/>
      <c r="CT14408" s="531"/>
    </row>
    <row r="14409" spans="1:98">
      <c r="A14409" s="532"/>
      <c r="AR14409" s="2513"/>
      <c r="CT14409" s="531"/>
    </row>
    <row r="14410" spans="1:98">
      <c r="A14410" s="532"/>
      <c r="AR14410" s="2513"/>
      <c r="CT14410" s="531"/>
    </row>
    <row r="14411" spans="1:98">
      <c r="A14411" s="532"/>
      <c r="AR14411" s="2513"/>
      <c r="CT14411" s="531"/>
    </row>
    <row r="14412" spans="1:98">
      <c r="A14412" s="532"/>
      <c r="AR14412" s="2513"/>
      <c r="CT14412" s="531"/>
    </row>
    <row r="14413" spans="1:98">
      <c r="A14413" s="532"/>
      <c r="AR14413" s="2513"/>
      <c r="CT14413" s="531"/>
    </row>
    <row r="14414" spans="1:98">
      <c r="A14414" s="532"/>
      <c r="AR14414" s="2513"/>
      <c r="CT14414" s="531"/>
    </row>
    <row r="14415" spans="1:98">
      <c r="A14415" s="532"/>
      <c r="AR14415" s="2513"/>
      <c r="CT14415" s="531"/>
    </row>
    <row r="14416" spans="1:98">
      <c r="A14416" s="532"/>
      <c r="AR14416" s="2513"/>
      <c r="CT14416" s="531"/>
    </row>
    <row r="14417" spans="1:98">
      <c r="A14417" s="532"/>
      <c r="AR14417" s="2513"/>
      <c r="CT14417" s="531"/>
    </row>
    <row r="14418" spans="1:98">
      <c r="A14418" s="532"/>
      <c r="AR14418" s="2513"/>
      <c r="CT14418" s="531"/>
    </row>
    <row r="14419" spans="1:98">
      <c r="A14419" s="532"/>
      <c r="AR14419" s="2513"/>
      <c r="CT14419" s="531"/>
    </row>
    <row r="14420" spans="1:98">
      <c r="A14420" s="532"/>
      <c r="AR14420" s="2513"/>
      <c r="CT14420" s="531"/>
    </row>
    <row r="14421" spans="1:98">
      <c r="A14421" s="532"/>
      <c r="AR14421" s="2513"/>
      <c r="CT14421" s="531"/>
    </row>
    <row r="14422" spans="1:98">
      <c r="A14422" s="532"/>
      <c r="AR14422" s="2513"/>
      <c r="CT14422" s="531"/>
    </row>
    <row r="14423" spans="1:98">
      <c r="A14423" s="532"/>
      <c r="AR14423" s="2513"/>
      <c r="CT14423" s="531"/>
    </row>
    <row r="14424" spans="1:98">
      <c r="A14424" s="532"/>
      <c r="AR14424" s="2513"/>
      <c r="CT14424" s="531"/>
    </row>
    <row r="14425" spans="1:98">
      <c r="A14425" s="532"/>
      <c r="AR14425" s="2513"/>
      <c r="CT14425" s="531"/>
    </row>
    <row r="14426" spans="1:98">
      <c r="A14426" s="532"/>
      <c r="AR14426" s="2513"/>
      <c r="CT14426" s="531"/>
    </row>
    <row r="14427" spans="1:98">
      <c r="A14427" s="532"/>
      <c r="AR14427" s="2513"/>
      <c r="CT14427" s="531"/>
    </row>
    <row r="14428" spans="1:98">
      <c r="A14428" s="532"/>
      <c r="AR14428" s="2513"/>
      <c r="CT14428" s="531"/>
    </row>
    <row r="14429" spans="1:98">
      <c r="A14429" s="532"/>
      <c r="AR14429" s="2513"/>
      <c r="CT14429" s="531"/>
    </row>
    <row r="14430" spans="1:98">
      <c r="A14430" s="532"/>
      <c r="AR14430" s="2513"/>
      <c r="CT14430" s="531"/>
    </row>
    <row r="14431" spans="1:98">
      <c r="A14431" s="532"/>
      <c r="AR14431" s="2513"/>
      <c r="CT14431" s="531"/>
    </row>
    <row r="14432" spans="1:98">
      <c r="A14432" s="532"/>
      <c r="AR14432" s="2513"/>
      <c r="CT14432" s="531"/>
    </row>
    <row r="14433" spans="1:98">
      <c r="A14433" s="532"/>
      <c r="AR14433" s="2513"/>
      <c r="CT14433" s="531"/>
    </row>
    <row r="14434" spans="1:98">
      <c r="A14434" s="532"/>
      <c r="AR14434" s="2513"/>
      <c r="CT14434" s="531"/>
    </row>
    <row r="14435" spans="1:98">
      <c r="A14435" s="532"/>
      <c r="AR14435" s="2513"/>
      <c r="CT14435" s="531"/>
    </row>
    <row r="14436" spans="1:98">
      <c r="A14436" s="532"/>
      <c r="AR14436" s="2513"/>
      <c r="CT14436" s="531"/>
    </row>
    <row r="14437" spans="1:98">
      <c r="A14437" s="532"/>
      <c r="AR14437" s="2513"/>
      <c r="CT14437" s="531"/>
    </row>
    <row r="14438" spans="1:98">
      <c r="A14438" s="532"/>
      <c r="AR14438" s="2513"/>
      <c r="CT14438" s="531"/>
    </row>
    <row r="14439" spans="1:98">
      <c r="A14439" s="532"/>
      <c r="AR14439" s="2513"/>
      <c r="CT14439" s="531"/>
    </row>
    <row r="14440" spans="1:98">
      <c r="A14440" s="532"/>
      <c r="AR14440" s="2513"/>
      <c r="CT14440" s="531"/>
    </row>
    <row r="14441" spans="1:98">
      <c r="A14441" s="532"/>
      <c r="AR14441" s="2513"/>
      <c r="CT14441" s="531"/>
    </row>
    <row r="14442" spans="1:98">
      <c r="A14442" s="532"/>
      <c r="AR14442" s="2513"/>
      <c r="CT14442" s="531"/>
    </row>
    <row r="14443" spans="1:98">
      <c r="A14443" s="532"/>
      <c r="AR14443" s="2513"/>
      <c r="CT14443" s="531"/>
    </row>
    <row r="14444" spans="1:98">
      <c r="A14444" s="532"/>
      <c r="AR14444" s="2513"/>
      <c r="CT14444" s="531"/>
    </row>
    <row r="14445" spans="1:98">
      <c r="A14445" s="532"/>
      <c r="AR14445" s="2513"/>
      <c r="CT14445" s="531"/>
    </row>
    <row r="14446" spans="1:98">
      <c r="A14446" s="532"/>
      <c r="AR14446" s="2513"/>
      <c r="CT14446" s="531"/>
    </row>
    <row r="14447" spans="1:98">
      <c r="A14447" s="532"/>
      <c r="AR14447" s="2513"/>
      <c r="CT14447" s="531"/>
    </row>
    <row r="14448" spans="1:98">
      <c r="A14448" s="532"/>
      <c r="AR14448" s="2513"/>
      <c r="CT14448" s="531"/>
    </row>
    <row r="14449" spans="1:98">
      <c r="A14449" s="532"/>
      <c r="AR14449" s="2513"/>
      <c r="CT14449" s="531"/>
    </row>
    <row r="14450" spans="1:98">
      <c r="A14450" s="532"/>
      <c r="AR14450" s="2513"/>
      <c r="CT14450" s="531"/>
    </row>
    <row r="14451" spans="1:98">
      <c r="A14451" s="532"/>
      <c r="AR14451" s="2513"/>
      <c r="CT14451" s="531"/>
    </row>
    <row r="14452" spans="1:98">
      <c r="A14452" s="532"/>
      <c r="AR14452" s="2513"/>
      <c r="CT14452" s="531"/>
    </row>
    <row r="14453" spans="1:98">
      <c r="A14453" s="532"/>
      <c r="AR14453" s="2513"/>
      <c r="CT14453" s="531"/>
    </row>
    <row r="14454" spans="1:98">
      <c r="A14454" s="532"/>
      <c r="AR14454" s="2513"/>
      <c r="CT14454" s="531"/>
    </row>
    <row r="14455" spans="1:98">
      <c r="A14455" s="532"/>
      <c r="AR14455" s="2513"/>
      <c r="CT14455" s="531"/>
    </row>
    <row r="14456" spans="1:98">
      <c r="A14456" s="532"/>
      <c r="AR14456" s="2513"/>
      <c r="CT14456" s="531"/>
    </row>
    <row r="14457" spans="1:98">
      <c r="A14457" s="532"/>
      <c r="AR14457" s="2513"/>
      <c r="CT14457" s="531"/>
    </row>
    <row r="14458" spans="1:98">
      <c r="A14458" s="532"/>
      <c r="AR14458" s="2513"/>
      <c r="CT14458" s="531"/>
    </row>
    <row r="14459" spans="1:98">
      <c r="A14459" s="532"/>
      <c r="AR14459" s="2513"/>
      <c r="CT14459" s="531"/>
    </row>
    <row r="14460" spans="1:98">
      <c r="A14460" s="532"/>
      <c r="AR14460" s="2513"/>
      <c r="CT14460" s="531"/>
    </row>
    <row r="14461" spans="1:98">
      <c r="A14461" s="532"/>
      <c r="AR14461" s="2513"/>
      <c r="CT14461" s="531"/>
    </row>
    <row r="14462" spans="1:98">
      <c r="A14462" s="532"/>
      <c r="AR14462" s="2513"/>
      <c r="CT14462" s="531"/>
    </row>
    <row r="14463" spans="1:98">
      <c r="A14463" s="532"/>
      <c r="AR14463" s="2513"/>
      <c r="CT14463" s="531"/>
    </row>
    <row r="14464" spans="1:98">
      <c r="A14464" s="532"/>
      <c r="AR14464" s="2513"/>
      <c r="CT14464" s="531"/>
    </row>
    <row r="14465" spans="1:98">
      <c r="A14465" s="532"/>
      <c r="AR14465" s="2513"/>
      <c r="CT14465" s="531"/>
    </row>
    <row r="14466" spans="1:98">
      <c r="A14466" s="532"/>
      <c r="AR14466" s="2513"/>
      <c r="CT14466" s="531"/>
    </row>
    <row r="14467" spans="1:98">
      <c r="A14467" s="532"/>
      <c r="AR14467" s="2513"/>
      <c r="CT14467" s="531"/>
    </row>
    <row r="14468" spans="1:98">
      <c r="A14468" s="532"/>
      <c r="AR14468" s="2513"/>
      <c r="CT14468" s="531"/>
    </row>
    <row r="14469" spans="1:98">
      <c r="A14469" s="532"/>
      <c r="AR14469" s="2513"/>
      <c r="CT14469" s="531"/>
    </row>
    <row r="14470" spans="1:98">
      <c r="A14470" s="532"/>
      <c r="AR14470" s="2513"/>
      <c r="CT14470" s="531"/>
    </row>
    <row r="14471" spans="1:98">
      <c r="A14471" s="532"/>
      <c r="AR14471" s="2513"/>
      <c r="CT14471" s="531"/>
    </row>
    <row r="14472" spans="1:98">
      <c r="A14472" s="532"/>
      <c r="AR14472" s="2513"/>
      <c r="CT14472" s="531"/>
    </row>
    <row r="14473" spans="1:98">
      <c r="A14473" s="532"/>
      <c r="AR14473" s="2513"/>
      <c r="CT14473" s="531"/>
    </row>
    <row r="14474" spans="1:98">
      <c r="A14474" s="532"/>
      <c r="AR14474" s="2513"/>
      <c r="CT14474" s="531"/>
    </row>
    <row r="14475" spans="1:98">
      <c r="A14475" s="532"/>
      <c r="AR14475" s="2513"/>
      <c r="CT14475" s="531"/>
    </row>
    <row r="14476" spans="1:98">
      <c r="A14476" s="532"/>
      <c r="AR14476" s="2513"/>
      <c r="CT14476" s="531"/>
    </row>
    <row r="14477" spans="1:98">
      <c r="A14477" s="532"/>
      <c r="AR14477" s="2513"/>
      <c r="CT14477" s="531"/>
    </row>
    <row r="14478" spans="1:98">
      <c r="A14478" s="532"/>
      <c r="AR14478" s="2513"/>
      <c r="CT14478" s="531"/>
    </row>
    <row r="14479" spans="1:98">
      <c r="A14479" s="532"/>
      <c r="AR14479" s="2513"/>
      <c r="CT14479" s="531"/>
    </row>
    <row r="14480" spans="1:98">
      <c r="A14480" s="532"/>
      <c r="AR14480" s="2513"/>
      <c r="CT14480" s="531"/>
    </row>
    <row r="14481" spans="1:98">
      <c r="A14481" s="532"/>
      <c r="AR14481" s="2513"/>
      <c r="CT14481" s="531"/>
    </row>
    <row r="14482" spans="1:98">
      <c r="A14482" s="532"/>
      <c r="AR14482" s="2513"/>
      <c r="CT14482" s="531"/>
    </row>
    <row r="14483" spans="1:98">
      <c r="A14483" s="532"/>
      <c r="AR14483" s="2513"/>
      <c r="CT14483" s="531"/>
    </row>
    <row r="14484" spans="1:98">
      <c r="A14484" s="532"/>
      <c r="AR14484" s="2513"/>
      <c r="CT14484" s="531"/>
    </row>
    <row r="14485" spans="1:98">
      <c r="A14485" s="532"/>
      <c r="AR14485" s="2513"/>
      <c r="CT14485" s="531"/>
    </row>
    <row r="14486" spans="1:98">
      <c r="A14486" s="532"/>
      <c r="AR14486" s="2513"/>
      <c r="CT14486" s="531"/>
    </row>
    <row r="14487" spans="1:98">
      <c r="A14487" s="532"/>
      <c r="AR14487" s="2513"/>
      <c r="CT14487" s="531"/>
    </row>
    <row r="14488" spans="1:98">
      <c r="A14488" s="532"/>
      <c r="AR14488" s="2513"/>
      <c r="CT14488" s="531"/>
    </row>
    <row r="14489" spans="1:98">
      <c r="A14489" s="532"/>
      <c r="AR14489" s="2513"/>
      <c r="CT14489" s="531"/>
    </row>
    <row r="14490" spans="1:98">
      <c r="A14490" s="532"/>
      <c r="AR14490" s="2513"/>
      <c r="CT14490" s="531"/>
    </row>
    <row r="14491" spans="1:98">
      <c r="A14491" s="532"/>
      <c r="AR14491" s="2513"/>
      <c r="CT14491" s="531"/>
    </row>
    <row r="14492" spans="1:98">
      <c r="A14492" s="532"/>
      <c r="AR14492" s="2513"/>
      <c r="CT14492" s="531"/>
    </row>
    <row r="14493" spans="1:98">
      <c r="A14493" s="532"/>
      <c r="AR14493" s="2513"/>
      <c r="CT14493" s="531"/>
    </row>
    <row r="14494" spans="1:98">
      <c r="A14494" s="532"/>
      <c r="AR14494" s="2513"/>
      <c r="CT14494" s="531"/>
    </row>
    <row r="14495" spans="1:98">
      <c r="A14495" s="532"/>
      <c r="AR14495" s="2513"/>
      <c r="CT14495" s="531"/>
    </row>
    <row r="14496" spans="1:98">
      <c r="A14496" s="532"/>
      <c r="AR14496" s="2513"/>
      <c r="CT14496" s="531"/>
    </row>
    <row r="14497" spans="1:98">
      <c r="A14497" s="532"/>
      <c r="AR14497" s="2513"/>
      <c r="CT14497" s="531"/>
    </row>
    <row r="14498" spans="1:98">
      <c r="A14498" s="532"/>
      <c r="AR14498" s="2513"/>
      <c r="CT14498" s="531"/>
    </row>
    <row r="14499" spans="1:98">
      <c r="A14499" s="532"/>
      <c r="AR14499" s="2513"/>
      <c r="CT14499" s="531"/>
    </row>
    <row r="14500" spans="1:98">
      <c r="A14500" s="532"/>
      <c r="AR14500" s="2513"/>
      <c r="CT14500" s="531"/>
    </row>
    <row r="14501" spans="1:98">
      <c r="A14501" s="532"/>
      <c r="AR14501" s="2513"/>
      <c r="CT14501" s="531"/>
    </row>
    <row r="14502" spans="1:98">
      <c r="A14502" s="532"/>
      <c r="AR14502" s="2513"/>
      <c r="CT14502" s="531"/>
    </row>
    <row r="14503" spans="1:98">
      <c r="A14503" s="532"/>
      <c r="AR14503" s="2513"/>
      <c r="CT14503" s="531"/>
    </row>
    <row r="14504" spans="1:98">
      <c r="A14504" s="532"/>
      <c r="AR14504" s="2513"/>
      <c r="CT14504" s="531"/>
    </row>
    <row r="14505" spans="1:98">
      <c r="A14505" s="532"/>
      <c r="AR14505" s="2513"/>
      <c r="CT14505" s="531"/>
    </row>
    <row r="14506" spans="1:98">
      <c r="A14506" s="532"/>
      <c r="AR14506" s="2513"/>
      <c r="CT14506" s="531"/>
    </row>
    <row r="14507" spans="1:98">
      <c r="A14507" s="532"/>
      <c r="AR14507" s="2513"/>
      <c r="CT14507" s="531"/>
    </row>
    <row r="14508" spans="1:98">
      <c r="A14508" s="532"/>
      <c r="AR14508" s="2513"/>
      <c r="CT14508" s="531"/>
    </row>
    <row r="14509" spans="1:98">
      <c r="A14509" s="532"/>
      <c r="AR14509" s="2513"/>
      <c r="CT14509" s="531"/>
    </row>
    <row r="14510" spans="1:98">
      <c r="A14510" s="532"/>
      <c r="AR14510" s="2513"/>
      <c r="CT14510" s="531"/>
    </row>
    <row r="14511" spans="1:98">
      <c r="A14511" s="532"/>
      <c r="AR14511" s="2513"/>
      <c r="CT14511" s="531"/>
    </row>
    <row r="14512" spans="1:98">
      <c r="A14512" s="532"/>
      <c r="AR14512" s="2513"/>
      <c r="CT14512" s="531"/>
    </row>
    <row r="14513" spans="1:98">
      <c r="A14513" s="532"/>
      <c r="AR14513" s="2513"/>
      <c r="CT14513" s="531"/>
    </row>
    <row r="14514" spans="1:98">
      <c r="A14514" s="532"/>
      <c r="AR14514" s="2513"/>
      <c r="CT14514" s="531"/>
    </row>
    <row r="14515" spans="1:98">
      <c r="A14515" s="532"/>
      <c r="AR14515" s="2513"/>
      <c r="CT14515" s="531"/>
    </row>
    <row r="14516" spans="1:98">
      <c r="A14516" s="532"/>
      <c r="AR14516" s="2513"/>
      <c r="CT14516" s="531"/>
    </row>
    <row r="14517" spans="1:98">
      <c r="A14517" s="532"/>
      <c r="AR14517" s="2513"/>
      <c r="CT14517" s="531"/>
    </row>
    <row r="14518" spans="1:98">
      <c r="A14518" s="532"/>
      <c r="AR14518" s="2513"/>
      <c r="CT14518" s="531"/>
    </row>
    <row r="14519" spans="1:98">
      <c r="A14519" s="532"/>
      <c r="AR14519" s="2513"/>
      <c r="CT14519" s="531"/>
    </row>
    <row r="14520" spans="1:98">
      <c r="A14520" s="532"/>
      <c r="AR14520" s="2513"/>
      <c r="CT14520" s="531"/>
    </row>
    <row r="14521" spans="1:98">
      <c r="A14521" s="532"/>
      <c r="AR14521" s="2513"/>
      <c r="CT14521" s="531"/>
    </row>
    <row r="14522" spans="1:98">
      <c r="A14522" s="532"/>
      <c r="AR14522" s="2513"/>
      <c r="CT14522" s="531"/>
    </row>
    <row r="14523" spans="1:98">
      <c r="A14523" s="532"/>
      <c r="AR14523" s="2513"/>
      <c r="CT14523" s="531"/>
    </row>
    <row r="14524" spans="1:98">
      <c r="A14524" s="532"/>
      <c r="AR14524" s="2513"/>
      <c r="CT14524" s="531"/>
    </row>
    <row r="14525" spans="1:98">
      <c r="A14525" s="532"/>
      <c r="AR14525" s="2513"/>
      <c r="CT14525" s="531"/>
    </row>
    <row r="14526" spans="1:98">
      <c r="A14526" s="532"/>
      <c r="AR14526" s="2513"/>
      <c r="CT14526" s="531"/>
    </row>
    <row r="14527" spans="1:98">
      <c r="A14527" s="532"/>
      <c r="AR14527" s="2513"/>
      <c r="CT14527" s="531"/>
    </row>
    <row r="14528" spans="1:98">
      <c r="A14528" s="532"/>
      <c r="AR14528" s="2513"/>
      <c r="CT14528" s="531"/>
    </row>
    <row r="14529" spans="1:98">
      <c r="A14529" s="532"/>
      <c r="AR14529" s="2513"/>
      <c r="CT14529" s="531"/>
    </row>
    <row r="14530" spans="1:98">
      <c r="A14530" s="532"/>
      <c r="AR14530" s="2513"/>
      <c r="CT14530" s="531"/>
    </row>
    <row r="14531" spans="1:98">
      <c r="A14531" s="532"/>
      <c r="AR14531" s="2513"/>
      <c r="CT14531" s="531"/>
    </row>
    <row r="14532" spans="1:98">
      <c r="A14532" s="532"/>
      <c r="AR14532" s="2513"/>
      <c r="CT14532" s="531"/>
    </row>
    <row r="14533" spans="1:98">
      <c r="A14533" s="532"/>
      <c r="AR14533" s="2513"/>
      <c r="CT14533" s="531"/>
    </row>
    <row r="14534" spans="1:98">
      <c r="A14534" s="532"/>
      <c r="AR14534" s="2513"/>
      <c r="CT14534" s="531"/>
    </row>
    <row r="14535" spans="1:98">
      <c r="A14535" s="532"/>
      <c r="AR14535" s="2513"/>
      <c r="CT14535" s="531"/>
    </row>
    <row r="14536" spans="1:98">
      <c r="A14536" s="532"/>
      <c r="AR14536" s="2513"/>
      <c r="CT14536" s="531"/>
    </row>
    <row r="14537" spans="1:98">
      <c r="A14537" s="532"/>
      <c r="AR14537" s="2513"/>
      <c r="CT14537" s="531"/>
    </row>
    <row r="14538" spans="1:98">
      <c r="A14538" s="532"/>
      <c r="AR14538" s="2513"/>
      <c r="CT14538" s="531"/>
    </row>
    <row r="14539" spans="1:98">
      <c r="A14539" s="532"/>
      <c r="AR14539" s="2513"/>
      <c r="CT14539" s="531"/>
    </row>
    <row r="14540" spans="1:98">
      <c r="A14540" s="532"/>
      <c r="AR14540" s="2513"/>
      <c r="CT14540" s="531"/>
    </row>
    <row r="14541" spans="1:98">
      <c r="A14541" s="532"/>
      <c r="AR14541" s="2513"/>
      <c r="CT14541" s="531"/>
    </row>
    <row r="14542" spans="1:98">
      <c r="A14542" s="532"/>
      <c r="AR14542" s="2513"/>
      <c r="CT14542" s="531"/>
    </row>
    <row r="14543" spans="1:98">
      <c r="A14543" s="532"/>
      <c r="AR14543" s="2513"/>
      <c r="CT14543" s="531"/>
    </row>
    <row r="14544" spans="1:98">
      <c r="A14544" s="532"/>
      <c r="AR14544" s="2513"/>
      <c r="CT14544" s="531"/>
    </row>
    <row r="14545" spans="1:98">
      <c r="A14545" s="532"/>
      <c r="AR14545" s="2513"/>
      <c r="CT14545" s="531"/>
    </row>
    <row r="14546" spans="1:98">
      <c r="A14546" s="532"/>
      <c r="AR14546" s="2513"/>
      <c r="CT14546" s="531"/>
    </row>
    <row r="14547" spans="1:98">
      <c r="A14547" s="532"/>
      <c r="AR14547" s="2513"/>
      <c r="CT14547" s="531"/>
    </row>
    <row r="14548" spans="1:98">
      <c r="A14548" s="532"/>
      <c r="AR14548" s="2513"/>
      <c r="CT14548" s="531"/>
    </row>
    <row r="14549" spans="1:98">
      <c r="A14549" s="532"/>
      <c r="AR14549" s="2513"/>
      <c r="CT14549" s="531"/>
    </row>
    <row r="14550" spans="1:98">
      <c r="A14550" s="532"/>
      <c r="AR14550" s="2513"/>
      <c r="CT14550" s="531"/>
    </row>
    <row r="14551" spans="1:98">
      <c r="A14551" s="532"/>
      <c r="AR14551" s="2513"/>
      <c r="CT14551" s="531"/>
    </row>
    <row r="14552" spans="1:98">
      <c r="A14552" s="532"/>
      <c r="AR14552" s="2513"/>
      <c r="CT14552" s="531"/>
    </row>
    <row r="14553" spans="1:98">
      <c r="A14553" s="532"/>
      <c r="AR14553" s="2513"/>
      <c r="CT14553" s="531"/>
    </row>
    <row r="14554" spans="1:98">
      <c r="A14554" s="532"/>
      <c r="AR14554" s="2513"/>
      <c r="CT14554" s="531"/>
    </row>
    <row r="14555" spans="1:98">
      <c r="A14555" s="532"/>
      <c r="AR14555" s="2513"/>
      <c r="CT14555" s="531"/>
    </row>
    <row r="14556" spans="1:98">
      <c r="A14556" s="532"/>
      <c r="AR14556" s="2513"/>
      <c r="CT14556" s="531"/>
    </row>
    <row r="14557" spans="1:98">
      <c r="A14557" s="532"/>
      <c r="AR14557" s="2513"/>
      <c r="CT14557" s="531"/>
    </row>
    <row r="14558" spans="1:98">
      <c r="A14558" s="532"/>
      <c r="AR14558" s="2513"/>
      <c r="CT14558" s="531"/>
    </row>
    <row r="14559" spans="1:98">
      <c r="A14559" s="532"/>
      <c r="AR14559" s="2513"/>
      <c r="CT14559" s="531"/>
    </row>
    <row r="14560" spans="1:98">
      <c r="A14560" s="532"/>
      <c r="AR14560" s="2513"/>
      <c r="CT14560" s="531"/>
    </row>
    <row r="14561" spans="1:98">
      <c r="A14561" s="532"/>
      <c r="AR14561" s="2513"/>
      <c r="CT14561" s="531"/>
    </row>
    <row r="14562" spans="1:98">
      <c r="A14562" s="532"/>
      <c r="AR14562" s="2513"/>
      <c r="CT14562" s="531"/>
    </row>
    <row r="14563" spans="1:98">
      <c r="A14563" s="532"/>
      <c r="AR14563" s="2513"/>
      <c r="CT14563" s="531"/>
    </row>
    <row r="14564" spans="1:98">
      <c r="A14564" s="532"/>
      <c r="AR14564" s="2513"/>
      <c r="CT14564" s="531"/>
    </row>
    <row r="14565" spans="1:98">
      <c r="A14565" s="532"/>
      <c r="AR14565" s="2513"/>
      <c r="CT14565" s="531"/>
    </row>
    <row r="14566" spans="1:98">
      <c r="A14566" s="532"/>
      <c r="AR14566" s="2513"/>
      <c r="CT14566" s="531"/>
    </row>
    <row r="14567" spans="1:98">
      <c r="A14567" s="532"/>
      <c r="AR14567" s="2513"/>
      <c r="CT14567" s="531"/>
    </row>
    <row r="14568" spans="1:98">
      <c r="A14568" s="532"/>
      <c r="AR14568" s="2513"/>
      <c r="CT14568" s="531"/>
    </row>
    <row r="14569" spans="1:98">
      <c r="A14569" s="532"/>
      <c r="AR14569" s="2513"/>
      <c r="CT14569" s="531"/>
    </row>
    <row r="14570" spans="1:98">
      <c r="A14570" s="532"/>
      <c r="AR14570" s="2513"/>
      <c r="CT14570" s="531"/>
    </row>
    <row r="14571" spans="1:98">
      <c r="A14571" s="532"/>
      <c r="AR14571" s="2513"/>
      <c r="CT14571" s="531"/>
    </row>
    <row r="14572" spans="1:98">
      <c r="A14572" s="532"/>
      <c r="AR14572" s="2513"/>
      <c r="CT14572" s="531"/>
    </row>
    <row r="14573" spans="1:98">
      <c r="A14573" s="532"/>
      <c r="AR14573" s="2513"/>
      <c r="CT14573" s="531"/>
    </row>
    <row r="14574" spans="1:98">
      <c r="A14574" s="532"/>
      <c r="AR14574" s="2513"/>
      <c r="CT14574" s="531"/>
    </row>
    <row r="14575" spans="1:98">
      <c r="A14575" s="532"/>
      <c r="AR14575" s="2513"/>
      <c r="CT14575" s="531"/>
    </row>
    <row r="14576" spans="1:98">
      <c r="A14576" s="532"/>
      <c r="AR14576" s="2513"/>
      <c r="CT14576" s="531"/>
    </row>
    <row r="14577" spans="1:98">
      <c r="A14577" s="532"/>
      <c r="AR14577" s="2513"/>
      <c r="CT14577" s="531"/>
    </row>
    <row r="14578" spans="1:98">
      <c r="A14578" s="532"/>
      <c r="AR14578" s="2513"/>
      <c r="CT14578" s="531"/>
    </row>
    <row r="14579" spans="1:98">
      <c r="A14579" s="532"/>
      <c r="AR14579" s="2513"/>
      <c r="CT14579" s="531"/>
    </row>
    <row r="14580" spans="1:98">
      <c r="A14580" s="532"/>
      <c r="AR14580" s="2513"/>
      <c r="CT14580" s="531"/>
    </row>
    <row r="14581" spans="1:98">
      <c r="A14581" s="532"/>
      <c r="AR14581" s="2513"/>
      <c r="CT14581" s="531"/>
    </row>
    <row r="14582" spans="1:98">
      <c r="A14582" s="532"/>
      <c r="AR14582" s="2513"/>
      <c r="CT14582" s="531"/>
    </row>
    <row r="14583" spans="1:98">
      <c r="A14583" s="532"/>
      <c r="AR14583" s="2513"/>
      <c r="CT14583" s="531"/>
    </row>
    <row r="14584" spans="1:98">
      <c r="A14584" s="532"/>
      <c r="AR14584" s="2513"/>
      <c r="CT14584" s="531"/>
    </row>
    <row r="14585" spans="1:98">
      <c r="A14585" s="532"/>
      <c r="AR14585" s="2513"/>
      <c r="CT14585" s="531"/>
    </row>
    <row r="14586" spans="1:98">
      <c r="A14586" s="532"/>
      <c r="AR14586" s="2513"/>
      <c r="CT14586" s="531"/>
    </row>
    <row r="14587" spans="1:98">
      <c r="A14587" s="532"/>
      <c r="AR14587" s="2513"/>
      <c r="CT14587" s="531"/>
    </row>
    <row r="14588" spans="1:98">
      <c r="A14588" s="532"/>
      <c r="AR14588" s="2513"/>
      <c r="CT14588" s="531"/>
    </row>
    <row r="14589" spans="1:98">
      <c r="A14589" s="532"/>
      <c r="AR14589" s="2513"/>
      <c r="CT14589" s="531"/>
    </row>
    <row r="14590" spans="1:98">
      <c r="A14590" s="532"/>
      <c r="AR14590" s="2513"/>
      <c r="CT14590" s="531"/>
    </row>
    <row r="14591" spans="1:98">
      <c r="A14591" s="532"/>
      <c r="AR14591" s="2513"/>
      <c r="CT14591" s="531"/>
    </row>
    <row r="14592" spans="1:98">
      <c r="A14592" s="532"/>
      <c r="AR14592" s="2513"/>
      <c r="CT14592" s="531"/>
    </row>
    <row r="14593" spans="1:98">
      <c r="A14593" s="532"/>
      <c r="AR14593" s="2513"/>
      <c r="CT14593" s="531"/>
    </row>
    <row r="14594" spans="1:98">
      <c r="A14594" s="532"/>
      <c r="AR14594" s="2513"/>
      <c r="CT14594" s="531"/>
    </row>
    <row r="14595" spans="1:98">
      <c r="A14595" s="532"/>
      <c r="AR14595" s="2513"/>
      <c r="CT14595" s="531"/>
    </row>
    <row r="14596" spans="1:98">
      <c r="A14596" s="532"/>
      <c r="AR14596" s="2513"/>
      <c r="CT14596" s="531"/>
    </row>
    <row r="14597" spans="1:98">
      <c r="A14597" s="532"/>
      <c r="AR14597" s="2513"/>
      <c r="CT14597" s="531"/>
    </row>
    <row r="14598" spans="1:98">
      <c r="A14598" s="532"/>
      <c r="AR14598" s="2513"/>
      <c r="CT14598" s="531"/>
    </row>
    <row r="14599" spans="1:98">
      <c r="A14599" s="532"/>
      <c r="AR14599" s="2513"/>
      <c r="CT14599" s="531"/>
    </row>
    <row r="14600" spans="1:98">
      <c r="A14600" s="532"/>
      <c r="AR14600" s="2513"/>
      <c r="CT14600" s="531"/>
    </row>
    <row r="14601" spans="1:98">
      <c r="A14601" s="532"/>
      <c r="AR14601" s="2513"/>
      <c r="CT14601" s="531"/>
    </row>
    <row r="14602" spans="1:98">
      <c r="A14602" s="532"/>
      <c r="AR14602" s="2513"/>
      <c r="CT14602" s="531"/>
    </row>
    <row r="14603" spans="1:98">
      <c r="A14603" s="532"/>
      <c r="AR14603" s="2513"/>
      <c r="CT14603" s="531"/>
    </row>
    <row r="14604" spans="1:98">
      <c r="A14604" s="532"/>
      <c r="AR14604" s="2513"/>
      <c r="CT14604" s="531"/>
    </row>
    <row r="14605" spans="1:98">
      <c r="A14605" s="532"/>
      <c r="AR14605" s="2513"/>
      <c r="CT14605" s="531"/>
    </row>
    <row r="14606" spans="1:98">
      <c r="A14606" s="532"/>
      <c r="AR14606" s="2513"/>
      <c r="CT14606" s="531"/>
    </row>
    <row r="14607" spans="1:98">
      <c r="A14607" s="532"/>
      <c r="AR14607" s="2513"/>
      <c r="CT14607" s="531"/>
    </row>
    <row r="14608" spans="1:98">
      <c r="A14608" s="532"/>
      <c r="AR14608" s="2513"/>
      <c r="CT14608" s="531"/>
    </row>
    <row r="14609" spans="1:98">
      <c r="A14609" s="532"/>
      <c r="AR14609" s="2513"/>
      <c r="CT14609" s="531"/>
    </row>
    <row r="14610" spans="1:98">
      <c r="A14610" s="532"/>
      <c r="AR14610" s="2513"/>
      <c r="CT14610" s="531"/>
    </row>
    <row r="14611" spans="1:98">
      <c r="A14611" s="532"/>
      <c r="AR14611" s="2513"/>
      <c r="CT14611" s="531"/>
    </row>
    <row r="14612" spans="1:98">
      <c r="A14612" s="532"/>
      <c r="AR14612" s="2513"/>
      <c r="CT14612" s="531"/>
    </row>
    <row r="14613" spans="1:98">
      <c r="A14613" s="532"/>
      <c r="AR14613" s="2513"/>
      <c r="CT14613" s="531"/>
    </row>
    <row r="14614" spans="1:98">
      <c r="A14614" s="532"/>
      <c r="AR14614" s="2513"/>
      <c r="CT14614" s="531"/>
    </row>
    <row r="14615" spans="1:98">
      <c r="A14615" s="532"/>
      <c r="AR14615" s="2513"/>
      <c r="CT14615" s="531"/>
    </row>
    <row r="14616" spans="1:98">
      <c r="A14616" s="532"/>
      <c r="AR14616" s="2513"/>
      <c r="CT14616" s="531"/>
    </row>
    <row r="14617" spans="1:98">
      <c r="A14617" s="532"/>
      <c r="AR14617" s="2513"/>
      <c r="CT14617" s="531"/>
    </row>
    <row r="14618" spans="1:98">
      <c r="A14618" s="532"/>
      <c r="AR14618" s="2513"/>
      <c r="CT14618" s="531"/>
    </row>
    <row r="14619" spans="1:98">
      <c r="A14619" s="532"/>
      <c r="AR14619" s="2513"/>
      <c r="CT14619" s="531"/>
    </row>
    <row r="14620" spans="1:98">
      <c r="A14620" s="532"/>
      <c r="AR14620" s="2513"/>
      <c r="CT14620" s="531"/>
    </row>
    <row r="14621" spans="1:98">
      <c r="A14621" s="532"/>
      <c r="AR14621" s="2513"/>
      <c r="CT14621" s="531"/>
    </row>
    <row r="14622" spans="1:98">
      <c r="A14622" s="532"/>
      <c r="AR14622" s="2513"/>
      <c r="CT14622" s="531"/>
    </row>
    <row r="14623" spans="1:98">
      <c r="A14623" s="532"/>
      <c r="AR14623" s="2513"/>
      <c r="CT14623" s="531"/>
    </row>
    <row r="14624" spans="1:98">
      <c r="A14624" s="532"/>
      <c r="AR14624" s="2513"/>
      <c r="CT14624" s="531"/>
    </row>
    <row r="14625" spans="1:98">
      <c r="A14625" s="532"/>
      <c r="AR14625" s="2513"/>
      <c r="CT14625" s="531"/>
    </row>
    <row r="14626" spans="1:98">
      <c r="A14626" s="532"/>
      <c r="AR14626" s="2513"/>
      <c r="CT14626" s="531"/>
    </row>
    <row r="14627" spans="1:98">
      <c r="A14627" s="532"/>
      <c r="AR14627" s="2513"/>
      <c r="CT14627" s="531"/>
    </row>
    <row r="14628" spans="1:98">
      <c r="A14628" s="532"/>
      <c r="AR14628" s="2513"/>
      <c r="CT14628" s="531"/>
    </row>
    <row r="14629" spans="1:98">
      <c r="A14629" s="532"/>
      <c r="AR14629" s="2513"/>
      <c r="CT14629" s="531"/>
    </row>
    <row r="14630" spans="1:98">
      <c r="A14630" s="532"/>
      <c r="AR14630" s="2513"/>
      <c r="CT14630" s="531"/>
    </row>
    <row r="14631" spans="1:98">
      <c r="A14631" s="532"/>
      <c r="AR14631" s="2513"/>
      <c r="CT14631" s="531"/>
    </row>
    <row r="14632" spans="1:98">
      <c r="A14632" s="532"/>
      <c r="AR14632" s="2513"/>
      <c r="CT14632" s="531"/>
    </row>
    <row r="14633" spans="1:98">
      <c r="A14633" s="532"/>
      <c r="AR14633" s="2513"/>
      <c r="CT14633" s="531"/>
    </row>
    <row r="14634" spans="1:98">
      <c r="A14634" s="532"/>
      <c r="AR14634" s="2513"/>
      <c r="CT14634" s="531"/>
    </row>
    <row r="14635" spans="1:98">
      <c r="A14635" s="532"/>
      <c r="AR14635" s="2513"/>
      <c r="CT14635" s="531"/>
    </row>
    <row r="14636" spans="1:98">
      <c r="A14636" s="532"/>
      <c r="AR14636" s="2513"/>
      <c r="CT14636" s="531"/>
    </row>
    <row r="14637" spans="1:98">
      <c r="A14637" s="532"/>
      <c r="AR14637" s="2513"/>
      <c r="CT14637" s="531"/>
    </row>
    <row r="14638" spans="1:98">
      <c r="A14638" s="532"/>
      <c r="AR14638" s="2513"/>
      <c r="CT14638" s="531"/>
    </row>
    <row r="14639" spans="1:98">
      <c r="A14639" s="532"/>
      <c r="AR14639" s="2513"/>
      <c r="CT14639" s="531"/>
    </row>
    <row r="14640" spans="1:98">
      <c r="A14640" s="532"/>
      <c r="AR14640" s="2513"/>
      <c r="CT14640" s="531"/>
    </row>
    <row r="14641" spans="1:98">
      <c r="A14641" s="532"/>
      <c r="AR14641" s="2513"/>
      <c r="CT14641" s="531"/>
    </row>
    <row r="14642" spans="1:98">
      <c r="A14642" s="532"/>
      <c r="AR14642" s="2513"/>
      <c r="CT14642" s="531"/>
    </row>
    <row r="14643" spans="1:98">
      <c r="A14643" s="532"/>
      <c r="AR14643" s="2513"/>
      <c r="CT14643" s="531"/>
    </row>
    <row r="14644" spans="1:98">
      <c r="A14644" s="532"/>
      <c r="AR14644" s="2513"/>
      <c r="CT14644" s="531"/>
    </row>
    <row r="14645" spans="1:98">
      <c r="A14645" s="532"/>
      <c r="AR14645" s="2513"/>
      <c r="CT14645" s="531"/>
    </row>
    <row r="14646" spans="1:98">
      <c r="A14646" s="532"/>
      <c r="AR14646" s="2513"/>
      <c r="CT14646" s="531"/>
    </row>
    <row r="14647" spans="1:98">
      <c r="A14647" s="532"/>
      <c r="AR14647" s="2513"/>
      <c r="CT14647" s="531"/>
    </row>
    <row r="14648" spans="1:98">
      <c r="A14648" s="532"/>
      <c r="AR14648" s="2513"/>
      <c r="CT14648" s="531"/>
    </row>
    <row r="14649" spans="1:98">
      <c r="A14649" s="532"/>
      <c r="AR14649" s="2513"/>
      <c r="CT14649" s="531"/>
    </row>
    <row r="14650" spans="1:98">
      <c r="A14650" s="532"/>
      <c r="AR14650" s="2513"/>
      <c r="CT14650" s="531"/>
    </row>
    <row r="14651" spans="1:98">
      <c r="A14651" s="532"/>
      <c r="AR14651" s="2513"/>
      <c r="CT14651" s="531"/>
    </row>
    <row r="14652" spans="1:98">
      <c r="A14652" s="532"/>
      <c r="AR14652" s="2513"/>
      <c r="CT14652" s="531"/>
    </row>
    <row r="14653" spans="1:98">
      <c r="A14653" s="532"/>
      <c r="AR14653" s="2513"/>
      <c r="CT14653" s="531"/>
    </row>
    <row r="14654" spans="1:98">
      <c r="A14654" s="532"/>
      <c r="AR14654" s="2513"/>
      <c r="CT14654" s="531"/>
    </row>
    <row r="14655" spans="1:98">
      <c r="A14655" s="532"/>
      <c r="AR14655" s="2513"/>
      <c r="CT14655" s="531"/>
    </row>
    <row r="14656" spans="1:98">
      <c r="A14656" s="532"/>
      <c r="AR14656" s="2513"/>
      <c r="CT14656" s="531"/>
    </row>
    <row r="14657" spans="1:98">
      <c r="A14657" s="532"/>
      <c r="AR14657" s="2513"/>
      <c r="CT14657" s="531"/>
    </row>
    <row r="14658" spans="1:98">
      <c r="A14658" s="532"/>
      <c r="AR14658" s="2513"/>
      <c r="CT14658" s="531"/>
    </row>
    <row r="14659" spans="1:98">
      <c r="A14659" s="532"/>
      <c r="AR14659" s="2513"/>
      <c r="CT14659" s="531"/>
    </row>
    <row r="14660" spans="1:98">
      <c r="A14660" s="532"/>
      <c r="AR14660" s="2513"/>
      <c r="CT14660" s="531"/>
    </row>
    <row r="14661" spans="1:98">
      <c r="A14661" s="532"/>
      <c r="AR14661" s="2513"/>
      <c r="CT14661" s="531"/>
    </row>
    <row r="14662" spans="1:98">
      <c r="A14662" s="532"/>
      <c r="AR14662" s="2513"/>
      <c r="CT14662" s="531"/>
    </row>
    <row r="14663" spans="1:98">
      <c r="A14663" s="532"/>
      <c r="AR14663" s="2513"/>
      <c r="CT14663" s="531"/>
    </row>
    <row r="14664" spans="1:98">
      <c r="A14664" s="532"/>
      <c r="AR14664" s="2513"/>
      <c r="CT14664" s="531"/>
    </row>
    <row r="14665" spans="1:98">
      <c r="A14665" s="532"/>
      <c r="AR14665" s="2513"/>
      <c r="CT14665" s="531"/>
    </row>
    <row r="14666" spans="1:98">
      <c r="A14666" s="532"/>
      <c r="AR14666" s="2513"/>
      <c r="CT14666" s="531"/>
    </row>
    <row r="14667" spans="1:98">
      <c r="A14667" s="532"/>
      <c r="AR14667" s="2513"/>
      <c r="CT14667" s="531"/>
    </row>
    <row r="14668" spans="1:98">
      <c r="A14668" s="532"/>
      <c r="AR14668" s="2513"/>
      <c r="CT14668" s="531"/>
    </row>
    <row r="14669" spans="1:98">
      <c r="A14669" s="532"/>
      <c r="AR14669" s="2513"/>
      <c r="CT14669" s="531"/>
    </row>
    <row r="14670" spans="1:98">
      <c r="A14670" s="532"/>
      <c r="AR14670" s="2513"/>
      <c r="CT14670" s="531"/>
    </row>
    <row r="14671" spans="1:98">
      <c r="A14671" s="532"/>
      <c r="AR14671" s="2513"/>
      <c r="CT14671" s="531"/>
    </row>
    <row r="14672" spans="1:98">
      <c r="A14672" s="532"/>
      <c r="AR14672" s="2513"/>
      <c r="CT14672" s="531"/>
    </row>
    <row r="14673" spans="1:98">
      <c r="A14673" s="532"/>
      <c r="AR14673" s="2513"/>
      <c r="CT14673" s="531"/>
    </row>
    <row r="14674" spans="1:98">
      <c r="A14674" s="532"/>
      <c r="AR14674" s="2513"/>
      <c r="CT14674" s="531"/>
    </row>
    <row r="14675" spans="1:98">
      <c r="A14675" s="532"/>
      <c r="AR14675" s="2513"/>
      <c r="CT14675" s="531"/>
    </row>
    <row r="14676" spans="1:98">
      <c r="A14676" s="532"/>
      <c r="AR14676" s="2513"/>
      <c r="CT14676" s="531"/>
    </row>
    <row r="14677" spans="1:98">
      <c r="A14677" s="532"/>
      <c r="AR14677" s="2513"/>
      <c r="CT14677" s="531"/>
    </row>
    <row r="14678" spans="1:98">
      <c r="A14678" s="532"/>
      <c r="AR14678" s="2513"/>
      <c r="CT14678" s="531"/>
    </row>
    <row r="14679" spans="1:98">
      <c r="A14679" s="532"/>
      <c r="AR14679" s="2513"/>
      <c r="CT14679" s="531"/>
    </row>
    <row r="14680" spans="1:98">
      <c r="A14680" s="532"/>
      <c r="AR14680" s="2513"/>
      <c r="CT14680" s="531"/>
    </row>
    <row r="14681" spans="1:98">
      <c r="A14681" s="532"/>
      <c r="AR14681" s="2513"/>
      <c r="CT14681" s="531"/>
    </row>
    <row r="14682" spans="1:98">
      <c r="A14682" s="532"/>
      <c r="AR14682" s="2513"/>
      <c r="CT14682" s="531"/>
    </row>
    <row r="14683" spans="1:98">
      <c r="A14683" s="532"/>
      <c r="AR14683" s="2513"/>
      <c r="CT14683" s="531"/>
    </row>
    <row r="14684" spans="1:98">
      <c r="A14684" s="532"/>
      <c r="AR14684" s="2513"/>
      <c r="CT14684" s="531"/>
    </row>
    <row r="14685" spans="1:98">
      <c r="A14685" s="532"/>
      <c r="AR14685" s="2513"/>
      <c r="CT14685" s="531"/>
    </row>
    <row r="14686" spans="1:98">
      <c r="A14686" s="532"/>
      <c r="AR14686" s="2513"/>
      <c r="CT14686" s="531"/>
    </row>
    <row r="14687" spans="1:98">
      <c r="A14687" s="532"/>
      <c r="AR14687" s="2513"/>
      <c r="CT14687" s="531"/>
    </row>
    <row r="14688" spans="1:98">
      <c r="A14688" s="532"/>
      <c r="AR14688" s="2513"/>
      <c r="CT14688" s="531"/>
    </row>
    <row r="14689" spans="1:98">
      <c r="A14689" s="532"/>
      <c r="AR14689" s="2513"/>
      <c r="CT14689" s="531"/>
    </row>
    <row r="14690" spans="1:98">
      <c r="A14690" s="532"/>
      <c r="AR14690" s="2513"/>
      <c r="CT14690" s="531"/>
    </row>
    <row r="14691" spans="1:98">
      <c r="A14691" s="532"/>
      <c r="AR14691" s="2513"/>
      <c r="CT14691" s="531"/>
    </row>
    <row r="14692" spans="1:98">
      <c r="A14692" s="532"/>
      <c r="AR14692" s="2513"/>
      <c r="CT14692" s="531"/>
    </row>
    <row r="14693" spans="1:98">
      <c r="A14693" s="532"/>
      <c r="AR14693" s="2513"/>
      <c r="CT14693" s="531"/>
    </row>
    <row r="14694" spans="1:98">
      <c r="A14694" s="532"/>
      <c r="AR14694" s="2513"/>
      <c r="CT14694" s="531"/>
    </row>
    <row r="14695" spans="1:98">
      <c r="A14695" s="532"/>
      <c r="AR14695" s="2513"/>
      <c r="CT14695" s="531"/>
    </row>
    <row r="14696" spans="1:98">
      <c r="A14696" s="532"/>
      <c r="AR14696" s="2513"/>
      <c r="CT14696" s="531"/>
    </row>
    <row r="14697" spans="1:98">
      <c r="A14697" s="532"/>
      <c r="AR14697" s="2513"/>
      <c r="CT14697" s="531"/>
    </row>
    <row r="14698" spans="1:98">
      <c r="A14698" s="532"/>
      <c r="AR14698" s="2513"/>
      <c r="CT14698" s="531"/>
    </row>
    <row r="14699" spans="1:98">
      <c r="A14699" s="532"/>
      <c r="AR14699" s="2513"/>
      <c r="CT14699" s="531"/>
    </row>
    <row r="14700" spans="1:98">
      <c r="A14700" s="532"/>
      <c r="AR14700" s="2513"/>
      <c r="CT14700" s="531"/>
    </row>
    <row r="14701" spans="1:98">
      <c r="A14701" s="532"/>
      <c r="AR14701" s="2513"/>
      <c r="CT14701" s="531"/>
    </row>
    <row r="14702" spans="1:98">
      <c r="A14702" s="532"/>
      <c r="AR14702" s="2513"/>
      <c r="CT14702" s="531"/>
    </row>
    <row r="14703" spans="1:98">
      <c r="A14703" s="532"/>
      <c r="AR14703" s="2513"/>
      <c r="CT14703" s="531"/>
    </row>
    <row r="14704" spans="1:98">
      <c r="A14704" s="532"/>
      <c r="AR14704" s="2513"/>
      <c r="CT14704" s="531"/>
    </row>
    <row r="14705" spans="1:98">
      <c r="A14705" s="532"/>
      <c r="AR14705" s="2513"/>
      <c r="CT14705" s="531"/>
    </row>
    <row r="14706" spans="1:98">
      <c r="A14706" s="532"/>
      <c r="AR14706" s="2513"/>
      <c r="CT14706" s="531"/>
    </row>
    <row r="14707" spans="1:98">
      <c r="A14707" s="532"/>
      <c r="AR14707" s="2513"/>
      <c r="CT14707" s="531"/>
    </row>
    <row r="14708" spans="1:98">
      <c r="A14708" s="532"/>
      <c r="AR14708" s="2513"/>
      <c r="CT14708" s="531"/>
    </row>
    <row r="14709" spans="1:98">
      <c r="A14709" s="532"/>
      <c r="AR14709" s="2513"/>
      <c r="CT14709" s="531"/>
    </row>
    <row r="14710" spans="1:98">
      <c r="A14710" s="532"/>
      <c r="AR14710" s="2513"/>
      <c r="CT14710" s="531"/>
    </row>
    <row r="14711" spans="1:98">
      <c r="A14711" s="532"/>
      <c r="AR14711" s="2513"/>
      <c r="CT14711" s="531"/>
    </row>
    <row r="14712" spans="1:98">
      <c r="A14712" s="532"/>
      <c r="AR14712" s="2513"/>
      <c r="CT14712" s="531"/>
    </row>
    <row r="14713" spans="1:98">
      <c r="A14713" s="532"/>
      <c r="AR14713" s="2513"/>
      <c r="CT14713" s="531"/>
    </row>
    <row r="14714" spans="1:98">
      <c r="A14714" s="532"/>
      <c r="AR14714" s="2513"/>
      <c r="CT14714" s="531"/>
    </row>
    <row r="14715" spans="1:98">
      <c r="A14715" s="532"/>
      <c r="AR14715" s="2513"/>
      <c r="CT14715" s="531"/>
    </row>
    <row r="14716" spans="1:98">
      <c r="A14716" s="532"/>
      <c r="AR14716" s="2513"/>
      <c r="CT14716" s="531"/>
    </row>
    <row r="14717" spans="1:98">
      <c r="A14717" s="532"/>
      <c r="AR14717" s="2513"/>
      <c r="CT14717" s="531"/>
    </row>
    <row r="14718" spans="1:98">
      <c r="A14718" s="532"/>
      <c r="AR14718" s="2513"/>
      <c r="CT14718" s="531"/>
    </row>
    <row r="14719" spans="1:98">
      <c r="A14719" s="532"/>
      <c r="AR14719" s="2513"/>
      <c r="CT14719" s="531"/>
    </row>
    <row r="14720" spans="1:98">
      <c r="A14720" s="532"/>
      <c r="AR14720" s="2513"/>
      <c r="CT14720" s="531"/>
    </row>
    <row r="14721" spans="1:98">
      <c r="A14721" s="532"/>
      <c r="AR14721" s="2513"/>
      <c r="CT14721" s="531"/>
    </row>
    <row r="14722" spans="1:98">
      <c r="A14722" s="532"/>
      <c r="AR14722" s="2513"/>
      <c r="CT14722" s="531"/>
    </row>
    <row r="14723" spans="1:98">
      <c r="A14723" s="532"/>
      <c r="AR14723" s="2513"/>
      <c r="CT14723" s="531"/>
    </row>
    <row r="14724" spans="1:98">
      <c r="A14724" s="532"/>
      <c r="AR14724" s="2513"/>
      <c r="CT14724" s="531"/>
    </row>
    <row r="14725" spans="1:98">
      <c r="A14725" s="532"/>
      <c r="AR14725" s="2513"/>
      <c r="CT14725" s="531"/>
    </row>
    <row r="14726" spans="1:98">
      <c r="A14726" s="532"/>
      <c r="AR14726" s="2513"/>
      <c r="CT14726" s="531"/>
    </row>
    <row r="14727" spans="1:98">
      <c r="A14727" s="532"/>
      <c r="AR14727" s="2513"/>
      <c r="CT14727" s="531"/>
    </row>
    <row r="14728" spans="1:98">
      <c r="A14728" s="532"/>
      <c r="AR14728" s="2513"/>
      <c r="CT14728" s="531"/>
    </row>
    <row r="14729" spans="1:98">
      <c r="A14729" s="532"/>
      <c r="AR14729" s="2513"/>
      <c r="CT14729" s="531"/>
    </row>
    <row r="14730" spans="1:98">
      <c r="A14730" s="532"/>
      <c r="AR14730" s="2513"/>
      <c r="CT14730" s="531"/>
    </row>
    <row r="14731" spans="1:98">
      <c r="A14731" s="532"/>
      <c r="AR14731" s="2513"/>
      <c r="CT14731" s="531"/>
    </row>
    <row r="14732" spans="1:98">
      <c r="A14732" s="532"/>
      <c r="AR14732" s="2513"/>
      <c r="CT14732" s="531"/>
    </row>
    <row r="14733" spans="1:98">
      <c r="A14733" s="532"/>
      <c r="AR14733" s="2513"/>
      <c r="CT14733" s="531"/>
    </row>
    <row r="14734" spans="1:98">
      <c r="A14734" s="532"/>
      <c r="AR14734" s="2513"/>
      <c r="CT14734" s="531"/>
    </row>
    <row r="14735" spans="1:98">
      <c r="A14735" s="532"/>
      <c r="AR14735" s="2513"/>
      <c r="CT14735" s="531"/>
    </row>
    <row r="14736" spans="1:98">
      <c r="A14736" s="532"/>
      <c r="AR14736" s="2513"/>
      <c r="CT14736" s="531"/>
    </row>
    <row r="14737" spans="1:98">
      <c r="A14737" s="532"/>
      <c r="AR14737" s="2513"/>
      <c r="CT14737" s="531"/>
    </row>
    <row r="14738" spans="1:98">
      <c r="A14738" s="532"/>
      <c r="AR14738" s="2513"/>
      <c r="CT14738" s="531"/>
    </row>
    <row r="14739" spans="1:98">
      <c r="A14739" s="532"/>
      <c r="AR14739" s="2513"/>
      <c r="CT14739" s="531"/>
    </row>
    <row r="14740" spans="1:98">
      <c r="A14740" s="532"/>
      <c r="AR14740" s="2513"/>
      <c r="CT14740" s="531"/>
    </row>
    <row r="14741" spans="1:98">
      <c r="A14741" s="532"/>
      <c r="AR14741" s="2513"/>
      <c r="CT14741" s="531"/>
    </row>
    <row r="14742" spans="1:98">
      <c r="A14742" s="532"/>
      <c r="AR14742" s="2513"/>
      <c r="CT14742" s="531"/>
    </row>
    <row r="14743" spans="1:98">
      <c r="A14743" s="532"/>
      <c r="AR14743" s="2513"/>
      <c r="CT14743" s="531"/>
    </row>
    <row r="14744" spans="1:98">
      <c r="A14744" s="532"/>
      <c r="AR14744" s="2513"/>
      <c r="CT14744" s="531"/>
    </row>
    <row r="14745" spans="1:98">
      <c r="A14745" s="532"/>
      <c r="AR14745" s="2513"/>
      <c r="CT14745" s="531"/>
    </row>
    <row r="14746" spans="1:98">
      <c r="A14746" s="532"/>
      <c r="AR14746" s="2513"/>
      <c r="CT14746" s="531"/>
    </row>
    <row r="14747" spans="1:98">
      <c r="A14747" s="532"/>
      <c r="AR14747" s="2513"/>
      <c r="CT14747" s="531"/>
    </row>
    <row r="14748" spans="1:98">
      <c r="A14748" s="532"/>
      <c r="AR14748" s="2513"/>
      <c r="CT14748" s="531"/>
    </row>
    <row r="14749" spans="1:98">
      <c r="A14749" s="532"/>
      <c r="AR14749" s="2513"/>
      <c r="CT14749" s="531"/>
    </row>
    <row r="14750" spans="1:98">
      <c r="A14750" s="532"/>
      <c r="AR14750" s="2513"/>
      <c r="CT14750" s="531"/>
    </row>
    <row r="14751" spans="1:98">
      <c r="A14751" s="532"/>
      <c r="AR14751" s="2513"/>
      <c r="CT14751" s="531"/>
    </row>
    <row r="14752" spans="1:98">
      <c r="A14752" s="532"/>
      <c r="AR14752" s="2513"/>
      <c r="CT14752" s="531"/>
    </row>
    <row r="14753" spans="1:98">
      <c r="A14753" s="532"/>
      <c r="AR14753" s="2513"/>
      <c r="CT14753" s="531"/>
    </row>
    <row r="14754" spans="1:98">
      <c r="A14754" s="532"/>
      <c r="AR14754" s="2513"/>
      <c r="CT14754" s="531"/>
    </row>
    <row r="14755" spans="1:98">
      <c r="A14755" s="532"/>
      <c r="AR14755" s="2513"/>
      <c r="CT14755" s="531"/>
    </row>
    <row r="14756" spans="1:98">
      <c r="A14756" s="532"/>
      <c r="AR14756" s="2513"/>
      <c r="CT14756" s="531"/>
    </row>
    <row r="14757" spans="1:98">
      <c r="A14757" s="532"/>
      <c r="AR14757" s="2513"/>
      <c r="CT14757" s="531"/>
    </row>
    <row r="14758" spans="1:98">
      <c r="A14758" s="532"/>
      <c r="AR14758" s="2513"/>
      <c r="CT14758" s="531"/>
    </row>
    <row r="14759" spans="1:98">
      <c r="A14759" s="532"/>
      <c r="AR14759" s="2513"/>
      <c r="CT14759" s="531"/>
    </row>
    <row r="14760" spans="1:98">
      <c r="A14760" s="532"/>
      <c r="AR14760" s="2513"/>
      <c r="CT14760" s="531"/>
    </row>
    <row r="14761" spans="1:98">
      <c r="A14761" s="532"/>
      <c r="AR14761" s="2513"/>
      <c r="CT14761" s="531"/>
    </row>
    <row r="14762" spans="1:98">
      <c r="A14762" s="532"/>
      <c r="AR14762" s="2513"/>
      <c r="CT14762" s="531"/>
    </row>
    <row r="14763" spans="1:98">
      <c r="A14763" s="532"/>
      <c r="AR14763" s="2513"/>
      <c r="CT14763" s="531"/>
    </row>
    <row r="14764" spans="1:98">
      <c r="A14764" s="532"/>
      <c r="AR14764" s="2513"/>
      <c r="CT14764" s="531"/>
    </row>
    <row r="14765" spans="1:98">
      <c r="A14765" s="532"/>
      <c r="AR14765" s="2513"/>
      <c r="CT14765" s="531"/>
    </row>
    <row r="14766" spans="1:98">
      <c r="A14766" s="532"/>
      <c r="AR14766" s="2513"/>
      <c r="CT14766" s="531"/>
    </row>
    <row r="14767" spans="1:98">
      <c r="A14767" s="532"/>
      <c r="AR14767" s="2513"/>
      <c r="CT14767" s="531"/>
    </row>
    <row r="14768" spans="1:98">
      <c r="A14768" s="532"/>
      <c r="AR14768" s="2513"/>
      <c r="CT14768" s="531"/>
    </row>
    <row r="14769" spans="1:98">
      <c r="A14769" s="532"/>
      <c r="AR14769" s="2513"/>
      <c r="CT14769" s="531"/>
    </row>
    <row r="14770" spans="1:98">
      <c r="A14770" s="532"/>
      <c r="AR14770" s="2513"/>
      <c r="CT14770" s="531"/>
    </row>
    <row r="14771" spans="1:98">
      <c r="A14771" s="532"/>
      <c r="AR14771" s="2513"/>
      <c r="CT14771" s="531"/>
    </row>
    <row r="14772" spans="1:98">
      <c r="A14772" s="532"/>
      <c r="AR14772" s="2513"/>
      <c r="CT14772" s="531"/>
    </row>
    <row r="14773" spans="1:98">
      <c r="A14773" s="532"/>
      <c r="AR14773" s="2513"/>
      <c r="CT14773" s="531"/>
    </row>
    <row r="14774" spans="1:98">
      <c r="A14774" s="532"/>
      <c r="AR14774" s="2513"/>
      <c r="CT14774" s="531"/>
    </row>
    <row r="14775" spans="1:98">
      <c r="A14775" s="532"/>
      <c r="AR14775" s="2513"/>
      <c r="CT14775" s="531"/>
    </row>
    <row r="14776" spans="1:98">
      <c r="A14776" s="532"/>
      <c r="AR14776" s="2513"/>
      <c r="CT14776" s="531"/>
    </row>
    <row r="14777" spans="1:98">
      <c r="A14777" s="532"/>
      <c r="AR14777" s="2513"/>
      <c r="CT14777" s="531"/>
    </row>
    <row r="14778" spans="1:98">
      <c r="A14778" s="532"/>
      <c r="AR14778" s="2513"/>
      <c r="CT14778" s="531"/>
    </row>
    <row r="14779" spans="1:98">
      <c r="A14779" s="532"/>
      <c r="AR14779" s="2513"/>
      <c r="CT14779" s="531"/>
    </row>
    <row r="14780" spans="1:98">
      <c r="A14780" s="532"/>
      <c r="AR14780" s="2513"/>
      <c r="CT14780" s="531"/>
    </row>
    <row r="14781" spans="1:98">
      <c r="A14781" s="532"/>
      <c r="AR14781" s="2513"/>
      <c r="CT14781" s="531"/>
    </row>
    <row r="14782" spans="1:98">
      <c r="A14782" s="532"/>
      <c r="AR14782" s="2513"/>
      <c r="CT14782" s="531"/>
    </row>
    <row r="14783" spans="1:98">
      <c r="A14783" s="532"/>
      <c r="AR14783" s="2513"/>
      <c r="CT14783" s="531"/>
    </row>
    <row r="14784" spans="1:98">
      <c r="A14784" s="532"/>
      <c r="AR14784" s="2513"/>
      <c r="CT14784" s="531"/>
    </row>
    <row r="14785" spans="1:98">
      <c r="A14785" s="532"/>
      <c r="AR14785" s="2513"/>
      <c r="CT14785" s="531"/>
    </row>
    <row r="14786" spans="1:98">
      <c r="A14786" s="532"/>
      <c r="AR14786" s="2513"/>
      <c r="CT14786" s="531"/>
    </row>
    <row r="14787" spans="1:98">
      <c r="A14787" s="532"/>
      <c r="AR14787" s="2513"/>
      <c r="CT14787" s="531"/>
    </row>
    <row r="14788" spans="1:98">
      <c r="A14788" s="532"/>
      <c r="AR14788" s="2513"/>
      <c r="CT14788" s="531"/>
    </row>
    <row r="14789" spans="1:98">
      <c r="A14789" s="532"/>
      <c r="AR14789" s="2513"/>
      <c r="CT14789" s="531"/>
    </row>
    <row r="14790" spans="1:98">
      <c r="A14790" s="532"/>
      <c r="AR14790" s="2513"/>
      <c r="CT14790" s="531"/>
    </row>
    <row r="14791" spans="1:98">
      <c r="A14791" s="532"/>
      <c r="AR14791" s="2513"/>
      <c r="CT14791" s="531"/>
    </row>
    <row r="14792" spans="1:98">
      <c r="A14792" s="532"/>
      <c r="AR14792" s="2513"/>
      <c r="CT14792" s="531"/>
    </row>
    <row r="14793" spans="1:98">
      <c r="A14793" s="532"/>
      <c r="AR14793" s="2513"/>
      <c r="CT14793" s="531"/>
    </row>
    <row r="14794" spans="1:98">
      <c r="A14794" s="532"/>
      <c r="AR14794" s="2513"/>
      <c r="CT14794" s="531"/>
    </row>
    <row r="14795" spans="1:98">
      <c r="A14795" s="532"/>
      <c r="AR14795" s="2513"/>
      <c r="CT14795" s="531"/>
    </row>
    <row r="14796" spans="1:98">
      <c r="A14796" s="532"/>
      <c r="AR14796" s="2513"/>
      <c r="CT14796" s="531"/>
    </row>
    <row r="14797" spans="1:98">
      <c r="A14797" s="532"/>
      <c r="AR14797" s="2513"/>
      <c r="CT14797" s="531"/>
    </row>
    <row r="14798" spans="1:98">
      <c r="A14798" s="532"/>
      <c r="AR14798" s="2513"/>
      <c r="CT14798" s="531"/>
    </row>
    <row r="14799" spans="1:98">
      <c r="A14799" s="532"/>
      <c r="AR14799" s="2513"/>
      <c r="CT14799" s="531"/>
    </row>
    <row r="14800" spans="1:98">
      <c r="A14800" s="532"/>
      <c r="AR14800" s="2513"/>
      <c r="CT14800" s="531"/>
    </row>
    <row r="14801" spans="1:98">
      <c r="A14801" s="532"/>
      <c r="AR14801" s="2513"/>
      <c r="CT14801" s="531"/>
    </row>
    <row r="14802" spans="1:98">
      <c r="A14802" s="532"/>
      <c r="AR14802" s="2513"/>
      <c r="CT14802" s="531"/>
    </row>
    <row r="14803" spans="1:98">
      <c r="A14803" s="532"/>
      <c r="AR14803" s="2513"/>
      <c r="CT14803" s="531"/>
    </row>
    <row r="14804" spans="1:98">
      <c r="A14804" s="532"/>
      <c r="AR14804" s="2513"/>
      <c r="CT14804" s="531"/>
    </row>
    <row r="14805" spans="1:98">
      <c r="A14805" s="532"/>
      <c r="AR14805" s="2513"/>
      <c r="CT14805" s="531"/>
    </row>
    <row r="14806" spans="1:98">
      <c r="A14806" s="532"/>
      <c r="AR14806" s="2513"/>
      <c r="CT14806" s="531"/>
    </row>
    <row r="14807" spans="1:98">
      <c r="A14807" s="532"/>
      <c r="AR14807" s="2513"/>
      <c r="CT14807" s="531"/>
    </row>
    <row r="14808" spans="1:98">
      <c r="A14808" s="532"/>
      <c r="AR14808" s="2513"/>
      <c r="CT14808" s="531"/>
    </row>
    <row r="14809" spans="1:98">
      <c r="A14809" s="532"/>
      <c r="AR14809" s="2513"/>
      <c r="CT14809" s="531"/>
    </row>
    <row r="14810" spans="1:98">
      <c r="A14810" s="532"/>
      <c r="AR14810" s="2513"/>
      <c r="CT14810" s="531"/>
    </row>
    <row r="14811" spans="1:98">
      <c r="A14811" s="532"/>
      <c r="AR14811" s="2513"/>
      <c r="CT14811" s="531"/>
    </row>
    <row r="14812" spans="1:98">
      <c r="A14812" s="532"/>
      <c r="AR14812" s="2513"/>
      <c r="CT14812" s="531"/>
    </row>
    <row r="14813" spans="1:98">
      <c r="A14813" s="532"/>
      <c r="AR14813" s="2513"/>
      <c r="CT14813" s="531"/>
    </row>
    <row r="14814" spans="1:98">
      <c r="A14814" s="532"/>
      <c r="AR14814" s="2513"/>
      <c r="CT14814" s="531"/>
    </row>
    <row r="14815" spans="1:98">
      <c r="A14815" s="532"/>
      <c r="AR14815" s="2513"/>
      <c r="CT14815" s="531"/>
    </row>
    <row r="14816" spans="1:98">
      <c r="A14816" s="532"/>
      <c r="AR14816" s="2513"/>
      <c r="CT14816" s="531"/>
    </row>
    <row r="14817" spans="1:98">
      <c r="A14817" s="532"/>
      <c r="AR14817" s="2513"/>
      <c r="CT14817" s="531"/>
    </row>
    <row r="14818" spans="1:98">
      <c r="A14818" s="532"/>
      <c r="AR14818" s="2513"/>
      <c r="CT14818" s="531"/>
    </row>
    <row r="14819" spans="1:98">
      <c r="A14819" s="532"/>
      <c r="AR14819" s="2513"/>
      <c r="CT14819" s="531"/>
    </row>
    <row r="14820" spans="1:98">
      <c r="A14820" s="532"/>
      <c r="AR14820" s="2513"/>
      <c r="CT14820" s="531"/>
    </row>
    <row r="14821" spans="1:98">
      <c r="A14821" s="532"/>
      <c r="AR14821" s="2513"/>
      <c r="CT14821" s="531"/>
    </row>
    <row r="14822" spans="1:98">
      <c r="A14822" s="532"/>
      <c r="AR14822" s="2513"/>
      <c r="CT14822" s="531"/>
    </row>
    <row r="14823" spans="1:98">
      <c r="A14823" s="532"/>
      <c r="AR14823" s="2513"/>
      <c r="CT14823" s="531"/>
    </row>
    <row r="14824" spans="1:98">
      <c r="A14824" s="532"/>
      <c r="AR14824" s="2513"/>
      <c r="CT14824" s="531"/>
    </row>
    <row r="14825" spans="1:98">
      <c r="A14825" s="532"/>
      <c r="AR14825" s="2513"/>
      <c r="CT14825" s="531"/>
    </row>
    <row r="14826" spans="1:98">
      <c r="A14826" s="532"/>
      <c r="AR14826" s="2513"/>
      <c r="CT14826" s="531"/>
    </row>
    <row r="14827" spans="1:98">
      <c r="A14827" s="532"/>
      <c r="AR14827" s="2513"/>
      <c r="CT14827" s="531"/>
    </row>
    <row r="14828" spans="1:98">
      <c r="A14828" s="532"/>
      <c r="AR14828" s="2513"/>
      <c r="CT14828" s="531"/>
    </row>
    <row r="14829" spans="1:98">
      <c r="A14829" s="532"/>
      <c r="AR14829" s="2513"/>
      <c r="CT14829" s="531"/>
    </row>
    <row r="14830" spans="1:98">
      <c r="A14830" s="532"/>
      <c r="AR14830" s="2513"/>
      <c r="CT14830" s="531"/>
    </row>
    <row r="14831" spans="1:98">
      <c r="A14831" s="532"/>
      <c r="AR14831" s="2513"/>
      <c r="CT14831" s="531"/>
    </row>
    <row r="14832" spans="1:98">
      <c r="A14832" s="532"/>
      <c r="AR14832" s="2513"/>
      <c r="CT14832" s="531"/>
    </row>
    <row r="14833" spans="1:98">
      <c r="A14833" s="532"/>
      <c r="AR14833" s="2513"/>
      <c r="CT14833" s="531"/>
    </row>
    <row r="14834" spans="1:98">
      <c r="A14834" s="532"/>
      <c r="AR14834" s="2513"/>
      <c r="CT14834" s="531"/>
    </row>
    <row r="14835" spans="1:98">
      <c r="A14835" s="532"/>
      <c r="AR14835" s="2513"/>
      <c r="CT14835" s="531"/>
    </row>
    <row r="14836" spans="1:98">
      <c r="A14836" s="532"/>
      <c r="AR14836" s="2513"/>
      <c r="CT14836" s="531"/>
    </row>
    <row r="14837" spans="1:98">
      <c r="A14837" s="532"/>
      <c r="AR14837" s="2513"/>
      <c r="CT14837" s="531"/>
    </row>
    <row r="14838" spans="1:98">
      <c r="A14838" s="532"/>
      <c r="AR14838" s="2513"/>
      <c r="CT14838" s="531"/>
    </row>
    <row r="14839" spans="1:98">
      <c r="A14839" s="532"/>
      <c r="AR14839" s="2513"/>
      <c r="CT14839" s="531"/>
    </row>
    <row r="14840" spans="1:98">
      <c r="A14840" s="532"/>
      <c r="AR14840" s="2513"/>
      <c r="CT14840" s="531"/>
    </row>
    <row r="14841" spans="1:98">
      <c r="A14841" s="532"/>
      <c r="AR14841" s="2513"/>
      <c r="CT14841" s="531"/>
    </row>
    <row r="14842" spans="1:98">
      <c r="A14842" s="532"/>
      <c r="AR14842" s="2513"/>
      <c r="CT14842" s="531"/>
    </row>
    <row r="14843" spans="1:98">
      <c r="A14843" s="532"/>
      <c r="AR14843" s="2513"/>
      <c r="CT14843" s="531"/>
    </row>
    <row r="14844" spans="1:98">
      <c r="A14844" s="532"/>
      <c r="AR14844" s="2513"/>
      <c r="CT14844" s="531"/>
    </row>
    <row r="14845" spans="1:98">
      <c r="A14845" s="532"/>
      <c r="AR14845" s="2513"/>
      <c r="CT14845" s="531"/>
    </row>
    <row r="14846" spans="1:98">
      <c r="A14846" s="532"/>
      <c r="AR14846" s="2513"/>
      <c r="CT14846" s="531"/>
    </row>
    <row r="14847" spans="1:98">
      <c r="A14847" s="532"/>
      <c r="AR14847" s="2513"/>
      <c r="CT14847" s="531"/>
    </row>
    <row r="14848" spans="1:98">
      <c r="A14848" s="532"/>
      <c r="AR14848" s="2513"/>
      <c r="CT14848" s="531"/>
    </row>
    <row r="14849" spans="1:98">
      <c r="A14849" s="532"/>
      <c r="AR14849" s="2513"/>
      <c r="CT14849" s="531"/>
    </row>
    <row r="14850" spans="1:98">
      <c r="A14850" s="532"/>
      <c r="AR14850" s="2513"/>
      <c r="CT14850" s="531"/>
    </row>
    <row r="14851" spans="1:98">
      <c r="A14851" s="532"/>
      <c r="AR14851" s="2513"/>
      <c r="CT14851" s="531"/>
    </row>
    <row r="14852" spans="1:98">
      <c r="A14852" s="532"/>
      <c r="AR14852" s="2513"/>
      <c r="CT14852" s="531"/>
    </row>
    <row r="14853" spans="1:98">
      <c r="A14853" s="532"/>
      <c r="AR14853" s="2513"/>
      <c r="CT14853" s="531"/>
    </row>
    <row r="14854" spans="1:98">
      <c r="A14854" s="532"/>
      <c r="AR14854" s="2513"/>
      <c r="CT14854" s="531"/>
    </row>
    <row r="14855" spans="1:98">
      <c r="A14855" s="532"/>
      <c r="AR14855" s="2513"/>
      <c r="CT14855" s="531"/>
    </row>
    <row r="14856" spans="1:98">
      <c r="A14856" s="532"/>
      <c r="AR14856" s="2513"/>
      <c r="CT14856" s="531"/>
    </row>
    <row r="14857" spans="1:98">
      <c r="A14857" s="532"/>
      <c r="AR14857" s="2513"/>
      <c r="CT14857" s="531"/>
    </row>
    <row r="14858" spans="1:98">
      <c r="A14858" s="532"/>
      <c r="AR14858" s="2513"/>
      <c r="CT14858" s="531"/>
    </row>
    <row r="14859" spans="1:98">
      <c r="A14859" s="532"/>
      <c r="AR14859" s="2513"/>
      <c r="CT14859" s="531"/>
    </row>
    <row r="14860" spans="1:98">
      <c r="A14860" s="532"/>
      <c r="AR14860" s="2513"/>
      <c r="CT14860" s="531"/>
    </row>
    <row r="14861" spans="1:98">
      <c r="A14861" s="532"/>
      <c r="AR14861" s="2513"/>
      <c r="CT14861" s="531"/>
    </row>
    <row r="14862" spans="1:98">
      <c r="A14862" s="532"/>
      <c r="AR14862" s="2513"/>
      <c r="CT14862" s="531"/>
    </row>
    <row r="14863" spans="1:98">
      <c r="A14863" s="532"/>
      <c r="AR14863" s="2513"/>
      <c r="CT14863" s="531"/>
    </row>
    <row r="14864" spans="1:98">
      <c r="A14864" s="532"/>
      <c r="AR14864" s="2513"/>
      <c r="CT14864" s="531"/>
    </row>
    <row r="14865" spans="1:98">
      <c r="A14865" s="532"/>
      <c r="AR14865" s="2513"/>
      <c r="CT14865" s="531"/>
    </row>
    <row r="14866" spans="1:98">
      <c r="A14866" s="532"/>
      <c r="AR14866" s="2513"/>
      <c r="CT14866" s="531"/>
    </row>
    <row r="14867" spans="1:98">
      <c r="A14867" s="532"/>
      <c r="AR14867" s="2513"/>
      <c r="CT14867" s="531"/>
    </row>
    <row r="14868" spans="1:98">
      <c r="A14868" s="532"/>
      <c r="AR14868" s="2513"/>
      <c r="CT14868" s="531"/>
    </row>
    <row r="14869" spans="1:98">
      <c r="A14869" s="532"/>
      <c r="AR14869" s="2513"/>
      <c r="CT14869" s="531"/>
    </row>
    <row r="14870" spans="1:98">
      <c r="A14870" s="532"/>
      <c r="AR14870" s="2513"/>
      <c r="CT14870" s="531"/>
    </row>
    <row r="14871" spans="1:98">
      <c r="A14871" s="532"/>
      <c r="AR14871" s="2513"/>
      <c r="CT14871" s="531"/>
    </row>
    <row r="14872" spans="1:98">
      <c r="A14872" s="532"/>
      <c r="AR14872" s="2513"/>
      <c r="CT14872" s="531"/>
    </row>
    <row r="14873" spans="1:98">
      <c r="A14873" s="532"/>
      <c r="AR14873" s="2513"/>
      <c r="CT14873" s="531"/>
    </row>
    <row r="14874" spans="1:98">
      <c r="A14874" s="532"/>
      <c r="AR14874" s="2513"/>
      <c r="CT14874" s="531"/>
    </row>
    <row r="14875" spans="1:98">
      <c r="A14875" s="532"/>
      <c r="AR14875" s="2513"/>
      <c r="CT14875" s="531"/>
    </row>
    <row r="14876" spans="1:98">
      <c r="A14876" s="532"/>
      <c r="AR14876" s="2513"/>
      <c r="CT14876" s="531"/>
    </row>
    <row r="14877" spans="1:98">
      <c r="A14877" s="532"/>
      <c r="AR14877" s="2513"/>
      <c r="CT14877" s="531"/>
    </row>
    <row r="14878" spans="1:98">
      <c r="A14878" s="532"/>
      <c r="AR14878" s="2513"/>
      <c r="CT14878" s="531"/>
    </row>
    <row r="14879" spans="1:98">
      <c r="A14879" s="532"/>
      <c r="AR14879" s="2513"/>
      <c r="CT14879" s="531"/>
    </row>
    <row r="14880" spans="1:98">
      <c r="A14880" s="532"/>
      <c r="AR14880" s="2513"/>
      <c r="CT14880" s="531"/>
    </row>
    <row r="14881" spans="1:98">
      <c r="A14881" s="532"/>
      <c r="AR14881" s="2513"/>
      <c r="CT14881" s="531"/>
    </row>
    <row r="14882" spans="1:98">
      <c r="A14882" s="532"/>
      <c r="AR14882" s="2513"/>
      <c r="CT14882" s="531"/>
    </row>
    <row r="14883" spans="1:98">
      <c r="A14883" s="532"/>
      <c r="AR14883" s="2513"/>
      <c r="CT14883" s="531"/>
    </row>
    <row r="14884" spans="1:98">
      <c r="A14884" s="532"/>
      <c r="AR14884" s="2513"/>
      <c r="CT14884" s="531"/>
    </row>
    <row r="14885" spans="1:98">
      <c r="A14885" s="532"/>
      <c r="AR14885" s="2513"/>
      <c r="CT14885" s="531"/>
    </row>
    <row r="14886" spans="1:98">
      <c r="A14886" s="532"/>
      <c r="AR14886" s="2513"/>
      <c r="CT14886" s="531"/>
    </row>
    <row r="14887" spans="1:98">
      <c r="A14887" s="532"/>
      <c r="AR14887" s="2513"/>
      <c r="CT14887" s="531"/>
    </row>
    <row r="14888" spans="1:98">
      <c r="A14888" s="532"/>
      <c r="AR14888" s="2513"/>
      <c r="CT14888" s="531"/>
    </row>
    <row r="14889" spans="1:98">
      <c r="A14889" s="532"/>
      <c r="AR14889" s="2513"/>
      <c r="CT14889" s="531"/>
    </row>
    <row r="14890" spans="1:98">
      <c r="A14890" s="532"/>
      <c r="AR14890" s="2513"/>
      <c r="CT14890" s="531"/>
    </row>
    <row r="14891" spans="1:98">
      <c r="A14891" s="532"/>
      <c r="AR14891" s="2513"/>
      <c r="CT14891" s="531"/>
    </row>
    <row r="14892" spans="1:98">
      <c r="A14892" s="532"/>
      <c r="AR14892" s="2513"/>
      <c r="CT14892" s="531"/>
    </row>
    <row r="14893" spans="1:98">
      <c r="A14893" s="532"/>
      <c r="AR14893" s="2513"/>
      <c r="CT14893" s="531"/>
    </row>
    <row r="14894" spans="1:98">
      <c r="A14894" s="532"/>
      <c r="AR14894" s="2513"/>
      <c r="CT14894" s="531"/>
    </row>
    <row r="14895" spans="1:98">
      <c r="A14895" s="532"/>
      <c r="AR14895" s="2513"/>
      <c r="CT14895" s="531"/>
    </row>
    <row r="14896" spans="1:98">
      <c r="A14896" s="532"/>
      <c r="AR14896" s="2513"/>
      <c r="CT14896" s="531"/>
    </row>
    <row r="14897" spans="1:98">
      <c r="A14897" s="532"/>
      <c r="AR14897" s="2513"/>
      <c r="CT14897" s="531"/>
    </row>
    <row r="14898" spans="1:98">
      <c r="A14898" s="532"/>
      <c r="AR14898" s="2513"/>
      <c r="CT14898" s="531"/>
    </row>
    <row r="14899" spans="1:98">
      <c r="A14899" s="532"/>
      <c r="AR14899" s="2513"/>
      <c r="CT14899" s="531"/>
    </row>
    <row r="14900" spans="1:98">
      <c r="A14900" s="532"/>
      <c r="AR14900" s="2513"/>
      <c r="CT14900" s="531"/>
    </row>
    <row r="14901" spans="1:98">
      <c r="A14901" s="532"/>
      <c r="AR14901" s="2513"/>
      <c r="CT14901" s="531"/>
    </row>
    <row r="14902" spans="1:98">
      <c r="A14902" s="532"/>
      <c r="AR14902" s="2513"/>
      <c r="CT14902" s="531"/>
    </row>
    <row r="14903" spans="1:98">
      <c r="A14903" s="532"/>
      <c r="AR14903" s="2513"/>
      <c r="CT14903" s="531"/>
    </row>
    <row r="14904" spans="1:98">
      <c r="A14904" s="532"/>
      <c r="AR14904" s="2513"/>
      <c r="CT14904" s="531"/>
    </row>
    <row r="14905" spans="1:98">
      <c r="A14905" s="532"/>
      <c r="AR14905" s="2513"/>
      <c r="CT14905" s="531"/>
    </row>
    <row r="14906" spans="1:98">
      <c r="A14906" s="532"/>
      <c r="AR14906" s="2513"/>
      <c r="CT14906" s="531"/>
    </row>
    <row r="14907" spans="1:98">
      <c r="A14907" s="532"/>
      <c r="AR14907" s="2513"/>
      <c r="CT14907" s="531"/>
    </row>
    <row r="14908" spans="1:98">
      <c r="A14908" s="532"/>
      <c r="AR14908" s="2513"/>
      <c r="CT14908" s="531"/>
    </row>
    <row r="14909" spans="1:98">
      <c r="A14909" s="532"/>
      <c r="AR14909" s="2513"/>
      <c r="CT14909" s="531"/>
    </row>
    <row r="14910" spans="1:98">
      <c r="A14910" s="532"/>
      <c r="AR14910" s="2513"/>
      <c r="CT14910" s="531"/>
    </row>
    <row r="14911" spans="1:98">
      <c r="A14911" s="532"/>
      <c r="AR14911" s="2513"/>
      <c r="CT14911" s="531"/>
    </row>
    <row r="14912" spans="1:98">
      <c r="A14912" s="532"/>
      <c r="AR14912" s="2513"/>
      <c r="CT14912" s="531"/>
    </row>
    <row r="14913" spans="1:98">
      <c r="A14913" s="532"/>
      <c r="AR14913" s="2513"/>
      <c r="CT14913" s="531"/>
    </row>
    <row r="14914" spans="1:98">
      <c r="A14914" s="532"/>
      <c r="AR14914" s="2513"/>
      <c r="CT14914" s="531"/>
    </row>
    <row r="14915" spans="1:98">
      <c r="A14915" s="532"/>
      <c r="AR14915" s="2513"/>
      <c r="CT14915" s="531"/>
    </row>
    <row r="14916" spans="1:98">
      <c r="A14916" s="532"/>
      <c r="AR14916" s="2513"/>
      <c r="CT14916" s="531"/>
    </row>
    <row r="14917" spans="1:98">
      <c r="A14917" s="532"/>
      <c r="AR14917" s="2513"/>
      <c r="CT14917" s="531"/>
    </row>
    <row r="14918" spans="1:98">
      <c r="A14918" s="532"/>
      <c r="AR14918" s="2513"/>
      <c r="CT14918" s="531"/>
    </row>
    <row r="14919" spans="1:98">
      <c r="A14919" s="532"/>
      <c r="AR14919" s="2513"/>
      <c r="CT14919" s="531"/>
    </row>
    <row r="14920" spans="1:98">
      <c r="A14920" s="532"/>
      <c r="AR14920" s="2513"/>
      <c r="CT14920" s="531"/>
    </row>
    <row r="14921" spans="1:98">
      <c r="A14921" s="532"/>
      <c r="AR14921" s="2513"/>
      <c r="CT14921" s="531"/>
    </row>
    <row r="14922" spans="1:98">
      <c r="A14922" s="532"/>
      <c r="AR14922" s="2513"/>
      <c r="CT14922" s="531"/>
    </row>
    <row r="14923" spans="1:98">
      <c r="A14923" s="532"/>
      <c r="AR14923" s="2513"/>
      <c r="CT14923" s="531"/>
    </row>
    <row r="14924" spans="1:98">
      <c r="A14924" s="532"/>
      <c r="AR14924" s="2513"/>
      <c r="CT14924" s="531"/>
    </row>
    <row r="14925" spans="1:98">
      <c r="A14925" s="532"/>
      <c r="AR14925" s="2513"/>
      <c r="CT14925" s="531"/>
    </row>
    <row r="14926" spans="1:98">
      <c r="A14926" s="532"/>
      <c r="AR14926" s="2513"/>
      <c r="CT14926" s="531"/>
    </row>
    <row r="14927" spans="1:98">
      <c r="A14927" s="532"/>
      <c r="AR14927" s="2513"/>
      <c r="CT14927" s="531"/>
    </row>
    <row r="14928" spans="1:98">
      <c r="A14928" s="532"/>
      <c r="AR14928" s="2513"/>
      <c r="CT14928" s="531"/>
    </row>
    <row r="14929" spans="1:98">
      <c r="A14929" s="532"/>
      <c r="AR14929" s="2513"/>
      <c r="CT14929" s="531"/>
    </row>
    <row r="14930" spans="1:98">
      <c r="A14930" s="532"/>
      <c r="AR14930" s="2513"/>
      <c r="CT14930" s="531"/>
    </row>
    <row r="14931" spans="1:98">
      <c r="A14931" s="532"/>
      <c r="AR14931" s="2513"/>
      <c r="CT14931" s="531"/>
    </row>
    <row r="14932" spans="1:98">
      <c r="A14932" s="532"/>
      <c r="AR14932" s="2513"/>
      <c r="CT14932" s="531"/>
    </row>
    <row r="14933" spans="1:98">
      <c r="A14933" s="532"/>
      <c r="AR14933" s="2513"/>
      <c r="CT14933" s="531"/>
    </row>
    <row r="14934" spans="1:98">
      <c r="A14934" s="532"/>
      <c r="AR14934" s="2513"/>
      <c r="CT14934" s="531"/>
    </row>
    <row r="14935" spans="1:98">
      <c r="A14935" s="532"/>
      <c r="AR14935" s="2513"/>
      <c r="CT14935" s="531"/>
    </row>
    <row r="14936" spans="1:98">
      <c r="A14936" s="532"/>
      <c r="AR14936" s="2513"/>
      <c r="CT14936" s="531"/>
    </row>
    <row r="14937" spans="1:98">
      <c r="A14937" s="532"/>
      <c r="AR14937" s="2513"/>
      <c r="CT14937" s="531"/>
    </row>
    <row r="14938" spans="1:98">
      <c r="A14938" s="532"/>
      <c r="AR14938" s="2513"/>
      <c r="CT14938" s="531"/>
    </row>
    <row r="14939" spans="1:98">
      <c r="A14939" s="532"/>
      <c r="AR14939" s="2513"/>
      <c r="CT14939" s="531"/>
    </row>
    <row r="14940" spans="1:98">
      <c r="A14940" s="532"/>
      <c r="AR14940" s="2513"/>
      <c r="CT14940" s="531"/>
    </row>
    <row r="14941" spans="1:98">
      <c r="A14941" s="532"/>
      <c r="AR14941" s="2513"/>
      <c r="CT14941" s="531"/>
    </row>
    <row r="14942" spans="1:98">
      <c r="A14942" s="532"/>
      <c r="AR14942" s="2513"/>
      <c r="CT14942" s="531"/>
    </row>
    <row r="14943" spans="1:98">
      <c r="A14943" s="532"/>
      <c r="AR14943" s="2513"/>
      <c r="CT14943" s="531"/>
    </row>
    <row r="14944" spans="1:98">
      <c r="A14944" s="532"/>
      <c r="AR14944" s="2513"/>
      <c r="CT14944" s="531"/>
    </row>
    <row r="14945" spans="1:98">
      <c r="A14945" s="532"/>
      <c r="AR14945" s="2513"/>
      <c r="CT14945" s="531"/>
    </row>
    <row r="14946" spans="1:98">
      <c r="A14946" s="532"/>
      <c r="AR14946" s="2513"/>
      <c r="CT14946" s="531"/>
    </row>
    <row r="14947" spans="1:98">
      <c r="A14947" s="532"/>
      <c r="AR14947" s="2513"/>
      <c r="CT14947" s="531"/>
    </row>
    <row r="14948" spans="1:98">
      <c r="A14948" s="532"/>
      <c r="AR14948" s="2513"/>
      <c r="CT14948" s="531"/>
    </row>
    <row r="14949" spans="1:98">
      <c r="A14949" s="532"/>
      <c r="AR14949" s="2513"/>
      <c r="CT14949" s="531"/>
    </row>
    <row r="14950" spans="1:98">
      <c r="A14950" s="532"/>
      <c r="AR14950" s="2513"/>
      <c r="CT14950" s="531"/>
    </row>
    <row r="14951" spans="1:98">
      <c r="A14951" s="532"/>
      <c r="AR14951" s="2513"/>
      <c r="CT14951" s="531"/>
    </row>
    <row r="14952" spans="1:98">
      <c r="A14952" s="532"/>
      <c r="AR14952" s="2513"/>
      <c r="CT14952" s="531"/>
    </row>
    <row r="14953" spans="1:98">
      <c r="A14953" s="532"/>
      <c r="AR14953" s="2513"/>
      <c r="CT14953" s="531"/>
    </row>
    <row r="14954" spans="1:98">
      <c r="A14954" s="532"/>
      <c r="AR14954" s="2513"/>
      <c r="CT14954" s="531"/>
    </row>
    <row r="14955" spans="1:98">
      <c r="A14955" s="532"/>
      <c r="AR14955" s="2513"/>
      <c r="CT14955" s="531"/>
    </row>
    <row r="14956" spans="1:98">
      <c r="A14956" s="532"/>
      <c r="AR14956" s="2513"/>
      <c r="CT14956" s="531"/>
    </row>
    <row r="14957" spans="1:98">
      <c r="A14957" s="532"/>
      <c r="AR14957" s="2513"/>
      <c r="CT14957" s="531"/>
    </row>
    <row r="14958" spans="1:98">
      <c r="A14958" s="532"/>
      <c r="AR14958" s="2513"/>
      <c r="CT14958" s="531"/>
    </row>
    <row r="14959" spans="1:98">
      <c r="A14959" s="532"/>
      <c r="AR14959" s="2513"/>
      <c r="CT14959" s="531"/>
    </row>
    <row r="14960" spans="1:98">
      <c r="A14960" s="532"/>
      <c r="AR14960" s="2513"/>
      <c r="CT14960" s="531"/>
    </row>
    <row r="14961" spans="1:98">
      <c r="A14961" s="532"/>
      <c r="AR14961" s="2513"/>
      <c r="CT14961" s="531"/>
    </row>
    <row r="14962" spans="1:98">
      <c r="A14962" s="532"/>
      <c r="AR14962" s="2513"/>
      <c r="CT14962" s="531"/>
    </row>
    <row r="14963" spans="1:98">
      <c r="A14963" s="532"/>
      <c r="AR14963" s="2513"/>
      <c r="CT14963" s="531"/>
    </row>
    <row r="14964" spans="1:98">
      <c r="A14964" s="532"/>
      <c r="AR14964" s="2513"/>
      <c r="CT14964" s="531"/>
    </row>
    <row r="14965" spans="1:98">
      <c r="A14965" s="532"/>
      <c r="AR14965" s="2513"/>
      <c r="CT14965" s="531"/>
    </row>
    <row r="14966" spans="1:98">
      <c r="A14966" s="532"/>
      <c r="AR14966" s="2513"/>
      <c r="CT14966" s="531"/>
    </row>
    <row r="14967" spans="1:98">
      <c r="A14967" s="532"/>
      <c r="AR14967" s="2513"/>
      <c r="CT14967" s="531"/>
    </row>
    <row r="14968" spans="1:98">
      <c r="A14968" s="532"/>
      <c r="AR14968" s="2513"/>
      <c r="CT14968" s="531"/>
    </row>
    <row r="14969" spans="1:98">
      <c r="A14969" s="532"/>
      <c r="AR14969" s="2513"/>
      <c r="CT14969" s="531"/>
    </row>
    <row r="14970" spans="1:98">
      <c r="A14970" s="532"/>
      <c r="AR14970" s="2513"/>
      <c r="CT14970" s="531"/>
    </row>
    <row r="14971" spans="1:98">
      <c r="A14971" s="532"/>
      <c r="AR14971" s="2513"/>
      <c r="CT14971" s="531"/>
    </row>
    <row r="14972" spans="1:98">
      <c r="A14972" s="532"/>
      <c r="AR14972" s="2513"/>
      <c r="CT14972" s="531"/>
    </row>
    <row r="14973" spans="1:98">
      <c r="A14973" s="532"/>
      <c r="AR14973" s="2513"/>
      <c r="CT14973" s="531"/>
    </row>
    <row r="14974" spans="1:98">
      <c r="A14974" s="532"/>
      <c r="AR14974" s="2513"/>
      <c r="CT14974" s="531"/>
    </row>
    <row r="14975" spans="1:98">
      <c r="A14975" s="532"/>
      <c r="AR14975" s="2513"/>
      <c r="CT14975" s="531"/>
    </row>
    <row r="14976" spans="1:98">
      <c r="A14976" s="532"/>
      <c r="AR14976" s="2513"/>
      <c r="CT14976" s="531"/>
    </row>
    <row r="14977" spans="1:98">
      <c r="A14977" s="532"/>
      <c r="AR14977" s="2513"/>
      <c r="CT14977" s="531"/>
    </row>
    <row r="14978" spans="1:98">
      <c r="A14978" s="532"/>
      <c r="AR14978" s="2513"/>
      <c r="CT14978" s="531"/>
    </row>
    <row r="14979" spans="1:98">
      <c r="A14979" s="532"/>
      <c r="AR14979" s="2513"/>
      <c r="CT14979" s="531"/>
    </row>
    <row r="14980" spans="1:98">
      <c r="A14980" s="532"/>
      <c r="AR14980" s="2513"/>
      <c r="CT14980" s="531"/>
    </row>
    <row r="14981" spans="1:98">
      <c r="A14981" s="532"/>
      <c r="AR14981" s="2513"/>
      <c r="CT14981" s="531"/>
    </row>
    <row r="14982" spans="1:98">
      <c r="A14982" s="532"/>
      <c r="AR14982" s="2513"/>
      <c r="CT14982" s="531"/>
    </row>
    <row r="14983" spans="1:98">
      <c r="A14983" s="532"/>
      <c r="AR14983" s="2513"/>
      <c r="CT14983" s="531"/>
    </row>
    <row r="14984" spans="1:98">
      <c r="A14984" s="532"/>
      <c r="AR14984" s="2513"/>
      <c r="CT14984" s="531"/>
    </row>
    <row r="14985" spans="1:98">
      <c r="A14985" s="532"/>
      <c r="AR14985" s="2513"/>
      <c r="CT14985" s="531"/>
    </row>
    <row r="14986" spans="1:98">
      <c r="A14986" s="532"/>
      <c r="AR14986" s="2513"/>
      <c r="CT14986" s="531"/>
    </row>
    <row r="14987" spans="1:98">
      <c r="A14987" s="532"/>
      <c r="AR14987" s="2513"/>
      <c r="CT14987" s="531"/>
    </row>
    <row r="14988" spans="1:98">
      <c r="A14988" s="532"/>
      <c r="AR14988" s="2513"/>
      <c r="CT14988" s="531"/>
    </row>
    <row r="14989" spans="1:98">
      <c r="A14989" s="532"/>
      <c r="AR14989" s="2513"/>
      <c r="CT14989" s="531"/>
    </row>
    <row r="14990" spans="1:98">
      <c r="A14990" s="532"/>
      <c r="AR14990" s="2513"/>
      <c r="CT14990" s="531"/>
    </row>
    <row r="14991" spans="1:98">
      <c r="A14991" s="532"/>
      <c r="AR14991" s="2513"/>
      <c r="CT14991" s="531"/>
    </row>
    <row r="14992" spans="1:98">
      <c r="A14992" s="532"/>
      <c r="AR14992" s="2513"/>
      <c r="CT14992" s="531"/>
    </row>
    <row r="14993" spans="1:98">
      <c r="A14993" s="532"/>
      <c r="AR14993" s="2513"/>
      <c r="CT14993" s="531"/>
    </row>
    <row r="14994" spans="1:98">
      <c r="A14994" s="532"/>
      <c r="AR14994" s="2513"/>
      <c r="CT14994" s="531"/>
    </row>
    <row r="14995" spans="1:98">
      <c r="A14995" s="532"/>
      <c r="AR14995" s="2513"/>
      <c r="CT14995" s="531"/>
    </row>
    <row r="14996" spans="1:98">
      <c r="A14996" s="532"/>
      <c r="AR14996" s="2513"/>
      <c r="CT14996" s="531"/>
    </row>
    <row r="14997" spans="1:98">
      <c r="A14997" s="532"/>
      <c r="AR14997" s="2513"/>
      <c r="CT14997" s="531"/>
    </row>
    <row r="14998" spans="1:98">
      <c r="A14998" s="532"/>
      <c r="AR14998" s="2513"/>
      <c r="CT14998" s="531"/>
    </row>
    <row r="14999" spans="1:98">
      <c r="A14999" s="532"/>
      <c r="AR14999" s="2513"/>
      <c r="CT14999" s="531"/>
    </row>
    <row r="15000" spans="1:98">
      <c r="A15000" s="532"/>
      <c r="AR15000" s="2513"/>
      <c r="CT15000" s="531"/>
    </row>
    <row r="15001" spans="1:98">
      <c r="A15001" s="532"/>
      <c r="AR15001" s="2513"/>
      <c r="CT15001" s="531"/>
    </row>
    <row r="15002" spans="1:98">
      <c r="A15002" s="532"/>
      <c r="AR15002" s="2513"/>
      <c r="CT15002" s="531"/>
    </row>
    <row r="15003" spans="1:98">
      <c r="A15003" s="532"/>
      <c r="AR15003" s="2513"/>
      <c r="CT15003" s="531"/>
    </row>
    <row r="15004" spans="1:98">
      <c r="A15004" s="532"/>
      <c r="AR15004" s="2513"/>
      <c r="CT15004" s="531"/>
    </row>
    <row r="15005" spans="1:98">
      <c r="A15005" s="532"/>
      <c r="AR15005" s="2513"/>
      <c r="CT15005" s="531"/>
    </row>
    <row r="15006" spans="1:98">
      <c r="A15006" s="532"/>
      <c r="AR15006" s="2513"/>
      <c r="CT15006" s="531"/>
    </row>
    <row r="15007" spans="1:98">
      <c r="A15007" s="532"/>
      <c r="AR15007" s="2513"/>
      <c r="CT15007" s="531"/>
    </row>
    <row r="15008" spans="1:98">
      <c r="A15008" s="532"/>
      <c r="AR15008" s="2513"/>
      <c r="CT15008" s="531"/>
    </row>
    <row r="15009" spans="1:98">
      <c r="A15009" s="532"/>
      <c r="AR15009" s="2513"/>
      <c r="CT15009" s="531"/>
    </row>
    <row r="15010" spans="1:98">
      <c r="A15010" s="532"/>
      <c r="AR15010" s="2513"/>
      <c r="CT15010" s="531"/>
    </row>
    <row r="15011" spans="1:98">
      <c r="A15011" s="532"/>
      <c r="AR15011" s="2513"/>
      <c r="CT15011" s="531"/>
    </row>
    <row r="15012" spans="1:98">
      <c r="A15012" s="532"/>
      <c r="AR15012" s="2513"/>
      <c r="CT15012" s="531"/>
    </row>
    <row r="15013" spans="1:98">
      <c r="A15013" s="532"/>
      <c r="AR15013" s="2513"/>
      <c r="CT15013" s="531"/>
    </row>
    <row r="15014" spans="1:98">
      <c r="A15014" s="532"/>
      <c r="AR15014" s="2513"/>
      <c r="CT15014" s="531"/>
    </row>
    <row r="15015" spans="1:98">
      <c r="A15015" s="532"/>
      <c r="AR15015" s="2513"/>
      <c r="CT15015" s="531"/>
    </row>
    <row r="15016" spans="1:98">
      <c r="A15016" s="532"/>
      <c r="AR15016" s="2513"/>
      <c r="CT15016" s="531"/>
    </row>
    <row r="15017" spans="1:98">
      <c r="A15017" s="532"/>
      <c r="AR15017" s="2513"/>
      <c r="CT15017" s="531"/>
    </row>
    <row r="15018" spans="1:98">
      <c r="A15018" s="532"/>
      <c r="AR15018" s="2513"/>
      <c r="CT15018" s="531"/>
    </row>
    <row r="15019" spans="1:98">
      <c r="A15019" s="532"/>
      <c r="AR15019" s="2513"/>
      <c r="CT15019" s="531"/>
    </row>
    <row r="15020" spans="1:98">
      <c r="A15020" s="532"/>
      <c r="AR15020" s="2513"/>
      <c r="CT15020" s="531"/>
    </row>
    <row r="15021" spans="1:98">
      <c r="A15021" s="532"/>
      <c r="AR15021" s="2513"/>
      <c r="CT15021" s="531"/>
    </row>
    <row r="15022" spans="1:98">
      <c r="A15022" s="532"/>
      <c r="AR15022" s="2513"/>
      <c r="CT15022" s="531"/>
    </row>
    <row r="15023" spans="1:98">
      <c r="A15023" s="532"/>
      <c r="AR15023" s="2513"/>
      <c r="CT15023" s="531"/>
    </row>
    <row r="15024" spans="1:98">
      <c r="A15024" s="532"/>
      <c r="AR15024" s="2513"/>
      <c r="CT15024" s="531"/>
    </row>
    <row r="15025" spans="1:98">
      <c r="A15025" s="532"/>
      <c r="AR15025" s="2513"/>
      <c r="CT15025" s="531"/>
    </row>
    <row r="15026" spans="1:98">
      <c r="A15026" s="532"/>
      <c r="AR15026" s="2513"/>
      <c r="CT15026" s="531"/>
    </row>
    <row r="15027" spans="1:98">
      <c r="A15027" s="532"/>
      <c r="AR15027" s="2513"/>
      <c r="CT15027" s="531"/>
    </row>
    <row r="15028" spans="1:98">
      <c r="A15028" s="532"/>
      <c r="AR15028" s="2513"/>
      <c r="CT15028" s="531"/>
    </row>
    <row r="15029" spans="1:98">
      <c r="A15029" s="532"/>
      <c r="AR15029" s="2513"/>
      <c r="CT15029" s="531"/>
    </row>
    <row r="15030" spans="1:98">
      <c r="A15030" s="532"/>
      <c r="AR15030" s="2513"/>
      <c r="CT15030" s="531"/>
    </row>
    <row r="15031" spans="1:98">
      <c r="A15031" s="532"/>
      <c r="AR15031" s="2513"/>
      <c r="CT15031" s="531"/>
    </row>
    <row r="15032" spans="1:98">
      <c r="A15032" s="532"/>
      <c r="AR15032" s="2513"/>
      <c r="CT15032" s="531"/>
    </row>
    <row r="15033" spans="1:98">
      <c r="A15033" s="532"/>
      <c r="AR15033" s="2513"/>
      <c r="CT15033" s="531"/>
    </row>
    <row r="15034" spans="1:98">
      <c r="A15034" s="532"/>
      <c r="AR15034" s="2513"/>
      <c r="CT15034" s="531"/>
    </row>
    <row r="15035" spans="1:98">
      <c r="A15035" s="532"/>
      <c r="AR15035" s="2513"/>
      <c r="CT15035" s="531"/>
    </row>
    <row r="15036" spans="1:98">
      <c r="A15036" s="532"/>
      <c r="AR15036" s="2513"/>
      <c r="CT15036" s="531"/>
    </row>
    <row r="15037" spans="1:98">
      <c r="A15037" s="532"/>
      <c r="AR15037" s="2513"/>
      <c r="CT15037" s="531"/>
    </row>
    <row r="15038" spans="1:98">
      <c r="A15038" s="532"/>
      <c r="AR15038" s="2513"/>
      <c r="CT15038" s="531"/>
    </row>
    <row r="15039" spans="1:98">
      <c r="A15039" s="532"/>
      <c r="AR15039" s="2513"/>
      <c r="CT15039" s="531"/>
    </row>
    <row r="15040" spans="1:98">
      <c r="A15040" s="532"/>
      <c r="AR15040" s="2513"/>
      <c r="CT15040" s="531"/>
    </row>
    <row r="15041" spans="1:98">
      <c r="A15041" s="532"/>
      <c r="AR15041" s="2513"/>
      <c r="CT15041" s="531"/>
    </row>
    <row r="15042" spans="1:98">
      <c r="A15042" s="532"/>
      <c r="AR15042" s="2513"/>
      <c r="CT15042" s="531"/>
    </row>
    <row r="15043" spans="1:98">
      <c r="A15043" s="532"/>
      <c r="AR15043" s="2513"/>
      <c r="CT15043" s="531"/>
    </row>
    <row r="15044" spans="1:98">
      <c r="A15044" s="532"/>
      <c r="AR15044" s="2513"/>
      <c r="CT15044" s="531"/>
    </row>
    <row r="15045" spans="1:98">
      <c r="A15045" s="532"/>
      <c r="AR15045" s="2513"/>
      <c r="CT15045" s="531"/>
    </row>
    <row r="15046" spans="1:98">
      <c r="A15046" s="532"/>
      <c r="AR15046" s="2513"/>
      <c r="CT15046" s="531"/>
    </row>
    <row r="15047" spans="1:98">
      <c r="A15047" s="532"/>
      <c r="AR15047" s="2513"/>
      <c r="CT15047" s="531"/>
    </row>
    <row r="15048" spans="1:98">
      <c r="A15048" s="532"/>
      <c r="AR15048" s="2513"/>
      <c r="CT15048" s="531"/>
    </row>
    <row r="15049" spans="1:98">
      <c r="A15049" s="532"/>
      <c r="AR15049" s="2513"/>
      <c r="CT15049" s="531"/>
    </row>
    <row r="15050" spans="1:98">
      <c r="A15050" s="532"/>
      <c r="AR15050" s="2513"/>
      <c r="CT15050" s="531"/>
    </row>
    <row r="15051" spans="1:98">
      <c r="A15051" s="532"/>
      <c r="AR15051" s="2513"/>
      <c r="CT15051" s="531"/>
    </row>
    <row r="15052" spans="1:98">
      <c r="A15052" s="532"/>
      <c r="AR15052" s="2513"/>
      <c r="CT15052" s="531"/>
    </row>
    <row r="15053" spans="1:98">
      <c r="A15053" s="532"/>
      <c r="AR15053" s="2513"/>
      <c r="CT15053" s="531"/>
    </row>
    <row r="15054" spans="1:98">
      <c r="A15054" s="532"/>
      <c r="AR15054" s="2513"/>
      <c r="CT15054" s="531"/>
    </row>
    <row r="15055" spans="1:98">
      <c r="A15055" s="532"/>
      <c r="AR15055" s="2513"/>
      <c r="CT15055" s="531"/>
    </row>
    <row r="15056" spans="1:98">
      <c r="A15056" s="532"/>
      <c r="AR15056" s="2513"/>
      <c r="CT15056" s="531"/>
    </row>
    <row r="15057" spans="1:98">
      <c r="A15057" s="532"/>
      <c r="AR15057" s="2513"/>
      <c r="CT15057" s="531"/>
    </row>
    <row r="15058" spans="1:98">
      <c r="A15058" s="532"/>
      <c r="AR15058" s="2513"/>
      <c r="CT15058" s="531"/>
    </row>
    <row r="15059" spans="1:98">
      <c r="A15059" s="532"/>
      <c r="AR15059" s="2513"/>
      <c r="CT15059" s="531"/>
    </row>
    <row r="15060" spans="1:98">
      <c r="A15060" s="532"/>
      <c r="AR15060" s="2513"/>
      <c r="CT15060" s="531"/>
    </row>
    <row r="15061" spans="1:98">
      <c r="A15061" s="532"/>
      <c r="AR15061" s="2513"/>
      <c r="CT15061" s="531"/>
    </row>
    <row r="15062" spans="1:98">
      <c r="A15062" s="532"/>
      <c r="AR15062" s="2513"/>
      <c r="CT15062" s="531"/>
    </row>
    <row r="15063" spans="1:98">
      <c r="A15063" s="532"/>
      <c r="AR15063" s="2513"/>
      <c r="CT15063" s="531"/>
    </row>
    <row r="15064" spans="1:98">
      <c r="A15064" s="532"/>
      <c r="AR15064" s="2513"/>
      <c r="CT15064" s="531"/>
    </row>
    <row r="15065" spans="1:98">
      <c r="A15065" s="532"/>
      <c r="AR15065" s="2513"/>
      <c r="CT15065" s="531"/>
    </row>
    <row r="15066" spans="1:98">
      <c r="A15066" s="532"/>
      <c r="AR15066" s="2513"/>
      <c r="CT15066" s="531"/>
    </row>
    <row r="15067" spans="1:98">
      <c r="A15067" s="532"/>
      <c r="AR15067" s="2513"/>
      <c r="CT15067" s="531"/>
    </row>
    <row r="15068" spans="1:98">
      <c r="A15068" s="532"/>
      <c r="AR15068" s="2513"/>
      <c r="CT15068" s="531"/>
    </row>
    <row r="15069" spans="1:98">
      <c r="A15069" s="532"/>
      <c r="AR15069" s="2513"/>
      <c r="CT15069" s="531"/>
    </row>
    <row r="15070" spans="1:98">
      <c r="A15070" s="532"/>
      <c r="AR15070" s="2513"/>
      <c r="CT15070" s="531"/>
    </row>
    <row r="15071" spans="1:98">
      <c r="A15071" s="532"/>
      <c r="AR15071" s="2513"/>
      <c r="CT15071" s="531"/>
    </row>
    <row r="15072" spans="1:98">
      <c r="A15072" s="532"/>
      <c r="AR15072" s="2513"/>
      <c r="CT15072" s="531"/>
    </row>
    <row r="15073" spans="1:98">
      <c r="A15073" s="532"/>
      <c r="AR15073" s="2513"/>
      <c r="CT15073" s="531"/>
    </row>
    <row r="15074" spans="1:98">
      <c r="A15074" s="532"/>
      <c r="AR15074" s="2513"/>
      <c r="CT15074" s="531"/>
    </row>
    <row r="15075" spans="1:98">
      <c r="A15075" s="532"/>
      <c r="AR15075" s="2513"/>
      <c r="CT15075" s="531"/>
    </row>
    <row r="15076" spans="1:98">
      <c r="A15076" s="532"/>
      <c r="AR15076" s="2513"/>
      <c r="CT15076" s="531"/>
    </row>
    <row r="15077" spans="1:98">
      <c r="A15077" s="532"/>
      <c r="AR15077" s="2513"/>
      <c r="CT15077" s="531"/>
    </row>
    <row r="15078" spans="1:98">
      <c r="A15078" s="532"/>
      <c r="AR15078" s="2513"/>
      <c r="CT15078" s="531"/>
    </row>
    <row r="15079" spans="1:98">
      <c r="A15079" s="532"/>
      <c r="AR15079" s="2513"/>
      <c r="CT15079" s="531"/>
    </row>
    <row r="15080" spans="1:98">
      <c r="A15080" s="532"/>
      <c r="AR15080" s="2513"/>
      <c r="CT15080" s="531"/>
    </row>
    <row r="15081" spans="1:98">
      <c r="A15081" s="532"/>
      <c r="AR15081" s="2513"/>
      <c r="CT15081" s="531"/>
    </row>
    <row r="15082" spans="1:98">
      <c r="A15082" s="532"/>
      <c r="AR15082" s="2513"/>
      <c r="CT15082" s="531"/>
    </row>
    <row r="15083" spans="1:98">
      <c r="A15083" s="532"/>
      <c r="AR15083" s="2513"/>
      <c r="CT15083" s="531"/>
    </row>
    <row r="15084" spans="1:98">
      <c r="A15084" s="532"/>
      <c r="AR15084" s="2513"/>
      <c r="CT15084" s="531"/>
    </row>
    <row r="15085" spans="1:98">
      <c r="A15085" s="532"/>
      <c r="AR15085" s="2513"/>
      <c r="CT15085" s="531"/>
    </row>
    <row r="15086" spans="1:98">
      <c r="A15086" s="532"/>
      <c r="AR15086" s="2513"/>
      <c r="CT15086" s="531"/>
    </row>
    <row r="15087" spans="1:98">
      <c r="A15087" s="532"/>
      <c r="AR15087" s="2513"/>
      <c r="CT15087" s="531"/>
    </row>
    <row r="15088" spans="1:98">
      <c r="A15088" s="532"/>
      <c r="AR15088" s="2513"/>
      <c r="CT15088" s="531"/>
    </row>
    <row r="15089" spans="1:98">
      <c r="A15089" s="532"/>
      <c r="AR15089" s="2513"/>
      <c r="CT15089" s="531"/>
    </row>
    <row r="15090" spans="1:98">
      <c r="A15090" s="532"/>
      <c r="AR15090" s="2513"/>
      <c r="CT15090" s="531"/>
    </row>
    <row r="15091" spans="1:98">
      <c r="A15091" s="532"/>
      <c r="AR15091" s="2513"/>
      <c r="CT15091" s="531"/>
    </row>
    <row r="15092" spans="1:98">
      <c r="A15092" s="532"/>
      <c r="AR15092" s="2513"/>
      <c r="CT15092" s="531"/>
    </row>
    <row r="15093" spans="1:98">
      <c r="A15093" s="532"/>
      <c r="AR15093" s="2513"/>
      <c r="CT15093" s="531"/>
    </row>
    <row r="15094" spans="1:98">
      <c r="A15094" s="532"/>
      <c r="AR15094" s="2513"/>
      <c r="CT15094" s="531"/>
    </row>
    <row r="15095" spans="1:98">
      <c r="A15095" s="532"/>
      <c r="AR15095" s="2513"/>
      <c r="CT15095" s="531"/>
    </row>
    <row r="15096" spans="1:98">
      <c r="A15096" s="532"/>
      <c r="AR15096" s="2513"/>
      <c r="CT15096" s="531"/>
    </row>
    <row r="15097" spans="1:98">
      <c r="A15097" s="532"/>
      <c r="AR15097" s="2513"/>
      <c r="CT15097" s="531"/>
    </row>
    <row r="15098" spans="1:98">
      <c r="A15098" s="532"/>
      <c r="AR15098" s="2513"/>
      <c r="CT15098" s="531"/>
    </row>
    <row r="15099" spans="1:98">
      <c r="A15099" s="532"/>
      <c r="AR15099" s="2513"/>
      <c r="CT15099" s="531"/>
    </row>
    <row r="15100" spans="1:98">
      <c r="A15100" s="532"/>
      <c r="AR15100" s="2513"/>
      <c r="CT15100" s="531"/>
    </row>
    <row r="15101" spans="1:98">
      <c r="A15101" s="532"/>
      <c r="AR15101" s="2513"/>
      <c r="CT15101" s="531"/>
    </row>
    <row r="15102" spans="1:98">
      <c r="A15102" s="532"/>
      <c r="AR15102" s="2513"/>
      <c r="CT15102" s="531"/>
    </row>
    <row r="15103" spans="1:98">
      <c r="A15103" s="532"/>
      <c r="AR15103" s="2513"/>
      <c r="CT15103" s="531"/>
    </row>
    <row r="15104" spans="1:98">
      <c r="A15104" s="532"/>
      <c r="AR15104" s="2513"/>
      <c r="CT15104" s="531"/>
    </row>
    <row r="15105" spans="1:98">
      <c r="A15105" s="532"/>
      <c r="AR15105" s="2513"/>
      <c r="CT15105" s="531"/>
    </row>
    <row r="15106" spans="1:98">
      <c r="A15106" s="532"/>
      <c r="AR15106" s="2513"/>
      <c r="CT15106" s="531"/>
    </row>
    <row r="15107" spans="1:98">
      <c r="A15107" s="532"/>
      <c r="AR15107" s="2513"/>
      <c r="CT15107" s="531"/>
    </row>
    <row r="15108" spans="1:98">
      <c r="A15108" s="532"/>
      <c r="AR15108" s="2513"/>
      <c r="CT15108" s="531"/>
    </row>
    <row r="15109" spans="1:98">
      <c r="A15109" s="532"/>
      <c r="AR15109" s="2513"/>
      <c r="CT15109" s="531"/>
    </row>
    <row r="15110" spans="1:98">
      <c r="A15110" s="532"/>
      <c r="AR15110" s="2513"/>
      <c r="CT15110" s="531"/>
    </row>
    <row r="15111" spans="1:98">
      <c r="A15111" s="532"/>
      <c r="AR15111" s="2513"/>
      <c r="CT15111" s="531"/>
    </row>
    <row r="15112" spans="1:98">
      <c r="A15112" s="532"/>
      <c r="AR15112" s="2513"/>
      <c r="CT15112" s="531"/>
    </row>
    <row r="15113" spans="1:98">
      <c r="A15113" s="532"/>
      <c r="AR15113" s="2513"/>
      <c r="CT15113" s="531"/>
    </row>
    <row r="15114" spans="1:98">
      <c r="A15114" s="532"/>
      <c r="AR15114" s="2513"/>
      <c r="CT15114" s="531"/>
    </row>
    <row r="15115" spans="1:98">
      <c r="A15115" s="532"/>
      <c r="AR15115" s="2513"/>
      <c r="CT15115" s="531"/>
    </row>
    <row r="15116" spans="1:98">
      <c r="A15116" s="532"/>
      <c r="AR15116" s="2513"/>
      <c r="CT15116" s="531"/>
    </row>
    <row r="15117" spans="1:98">
      <c r="A15117" s="532"/>
      <c r="AR15117" s="2513"/>
      <c r="CT15117" s="531"/>
    </row>
    <row r="15118" spans="1:98">
      <c r="A15118" s="532"/>
      <c r="AR15118" s="2513"/>
      <c r="CT15118" s="531"/>
    </row>
    <row r="15119" spans="1:98">
      <c r="A15119" s="532"/>
      <c r="AR15119" s="2513"/>
      <c r="CT15119" s="531"/>
    </row>
    <row r="15120" spans="1:98">
      <c r="A15120" s="532"/>
      <c r="AR15120" s="2513"/>
      <c r="CT15120" s="531"/>
    </row>
    <row r="15121" spans="1:98">
      <c r="A15121" s="532"/>
      <c r="AR15121" s="2513"/>
      <c r="CT15121" s="531"/>
    </row>
    <row r="15122" spans="1:98">
      <c r="A15122" s="532"/>
      <c r="AR15122" s="2513"/>
      <c r="CT15122" s="531"/>
    </row>
    <row r="15123" spans="1:98">
      <c r="A15123" s="532"/>
      <c r="AR15123" s="2513"/>
      <c r="CT15123" s="531"/>
    </row>
    <row r="15124" spans="1:98">
      <c r="A15124" s="532"/>
      <c r="AR15124" s="2513"/>
      <c r="CT15124" s="531"/>
    </row>
    <row r="15125" spans="1:98">
      <c r="A15125" s="532"/>
      <c r="AR15125" s="2513"/>
      <c r="CT15125" s="531"/>
    </row>
    <row r="15126" spans="1:98">
      <c r="A15126" s="532"/>
      <c r="AR15126" s="2513"/>
      <c r="CT15126" s="531"/>
    </row>
    <row r="15127" spans="1:98">
      <c r="A15127" s="532"/>
      <c r="AR15127" s="2513"/>
      <c r="CT15127" s="531"/>
    </row>
    <row r="15128" spans="1:98">
      <c r="A15128" s="532"/>
      <c r="AR15128" s="2513"/>
      <c r="CT15128" s="531"/>
    </row>
    <row r="15129" spans="1:98">
      <c r="A15129" s="532"/>
      <c r="AR15129" s="2513"/>
      <c r="CT15129" s="531"/>
    </row>
    <row r="15130" spans="1:98">
      <c r="A15130" s="532"/>
      <c r="AR15130" s="2513"/>
      <c r="CT15130" s="531"/>
    </row>
    <row r="15131" spans="1:98">
      <c r="A15131" s="532"/>
      <c r="AR15131" s="2513"/>
      <c r="CT15131" s="531"/>
    </row>
    <row r="15132" spans="1:98">
      <c r="A15132" s="532"/>
      <c r="AR15132" s="2513"/>
      <c r="CT15132" s="531"/>
    </row>
    <row r="15133" spans="1:98">
      <c r="A15133" s="532"/>
      <c r="AR15133" s="2513"/>
      <c r="CT15133" s="531"/>
    </row>
    <row r="15134" spans="1:98">
      <c r="A15134" s="532"/>
      <c r="AR15134" s="2513"/>
      <c r="CT15134" s="531"/>
    </row>
    <row r="15135" spans="1:98">
      <c r="A15135" s="532"/>
      <c r="AR15135" s="2513"/>
      <c r="CT15135" s="531"/>
    </row>
    <row r="15136" spans="1:98">
      <c r="A15136" s="532"/>
      <c r="AR15136" s="2513"/>
      <c r="CT15136" s="531"/>
    </row>
    <row r="15137" spans="1:98">
      <c r="A15137" s="532"/>
      <c r="AR15137" s="2513"/>
      <c r="CT15137" s="531"/>
    </row>
    <row r="15138" spans="1:98">
      <c r="A15138" s="532"/>
      <c r="AR15138" s="2513"/>
      <c r="CT15138" s="531"/>
    </row>
    <row r="15139" spans="1:98">
      <c r="A15139" s="532"/>
      <c r="AR15139" s="2513"/>
      <c r="CT15139" s="531"/>
    </row>
    <row r="15140" spans="1:98">
      <c r="A15140" s="532"/>
      <c r="AR15140" s="2513"/>
      <c r="CT15140" s="531"/>
    </row>
    <row r="15141" spans="1:98">
      <c r="A15141" s="532"/>
      <c r="AR15141" s="2513"/>
      <c r="CT15141" s="531"/>
    </row>
    <row r="15142" spans="1:98">
      <c r="A15142" s="532"/>
      <c r="AR15142" s="2513"/>
      <c r="CT15142" s="531"/>
    </row>
    <row r="15143" spans="1:98">
      <c r="A15143" s="532"/>
      <c r="AR15143" s="2513"/>
      <c r="CT15143" s="531"/>
    </row>
    <row r="15144" spans="1:98">
      <c r="A15144" s="532"/>
      <c r="AR15144" s="2513"/>
      <c r="CT15144" s="531"/>
    </row>
    <row r="15145" spans="1:98">
      <c r="A15145" s="532"/>
      <c r="AR15145" s="2513"/>
      <c r="CT15145" s="531"/>
    </row>
    <row r="15146" spans="1:98">
      <c r="A15146" s="532"/>
      <c r="AR15146" s="2513"/>
      <c r="CT15146" s="531"/>
    </row>
    <row r="15147" spans="1:98">
      <c r="A15147" s="532"/>
      <c r="AR15147" s="2513"/>
      <c r="CT15147" s="531"/>
    </row>
    <row r="15148" spans="1:98">
      <c r="A15148" s="532"/>
      <c r="AR15148" s="2513"/>
      <c r="CT15148" s="531"/>
    </row>
    <row r="15149" spans="1:98">
      <c r="A15149" s="532"/>
      <c r="AR15149" s="2513"/>
      <c r="CT15149" s="531"/>
    </row>
    <row r="15150" spans="1:98">
      <c r="A15150" s="532"/>
      <c r="AR15150" s="2513"/>
      <c r="CT15150" s="531"/>
    </row>
    <row r="15151" spans="1:98">
      <c r="A15151" s="532"/>
      <c r="AR15151" s="2513"/>
      <c r="CT15151" s="531"/>
    </row>
    <row r="15152" spans="1:98">
      <c r="A15152" s="532"/>
      <c r="AR15152" s="2513"/>
      <c r="CT15152" s="531"/>
    </row>
    <row r="15153" spans="1:98">
      <c r="A15153" s="532"/>
      <c r="AR15153" s="2513"/>
      <c r="CT15153" s="531"/>
    </row>
    <row r="15154" spans="1:98">
      <c r="A15154" s="532"/>
      <c r="AR15154" s="2513"/>
      <c r="CT15154" s="531"/>
    </row>
    <row r="15155" spans="1:98">
      <c r="A15155" s="532"/>
      <c r="AR15155" s="2513"/>
      <c r="CT15155" s="531"/>
    </row>
    <row r="15156" spans="1:98">
      <c r="A15156" s="532"/>
      <c r="AR15156" s="2513"/>
      <c r="CT15156" s="531"/>
    </row>
    <row r="15157" spans="1:98">
      <c r="A15157" s="532"/>
      <c r="AR15157" s="2513"/>
      <c r="CT15157" s="531"/>
    </row>
    <row r="15158" spans="1:98">
      <c r="A15158" s="532"/>
      <c r="AR15158" s="2513"/>
      <c r="CT15158" s="531"/>
    </row>
    <row r="15159" spans="1:98">
      <c r="A15159" s="532"/>
      <c r="AR15159" s="2513"/>
      <c r="CT15159" s="531"/>
    </row>
    <row r="15160" spans="1:98">
      <c r="A15160" s="532"/>
      <c r="AR15160" s="2513"/>
      <c r="CT15160" s="531"/>
    </row>
    <row r="15161" spans="1:98">
      <c r="A15161" s="532"/>
      <c r="AR15161" s="2513"/>
      <c r="CT15161" s="531"/>
    </row>
    <row r="15162" spans="1:98">
      <c r="A15162" s="532"/>
      <c r="AR15162" s="2513"/>
      <c r="CT15162" s="531"/>
    </row>
    <row r="15163" spans="1:98">
      <c r="A15163" s="532"/>
      <c r="AR15163" s="2513"/>
      <c r="CT15163" s="531"/>
    </row>
    <row r="15164" spans="1:98">
      <c r="A15164" s="532"/>
      <c r="AR15164" s="2513"/>
      <c r="CT15164" s="531"/>
    </row>
    <row r="15165" spans="1:98">
      <c r="A15165" s="532"/>
      <c r="AR15165" s="2513"/>
      <c r="CT15165" s="531"/>
    </row>
    <row r="15166" spans="1:98">
      <c r="A15166" s="532"/>
      <c r="AR15166" s="2513"/>
      <c r="CT15166" s="531"/>
    </row>
    <row r="15167" spans="1:98">
      <c r="A15167" s="532"/>
      <c r="AR15167" s="2513"/>
      <c r="CT15167" s="531"/>
    </row>
    <row r="15168" spans="1:98">
      <c r="A15168" s="532"/>
      <c r="AR15168" s="2513"/>
      <c r="CT15168" s="531"/>
    </row>
    <row r="15169" spans="1:98">
      <c r="A15169" s="532"/>
      <c r="AR15169" s="2513"/>
      <c r="CT15169" s="531"/>
    </row>
    <row r="15170" spans="1:98">
      <c r="A15170" s="532"/>
      <c r="AR15170" s="2513"/>
      <c r="CT15170" s="531"/>
    </row>
    <row r="15171" spans="1:98">
      <c r="A15171" s="532"/>
      <c r="AR15171" s="2513"/>
      <c r="CT15171" s="531"/>
    </row>
    <row r="15172" spans="1:98">
      <c r="A15172" s="532"/>
      <c r="AR15172" s="2513"/>
      <c r="CT15172" s="531"/>
    </row>
    <row r="15173" spans="1:98">
      <c r="A15173" s="532"/>
      <c r="AR15173" s="2513"/>
      <c r="CT15173" s="531"/>
    </row>
    <row r="15174" spans="1:98">
      <c r="A15174" s="532"/>
      <c r="AR15174" s="2513"/>
      <c r="CT15174" s="531"/>
    </row>
    <row r="15175" spans="1:98">
      <c r="A15175" s="532"/>
      <c r="AR15175" s="2513"/>
      <c r="CT15175" s="531"/>
    </row>
    <row r="15176" spans="1:98">
      <c r="A15176" s="532"/>
      <c r="AR15176" s="2513"/>
      <c r="CT15176" s="531"/>
    </row>
    <row r="15177" spans="1:98">
      <c r="A15177" s="532"/>
      <c r="AR15177" s="2513"/>
      <c r="CT15177" s="531"/>
    </row>
    <row r="15178" spans="1:98">
      <c r="A15178" s="532"/>
      <c r="AR15178" s="2513"/>
      <c r="CT15178" s="531"/>
    </row>
    <row r="15179" spans="1:98">
      <c r="A15179" s="532"/>
      <c r="AR15179" s="2513"/>
      <c r="CT15179" s="531"/>
    </row>
    <row r="15180" spans="1:98">
      <c r="A15180" s="532"/>
      <c r="AR15180" s="2513"/>
      <c r="CT15180" s="531"/>
    </row>
    <row r="15181" spans="1:98">
      <c r="A15181" s="532"/>
      <c r="AR15181" s="2513"/>
      <c r="CT15181" s="531"/>
    </row>
    <row r="15182" spans="1:98">
      <c r="A15182" s="532"/>
      <c r="AR15182" s="2513"/>
      <c r="CT15182" s="531"/>
    </row>
    <row r="15183" spans="1:98">
      <c r="A15183" s="532"/>
      <c r="AR15183" s="2513"/>
      <c r="CT15183" s="531"/>
    </row>
    <row r="15184" spans="1:98">
      <c r="A15184" s="532"/>
      <c r="AR15184" s="2513"/>
      <c r="CT15184" s="531"/>
    </row>
    <row r="15185" spans="1:98">
      <c r="A15185" s="532"/>
      <c r="AR15185" s="2513"/>
      <c r="CT15185" s="531"/>
    </row>
    <row r="15186" spans="1:98">
      <c r="A15186" s="532"/>
      <c r="AR15186" s="2513"/>
      <c r="CT15186" s="531"/>
    </row>
    <row r="15187" spans="1:98">
      <c r="A15187" s="532"/>
      <c r="AR15187" s="2513"/>
      <c r="CT15187" s="531"/>
    </row>
    <row r="15188" spans="1:98">
      <c r="A15188" s="532"/>
      <c r="AR15188" s="2513"/>
      <c r="CT15188" s="531"/>
    </row>
    <row r="15189" spans="1:98">
      <c r="A15189" s="532"/>
      <c r="AR15189" s="2513"/>
      <c r="CT15189" s="531"/>
    </row>
    <row r="15190" spans="1:98">
      <c r="A15190" s="532"/>
      <c r="AR15190" s="2513"/>
      <c r="CT15190" s="531"/>
    </row>
    <row r="15191" spans="1:98">
      <c r="A15191" s="532"/>
      <c r="AR15191" s="2513"/>
      <c r="CT15191" s="531"/>
    </row>
    <row r="15192" spans="1:98">
      <c r="A15192" s="532"/>
      <c r="AR15192" s="2513"/>
      <c r="CT15192" s="531"/>
    </row>
    <row r="15193" spans="1:98">
      <c r="A15193" s="532"/>
      <c r="AR15193" s="2513"/>
      <c r="CT15193" s="531"/>
    </row>
    <row r="15194" spans="1:98">
      <c r="A15194" s="532"/>
      <c r="AR15194" s="2513"/>
      <c r="CT15194" s="531"/>
    </row>
    <row r="15195" spans="1:98">
      <c r="A15195" s="532"/>
      <c r="AR15195" s="2513"/>
      <c r="CT15195" s="531"/>
    </row>
    <row r="15196" spans="1:98">
      <c r="A15196" s="532"/>
      <c r="AR15196" s="2513"/>
      <c r="CT15196" s="531"/>
    </row>
    <row r="15197" spans="1:98">
      <c r="A15197" s="532"/>
      <c r="AR15197" s="2513"/>
      <c r="CT15197" s="531"/>
    </row>
    <row r="15198" spans="1:98">
      <c r="A15198" s="532"/>
      <c r="AR15198" s="2513"/>
      <c r="CT15198" s="531"/>
    </row>
    <row r="15199" spans="1:98">
      <c r="A15199" s="532"/>
      <c r="AR15199" s="2513"/>
      <c r="CT15199" s="531"/>
    </row>
    <row r="15200" spans="1:98">
      <c r="A15200" s="532"/>
      <c r="AR15200" s="2513"/>
      <c r="CT15200" s="531"/>
    </row>
    <row r="15201" spans="1:98">
      <c r="A15201" s="532"/>
      <c r="AR15201" s="2513"/>
      <c r="CT15201" s="531"/>
    </row>
    <row r="15202" spans="1:98">
      <c r="A15202" s="532"/>
      <c r="AR15202" s="2513"/>
      <c r="CT15202" s="531"/>
    </row>
    <row r="15203" spans="1:98">
      <c r="A15203" s="532"/>
      <c r="AR15203" s="2513"/>
      <c r="CT15203" s="531"/>
    </row>
    <row r="15204" spans="1:98">
      <c r="A15204" s="532"/>
      <c r="AR15204" s="2513"/>
      <c r="CT15204" s="531"/>
    </row>
    <row r="15205" spans="1:98">
      <c r="A15205" s="532"/>
      <c r="AR15205" s="2513"/>
      <c r="CT15205" s="531"/>
    </row>
    <row r="15206" spans="1:98">
      <c r="A15206" s="532"/>
      <c r="AR15206" s="2513"/>
      <c r="CT15206" s="531"/>
    </row>
    <row r="15207" spans="1:98">
      <c r="A15207" s="532"/>
      <c r="AR15207" s="2513"/>
      <c r="CT15207" s="531"/>
    </row>
    <row r="15208" spans="1:98">
      <c r="A15208" s="532"/>
      <c r="AR15208" s="2513"/>
      <c r="CT15208" s="531"/>
    </row>
    <row r="15209" spans="1:98">
      <c r="A15209" s="532"/>
      <c r="AR15209" s="2513"/>
      <c r="CT15209" s="531"/>
    </row>
    <row r="15210" spans="1:98">
      <c r="A15210" s="532"/>
      <c r="AR15210" s="2513"/>
      <c r="CT15210" s="531"/>
    </row>
    <row r="15211" spans="1:98">
      <c r="A15211" s="532"/>
      <c r="AR15211" s="2513"/>
      <c r="CT15211" s="531"/>
    </row>
    <row r="15212" spans="1:98">
      <c r="A15212" s="532"/>
      <c r="AR15212" s="2513"/>
      <c r="CT15212" s="531"/>
    </row>
    <row r="15213" spans="1:98">
      <c r="A15213" s="532"/>
      <c r="AR15213" s="2513"/>
      <c r="CT15213" s="531"/>
    </row>
    <row r="15214" spans="1:98">
      <c r="A15214" s="532"/>
      <c r="AR15214" s="2513"/>
      <c r="CT15214" s="531"/>
    </row>
    <row r="15215" spans="1:98">
      <c r="A15215" s="532"/>
      <c r="AR15215" s="2513"/>
      <c r="CT15215" s="531"/>
    </row>
    <row r="15216" spans="1:98">
      <c r="A15216" s="532"/>
      <c r="AR15216" s="2513"/>
      <c r="CT15216" s="531"/>
    </row>
    <row r="15217" spans="1:98">
      <c r="A15217" s="532"/>
      <c r="AR15217" s="2513"/>
      <c r="CT15217" s="531"/>
    </row>
    <row r="15218" spans="1:98">
      <c r="A15218" s="532"/>
      <c r="AR15218" s="2513"/>
      <c r="CT15218" s="531"/>
    </row>
    <row r="15219" spans="1:98">
      <c r="A15219" s="532"/>
      <c r="AR15219" s="2513"/>
      <c r="CT15219" s="531"/>
    </row>
    <row r="15220" spans="1:98">
      <c r="A15220" s="532"/>
      <c r="AR15220" s="2513"/>
      <c r="CT15220" s="531"/>
    </row>
    <row r="15221" spans="1:98">
      <c r="A15221" s="532"/>
      <c r="AR15221" s="2513"/>
      <c r="CT15221" s="531"/>
    </row>
    <row r="15222" spans="1:98">
      <c r="A15222" s="532"/>
      <c r="AR15222" s="2513"/>
      <c r="CT15222" s="531"/>
    </row>
    <row r="15223" spans="1:98">
      <c r="A15223" s="532"/>
      <c r="AR15223" s="2513"/>
      <c r="CT15223" s="531"/>
    </row>
    <row r="15224" spans="1:98">
      <c r="A15224" s="532"/>
      <c r="AR15224" s="2513"/>
      <c r="CT15224" s="531"/>
    </row>
    <row r="15225" spans="1:98">
      <c r="A15225" s="532"/>
      <c r="AR15225" s="2513"/>
      <c r="CT15225" s="531"/>
    </row>
    <row r="15226" spans="1:98">
      <c r="A15226" s="532"/>
      <c r="AR15226" s="2513"/>
      <c r="CT15226" s="531"/>
    </row>
    <row r="15227" spans="1:98">
      <c r="A15227" s="532"/>
      <c r="AR15227" s="2513"/>
      <c r="CT15227" s="531"/>
    </row>
    <row r="15228" spans="1:98">
      <c r="A15228" s="532"/>
      <c r="AR15228" s="2513"/>
      <c r="CT15228" s="531"/>
    </row>
    <row r="15229" spans="1:98">
      <c r="A15229" s="532"/>
      <c r="AR15229" s="2513"/>
      <c r="CT15229" s="531"/>
    </row>
    <row r="15230" spans="1:98">
      <c r="A15230" s="532"/>
      <c r="AR15230" s="2513"/>
      <c r="CT15230" s="531"/>
    </row>
    <row r="15231" spans="1:98">
      <c r="A15231" s="532"/>
      <c r="AR15231" s="2513"/>
      <c r="CT15231" s="531"/>
    </row>
    <row r="15232" spans="1:98">
      <c r="A15232" s="532"/>
      <c r="AR15232" s="2513"/>
      <c r="CT15232" s="531"/>
    </row>
    <row r="15233" spans="1:98">
      <c r="A15233" s="532"/>
      <c r="AR15233" s="2513"/>
      <c r="CT15233" s="531"/>
    </row>
    <row r="15234" spans="1:98">
      <c r="A15234" s="532"/>
      <c r="AR15234" s="2513"/>
      <c r="CT15234" s="531"/>
    </row>
    <row r="15235" spans="1:98">
      <c r="A15235" s="532"/>
      <c r="AR15235" s="2513"/>
      <c r="CT15235" s="531"/>
    </row>
    <row r="15236" spans="1:98">
      <c r="A15236" s="532"/>
      <c r="AR15236" s="2513"/>
      <c r="CT15236" s="531"/>
    </row>
    <row r="15237" spans="1:98">
      <c r="A15237" s="532"/>
      <c r="AR15237" s="2513"/>
      <c r="CT15237" s="531"/>
    </row>
    <row r="15238" spans="1:98">
      <c r="A15238" s="532"/>
      <c r="AR15238" s="2513"/>
      <c r="CT15238" s="531"/>
    </row>
    <row r="15239" spans="1:98">
      <c r="A15239" s="532"/>
      <c r="AR15239" s="2513"/>
      <c r="CT15239" s="531"/>
    </row>
    <row r="15240" spans="1:98">
      <c r="A15240" s="532"/>
      <c r="AR15240" s="2513"/>
      <c r="CT15240" s="531"/>
    </row>
    <row r="15241" spans="1:98">
      <c r="A15241" s="532"/>
      <c r="AR15241" s="2513"/>
      <c r="CT15241" s="531"/>
    </row>
    <row r="15242" spans="1:98">
      <c r="A15242" s="532"/>
      <c r="AR15242" s="2513"/>
      <c r="CT15242" s="531"/>
    </row>
    <row r="15243" spans="1:98">
      <c r="A15243" s="532"/>
      <c r="AR15243" s="2513"/>
      <c r="CT15243" s="531"/>
    </row>
    <row r="15244" spans="1:98">
      <c r="A15244" s="532"/>
      <c r="AR15244" s="2513"/>
      <c r="CT15244" s="531"/>
    </row>
    <row r="15245" spans="1:98">
      <c r="A15245" s="532"/>
      <c r="AR15245" s="2513"/>
      <c r="CT15245" s="531"/>
    </row>
    <row r="15246" spans="1:98">
      <c r="A15246" s="532"/>
      <c r="AR15246" s="2513"/>
      <c r="CT15246" s="531"/>
    </row>
    <row r="15247" spans="1:98">
      <c r="A15247" s="532"/>
      <c r="AR15247" s="2513"/>
      <c r="CT15247" s="531"/>
    </row>
    <row r="15248" spans="1:98">
      <c r="A15248" s="532"/>
      <c r="AR15248" s="2513"/>
      <c r="CT15248" s="531"/>
    </row>
    <row r="15249" spans="1:98">
      <c r="A15249" s="532"/>
      <c r="AR15249" s="2513"/>
      <c r="CT15249" s="531"/>
    </row>
    <row r="15250" spans="1:98">
      <c r="A15250" s="532"/>
      <c r="AR15250" s="2513"/>
      <c r="CT15250" s="531"/>
    </row>
    <row r="15251" spans="1:98">
      <c r="A15251" s="532"/>
      <c r="AR15251" s="2513"/>
      <c r="CT15251" s="531"/>
    </row>
    <row r="15252" spans="1:98">
      <c r="A15252" s="532"/>
      <c r="AR15252" s="2513"/>
      <c r="CT15252" s="531"/>
    </row>
    <row r="15253" spans="1:98">
      <c r="A15253" s="532"/>
      <c r="AR15253" s="2513"/>
      <c r="CT15253" s="531"/>
    </row>
    <row r="15254" spans="1:98">
      <c r="A15254" s="532"/>
      <c r="AR15254" s="2513"/>
      <c r="CT15254" s="531"/>
    </row>
    <row r="15255" spans="1:98">
      <c r="A15255" s="532"/>
      <c r="AR15255" s="2513"/>
      <c r="CT15255" s="531"/>
    </row>
    <row r="15256" spans="1:98">
      <c r="A15256" s="532"/>
      <c r="AR15256" s="2513"/>
      <c r="CT15256" s="531"/>
    </row>
    <row r="15257" spans="1:98">
      <c r="A15257" s="532"/>
      <c r="AR15257" s="2513"/>
      <c r="CT15257" s="531"/>
    </row>
    <row r="15258" spans="1:98">
      <c r="A15258" s="532"/>
      <c r="AR15258" s="2513"/>
      <c r="CT15258" s="531"/>
    </row>
    <row r="15259" spans="1:98">
      <c r="A15259" s="532"/>
      <c r="AR15259" s="2513"/>
      <c r="CT15259" s="531"/>
    </row>
    <row r="15260" spans="1:98">
      <c r="A15260" s="532"/>
      <c r="AR15260" s="2513"/>
      <c r="CT15260" s="531"/>
    </row>
    <row r="15261" spans="1:98">
      <c r="A15261" s="532"/>
      <c r="AR15261" s="2513"/>
      <c r="CT15261" s="531"/>
    </row>
    <row r="15262" spans="1:98">
      <c r="A15262" s="532"/>
      <c r="AR15262" s="2513"/>
      <c r="CT15262" s="531"/>
    </row>
    <row r="15263" spans="1:98">
      <c r="A15263" s="532"/>
      <c r="AR15263" s="2513"/>
      <c r="CT15263" s="531"/>
    </row>
    <row r="15264" spans="1:98">
      <c r="A15264" s="532"/>
      <c r="AR15264" s="2513"/>
      <c r="CT15264" s="531"/>
    </row>
    <row r="15265" spans="1:98">
      <c r="A15265" s="532"/>
      <c r="AR15265" s="2513"/>
      <c r="CT15265" s="531"/>
    </row>
    <row r="15266" spans="1:98">
      <c r="A15266" s="532"/>
      <c r="AR15266" s="2513"/>
      <c r="CT15266" s="531"/>
    </row>
    <row r="15267" spans="1:98">
      <c r="A15267" s="532"/>
      <c r="AR15267" s="2513"/>
      <c r="CT15267" s="531"/>
    </row>
    <row r="15268" spans="1:98">
      <c r="A15268" s="532"/>
      <c r="AR15268" s="2513"/>
      <c r="CT15268" s="531"/>
    </row>
    <row r="15269" spans="1:98">
      <c r="A15269" s="532"/>
      <c r="AR15269" s="2513"/>
      <c r="CT15269" s="531"/>
    </row>
    <row r="15270" spans="1:98">
      <c r="A15270" s="532"/>
      <c r="AR15270" s="2513"/>
      <c r="CT15270" s="531"/>
    </row>
    <row r="15271" spans="1:98">
      <c r="A15271" s="532"/>
      <c r="AR15271" s="2513"/>
      <c r="CT15271" s="531"/>
    </row>
    <row r="15272" spans="1:98">
      <c r="A15272" s="532"/>
      <c r="AR15272" s="2513"/>
      <c r="CT15272" s="531"/>
    </row>
    <row r="15273" spans="1:98">
      <c r="A15273" s="532"/>
      <c r="AR15273" s="2513"/>
      <c r="CT15273" s="531"/>
    </row>
    <row r="15274" spans="1:98">
      <c r="A15274" s="532"/>
      <c r="AR15274" s="2513"/>
      <c r="CT15274" s="531"/>
    </row>
    <row r="15275" spans="1:98">
      <c r="A15275" s="532"/>
      <c r="AR15275" s="2513"/>
      <c r="CT15275" s="531"/>
    </row>
    <row r="15276" spans="1:98">
      <c r="A15276" s="532"/>
      <c r="AR15276" s="2513"/>
      <c r="CT15276" s="531"/>
    </row>
    <row r="15277" spans="1:98">
      <c r="A15277" s="532"/>
      <c r="AR15277" s="2513"/>
      <c r="CT15277" s="531"/>
    </row>
    <row r="15278" spans="1:98">
      <c r="A15278" s="532"/>
      <c r="AR15278" s="2513"/>
      <c r="CT15278" s="531"/>
    </row>
    <row r="15279" spans="1:98">
      <c r="A15279" s="532"/>
      <c r="AR15279" s="2513"/>
      <c r="CT15279" s="531"/>
    </row>
    <row r="15280" spans="1:98">
      <c r="A15280" s="532"/>
      <c r="AR15280" s="2513"/>
      <c r="CT15280" s="531"/>
    </row>
    <row r="15281" spans="1:98">
      <c r="A15281" s="532"/>
      <c r="AR15281" s="2513"/>
      <c r="CT15281" s="531"/>
    </row>
    <row r="15282" spans="1:98">
      <c r="A15282" s="532"/>
      <c r="AR15282" s="2513"/>
      <c r="CT15282" s="531"/>
    </row>
    <row r="15283" spans="1:98">
      <c r="A15283" s="532"/>
      <c r="AR15283" s="2513"/>
      <c r="CT15283" s="531"/>
    </row>
    <row r="15284" spans="1:98">
      <c r="A15284" s="532"/>
      <c r="AR15284" s="2513"/>
      <c r="CT15284" s="531"/>
    </row>
    <row r="15285" spans="1:98">
      <c r="A15285" s="532"/>
      <c r="AR15285" s="2513"/>
      <c r="CT15285" s="531"/>
    </row>
    <row r="15286" spans="1:98">
      <c r="A15286" s="532"/>
      <c r="AR15286" s="2513"/>
      <c r="CT15286" s="531"/>
    </row>
    <row r="15287" spans="1:98">
      <c r="A15287" s="532"/>
      <c r="AR15287" s="2513"/>
      <c r="CT15287" s="531"/>
    </row>
    <row r="15288" spans="1:98">
      <c r="A15288" s="532"/>
      <c r="AR15288" s="2513"/>
      <c r="CT15288" s="531"/>
    </row>
    <row r="15289" spans="1:98">
      <c r="A15289" s="532"/>
      <c r="AR15289" s="2513"/>
      <c r="CT15289" s="531"/>
    </row>
    <row r="15290" spans="1:98">
      <c r="A15290" s="532"/>
      <c r="AR15290" s="2513"/>
      <c r="CT15290" s="531"/>
    </row>
    <row r="15291" spans="1:98">
      <c r="A15291" s="532"/>
      <c r="AR15291" s="2513"/>
      <c r="CT15291" s="531"/>
    </row>
    <row r="15292" spans="1:98">
      <c r="A15292" s="532"/>
      <c r="AR15292" s="2513"/>
      <c r="CT15292" s="531"/>
    </row>
    <row r="15293" spans="1:98">
      <c r="A15293" s="532"/>
      <c r="AR15293" s="2513"/>
      <c r="CT15293" s="531"/>
    </row>
    <row r="15294" spans="1:98">
      <c r="A15294" s="532"/>
      <c r="AR15294" s="2513"/>
      <c r="CT15294" s="531"/>
    </row>
    <row r="15295" spans="1:98">
      <c r="A15295" s="532"/>
      <c r="AR15295" s="2513"/>
      <c r="CT15295" s="531"/>
    </row>
    <row r="15296" spans="1:98">
      <c r="A15296" s="532"/>
      <c r="AR15296" s="2513"/>
      <c r="CT15296" s="531"/>
    </row>
    <row r="15297" spans="1:98">
      <c r="A15297" s="532"/>
      <c r="AR15297" s="2513"/>
      <c r="CT15297" s="531"/>
    </row>
    <row r="15298" spans="1:98">
      <c r="A15298" s="532"/>
      <c r="AR15298" s="2513"/>
      <c r="CT15298" s="531"/>
    </row>
    <row r="15299" spans="1:98">
      <c r="A15299" s="532"/>
      <c r="AR15299" s="2513"/>
      <c r="CT15299" s="531"/>
    </row>
    <row r="15300" spans="1:98">
      <c r="A15300" s="532"/>
      <c r="AR15300" s="2513"/>
      <c r="CT15300" s="531"/>
    </row>
    <row r="15301" spans="1:98">
      <c r="A15301" s="532"/>
      <c r="AR15301" s="2513"/>
      <c r="CT15301" s="531"/>
    </row>
    <row r="15302" spans="1:98">
      <c r="A15302" s="532"/>
      <c r="AR15302" s="2513"/>
      <c r="CT15302" s="531"/>
    </row>
    <row r="15303" spans="1:98">
      <c r="A15303" s="532"/>
      <c r="AR15303" s="2513"/>
      <c r="CT15303" s="531"/>
    </row>
    <row r="15304" spans="1:98">
      <c r="A15304" s="532"/>
      <c r="AR15304" s="2513"/>
      <c r="CT15304" s="531"/>
    </row>
    <row r="15305" spans="1:98">
      <c r="A15305" s="532"/>
      <c r="AR15305" s="2513"/>
      <c r="CT15305" s="531"/>
    </row>
    <row r="15306" spans="1:98">
      <c r="A15306" s="532"/>
      <c r="AR15306" s="2513"/>
      <c r="CT15306" s="531"/>
    </row>
    <row r="15307" spans="1:98">
      <c r="A15307" s="532"/>
      <c r="AR15307" s="2513"/>
      <c r="CT15307" s="531"/>
    </row>
    <row r="15308" spans="1:98">
      <c r="A15308" s="532"/>
      <c r="AR15308" s="2513"/>
      <c r="CT15308" s="531"/>
    </row>
    <row r="15309" spans="1:98">
      <c r="A15309" s="532"/>
      <c r="AR15309" s="2513"/>
      <c r="CT15309" s="531"/>
    </row>
    <row r="15310" spans="1:98">
      <c r="A15310" s="532"/>
      <c r="AR15310" s="2513"/>
      <c r="CT15310" s="531"/>
    </row>
    <row r="15311" spans="1:98">
      <c r="A15311" s="532"/>
      <c r="AR15311" s="2513"/>
      <c r="CT15311" s="531"/>
    </row>
    <row r="15312" spans="1:98">
      <c r="A15312" s="532"/>
      <c r="AR15312" s="2513"/>
      <c r="CT15312" s="531"/>
    </row>
    <row r="15313" spans="1:98">
      <c r="A15313" s="532"/>
      <c r="AR15313" s="2513"/>
      <c r="CT15313" s="531"/>
    </row>
    <row r="15314" spans="1:98">
      <c r="A15314" s="532"/>
      <c r="AR15314" s="2513"/>
      <c r="CT15314" s="531"/>
    </row>
    <row r="15315" spans="1:98">
      <c r="A15315" s="532"/>
      <c r="AR15315" s="2513"/>
      <c r="CT15315" s="531"/>
    </row>
    <row r="15316" spans="1:98">
      <c r="A15316" s="532"/>
      <c r="AR15316" s="2513"/>
      <c r="CT15316" s="531"/>
    </row>
    <row r="15317" spans="1:98">
      <c r="A15317" s="532"/>
      <c r="AR15317" s="2513"/>
      <c r="CT15317" s="531"/>
    </row>
    <row r="15318" spans="1:98">
      <c r="A15318" s="532"/>
      <c r="AR15318" s="2513"/>
      <c r="CT15318" s="531"/>
    </row>
    <row r="15319" spans="1:98">
      <c r="A15319" s="532"/>
      <c r="AR15319" s="2513"/>
      <c r="CT15319" s="531"/>
    </row>
    <row r="15320" spans="1:98">
      <c r="A15320" s="532"/>
      <c r="AR15320" s="2513"/>
      <c r="CT15320" s="531"/>
    </row>
    <row r="15321" spans="1:98">
      <c r="A15321" s="532"/>
      <c r="AR15321" s="2513"/>
      <c r="CT15321" s="531"/>
    </row>
    <row r="15322" spans="1:98">
      <c r="A15322" s="532"/>
      <c r="AR15322" s="2513"/>
      <c r="CT15322" s="531"/>
    </row>
    <row r="15323" spans="1:98">
      <c r="A15323" s="532"/>
      <c r="AR15323" s="2513"/>
      <c r="CT15323" s="531"/>
    </row>
    <row r="15324" spans="1:98">
      <c r="A15324" s="532"/>
      <c r="AR15324" s="2513"/>
      <c r="CT15324" s="531"/>
    </row>
    <row r="15325" spans="1:98">
      <c r="A15325" s="532"/>
      <c r="AR15325" s="2513"/>
      <c r="CT15325" s="531"/>
    </row>
    <row r="15326" spans="1:98">
      <c r="A15326" s="532"/>
      <c r="AR15326" s="2513"/>
      <c r="CT15326" s="531"/>
    </row>
    <row r="15327" spans="1:98">
      <c r="A15327" s="532"/>
      <c r="AR15327" s="2513"/>
      <c r="CT15327" s="531"/>
    </row>
    <row r="15328" spans="1:98">
      <c r="A15328" s="532"/>
      <c r="AR15328" s="2513"/>
      <c r="CT15328" s="531"/>
    </row>
    <row r="15329" spans="1:98">
      <c r="A15329" s="532"/>
      <c r="AR15329" s="2513"/>
      <c r="CT15329" s="531"/>
    </row>
    <row r="15330" spans="1:98">
      <c r="A15330" s="532"/>
      <c r="AR15330" s="2513"/>
      <c r="CT15330" s="531"/>
    </row>
    <row r="15331" spans="1:98">
      <c r="A15331" s="532"/>
      <c r="AR15331" s="2513"/>
      <c r="CT15331" s="531"/>
    </row>
    <row r="15332" spans="1:98">
      <c r="A15332" s="532"/>
      <c r="AR15332" s="2513"/>
      <c r="CT15332" s="531"/>
    </row>
    <row r="15333" spans="1:98">
      <c r="A15333" s="532"/>
      <c r="AR15333" s="2513"/>
      <c r="CT15333" s="531"/>
    </row>
    <row r="15334" spans="1:98">
      <c r="A15334" s="532"/>
      <c r="AR15334" s="2513"/>
      <c r="CT15334" s="531"/>
    </row>
    <row r="15335" spans="1:98">
      <c r="A15335" s="532"/>
      <c r="AR15335" s="2513"/>
      <c r="CT15335" s="531"/>
    </row>
    <row r="15336" spans="1:98">
      <c r="A15336" s="532"/>
      <c r="AR15336" s="2513"/>
      <c r="CT15336" s="531"/>
    </row>
    <row r="15337" spans="1:98">
      <c r="A15337" s="532"/>
      <c r="AR15337" s="2513"/>
      <c r="CT15337" s="531"/>
    </row>
    <row r="15338" spans="1:98">
      <c r="A15338" s="532"/>
      <c r="AR15338" s="2513"/>
      <c r="CT15338" s="531"/>
    </row>
    <row r="15339" spans="1:98">
      <c r="A15339" s="532"/>
      <c r="AR15339" s="2513"/>
      <c r="CT15339" s="531"/>
    </row>
    <row r="15340" spans="1:98">
      <c r="A15340" s="532"/>
      <c r="AR15340" s="2513"/>
      <c r="CT15340" s="531"/>
    </row>
    <row r="15341" spans="1:98">
      <c r="A15341" s="532"/>
      <c r="AR15341" s="2513"/>
      <c r="CT15341" s="531"/>
    </row>
    <row r="15342" spans="1:98">
      <c r="A15342" s="532"/>
      <c r="AR15342" s="2513"/>
      <c r="CT15342" s="531"/>
    </row>
    <row r="15343" spans="1:98">
      <c r="A15343" s="532"/>
      <c r="AR15343" s="2513"/>
      <c r="CT15343" s="531"/>
    </row>
    <row r="15344" spans="1:98">
      <c r="A15344" s="532"/>
      <c r="AR15344" s="2513"/>
      <c r="CT15344" s="531"/>
    </row>
    <row r="15345" spans="1:98">
      <c r="A15345" s="532"/>
      <c r="AR15345" s="2513"/>
      <c r="CT15345" s="531"/>
    </row>
    <row r="15346" spans="1:98">
      <c r="A15346" s="532"/>
      <c r="AR15346" s="2513"/>
      <c r="CT15346" s="531"/>
    </row>
    <row r="15347" spans="1:98">
      <c r="A15347" s="532"/>
      <c r="AR15347" s="2513"/>
      <c r="CT15347" s="531"/>
    </row>
    <row r="15348" spans="1:98">
      <c r="A15348" s="532"/>
      <c r="AR15348" s="2513"/>
      <c r="CT15348" s="531"/>
    </row>
    <row r="15349" spans="1:98">
      <c r="A15349" s="532"/>
      <c r="AR15349" s="2513"/>
      <c r="CT15349" s="531"/>
    </row>
    <row r="15350" spans="1:98">
      <c r="A15350" s="532"/>
      <c r="AR15350" s="2513"/>
      <c r="CT15350" s="531"/>
    </row>
    <row r="15351" spans="1:98">
      <c r="A15351" s="532"/>
      <c r="AR15351" s="2513"/>
      <c r="CT15351" s="531"/>
    </row>
    <row r="15352" spans="1:98">
      <c r="A15352" s="532"/>
      <c r="AR15352" s="2513"/>
      <c r="CT15352" s="531"/>
    </row>
    <row r="15353" spans="1:98">
      <c r="A15353" s="532"/>
      <c r="AR15353" s="2513"/>
      <c r="CT15353" s="531"/>
    </row>
    <row r="15354" spans="1:98">
      <c r="A15354" s="532"/>
      <c r="AR15354" s="2513"/>
      <c r="CT15354" s="531"/>
    </row>
    <row r="15355" spans="1:98">
      <c r="A15355" s="532"/>
      <c r="AR15355" s="2513"/>
      <c r="CT15355" s="531"/>
    </row>
    <row r="15356" spans="1:98">
      <c r="A15356" s="532"/>
      <c r="AR15356" s="2513"/>
      <c r="CT15356" s="531"/>
    </row>
    <row r="15357" spans="1:98">
      <c r="A15357" s="532"/>
      <c r="AR15357" s="2513"/>
      <c r="CT15357" s="531"/>
    </row>
    <row r="15358" spans="1:98">
      <c r="A15358" s="532"/>
      <c r="AR15358" s="2513"/>
      <c r="CT15358" s="531"/>
    </row>
    <row r="15359" spans="1:98">
      <c r="A15359" s="532"/>
      <c r="AR15359" s="2513"/>
      <c r="CT15359" s="531"/>
    </row>
    <row r="15360" spans="1:98">
      <c r="A15360" s="532"/>
      <c r="AR15360" s="2513"/>
      <c r="CT15360" s="531"/>
    </row>
    <row r="15361" spans="1:98">
      <c r="A15361" s="532"/>
      <c r="AR15361" s="2513"/>
      <c r="CT15361" s="531"/>
    </row>
    <row r="15362" spans="1:98">
      <c r="A15362" s="532"/>
      <c r="AR15362" s="2513"/>
      <c r="CT15362" s="531"/>
    </row>
    <row r="15363" spans="1:98">
      <c r="A15363" s="532"/>
      <c r="AR15363" s="2513"/>
      <c r="CT15363" s="531"/>
    </row>
    <row r="15364" spans="1:98">
      <c r="A15364" s="532"/>
      <c r="AR15364" s="2513"/>
      <c r="CT15364" s="531"/>
    </row>
    <row r="15365" spans="1:98">
      <c r="A15365" s="532"/>
      <c r="AR15365" s="2513"/>
      <c r="CT15365" s="531"/>
    </row>
    <row r="15366" spans="1:98">
      <c r="A15366" s="532"/>
      <c r="AR15366" s="2513"/>
      <c r="CT15366" s="531"/>
    </row>
    <row r="15367" spans="1:98">
      <c r="A15367" s="532"/>
      <c r="AR15367" s="2513"/>
      <c r="CT15367" s="531"/>
    </row>
    <row r="15368" spans="1:98">
      <c r="A15368" s="532"/>
      <c r="AR15368" s="2513"/>
      <c r="CT15368" s="531"/>
    </row>
    <row r="15369" spans="1:98">
      <c r="A15369" s="532"/>
      <c r="AR15369" s="2513"/>
      <c r="CT15369" s="531"/>
    </row>
    <row r="15370" spans="1:98">
      <c r="A15370" s="532"/>
      <c r="AR15370" s="2513"/>
      <c r="CT15370" s="531"/>
    </row>
    <row r="15371" spans="1:98">
      <c r="A15371" s="532"/>
      <c r="AR15371" s="2513"/>
      <c r="CT15371" s="531"/>
    </row>
    <row r="15372" spans="1:98">
      <c r="A15372" s="532"/>
      <c r="AR15372" s="2513"/>
      <c r="CT15372" s="531"/>
    </row>
    <row r="15373" spans="1:98">
      <c r="A15373" s="532"/>
      <c r="AR15373" s="2513"/>
      <c r="CT15373" s="531"/>
    </row>
    <row r="15374" spans="1:98">
      <c r="A15374" s="532"/>
      <c r="AR15374" s="2513"/>
      <c r="CT15374" s="531"/>
    </row>
    <row r="15375" spans="1:98">
      <c r="A15375" s="532"/>
      <c r="AR15375" s="2513"/>
      <c r="CT15375" s="531"/>
    </row>
    <row r="15376" spans="1:98">
      <c r="A15376" s="532"/>
      <c r="AR15376" s="2513"/>
      <c r="CT15376" s="531"/>
    </row>
    <row r="15377" spans="1:98">
      <c r="A15377" s="532"/>
      <c r="AR15377" s="2513"/>
      <c r="CT15377" s="531"/>
    </row>
    <row r="15378" spans="1:98">
      <c r="A15378" s="532"/>
      <c r="AR15378" s="2513"/>
      <c r="CT15378" s="531"/>
    </row>
    <row r="15379" spans="1:98">
      <c r="A15379" s="532"/>
      <c r="AR15379" s="2513"/>
      <c r="CT15379" s="531"/>
    </row>
    <row r="15380" spans="1:98">
      <c r="A15380" s="532"/>
      <c r="AR15380" s="2513"/>
      <c r="CT15380" s="531"/>
    </row>
    <row r="15381" spans="1:98">
      <c r="A15381" s="532"/>
      <c r="AR15381" s="2513"/>
      <c r="CT15381" s="531"/>
    </row>
    <row r="15382" spans="1:98">
      <c r="A15382" s="532"/>
      <c r="AR15382" s="2513"/>
      <c r="CT15382" s="531"/>
    </row>
    <row r="15383" spans="1:98">
      <c r="A15383" s="532"/>
      <c r="AR15383" s="2513"/>
      <c r="CT15383" s="531"/>
    </row>
    <row r="15384" spans="1:98">
      <c r="A15384" s="532"/>
      <c r="AR15384" s="2513"/>
      <c r="CT15384" s="531"/>
    </row>
    <row r="15385" spans="1:98">
      <c r="A15385" s="532"/>
      <c r="AR15385" s="2513"/>
      <c r="CT15385" s="531"/>
    </row>
    <row r="15386" spans="1:98">
      <c r="A15386" s="532"/>
      <c r="AR15386" s="2513"/>
      <c r="CT15386" s="531"/>
    </row>
    <row r="15387" spans="1:98">
      <c r="A15387" s="532"/>
      <c r="AR15387" s="2513"/>
      <c r="CT15387" s="531"/>
    </row>
    <row r="15388" spans="1:98">
      <c r="A15388" s="532"/>
      <c r="AR15388" s="2513"/>
      <c r="CT15388" s="531"/>
    </row>
    <row r="15389" spans="1:98">
      <c r="A15389" s="532"/>
      <c r="AR15389" s="2513"/>
      <c r="CT15389" s="531"/>
    </row>
    <row r="15390" spans="1:98">
      <c r="A15390" s="532"/>
      <c r="AR15390" s="2513"/>
      <c r="CT15390" s="531"/>
    </row>
    <row r="15391" spans="1:98">
      <c r="A15391" s="532"/>
      <c r="AR15391" s="2513"/>
      <c r="CT15391" s="531"/>
    </row>
    <row r="15392" spans="1:98">
      <c r="A15392" s="532"/>
      <c r="AR15392" s="2513"/>
      <c r="CT15392" s="531"/>
    </row>
    <row r="15393" spans="1:98">
      <c r="A15393" s="532"/>
      <c r="AR15393" s="2513"/>
      <c r="CT15393" s="531"/>
    </row>
    <row r="15394" spans="1:98">
      <c r="A15394" s="532"/>
      <c r="AR15394" s="2513"/>
      <c r="CT15394" s="531"/>
    </row>
    <row r="15395" spans="1:98">
      <c r="A15395" s="532"/>
      <c r="AR15395" s="2513"/>
      <c r="CT15395" s="531"/>
    </row>
    <row r="15396" spans="1:98">
      <c r="A15396" s="532"/>
      <c r="AR15396" s="2513"/>
      <c r="CT15396" s="531"/>
    </row>
    <row r="15397" spans="1:98">
      <c r="A15397" s="532"/>
      <c r="AR15397" s="2513"/>
      <c r="CT15397" s="531"/>
    </row>
    <row r="15398" spans="1:98">
      <c r="A15398" s="532"/>
      <c r="AR15398" s="2513"/>
      <c r="CT15398" s="531"/>
    </row>
    <row r="15399" spans="1:98">
      <c r="A15399" s="532"/>
      <c r="AR15399" s="2513"/>
      <c r="CT15399" s="531"/>
    </row>
    <row r="15400" spans="1:98">
      <c r="A15400" s="532"/>
      <c r="AR15400" s="2513"/>
      <c r="CT15400" s="531"/>
    </row>
    <row r="15401" spans="1:98">
      <c r="A15401" s="532"/>
      <c r="AR15401" s="2513"/>
      <c r="CT15401" s="531"/>
    </row>
    <row r="15402" spans="1:98">
      <c r="A15402" s="532"/>
      <c r="AR15402" s="2513"/>
      <c r="CT15402" s="531"/>
    </row>
    <row r="15403" spans="1:98">
      <c r="A15403" s="532"/>
      <c r="AR15403" s="2513"/>
      <c r="CT15403" s="531"/>
    </row>
    <row r="15404" spans="1:98">
      <c r="A15404" s="532"/>
      <c r="AR15404" s="2513"/>
      <c r="CT15404" s="531"/>
    </row>
    <row r="15405" spans="1:98">
      <c r="A15405" s="532"/>
      <c r="AR15405" s="2513"/>
      <c r="CT15405" s="531"/>
    </row>
    <row r="15406" spans="1:98">
      <c r="A15406" s="532"/>
      <c r="AR15406" s="2513"/>
      <c r="CT15406" s="531"/>
    </row>
    <row r="15407" spans="1:98">
      <c r="A15407" s="532"/>
      <c r="AR15407" s="2513"/>
      <c r="CT15407" s="531"/>
    </row>
    <row r="15408" spans="1:98">
      <c r="A15408" s="532"/>
      <c r="AR15408" s="2513"/>
      <c r="CT15408" s="531"/>
    </row>
    <row r="15409" spans="1:98">
      <c r="A15409" s="532"/>
      <c r="AR15409" s="2513"/>
      <c r="CT15409" s="531"/>
    </row>
    <row r="15410" spans="1:98">
      <c r="A15410" s="532"/>
      <c r="AR15410" s="2513"/>
      <c r="CT15410" s="531"/>
    </row>
    <row r="15411" spans="1:98">
      <c r="A15411" s="532"/>
      <c r="AR15411" s="2513"/>
      <c r="CT15411" s="531"/>
    </row>
    <row r="15412" spans="1:98">
      <c r="A15412" s="532"/>
      <c r="AR15412" s="2513"/>
      <c r="CT15412" s="531"/>
    </row>
    <row r="15413" spans="1:98">
      <c r="A15413" s="532"/>
      <c r="AR15413" s="2513"/>
      <c r="CT15413" s="531"/>
    </row>
    <row r="15414" spans="1:98">
      <c r="A15414" s="532"/>
      <c r="AR15414" s="2513"/>
      <c r="CT15414" s="531"/>
    </row>
    <row r="15415" spans="1:98">
      <c r="A15415" s="532"/>
      <c r="AR15415" s="2513"/>
      <c r="CT15415" s="531"/>
    </row>
    <row r="15416" spans="1:98">
      <c r="A15416" s="532"/>
      <c r="AR15416" s="2513"/>
      <c r="CT15416" s="531"/>
    </row>
    <row r="15417" spans="1:98">
      <c r="A15417" s="532"/>
      <c r="AR15417" s="2513"/>
      <c r="CT15417" s="531"/>
    </row>
    <row r="15418" spans="1:98">
      <c r="A15418" s="532"/>
      <c r="AR15418" s="2513"/>
      <c r="CT15418" s="531"/>
    </row>
    <row r="15419" spans="1:98">
      <c r="A15419" s="532"/>
      <c r="AR15419" s="2513"/>
      <c r="CT15419" s="531"/>
    </row>
    <row r="15420" spans="1:98">
      <c r="A15420" s="532"/>
      <c r="AR15420" s="2513"/>
      <c r="CT15420" s="531"/>
    </row>
    <row r="15421" spans="1:98">
      <c r="A15421" s="532"/>
      <c r="AR15421" s="2513"/>
      <c r="CT15421" s="531"/>
    </row>
    <row r="15422" spans="1:98">
      <c r="A15422" s="532"/>
      <c r="AR15422" s="2513"/>
      <c r="CT15422" s="531"/>
    </row>
    <row r="15423" spans="1:98">
      <c r="A15423" s="532"/>
      <c r="AR15423" s="2513"/>
      <c r="CT15423" s="531"/>
    </row>
    <row r="15424" spans="1:98">
      <c r="A15424" s="532"/>
      <c r="AR15424" s="2513"/>
      <c r="CT15424" s="531"/>
    </row>
    <row r="15425" spans="1:98">
      <c r="A15425" s="532"/>
      <c r="AR15425" s="2513"/>
      <c r="CT15425" s="531"/>
    </row>
    <row r="15426" spans="1:98">
      <c r="A15426" s="532"/>
      <c r="AR15426" s="2513"/>
      <c r="CT15426" s="531"/>
    </row>
    <row r="15427" spans="1:98">
      <c r="A15427" s="532"/>
      <c r="AR15427" s="2513"/>
      <c r="CT15427" s="531"/>
    </row>
    <row r="15428" spans="1:98">
      <c r="A15428" s="532"/>
      <c r="AR15428" s="2513"/>
      <c r="CT15428" s="531"/>
    </row>
    <row r="15429" spans="1:98">
      <c r="A15429" s="532"/>
      <c r="AR15429" s="2513"/>
      <c r="CT15429" s="531"/>
    </row>
    <row r="15430" spans="1:98">
      <c r="A15430" s="532"/>
      <c r="AR15430" s="2513"/>
      <c r="CT15430" s="531"/>
    </row>
    <row r="15431" spans="1:98">
      <c r="A15431" s="532"/>
      <c r="AR15431" s="2513"/>
      <c r="CT15431" s="531"/>
    </row>
    <row r="15432" spans="1:98">
      <c r="A15432" s="532"/>
      <c r="AR15432" s="2513"/>
      <c r="CT15432" s="531"/>
    </row>
    <row r="15433" spans="1:98">
      <c r="A15433" s="532"/>
      <c r="AR15433" s="2513"/>
      <c r="CT15433" s="531"/>
    </row>
    <row r="15434" spans="1:98">
      <c r="A15434" s="532"/>
      <c r="AR15434" s="2513"/>
      <c r="CT15434" s="531"/>
    </row>
    <row r="15435" spans="1:98">
      <c r="A15435" s="532"/>
      <c r="AR15435" s="2513"/>
      <c r="CT15435" s="531"/>
    </row>
    <row r="15436" spans="1:98">
      <c r="A15436" s="532"/>
      <c r="AR15436" s="2513"/>
      <c r="CT15436" s="531"/>
    </row>
    <row r="15437" spans="1:98">
      <c r="A15437" s="532"/>
      <c r="AR15437" s="2513"/>
      <c r="CT15437" s="531"/>
    </row>
    <row r="15438" spans="1:98">
      <c r="A15438" s="532"/>
      <c r="AR15438" s="2513"/>
      <c r="CT15438" s="531"/>
    </row>
    <row r="15439" spans="1:98">
      <c r="A15439" s="532"/>
      <c r="AR15439" s="2513"/>
      <c r="CT15439" s="531"/>
    </row>
    <row r="15440" spans="1:98">
      <c r="A15440" s="532"/>
      <c r="AR15440" s="2513"/>
      <c r="CT15440" s="531"/>
    </row>
    <row r="15441" spans="1:98">
      <c r="A15441" s="532"/>
      <c r="AR15441" s="2513"/>
      <c r="CT15441" s="531"/>
    </row>
    <row r="15442" spans="1:98">
      <c r="A15442" s="532"/>
      <c r="AR15442" s="2513"/>
      <c r="CT15442" s="531"/>
    </row>
    <row r="15443" spans="1:98">
      <c r="A15443" s="532"/>
      <c r="AR15443" s="2513"/>
      <c r="CT15443" s="531"/>
    </row>
    <row r="15444" spans="1:98">
      <c r="A15444" s="532"/>
      <c r="AR15444" s="2513"/>
      <c r="CT15444" s="531"/>
    </row>
    <row r="15445" spans="1:98">
      <c r="A15445" s="532"/>
      <c r="AR15445" s="2513"/>
      <c r="CT15445" s="531"/>
    </row>
    <row r="15446" spans="1:98">
      <c r="A15446" s="532"/>
      <c r="AR15446" s="2513"/>
      <c r="CT15446" s="531"/>
    </row>
    <row r="15447" spans="1:98">
      <c r="A15447" s="532"/>
      <c r="AR15447" s="2513"/>
      <c r="CT15447" s="531"/>
    </row>
    <row r="15448" spans="1:98">
      <c r="A15448" s="532"/>
      <c r="AR15448" s="2513"/>
      <c r="CT15448" s="531"/>
    </row>
    <row r="15449" spans="1:98">
      <c r="A15449" s="532"/>
      <c r="AR15449" s="2513"/>
      <c r="CT15449" s="531"/>
    </row>
    <row r="15450" spans="1:98">
      <c r="A15450" s="532"/>
      <c r="AR15450" s="2513"/>
      <c r="CT15450" s="531"/>
    </row>
    <row r="15451" spans="1:98">
      <c r="A15451" s="532"/>
      <c r="AR15451" s="2513"/>
      <c r="CT15451" s="531"/>
    </row>
    <row r="15452" spans="1:98">
      <c r="A15452" s="532"/>
      <c r="AR15452" s="2513"/>
      <c r="CT15452" s="531"/>
    </row>
    <row r="15453" spans="1:98">
      <c r="A15453" s="532"/>
      <c r="AR15453" s="2513"/>
      <c r="CT15453" s="531"/>
    </row>
    <row r="15454" spans="1:98">
      <c r="A15454" s="532"/>
      <c r="AR15454" s="2513"/>
      <c r="CT15454" s="531"/>
    </row>
    <row r="15455" spans="1:98">
      <c r="A15455" s="532"/>
      <c r="AR15455" s="2513"/>
      <c r="CT15455" s="531"/>
    </row>
    <row r="15456" spans="1:98">
      <c r="A15456" s="532"/>
      <c r="AR15456" s="2513"/>
      <c r="CT15456" s="531"/>
    </row>
    <row r="15457" spans="1:98">
      <c r="A15457" s="532"/>
      <c r="AR15457" s="2513"/>
      <c r="CT15457" s="531"/>
    </row>
    <row r="15458" spans="1:98">
      <c r="A15458" s="532"/>
      <c r="AR15458" s="2513"/>
      <c r="CT15458" s="531"/>
    </row>
    <row r="15459" spans="1:98">
      <c r="A15459" s="532"/>
      <c r="AR15459" s="2513"/>
      <c r="CT15459" s="531"/>
    </row>
    <row r="15460" spans="1:98">
      <c r="A15460" s="532"/>
      <c r="AR15460" s="2513"/>
      <c r="CT15460" s="531"/>
    </row>
    <row r="15461" spans="1:98">
      <c r="A15461" s="532"/>
      <c r="AR15461" s="2513"/>
      <c r="CT15461" s="531"/>
    </row>
    <row r="15462" spans="1:98">
      <c r="A15462" s="532"/>
      <c r="AR15462" s="2513"/>
      <c r="CT15462" s="531"/>
    </row>
    <row r="15463" spans="1:98">
      <c r="A15463" s="532"/>
      <c r="AR15463" s="2513"/>
      <c r="CT15463" s="531"/>
    </row>
    <row r="15464" spans="1:98">
      <c r="A15464" s="532"/>
      <c r="AR15464" s="2513"/>
      <c r="CT15464" s="531"/>
    </row>
    <row r="15465" spans="1:98">
      <c r="A15465" s="532"/>
      <c r="AR15465" s="2513"/>
      <c r="CT15465" s="531"/>
    </row>
    <row r="15466" spans="1:98">
      <c r="A15466" s="532"/>
      <c r="AR15466" s="2513"/>
      <c r="CT15466" s="531"/>
    </row>
    <row r="15467" spans="1:98">
      <c r="A15467" s="532"/>
      <c r="AR15467" s="2513"/>
      <c r="CT15467" s="531"/>
    </row>
    <row r="15468" spans="1:98">
      <c r="A15468" s="532"/>
      <c r="AR15468" s="2513"/>
      <c r="CT15468" s="531"/>
    </row>
    <row r="15469" spans="1:98">
      <c r="A15469" s="532"/>
      <c r="AR15469" s="2513"/>
      <c r="CT15469" s="531"/>
    </row>
    <row r="15470" spans="1:98">
      <c r="A15470" s="532"/>
      <c r="AR15470" s="2513"/>
      <c r="CT15470" s="531"/>
    </row>
    <row r="15471" spans="1:98">
      <c r="A15471" s="532"/>
      <c r="AR15471" s="2513"/>
      <c r="CT15471" s="531"/>
    </row>
    <row r="15472" spans="1:98">
      <c r="A15472" s="532"/>
      <c r="AR15472" s="2513"/>
      <c r="CT15472" s="531"/>
    </row>
    <row r="15473" spans="1:98">
      <c r="A15473" s="532"/>
      <c r="AR15473" s="2513"/>
      <c r="CT15473" s="531"/>
    </row>
    <row r="15474" spans="1:98">
      <c r="A15474" s="532"/>
      <c r="AR15474" s="2513"/>
      <c r="CT15474" s="531"/>
    </row>
    <row r="15475" spans="1:98">
      <c r="A15475" s="532"/>
      <c r="AR15475" s="2513"/>
      <c r="CT15475" s="531"/>
    </row>
    <row r="15476" spans="1:98">
      <c r="A15476" s="532"/>
      <c r="AR15476" s="2513"/>
      <c r="CT15476" s="531"/>
    </row>
    <row r="15477" spans="1:98">
      <c r="A15477" s="532"/>
      <c r="AR15477" s="2513"/>
      <c r="CT15477" s="531"/>
    </row>
    <row r="15478" spans="1:98">
      <c r="A15478" s="532"/>
      <c r="AR15478" s="2513"/>
      <c r="CT15478" s="531"/>
    </row>
    <row r="15479" spans="1:98">
      <c r="A15479" s="532"/>
      <c r="AR15479" s="2513"/>
      <c r="CT15479" s="531"/>
    </row>
    <row r="15480" spans="1:98">
      <c r="A15480" s="532"/>
      <c r="AR15480" s="2513"/>
      <c r="CT15480" s="531"/>
    </row>
    <row r="15481" spans="1:98">
      <c r="A15481" s="532"/>
      <c r="AR15481" s="2513"/>
      <c r="CT15481" s="531"/>
    </row>
    <row r="15482" spans="1:98">
      <c r="A15482" s="532"/>
      <c r="AR15482" s="2513"/>
      <c r="CT15482" s="531"/>
    </row>
    <row r="15483" spans="1:98">
      <c r="A15483" s="532"/>
      <c r="AR15483" s="2513"/>
      <c r="CT15483" s="531"/>
    </row>
    <row r="15484" spans="1:98">
      <c r="A15484" s="532"/>
      <c r="AR15484" s="2513"/>
      <c r="CT15484" s="531"/>
    </row>
    <row r="15485" spans="1:98">
      <c r="A15485" s="532"/>
      <c r="AR15485" s="2513"/>
      <c r="CT15485" s="531"/>
    </row>
    <row r="15486" spans="1:98">
      <c r="A15486" s="532"/>
      <c r="AR15486" s="2513"/>
      <c r="CT15486" s="531"/>
    </row>
    <row r="15487" spans="1:98">
      <c r="A15487" s="532"/>
      <c r="AR15487" s="2513"/>
      <c r="CT15487" s="531"/>
    </row>
    <row r="15488" spans="1:98">
      <c r="A15488" s="532"/>
      <c r="AR15488" s="2513"/>
      <c r="CT15488" s="531"/>
    </row>
    <row r="15489" spans="1:98">
      <c r="A15489" s="532"/>
      <c r="AR15489" s="2513"/>
      <c r="CT15489" s="531"/>
    </row>
    <row r="15490" spans="1:98">
      <c r="A15490" s="532"/>
      <c r="AR15490" s="2513"/>
      <c r="CT15490" s="531"/>
    </row>
    <row r="15491" spans="1:98">
      <c r="A15491" s="532"/>
      <c r="AR15491" s="2513"/>
      <c r="CT15491" s="531"/>
    </row>
    <row r="15492" spans="1:98">
      <c r="A15492" s="532"/>
      <c r="AR15492" s="2513"/>
      <c r="CT15492" s="531"/>
    </row>
    <row r="15493" spans="1:98">
      <c r="A15493" s="532"/>
      <c r="AR15493" s="2513"/>
      <c r="CT15493" s="531"/>
    </row>
    <row r="15494" spans="1:98">
      <c r="A15494" s="532"/>
      <c r="AR15494" s="2513"/>
      <c r="CT15494" s="531"/>
    </row>
    <row r="15495" spans="1:98">
      <c r="A15495" s="532"/>
      <c r="AR15495" s="2513"/>
      <c r="CT15495" s="531"/>
    </row>
    <row r="15496" spans="1:98">
      <c r="A15496" s="532"/>
      <c r="AR15496" s="2513"/>
      <c r="CT15496" s="531"/>
    </row>
    <row r="15497" spans="1:98">
      <c r="A15497" s="532"/>
      <c r="AR15497" s="2513"/>
      <c r="CT15497" s="531"/>
    </row>
    <row r="15498" spans="1:98">
      <c r="A15498" s="532"/>
      <c r="AR15498" s="2513"/>
      <c r="CT15498" s="531"/>
    </row>
    <row r="15499" spans="1:98">
      <c r="A15499" s="532"/>
      <c r="AR15499" s="2513"/>
      <c r="CT15499" s="531"/>
    </row>
    <row r="15500" spans="1:98">
      <c r="A15500" s="532"/>
      <c r="AR15500" s="2513"/>
      <c r="CT15500" s="531"/>
    </row>
    <row r="15501" spans="1:98">
      <c r="A15501" s="532"/>
      <c r="AR15501" s="2513"/>
      <c r="CT15501" s="531"/>
    </row>
    <row r="15502" spans="1:98">
      <c r="A15502" s="532"/>
      <c r="AR15502" s="2513"/>
      <c r="CT15502" s="531"/>
    </row>
    <row r="15503" spans="1:98">
      <c r="A15503" s="532"/>
      <c r="AR15503" s="2513"/>
      <c r="CT15503" s="531"/>
    </row>
    <row r="15504" spans="1:98">
      <c r="A15504" s="532"/>
      <c r="AR15504" s="2513"/>
      <c r="CT15504" s="531"/>
    </row>
    <row r="15505" spans="1:98">
      <c r="A15505" s="532"/>
      <c r="AR15505" s="2513"/>
      <c r="CT15505" s="531"/>
    </row>
    <row r="15506" spans="1:98">
      <c r="A15506" s="532"/>
      <c r="AR15506" s="2513"/>
      <c r="CT15506" s="531"/>
    </row>
    <row r="15507" spans="1:98">
      <c r="A15507" s="532"/>
      <c r="AR15507" s="2513"/>
      <c r="CT15507" s="531"/>
    </row>
    <row r="15508" spans="1:98">
      <c r="A15508" s="532"/>
      <c r="AR15508" s="2513"/>
      <c r="CT15508" s="531"/>
    </row>
    <row r="15509" spans="1:98">
      <c r="A15509" s="532"/>
      <c r="AR15509" s="2513"/>
      <c r="CT15509" s="531"/>
    </row>
    <row r="15510" spans="1:98">
      <c r="A15510" s="532"/>
      <c r="AR15510" s="2513"/>
      <c r="CT15510" s="531"/>
    </row>
    <row r="15511" spans="1:98">
      <c r="A15511" s="532"/>
      <c r="AR15511" s="2513"/>
      <c r="CT15511" s="531"/>
    </row>
    <row r="15512" spans="1:98">
      <c r="A15512" s="532"/>
      <c r="AR15512" s="2513"/>
      <c r="CT15512" s="531"/>
    </row>
    <row r="15513" spans="1:98">
      <c r="A15513" s="532"/>
      <c r="AR15513" s="2513"/>
      <c r="CT15513" s="531"/>
    </row>
    <row r="15514" spans="1:98">
      <c r="A15514" s="532"/>
      <c r="AR15514" s="2513"/>
      <c r="CT15514" s="531"/>
    </row>
    <row r="15515" spans="1:98">
      <c r="A15515" s="532"/>
      <c r="AR15515" s="2513"/>
      <c r="CT15515" s="531"/>
    </row>
    <row r="15516" spans="1:98">
      <c r="A15516" s="532"/>
      <c r="AR15516" s="2513"/>
      <c r="CT15516" s="531"/>
    </row>
    <row r="15517" spans="1:98">
      <c r="A15517" s="532"/>
      <c r="AR15517" s="2513"/>
      <c r="CT15517" s="531"/>
    </row>
    <row r="15518" spans="1:98">
      <c r="A15518" s="532"/>
      <c r="AR15518" s="2513"/>
      <c r="CT15518" s="531"/>
    </row>
    <row r="15519" spans="1:98">
      <c r="A15519" s="532"/>
      <c r="AR15519" s="2513"/>
      <c r="CT15519" s="531"/>
    </row>
    <row r="15520" spans="1:98">
      <c r="A15520" s="532"/>
      <c r="AR15520" s="2513"/>
      <c r="CT15520" s="531"/>
    </row>
    <row r="15521" spans="1:98">
      <c r="A15521" s="532"/>
      <c r="AR15521" s="2513"/>
      <c r="CT15521" s="531"/>
    </row>
    <row r="15522" spans="1:98">
      <c r="A15522" s="532"/>
      <c r="AR15522" s="2513"/>
      <c r="CT15522" s="531"/>
    </row>
    <row r="15523" spans="1:98">
      <c r="A15523" s="532"/>
      <c r="AR15523" s="2513"/>
      <c r="CT15523" s="531"/>
    </row>
    <row r="15524" spans="1:98">
      <c r="A15524" s="532"/>
      <c r="AR15524" s="2513"/>
      <c r="CT15524" s="531"/>
    </row>
    <row r="15525" spans="1:98">
      <c r="A15525" s="532"/>
      <c r="AR15525" s="2513"/>
      <c r="CT15525" s="531"/>
    </row>
    <row r="15526" spans="1:98">
      <c r="A15526" s="532"/>
      <c r="AR15526" s="2513"/>
      <c r="CT15526" s="531"/>
    </row>
    <row r="15527" spans="1:98">
      <c r="A15527" s="532"/>
      <c r="AR15527" s="2513"/>
      <c r="CT15527" s="531"/>
    </row>
    <row r="15528" spans="1:98">
      <c r="A15528" s="532"/>
      <c r="AR15528" s="2513"/>
      <c r="CT15528" s="531"/>
    </row>
    <row r="15529" spans="1:98">
      <c r="A15529" s="532"/>
      <c r="AR15529" s="2513"/>
      <c r="CT15529" s="531"/>
    </row>
    <row r="15530" spans="1:98">
      <c r="A15530" s="532"/>
      <c r="AR15530" s="2513"/>
      <c r="CT15530" s="531"/>
    </row>
    <row r="15531" spans="1:98">
      <c r="A15531" s="532"/>
      <c r="AR15531" s="2513"/>
      <c r="CT15531" s="531"/>
    </row>
    <row r="15532" spans="1:98">
      <c r="A15532" s="532"/>
      <c r="AR15532" s="2513"/>
      <c r="CT15532" s="531"/>
    </row>
    <row r="15533" spans="1:98">
      <c r="A15533" s="532"/>
      <c r="AR15533" s="2513"/>
      <c r="CT15533" s="531"/>
    </row>
    <row r="15534" spans="1:98">
      <c r="A15534" s="532"/>
      <c r="AR15534" s="2513"/>
      <c r="CT15534" s="531"/>
    </row>
    <row r="15535" spans="1:98">
      <c r="A15535" s="532"/>
      <c r="AR15535" s="2513"/>
      <c r="CT15535" s="531"/>
    </row>
    <row r="15536" spans="1:98">
      <c r="A15536" s="532"/>
      <c r="AR15536" s="2513"/>
      <c r="CT15536" s="531"/>
    </row>
    <row r="15537" spans="1:98">
      <c r="A15537" s="532"/>
      <c r="AR15537" s="2513"/>
      <c r="CT15537" s="531"/>
    </row>
    <row r="15538" spans="1:98">
      <c r="A15538" s="532"/>
      <c r="AR15538" s="2513"/>
      <c r="CT15538" s="531"/>
    </row>
    <row r="15539" spans="1:98">
      <c r="A15539" s="532"/>
      <c r="AR15539" s="2513"/>
      <c r="CT15539" s="531"/>
    </row>
    <row r="15540" spans="1:98">
      <c r="A15540" s="532"/>
      <c r="AR15540" s="2513"/>
      <c r="CT15540" s="531"/>
    </row>
    <row r="15541" spans="1:98">
      <c r="A15541" s="532"/>
      <c r="AR15541" s="2513"/>
      <c r="CT15541" s="531"/>
    </row>
    <row r="15542" spans="1:98">
      <c r="A15542" s="532"/>
      <c r="AR15542" s="2513"/>
      <c r="CT15542" s="531"/>
    </row>
    <row r="15543" spans="1:98">
      <c r="A15543" s="532"/>
      <c r="AR15543" s="2513"/>
      <c r="CT15543" s="531"/>
    </row>
    <row r="15544" spans="1:98">
      <c r="A15544" s="532"/>
      <c r="AR15544" s="2513"/>
      <c r="CT15544" s="531"/>
    </row>
    <row r="15545" spans="1:98">
      <c r="A15545" s="532"/>
      <c r="AR15545" s="2513"/>
      <c r="CT15545" s="531"/>
    </row>
    <row r="15546" spans="1:98">
      <c r="A15546" s="532"/>
      <c r="AR15546" s="2513"/>
      <c r="CT15546" s="531"/>
    </row>
    <row r="15547" spans="1:98">
      <c r="A15547" s="532"/>
      <c r="AR15547" s="2513"/>
      <c r="CT15547" s="531"/>
    </row>
    <row r="15548" spans="1:98">
      <c r="A15548" s="532"/>
      <c r="AR15548" s="2513"/>
      <c r="CT15548" s="531"/>
    </row>
    <row r="15549" spans="1:98">
      <c r="A15549" s="532"/>
      <c r="AR15549" s="2513"/>
      <c r="CT15549" s="531"/>
    </row>
    <row r="15550" spans="1:98">
      <c r="A15550" s="532"/>
      <c r="AR15550" s="2513"/>
      <c r="CT15550" s="531"/>
    </row>
    <row r="15551" spans="1:98">
      <c r="A15551" s="532"/>
      <c r="AR15551" s="2513"/>
      <c r="CT15551" s="531"/>
    </row>
    <row r="15552" spans="1:98">
      <c r="A15552" s="532"/>
      <c r="AR15552" s="2513"/>
      <c r="CT15552" s="531"/>
    </row>
    <row r="15553" spans="1:98">
      <c r="A15553" s="532"/>
      <c r="AR15553" s="2513"/>
      <c r="CT15553" s="531"/>
    </row>
    <row r="15554" spans="1:98">
      <c r="A15554" s="532"/>
      <c r="AR15554" s="2513"/>
      <c r="CT15554" s="531"/>
    </row>
    <row r="15555" spans="1:98">
      <c r="A15555" s="532"/>
      <c r="AR15555" s="2513"/>
      <c r="CT15555" s="531"/>
    </row>
    <row r="15556" spans="1:98">
      <c r="A15556" s="532"/>
      <c r="AR15556" s="2513"/>
      <c r="CT15556" s="531"/>
    </row>
    <row r="15557" spans="1:98">
      <c r="A15557" s="532"/>
      <c r="AR15557" s="2513"/>
      <c r="CT15557" s="531"/>
    </row>
    <row r="15558" spans="1:98">
      <c r="A15558" s="532"/>
      <c r="AR15558" s="2513"/>
      <c r="CT15558" s="531"/>
    </row>
    <row r="15559" spans="1:98">
      <c r="A15559" s="532"/>
      <c r="AR15559" s="2513"/>
      <c r="CT15559" s="531"/>
    </row>
    <row r="15560" spans="1:98">
      <c r="A15560" s="532"/>
      <c r="AR15560" s="2513"/>
      <c r="CT15560" s="531"/>
    </row>
    <row r="15561" spans="1:98">
      <c r="A15561" s="532"/>
      <c r="AR15561" s="2513"/>
      <c r="CT15561" s="531"/>
    </row>
    <row r="15562" spans="1:98">
      <c r="A15562" s="532"/>
      <c r="AR15562" s="2513"/>
      <c r="CT15562" s="531"/>
    </row>
    <row r="15563" spans="1:98">
      <c r="A15563" s="532"/>
      <c r="AR15563" s="2513"/>
      <c r="CT15563" s="531"/>
    </row>
    <row r="15564" spans="1:98">
      <c r="A15564" s="532"/>
      <c r="AR15564" s="2513"/>
      <c r="CT15564" s="531"/>
    </row>
    <row r="15565" spans="1:98">
      <c r="A15565" s="532"/>
      <c r="AR15565" s="2513"/>
      <c r="CT15565" s="531"/>
    </row>
    <row r="15566" spans="1:98">
      <c r="A15566" s="532"/>
      <c r="AR15566" s="2513"/>
      <c r="CT15566" s="531"/>
    </row>
    <row r="15567" spans="1:98">
      <c r="A15567" s="532"/>
      <c r="AR15567" s="2513"/>
      <c r="CT15567" s="531"/>
    </row>
    <row r="15568" spans="1:98">
      <c r="A15568" s="532"/>
      <c r="AR15568" s="2513"/>
      <c r="CT15568" s="531"/>
    </row>
    <row r="15569" spans="1:98">
      <c r="A15569" s="532"/>
      <c r="AR15569" s="2513"/>
      <c r="CT15569" s="531"/>
    </row>
    <row r="15570" spans="1:98">
      <c r="A15570" s="532"/>
      <c r="AR15570" s="2513"/>
      <c r="CT15570" s="531"/>
    </row>
    <row r="15571" spans="1:98">
      <c r="A15571" s="532"/>
      <c r="AR15571" s="2513"/>
      <c r="CT15571" s="531"/>
    </row>
    <row r="15572" spans="1:98">
      <c r="A15572" s="532"/>
      <c r="AR15572" s="2513"/>
      <c r="CT15572" s="531"/>
    </row>
    <row r="15573" spans="1:98">
      <c r="A15573" s="532"/>
      <c r="AR15573" s="2513"/>
      <c r="CT15573" s="531"/>
    </row>
    <row r="15574" spans="1:98">
      <c r="A15574" s="532"/>
      <c r="AR15574" s="2513"/>
      <c r="CT15574" s="531"/>
    </row>
    <row r="15575" spans="1:98">
      <c r="A15575" s="532"/>
      <c r="AR15575" s="2513"/>
      <c r="CT15575" s="531"/>
    </row>
    <row r="15576" spans="1:98">
      <c r="A15576" s="532"/>
      <c r="AR15576" s="2513"/>
      <c r="CT15576" s="531"/>
    </row>
    <row r="15577" spans="1:98">
      <c r="A15577" s="532"/>
      <c r="AR15577" s="2513"/>
      <c r="CT15577" s="531"/>
    </row>
    <row r="15578" spans="1:98">
      <c r="A15578" s="532"/>
      <c r="AR15578" s="2513"/>
      <c r="CT15578" s="531"/>
    </row>
    <row r="15579" spans="1:98">
      <c r="A15579" s="532"/>
      <c r="AR15579" s="2513"/>
      <c r="CT15579" s="531"/>
    </row>
    <row r="15580" spans="1:98">
      <c r="A15580" s="532"/>
      <c r="AR15580" s="2513"/>
      <c r="CT15580" s="531"/>
    </row>
    <row r="15581" spans="1:98">
      <c r="A15581" s="532"/>
      <c r="AR15581" s="2513"/>
      <c r="CT15581" s="531"/>
    </row>
    <row r="15582" spans="1:98">
      <c r="A15582" s="532"/>
      <c r="AR15582" s="2513"/>
      <c r="CT15582" s="531"/>
    </row>
    <row r="15583" spans="1:98">
      <c r="A15583" s="532"/>
      <c r="AR15583" s="2513"/>
      <c r="CT15583" s="531"/>
    </row>
    <row r="15584" spans="1:98">
      <c r="A15584" s="532"/>
      <c r="AR15584" s="2513"/>
      <c r="CT15584" s="531"/>
    </row>
    <row r="15585" spans="1:98">
      <c r="A15585" s="532"/>
      <c r="AR15585" s="2513"/>
      <c r="CT15585" s="531"/>
    </row>
    <row r="15586" spans="1:98">
      <c r="A15586" s="532"/>
      <c r="AR15586" s="2513"/>
      <c r="CT15586" s="531"/>
    </row>
    <row r="15587" spans="1:98">
      <c r="A15587" s="532"/>
      <c r="AR15587" s="2513"/>
      <c r="CT15587" s="531"/>
    </row>
    <row r="15588" spans="1:98">
      <c r="A15588" s="532"/>
      <c r="AR15588" s="2513"/>
      <c r="CT15588" s="531"/>
    </row>
    <row r="15589" spans="1:98">
      <c r="A15589" s="532"/>
      <c r="AR15589" s="2513"/>
      <c r="CT15589" s="531"/>
    </row>
    <row r="15590" spans="1:98">
      <c r="A15590" s="532"/>
      <c r="AR15590" s="2513"/>
      <c r="CT15590" s="531"/>
    </row>
    <row r="15591" spans="1:98">
      <c r="A15591" s="532"/>
      <c r="AR15591" s="2513"/>
      <c r="CT15591" s="531"/>
    </row>
    <row r="15592" spans="1:98">
      <c r="A15592" s="532"/>
      <c r="AR15592" s="2513"/>
      <c r="CT15592" s="531"/>
    </row>
    <row r="15593" spans="1:98">
      <c r="A15593" s="532"/>
      <c r="AR15593" s="2513"/>
      <c r="CT15593" s="531"/>
    </row>
    <row r="15594" spans="1:98">
      <c r="A15594" s="532"/>
      <c r="AR15594" s="2513"/>
      <c r="CT15594" s="531"/>
    </row>
    <row r="15595" spans="1:98">
      <c r="A15595" s="532"/>
      <c r="AR15595" s="2513"/>
      <c r="CT15595" s="531"/>
    </row>
    <row r="15596" spans="1:98">
      <c r="A15596" s="532"/>
      <c r="AR15596" s="2513"/>
      <c r="CT15596" s="531"/>
    </row>
    <row r="15597" spans="1:98">
      <c r="A15597" s="532"/>
      <c r="AR15597" s="2513"/>
      <c r="CT15597" s="531"/>
    </row>
    <row r="15598" spans="1:98">
      <c r="A15598" s="532"/>
      <c r="AR15598" s="2513"/>
      <c r="CT15598" s="531"/>
    </row>
    <row r="15599" spans="1:98">
      <c r="A15599" s="532"/>
      <c r="AR15599" s="2513"/>
      <c r="CT15599" s="531"/>
    </row>
    <row r="15600" spans="1:98">
      <c r="A15600" s="532"/>
      <c r="AR15600" s="2513"/>
      <c r="CT15600" s="531"/>
    </row>
    <row r="15601" spans="1:98">
      <c r="A15601" s="532"/>
      <c r="AR15601" s="2513"/>
      <c r="CT15601" s="531"/>
    </row>
    <row r="15602" spans="1:98">
      <c r="A15602" s="532"/>
      <c r="AR15602" s="2513"/>
      <c r="CT15602" s="531"/>
    </row>
    <row r="15603" spans="1:98">
      <c r="A15603" s="532"/>
      <c r="AR15603" s="2513"/>
      <c r="CT15603" s="531"/>
    </row>
    <row r="15604" spans="1:98">
      <c r="A15604" s="532"/>
      <c r="AR15604" s="2513"/>
      <c r="CT15604" s="531"/>
    </row>
    <row r="15605" spans="1:98">
      <c r="A15605" s="532"/>
      <c r="AR15605" s="2513"/>
      <c r="CT15605" s="531"/>
    </row>
    <row r="15606" spans="1:98">
      <c r="A15606" s="532"/>
      <c r="AR15606" s="2513"/>
      <c r="CT15606" s="531"/>
    </row>
    <row r="15607" spans="1:98">
      <c r="A15607" s="532"/>
      <c r="AR15607" s="2513"/>
      <c r="CT15607" s="531"/>
    </row>
    <row r="15608" spans="1:98">
      <c r="A15608" s="532"/>
      <c r="AR15608" s="2513"/>
      <c r="CT15608" s="531"/>
    </row>
    <row r="15609" spans="1:98">
      <c r="A15609" s="532"/>
      <c r="AR15609" s="2513"/>
      <c r="CT15609" s="531"/>
    </row>
    <row r="15610" spans="1:98">
      <c r="A15610" s="532"/>
      <c r="AR15610" s="2513"/>
      <c r="CT15610" s="531"/>
    </row>
    <row r="15611" spans="1:98">
      <c r="A15611" s="532"/>
      <c r="AR15611" s="2513"/>
      <c r="CT15611" s="531"/>
    </row>
    <row r="15612" spans="1:98">
      <c r="A15612" s="532"/>
      <c r="AR15612" s="2513"/>
      <c r="CT15612" s="531"/>
    </row>
    <row r="15613" spans="1:98">
      <c r="A15613" s="532"/>
      <c r="AR15613" s="2513"/>
      <c r="CT15613" s="531"/>
    </row>
    <row r="15614" spans="1:98">
      <c r="A15614" s="532"/>
      <c r="AR15614" s="2513"/>
      <c r="CT15614" s="531"/>
    </row>
    <row r="15615" spans="1:98">
      <c r="A15615" s="532"/>
      <c r="AR15615" s="2513"/>
      <c r="CT15615" s="531"/>
    </row>
    <row r="15616" spans="1:98">
      <c r="A15616" s="532"/>
      <c r="AR15616" s="2513"/>
      <c r="CT15616" s="531"/>
    </row>
    <row r="15617" spans="1:98">
      <c r="A15617" s="532"/>
      <c r="AR15617" s="2513"/>
      <c r="CT15617" s="531"/>
    </row>
    <row r="15618" spans="1:98">
      <c r="A15618" s="532"/>
      <c r="AR15618" s="2513"/>
      <c r="CT15618" s="531"/>
    </row>
    <row r="15619" spans="1:98">
      <c r="A15619" s="532"/>
      <c r="AR15619" s="2513"/>
      <c r="CT15619" s="531"/>
    </row>
    <row r="15620" spans="1:98">
      <c r="A15620" s="532"/>
      <c r="AR15620" s="2513"/>
      <c r="CT15620" s="531"/>
    </row>
    <row r="15621" spans="1:98">
      <c r="A15621" s="532"/>
      <c r="AR15621" s="2513"/>
      <c r="CT15621" s="531"/>
    </row>
    <row r="15622" spans="1:98">
      <c r="A15622" s="532"/>
      <c r="AR15622" s="2513"/>
      <c r="CT15622" s="531"/>
    </row>
    <row r="15623" spans="1:98">
      <c r="A15623" s="532"/>
      <c r="AR15623" s="2513"/>
      <c r="CT15623" s="531"/>
    </row>
    <row r="15624" spans="1:98">
      <c r="A15624" s="532"/>
      <c r="AR15624" s="2513"/>
      <c r="CT15624" s="531"/>
    </row>
    <row r="15625" spans="1:98">
      <c r="A15625" s="532"/>
      <c r="AR15625" s="2513"/>
      <c r="CT15625" s="531"/>
    </row>
    <row r="15626" spans="1:98">
      <c r="A15626" s="532"/>
      <c r="AR15626" s="2513"/>
      <c r="CT15626" s="531"/>
    </row>
    <row r="15627" spans="1:98">
      <c r="A15627" s="532"/>
      <c r="AR15627" s="2513"/>
      <c r="CT15627" s="531"/>
    </row>
    <row r="15628" spans="1:98">
      <c r="A15628" s="532"/>
      <c r="AR15628" s="2513"/>
      <c r="CT15628" s="531"/>
    </row>
    <row r="15629" spans="1:98">
      <c r="A15629" s="532"/>
      <c r="AR15629" s="2513"/>
      <c r="CT15629" s="531"/>
    </row>
    <row r="15630" spans="1:98">
      <c r="A15630" s="532"/>
      <c r="AR15630" s="2513"/>
      <c r="CT15630" s="531"/>
    </row>
    <row r="15631" spans="1:98">
      <c r="A15631" s="532"/>
      <c r="AR15631" s="2513"/>
      <c r="CT15631" s="531"/>
    </row>
    <row r="15632" spans="1:98">
      <c r="A15632" s="532"/>
      <c r="AR15632" s="2513"/>
      <c r="CT15632" s="531"/>
    </row>
    <row r="15633" spans="1:98">
      <c r="A15633" s="532"/>
      <c r="AR15633" s="2513"/>
      <c r="CT15633" s="531"/>
    </row>
    <row r="15634" spans="1:98">
      <c r="A15634" s="532"/>
      <c r="AR15634" s="2513"/>
      <c r="CT15634" s="531"/>
    </row>
    <row r="15635" spans="1:98">
      <c r="A15635" s="532"/>
      <c r="AR15635" s="2513"/>
      <c r="CT15635" s="531"/>
    </row>
    <row r="15636" spans="1:98">
      <c r="A15636" s="532"/>
      <c r="AR15636" s="2513"/>
      <c r="CT15636" s="531"/>
    </row>
    <row r="15637" spans="1:98">
      <c r="A15637" s="532"/>
      <c r="AR15637" s="2513"/>
      <c r="CT15637" s="531"/>
    </row>
    <row r="15638" spans="1:98">
      <c r="A15638" s="532"/>
      <c r="AR15638" s="2513"/>
      <c r="CT15638" s="531"/>
    </row>
    <row r="15639" spans="1:98">
      <c r="A15639" s="532"/>
      <c r="AR15639" s="2513"/>
      <c r="CT15639" s="531"/>
    </row>
    <row r="15640" spans="1:98">
      <c r="A15640" s="532"/>
      <c r="AR15640" s="2513"/>
      <c r="CT15640" s="531"/>
    </row>
    <row r="15641" spans="1:98">
      <c r="A15641" s="532"/>
      <c r="AR15641" s="2513"/>
      <c r="CT15641" s="531"/>
    </row>
    <row r="15642" spans="1:98">
      <c r="A15642" s="532"/>
      <c r="AR15642" s="2513"/>
      <c r="CT15642" s="531"/>
    </row>
    <row r="15643" spans="1:98">
      <c r="A15643" s="532"/>
      <c r="AR15643" s="2513"/>
      <c r="CT15643" s="531"/>
    </row>
    <row r="15644" spans="1:98">
      <c r="A15644" s="532"/>
      <c r="AR15644" s="2513"/>
      <c r="CT15644" s="531"/>
    </row>
    <row r="15645" spans="1:98">
      <c r="A15645" s="532"/>
      <c r="AR15645" s="2513"/>
      <c r="CT15645" s="531"/>
    </row>
    <row r="15646" spans="1:98">
      <c r="A15646" s="532"/>
      <c r="AR15646" s="2513"/>
      <c r="CT15646" s="531"/>
    </row>
    <row r="15647" spans="1:98">
      <c r="A15647" s="532"/>
      <c r="AR15647" s="2513"/>
      <c r="CT15647" s="531"/>
    </row>
    <row r="15648" spans="1:98">
      <c r="A15648" s="532"/>
      <c r="AR15648" s="2513"/>
      <c r="CT15648" s="531"/>
    </row>
    <row r="15649" spans="1:98">
      <c r="A15649" s="532"/>
      <c r="AR15649" s="2513"/>
      <c r="CT15649" s="531"/>
    </row>
    <row r="15650" spans="1:98">
      <c r="A15650" s="532"/>
      <c r="AR15650" s="2513"/>
      <c r="CT15650" s="531"/>
    </row>
    <row r="15651" spans="1:98">
      <c r="A15651" s="532"/>
      <c r="AR15651" s="2513"/>
      <c r="CT15651" s="531"/>
    </row>
    <row r="15652" spans="1:98">
      <c r="A15652" s="532"/>
      <c r="AR15652" s="2513"/>
      <c r="CT15652" s="531"/>
    </row>
    <row r="15653" spans="1:98">
      <c r="A15653" s="532"/>
      <c r="AR15653" s="2513"/>
      <c r="CT15653" s="531"/>
    </row>
    <row r="15654" spans="1:98">
      <c r="A15654" s="532"/>
      <c r="AR15654" s="2513"/>
      <c r="CT15654" s="531"/>
    </row>
    <row r="15655" spans="1:98">
      <c r="A15655" s="532"/>
      <c r="AR15655" s="2513"/>
      <c r="CT15655" s="531"/>
    </row>
    <row r="15656" spans="1:98">
      <c r="A15656" s="532"/>
      <c r="AR15656" s="2513"/>
      <c r="CT15656" s="531"/>
    </row>
    <row r="15657" spans="1:98">
      <c r="A15657" s="532"/>
      <c r="AR15657" s="2513"/>
      <c r="CT15657" s="531"/>
    </row>
    <row r="15658" spans="1:98">
      <c r="A15658" s="532"/>
      <c r="AR15658" s="2513"/>
      <c r="CT15658" s="531"/>
    </row>
    <row r="15659" spans="1:98">
      <c r="A15659" s="532"/>
      <c r="AR15659" s="2513"/>
      <c r="CT15659" s="531"/>
    </row>
    <row r="15660" spans="1:98">
      <c r="A15660" s="532"/>
      <c r="AR15660" s="2513"/>
      <c r="CT15660" s="531"/>
    </row>
    <row r="15661" spans="1:98">
      <c r="A15661" s="532"/>
      <c r="AR15661" s="2513"/>
      <c r="CT15661" s="531"/>
    </row>
    <row r="15662" spans="1:98">
      <c r="A15662" s="532"/>
      <c r="AR15662" s="2513"/>
      <c r="CT15662" s="531"/>
    </row>
    <row r="15663" spans="1:98">
      <c r="A15663" s="532"/>
      <c r="AR15663" s="2513"/>
      <c r="CT15663" s="531"/>
    </row>
    <row r="15664" spans="1:98">
      <c r="A15664" s="532"/>
      <c r="AR15664" s="2513"/>
      <c r="CT15664" s="531"/>
    </row>
    <row r="15665" spans="1:98">
      <c r="A15665" s="532"/>
      <c r="AR15665" s="2513"/>
      <c r="CT15665" s="531"/>
    </row>
    <row r="15666" spans="1:98">
      <c r="A15666" s="532"/>
      <c r="AR15666" s="2513"/>
      <c r="CT15666" s="531"/>
    </row>
    <row r="15667" spans="1:98">
      <c r="A15667" s="532"/>
      <c r="AR15667" s="2513"/>
      <c r="CT15667" s="531"/>
    </row>
    <row r="15668" spans="1:98">
      <c r="A15668" s="532"/>
      <c r="AR15668" s="2513"/>
      <c r="CT15668" s="531"/>
    </row>
    <row r="15669" spans="1:98">
      <c r="A15669" s="532"/>
      <c r="AR15669" s="2513"/>
      <c r="CT15669" s="531"/>
    </row>
    <row r="15670" spans="1:98">
      <c r="A15670" s="532"/>
      <c r="AR15670" s="2513"/>
      <c r="CT15670" s="531"/>
    </row>
    <row r="15671" spans="1:98">
      <c r="A15671" s="532"/>
      <c r="AR15671" s="2513"/>
      <c r="CT15671" s="531"/>
    </row>
    <row r="15672" spans="1:98">
      <c r="A15672" s="532"/>
      <c r="AR15672" s="2513"/>
      <c r="CT15672" s="531"/>
    </row>
    <row r="15673" spans="1:98">
      <c r="A15673" s="532"/>
      <c r="AR15673" s="2513"/>
      <c r="CT15673" s="531"/>
    </row>
    <row r="15674" spans="1:98">
      <c r="A15674" s="532"/>
      <c r="AR15674" s="2513"/>
      <c r="CT15674" s="531"/>
    </row>
    <row r="15675" spans="1:98">
      <c r="A15675" s="532"/>
      <c r="AR15675" s="2513"/>
      <c r="CT15675" s="531"/>
    </row>
    <row r="15676" spans="1:98">
      <c r="A15676" s="532"/>
      <c r="AR15676" s="2513"/>
      <c r="CT15676" s="531"/>
    </row>
    <row r="15677" spans="1:98">
      <c r="A15677" s="532"/>
      <c r="AR15677" s="2513"/>
      <c r="CT15677" s="531"/>
    </row>
    <row r="15678" spans="1:98">
      <c r="A15678" s="532"/>
      <c r="AR15678" s="2513"/>
      <c r="CT15678" s="531"/>
    </row>
    <row r="15679" spans="1:98">
      <c r="A15679" s="532"/>
      <c r="AR15679" s="2513"/>
      <c r="CT15679" s="531"/>
    </row>
    <row r="15680" spans="1:98">
      <c r="A15680" s="532"/>
      <c r="AR15680" s="2513"/>
      <c r="CT15680" s="531"/>
    </row>
    <row r="15681" spans="1:98">
      <c r="A15681" s="532"/>
      <c r="AR15681" s="2513"/>
      <c r="CT15681" s="531"/>
    </row>
    <row r="15682" spans="1:98">
      <c r="A15682" s="532"/>
      <c r="AR15682" s="2513"/>
      <c r="CT15682" s="531"/>
    </row>
    <row r="15683" spans="1:98">
      <c r="A15683" s="532"/>
      <c r="AR15683" s="2513"/>
      <c r="CT15683" s="531"/>
    </row>
    <row r="15684" spans="1:98">
      <c r="A15684" s="532"/>
      <c r="AR15684" s="2513"/>
      <c r="CT15684" s="531"/>
    </row>
    <row r="15685" spans="1:98">
      <c r="A15685" s="532"/>
      <c r="AR15685" s="2513"/>
      <c r="CT15685" s="531"/>
    </row>
    <row r="15686" spans="1:98">
      <c r="A15686" s="532"/>
      <c r="AR15686" s="2513"/>
      <c r="CT15686" s="531"/>
    </row>
    <row r="15687" spans="1:98">
      <c r="A15687" s="532"/>
      <c r="AR15687" s="2513"/>
      <c r="CT15687" s="531"/>
    </row>
    <row r="15688" spans="1:98">
      <c r="A15688" s="532"/>
      <c r="AR15688" s="2513"/>
      <c r="CT15688" s="531"/>
    </row>
    <row r="15689" spans="1:98">
      <c r="A15689" s="532"/>
      <c r="AR15689" s="2513"/>
      <c r="CT15689" s="531"/>
    </row>
    <row r="15690" spans="1:98">
      <c r="A15690" s="532"/>
      <c r="AR15690" s="2513"/>
      <c r="CT15690" s="531"/>
    </row>
    <row r="15691" spans="1:98">
      <c r="A15691" s="532"/>
      <c r="AR15691" s="2513"/>
      <c r="CT15691" s="531"/>
    </row>
    <row r="15692" spans="1:98">
      <c r="A15692" s="532"/>
      <c r="AR15692" s="2513"/>
      <c r="CT15692" s="531"/>
    </row>
    <row r="15693" spans="1:98">
      <c r="A15693" s="532"/>
      <c r="AR15693" s="2513"/>
      <c r="CT15693" s="531"/>
    </row>
    <row r="15694" spans="1:98">
      <c r="A15694" s="532"/>
      <c r="AR15694" s="2513"/>
      <c r="CT15694" s="531"/>
    </row>
    <row r="15695" spans="1:98">
      <c r="A15695" s="532"/>
      <c r="AR15695" s="2513"/>
      <c r="CT15695" s="531"/>
    </row>
    <row r="15696" spans="1:98">
      <c r="A15696" s="532"/>
      <c r="AR15696" s="2513"/>
      <c r="CT15696" s="531"/>
    </row>
    <row r="15697" spans="1:98">
      <c r="A15697" s="532"/>
      <c r="AR15697" s="2513"/>
      <c r="CT15697" s="531"/>
    </row>
    <row r="15698" spans="1:98">
      <c r="A15698" s="532"/>
      <c r="AR15698" s="2513"/>
      <c r="CT15698" s="531"/>
    </row>
    <row r="15699" spans="1:98">
      <c r="A15699" s="532"/>
      <c r="AR15699" s="2513"/>
      <c r="CT15699" s="531"/>
    </row>
    <row r="15700" spans="1:98">
      <c r="A15700" s="532"/>
      <c r="AR15700" s="2513"/>
      <c r="CT15700" s="531"/>
    </row>
    <row r="15701" spans="1:98">
      <c r="A15701" s="532"/>
      <c r="AR15701" s="2513"/>
      <c r="CT15701" s="531"/>
    </row>
    <row r="15702" spans="1:98">
      <c r="A15702" s="532"/>
      <c r="AR15702" s="2513"/>
      <c r="CT15702" s="531"/>
    </row>
    <row r="15703" spans="1:98">
      <c r="A15703" s="532"/>
      <c r="AR15703" s="2513"/>
      <c r="CT15703" s="531"/>
    </row>
    <row r="15704" spans="1:98">
      <c r="A15704" s="532"/>
      <c r="AR15704" s="2513"/>
      <c r="CT15704" s="531"/>
    </row>
    <row r="15705" spans="1:98">
      <c r="A15705" s="532"/>
      <c r="AR15705" s="2513"/>
      <c r="CT15705" s="531"/>
    </row>
    <row r="15706" spans="1:98">
      <c r="A15706" s="532"/>
      <c r="AR15706" s="2513"/>
      <c r="CT15706" s="531"/>
    </row>
    <row r="15707" spans="1:98">
      <c r="A15707" s="532"/>
      <c r="AR15707" s="2513"/>
      <c r="CT15707" s="531"/>
    </row>
    <row r="15708" spans="1:98">
      <c r="A15708" s="532"/>
      <c r="AR15708" s="2513"/>
      <c r="CT15708" s="531"/>
    </row>
    <row r="15709" spans="1:98">
      <c r="A15709" s="532"/>
      <c r="AR15709" s="2513"/>
      <c r="CT15709" s="531"/>
    </row>
    <row r="15710" spans="1:98">
      <c r="A15710" s="532"/>
      <c r="AR15710" s="2513"/>
      <c r="CT15710" s="531"/>
    </row>
    <row r="15711" spans="1:98">
      <c r="A15711" s="532"/>
      <c r="AR15711" s="2513"/>
      <c r="CT15711" s="531"/>
    </row>
    <row r="15712" spans="1:98">
      <c r="A15712" s="532"/>
      <c r="AR15712" s="2513"/>
      <c r="CT15712" s="531"/>
    </row>
    <row r="15713" spans="1:98">
      <c r="A15713" s="532"/>
      <c r="AR15713" s="2513"/>
      <c r="CT15713" s="531"/>
    </row>
    <row r="15714" spans="1:98">
      <c r="A15714" s="532"/>
      <c r="AR15714" s="2513"/>
      <c r="CT15714" s="531"/>
    </row>
    <row r="15715" spans="1:98">
      <c r="A15715" s="532"/>
      <c r="AR15715" s="2513"/>
      <c r="CT15715" s="531"/>
    </row>
    <row r="15716" spans="1:98">
      <c r="A15716" s="532"/>
      <c r="AR15716" s="2513"/>
      <c r="CT15716" s="531"/>
    </row>
    <row r="15717" spans="1:98">
      <c r="A15717" s="532"/>
      <c r="AR15717" s="2513"/>
      <c r="CT15717" s="531"/>
    </row>
    <row r="15718" spans="1:98">
      <c r="A15718" s="532"/>
      <c r="AR15718" s="2513"/>
      <c r="CT15718" s="531"/>
    </row>
    <row r="15719" spans="1:98">
      <c r="A15719" s="532"/>
      <c r="AR15719" s="2513"/>
      <c r="CT15719" s="531"/>
    </row>
    <row r="15720" spans="1:98">
      <c r="A15720" s="532"/>
      <c r="AR15720" s="2513"/>
      <c r="CT15720" s="531"/>
    </row>
    <row r="15721" spans="1:98">
      <c r="A15721" s="532"/>
      <c r="AR15721" s="2513"/>
      <c r="CT15721" s="531"/>
    </row>
    <row r="15722" spans="1:98">
      <c r="A15722" s="532"/>
      <c r="AR15722" s="2513"/>
      <c r="CT15722" s="531"/>
    </row>
    <row r="15723" spans="1:98">
      <c r="A15723" s="532"/>
      <c r="AR15723" s="2513"/>
      <c r="CT15723" s="531"/>
    </row>
    <row r="15724" spans="1:98">
      <c r="A15724" s="532"/>
      <c r="AR15724" s="2513"/>
      <c r="CT15724" s="531"/>
    </row>
    <row r="15725" spans="1:98">
      <c r="A15725" s="532"/>
      <c r="AR15725" s="2513"/>
      <c r="CT15725" s="531"/>
    </row>
    <row r="15726" spans="1:98">
      <c r="A15726" s="532"/>
      <c r="AR15726" s="2513"/>
      <c r="CT15726" s="531"/>
    </row>
    <row r="15727" spans="1:98">
      <c r="A15727" s="532"/>
      <c r="AR15727" s="2513"/>
      <c r="CT15727" s="531"/>
    </row>
    <row r="15728" spans="1:98">
      <c r="A15728" s="532"/>
      <c r="AR15728" s="2513"/>
      <c r="CT15728" s="531"/>
    </row>
    <row r="15729" spans="1:98">
      <c r="A15729" s="532"/>
      <c r="AR15729" s="2513"/>
      <c r="CT15729" s="531"/>
    </row>
    <row r="15730" spans="1:98">
      <c r="A15730" s="532"/>
      <c r="AR15730" s="2513"/>
      <c r="CT15730" s="531"/>
    </row>
    <row r="15731" spans="1:98">
      <c r="A15731" s="532"/>
      <c r="AR15731" s="2513"/>
      <c r="CT15731" s="531"/>
    </row>
    <row r="15732" spans="1:98">
      <c r="A15732" s="532"/>
      <c r="AR15732" s="2513"/>
      <c r="CT15732" s="531"/>
    </row>
    <row r="15733" spans="1:98">
      <c r="A15733" s="532"/>
      <c r="AR15733" s="2513"/>
      <c r="CT15733" s="531"/>
    </row>
    <row r="15734" spans="1:98">
      <c r="A15734" s="532"/>
      <c r="AR15734" s="2513"/>
      <c r="CT15734" s="531"/>
    </row>
    <row r="15735" spans="1:98">
      <c r="A15735" s="532"/>
      <c r="AR15735" s="2513"/>
      <c r="CT15735" s="531"/>
    </row>
    <row r="15736" spans="1:98">
      <c r="A15736" s="532"/>
      <c r="AR15736" s="2513"/>
      <c r="CT15736" s="531"/>
    </row>
    <row r="15737" spans="1:98">
      <c r="A15737" s="532"/>
      <c r="AR15737" s="2513"/>
      <c r="CT15737" s="531"/>
    </row>
    <row r="15738" spans="1:98">
      <c r="A15738" s="532"/>
      <c r="AR15738" s="2513"/>
      <c r="CT15738" s="531"/>
    </row>
    <row r="15739" spans="1:98">
      <c r="A15739" s="532"/>
      <c r="AR15739" s="2513"/>
      <c r="CT15739" s="531"/>
    </row>
    <row r="15740" spans="1:98">
      <c r="A15740" s="532"/>
      <c r="AR15740" s="2513"/>
      <c r="CT15740" s="531"/>
    </row>
    <row r="15741" spans="1:98">
      <c r="A15741" s="532"/>
      <c r="AR15741" s="2513"/>
      <c r="CT15741" s="531"/>
    </row>
    <row r="15742" spans="1:98">
      <c r="A15742" s="532"/>
      <c r="AR15742" s="2513"/>
      <c r="CT15742" s="531"/>
    </row>
    <row r="15743" spans="1:98">
      <c r="A15743" s="532"/>
      <c r="AR15743" s="2513"/>
      <c r="CT15743" s="531"/>
    </row>
    <row r="15744" spans="1:98">
      <c r="A15744" s="532"/>
      <c r="AR15744" s="2513"/>
      <c r="CT15744" s="531"/>
    </row>
    <row r="15745" spans="1:98">
      <c r="A15745" s="532"/>
      <c r="AR15745" s="2513"/>
      <c r="CT15745" s="531"/>
    </row>
    <row r="15746" spans="1:98">
      <c r="A15746" s="532"/>
      <c r="AR15746" s="2513"/>
      <c r="CT15746" s="531"/>
    </row>
    <row r="15747" spans="1:98">
      <c r="A15747" s="532"/>
      <c r="AR15747" s="2513"/>
      <c r="CT15747" s="531"/>
    </row>
    <row r="15748" spans="1:98">
      <c r="A15748" s="532"/>
      <c r="AR15748" s="2513"/>
      <c r="CT15748" s="531"/>
    </row>
    <row r="15749" spans="1:98">
      <c r="A15749" s="532"/>
      <c r="AR15749" s="2513"/>
      <c r="CT15749" s="531"/>
    </row>
    <row r="15750" spans="1:98">
      <c r="A15750" s="532"/>
      <c r="AR15750" s="2513"/>
      <c r="CT15750" s="531"/>
    </row>
    <row r="15751" spans="1:98">
      <c r="A15751" s="532"/>
      <c r="AR15751" s="2513"/>
      <c r="CT15751" s="531"/>
    </row>
    <row r="15752" spans="1:98">
      <c r="A15752" s="532"/>
      <c r="AR15752" s="2513"/>
      <c r="CT15752" s="531"/>
    </row>
    <row r="15753" spans="1:98">
      <c r="A15753" s="532"/>
      <c r="AR15753" s="2513"/>
      <c r="CT15753" s="531"/>
    </row>
    <row r="15754" spans="1:98">
      <c r="A15754" s="532"/>
      <c r="AR15754" s="2513"/>
      <c r="CT15754" s="531"/>
    </row>
    <row r="15755" spans="1:98">
      <c r="A15755" s="532"/>
      <c r="AR15755" s="2513"/>
      <c r="CT15755" s="531"/>
    </row>
    <row r="15756" spans="1:98">
      <c r="A15756" s="532"/>
      <c r="AR15756" s="2513"/>
      <c r="CT15756" s="531"/>
    </row>
    <row r="15757" spans="1:98">
      <c r="A15757" s="532"/>
      <c r="AR15757" s="2513"/>
      <c r="CT15757" s="531"/>
    </row>
    <row r="15758" spans="1:98">
      <c r="A15758" s="532"/>
      <c r="AR15758" s="2513"/>
      <c r="CT15758" s="531"/>
    </row>
    <row r="15759" spans="1:98">
      <c r="A15759" s="532"/>
      <c r="AR15759" s="2513"/>
      <c r="CT15759" s="531"/>
    </row>
    <row r="15760" spans="1:98">
      <c r="A15760" s="532"/>
      <c r="AR15760" s="2513"/>
      <c r="CT15760" s="531"/>
    </row>
    <row r="15761" spans="1:98">
      <c r="A15761" s="532"/>
      <c r="AR15761" s="2513"/>
      <c r="CT15761" s="531"/>
    </row>
    <row r="15762" spans="1:98">
      <c r="A15762" s="532"/>
      <c r="AR15762" s="2513"/>
      <c r="CT15762" s="531"/>
    </row>
    <row r="15763" spans="1:98">
      <c r="A15763" s="532"/>
      <c r="AR15763" s="2513"/>
      <c r="CT15763" s="531"/>
    </row>
    <row r="15764" spans="1:98">
      <c r="A15764" s="532"/>
      <c r="AR15764" s="2513"/>
      <c r="CT15764" s="531"/>
    </row>
    <row r="15765" spans="1:98">
      <c r="A15765" s="532"/>
      <c r="AR15765" s="2513"/>
      <c r="CT15765" s="531"/>
    </row>
    <row r="15766" spans="1:98">
      <c r="A15766" s="532"/>
      <c r="AR15766" s="2513"/>
      <c r="CT15766" s="531"/>
    </row>
    <row r="15767" spans="1:98">
      <c r="A15767" s="532"/>
      <c r="AR15767" s="2513"/>
      <c r="CT15767" s="531"/>
    </row>
    <row r="15768" spans="1:98">
      <c r="A15768" s="532"/>
      <c r="AR15768" s="2513"/>
      <c r="CT15768" s="531"/>
    </row>
    <row r="15769" spans="1:98">
      <c r="A15769" s="532"/>
      <c r="AR15769" s="2513"/>
      <c r="CT15769" s="531"/>
    </row>
    <row r="15770" spans="1:98">
      <c r="A15770" s="532"/>
      <c r="AR15770" s="2513"/>
      <c r="CT15770" s="531"/>
    </row>
    <row r="15771" spans="1:98">
      <c r="A15771" s="532"/>
      <c r="AR15771" s="2513"/>
      <c r="CT15771" s="531"/>
    </row>
    <row r="15772" spans="1:98">
      <c r="A15772" s="532"/>
      <c r="AR15772" s="2513"/>
      <c r="CT15772" s="531"/>
    </row>
    <row r="15773" spans="1:98">
      <c r="A15773" s="532"/>
      <c r="AR15773" s="2513"/>
      <c r="CT15773" s="531"/>
    </row>
    <row r="15774" spans="1:98">
      <c r="A15774" s="532"/>
      <c r="AR15774" s="2513"/>
      <c r="CT15774" s="531"/>
    </row>
    <row r="15775" spans="1:98">
      <c r="A15775" s="532"/>
      <c r="AR15775" s="2513"/>
      <c r="CT15775" s="531"/>
    </row>
    <row r="15776" spans="1:98">
      <c r="A15776" s="532"/>
      <c r="AR15776" s="2513"/>
      <c r="CT15776" s="531"/>
    </row>
    <row r="15777" spans="1:98">
      <c r="A15777" s="532"/>
      <c r="AR15777" s="2513"/>
      <c r="CT15777" s="531"/>
    </row>
    <row r="15778" spans="1:98">
      <c r="A15778" s="532"/>
      <c r="AR15778" s="2513"/>
      <c r="CT15778" s="531"/>
    </row>
    <row r="15779" spans="1:98">
      <c r="A15779" s="532"/>
      <c r="AR15779" s="2513"/>
      <c r="CT15779" s="531"/>
    </row>
    <row r="15780" spans="1:98">
      <c r="A15780" s="532"/>
      <c r="AR15780" s="2513"/>
      <c r="CT15780" s="531"/>
    </row>
    <row r="15781" spans="1:98">
      <c r="A15781" s="532"/>
      <c r="AR15781" s="2513"/>
      <c r="CT15781" s="531"/>
    </row>
    <row r="15782" spans="1:98">
      <c r="A15782" s="532"/>
      <c r="AR15782" s="2513"/>
      <c r="CT15782" s="531"/>
    </row>
    <row r="15783" spans="1:98">
      <c r="A15783" s="532"/>
      <c r="AR15783" s="2513"/>
      <c r="CT15783" s="531"/>
    </row>
    <row r="15784" spans="1:98">
      <c r="A15784" s="532"/>
      <c r="AR15784" s="2513"/>
      <c r="CT15784" s="531"/>
    </row>
    <row r="15785" spans="1:98">
      <c r="A15785" s="532"/>
      <c r="AR15785" s="2513"/>
      <c r="CT15785" s="531"/>
    </row>
    <row r="15786" spans="1:98">
      <c r="A15786" s="532"/>
      <c r="AR15786" s="2513"/>
      <c r="CT15786" s="531"/>
    </row>
    <row r="15787" spans="1:98">
      <c r="A15787" s="532"/>
      <c r="AR15787" s="2513"/>
      <c r="CT15787" s="531"/>
    </row>
    <row r="15788" spans="1:98">
      <c r="A15788" s="532"/>
      <c r="AR15788" s="2513"/>
      <c r="CT15788" s="531"/>
    </row>
    <row r="15789" spans="1:98">
      <c r="A15789" s="532"/>
      <c r="AR15789" s="2513"/>
      <c r="CT15789" s="531"/>
    </row>
    <row r="15790" spans="1:98">
      <c r="A15790" s="532"/>
      <c r="AR15790" s="2513"/>
      <c r="CT15790" s="531"/>
    </row>
    <row r="15791" spans="1:98">
      <c r="A15791" s="532"/>
      <c r="AR15791" s="2513"/>
      <c r="CT15791" s="531"/>
    </row>
    <row r="15792" spans="1:98">
      <c r="A15792" s="532"/>
      <c r="AR15792" s="2513"/>
      <c r="CT15792" s="531"/>
    </row>
    <row r="15793" spans="1:98">
      <c r="A15793" s="532"/>
      <c r="AR15793" s="2513"/>
      <c r="CT15793" s="531"/>
    </row>
    <row r="15794" spans="1:98">
      <c r="A15794" s="532"/>
      <c r="AR15794" s="2513"/>
      <c r="CT15794" s="531"/>
    </row>
    <row r="15795" spans="1:98">
      <c r="A15795" s="532"/>
      <c r="AR15795" s="2513"/>
      <c r="CT15795" s="531"/>
    </row>
    <row r="15796" spans="1:98">
      <c r="A15796" s="532"/>
      <c r="AR15796" s="2513"/>
      <c r="CT15796" s="531"/>
    </row>
    <row r="15797" spans="1:98">
      <c r="A15797" s="532"/>
      <c r="AR15797" s="2513"/>
      <c r="CT15797" s="531"/>
    </row>
    <row r="15798" spans="1:98">
      <c r="A15798" s="532"/>
      <c r="AR15798" s="2513"/>
      <c r="CT15798" s="531"/>
    </row>
    <row r="15799" spans="1:98">
      <c r="A15799" s="532"/>
      <c r="AR15799" s="2513"/>
      <c r="CT15799" s="531"/>
    </row>
    <row r="15800" spans="1:98">
      <c r="A15800" s="532"/>
      <c r="AR15800" s="2513"/>
      <c r="CT15800" s="531"/>
    </row>
    <row r="15801" spans="1:98">
      <c r="A15801" s="532"/>
      <c r="AR15801" s="2513"/>
      <c r="CT15801" s="531"/>
    </row>
    <row r="15802" spans="1:98">
      <c r="A15802" s="532"/>
      <c r="AR15802" s="2513"/>
      <c r="CT15802" s="531"/>
    </row>
    <row r="15803" spans="1:98">
      <c r="A15803" s="532"/>
      <c r="AR15803" s="2513"/>
      <c r="CT15803" s="531"/>
    </row>
    <row r="15804" spans="1:98">
      <c r="A15804" s="532"/>
      <c r="AR15804" s="2513"/>
      <c r="CT15804" s="531"/>
    </row>
    <row r="15805" spans="1:98">
      <c r="A15805" s="532"/>
      <c r="AR15805" s="2513"/>
      <c r="CT15805" s="531"/>
    </row>
    <row r="15806" spans="1:98">
      <c r="A15806" s="532"/>
      <c r="AR15806" s="2513"/>
      <c r="CT15806" s="531"/>
    </row>
    <row r="15807" spans="1:98">
      <c r="A15807" s="532"/>
      <c r="AR15807" s="2513"/>
      <c r="CT15807" s="531"/>
    </row>
    <row r="15808" spans="1:98">
      <c r="A15808" s="532"/>
      <c r="AR15808" s="2513"/>
      <c r="CT15808" s="531"/>
    </row>
    <row r="15809" spans="1:98">
      <c r="A15809" s="532"/>
      <c r="AR15809" s="2513"/>
      <c r="CT15809" s="531"/>
    </row>
    <row r="15810" spans="1:98">
      <c r="A15810" s="532"/>
      <c r="AR15810" s="2513"/>
      <c r="CT15810" s="531"/>
    </row>
    <row r="15811" spans="1:98">
      <c r="A15811" s="532"/>
      <c r="AR15811" s="2513"/>
      <c r="CT15811" s="531"/>
    </row>
    <row r="15812" spans="1:98">
      <c r="A15812" s="532"/>
      <c r="AR15812" s="2513"/>
      <c r="CT15812" s="531"/>
    </row>
    <row r="15813" spans="1:98">
      <c r="A15813" s="532"/>
      <c r="AR15813" s="2513"/>
      <c r="CT15813" s="531"/>
    </row>
    <row r="15814" spans="1:98">
      <c r="A15814" s="532"/>
      <c r="AR15814" s="2513"/>
      <c r="CT15814" s="531"/>
    </row>
    <row r="15815" spans="1:98">
      <c r="A15815" s="532"/>
      <c r="AR15815" s="2513"/>
      <c r="CT15815" s="531"/>
    </row>
    <row r="15816" spans="1:98">
      <c r="A15816" s="532"/>
      <c r="AR15816" s="2513"/>
      <c r="CT15816" s="531"/>
    </row>
    <row r="15817" spans="1:98">
      <c r="A15817" s="532"/>
      <c r="AR15817" s="2513"/>
      <c r="CT15817" s="531"/>
    </row>
    <row r="15818" spans="1:98">
      <c r="A15818" s="532"/>
      <c r="AR15818" s="2513"/>
      <c r="CT15818" s="531"/>
    </row>
    <row r="15819" spans="1:98">
      <c r="A15819" s="532"/>
      <c r="AR15819" s="2513"/>
      <c r="CT15819" s="531"/>
    </row>
    <row r="15820" spans="1:98">
      <c r="A15820" s="532"/>
      <c r="AR15820" s="2513"/>
      <c r="CT15820" s="531"/>
    </row>
    <row r="15821" spans="1:98">
      <c r="A15821" s="532"/>
      <c r="AR15821" s="2513"/>
      <c r="CT15821" s="531"/>
    </row>
    <row r="15822" spans="1:98">
      <c r="A15822" s="532"/>
      <c r="AR15822" s="2513"/>
      <c r="CT15822" s="531"/>
    </row>
    <row r="15823" spans="1:98">
      <c r="A15823" s="532"/>
      <c r="AR15823" s="2513"/>
      <c r="CT15823" s="531"/>
    </row>
    <row r="15824" spans="1:98">
      <c r="A15824" s="532"/>
      <c r="AR15824" s="2513"/>
      <c r="CT15824" s="531"/>
    </row>
    <row r="15825" spans="1:98">
      <c r="A15825" s="532"/>
      <c r="AR15825" s="2513"/>
      <c r="CT15825" s="531"/>
    </row>
    <row r="15826" spans="1:98">
      <c r="A15826" s="532"/>
      <c r="AR15826" s="2513"/>
      <c r="CT15826" s="531"/>
    </row>
    <row r="15827" spans="1:98">
      <c r="A15827" s="532"/>
      <c r="AR15827" s="2513"/>
      <c r="CT15827" s="531"/>
    </row>
    <row r="15828" spans="1:98">
      <c r="A15828" s="532"/>
      <c r="AR15828" s="2513"/>
      <c r="CT15828" s="531"/>
    </row>
    <row r="15829" spans="1:98">
      <c r="A15829" s="532"/>
      <c r="AR15829" s="2513"/>
      <c r="CT15829" s="531"/>
    </row>
    <row r="15830" spans="1:98">
      <c r="A15830" s="532"/>
      <c r="AR15830" s="2513"/>
      <c r="CT15830" s="531"/>
    </row>
    <row r="15831" spans="1:98">
      <c r="A15831" s="532"/>
      <c r="AR15831" s="2513"/>
      <c r="CT15831" s="531"/>
    </row>
    <row r="15832" spans="1:98">
      <c r="A15832" s="532"/>
      <c r="AR15832" s="2513"/>
      <c r="CT15832" s="531"/>
    </row>
    <row r="15833" spans="1:98">
      <c r="A15833" s="532"/>
      <c r="AR15833" s="2513"/>
      <c r="CT15833" s="531"/>
    </row>
    <row r="15834" spans="1:98">
      <c r="A15834" s="532"/>
      <c r="AR15834" s="2513"/>
      <c r="CT15834" s="531"/>
    </row>
    <row r="15835" spans="1:98">
      <c r="A15835" s="532"/>
      <c r="AR15835" s="2513"/>
      <c r="CT15835" s="531"/>
    </row>
    <row r="15836" spans="1:98">
      <c r="A15836" s="532"/>
      <c r="AR15836" s="2513"/>
      <c r="CT15836" s="531"/>
    </row>
    <row r="15837" spans="1:98">
      <c r="A15837" s="532"/>
      <c r="AR15837" s="2513"/>
      <c r="CT15837" s="531"/>
    </row>
    <row r="15838" spans="1:98">
      <c r="A15838" s="532"/>
      <c r="AR15838" s="2513"/>
      <c r="CT15838" s="531"/>
    </row>
    <row r="15839" spans="1:98">
      <c r="A15839" s="532"/>
      <c r="AR15839" s="2513"/>
      <c r="CT15839" s="531"/>
    </row>
    <row r="15840" spans="1:98">
      <c r="A15840" s="532"/>
      <c r="AR15840" s="2513"/>
      <c r="CT15840" s="531"/>
    </row>
    <row r="15841" spans="1:98">
      <c r="A15841" s="532"/>
      <c r="AR15841" s="2513"/>
      <c r="CT15841" s="531"/>
    </row>
    <row r="15842" spans="1:98">
      <c r="A15842" s="532"/>
      <c r="AR15842" s="2513"/>
      <c r="CT15842" s="531"/>
    </row>
    <row r="15843" spans="1:98">
      <c r="A15843" s="532"/>
      <c r="AR15843" s="2513"/>
      <c r="CT15843" s="531"/>
    </row>
    <row r="15844" spans="1:98">
      <c r="A15844" s="532"/>
      <c r="AR15844" s="2513"/>
      <c r="CT15844" s="531"/>
    </row>
    <row r="15845" spans="1:98">
      <c r="A15845" s="532"/>
      <c r="AR15845" s="2513"/>
      <c r="CT15845" s="531"/>
    </row>
    <row r="15846" spans="1:98">
      <c r="A15846" s="532"/>
      <c r="AR15846" s="2513"/>
      <c r="CT15846" s="531"/>
    </row>
    <row r="15847" spans="1:98">
      <c r="A15847" s="532"/>
      <c r="AR15847" s="2513"/>
      <c r="CT15847" s="531"/>
    </row>
    <row r="15848" spans="1:98">
      <c r="A15848" s="532"/>
      <c r="AR15848" s="2513"/>
      <c r="CT15848" s="531"/>
    </row>
    <row r="15849" spans="1:98">
      <c r="A15849" s="532"/>
      <c r="AR15849" s="2513"/>
      <c r="CT15849" s="531"/>
    </row>
    <row r="15850" spans="1:98">
      <c r="A15850" s="532"/>
      <c r="AR15850" s="2513"/>
      <c r="CT15850" s="531"/>
    </row>
    <row r="15851" spans="1:98">
      <c r="A15851" s="532"/>
      <c r="AR15851" s="2513"/>
      <c r="CT15851" s="531"/>
    </row>
    <row r="15852" spans="1:98">
      <c r="A15852" s="532"/>
      <c r="AR15852" s="2513"/>
      <c r="CT15852" s="531"/>
    </row>
    <row r="15853" spans="1:98">
      <c r="A15853" s="532"/>
      <c r="AR15853" s="2513"/>
      <c r="CT15853" s="531"/>
    </row>
    <row r="15854" spans="1:98">
      <c r="A15854" s="532"/>
      <c r="AR15854" s="2513"/>
      <c r="CT15854" s="531"/>
    </row>
    <row r="15855" spans="1:98">
      <c r="A15855" s="532"/>
      <c r="AR15855" s="2513"/>
      <c r="CT15855" s="531"/>
    </row>
    <row r="15856" spans="1:98">
      <c r="A15856" s="532"/>
      <c r="AR15856" s="2513"/>
      <c r="CT15856" s="531"/>
    </row>
    <row r="15857" spans="1:98">
      <c r="A15857" s="532"/>
      <c r="AR15857" s="2513"/>
      <c r="CT15857" s="531"/>
    </row>
    <row r="15858" spans="1:98">
      <c r="A15858" s="532"/>
      <c r="AR15858" s="2513"/>
      <c r="CT15858" s="531"/>
    </row>
    <row r="15859" spans="1:98">
      <c r="A15859" s="532"/>
      <c r="AR15859" s="2513"/>
      <c r="CT15859" s="531"/>
    </row>
    <row r="15860" spans="1:98">
      <c r="A15860" s="532"/>
      <c r="AR15860" s="2513"/>
      <c r="CT15860" s="531"/>
    </row>
    <row r="15861" spans="1:98">
      <c r="A15861" s="532"/>
      <c r="AR15861" s="2513"/>
      <c r="CT15861" s="531"/>
    </row>
    <row r="15862" spans="1:98">
      <c r="A15862" s="532"/>
      <c r="AR15862" s="2513"/>
      <c r="CT15862" s="531"/>
    </row>
    <row r="15863" spans="1:98">
      <c r="A15863" s="532"/>
      <c r="AR15863" s="2513"/>
      <c r="CT15863" s="531"/>
    </row>
    <row r="15864" spans="1:98">
      <c r="A15864" s="532"/>
      <c r="AR15864" s="2513"/>
      <c r="CT15864" s="531"/>
    </row>
    <row r="15865" spans="1:98">
      <c r="A15865" s="532"/>
      <c r="AR15865" s="2513"/>
      <c r="CT15865" s="531"/>
    </row>
    <row r="15866" spans="1:98">
      <c r="A15866" s="532"/>
      <c r="AR15866" s="2513"/>
      <c r="CT15866" s="531"/>
    </row>
    <row r="15867" spans="1:98">
      <c r="A15867" s="532"/>
      <c r="AR15867" s="2513"/>
      <c r="CT15867" s="531"/>
    </row>
    <row r="15868" spans="1:98">
      <c r="A15868" s="532"/>
      <c r="AR15868" s="2513"/>
      <c r="CT15868" s="531"/>
    </row>
    <row r="15869" spans="1:98">
      <c r="A15869" s="532"/>
      <c r="AR15869" s="2513"/>
      <c r="CT15869" s="531"/>
    </row>
    <row r="15870" spans="1:98">
      <c r="A15870" s="532"/>
      <c r="AR15870" s="2513"/>
      <c r="CT15870" s="531"/>
    </row>
    <row r="15871" spans="1:98">
      <c r="A15871" s="532"/>
      <c r="AR15871" s="2513"/>
      <c r="CT15871" s="531"/>
    </row>
    <row r="15872" spans="1:98">
      <c r="A15872" s="532"/>
      <c r="AR15872" s="2513"/>
      <c r="CT15872" s="531"/>
    </row>
    <row r="15873" spans="1:98">
      <c r="A15873" s="532"/>
      <c r="AR15873" s="2513"/>
      <c r="CT15873" s="531"/>
    </row>
    <row r="15874" spans="1:98">
      <c r="A15874" s="532"/>
      <c r="AR15874" s="2513"/>
      <c r="CT15874" s="531"/>
    </row>
    <row r="15875" spans="1:98">
      <c r="A15875" s="532"/>
      <c r="AR15875" s="2513"/>
      <c r="CT15875" s="531"/>
    </row>
    <row r="15876" spans="1:98">
      <c r="A15876" s="532"/>
      <c r="AR15876" s="2513"/>
      <c r="CT15876" s="531"/>
    </row>
    <row r="15877" spans="1:98">
      <c r="A15877" s="532"/>
      <c r="AR15877" s="2513"/>
      <c r="CT15877" s="531"/>
    </row>
    <row r="15878" spans="1:98">
      <c r="A15878" s="532"/>
      <c r="AR15878" s="2513"/>
      <c r="CT15878" s="531"/>
    </row>
    <row r="15879" spans="1:98">
      <c r="A15879" s="532"/>
      <c r="AR15879" s="2513"/>
      <c r="CT15879" s="531"/>
    </row>
    <row r="15880" spans="1:98">
      <c r="A15880" s="532"/>
      <c r="AR15880" s="2513"/>
      <c r="CT15880" s="531"/>
    </row>
    <row r="15881" spans="1:98">
      <c r="A15881" s="532"/>
      <c r="AR15881" s="2513"/>
      <c r="CT15881" s="531"/>
    </row>
    <row r="15882" spans="1:98">
      <c r="A15882" s="532"/>
      <c r="AR15882" s="2513"/>
      <c r="CT15882" s="531"/>
    </row>
    <row r="15883" spans="1:98">
      <c r="A15883" s="532"/>
      <c r="AR15883" s="2513"/>
      <c r="CT15883" s="531"/>
    </row>
    <row r="15884" spans="1:98">
      <c r="A15884" s="532"/>
      <c r="AR15884" s="2513"/>
      <c r="CT15884" s="531"/>
    </row>
    <row r="15885" spans="1:98">
      <c r="A15885" s="532"/>
      <c r="AR15885" s="2513"/>
      <c r="CT15885" s="531"/>
    </row>
    <row r="15886" spans="1:98">
      <c r="A15886" s="532"/>
      <c r="AR15886" s="2513"/>
      <c r="CT15886" s="531"/>
    </row>
    <row r="15887" spans="1:98">
      <c r="A15887" s="532"/>
      <c r="AR15887" s="2513"/>
      <c r="CT15887" s="531"/>
    </row>
    <row r="15888" spans="1:98">
      <c r="A15888" s="532"/>
      <c r="AR15888" s="2513"/>
      <c r="CT15888" s="531"/>
    </row>
    <row r="15889" spans="1:98">
      <c r="A15889" s="532"/>
      <c r="AR15889" s="2513"/>
      <c r="CT15889" s="531"/>
    </row>
    <row r="15890" spans="1:98">
      <c r="A15890" s="532"/>
      <c r="AR15890" s="2513"/>
      <c r="CT15890" s="531"/>
    </row>
    <row r="15891" spans="1:98">
      <c r="A15891" s="532"/>
      <c r="AR15891" s="2513"/>
      <c r="CT15891" s="531"/>
    </row>
    <row r="15892" spans="1:98">
      <c r="A15892" s="532"/>
      <c r="AR15892" s="2513"/>
      <c r="CT15892" s="531"/>
    </row>
    <row r="15893" spans="1:98">
      <c r="A15893" s="532"/>
      <c r="AR15893" s="2513"/>
      <c r="CT15893" s="531"/>
    </row>
    <row r="15894" spans="1:98">
      <c r="A15894" s="532"/>
      <c r="AR15894" s="2513"/>
      <c r="CT15894" s="531"/>
    </row>
    <row r="15895" spans="1:98">
      <c r="A15895" s="532"/>
      <c r="AR15895" s="2513"/>
      <c r="CT15895" s="531"/>
    </row>
    <row r="15896" spans="1:98">
      <c r="A15896" s="532"/>
      <c r="AR15896" s="2513"/>
      <c r="CT15896" s="531"/>
    </row>
    <row r="15897" spans="1:98">
      <c r="A15897" s="532"/>
      <c r="AR15897" s="2513"/>
      <c r="CT15897" s="531"/>
    </row>
    <row r="15898" spans="1:98">
      <c r="A15898" s="532"/>
      <c r="AR15898" s="2513"/>
      <c r="CT15898" s="531"/>
    </row>
    <row r="15899" spans="1:98">
      <c r="A15899" s="532"/>
      <c r="AR15899" s="2513"/>
      <c r="CT15899" s="531"/>
    </row>
    <row r="15900" spans="1:98">
      <c r="A15900" s="532"/>
      <c r="AR15900" s="2513"/>
      <c r="CT15900" s="531"/>
    </row>
    <row r="15901" spans="1:98">
      <c r="A15901" s="532"/>
      <c r="AR15901" s="2513"/>
      <c r="CT15901" s="531"/>
    </row>
    <row r="15902" spans="1:98">
      <c r="A15902" s="532"/>
      <c r="AR15902" s="2513"/>
      <c r="CT15902" s="531"/>
    </row>
    <row r="15903" spans="1:98">
      <c r="A15903" s="532"/>
      <c r="AR15903" s="2513"/>
      <c r="CT15903" s="531"/>
    </row>
    <row r="15904" spans="1:98">
      <c r="A15904" s="532"/>
      <c r="AR15904" s="2513"/>
      <c r="CT15904" s="531"/>
    </row>
    <row r="15905" spans="1:98">
      <c r="A15905" s="532"/>
      <c r="AR15905" s="2513"/>
      <c r="CT15905" s="531"/>
    </row>
    <row r="15906" spans="1:98">
      <c r="A15906" s="532"/>
      <c r="AR15906" s="2513"/>
      <c r="CT15906" s="531"/>
    </row>
    <row r="15907" spans="1:98">
      <c r="A15907" s="532"/>
      <c r="AR15907" s="2513"/>
      <c r="CT15907" s="531"/>
    </row>
    <row r="15908" spans="1:98">
      <c r="A15908" s="532"/>
      <c r="AR15908" s="2513"/>
      <c r="CT15908" s="531"/>
    </row>
    <row r="15909" spans="1:98">
      <c r="A15909" s="532"/>
      <c r="AR15909" s="2513"/>
      <c r="CT15909" s="531"/>
    </row>
    <row r="15910" spans="1:98">
      <c r="A15910" s="532"/>
      <c r="AR15910" s="2513"/>
      <c r="CT15910" s="531"/>
    </row>
    <row r="15911" spans="1:98">
      <c r="A15911" s="532"/>
      <c r="AR15911" s="2513"/>
      <c r="CT15911" s="531"/>
    </row>
    <row r="15912" spans="1:98">
      <c r="A15912" s="532"/>
      <c r="AR15912" s="2513"/>
      <c r="CT15912" s="531"/>
    </row>
    <row r="15913" spans="1:98">
      <c r="A15913" s="532"/>
      <c r="AR15913" s="2513"/>
      <c r="CT15913" s="531"/>
    </row>
    <row r="15914" spans="1:98">
      <c r="A15914" s="532"/>
      <c r="AR15914" s="2513"/>
      <c r="CT15914" s="531"/>
    </row>
    <row r="15915" spans="1:98">
      <c r="A15915" s="532"/>
      <c r="AR15915" s="2513"/>
      <c r="CT15915" s="531"/>
    </row>
    <row r="15916" spans="1:98">
      <c r="A15916" s="532"/>
      <c r="AR15916" s="2513"/>
      <c r="CT15916" s="531"/>
    </row>
    <row r="15917" spans="1:98">
      <c r="A15917" s="532"/>
      <c r="AR15917" s="2513"/>
      <c r="CT15917" s="531"/>
    </row>
    <row r="15918" spans="1:98">
      <c r="A15918" s="532"/>
      <c r="AR15918" s="2513"/>
      <c r="CT15918" s="531"/>
    </row>
    <row r="15919" spans="1:98">
      <c r="A15919" s="532"/>
      <c r="AR15919" s="2513"/>
      <c r="CT15919" s="531"/>
    </row>
    <row r="15920" spans="1:98">
      <c r="A15920" s="532"/>
      <c r="AR15920" s="2513"/>
      <c r="CT15920" s="531"/>
    </row>
    <row r="15921" spans="1:98">
      <c r="A15921" s="532"/>
      <c r="AR15921" s="2513"/>
      <c r="CT15921" s="531"/>
    </row>
    <row r="15922" spans="1:98">
      <c r="A15922" s="532"/>
      <c r="AR15922" s="2513"/>
      <c r="CT15922" s="531"/>
    </row>
    <row r="15923" spans="1:98">
      <c r="A15923" s="532"/>
      <c r="AR15923" s="2513"/>
      <c r="CT15923" s="531"/>
    </row>
    <row r="15924" spans="1:98">
      <c r="A15924" s="532"/>
      <c r="AR15924" s="2513"/>
      <c r="CT15924" s="531"/>
    </row>
    <row r="15925" spans="1:98">
      <c r="A15925" s="532"/>
      <c r="AR15925" s="2513"/>
      <c r="CT15925" s="531"/>
    </row>
    <row r="15926" spans="1:98">
      <c r="A15926" s="532"/>
      <c r="AR15926" s="2513"/>
      <c r="CT15926" s="531"/>
    </row>
    <row r="15927" spans="1:98">
      <c r="A15927" s="532"/>
      <c r="AR15927" s="2513"/>
      <c r="CT15927" s="531"/>
    </row>
    <row r="15928" spans="1:98">
      <c r="A15928" s="532"/>
      <c r="AR15928" s="2513"/>
      <c r="CT15928" s="531"/>
    </row>
    <row r="15929" spans="1:98">
      <c r="A15929" s="532"/>
      <c r="AR15929" s="2513"/>
      <c r="CT15929" s="531"/>
    </row>
    <row r="15930" spans="1:98">
      <c r="A15930" s="532"/>
      <c r="AR15930" s="2513"/>
      <c r="CT15930" s="531"/>
    </row>
    <row r="15931" spans="1:98">
      <c r="A15931" s="532"/>
      <c r="AR15931" s="2513"/>
      <c r="CT15931" s="531"/>
    </row>
    <row r="15932" spans="1:98">
      <c r="A15932" s="532"/>
      <c r="AR15932" s="2513"/>
      <c r="CT15932" s="531"/>
    </row>
    <row r="15933" spans="1:98">
      <c r="A15933" s="532"/>
      <c r="AR15933" s="2513"/>
      <c r="CT15933" s="531"/>
    </row>
    <row r="15934" spans="1:98">
      <c r="A15934" s="532"/>
      <c r="AR15934" s="2513"/>
      <c r="CT15934" s="531"/>
    </row>
    <row r="15935" spans="1:98">
      <c r="A15935" s="532"/>
      <c r="AR15935" s="2513"/>
      <c r="CT15935" s="531"/>
    </row>
    <row r="15936" spans="1:98">
      <c r="A15936" s="532"/>
      <c r="AR15936" s="2513"/>
      <c r="CT15936" s="531"/>
    </row>
    <row r="15937" spans="1:98">
      <c r="A15937" s="532"/>
      <c r="AR15937" s="2513"/>
      <c r="CT15937" s="531"/>
    </row>
    <row r="15938" spans="1:98">
      <c r="A15938" s="532"/>
      <c r="AR15938" s="2513"/>
      <c r="CT15938" s="531"/>
    </row>
    <row r="15939" spans="1:98">
      <c r="A15939" s="532"/>
      <c r="AR15939" s="2513"/>
      <c r="CT15939" s="531"/>
    </row>
    <row r="15940" spans="1:98">
      <c r="A15940" s="532"/>
      <c r="AR15940" s="2513"/>
      <c r="CT15940" s="531"/>
    </row>
    <row r="15941" spans="1:98">
      <c r="A15941" s="532"/>
      <c r="AR15941" s="2513"/>
      <c r="CT15941" s="531"/>
    </row>
    <row r="15942" spans="1:98">
      <c r="A15942" s="532"/>
      <c r="AR15942" s="2513"/>
      <c r="CT15942" s="531"/>
    </row>
    <row r="15943" spans="1:98">
      <c r="A15943" s="532"/>
      <c r="AR15943" s="2513"/>
      <c r="CT15943" s="531"/>
    </row>
    <row r="15944" spans="1:98">
      <c r="A15944" s="532"/>
      <c r="AR15944" s="2513"/>
      <c r="CT15944" s="531"/>
    </row>
    <row r="15945" spans="1:98">
      <c r="A15945" s="532"/>
      <c r="AR15945" s="2513"/>
      <c r="CT15945" s="531"/>
    </row>
    <row r="15946" spans="1:98">
      <c r="A15946" s="532"/>
      <c r="AR15946" s="2513"/>
      <c r="CT15946" s="531"/>
    </row>
    <row r="15947" spans="1:98">
      <c r="A15947" s="532"/>
      <c r="AR15947" s="2513"/>
      <c r="CT15947" s="531"/>
    </row>
    <row r="15948" spans="1:98">
      <c r="A15948" s="532"/>
      <c r="AR15948" s="2513"/>
      <c r="CT15948" s="531"/>
    </row>
    <row r="15949" spans="1:98">
      <c r="A15949" s="532"/>
      <c r="AR15949" s="2513"/>
      <c r="CT15949" s="531"/>
    </row>
    <row r="15950" spans="1:98">
      <c r="A15950" s="532"/>
      <c r="AR15950" s="2513"/>
      <c r="CT15950" s="531"/>
    </row>
    <row r="15951" spans="1:98">
      <c r="A15951" s="532"/>
      <c r="AR15951" s="2513"/>
      <c r="CT15951" s="531"/>
    </row>
    <row r="15952" spans="1:98">
      <c r="A15952" s="532"/>
      <c r="AR15952" s="2513"/>
      <c r="CT15952" s="531"/>
    </row>
    <row r="15953" spans="1:98">
      <c r="A15953" s="532"/>
      <c r="AR15953" s="2513"/>
      <c r="CT15953" s="531"/>
    </row>
    <row r="15954" spans="1:98">
      <c r="A15954" s="532"/>
      <c r="AR15954" s="2513"/>
      <c r="CT15954" s="531"/>
    </row>
    <row r="15955" spans="1:98">
      <c r="A15955" s="532"/>
      <c r="AR15955" s="2513"/>
      <c r="CT15955" s="531"/>
    </row>
    <row r="15956" spans="1:98">
      <c r="A15956" s="532"/>
      <c r="AR15956" s="2513"/>
      <c r="CT15956" s="531"/>
    </row>
    <row r="15957" spans="1:98">
      <c r="A15957" s="532"/>
      <c r="AR15957" s="2513"/>
      <c r="CT15957" s="531"/>
    </row>
    <row r="15958" spans="1:98">
      <c r="A15958" s="532"/>
      <c r="AR15958" s="2513"/>
      <c r="CT15958" s="531"/>
    </row>
    <row r="15959" spans="1:98">
      <c r="A15959" s="532"/>
      <c r="AR15959" s="2513"/>
      <c r="CT15959" s="531"/>
    </row>
    <row r="15960" spans="1:98">
      <c r="A15960" s="532"/>
      <c r="AR15960" s="2513"/>
      <c r="CT15960" s="531"/>
    </row>
    <row r="15961" spans="1:98">
      <c r="A15961" s="532"/>
      <c r="AR15961" s="2513"/>
      <c r="CT15961" s="531"/>
    </row>
    <row r="15962" spans="1:98">
      <c r="A15962" s="532"/>
      <c r="AR15962" s="2513"/>
      <c r="CT15962" s="531"/>
    </row>
    <row r="15963" spans="1:98">
      <c r="A15963" s="532"/>
      <c r="AR15963" s="2513"/>
      <c r="CT15963" s="531"/>
    </row>
    <row r="15964" spans="1:98">
      <c r="A15964" s="532"/>
      <c r="AR15964" s="2513"/>
      <c r="CT15964" s="531"/>
    </row>
    <row r="15965" spans="1:98">
      <c r="A15965" s="532"/>
      <c r="AR15965" s="2513"/>
      <c r="CT15965" s="531"/>
    </row>
    <row r="15966" spans="1:98">
      <c r="A15966" s="532"/>
      <c r="AR15966" s="2513"/>
      <c r="CT15966" s="531"/>
    </row>
    <row r="15967" spans="1:98">
      <c r="A15967" s="532"/>
      <c r="AR15967" s="2513"/>
      <c r="CT15967" s="531"/>
    </row>
    <row r="15968" spans="1:98">
      <c r="A15968" s="532"/>
      <c r="AR15968" s="2513"/>
      <c r="CT15968" s="531"/>
    </row>
    <row r="15969" spans="1:98">
      <c r="A15969" s="532"/>
      <c r="AR15969" s="2513"/>
      <c r="CT15969" s="531"/>
    </row>
    <row r="15970" spans="1:98">
      <c r="A15970" s="532"/>
      <c r="AR15970" s="2513"/>
      <c r="CT15970" s="531"/>
    </row>
    <row r="15971" spans="1:98">
      <c r="A15971" s="532"/>
      <c r="AR15971" s="2513"/>
      <c r="CT15971" s="531"/>
    </row>
    <row r="15972" spans="1:98">
      <c r="A15972" s="532"/>
      <c r="AR15972" s="2513"/>
      <c r="CT15972" s="531"/>
    </row>
    <row r="15973" spans="1:98">
      <c r="A15973" s="532"/>
      <c r="AR15973" s="2513"/>
      <c r="CT15973" s="531"/>
    </row>
    <row r="15974" spans="1:98">
      <c r="A15974" s="532"/>
      <c r="AR15974" s="2513"/>
      <c r="CT15974" s="531"/>
    </row>
    <row r="15975" spans="1:98">
      <c r="A15975" s="532"/>
      <c r="AR15975" s="2513"/>
      <c r="CT15975" s="531"/>
    </row>
    <row r="15976" spans="1:98">
      <c r="A15976" s="532"/>
      <c r="AR15976" s="2513"/>
      <c r="CT15976" s="531"/>
    </row>
    <row r="15977" spans="1:98">
      <c r="A15977" s="532"/>
      <c r="AR15977" s="2513"/>
      <c r="CT15977" s="531"/>
    </row>
    <row r="15978" spans="1:98">
      <c r="A15978" s="532"/>
      <c r="AR15978" s="2513"/>
      <c r="CT15978" s="531"/>
    </row>
    <row r="15979" spans="1:98">
      <c r="A15979" s="532"/>
      <c r="AR15979" s="2513"/>
      <c r="CT15979" s="531"/>
    </row>
    <row r="15980" spans="1:98">
      <c r="A15980" s="532"/>
      <c r="AR15980" s="2513"/>
      <c r="CT15980" s="531"/>
    </row>
    <row r="15981" spans="1:98">
      <c r="A15981" s="532"/>
      <c r="AR15981" s="2513"/>
      <c r="CT15981" s="531"/>
    </row>
    <row r="15982" spans="1:98">
      <c r="A15982" s="532"/>
      <c r="AR15982" s="2513"/>
      <c r="CT15982" s="531"/>
    </row>
    <row r="15983" spans="1:98">
      <c r="A15983" s="532"/>
      <c r="AR15983" s="2513"/>
      <c r="CT15983" s="531"/>
    </row>
    <row r="15984" spans="1:98">
      <c r="A15984" s="532"/>
      <c r="AR15984" s="2513"/>
      <c r="CT15984" s="531"/>
    </row>
    <row r="15985" spans="1:98">
      <c r="A15985" s="532"/>
      <c r="AR15985" s="2513"/>
      <c r="CT15985" s="531"/>
    </row>
    <row r="15986" spans="1:98">
      <c r="A15986" s="532"/>
      <c r="AR15986" s="2513"/>
      <c r="CT15986" s="531"/>
    </row>
    <row r="15987" spans="1:98">
      <c r="A15987" s="532"/>
      <c r="AR15987" s="2513"/>
      <c r="CT15987" s="531"/>
    </row>
    <row r="15988" spans="1:98">
      <c r="A15988" s="532"/>
      <c r="AR15988" s="2513"/>
      <c r="CT15988" s="531"/>
    </row>
    <row r="15989" spans="1:98">
      <c r="A15989" s="532"/>
      <c r="AR15989" s="2513"/>
      <c r="CT15989" s="531"/>
    </row>
    <row r="15990" spans="1:98">
      <c r="A15990" s="532"/>
      <c r="AR15990" s="2513"/>
      <c r="CT15990" s="531"/>
    </row>
    <row r="15991" spans="1:98">
      <c r="A15991" s="532"/>
      <c r="AR15991" s="2513"/>
      <c r="CT15991" s="531"/>
    </row>
    <row r="15992" spans="1:98">
      <c r="A15992" s="532"/>
      <c r="AR15992" s="2513"/>
      <c r="CT15992" s="531"/>
    </row>
    <row r="15993" spans="1:98">
      <c r="A15993" s="532"/>
      <c r="AR15993" s="2513"/>
      <c r="CT15993" s="531"/>
    </row>
    <row r="15994" spans="1:98">
      <c r="A15994" s="532"/>
      <c r="AR15994" s="2513"/>
      <c r="CT15994" s="531"/>
    </row>
    <row r="15995" spans="1:98">
      <c r="A15995" s="532"/>
      <c r="AR15995" s="2513"/>
      <c r="CT15995" s="531"/>
    </row>
    <row r="15996" spans="1:98">
      <c r="A15996" s="532"/>
      <c r="AR15996" s="2513"/>
      <c r="CT15996" s="531"/>
    </row>
    <row r="15997" spans="1:98">
      <c r="A15997" s="532"/>
      <c r="AR15997" s="2513"/>
      <c r="CT15997" s="531"/>
    </row>
    <row r="15998" spans="1:98">
      <c r="A15998" s="532"/>
      <c r="AR15998" s="2513"/>
      <c r="CT15998" s="531"/>
    </row>
    <row r="15999" spans="1:98">
      <c r="A15999" s="532"/>
      <c r="AR15999" s="2513"/>
      <c r="CT15999" s="531"/>
    </row>
    <row r="16000" spans="1:98">
      <c r="A16000" s="532"/>
      <c r="AR16000" s="2513"/>
      <c r="CT16000" s="531"/>
    </row>
    <row r="16001" spans="1:98">
      <c r="A16001" s="532"/>
      <c r="AR16001" s="2513"/>
      <c r="CT16001" s="531"/>
    </row>
    <row r="16002" spans="1:98">
      <c r="A16002" s="532"/>
      <c r="AR16002" s="2513"/>
      <c r="CT16002" s="531"/>
    </row>
    <row r="16003" spans="1:98">
      <c r="A16003" s="532"/>
      <c r="AR16003" s="2513"/>
      <c r="CT16003" s="531"/>
    </row>
    <row r="16004" spans="1:98">
      <c r="A16004" s="532"/>
      <c r="AR16004" s="2513"/>
      <c r="CT16004" s="531"/>
    </row>
    <row r="16005" spans="1:98">
      <c r="A16005" s="532"/>
      <c r="AR16005" s="2513"/>
      <c r="CT16005" s="531"/>
    </row>
    <row r="16006" spans="1:98">
      <c r="A16006" s="532"/>
      <c r="AR16006" s="2513"/>
      <c r="CT16006" s="531"/>
    </row>
    <row r="16007" spans="1:98">
      <c r="A16007" s="532"/>
      <c r="AR16007" s="2513"/>
      <c r="CT16007" s="531"/>
    </row>
    <row r="16008" spans="1:98">
      <c r="A16008" s="532"/>
      <c r="AR16008" s="2513"/>
      <c r="CT16008" s="531"/>
    </row>
    <row r="16009" spans="1:98">
      <c r="A16009" s="532"/>
      <c r="AR16009" s="2513"/>
      <c r="CT16009" s="531"/>
    </row>
    <row r="16010" spans="1:98">
      <c r="A16010" s="532"/>
      <c r="AR16010" s="2513"/>
      <c r="CT16010" s="531"/>
    </row>
    <row r="16011" spans="1:98">
      <c r="A16011" s="532"/>
      <c r="AR16011" s="2513"/>
      <c r="CT16011" s="531"/>
    </row>
    <row r="16012" spans="1:98">
      <c r="A16012" s="532"/>
      <c r="AR16012" s="2513"/>
      <c r="CT16012" s="531"/>
    </row>
    <row r="16013" spans="1:98">
      <c r="A16013" s="532"/>
      <c r="AR16013" s="2513"/>
      <c r="CT16013" s="531"/>
    </row>
    <row r="16014" spans="1:98">
      <c r="A16014" s="532"/>
      <c r="AR16014" s="2513"/>
      <c r="CT16014" s="531"/>
    </row>
    <row r="16015" spans="1:98">
      <c r="A16015" s="532"/>
      <c r="AR16015" s="2513"/>
      <c r="CT16015" s="531"/>
    </row>
    <row r="16016" spans="1:98">
      <c r="A16016" s="532"/>
      <c r="AR16016" s="2513"/>
      <c r="CT16016" s="531"/>
    </row>
    <row r="16017" spans="1:98">
      <c r="A16017" s="532"/>
      <c r="AR16017" s="2513"/>
      <c r="CT16017" s="531"/>
    </row>
    <row r="16018" spans="1:98">
      <c r="A16018" s="532"/>
      <c r="AR16018" s="2513"/>
      <c r="CT16018" s="531"/>
    </row>
    <row r="16019" spans="1:98">
      <c r="A16019" s="532"/>
      <c r="AR16019" s="2513"/>
      <c r="CT16019" s="531"/>
    </row>
    <row r="16020" spans="1:98">
      <c r="A16020" s="532"/>
      <c r="AR16020" s="2513"/>
      <c r="CT16020" s="531"/>
    </row>
    <row r="16021" spans="1:98">
      <c r="A16021" s="532"/>
      <c r="AR16021" s="2513"/>
      <c r="CT16021" s="531"/>
    </row>
    <row r="16022" spans="1:98">
      <c r="A16022" s="532"/>
      <c r="AR16022" s="2513"/>
      <c r="CT16022" s="531"/>
    </row>
    <row r="16023" spans="1:98">
      <c r="A16023" s="532"/>
      <c r="AR16023" s="2513"/>
      <c r="CT16023" s="531"/>
    </row>
    <row r="16024" spans="1:98">
      <c r="A16024" s="532"/>
      <c r="AR16024" s="2513"/>
      <c r="CT16024" s="531"/>
    </row>
    <row r="16025" spans="1:98">
      <c r="A16025" s="532"/>
      <c r="AR16025" s="2513"/>
      <c r="CT16025" s="531"/>
    </row>
    <row r="16026" spans="1:98">
      <c r="A16026" s="532"/>
      <c r="AR16026" s="2513"/>
      <c r="CT16026" s="531"/>
    </row>
    <row r="16027" spans="1:98">
      <c r="A16027" s="532"/>
      <c r="AR16027" s="2513"/>
      <c r="CT16027" s="531"/>
    </row>
    <row r="16028" spans="1:98">
      <c r="A16028" s="532"/>
      <c r="AR16028" s="2513"/>
      <c r="CT16028" s="531"/>
    </row>
    <row r="16029" spans="1:98">
      <c r="A16029" s="532"/>
      <c r="AR16029" s="2513"/>
      <c r="CT16029" s="531"/>
    </row>
    <row r="16030" spans="1:98">
      <c r="A16030" s="532"/>
      <c r="AR16030" s="2513"/>
      <c r="CT16030" s="531"/>
    </row>
    <row r="16031" spans="1:98">
      <c r="A16031" s="532"/>
      <c r="AR16031" s="2513"/>
      <c r="CT16031" s="531"/>
    </row>
    <row r="16032" spans="1:98">
      <c r="A16032" s="532"/>
      <c r="AR16032" s="2513"/>
      <c r="CT16032" s="531"/>
    </row>
    <row r="16033" spans="1:98">
      <c r="A16033" s="532"/>
      <c r="AR16033" s="2513"/>
      <c r="CT16033" s="531"/>
    </row>
    <row r="16034" spans="1:98">
      <c r="A16034" s="532"/>
      <c r="AR16034" s="2513"/>
      <c r="CT16034" s="531"/>
    </row>
    <row r="16035" spans="1:98">
      <c r="A16035" s="532"/>
      <c r="AR16035" s="2513"/>
      <c r="CT16035" s="531"/>
    </row>
    <row r="16036" spans="1:98">
      <c r="A16036" s="532"/>
      <c r="AR16036" s="2513"/>
      <c r="CT16036" s="531"/>
    </row>
    <row r="16037" spans="1:98">
      <c r="A16037" s="532"/>
      <c r="AR16037" s="2513"/>
      <c r="CT16037" s="531"/>
    </row>
    <row r="16038" spans="1:98">
      <c r="A16038" s="532"/>
      <c r="AR16038" s="2513"/>
      <c r="CT16038" s="531"/>
    </row>
    <row r="16039" spans="1:98">
      <c r="A16039" s="532"/>
      <c r="AR16039" s="2513"/>
      <c r="CT16039" s="531"/>
    </row>
    <row r="16040" spans="1:98">
      <c r="A16040" s="532"/>
      <c r="AR16040" s="2513"/>
      <c r="CT16040" s="531"/>
    </row>
    <row r="16041" spans="1:98">
      <c r="A16041" s="532"/>
      <c r="AR16041" s="2513"/>
      <c r="CT16041" s="531"/>
    </row>
    <row r="16042" spans="1:98">
      <c r="A16042" s="532"/>
      <c r="AR16042" s="2513"/>
      <c r="CT16042" s="531"/>
    </row>
    <row r="16043" spans="1:98">
      <c r="A16043" s="532"/>
      <c r="AR16043" s="2513"/>
      <c r="CT16043" s="531"/>
    </row>
    <row r="16044" spans="1:98">
      <c r="A16044" s="532"/>
      <c r="AR16044" s="2513"/>
      <c r="CT16044" s="531"/>
    </row>
    <row r="16045" spans="1:98">
      <c r="A16045" s="532"/>
      <c r="AR16045" s="2513"/>
      <c r="CT16045" s="531"/>
    </row>
    <row r="16046" spans="1:98">
      <c r="A16046" s="532"/>
      <c r="AR16046" s="2513"/>
      <c r="CT16046" s="531"/>
    </row>
    <row r="16047" spans="1:98">
      <c r="A16047" s="532"/>
      <c r="AR16047" s="2513"/>
      <c r="CT16047" s="531"/>
    </row>
    <row r="16048" spans="1:98">
      <c r="A16048" s="532"/>
      <c r="AR16048" s="2513"/>
      <c r="CT16048" s="531"/>
    </row>
    <row r="16049" spans="1:98">
      <c r="A16049" s="532"/>
      <c r="AR16049" s="2513"/>
      <c r="CT16049" s="531"/>
    </row>
    <row r="16050" spans="1:98">
      <c r="A16050" s="532"/>
      <c r="AR16050" s="2513"/>
      <c r="CT16050" s="531"/>
    </row>
    <row r="16051" spans="1:98">
      <c r="A16051" s="532"/>
      <c r="AR16051" s="2513"/>
      <c r="CT16051" s="531"/>
    </row>
    <row r="16052" spans="1:98">
      <c r="A16052" s="532"/>
      <c r="AR16052" s="2513"/>
      <c r="CT16052" s="531"/>
    </row>
    <row r="16053" spans="1:98">
      <c r="A16053" s="532"/>
      <c r="AR16053" s="2513"/>
      <c r="CT16053" s="531"/>
    </row>
    <row r="16054" spans="1:98">
      <c r="A16054" s="532"/>
      <c r="AR16054" s="2513"/>
      <c r="CT16054" s="531"/>
    </row>
    <row r="16055" spans="1:98">
      <c r="A16055" s="532"/>
      <c r="AR16055" s="2513"/>
      <c r="CT16055" s="531"/>
    </row>
    <row r="16056" spans="1:98">
      <c r="A16056" s="532"/>
      <c r="AR16056" s="2513"/>
      <c r="CT16056" s="531"/>
    </row>
    <row r="16057" spans="1:98">
      <c r="A16057" s="532"/>
      <c r="AR16057" s="2513"/>
      <c r="CT16057" s="531"/>
    </row>
    <row r="16058" spans="1:98">
      <c r="A16058" s="532"/>
      <c r="AR16058" s="2513"/>
      <c r="CT16058" s="531"/>
    </row>
    <row r="16059" spans="1:98">
      <c r="A16059" s="532"/>
      <c r="AR16059" s="2513"/>
      <c r="CT16059" s="531"/>
    </row>
    <row r="16060" spans="1:98">
      <c r="A16060" s="532"/>
      <c r="AR16060" s="2513"/>
      <c r="CT16060" s="531"/>
    </row>
    <row r="16061" spans="1:98">
      <c r="A16061" s="532"/>
      <c r="AR16061" s="2513"/>
      <c r="CT16061" s="531"/>
    </row>
    <row r="16062" spans="1:98">
      <c r="A16062" s="532"/>
      <c r="AR16062" s="2513"/>
      <c r="CT16062" s="531"/>
    </row>
    <row r="16063" spans="1:98">
      <c r="A16063" s="532"/>
      <c r="AR16063" s="2513"/>
      <c r="CT16063" s="531"/>
    </row>
    <row r="16064" spans="1:98">
      <c r="A16064" s="532"/>
      <c r="AR16064" s="2513"/>
      <c r="CT16064" s="531"/>
    </row>
    <row r="16065" spans="1:98">
      <c r="A16065" s="532"/>
      <c r="AR16065" s="2513"/>
      <c r="CT16065" s="531"/>
    </row>
    <row r="16066" spans="1:98">
      <c r="A16066" s="532"/>
      <c r="AR16066" s="2513"/>
      <c r="CT16066" s="531"/>
    </row>
    <row r="16067" spans="1:98">
      <c r="A16067" s="532"/>
      <c r="AR16067" s="2513"/>
      <c r="CT16067" s="531"/>
    </row>
    <row r="16068" spans="1:98">
      <c r="A16068" s="532"/>
      <c r="AR16068" s="2513"/>
      <c r="CT16068" s="531"/>
    </row>
    <row r="16069" spans="1:98">
      <c r="A16069" s="532"/>
      <c r="AR16069" s="2513"/>
      <c r="CT16069" s="531"/>
    </row>
    <row r="16070" spans="1:98">
      <c r="A16070" s="532"/>
      <c r="AR16070" s="2513"/>
      <c r="CT16070" s="531"/>
    </row>
    <row r="16071" spans="1:98">
      <c r="A16071" s="532"/>
      <c r="AR16071" s="2513"/>
      <c r="CT16071" s="531"/>
    </row>
    <row r="16072" spans="1:98">
      <c r="A16072" s="532"/>
      <c r="AR16072" s="2513"/>
      <c r="CT16072" s="531"/>
    </row>
    <row r="16073" spans="1:98">
      <c r="A16073" s="532"/>
      <c r="AR16073" s="2513"/>
      <c r="CT16073" s="531"/>
    </row>
    <row r="16074" spans="1:98">
      <c r="A16074" s="532"/>
      <c r="AR16074" s="2513"/>
      <c r="CT16074" s="531"/>
    </row>
    <row r="16075" spans="1:98">
      <c r="A16075" s="532"/>
      <c r="AR16075" s="2513"/>
      <c r="CT16075" s="531"/>
    </row>
    <row r="16076" spans="1:98">
      <c r="A16076" s="532"/>
      <c r="AR16076" s="2513"/>
      <c r="CT16076" s="531"/>
    </row>
    <row r="16077" spans="1:98">
      <c r="A16077" s="532"/>
      <c r="AR16077" s="2513"/>
      <c r="CT16077" s="531"/>
    </row>
    <row r="16078" spans="1:98">
      <c r="A16078" s="532"/>
      <c r="AR16078" s="2513"/>
      <c r="CT16078" s="531"/>
    </row>
    <row r="16079" spans="1:98">
      <c r="A16079" s="532"/>
      <c r="AR16079" s="2513"/>
      <c r="CT16079" s="531"/>
    </row>
    <row r="16080" spans="1:98">
      <c r="A16080" s="532"/>
      <c r="AR16080" s="2513"/>
      <c r="CT16080" s="531"/>
    </row>
    <row r="16081" spans="1:98">
      <c r="A16081" s="532"/>
      <c r="AR16081" s="2513"/>
      <c r="CT16081" s="531"/>
    </row>
    <row r="16082" spans="1:98">
      <c r="A16082" s="532"/>
      <c r="AR16082" s="2513"/>
      <c r="CT16082" s="531"/>
    </row>
    <row r="16083" spans="1:98">
      <c r="A16083" s="532"/>
      <c r="AR16083" s="2513"/>
      <c r="CT16083" s="531"/>
    </row>
    <row r="16084" spans="1:98">
      <c r="A16084" s="532"/>
      <c r="AR16084" s="2513"/>
      <c r="CT16084" s="531"/>
    </row>
    <row r="16085" spans="1:98">
      <c r="A16085" s="532"/>
      <c r="AR16085" s="2513"/>
      <c r="CT16085" s="531"/>
    </row>
    <row r="16086" spans="1:98">
      <c r="A16086" s="532"/>
      <c r="AR16086" s="2513"/>
      <c r="CT16086" s="531"/>
    </row>
    <row r="16087" spans="1:98">
      <c r="A16087" s="532"/>
      <c r="AR16087" s="2513"/>
      <c r="CT16087" s="531"/>
    </row>
    <row r="16088" spans="1:98">
      <c r="A16088" s="532"/>
      <c r="AR16088" s="2513"/>
      <c r="CT16088" s="531"/>
    </row>
    <row r="16089" spans="1:98">
      <c r="A16089" s="532"/>
      <c r="AR16089" s="2513"/>
      <c r="CT16089" s="531"/>
    </row>
    <row r="16090" spans="1:98">
      <c r="A16090" s="532"/>
      <c r="AR16090" s="2513"/>
      <c r="CT16090" s="531"/>
    </row>
    <row r="16091" spans="1:98">
      <c r="A16091" s="532"/>
      <c r="AR16091" s="2513"/>
      <c r="CT16091" s="531"/>
    </row>
    <row r="16092" spans="1:98">
      <c r="A16092" s="532"/>
      <c r="AR16092" s="2513"/>
      <c r="CT16092" s="531"/>
    </row>
    <row r="16093" spans="1:98">
      <c r="A16093" s="532"/>
      <c r="AR16093" s="2513"/>
      <c r="CT16093" s="531"/>
    </row>
    <row r="16094" spans="1:98">
      <c r="A16094" s="532"/>
      <c r="AR16094" s="2513"/>
      <c r="CT16094" s="531"/>
    </row>
    <row r="16095" spans="1:98">
      <c r="A16095" s="532"/>
      <c r="AR16095" s="2513"/>
      <c r="CT16095" s="531"/>
    </row>
    <row r="16096" spans="1:98">
      <c r="A16096" s="532"/>
      <c r="AR16096" s="2513"/>
      <c r="CT16096" s="531"/>
    </row>
    <row r="16097" spans="1:98">
      <c r="A16097" s="532"/>
      <c r="AR16097" s="2513"/>
      <c r="CT16097" s="531"/>
    </row>
    <row r="16098" spans="1:98">
      <c r="A16098" s="532"/>
      <c r="AR16098" s="2513"/>
      <c r="CT16098" s="531"/>
    </row>
    <row r="16099" spans="1:98">
      <c r="A16099" s="532"/>
      <c r="AR16099" s="2513"/>
      <c r="CT16099" s="531"/>
    </row>
    <row r="16100" spans="1:98">
      <c r="A16100" s="532"/>
      <c r="AR16100" s="2513"/>
      <c r="CT16100" s="531"/>
    </row>
    <row r="16101" spans="1:98">
      <c r="A16101" s="532"/>
      <c r="AR16101" s="2513"/>
      <c r="CT16101" s="531"/>
    </row>
    <row r="16102" spans="1:98">
      <c r="A16102" s="532"/>
      <c r="AR16102" s="2513"/>
      <c r="CT16102" s="531"/>
    </row>
    <row r="16103" spans="1:98">
      <c r="A16103" s="532"/>
      <c r="AR16103" s="2513"/>
      <c r="CT16103" s="531"/>
    </row>
    <row r="16104" spans="1:98">
      <c r="A16104" s="532"/>
      <c r="AR16104" s="2513"/>
      <c r="CT16104" s="531"/>
    </row>
    <row r="16105" spans="1:98">
      <c r="A16105" s="532"/>
      <c r="AR16105" s="2513"/>
      <c r="CT16105" s="531"/>
    </row>
    <row r="16106" spans="1:98">
      <c r="A16106" s="532"/>
      <c r="AR16106" s="2513"/>
      <c r="CT16106" s="531"/>
    </row>
    <row r="16107" spans="1:98">
      <c r="A16107" s="532"/>
      <c r="AR16107" s="2513"/>
      <c r="CT16107" s="531"/>
    </row>
    <row r="16108" spans="1:98">
      <c r="A16108" s="532"/>
      <c r="AR16108" s="2513"/>
      <c r="CT16108" s="531"/>
    </row>
    <row r="16109" spans="1:98">
      <c r="A16109" s="532"/>
      <c r="AR16109" s="2513"/>
      <c r="CT16109" s="531"/>
    </row>
    <row r="16110" spans="1:98">
      <c r="A16110" s="532"/>
      <c r="AR16110" s="2513"/>
      <c r="CT16110" s="531"/>
    </row>
    <row r="16111" spans="1:98">
      <c r="A16111" s="532"/>
      <c r="AR16111" s="2513"/>
      <c r="CT16111" s="531"/>
    </row>
    <row r="16112" spans="1:98">
      <c r="A16112" s="532"/>
      <c r="AR16112" s="2513"/>
      <c r="CT16112" s="531"/>
    </row>
    <row r="16113" spans="1:98">
      <c r="A16113" s="532"/>
      <c r="AR16113" s="2513"/>
      <c r="CT16113" s="531"/>
    </row>
    <row r="16114" spans="1:98">
      <c r="A16114" s="532"/>
      <c r="AR16114" s="2513"/>
      <c r="CT16114" s="531"/>
    </row>
    <row r="16115" spans="1:98">
      <c r="A16115" s="532"/>
      <c r="AR16115" s="2513"/>
      <c r="CT16115" s="531"/>
    </row>
    <row r="16116" spans="1:98">
      <c r="A16116" s="532"/>
      <c r="AR16116" s="2513"/>
      <c r="CT16116" s="531"/>
    </row>
    <row r="16117" spans="1:98">
      <c r="A16117" s="532"/>
      <c r="AR16117" s="2513"/>
      <c r="CT16117" s="531"/>
    </row>
    <row r="16118" spans="1:98">
      <c r="A16118" s="532"/>
      <c r="AR16118" s="2513"/>
      <c r="CT16118" s="531"/>
    </row>
    <row r="16119" spans="1:98">
      <c r="A16119" s="532"/>
      <c r="AR16119" s="2513"/>
      <c r="CT16119" s="531"/>
    </row>
    <row r="16120" spans="1:98">
      <c r="A16120" s="532"/>
      <c r="AR16120" s="2513"/>
      <c r="CT16120" s="531"/>
    </row>
    <row r="16121" spans="1:98">
      <c r="A16121" s="532"/>
      <c r="AR16121" s="2513"/>
      <c r="CT16121" s="531"/>
    </row>
    <row r="16122" spans="1:98">
      <c r="A16122" s="532"/>
      <c r="AR16122" s="2513"/>
      <c r="CT16122" s="531"/>
    </row>
    <row r="16123" spans="1:98">
      <c r="A16123" s="532"/>
      <c r="AR16123" s="2513"/>
      <c r="CT16123" s="531"/>
    </row>
    <row r="16124" spans="1:98">
      <c r="A16124" s="532"/>
      <c r="AR16124" s="2513"/>
      <c r="CT16124" s="531"/>
    </row>
    <row r="16125" spans="1:98">
      <c r="A16125" s="532"/>
      <c r="AR16125" s="2513"/>
      <c r="CT16125" s="531"/>
    </row>
    <row r="16126" spans="1:98">
      <c r="A16126" s="532"/>
      <c r="AR16126" s="2513"/>
      <c r="CT16126" s="531"/>
    </row>
    <row r="16127" spans="1:98">
      <c r="A16127" s="532"/>
      <c r="AR16127" s="2513"/>
      <c r="CT16127" s="531"/>
    </row>
    <row r="16128" spans="1:98">
      <c r="A16128" s="532"/>
      <c r="AR16128" s="2513"/>
      <c r="CT16128" s="531"/>
    </row>
    <row r="16129" spans="1:98">
      <c r="A16129" s="532"/>
      <c r="AR16129" s="2513"/>
      <c r="CT16129" s="531"/>
    </row>
    <row r="16130" spans="1:98">
      <c r="A16130" s="532"/>
      <c r="AR16130" s="2513"/>
      <c r="CT16130" s="531"/>
    </row>
    <row r="16131" spans="1:98">
      <c r="A16131" s="532"/>
      <c r="AR16131" s="2513"/>
      <c r="CT16131" s="531"/>
    </row>
    <row r="16132" spans="1:98">
      <c r="A16132" s="532"/>
      <c r="AR16132" s="2513"/>
      <c r="CT16132" s="531"/>
    </row>
    <row r="16133" spans="1:98">
      <c r="A16133" s="532"/>
      <c r="AR16133" s="2513"/>
      <c r="CT16133" s="531"/>
    </row>
    <row r="16134" spans="1:98">
      <c r="A16134" s="532"/>
      <c r="AR16134" s="2513"/>
      <c r="CT16134" s="531"/>
    </row>
    <row r="16135" spans="1:98">
      <c r="A16135" s="532"/>
      <c r="AR16135" s="2513"/>
      <c r="CT16135" s="531"/>
    </row>
    <row r="16136" spans="1:98">
      <c r="A16136" s="532"/>
      <c r="AR16136" s="2513"/>
      <c r="CT16136" s="531"/>
    </row>
    <row r="16137" spans="1:98">
      <c r="A16137" s="532"/>
      <c r="AR16137" s="2513"/>
      <c r="CT16137" s="531"/>
    </row>
    <row r="16138" spans="1:98">
      <c r="A16138" s="532"/>
      <c r="AR16138" s="2513"/>
      <c r="CT16138" s="531"/>
    </row>
    <row r="16139" spans="1:98">
      <c r="A16139" s="532"/>
      <c r="AR16139" s="2513"/>
      <c r="CT16139" s="531"/>
    </row>
    <row r="16140" spans="1:98">
      <c r="A16140" s="532"/>
      <c r="AR16140" s="2513"/>
      <c r="CT16140" s="531"/>
    </row>
    <row r="16141" spans="1:98">
      <c r="A16141" s="532"/>
      <c r="AR16141" s="2513"/>
      <c r="CT16141" s="531"/>
    </row>
    <row r="16142" spans="1:98">
      <c r="A16142" s="532"/>
      <c r="AR16142" s="2513"/>
      <c r="CT16142" s="531"/>
    </row>
    <row r="16143" spans="1:98">
      <c r="A16143" s="532"/>
      <c r="AR16143" s="2513"/>
      <c r="CT16143" s="531"/>
    </row>
    <row r="16144" spans="1:98">
      <c r="A16144" s="532"/>
      <c r="AR16144" s="2513"/>
      <c r="CT16144" s="531"/>
    </row>
    <row r="16145" spans="1:98">
      <c r="A16145" s="532"/>
      <c r="AR16145" s="2513"/>
      <c r="CT16145" s="531"/>
    </row>
    <row r="16146" spans="1:98">
      <c r="A16146" s="532"/>
      <c r="AR16146" s="2513"/>
      <c r="CT16146" s="531"/>
    </row>
    <row r="16147" spans="1:98">
      <c r="A16147" s="532"/>
      <c r="AR16147" s="2513"/>
      <c r="CT16147" s="531"/>
    </row>
    <row r="16148" spans="1:98">
      <c r="A16148" s="532"/>
      <c r="AR16148" s="2513"/>
      <c r="CT16148" s="531"/>
    </row>
    <row r="16149" spans="1:98">
      <c r="A16149" s="532"/>
      <c r="AR16149" s="2513"/>
      <c r="CT16149" s="531"/>
    </row>
    <row r="16150" spans="1:98">
      <c r="A16150" s="532"/>
      <c r="AR16150" s="2513"/>
      <c r="CT16150" s="531"/>
    </row>
    <row r="16151" spans="1:98">
      <c r="A16151" s="532"/>
      <c r="AR16151" s="2513"/>
      <c r="CT16151" s="531"/>
    </row>
    <row r="16152" spans="1:98">
      <c r="A16152" s="532"/>
      <c r="AR16152" s="2513"/>
      <c r="CT16152" s="531"/>
    </row>
    <row r="16153" spans="1:98">
      <c r="A16153" s="532"/>
      <c r="AR16153" s="2513"/>
      <c r="CT16153" s="531"/>
    </row>
    <row r="16154" spans="1:98">
      <c r="A16154" s="532"/>
      <c r="AR16154" s="2513"/>
      <c r="CT16154" s="531"/>
    </row>
    <row r="16155" spans="1:98">
      <c r="A16155" s="532"/>
      <c r="AR16155" s="2513"/>
      <c r="CT16155" s="531"/>
    </row>
    <row r="16156" spans="1:98">
      <c r="A16156" s="532"/>
      <c r="AR16156" s="2513"/>
      <c r="CT16156" s="531"/>
    </row>
    <row r="16157" spans="1:98">
      <c r="A16157" s="532"/>
      <c r="AR16157" s="2513"/>
      <c r="CT16157" s="531"/>
    </row>
    <row r="16158" spans="1:98">
      <c r="A16158" s="532"/>
      <c r="AR16158" s="2513"/>
      <c r="CT16158" s="531"/>
    </row>
    <row r="16159" spans="1:98">
      <c r="A16159" s="532"/>
      <c r="AR16159" s="2513"/>
      <c r="CT16159" s="531"/>
    </row>
    <row r="16160" spans="1:98">
      <c r="A16160" s="532"/>
      <c r="AR16160" s="2513"/>
      <c r="CT16160" s="531"/>
    </row>
    <row r="16161" spans="1:98">
      <c r="A16161" s="532"/>
      <c r="AR16161" s="2513"/>
      <c r="CT16161" s="531"/>
    </row>
    <row r="16162" spans="1:98">
      <c r="A16162" s="532"/>
      <c r="AR16162" s="2513"/>
      <c r="CT16162" s="531"/>
    </row>
    <row r="16163" spans="1:98">
      <c r="A16163" s="532"/>
      <c r="AR16163" s="2513"/>
      <c r="CT16163" s="531"/>
    </row>
    <row r="16164" spans="1:98">
      <c r="A16164" s="532"/>
      <c r="AR16164" s="2513"/>
      <c r="CT16164" s="531"/>
    </row>
    <row r="16165" spans="1:98">
      <c r="A16165" s="532"/>
      <c r="AR16165" s="2513"/>
      <c r="CT16165" s="531"/>
    </row>
    <row r="16166" spans="1:98">
      <c r="A16166" s="532"/>
      <c r="AR16166" s="2513"/>
      <c r="CT16166" s="531"/>
    </row>
    <row r="16167" spans="1:98">
      <c r="A16167" s="532"/>
      <c r="AR16167" s="2513"/>
      <c r="CT16167" s="531"/>
    </row>
    <row r="16168" spans="1:98">
      <c r="A16168" s="532"/>
      <c r="AR16168" s="2513"/>
      <c r="CT16168" s="531"/>
    </row>
    <row r="16169" spans="1:98">
      <c r="A16169" s="532"/>
      <c r="AR16169" s="2513"/>
      <c r="CT16169" s="531"/>
    </row>
    <row r="16170" spans="1:98">
      <c r="A16170" s="532"/>
      <c r="AR16170" s="2513"/>
      <c r="CT16170" s="531"/>
    </row>
    <row r="16171" spans="1:98">
      <c r="A16171" s="532"/>
      <c r="AR16171" s="2513"/>
      <c r="CT16171" s="531"/>
    </row>
    <row r="16172" spans="1:98">
      <c r="A16172" s="532"/>
      <c r="AR16172" s="2513"/>
      <c r="CT16172" s="531"/>
    </row>
    <row r="16173" spans="1:98">
      <c r="A16173" s="532"/>
      <c r="AR16173" s="2513"/>
      <c r="CT16173" s="531"/>
    </row>
    <row r="16174" spans="1:98">
      <c r="A16174" s="532"/>
      <c r="AR16174" s="2513"/>
      <c r="CT16174" s="531"/>
    </row>
    <row r="16175" spans="1:98">
      <c r="A16175" s="532"/>
      <c r="AR16175" s="2513"/>
      <c r="CT16175" s="531"/>
    </row>
    <row r="16176" spans="1:98">
      <c r="A16176" s="532"/>
      <c r="AR16176" s="2513"/>
      <c r="CT16176" s="531"/>
    </row>
    <row r="16177" spans="1:98">
      <c r="A16177" s="532"/>
      <c r="AR16177" s="2513"/>
      <c r="CT16177" s="531"/>
    </row>
    <row r="16178" spans="1:98">
      <c r="A16178" s="532"/>
      <c r="AR16178" s="2513"/>
      <c r="CT16178" s="531"/>
    </row>
    <row r="16179" spans="1:98">
      <c r="A16179" s="532"/>
      <c r="AR16179" s="2513"/>
      <c r="CT16179" s="531"/>
    </row>
    <row r="16180" spans="1:98">
      <c r="A16180" s="532"/>
      <c r="AR16180" s="2513"/>
      <c r="CT16180" s="531"/>
    </row>
    <row r="16181" spans="1:98">
      <c r="A16181" s="532"/>
      <c r="AR16181" s="2513"/>
      <c r="CT16181" s="531"/>
    </row>
    <row r="16182" spans="1:98">
      <c r="A16182" s="532"/>
      <c r="AR16182" s="2513"/>
      <c r="CT16182" s="531"/>
    </row>
    <row r="16183" spans="1:98">
      <c r="A16183" s="532"/>
      <c r="AR16183" s="2513"/>
      <c r="CT16183" s="531"/>
    </row>
    <row r="16184" spans="1:98">
      <c r="A16184" s="532"/>
      <c r="AR16184" s="2513"/>
      <c r="CT16184" s="531"/>
    </row>
    <row r="16185" spans="1:98">
      <c r="A16185" s="532"/>
      <c r="AR16185" s="2513"/>
    </row>
    <row r="16186" spans="1:98">
      <c r="A16186" s="532"/>
      <c r="AR16186" s="2513"/>
    </row>
    <row r="16187" spans="1:98">
      <c r="A16187" s="532"/>
      <c r="AR16187" s="2513"/>
    </row>
    <row r="16188" spans="1:98">
      <c r="A16188" s="532"/>
      <c r="AR16188" s="2513"/>
    </row>
    <row r="16189" spans="1:98">
      <c r="A16189" s="532"/>
      <c r="AR16189" s="2513"/>
    </row>
    <row r="16190" spans="1:98">
      <c r="A16190" s="532"/>
      <c r="AR16190" s="2513"/>
    </row>
    <row r="16191" spans="1:98">
      <c r="A16191" s="532"/>
      <c r="AR16191" s="2513"/>
    </row>
    <row r="16192" spans="1:98">
      <c r="A16192" s="532"/>
      <c r="AR16192" s="2513"/>
    </row>
    <row r="16193" spans="1:44">
      <c r="A16193" s="532"/>
      <c r="AR16193" s="2513"/>
    </row>
    <row r="16194" spans="1:44">
      <c r="A16194" s="532"/>
      <c r="AR16194" s="2513"/>
    </row>
    <row r="16195" spans="1:44">
      <c r="A16195" s="532"/>
      <c r="AR16195" s="2513"/>
    </row>
    <row r="16196" spans="1:44">
      <c r="A16196" s="532"/>
      <c r="AR16196" s="2513"/>
    </row>
    <row r="16197" spans="1:44">
      <c r="A16197" s="532"/>
      <c r="AR16197" s="2513"/>
    </row>
    <row r="16198" spans="1:44">
      <c r="A16198" s="532"/>
      <c r="AR16198" s="2513"/>
    </row>
    <row r="16199" spans="1:44">
      <c r="A16199" s="532"/>
      <c r="AR16199" s="2513"/>
    </row>
    <row r="16200" spans="1:44">
      <c r="A16200" s="532"/>
      <c r="AR16200" s="2513"/>
    </row>
    <row r="16201" spans="1:44">
      <c r="A16201" s="532"/>
      <c r="AR16201" s="2513"/>
    </row>
    <row r="16202" spans="1:44">
      <c r="A16202" s="532"/>
      <c r="AR16202" s="2513"/>
    </row>
    <row r="16203" spans="1:44">
      <c r="A16203" s="532"/>
      <c r="AR16203" s="2513"/>
    </row>
    <row r="16204" spans="1:44">
      <c r="A16204" s="532"/>
      <c r="AR16204" s="2513"/>
    </row>
    <row r="16205" spans="1:44">
      <c r="A16205" s="532"/>
      <c r="AR16205" s="2513"/>
    </row>
    <row r="16206" spans="1:44">
      <c r="A16206" s="532"/>
      <c r="AR16206" s="2513"/>
    </row>
    <row r="16207" spans="1:44">
      <c r="A16207" s="532"/>
      <c r="AR16207" s="2513"/>
    </row>
    <row r="16208" spans="1:44">
      <c r="A16208" s="532"/>
      <c r="AR16208" s="2513"/>
    </row>
    <row r="16209" spans="1:44">
      <c r="A16209" s="532"/>
      <c r="AR16209" s="2513"/>
    </row>
    <row r="16210" spans="1:44">
      <c r="A16210" s="532"/>
      <c r="AR16210" s="2513"/>
    </row>
    <row r="16211" spans="1:44">
      <c r="A16211" s="532"/>
      <c r="AR16211" s="2513"/>
    </row>
    <row r="16212" spans="1:44">
      <c r="A16212" s="532"/>
      <c r="AR16212" s="2513"/>
    </row>
    <row r="16213" spans="1:44">
      <c r="A16213" s="532"/>
      <c r="AR16213" s="2513"/>
    </row>
    <row r="16214" spans="1:44">
      <c r="A16214" s="532"/>
      <c r="AR16214" s="2513"/>
    </row>
    <row r="16215" spans="1:44">
      <c r="A16215" s="532"/>
      <c r="AR16215" s="2513"/>
    </row>
    <row r="16216" spans="1:44">
      <c r="A16216" s="532"/>
      <c r="AR16216" s="2513"/>
    </row>
    <row r="16217" spans="1:44">
      <c r="A16217" s="532"/>
      <c r="AR16217" s="2513"/>
    </row>
    <row r="16218" spans="1:44">
      <c r="A16218" s="532"/>
      <c r="AR16218" s="2513"/>
    </row>
    <row r="16219" spans="1:44">
      <c r="A16219" s="532"/>
      <c r="AR16219" s="2513"/>
    </row>
    <row r="16220" spans="1:44">
      <c r="A16220" s="532"/>
      <c r="AR16220" s="2513"/>
    </row>
    <row r="16221" spans="1:44">
      <c r="A16221" s="532"/>
      <c r="AR16221" s="2513"/>
    </row>
    <row r="16222" spans="1:44">
      <c r="A16222" s="532"/>
      <c r="AR16222" s="2513"/>
    </row>
    <row r="16223" spans="1:44">
      <c r="A16223" s="532"/>
      <c r="AR16223" s="2513"/>
    </row>
    <row r="16224" spans="1:44">
      <c r="A16224" s="532"/>
      <c r="AR16224" s="2513"/>
    </row>
    <row r="16225" spans="1:44">
      <c r="A16225" s="532"/>
      <c r="AR16225" s="2513"/>
    </row>
    <row r="16226" spans="1:44">
      <c r="A16226" s="532"/>
    </row>
    <row r="16227" spans="1:44">
      <c r="A16227" s="532"/>
    </row>
    <row r="16228" spans="1:44">
      <c r="A16228" s="532"/>
    </row>
    <row r="16229" spans="1:44">
      <c r="A16229" s="532"/>
    </row>
    <row r="16230" spans="1:44">
      <c r="A16230" s="532"/>
    </row>
    <row r="16231" spans="1:44">
      <c r="A16231" s="532"/>
    </row>
    <row r="16232" spans="1:44">
      <c r="A16232" s="532"/>
    </row>
    <row r="16233" spans="1:44">
      <c r="A16233" s="532"/>
    </row>
    <row r="16234" spans="1:44">
      <c r="A16234" s="532"/>
    </row>
    <row r="16235" spans="1:44">
      <c r="A16235" s="532"/>
    </row>
    <row r="16236" spans="1:44">
      <c r="A16236" s="532"/>
    </row>
    <row r="16237" spans="1:44">
      <c r="A16237" s="532"/>
    </row>
    <row r="16238" spans="1:44">
      <c r="A16238" s="532"/>
    </row>
    <row r="16239" spans="1:44">
      <c r="A16239" s="532"/>
    </row>
    <row r="16240" spans="1:44">
      <c r="A16240" s="532"/>
    </row>
    <row r="16241" spans="1:1">
      <c r="A16241" s="532"/>
    </row>
    <row r="16242" spans="1:1">
      <c r="A16242" s="532"/>
    </row>
    <row r="16243" spans="1:1">
      <c r="A16243" s="532"/>
    </row>
    <row r="16244" spans="1:1">
      <c r="A16244" s="532"/>
    </row>
    <row r="16245" spans="1:1">
      <c r="A16245" s="532"/>
    </row>
    <row r="16246" spans="1:1">
      <c r="A16246" s="532"/>
    </row>
    <row r="16247" spans="1:1">
      <c r="A16247" s="532"/>
    </row>
    <row r="16248" spans="1:1">
      <c r="A16248" s="532"/>
    </row>
    <row r="16249" spans="1:1">
      <c r="A16249" s="532"/>
    </row>
    <row r="16250" spans="1:1">
      <c r="A16250" s="532"/>
    </row>
    <row r="16251" spans="1:1">
      <c r="A16251" s="532"/>
    </row>
    <row r="16252" spans="1:1">
      <c r="A16252" s="532"/>
    </row>
    <row r="16253" spans="1:1">
      <c r="A16253" s="532"/>
    </row>
    <row r="16254" spans="1:1">
      <c r="A16254" s="532"/>
    </row>
    <row r="16255" spans="1:1">
      <c r="A16255" s="532"/>
    </row>
    <row r="16256" spans="1:1">
      <c r="A16256" s="532"/>
    </row>
    <row r="16257" spans="1:1">
      <c r="A16257" s="532"/>
    </row>
    <row r="16258" spans="1:1">
      <c r="A16258" s="532"/>
    </row>
    <row r="16259" spans="1:1">
      <c r="A16259" s="532"/>
    </row>
    <row r="16260" spans="1:1">
      <c r="A16260" s="532"/>
    </row>
    <row r="16261" spans="1:1">
      <c r="A16261" s="532"/>
    </row>
    <row r="16262" spans="1:1">
      <c r="A16262" s="532"/>
    </row>
    <row r="16263" spans="1:1">
      <c r="A16263" s="532"/>
    </row>
    <row r="16264" spans="1:1">
      <c r="A16264" s="532"/>
    </row>
    <row r="16265" spans="1:1">
      <c r="A16265" s="532"/>
    </row>
    <row r="16266" spans="1:1">
      <c r="A16266" s="532"/>
    </row>
    <row r="16267" spans="1:1">
      <c r="A16267" s="532"/>
    </row>
    <row r="16268" spans="1:1">
      <c r="A16268" s="532"/>
    </row>
    <row r="16269" spans="1:1">
      <c r="A16269" s="532"/>
    </row>
    <row r="16270" spans="1:1">
      <c r="A16270" s="532"/>
    </row>
    <row r="16271" spans="1:1">
      <c r="A16271" s="532"/>
    </row>
    <row r="16272" spans="1:1">
      <c r="A16272" s="532"/>
    </row>
    <row r="16273" spans="1:1">
      <c r="A16273" s="532"/>
    </row>
    <row r="16274" spans="1:1">
      <c r="A16274" s="532"/>
    </row>
    <row r="16275" spans="1:1">
      <c r="A16275" s="532"/>
    </row>
    <row r="16276" spans="1:1">
      <c r="A16276" s="532"/>
    </row>
    <row r="16277" spans="1:1">
      <c r="A16277" s="532"/>
    </row>
    <row r="16278" spans="1:1">
      <c r="A16278" s="532"/>
    </row>
    <row r="16279" spans="1:1">
      <c r="A16279" s="532"/>
    </row>
    <row r="16280" spans="1:1">
      <c r="A16280" s="532"/>
    </row>
    <row r="16281" spans="1:1">
      <c r="A16281" s="532"/>
    </row>
    <row r="16282" spans="1:1">
      <c r="A16282" s="532"/>
    </row>
    <row r="16283" spans="1:1">
      <c r="A16283" s="532"/>
    </row>
    <row r="16284" spans="1:1">
      <c r="A16284" s="532"/>
    </row>
    <row r="16285" spans="1:1">
      <c r="A16285" s="532"/>
    </row>
    <row r="16286" spans="1:1">
      <c r="A16286" s="532"/>
    </row>
    <row r="16287" spans="1:1">
      <c r="A16287" s="532"/>
    </row>
    <row r="16288" spans="1:1">
      <c r="A16288" s="532"/>
    </row>
    <row r="16289" spans="1:1">
      <c r="A16289" s="532"/>
    </row>
    <row r="16290" spans="1:1">
      <c r="A16290" s="532"/>
    </row>
    <row r="16291" spans="1:1">
      <c r="A16291" s="532"/>
    </row>
    <row r="16292" spans="1:1">
      <c r="A16292" s="532"/>
    </row>
    <row r="16293" spans="1:1">
      <c r="A16293" s="532"/>
    </row>
    <row r="16294" spans="1:1">
      <c r="A16294" s="532"/>
    </row>
    <row r="16295" spans="1:1">
      <c r="A16295" s="532"/>
    </row>
    <row r="16296" spans="1:1">
      <c r="A16296" s="532"/>
    </row>
    <row r="16297" spans="1:1">
      <c r="A16297" s="532"/>
    </row>
    <row r="16298" spans="1:1">
      <c r="A16298" s="532"/>
    </row>
    <row r="16299" spans="1:1">
      <c r="A16299" s="532"/>
    </row>
    <row r="16300" spans="1:1">
      <c r="A16300" s="532"/>
    </row>
    <row r="16301" spans="1:1">
      <c r="A16301" s="532"/>
    </row>
    <row r="16302" spans="1:1">
      <c r="A16302" s="532"/>
    </row>
    <row r="16303" spans="1:1">
      <c r="A16303" s="532"/>
    </row>
    <row r="16304" spans="1:1">
      <c r="A16304" s="532"/>
    </row>
    <row r="16305" spans="1:1">
      <c r="A16305" s="532"/>
    </row>
  </sheetData>
  <sheetProtection algorithmName="SHA-512" hashValue="jbtzFTCpROrgM0b+2kEsskUSpEY1l5XbMH7KICse+sLHa0Ty0ncaxSujhoNM1JOs4FmHtQnN1ajZxsKTob2viw==" saltValue="94aqBU53/5u1UoPvPZBn9g==" spinCount="100000" sheet="1" objects="1" scenarios="1" formatColumns="0" formatRows="0" autoFilter="0"/>
  <autoFilter ref="A1:EP1403"/>
  <sortState ref="CP4:CP51">
    <sortCondition ref="CP51"/>
  </sortState>
  <customSheetViews>
    <customSheetView guid="{3769259D-9653-4B34-A2F6-4FB6F9F4E533}" scale="70" showGridLines="0" showAutoFilter="1" topLeftCell="AA12">
      <selection activeCell="AD4" sqref="AD4:AD12"/>
      <pageMargins left="0.7" right="0.7" top="0.75" bottom="0.75" header="0.3" footer="0.3"/>
      <pageSetup paperSize="9" orientation="portrait" horizontalDpi="0" verticalDpi="0" r:id="rId1"/>
      <autoFilter ref="B1:CE1"/>
    </customSheetView>
    <customSheetView guid="{40D7A2BB-326C-4ED3-999C-17852F56D6F4}" scale="70" showGridLines="0" showAutoFilter="1" topLeftCell="H158">
      <selection activeCell="H163" sqref="H163"/>
      <pageMargins left="0.7" right="0.7" top="0.75" bottom="0.75" header="0.3" footer="0.3"/>
      <autoFilter ref="B1:CE1"/>
    </customSheetView>
    <customSheetView guid="{5D121940-0CE8-4A0E-A493-67FAAA6E0FF8}" scale="70" showGridLines="0" showAutoFilter="1" topLeftCell="A158">
      <selection activeCell="H163" sqref="H163"/>
      <pageMargins left="0.7" right="0.7" top="0.75" bottom="0.75" header="0.3" footer="0.3"/>
      <autoFilter ref="B1:CD1"/>
    </customSheetView>
    <customSheetView guid="{47AEACC4-6EA5-412C-AF39-A6C5357B313A}" scale="85" showGridLines="0" showAutoFilter="1" topLeftCell="BF7">
      <selection activeCell="BI11" sqref="BI11"/>
      <pageMargins left="0.7" right="0.7" top="0.75" bottom="0.75" header="0.3" footer="0.3"/>
      <autoFilter ref="B1:CD1"/>
    </customSheetView>
    <customSheetView guid="{C913A9E8-661B-40A4-A3C9-1BC5F2B2E9F0}" scale="70" showGridLines="0" showAutoFilter="1" topLeftCell="H158">
      <selection activeCell="H163" sqref="H163"/>
      <pageMargins left="0.7" right="0.7" top="0.75" bottom="0.75" header="0.3" footer="0.3"/>
      <autoFilter ref="B1:CD1"/>
    </customSheetView>
  </customSheetViews>
  <phoneticPr fontId="0" type="noConversion"/>
  <conditionalFormatting sqref="CH2:CH3">
    <cfRule type="duplicateValues" dxfId="535" priority="625"/>
  </conditionalFormatting>
  <conditionalFormatting sqref="CI3">
    <cfRule type="duplicateValues" dxfId="534" priority="624"/>
  </conditionalFormatting>
  <conditionalFormatting sqref="CI2">
    <cfRule type="duplicateValues" dxfId="533" priority="623"/>
  </conditionalFormatting>
  <conditionalFormatting sqref="AJ3">
    <cfRule type="duplicateValues" dxfId="532" priority="622"/>
  </conditionalFormatting>
  <conditionalFormatting sqref="CJ3:CL3">
    <cfRule type="duplicateValues" dxfId="531" priority="620"/>
  </conditionalFormatting>
  <conditionalFormatting sqref="CJ2:CL2">
    <cfRule type="duplicateValues" dxfId="530" priority="617"/>
  </conditionalFormatting>
  <conditionalFormatting sqref="CM2">
    <cfRule type="duplicateValues" dxfId="529" priority="609"/>
  </conditionalFormatting>
  <conditionalFormatting sqref="CM1 CM3">
    <cfRule type="duplicateValues" dxfId="528" priority="606"/>
  </conditionalFormatting>
  <conditionalFormatting sqref="CN3">
    <cfRule type="duplicateValues" dxfId="527" priority="594"/>
  </conditionalFormatting>
  <conditionalFormatting sqref="CN2">
    <cfRule type="duplicateValues" dxfId="526" priority="593"/>
  </conditionalFormatting>
  <conditionalFormatting sqref="CO2">
    <cfRule type="duplicateValues" dxfId="525" priority="592"/>
  </conditionalFormatting>
  <conditionalFormatting sqref="CO1 CO3">
    <cfRule type="duplicateValues" dxfId="524" priority="591"/>
  </conditionalFormatting>
  <conditionalFormatting sqref="CQ3">
    <cfRule type="duplicateValues" dxfId="523" priority="590"/>
  </conditionalFormatting>
  <conditionalFormatting sqref="CQ2">
    <cfRule type="duplicateValues" dxfId="522" priority="588"/>
  </conditionalFormatting>
  <conditionalFormatting sqref="CQ1 CQ3">
    <cfRule type="duplicateValues" dxfId="521" priority="587"/>
  </conditionalFormatting>
  <conditionalFormatting sqref="CS3">
    <cfRule type="duplicateValues" dxfId="520" priority="586"/>
  </conditionalFormatting>
  <conditionalFormatting sqref="CT3">
    <cfRule type="duplicateValues" dxfId="519" priority="572"/>
  </conditionalFormatting>
  <conditionalFormatting sqref="CX3">
    <cfRule type="duplicateValues" dxfId="518" priority="570"/>
  </conditionalFormatting>
  <conditionalFormatting sqref="CZ3">
    <cfRule type="duplicateValues" dxfId="517" priority="568"/>
  </conditionalFormatting>
  <conditionalFormatting sqref="AZ1:AZ1389 AZ1391:AZ1426 AZ1540:AZ1048576">
    <cfRule type="duplicateValues" dxfId="516" priority="1255"/>
  </conditionalFormatting>
  <conditionalFormatting sqref="AK3">
    <cfRule type="duplicateValues" dxfId="515" priority="562"/>
  </conditionalFormatting>
  <conditionalFormatting sqref="AK3">
    <cfRule type="duplicateValues" dxfId="514" priority="563" stopIfTrue="1"/>
  </conditionalFormatting>
  <conditionalFormatting sqref="BJ2">
    <cfRule type="duplicateValues" dxfId="513" priority="561"/>
  </conditionalFormatting>
  <conditionalFormatting sqref="BJ2">
    <cfRule type="duplicateValues" dxfId="512" priority="560"/>
  </conditionalFormatting>
  <conditionalFormatting sqref="BH1540:BH1048576 BH1:BH3">
    <cfRule type="duplicateValues" dxfId="511" priority="557"/>
  </conditionalFormatting>
  <conditionalFormatting sqref="BU3:BV3">
    <cfRule type="duplicateValues" dxfId="510" priority="553"/>
  </conditionalFormatting>
  <conditionalFormatting sqref="BU3:BV3">
    <cfRule type="duplicateValues" dxfId="509" priority="554" stopIfTrue="1"/>
  </conditionalFormatting>
  <conditionalFormatting sqref="BH1:BH3">
    <cfRule type="duplicateValues" dxfId="508" priority="1278"/>
  </conditionalFormatting>
  <conditionalFormatting sqref="AN3:AO3">
    <cfRule type="duplicateValues" dxfId="507" priority="531"/>
  </conditionalFormatting>
  <conditionalFormatting sqref="AN3:AO3">
    <cfRule type="duplicateValues" dxfId="506" priority="532" stopIfTrue="1"/>
  </conditionalFormatting>
  <conditionalFormatting sqref="L3:M3">
    <cfRule type="duplicateValues" dxfId="505" priority="529"/>
  </conditionalFormatting>
  <conditionalFormatting sqref="L3:M3">
    <cfRule type="duplicateValues" dxfId="504" priority="530" stopIfTrue="1"/>
  </conditionalFormatting>
  <conditionalFormatting sqref="H3:K3">
    <cfRule type="duplicateValues" dxfId="503" priority="527"/>
  </conditionalFormatting>
  <conditionalFormatting sqref="H3:K3">
    <cfRule type="duplicateValues" dxfId="502" priority="528" stopIfTrue="1"/>
  </conditionalFormatting>
  <conditionalFormatting sqref="AR816:AR1397 AR1:AR3 AR1399:AR1432 AR1546:AR1048576">
    <cfRule type="duplicateValues" dxfId="501" priority="526"/>
  </conditionalFormatting>
  <conditionalFormatting sqref="AR816:AR1397 AR1399:AR1432 AR1546:AR1048576">
    <cfRule type="duplicateValues" dxfId="500" priority="521"/>
  </conditionalFormatting>
  <conditionalFormatting sqref="AE3">
    <cfRule type="duplicateValues" dxfId="499" priority="508"/>
  </conditionalFormatting>
  <conditionalFormatting sqref="AE3">
    <cfRule type="duplicateValues" dxfId="498" priority="509" stopIfTrue="1"/>
  </conditionalFormatting>
  <conditionalFormatting sqref="BO3">
    <cfRule type="duplicateValues" dxfId="497" priority="504"/>
  </conditionalFormatting>
  <conditionalFormatting sqref="BO3">
    <cfRule type="duplicateValues" dxfId="496" priority="505" stopIfTrue="1"/>
  </conditionalFormatting>
  <conditionalFormatting sqref="DB3">
    <cfRule type="duplicateValues" dxfId="495" priority="502"/>
  </conditionalFormatting>
  <conditionalFormatting sqref="DB3">
    <cfRule type="duplicateValues" dxfId="494" priority="503" stopIfTrue="1"/>
  </conditionalFormatting>
  <conditionalFormatting sqref="DC3:DD3">
    <cfRule type="duplicateValues" dxfId="493" priority="500"/>
  </conditionalFormatting>
  <conditionalFormatting sqref="DC3:DD3">
    <cfRule type="duplicateValues" dxfId="492" priority="501" stopIfTrue="1"/>
  </conditionalFormatting>
  <conditionalFormatting sqref="DG3">
    <cfRule type="duplicateValues" dxfId="491" priority="498"/>
  </conditionalFormatting>
  <conditionalFormatting sqref="DG3">
    <cfRule type="duplicateValues" dxfId="490" priority="499" stopIfTrue="1"/>
  </conditionalFormatting>
  <conditionalFormatting sqref="DE3:DF3">
    <cfRule type="duplicateValues" dxfId="489" priority="494"/>
  </conditionalFormatting>
  <conditionalFormatting sqref="DE3:DF3">
    <cfRule type="duplicateValues" dxfId="488" priority="495" stopIfTrue="1"/>
  </conditionalFormatting>
  <conditionalFormatting sqref="DI3">
    <cfRule type="duplicateValues" dxfId="487" priority="479"/>
  </conditionalFormatting>
  <conditionalFormatting sqref="BD4:BE9 BE10:BE72 BD10:BD69 BB4 BB6:BB7 BB9:BB66">
    <cfRule type="duplicateValues" dxfId="486" priority="2333"/>
  </conditionalFormatting>
  <conditionalFormatting sqref="BB5">
    <cfRule type="duplicateValues" dxfId="485" priority="446"/>
  </conditionalFormatting>
  <conditionalFormatting sqref="BC5">
    <cfRule type="duplicateValues" dxfId="484" priority="445"/>
  </conditionalFormatting>
  <conditionalFormatting sqref="BH1231:BH1237">
    <cfRule type="duplicateValues" dxfId="483" priority="405"/>
  </conditionalFormatting>
  <conditionalFormatting sqref="BH1245:BH1246">
    <cfRule type="duplicateValues" dxfId="482" priority="404"/>
  </conditionalFormatting>
  <conditionalFormatting sqref="BH1238 BH1221:BH1230">
    <cfRule type="duplicateValues" dxfId="481" priority="407"/>
  </conditionalFormatting>
  <conditionalFormatting sqref="BH1240">
    <cfRule type="duplicateValues" dxfId="480" priority="403"/>
  </conditionalFormatting>
  <conditionalFormatting sqref="BH1244">
    <cfRule type="duplicateValues" dxfId="479" priority="402"/>
  </conditionalFormatting>
  <conditionalFormatting sqref="BH1241:BH1242 BH1239">
    <cfRule type="duplicateValues" dxfId="478" priority="408"/>
  </conditionalFormatting>
  <conditionalFormatting sqref="BH277">
    <cfRule type="duplicateValues" dxfId="477" priority="399"/>
  </conditionalFormatting>
  <conditionalFormatting sqref="BI277">
    <cfRule type="duplicateValues" dxfId="476" priority="400"/>
  </conditionalFormatting>
  <conditionalFormatting sqref="BI277">
    <cfRule type="duplicateValues" dxfId="475" priority="401"/>
  </conditionalFormatting>
  <conditionalFormatting sqref="BH642">
    <cfRule type="duplicateValues" dxfId="474" priority="396"/>
  </conditionalFormatting>
  <conditionalFormatting sqref="BI642">
    <cfRule type="duplicateValues" dxfId="473" priority="397"/>
  </conditionalFormatting>
  <conditionalFormatting sqref="BI642">
    <cfRule type="duplicateValues" dxfId="472" priority="398"/>
  </conditionalFormatting>
  <conditionalFormatting sqref="BH915">
    <cfRule type="duplicateValues" dxfId="471" priority="393"/>
  </conditionalFormatting>
  <conditionalFormatting sqref="BI915">
    <cfRule type="duplicateValues" dxfId="470" priority="394"/>
  </conditionalFormatting>
  <conditionalFormatting sqref="BI915">
    <cfRule type="duplicateValues" dxfId="469" priority="395"/>
  </conditionalFormatting>
  <conditionalFormatting sqref="BH341">
    <cfRule type="duplicateValues" dxfId="468" priority="390"/>
  </conditionalFormatting>
  <conditionalFormatting sqref="BI341">
    <cfRule type="duplicateValues" dxfId="467" priority="391"/>
  </conditionalFormatting>
  <conditionalFormatting sqref="BI341">
    <cfRule type="duplicateValues" dxfId="466" priority="392"/>
  </conditionalFormatting>
  <conditionalFormatting sqref="BH1197">
    <cfRule type="duplicateValues" dxfId="465" priority="389"/>
  </conditionalFormatting>
  <conditionalFormatting sqref="BH1199">
    <cfRule type="duplicateValues" dxfId="464" priority="388"/>
  </conditionalFormatting>
  <conditionalFormatting sqref="BH1200">
    <cfRule type="duplicateValues" dxfId="463" priority="387"/>
  </conditionalFormatting>
  <conditionalFormatting sqref="BH1202">
    <cfRule type="duplicateValues" dxfId="462" priority="386"/>
  </conditionalFormatting>
  <conditionalFormatting sqref="BH1201">
    <cfRule type="duplicateValues" dxfId="461" priority="385"/>
  </conditionalFormatting>
  <conditionalFormatting sqref="BH1203">
    <cfRule type="duplicateValues" dxfId="460" priority="384"/>
  </conditionalFormatting>
  <conditionalFormatting sqref="BH1204">
    <cfRule type="duplicateValues" dxfId="459" priority="383"/>
  </conditionalFormatting>
  <conditionalFormatting sqref="BH1205">
    <cfRule type="duplicateValues" dxfId="458" priority="382"/>
  </conditionalFormatting>
  <conditionalFormatting sqref="BH1206">
    <cfRule type="duplicateValues" dxfId="457" priority="381"/>
  </conditionalFormatting>
  <conditionalFormatting sqref="BH1207">
    <cfRule type="duplicateValues" dxfId="456" priority="380"/>
  </conditionalFormatting>
  <conditionalFormatting sqref="BH1208">
    <cfRule type="duplicateValues" dxfId="455" priority="379"/>
  </conditionalFormatting>
  <conditionalFormatting sqref="BH1209">
    <cfRule type="duplicateValues" dxfId="454" priority="378"/>
  </conditionalFormatting>
  <conditionalFormatting sqref="BH1210">
    <cfRule type="duplicateValues" dxfId="453" priority="377"/>
  </conditionalFormatting>
  <conditionalFormatting sqref="BH1211">
    <cfRule type="duplicateValues" dxfId="452" priority="376"/>
  </conditionalFormatting>
  <conditionalFormatting sqref="BH1212">
    <cfRule type="duplicateValues" dxfId="451" priority="375"/>
  </conditionalFormatting>
  <conditionalFormatting sqref="BH1213">
    <cfRule type="duplicateValues" dxfId="450" priority="374"/>
  </conditionalFormatting>
  <conditionalFormatting sqref="BH1214">
    <cfRule type="duplicateValues" dxfId="449" priority="373"/>
  </conditionalFormatting>
  <conditionalFormatting sqref="BH1243">
    <cfRule type="duplicateValues" dxfId="448" priority="372"/>
  </conditionalFormatting>
  <conditionalFormatting sqref="BH1198">
    <cfRule type="duplicateValues" dxfId="447" priority="371"/>
  </conditionalFormatting>
  <conditionalFormatting sqref="BI1198:BJ1198">
    <cfRule type="duplicateValues" dxfId="446" priority="369"/>
  </conditionalFormatting>
  <conditionalFormatting sqref="BI1198:BJ1198">
    <cfRule type="duplicateValues" dxfId="445" priority="370"/>
  </conditionalFormatting>
  <conditionalFormatting sqref="BI1248:BI1280">
    <cfRule type="duplicateValues" dxfId="444" priority="368"/>
  </conditionalFormatting>
  <conditionalFormatting sqref="BI1281:BI1290">
    <cfRule type="duplicateValues" dxfId="443" priority="367"/>
  </conditionalFormatting>
  <conditionalFormatting sqref="BI1291">
    <cfRule type="duplicateValues" dxfId="442" priority="366"/>
  </conditionalFormatting>
  <conditionalFormatting sqref="BI1292">
    <cfRule type="duplicateValues" dxfId="441" priority="365"/>
  </conditionalFormatting>
  <conditionalFormatting sqref="BI1293:BI1294">
    <cfRule type="duplicateValues" dxfId="440" priority="364"/>
  </conditionalFormatting>
  <conditionalFormatting sqref="BI1295">
    <cfRule type="duplicateValues" dxfId="439" priority="363"/>
  </conditionalFormatting>
  <conditionalFormatting sqref="DT3">
    <cfRule type="duplicateValues" dxfId="438" priority="361"/>
  </conditionalFormatting>
  <conditionalFormatting sqref="DM9">
    <cfRule type="duplicateValues" dxfId="437" priority="339"/>
  </conditionalFormatting>
  <conditionalFormatting sqref="DM9">
    <cfRule type="duplicateValues" dxfId="436" priority="340" stopIfTrue="1"/>
  </conditionalFormatting>
  <conditionalFormatting sqref="DY3">
    <cfRule type="duplicateValues" dxfId="435" priority="298"/>
  </conditionalFormatting>
  <conditionalFormatting sqref="DW3">
    <cfRule type="duplicateValues" dxfId="434" priority="6051"/>
  </conditionalFormatting>
  <conditionalFormatting sqref="CA3">
    <cfRule type="duplicateValues" dxfId="433" priority="296"/>
  </conditionalFormatting>
  <conditionalFormatting sqref="CA3">
    <cfRule type="duplicateValues" dxfId="432" priority="297" stopIfTrue="1"/>
  </conditionalFormatting>
  <conditionalFormatting sqref="BJ1269:BJ1271">
    <cfRule type="duplicateValues" dxfId="431" priority="295"/>
  </conditionalFormatting>
  <conditionalFormatting sqref="BI1296:BI1297">
    <cfRule type="duplicateValues" dxfId="430" priority="287"/>
    <cfRule type="duplicateValues" dxfId="429" priority="288"/>
  </conditionalFormatting>
  <conditionalFormatting sqref="BH1296:BH1297">
    <cfRule type="duplicateValues" dxfId="428" priority="289"/>
    <cfRule type="duplicateValues" dxfId="427" priority="290"/>
  </conditionalFormatting>
  <conditionalFormatting sqref="BJ1296:BJ1297">
    <cfRule type="duplicateValues" dxfId="426" priority="291"/>
  </conditionalFormatting>
  <conditionalFormatting sqref="BI1298:BI1372">
    <cfRule type="duplicateValues" dxfId="425" priority="282"/>
    <cfRule type="duplicateValues" dxfId="424" priority="283"/>
  </conditionalFormatting>
  <conditionalFormatting sqref="BH1298:BH1372">
    <cfRule type="duplicateValues" dxfId="423" priority="284"/>
    <cfRule type="duplicateValues" dxfId="422" priority="285"/>
  </conditionalFormatting>
  <conditionalFormatting sqref="BJ1298:BJ1372">
    <cfRule type="duplicateValues" dxfId="421" priority="286"/>
  </conditionalFormatting>
  <conditionalFormatting sqref="BI1373:BI1385">
    <cfRule type="duplicateValues" dxfId="420" priority="229"/>
    <cfRule type="duplicateValues" dxfId="419" priority="230"/>
  </conditionalFormatting>
  <conditionalFormatting sqref="BH1385 BH1377:BH1378">
    <cfRule type="duplicateValues" dxfId="418" priority="231"/>
    <cfRule type="duplicateValues" dxfId="417" priority="232"/>
  </conditionalFormatting>
  <conditionalFormatting sqref="BJ1373:BJ1385">
    <cfRule type="duplicateValues" dxfId="416" priority="233"/>
  </conditionalFormatting>
  <conditionalFormatting sqref="BI10">
    <cfRule type="duplicateValues" dxfId="415" priority="223"/>
  </conditionalFormatting>
  <conditionalFormatting sqref="BI10">
    <cfRule type="duplicateValues" dxfId="414" priority="224"/>
  </conditionalFormatting>
  <conditionalFormatting sqref="BI10">
    <cfRule type="duplicateValues" dxfId="413" priority="225"/>
  </conditionalFormatting>
  <conditionalFormatting sqref="BI1386">
    <cfRule type="duplicateValues" dxfId="412" priority="214"/>
  </conditionalFormatting>
  <conditionalFormatting sqref="BI1386">
    <cfRule type="duplicateValues" dxfId="411" priority="215"/>
  </conditionalFormatting>
  <conditionalFormatting sqref="BH1386">
    <cfRule type="duplicateValues" dxfId="410" priority="216"/>
  </conditionalFormatting>
  <conditionalFormatting sqref="BI1386">
    <cfRule type="duplicateValues" dxfId="409" priority="217"/>
  </conditionalFormatting>
  <conditionalFormatting sqref="BI1386">
    <cfRule type="duplicateValues" dxfId="408" priority="218"/>
  </conditionalFormatting>
  <conditionalFormatting sqref="BI1386">
    <cfRule type="duplicateValues" dxfId="407" priority="219"/>
  </conditionalFormatting>
  <conditionalFormatting sqref="BI1386">
    <cfRule type="duplicateValues" dxfId="406" priority="220"/>
  </conditionalFormatting>
  <conditionalFormatting sqref="BI1386">
    <cfRule type="duplicateValues" dxfId="405" priority="221"/>
  </conditionalFormatting>
  <conditionalFormatting sqref="BI1386">
    <cfRule type="duplicateValues" dxfId="404" priority="213"/>
  </conditionalFormatting>
  <conditionalFormatting sqref="BH1255:BH1256">
    <cfRule type="duplicateValues" dxfId="403" priority="211"/>
  </conditionalFormatting>
  <conditionalFormatting sqref="BH1255:BH1256">
    <cfRule type="duplicateValues" dxfId="402" priority="212"/>
  </conditionalFormatting>
  <conditionalFormatting sqref="BH1373:BH1376">
    <cfRule type="duplicateValues" dxfId="401" priority="209"/>
    <cfRule type="duplicateValues" dxfId="400" priority="210"/>
  </conditionalFormatting>
  <conditionalFormatting sqref="BH1384">
    <cfRule type="duplicateValues" dxfId="399" priority="207"/>
    <cfRule type="duplicateValues" dxfId="398" priority="208"/>
  </conditionalFormatting>
  <conditionalFormatting sqref="BH1379:BH1381">
    <cfRule type="duplicateValues" dxfId="397" priority="205"/>
    <cfRule type="duplicateValues" dxfId="396" priority="206"/>
  </conditionalFormatting>
  <conditionalFormatting sqref="BH1383">
    <cfRule type="duplicateValues" dxfId="395" priority="203"/>
    <cfRule type="duplicateValues" dxfId="394" priority="204"/>
  </conditionalFormatting>
  <conditionalFormatting sqref="AU3 AW3:AY3">
    <cfRule type="duplicateValues" dxfId="393" priority="200"/>
  </conditionalFormatting>
  <conditionalFormatting sqref="AU3 AW3:AY3">
    <cfRule type="duplicateValues" dxfId="392" priority="201" stopIfTrue="1"/>
  </conditionalFormatting>
  <conditionalFormatting sqref="AV3">
    <cfRule type="duplicateValues" dxfId="391" priority="198"/>
  </conditionalFormatting>
  <conditionalFormatting sqref="AV3">
    <cfRule type="duplicateValues" dxfId="390" priority="199" stopIfTrue="1"/>
  </conditionalFormatting>
  <conditionalFormatting sqref="AY76">
    <cfRule type="duplicateValues" dxfId="389" priority="197" stopIfTrue="1"/>
  </conditionalFormatting>
  <conditionalFormatting sqref="AY13:AY19">
    <cfRule type="duplicateValues" dxfId="388" priority="196" stopIfTrue="1"/>
  </conditionalFormatting>
  <conditionalFormatting sqref="AY29:AY35">
    <cfRule type="duplicateValues" dxfId="387" priority="195" stopIfTrue="1"/>
  </conditionalFormatting>
  <conditionalFormatting sqref="AY45:AY51">
    <cfRule type="duplicateValues" dxfId="386" priority="194" stopIfTrue="1"/>
  </conditionalFormatting>
  <conditionalFormatting sqref="AY61:AY67">
    <cfRule type="duplicateValues" dxfId="385" priority="193" stopIfTrue="1"/>
  </conditionalFormatting>
  <conditionalFormatting sqref="AY84:AY90">
    <cfRule type="duplicateValues" dxfId="384" priority="192" stopIfTrue="1"/>
  </conditionalFormatting>
  <conditionalFormatting sqref="AY100:AY106">
    <cfRule type="duplicateValues" dxfId="383" priority="191" stopIfTrue="1"/>
  </conditionalFormatting>
  <conditionalFormatting sqref="AY116:AY122">
    <cfRule type="duplicateValues" dxfId="382" priority="190" stopIfTrue="1"/>
  </conditionalFormatting>
  <conditionalFormatting sqref="AY131:AY137">
    <cfRule type="duplicateValues" dxfId="381" priority="189" stopIfTrue="1"/>
  </conditionalFormatting>
  <conditionalFormatting sqref="AY145:AY151">
    <cfRule type="duplicateValues" dxfId="380" priority="188" stopIfTrue="1"/>
  </conditionalFormatting>
  <conditionalFormatting sqref="BH1247 BH1215:BH1220 BH643:BH914 BH916:BH1195 BH4:BH276 BH342:BH641 BH278:BH340">
    <cfRule type="duplicateValues" dxfId="379" priority="7378"/>
  </conditionalFormatting>
  <conditionalFormatting sqref="BI916:BI1089 BI643:BI914 BI4:BI9 BI11:BI276 BI342:BI641 BI278:BI340">
    <cfRule type="duplicateValues" dxfId="378" priority="7387"/>
  </conditionalFormatting>
  <conditionalFormatting sqref="BI916:BI1164 BI643:BI914 BI4:BI9 BI11:BI276 BI342:BI641 BI278:BI340">
    <cfRule type="duplicateValues" dxfId="377" priority="7395"/>
  </conditionalFormatting>
  <conditionalFormatting sqref="BH1257:BH1295 BH1540:BH1048576 BH1:BH1254">
    <cfRule type="duplicateValues" dxfId="376" priority="7403"/>
  </conditionalFormatting>
  <conditionalFormatting sqref="BI1540:BI1048576 BI1:BI9 BI11:BI1295">
    <cfRule type="duplicateValues" dxfId="375" priority="7408"/>
  </conditionalFormatting>
  <conditionalFormatting sqref="BJ1272:BJ1295 BJ1540:BJ1048576 BJ1:BJ1268">
    <cfRule type="duplicateValues" dxfId="374" priority="7413"/>
  </conditionalFormatting>
  <conditionalFormatting sqref="BJ1540:BJ1048576 BJ1:BJ1385">
    <cfRule type="duplicateValues" dxfId="373" priority="7418"/>
  </conditionalFormatting>
  <conditionalFormatting sqref="BI1388">
    <cfRule type="duplicateValues" dxfId="372" priority="167"/>
  </conditionalFormatting>
  <conditionalFormatting sqref="BI1388">
    <cfRule type="duplicateValues" dxfId="371" priority="166"/>
  </conditionalFormatting>
  <conditionalFormatting sqref="BH1388">
    <cfRule type="duplicateValues" dxfId="370" priority="168"/>
    <cfRule type="duplicateValues" dxfId="369" priority="169"/>
  </conditionalFormatting>
  <conditionalFormatting sqref="BJ1388">
    <cfRule type="duplicateValues" dxfId="368" priority="170"/>
  </conditionalFormatting>
  <conditionalFormatting sqref="BH1388">
    <cfRule type="duplicateValues" dxfId="367" priority="171"/>
  </conditionalFormatting>
  <conditionalFormatting sqref="BI1388">
    <cfRule type="duplicateValues" dxfId="366" priority="172"/>
  </conditionalFormatting>
  <conditionalFormatting sqref="BI1388">
    <cfRule type="duplicateValues" dxfId="365" priority="173"/>
  </conditionalFormatting>
  <conditionalFormatting sqref="BI1388">
    <cfRule type="duplicateValues" dxfId="364" priority="174"/>
  </conditionalFormatting>
  <conditionalFormatting sqref="BI1388">
    <cfRule type="duplicateValues" dxfId="363" priority="175"/>
  </conditionalFormatting>
  <conditionalFormatting sqref="BI1388">
    <cfRule type="duplicateValues" dxfId="362" priority="176"/>
  </conditionalFormatting>
  <conditionalFormatting sqref="BI1388">
    <cfRule type="duplicateValues" dxfId="361" priority="177"/>
    <cfRule type="duplicateValues" dxfId="360" priority="178"/>
  </conditionalFormatting>
  <conditionalFormatting sqref="BH1387">
    <cfRule type="duplicateValues" dxfId="359" priority="164"/>
    <cfRule type="duplicateValues" dxfId="358" priority="165"/>
  </conditionalFormatting>
  <conditionalFormatting sqref="DZ3">
    <cfRule type="duplicateValues" dxfId="357" priority="163"/>
  </conditionalFormatting>
  <conditionalFormatting sqref="EB3">
    <cfRule type="duplicateValues" dxfId="356" priority="161"/>
  </conditionalFormatting>
  <conditionalFormatting sqref="EB3">
    <cfRule type="duplicateValues" dxfId="355" priority="162" stopIfTrue="1"/>
  </conditionalFormatting>
  <conditionalFormatting sqref="EC3">
    <cfRule type="duplicateValues" dxfId="354" priority="159"/>
  </conditionalFormatting>
  <conditionalFormatting sqref="EC3">
    <cfRule type="duplicateValues" dxfId="353" priority="160" stopIfTrue="1"/>
  </conditionalFormatting>
  <conditionalFormatting sqref="EE3">
    <cfRule type="duplicateValues" dxfId="352" priority="157"/>
  </conditionalFormatting>
  <conditionalFormatting sqref="EE3">
    <cfRule type="duplicateValues" dxfId="351" priority="158" stopIfTrue="1"/>
  </conditionalFormatting>
  <conditionalFormatting sqref="EG3">
    <cfRule type="duplicateValues" dxfId="350" priority="155"/>
  </conditionalFormatting>
  <conditionalFormatting sqref="EG3">
    <cfRule type="duplicateValues" dxfId="349" priority="156" stopIfTrue="1"/>
  </conditionalFormatting>
  <conditionalFormatting sqref="EI2:EI3">
    <cfRule type="duplicateValues" dxfId="348" priority="153"/>
  </conditionalFormatting>
  <conditionalFormatting sqref="EI2:EI3">
    <cfRule type="duplicateValues" dxfId="347" priority="154" stopIfTrue="1"/>
  </conditionalFormatting>
  <conditionalFormatting sqref="DT83:DT92 DU11:DV66 DU8:DU10 DT95:DT99">
    <cfRule type="duplicateValues" dxfId="346" priority="11863"/>
  </conditionalFormatting>
  <conditionalFormatting sqref="DT93:DT94">
    <cfRule type="duplicateValues" dxfId="345" priority="152"/>
  </conditionalFormatting>
  <conditionalFormatting sqref="AX4:AX67 AX69:AX187">
    <cfRule type="duplicateValues" dxfId="344" priority="12075" stopIfTrue="1"/>
  </conditionalFormatting>
  <conditionalFormatting sqref="EK2:EK3">
    <cfRule type="duplicateValues" dxfId="343" priority="150"/>
  </conditionalFormatting>
  <conditionalFormatting sqref="EK2:EK3">
    <cfRule type="duplicateValues" dxfId="342" priority="151" stopIfTrue="1"/>
  </conditionalFormatting>
  <conditionalFormatting sqref="EN3">
    <cfRule type="duplicateValues" dxfId="341" priority="148"/>
  </conditionalFormatting>
  <conditionalFormatting sqref="EN3">
    <cfRule type="duplicateValues" dxfId="340" priority="149" stopIfTrue="1"/>
  </conditionalFormatting>
  <conditionalFormatting sqref="EP2:EP3">
    <cfRule type="duplicateValues" dxfId="339" priority="146"/>
  </conditionalFormatting>
  <conditionalFormatting sqref="EP2:EP3">
    <cfRule type="duplicateValues" dxfId="338" priority="147" stopIfTrue="1"/>
  </conditionalFormatting>
  <conditionalFormatting sqref="EJ3 DX3 DH3 CJ3:CR3 A3:G3 CU3:CW3 AL3:AM3 CY3 DA3 BW3:BZ3 AP3:AT3 N3:AD3 AF3:AI3 BP3:BT3 DJ3:DN3 AZ3:BN3 EA3 CB3:CG3 ED3 EF3 EH3 EL3:EM3 EO3 EQ3:IH3">
    <cfRule type="duplicateValues" dxfId="337" priority="12076"/>
  </conditionalFormatting>
  <conditionalFormatting sqref="EJ3 DX3 DH3 CU3:CW3 A3:G3 CY3 DA3 AL3:AM3 BW3:BZ3 AP3:AT3 N3:AD3 AF3:AJ3 BP3:BT3 DJ3:DN3 AZ3:BN3 EA3 CB3:CR3 ED3 EF3 EH3 EL3:EM3 EO3 EQ3:IH3">
    <cfRule type="duplicateValues" dxfId="336" priority="12100" stopIfTrue="1"/>
  </conditionalFormatting>
  <conditionalFormatting sqref="BI1391:BI1420">
    <cfRule type="duplicateValues" dxfId="335" priority="133"/>
    <cfRule type="duplicateValues" dxfId="334" priority="134"/>
  </conditionalFormatting>
  <conditionalFormatting sqref="BH1391:BH1420">
    <cfRule type="duplicateValues" dxfId="333" priority="135"/>
    <cfRule type="duplicateValues" dxfId="332" priority="136"/>
  </conditionalFormatting>
  <conditionalFormatting sqref="BJ1391:BJ1420">
    <cfRule type="duplicateValues" dxfId="331" priority="137"/>
  </conditionalFormatting>
  <conditionalFormatting sqref="BJ1391:BJ1420">
    <cfRule type="duplicateValues" dxfId="330" priority="138"/>
  </conditionalFormatting>
  <conditionalFormatting sqref="BH1391:BH1420">
    <cfRule type="duplicateValues" dxfId="329" priority="139"/>
  </conditionalFormatting>
  <conditionalFormatting sqref="AZ1390">
    <cfRule type="duplicateValues" dxfId="328" priority="129"/>
  </conditionalFormatting>
  <conditionalFormatting sqref="AR1398">
    <cfRule type="duplicateValues" dxfId="327" priority="128"/>
  </conditionalFormatting>
  <conditionalFormatting sqref="AR1398">
    <cfRule type="duplicateValues" dxfId="326" priority="127"/>
  </conditionalFormatting>
  <conditionalFormatting sqref="BI1390">
    <cfRule type="duplicateValues" dxfId="325" priority="115"/>
  </conditionalFormatting>
  <conditionalFormatting sqref="BI1390">
    <cfRule type="duplicateValues" dxfId="324" priority="114"/>
  </conditionalFormatting>
  <conditionalFormatting sqref="BH1390">
    <cfRule type="duplicateValues" dxfId="323" priority="116"/>
    <cfRule type="duplicateValues" dxfId="322" priority="117"/>
  </conditionalFormatting>
  <conditionalFormatting sqref="BJ1390">
    <cfRule type="duplicateValues" dxfId="321" priority="118"/>
  </conditionalFormatting>
  <conditionalFormatting sqref="BH1390">
    <cfRule type="duplicateValues" dxfId="320" priority="119"/>
  </conditionalFormatting>
  <conditionalFormatting sqref="BI1390">
    <cfRule type="duplicateValues" dxfId="319" priority="120"/>
  </conditionalFormatting>
  <conditionalFormatting sqref="BI1390">
    <cfRule type="duplicateValues" dxfId="318" priority="121"/>
  </conditionalFormatting>
  <conditionalFormatting sqref="BI1390">
    <cfRule type="duplicateValues" dxfId="317" priority="122"/>
  </conditionalFormatting>
  <conditionalFormatting sqref="BI1390">
    <cfRule type="duplicateValues" dxfId="316" priority="123"/>
  </conditionalFormatting>
  <conditionalFormatting sqref="BI1390">
    <cfRule type="duplicateValues" dxfId="315" priority="124"/>
  </conditionalFormatting>
  <conditionalFormatting sqref="BI1390">
    <cfRule type="duplicateValues" dxfId="314" priority="125"/>
    <cfRule type="duplicateValues" dxfId="313" priority="126"/>
  </conditionalFormatting>
  <conditionalFormatting sqref="BI1421:BI1425">
    <cfRule type="duplicateValues" dxfId="312" priority="55"/>
    <cfRule type="duplicateValues" dxfId="311" priority="56"/>
  </conditionalFormatting>
  <conditionalFormatting sqref="BH1421:BH1425">
    <cfRule type="duplicateValues" dxfId="310" priority="57"/>
    <cfRule type="duplicateValues" dxfId="309" priority="58"/>
  </conditionalFormatting>
  <conditionalFormatting sqref="BJ1421:BJ1425">
    <cfRule type="duplicateValues" dxfId="308" priority="59"/>
  </conditionalFormatting>
  <conditionalFormatting sqref="BJ1421:BJ1425">
    <cfRule type="duplicateValues" dxfId="307" priority="60"/>
  </conditionalFormatting>
  <conditionalFormatting sqref="BH1421:BH1425">
    <cfRule type="duplicateValues" dxfId="306" priority="61"/>
  </conditionalFormatting>
  <conditionalFormatting sqref="BI1426">
    <cfRule type="duplicateValues" dxfId="305" priority="38"/>
    <cfRule type="duplicateValues" dxfId="304" priority="39"/>
  </conditionalFormatting>
  <conditionalFormatting sqref="BH1426">
    <cfRule type="duplicateValues" dxfId="303" priority="40"/>
    <cfRule type="duplicateValues" dxfId="302" priority="41"/>
  </conditionalFormatting>
  <conditionalFormatting sqref="BJ1426">
    <cfRule type="duplicateValues" dxfId="301" priority="42"/>
  </conditionalFormatting>
  <conditionalFormatting sqref="BJ1426">
    <cfRule type="duplicateValues" dxfId="300" priority="43"/>
  </conditionalFormatting>
  <conditionalFormatting sqref="BH1426">
    <cfRule type="duplicateValues" dxfId="299" priority="44"/>
  </conditionalFormatting>
  <conditionalFormatting sqref="AZ1427:AZ1476">
    <cfRule type="duplicateValues" dxfId="298" priority="37"/>
  </conditionalFormatting>
  <conditionalFormatting sqref="AR1433:AR1476 AR1533:AR1534">
    <cfRule type="duplicateValues" dxfId="297" priority="36"/>
  </conditionalFormatting>
  <conditionalFormatting sqref="AR1433:AR1476 AR1533:AR1534">
    <cfRule type="duplicateValues" dxfId="296" priority="35"/>
  </conditionalFormatting>
  <conditionalFormatting sqref="BI1427:BI1476">
    <cfRule type="duplicateValues" dxfId="295" priority="28"/>
    <cfRule type="duplicateValues" dxfId="294" priority="29"/>
  </conditionalFormatting>
  <conditionalFormatting sqref="BH1427:BH1476">
    <cfRule type="duplicateValues" dxfId="293" priority="30"/>
    <cfRule type="duplicateValues" dxfId="292" priority="31"/>
  </conditionalFormatting>
  <conditionalFormatting sqref="BJ1427:BJ1476">
    <cfRule type="duplicateValues" dxfId="291" priority="32"/>
  </conditionalFormatting>
  <conditionalFormatting sqref="BJ1427:BJ1476">
    <cfRule type="duplicateValues" dxfId="290" priority="33"/>
  </conditionalFormatting>
  <conditionalFormatting sqref="BH1427:BH1476">
    <cfRule type="duplicateValues" dxfId="289" priority="34"/>
  </conditionalFormatting>
  <conditionalFormatting sqref="AZ1539">
    <cfRule type="duplicateValues" dxfId="288" priority="23"/>
  </conditionalFormatting>
  <conditionalFormatting sqref="BH1539">
    <cfRule type="duplicateValues" dxfId="287" priority="22"/>
  </conditionalFormatting>
  <conditionalFormatting sqref="AR1545">
    <cfRule type="duplicateValues" dxfId="286" priority="21"/>
  </conditionalFormatting>
  <conditionalFormatting sqref="AR1545">
    <cfRule type="duplicateValues" dxfId="285" priority="20"/>
  </conditionalFormatting>
  <conditionalFormatting sqref="BH1539">
    <cfRule type="duplicateValues" dxfId="284" priority="24"/>
  </conditionalFormatting>
  <conditionalFormatting sqref="BI1539">
    <cfRule type="duplicateValues" dxfId="283" priority="25"/>
  </conditionalFormatting>
  <conditionalFormatting sqref="BJ1539">
    <cfRule type="duplicateValues" dxfId="282" priority="26"/>
  </conditionalFormatting>
  <conditionalFormatting sqref="BJ1539">
    <cfRule type="duplicateValues" dxfId="281" priority="27"/>
  </conditionalFormatting>
  <conditionalFormatting sqref="AZ1533:AZ1566">
    <cfRule type="duplicateValues" dxfId="280" priority="15"/>
  </conditionalFormatting>
  <conditionalFormatting sqref="BH1533:BH1566">
    <cfRule type="duplicateValues" dxfId="279" priority="14"/>
  </conditionalFormatting>
  <conditionalFormatting sqref="AR1533:AR1572">
    <cfRule type="duplicateValues" dxfId="278" priority="13"/>
  </conditionalFormatting>
  <conditionalFormatting sqref="AR1533:AR1572">
    <cfRule type="duplicateValues" dxfId="277" priority="12"/>
  </conditionalFormatting>
  <conditionalFormatting sqref="BH1533:BH1566">
    <cfRule type="duplicateValues" dxfId="276" priority="16"/>
  </conditionalFormatting>
  <conditionalFormatting sqref="BI1533:BI1566">
    <cfRule type="duplicateValues" dxfId="275" priority="17"/>
  </conditionalFormatting>
  <conditionalFormatting sqref="BJ1533:BJ1566">
    <cfRule type="duplicateValues" dxfId="274" priority="18"/>
  </conditionalFormatting>
  <conditionalFormatting sqref="BJ1533:BJ1566">
    <cfRule type="duplicateValues" dxfId="273" priority="19"/>
  </conditionalFormatting>
  <conditionalFormatting sqref="AZ1477:AZ1532">
    <cfRule type="duplicateValues" dxfId="272" priority="10"/>
  </conditionalFormatting>
  <conditionalFormatting sqref="AR1477:AR1532">
    <cfRule type="duplicateValues" dxfId="271" priority="9"/>
  </conditionalFormatting>
  <conditionalFormatting sqref="AR1477:AR1532">
    <cfRule type="duplicateValues" dxfId="270" priority="8"/>
  </conditionalFormatting>
  <conditionalFormatting sqref="BI1477:BI1532">
    <cfRule type="duplicateValues" dxfId="269" priority="1"/>
    <cfRule type="duplicateValues" dxfId="268" priority="2"/>
  </conditionalFormatting>
  <conditionalFormatting sqref="BH1477:BH1532">
    <cfRule type="duplicateValues" dxfId="267" priority="3"/>
    <cfRule type="duplicateValues" dxfId="266" priority="4"/>
  </conditionalFormatting>
  <conditionalFormatting sqref="BJ1477:BJ1532">
    <cfRule type="duplicateValues" dxfId="265" priority="5"/>
  </conditionalFormatting>
  <conditionalFormatting sqref="BJ1477:BJ1532">
    <cfRule type="duplicateValues" dxfId="264" priority="6"/>
  </conditionalFormatting>
  <conditionalFormatting sqref="BH1477:BH1532">
    <cfRule type="duplicateValues" dxfId="263" priority="7"/>
  </conditionalFormatting>
  <hyperlinks>
    <hyperlink ref="DK25" display="01"/>
    <hyperlink ref="DK26" display="02_01"/>
    <hyperlink ref="DK28" display="03"/>
    <hyperlink ref="DK27" display="02_02"/>
    <hyperlink ref="DK30" display="05"/>
    <hyperlink ref="DK31" display="07"/>
    <hyperlink ref="DK33" display="08"/>
    <hyperlink ref="DK32" display="07_расш"/>
    <hyperlink ref="DK34" display="08_расш"/>
    <hyperlink ref="DK36" display="09"/>
    <hyperlink ref="DK37"/>
    <hyperlink ref="DK38" display="10_расш"/>
    <hyperlink ref="DK39"/>
    <hyperlink ref="DK40"/>
    <hyperlink ref="DK41"/>
    <hyperlink ref="DK42"/>
    <hyperlink ref="DK43" display="Затраты_Вход_1"/>
    <hyperlink ref="DK44" display="Затраты_Вход_2"/>
    <hyperlink ref="DK45" display="Затраты_Выход"/>
    <hyperlink ref="DK46"/>
    <hyperlink ref="DK47"/>
    <hyperlink ref="DK48" display="41_01"/>
    <hyperlink ref="DK49" display="41_02"/>
    <hyperlink ref="DK50"/>
    <hyperlink ref="DK51"/>
    <hyperlink ref="DK52" display="НЗП_ГП"/>
    <hyperlink ref="DK54"/>
    <hyperlink ref="DK55" display="Дл-ср_договор"/>
    <hyperlink ref="DK56" display="Гарантии_2"/>
    <hyperlink ref="DK57"/>
    <hyperlink ref="DK58"/>
    <hyperlink ref="DK59"/>
    <hyperlink ref="DK60"/>
    <hyperlink ref="DK61"/>
    <hyperlink ref="DK62" display="50_51_52_55_57_движ"/>
    <hyperlink ref="DK63" display="Фин_договоры"/>
    <hyperlink ref="DK64" display="58_01_1"/>
    <hyperlink ref="DK65" display="58_01_2"/>
    <hyperlink ref="DK66" display="58_02"/>
    <hyperlink ref="DK67" display="58_02_движ"/>
    <hyperlink ref="DK68" display="58_03_1"/>
    <hyperlink ref="DK69" display="58_03_2"/>
    <hyperlink ref="DK70" display="58_04"/>
    <hyperlink ref="DK71" display="59_01"/>
    <hyperlink ref="DK72" display="59_02"/>
    <hyperlink ref="DK73" display="59_03"/>
    <hyperlink ref="DK74" display="ДП_полученные"/>
    <hyperlink ref="DK75" display="ДП_выданные"/>
    <hyperlink ref="DK76" display="60_01"/>
    <hyperlink ref="DK77" display="60_02"/>
    <hyperlink ref="DK78" display="62_01"/>
    <hyperlink ref="DK79" display="62_02"/>
    <hyperlink ref="DK80" display="ОКХ"/>
    <hyperlink ref="DK82"/>
    <hyperlink ref="DK83"/>
    <hyperlink ref="DK84"/>
    <hyperlink ref="DK85"/>
    <hyperlink ref="DK87" display="Налог_на_прибыль"/>
    <hyperlink ref="DK88" display="Налог_пров"/>
    <hyperlink ref="DK89" display="Налоговые_льготы_имущество"/>
    <hyperlink ref="DK90" display="Налоговые_льготы_прочие"/>
    <hyperlink ref="DK91"/>
    <hyperlink ref="DK92"/>
    <hyperlink ref="DK94" display="75_01_Неденеж"/>
    <hyperlink ref="DK95" display="75_02"/>
    <hyperlink ref="DK96"/>
    <hyperlink ref="DK97" display="76_01_%"/>
    <hyperlink ref="DK98"/>
    <hyperlink ref="DK99"/>
    <hyperlink ref="DK100"/>
    <hyperlink ref="DK101"/>
    <hyperlink ref="DK102" display="83_расш"/>
    <hyperlink ref="DK103"/>
    <hyperlink ref="DK104" display="84_расш"/>
    <hyperlink ref="DK105"/>
    <hyperlink ref="DK106"/>
    <hyperlink ref="DK107" display="90_ОРВГ"/>
    <hyperlink ref="DK108" display="90_контр"/>
    <hyperlink ref="DK109" display="91_01"/>
    <hyperlink ref="DK110" display="91_01_ВГО"/>
    <hyperlink ref="DK111" display="91_02"/>
    <hyperlink ref="DK112" display="91_02_ВГО"/>
    <hyperlink ref="DK114" display="ОСС"/>
    <hyperlink ref="DK115"/>
    <hyperlink ref="DK116" display="96_движ"/>
    <hyperlink ref="DK117"/>
    <hyperlink ref="DK118" display="98_01"/>
    <hyperlink ref="DK119" display="98_02"/>
    <hyperlink ref="DK120" display="98_04"/>
    <hyperlink ref="DK121"/>
    <hyperlink ref="DK53" display="Долгосроч_договоры"/>
    <hyperlink ref="DK4" display="Список компаний"/>
    <hyperlink ref="DK6" display="ОСВ_система"/>
    <hyperlink ref="DK7" display="ОСВ авт"/>
    <hyperlink ref="DK8" display="ОСВ сверка"/>
    <hyperlink ref="DK9" display="Свод_по_счетам"/>
    <hyperlink ref="DK10" display="Баланс (Прочие оборотные Активы и Резервы в пассиве, ДБП, ц.ф.)"/>
    <hyperlink ref="DK22" display="ОФР"/>
    <hyperlink ref="DK23" display="ДДС"/>
    <hyperlink ref="DK24" display="ДДС_приложение"/>
    <hyperlink ref="DK3" display="Титул"/>
    <hyperlink ref="DK86" display="68_расш"/>
    <hyperlink ref="DK93" display="75_01"/>
    <hyperlink ref="DK113" display="Прочие_расш"/>
    <hyperlink ref="DK11" display="Баланс (Прочие обязательства)"/>
    <hyperlink ref="DK35" location="'08_НИОКР'!Заголовки_для_печати" display="08_НИОКР"/>
    <hyperlink ref="DK125" location="'01_Аренда'!Область_печати" display="01_Аренда"/>
    <hyperlink ref="DK126" location="'02_Аренда '!Область_печати" display="02_Аренда"/>
  </hyperlinks>
  <pageMargins left="0.7" right="0.7" top="0.75" bottom="0.75" header="0.3" footer="0.3"/>
  <pageSetup paperSize="9" orientation="portrait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pageSetUpPr fitToPage="1"/>
  </sheetPr>
  <dimension ref="A1:V579"/>
  <sheetViews>
    <sheetView zoomScale="70" zoomScaleNormal="70" workbookViewId="0">
      <selection activeCell="D182" sqref="D182"/>
    </sheetView>
  </sheetViews>
  <sheetFormatPr defaultColWidth="9.453125" defaultRowHeight="14.5" outlineLevelRow="1"/>
  <cols>
    <col min="1" max="1" width="18.54296875" style="8" customWidth="1"/>
    <col min="2" max="2" width="50.453125" style="654" customWidth="1"/>
    <col min="3" max="3" width="27.81640625" style="394" customWidth="1"/>
    <col min="4" max="4" width="35.453125" style="327" customWidth="1"/>
    <col min="5" max="7" width="15.54296875" style="394" customWidth="1"/>
    <col min="8" max="8" width="23.54296875" style="1119" customWidth="1"/>
    <col min="9" max="9" width="14.54296875" style="8" customWidth="1"/>
    <col min="10" max="16384" width="9.453125" style="8"/>
  </cols>
  <sheetData>
    <row r="1" spans="2:22" ht="15" thickBot="1">
      <c r="E1" s="3674" t="s">
        <v>1308</v>
      </c>
    </row>
    <row r="2" spans="2:22">
      <c r="B2" s="1897" t="s">
        <v>2067</v>
      </c>
      <c r="C2" s="1244">
        <f>Содержание!$D$2</f>
        <v>0</v>
      </c>
      <c r="D2"/>
      <c r="E2" s="3674"/>
    </row>
    <row r="3" spans="2:22" ht="15" thickBot="1">
      <c r="B3" s="1897" t="s">
        <v>2075</v>
      </c>
      <c r="C3" s="1244" t="str">
        <f>Содержание!$D$15</f>
        <v>2022 год</v>
      </c>
      <c r="E3" s="1120" t="b">
        <f ca="1">AND(D8:D525)</f>
        <v>0</v>
      </c>
      <c r="G3" s="3044" t="s">
        <v>1436</v>
      </c>
    </row>
    <row r="4" spans="2:22" ht="15" thickBot="1">
      <c r="E4" s="1121"/>
    </row>
    <row r="5" spans="2:22" ht="15" thickBot="1">
      <c r="B5" s="3673"/>
      <c r="C5" s="3673" t="s">
        <v>5433</v>
      </c>
      <c r="D5" s="3673" t="s">
        <v>3527</v>
      </c>
      <c r="E5" s="3673" t="s">
        <v>5432</v>
      </c>
      <c r="F5" s="3673" t="s">
        <v>5431</v>
      </c>
      <c r="G5" s="3673" t="s">
        <v>5430</v>
      </c>
    </row>
    <row r="6" spans="2:22" ht="15" thickBot="1">
      <c r="B6" s="3673"/>
      <c r="C6" s="3673"/>
      <c r="D6" s="3673"/>
      <c r="E6" s="3673"/>
      <c r="F6" s="3673"/>
      <c r="G6" s="3673"/>
    </row>
    <row r="7" spans="2:22" ht="15" thickBot="1">
      <c r="B7" s="1821"/>
      <c r="C7" s="1820"/>
      <c r="D7" s="1820"/>
      <c r="E7" s="1820"/>
      <c r="F7" s="1820"/>
      <c r="G7" s="1820"/>
      <c r="V7" s="1576" t="s">
        <v>2157</v>
      </c>
    </row>
    <row r="8" spans="2:22">
      <c r="B8" s="1822" t="s">
        <v>5429</v>
      </c>
      <c r="C8" s="1823"/>
      <c r="D8" s="1824" t="b">
        <f>AND(D9:D23)</f>
        <v>0</v>
      </c>
      <c r="E8" s="1825" t="s">
        <v>3389</v>
      </c>
      <c r="F8" s="1825" t="s">
        <v>3389</v>
      </c>
      <c r="G8" s="1826" t="s">
        <v>3389</v>
      </c>
      <c r="V8" s="1576" t="s">
        <v>2159</v>
      </c>
    </row>
    <row r="9" spans="2:22" ht="25">
      <c r="B9" s="1827" t="s">
        <v>5428</v>
      </c>
      <c r="C9" s="1828"/>
      <c r="D9" s="1829" t="b">
        <f>AND(Баланс!E79:F79)</f>
        <v>1</v>
      </c>
      <c r="E9" s="1830" t="s">
        <v>3389</v>
      </c>
      <c r="F9" s="1830" t="s">
        <v>3389</v>
      </c>
      <c r="G9" s="1831" t="s">
        <v>3389</v>
      </c>
    </row>
    <row r="10" spans="2:22" ht="25">
      <c r="B10" s="1832" t="s">
        <v>5427</v>
      </c>
      <c r="C10" s="1828"/>
      <c r="D10" s="1829" t="b">
        <f>AND(Баланс!H79:I79)</f>
        <v>1</v>
      </c>
      <c r="E10" s="1830" t="s">
        <v>3389</v>
      </c>
      <c r="F10" s="1830" t="s">
        <v>3389</v>
      </c>
      <c r="G10" s="1831" t="s">
        <v>3389</v>
      </c>
    </row>
    <row r="11" spans="2:22" ht="37.5">
      <c r="B11" s="1832" t="s">
        <v>6195</v>
      </c>
      <c r="C11" s="1828"/>
      <c r="D11" s="1829" t="b">
        <f>AND(Баланс!O79,Баланс!N79)</f>
        <v>1</v>
      </c>
      <c r="E11" s="1830" t="s">
        <v>3389</v>
      </c>
      <c r="F11" s="1830" t="s">
        <v>3389</v>
      </c>
      <c r="G11" s="1831" t="s">
        <v>3389</v>
      </c>
    </row>
    <row r="12" spans="2:22" ht="25">
      <c r="B12" s="1832" t="s">
        <v>920</v>
      </c>
      <c r="C12" s="1828"/>
      <c r="D12" s="1829" t="b">
        <f>ОФР!H36</f>
        <v>1</v>
      </c>
      <c r="E12" s="1830" t="s">
        <v>3389</v>
      </c>
      <c r="F12" s="1830" t="s">
        <v>3389</v>
      </c>
      <c r="G12" s="1831" t="s">
        <v>3389</v>
      </c>
    </row>
    <row r="13" spans="2:22" ht="25">
      <c r="B13" s="1832" t="s">
        <v>921</v>
      </c>
      <c r="C13" s="1828"/>
      <c r="D13" s="1829" t="b">
        <f>ДДС!J58</f>
        <v>1</v>
      </c>
      <c r="E13" s="1830" t="s">
        <v>3389</v>
      </c>
      <c r="F13" s="1830" t="s">
        <v>3389</v>
      </c>
      <c r="G13" s="1831" t="s">
        <v>3389</v>
      </c>
    </row>
    <row r="14" spans="2:22" ht="37.5">
      <c r="B14" s="1832" t="s">
        <v>8074</v>
      </c>
      <c r="C14" s="1828"/>
      <c r="D14" s="1829" t="b">
        <f>ДДС_приложение!G3</f>
        <v>1</v>
      </c>
      <c r="E14" s="1830" t="s">
        <v>3389</v>
      </c>
      <c r="F14" s="1830" t="s">
        <v>3389</v>
      </c>
      <c r="G14" s="1831" t="s">
        <v>3389</v>
      </c>
    </row>
    <row r="15" spans="2:22" ht="25">
      <c r="B15" s="1832" t="s">
        <v>922</v>
      </c>
      <c r="C15" s="1828"/>
      <c r="D15" s="1829" t="b">
        <f>'50_51_52_55_57_движ'!R7</f>
        <v>1</v>
      </c>
      <c r="E15" s="1830" t="s">
        <v>3389</v>
      </c>
      <c r="F15" s="1830" t="s">
        <v>3389</v>
      </c>
      <c r="G15" s="1831" t="s">
        <v>3389</v>
      </c>
    </row>
    <row r="16" spans="2:22" ht="25">
      <c r="B16" s="1827" t="s">
        <v>5426</v>
      </c>
      <c r="C16" s="1828"/>
      <c r="D16" s="1829" t="b">
        <f>G16&lt;5</f>
        <v>1</v>
      </c>
      <c r="E16" s="3005">
        <f>ROUND(Баланс!F38,0)</f>
        <v>0</v>
      </c>
      <c r="F16" s="3005">
        <f>ROUND(ДДС!E55,0)</f>
        <v>0</v>
      </c>
      <c r="G16" s="1831">
        <f>ABS(E16-F16)</f>
        <v>0</v>
      </c>
    </row>
    <row r="17" spans="2:8" ht="25">
      <c r="B17" s="1827" t="s">
        <v>5425</v>
      </c>
      <c r="C17" s="1828"/>
      <c r="D17" s="1829" t="b">
        <f>G17&lt;5</f>
        <v>1</v>
      </c>
      <c r="E17" s="3005">
        <f>ROUND(Баланс!E38,0)</f>
        <v>0</v>
      </c>
      <c r="F17" s="3005">
        <f>ROUND(ДДС!E56,0)</f>
        <v>0</v>
      </c>
      <c r="G17" s="1831">
        <f>ABS(E17-F17)</f>
        <v>0</v>
      </c>
    </row>
    <row r="18" spans="2:8" ht="25">
      <c r="B18" s="1827" t="s">
        <v>5424</v>
      </c>
      <c r="C18" s="1828"/>
      <c r="D18" s="1833" t="b">
        <f>G18&lt;1</f>
        <v>1</v>
      </c>
      <c r="E18" s="1830">
        <f>-ROUND(ДДС_приложение!E261,0)</f>
        <v>0</v>
      </c>
      <c r="F18" s="1830">
        <f>ROUND('66'!M11+'67'!M11,0)</f>
        <v>0</v>
      </c>
      <c r="G18" s="1831">
        <f>ABS(E18-F18)</f>
        <v>0</v>
      </c>
    </row>
    <row r="19" spans="2:8" s="3003" customFormat="1">
      <c r="B19" s="1827" t="s">
        <v>9616</v>
      </c>
      <c r="C19" s="1828"/>
      <c r="D19" s="1833" t="b">
        <f>ДДС!J62</f>
        <v>0</v>
      </c>
      <c r="E19" s="3005" t="s">
        <v>3389</v>
      </c>
      <c r="F19" s="3005" t="s">
        <v>3389</v>
      </c>
      <c r="G19" s="3006" t="s">
        <v>3389</v>
      </c>
      <c r="H19" s="3004"/>
    </row>
    <row r="20" spans="2:8">
      <c r="B20" s="1827" t="s">
        <v>923</v>
      </c>
      <c r="C20" s="1828"/>
      <c r="D20" s="1833" t="b">
        <f>ОСВ_система!R2</f>
        <v>1</v>
      </c>
      <c r="E20" s="1830" t="s">
        <v>3389</v>
      </c>
      <c r="F20" s="1830" t="s">
        <v>3389</v>
      </c>
      <c r="G20" s="1831" t="s">
        <v>3389</v>
      </c>
    </row>
    <row r="21" spans="2:8">
      <c r="B21" s="1827" t="s">
        <v>924</v>
      </c>
      <c r="C21" s="1828"/>
      <c r="D21" s="1833" t="b">
        <f>ОСВ_система!S2</f>
        <v>1</v>
      </c>
      <c r="E21" s="1830" t="s">
        <v>3389</v>
      </c>
      <c r="F21" s="1830" t="s">
        <v>3389</v>
      </c>
      <c r="G21" s="1831" t="s">
        <v>3389</v>
      </c>
    </row>
    <row r="22" spans="2:8" s="3003" customFormat="1" ht="25">
      <c r="B22" s="1827" t="s">
        <v>14985</v>
      </c>
      <c r="C22" s="1828"/>
      <c r="D22" s="1833" t="b">
        <f>AND(ОСВ_авт!E269:F269)</f>
        <v>1</v>
      </c>
      <c r="E22" s="3005" t="s">
        <v>3389</v>
      </c>
      <c r="F22" s="3005" t="s">
        <v>3389</v>
      </c>
      <c r="G22" s="3006" t="s">
        <v>3389</v>
      </c>
      <c r="H22" s="3004"/>
    </row>
    <row r="23" spans="2:8" ht="25">
      <c r="B23" s="1843" t="s">
        <v>918</v>
      </c>
      <c r="C23" s="1828" t="s">
        <v>919</v>
      </c>
      <c r="D23" s="1833" t="b">
        <f>AND(Затраты_Выход!J4,Затраты_Выход!K4,Затраты_Выход!L4,Затраты_Выход!K18,ABS(Затраты_Выход!G4)&lt;50)</f>
        <v>1</v>
      </c>
      <c r="E23" s="1830" t="s">
        <v>3389</v>
      </c>
      <c r="F23" s="1830" t="s">
        <v>3389</v>
      </c>
      <c r="G23" s="1831" t="s">
        <v>3389</v>
      </c>
    </row>
    <row r="24" spans="2:8" ht="26">
      <c r="B24" s="1835" t="s">
        <v>5423</v>
      </c>
      <c r="C24" s="1836"/>
      <c r="D24" s="1837" t="b">
        <f>AND(D25:D28)</f>
        <v>1</v>
      </c>
      <c r="E24" s="1838" t="s">
        <v>3389</v>
      </c>
      <c r="F24" s="1838" t="s">
        <v>3389</v>
      </c>
      <c r="G24" s="1839" t="s">
        <v>3389</v>
      </c>
    </row>
    <row r="25" spans="2:8" ht="25">
      <c r="B25" s="1827" t="s">
        <v>6330</v>
      </c>
      <c r="C25" s="1840">
        <v>50</v>
      </c>
      <c r="D25" s="1829" t="b">
        <f>E25&gt;=0</f>
        <v>1</v>
      </c>
      <c r="E25" s="1830">
        <f>'50'!F7</f>
        <v>0</v>
      </c>
      <c r="F25" s="1830" t="s">
        <v>3389</v>
      </c>
      <c r="G25" s="1831" t="s">
        <v>3389</v>
      </c>
    </row>
    <row r="26" spans="2:8" ht="25">
      <c r="B26" s="1827" t="s">
        <v>6331</v>
      </c>
      <c r="C26" s="1840">
        <v>51</v>
      </c>
      <c r="D26" s="1829" t="b">
        <f>E26&gt;=0</f>
        <v>1</v>
      </c>
      <c r="E26" s="1830">
        <f>'51'!G7</f>
        <v>0</v>
      </c>
      <c r="F26" s="1830" t="s">
        <v>3389</v>
      </c>
      <c r="G26" s="1831" t="s">
        <v>3389</v>
      </c>
    </row>
    <row r="27" spans="2:8" ht="25">
      <c r="B27" s="1827" t="s">
        <v>6332</v>
      </c>
      <c r="C27" s="1840">
        <v>52</v>
      </c>
      <c r="D27" s="1829" t="b">
        <f>E27&gt;=0</f>
        <v>1</v>
      </c>
      <c r="E27" s="1830">
        <f>'52'!H7</f>
        <v>0</v>
      </c>
      <c r="F27" s="1830" t="s">
        <v>3389</v>
      </c>
      <c r="G27" s="1831" t="s">
        <v>3389</v>
      </c>
    </row>
    <row r="28" spans="2:8" ht="25">
      <c r="B28" s="1827" t="s">
        <v>6333</v>
      </c>
      <c r="C28" s="1840">
        <v>55</v>
      </c>
      <c r="D28" s="1829" t="b">
        <f>E28&gt;=0</f>
        <v>1</v>
      </c>
      <c r="E28" s="1830">
        <f>'55'!I7</f>
        <v>0</v>
      </c>
      <c r="F28" s="1830" t="s">
        <v>3389</v>
      </c>
      <c r="G28" s="1831" t="s">
        <v>3389</v>
      </c>
    </row>
    <row r="29" spans="2:8" ht="26">
      <c r="B29" s="1835" t="s">
        <v>5422</v>
      </c>
      <c r="C29" s="1841"/>
      <c r="D29" s="1837" t="b">
        <f ca="1">AND(D30:D147)</f>
        <v>1</v>
      </c>
      <c r="E29" s="1838" t="s">
        <v>3389</v>
      </c>
      <c r="F29" s="1838" t="s">
        <v>3389</v>
      </c>
      <c r="G29" s="1839" t="s">
        <v>3389</v>
      </c>
    </row>
    <row r="30" spans="2:8" ht="25">
      <c r="B30" s="1827" t="s">
        <v>1309</v>
      </c>
      <c r="C30" s="1842" t="s">
        <v>4444</v>
      </c>
      <c r="D30" s="1833" t="b">
        <f t="shared" ref="D30:D36" si="0">G30&lt;5</f>
        <v>1</v>
      </c>
      <c r="E30" s="1830">
        <f>'01'!J8+'03'!J9+'04'!F9</f>
        <v>0</v>
      </c>
      <c r="F30" s="1830">
        <f>'08'!N8</f>
        <v>0</v>
      </c>
      <c r="G30" s="1831">
        <f t="shared" ref="G30:G36" si="1">ABS(E30+F30)</f>
        <v>0</v>
      </c>
    </row>
    <row r="31" spans="2:8" ht="25">
      <c r="B31" s="1827" t="s">
        <v>5829</v>
      </c>
      <c r="C31" s="1842" t="s">
        <v>714</v>
      </c>
      <c r="D31" s="1833" t="b">
        <f t="shared" si="0"/>
        <v>1</v>
      </c>
      <c r="E31" s="1830">
        <f>ROUND('07'!K9,0)</f>
        <v>0</v>
      </c>
      <c r="F31" s="1830">
        <f>'08'!F8</f>
        <v>0</v>
      </c>
      <c r="G31" s="1831">
        <f t="shared" si="1"/>
        <v>0</v>
      </c>
    </row>
    <row r="32" spans="2:8" s="3003" customFormat="1" ht="50">
      <c r="B32" s="1827" t="s">
        <v>14868</v>
      </c>
      <c r="C32" s="3009" t="s">
        <v>14869</v>
      </c>
      <c r="D32" s="1833" t="b">
        <f t="shared" si="0"/>
        <v>1</v>
      </c>
      <c r="E32" s="3005">
        <f>ROUND(SUMIF('08'!C9:C300,"*0101*",'08'!N9:N300),0)</f>
        <v>0</v>
      </c>
      <c r="F32" s="3005">
        <f>ROUND(SUMIF('01'!D9:D300,"*31*",'01'!J9:J300),0)+ROUND(SUMIF('01'!D9:D300,"*32*",'01'!J9:J300),0)+ROUND(SUMIF('01'!D9:D300,"*33*",'01'!J9:J300),0)+ROUND(SUMIF('01'!D9:D300,"*34*",'01'!J9:J300),0)</f>
        <v>0</v>
      </c>
      <c r="G32" s="3006">
        <f t="shared" si="1"/>
        <v>0</v>
      </c>
      <c r="H32" s="3004"/>
    </row>
    <row r="33" spans="1:7">
      <c r="B33" s="1827" t="s">
        <v>6336</v>
      </c>
      <c r="C33" s="1842" t="s">
        <v>1645</v>
      </c>
      <c r="D33" s="1833" t="b">
        <f t="shared" si="0"/>
        <v>1</v>
      </c>
      <c r="E33" s="1830">
        <f>Затраты_Выход!D27</f>
        <v>0</v>
      </c>
      <c r="F33" s="1830">
        <f>'43'!E8</f>
        <v>0</v>
      </c>
      <c r="G33" s="1831">
        <f t="shared" si="1"/>
        <v>0</v>
      </c>
    </row>
    <row r="34" spans="1:7">
      <c r="B34" s="1827" t="s">
        <v>6337</v>
      </c>
      <c r="C34" s="1842" t="s">
        <v>1646</v>
      </c>
      <c r="D34" s="1833" t="b">
        <f t="shared" si="0"/>
        <v>1</v>
      </c>
      <c r="E34" s="1830">
        <f>Затраты_Выход!D30</f>
        <v>0</v>
      </c>
      <c r="F34" s="1830">
        <f>'21'!F10</f>
        <v>0</v>
      </c>
      <c r="G34" s="1831">
        <f t="shared" si="1"/>
        <v>0</v>
      </c>
    </row>
    <row r="35" spans="1:7" ht="25">
      <c r="B35" s="1827" t="s">
        <v>778</v>
      </c>
      <c r="C35" s="1842" t="s">
        <v>4443</v>
      </c>
      <c r="D35" s="1833" t="b">
        <f t="shared" si="0"/>
        <v>1</v>
      </c>
      <c r="E35" s="1830">
        <f>'10'!I9</f>
        <v>0</v>
      </c>
      <c r="F35" s="1830">
        <f>ROUND('41_01'!O10,0)</f>
        <v>0</v>
      </c>
      <c r="G35" s="1831">
        <f t="shared" si="1"/>
        <v>0</v>
      </c>
    </row>
    <row r="36" spans="1:7" ht="25">
      <c r="B36" s="1827" t="s">
        <v>779</v>
      </c>
      <c r="C36" s="1842" t="s">
        <v>4442</v>
      </c>
      <c r="D36" s="1833" t="b">
        <f t="shared" si="0"/>
        <v>1</v>
      </c>
      <c r="E36" s="1830">
        <f>'10'!J9</f>
        <v>0</v>
      </c>
      <c r="F36" s="1830">
        <f>ROUND('43'!K8,0)</f>
        <v>0</v>
      </c>
      <c r="G36" s="1831">
        <f t="shared" si="1"/>
        <v>0</v>
      </c>
    </row>
    <row r="37" spans="1:7" ht="25">
      <c r="A37" s="114"/>
      <c r="B37" s="1827" t="s">
        <v>6384</v>
      </c>
      <c r="C37" s="1842" t="s">
        <v>14579</v>
      </c>
      <c r="D37" s="1833" t="b">
        <f>'02'!X7</f>
        <v>1</v>
      </c>
      <c r="E37" s="1830" t="s">
        <v>4184</v>
      </c>
      <c r="F37" s="1830" t="s">
        <v>4184</v>
      </c>
      <c r="G37" s="1831" t="s">
        <v>4184</v>
      </c>
    </row>
    <row r="38" spans="1:7" ht="25">
      <c r="A38" s="114"/>
      <c r="B38" s="1827" t="s">
        <v>6379</v>
      </c>
      <c r="C38" s="2025" t="s">
        <v>5286</v>
      </c>
      <c r="D38" s="1833" t="b">
        <f>'05'!R7</f>
        <v>1</v>
      </c>
      <c r="E38" s="1830" t="s">
        <v>4184</v>
      </c>
      <c r="F38" s="1830" t="s">
        <v>4184</v>
      </c>
      <c r="G38" s="1831" t="s">
        <v>4184</v>
      </c>
    </row>
    <row r="39" spans="1:7" ht="25">
      <c r="B39" s="1827" t="s">
        <v>14</v>
      </c>
      <c r="C39" s="1842" t="s">
        <v>4424</v>
      </c>
      <c r="D39" s="1833" t="b">
        <f t="shared" ref="D39:D51" si="2">G39&lt;5</f>
        <v>1</v>
      </c>
      <c r="E39" s="1830">
        <f>ROUND('41_01'!H10,0)</f>
        <v>0</v>
      </c>
      <c r="F39" s="1830">
        <f>ROUND('41_02'!K13,0)</f>
        <v>0</v>
      </c>
      <c r="G39" s="1831">
        <f t="shared" ref="G39:G45" si="3">ABS(E39+F39)</f>
        <v>0</v>
      </c>
    </row>
    <row r="40" spans="1:7" ht="25">
      <c r="B40" s="1827" t="s">
        <v>8621</v>
      </c>
      <c r="C40" s="3008">
        <v>10.41</v>
      </c>
      <c r="D40" s="1833" t="b">
        <f t="shared" si="2"/>
        <v>1</v>
      </c>
      <c r="E40" s="3005">
        <f>'10'!O9</f>
        <v>0</v>
      </c>
      <c r="F40" s="3005">
        <f>'41_01'!I10-SUMIF('41_01'!$C$11:$C$200,"{0601010000} Здания, сооружения и др. объекты недвижимого имущества",'41_01'!$I$11:$I$200)</f>
        <v>0</v>
      </c>
      <c r="G40" s="3006">
        <f t="shared" si="3"/>
        <v>0</v>
      </c>
    </row>
    <row r="41" spans="1:7" ht="25">
      <c r="B41" s="1827" t="s">
        <v>15</v>
      </c>
      <c r="C41" s="1840">
        <v>21.43</v>
      </c>
      <c r="D41" s="1833" t="b">
        <f t="shared" si="2"/>
        <v>1</v>
      </c>
      <c r="E41" s="1830">
        <f>ROUND('43'!F8,0)</f>
        <v>0</v>
      </c>
      <c r="F41" s="1830">
        <f>ROUND('21'!I10,0)</f>
        <v>0</v>
      </c>
      <c r="G41" s="1831">
        <f t="shared" si="3"/>
        <v>0</v>
      </c>
    </row>
    <row r="42" spans="1:7" ht="25">
      <c r="B42" s="1827" t="s">
        <v>16</v>
      </c>
      <c r="C42" s="1842" t="s">
        <v>4151</v>
      </c>
      <c r="D42" s="1833" t="b">
        <f t="shared" si="2"/>
        <v>1</v>
      </c>
      <c r="E42" s="1830">
        <f>'45'!F8</f>
        <v>0</v>
      </c>
      <c r="F42" s="1830">
        <f>'10'!Q9</f>
        <v>0</v>
      </c>
      <c r="G42" s="1831">
        <f t="shared" si="3"/>
        <v>0</v>
      </c>
    </row>
    <row r="43" spans="1:7" ht="25">
      <c r="B43" s="1827" t="s">
        <v>17</v>
      </c>
      <c r="C43" s="1842" t="s">
        <v>4441</v>
      </c>
      <c r="D43" s="1833" t="b">
        <f t="shared" si="2"/>
        <v>1</v>
      </c>
      <c r="E43" s="1830">
        <f>'45'!H8</f>
        <v>0</v>
      </c>
      <c r="F43" s="1830">
        <f>Затраты_Выход!D28</f>
        <v>0</v>
      </c>
      <c r="G43" s="1831">
        <f t="shared" si="3"/>
        <v>0</v>
      </c>
    </row>
    <row r="44" spans="1:7" ht="25">
      <c r="B44" s="1827" t="s">
        <v>18</v>
      </c>
      <c r="C44" s="1842" t="s">
        <v>4440</v>
      </c>
      <c r="D44" s="1833" t="b">
        <f t="shared" si="2"/>
        <v>1</v>
      </c>
      <c r="E44" s="1830">
        <f>ROUND('45'!J8,0)</f>
        <v>0</v>
      </c>
      <c r="F44" s="1830">
        <f>ROUND('41_01'!N10,0)</f>
        <v>0</v>
      </c>
      <c r="G44" s="1831">
        <f t="shared" si="3"/>
        <v>0</v>
      </c>
    </row>
    <row r="45" spans="1:7" ht="25">
      <c r="B45" s="1827" t="s">
        <v>19</v>
      </c>
      <c r="C45" s="1842" t="s">
        <v>4439</v>
      </c>
      <c r="D45" s="1833" t="b">
        <f t="shared" si="2"/>
        <v>1</v>
      </c>
      <c r="E45" s="1830">
        <f>ROUND('45'!L8,0)</f>
        <v>0</v>
      </c>
      <c r="F45" s="1830">
        <f>ROUND('43'!J8,0)</f>
        <v>0</v>
      </c>
      <c r="G45" s="1831">
        <f t="shared" si="3"/>
        <v>0</v>
      </c>
    </row>
    <row r="46" spans="1:7" ht="25">
      <c r="B46" s="1827" t="s">
        <v>20</v>
      </c>
      <c r="C46" s="1842" t="s">
        <v>4438</v>
      </c>
      <c r="D46" s="1833" t="b">
        <f t="shared" si="2"/>
        <v>1</v>
      </c>
      <c r="E46" s="1830">
        <f>'45'!K8</f>
        <v>0</v>
      </c>
      <c r="F46" s="1830">
        <f>Затраты_Выход!F28</f>
        <v>0</v>
      </c>
      <c r="G46" s="1831">
        <f>ABS(E46-F46)</f>
        <v>0</v>
      </c>
    </row>
    <row r="47" spans="1:7" ht="37.5">
      <c r="B47" s="1827" t="s">
        <v>21</v>
      </c>
      <c r="C47" s="1842" t="s">
        <v>4437</v>
      </c>
      <c r="D47" s="1833" t="b">
        <f t="shared" si="2"/>
        <v>1</v>
      </c>
      <c r="E47" s="1830">
        <f>ROUND('58_01_1'!X9,0)</f>
        <v>0</v>
      </c>
      <c r="F47" s="1830">
        <f>ROUND('58_01_2'!X9,0)</f>
        <v>0</v>
      </c>
      <c r="G47" s="1831">
        <f t="shared" ref="G47:G64" si="4">ABS(E47+F47)</f>
        <v>0</v>
      </c>
    </row>
    <row r="48" spans="1:7" ht="37.5">
      <c r="B48" s="1827" t="s">
        <v>888</v>
      </c>
      <c r="C48" s="1842" t="s">
        <v>901</v>
      </c>
      <c r="D48" s="1833" t="b">
        <f t="shared" si="2"/>
        <v>1</v>
      </c>
      <c r="E48" s="1830">
        <f>'58_02'!AG11</f>
        <v>0</v>
      </c>
      <c r="F48" s="1830">
        <f>IF((SUMIFS('58_02_движ'!$Q$13:$Q$1000,'58_02_движ'!$N$13:$N$1000,"*F_M0911*",'58_02_движ'!$AD$13:$AD$1000,"Учитывать")+SUMIF('58_02_движ'!$N$13:$N$1000,"*F_M0914*",'58_02_движ'!$Q$13:$Q$1000))&gt;0,ROUND(((SUMIFS('58_02_движ'!$Q$13:$Q$1000,'58_02_движ'!$N$13:$N$1000,"*F_M0911*",'58_02_движ'!$AD$13:$AD$1000,"Учитывать")+SUMIF('58_02_движ'!$N$13:$N$1000,"*F_M0914*",'58_02_движ'!$Q$13:$Q$1000))),0),0)</f>
        <v>0</v>
      </c>
      <c r="G48" s="1831">
        <f>ABS(E48-F48)</f>
        <v>0</v>
      </c>
    </row>
    <row r="49" spans="2:7" ht="37.5">
      <c r="B49" s="1827" t="s">
        <v>889</v>
      </c>
      <c r="C49" s="1842" t="s">
        <v>903</v>
      </c>
      <c r="D49" s="1833" t="b">
        <f t="shared" si="2"/>
        <v>1</v>
      </c>
      <c r="E49" s="1830">
        <f>'58_02'!AH11</f>
        <v>0</v>
      </c>
      <c r="F49" s="1830">
        <f>IF((SUMIF('58_02_движ'!$N$13:$N$1000,"*F_M0911*",'58_02_движ'!$Q$13:$Q$1000)+SUMIF('58_02_движ'!$N$13:$N$1000,"*F_M0914*",'58_02_движ'!$Q$13:$Q$1000))&lt;0,ROUND(((SUMIF('58_02_движ'!$N$13:$N$1000,"*F_M0911*",'58_02_движ'!$Q$13:$Q$1000)+SUMIF('58_02_движ'!$N$13:$N$1000,"*F_M0914*",'58_02_движ'!$Q$13:$Q$1000))),0),0)</f>
        <v>0</v>
      </c>
      <c r="G49" s="1831">
        <f t="shared" si="4"/>
        <v>0</v>
      </c>
    </row>
    <row r="50" spans="2:7" ht="25">
      <c r="B50" s="1827" t="s">
        <v>902</v>
      </c>
      <c r="C50" s="1842" t="s">
        <v>4939</v>
      </c>
      <c r="D50" s="1833" t="b">
        <f t="shared" si="2"/>
        <v>1</v>
      </c>
      <c r="E50" s="1830">
        <f>ROUND(SUMIF('58_02_движ'!$N$13:$N$5000,"*F_M0911*",'58_02_движ'!$Q$13:$Q$5000),0)+'58_03_1'!U10+'58_03_2'!U10</f>
        <v>0</v>
      </c>
      <c r="F50" s="1830">
        <f>ROUND(SUMIF('91_01'!$C$36:$C$5002,"*125000*",'91_01'!$H$36:$H$5002),0)</f>
        <v>0</v>
      </c>
      <c r="G50" s="1831">
        <f>ABS(E50+F50)</f>
        <v>0</v>
      </c>
    </row>
    <row r="51" spans="2:7" ht="25">
      <c r="B51" s="1827" t="s">
        <v>4938</v>
      </c>
      <c r="C51" s="1842" t="s">
        <v>4940</v>
      </c>
      <c r="D51" s="1833" t="b">
        <f t="shared" si="2"/>
        <v>1</v>
      </c>
      <c r="E51" s="1830">
        <f>ROUND(SUMIF('58_02_движ'!$N$13:$N$2000,"*F_M0914*",'58_02_движ'!$Q$13:$Q$2000),0)+'58_03_1'!Z10+'58_03_2'!Z10</f>
        <v>0</v>
      </c>
      <c r="F51" s="1830">
        <f>ROUND(SUMIF('91_02'!$C$45:$C$1000,"*225000*",'91_02'!$F$45:$F$1000),0)</f>
        <v>0</v>
      </c>
      <c r="G51" s="1831">
        <f>ABS(E51+F51)</f>
        <v>0</v>
      </c>
    </row>
    <row r="52" spans="2:7">
      <c r="B52" s="1827" t="s">
        <v>6380</v>
      </c>
      <c r="C52" s="1842" t="s">
        <v>886</v>
      </c>
      <c r="D52" s="1833" t="b">
        <f>IF(Содержание!$D$3="0000000002",TRUE,G52&lt;1)</f>
        <v>1</v>
      </c>
      <c r="E52" s="1830">
        <f>ROUND(SUMIF('91_01'!$C$36:$C$2002,"*1220700*",'91_01'!$H$36:$H$2002),0)+ROUND(SUMIF('91_01'!$C$36:$C$2002,"*1220800*",'91_01'!$H$36:$H$2002),0)</f>
        <v>0</v>
      </c>
      <c r="F52" s="1830">
        <f>ROUND('59_01'!$L$10,0)</f>
        <v>0</v>
      </c>
      <c r="G52" s="1831">
        <f t="shared" si="4"/>
        <v>0</v>
      </c>
    </row>
    <row r="53" spans="2:7">
      <c r="B53" s="1827" t="s">
        <v>6381</v>
      </c>
      <c r="C53" s="1842" t="s">
        <v>885</v>
      </c>
      <c r="D53" s="1833" t="b">
        <f>IF(Содержание!$D$3="0000000002",TRUE,G53&lt;1)</f>
        <v>1</v>
      </c>
      <c r="E53" s="1830">
        <f>ROUND(SUMIF('91_01'!$C$36:$C$2002,"*1220500*",'91_01'!$H$36:$H$2002),0)+ROUND(SUMIF('91_01'!$C$36:$C$2002,"*1220600*",'91_01'!$H$36:$H$2002),0)</f>
        <v>0</v>
      </c>
      <c r="F53" s="1830">
        <f>ROUND('59_02'!$P$10,0)</f>
        <v>0</v>
      </c>
      <c r="G53" s="1831">
        <f t="shared" si="4"/>
        <v>0</v>
      </c>
    </row>
    <row r="54" spans="2:7">
      <c r="B54" s="1827" t="s">
        <v>6382</v>
      </c>
      <c r="C54" s="1842" t="s">
        <v>884</v>
      </c>
      <c r="D54" s="1833" t="b">
        <f>IF(Содержание!$D$3="0000000002",TRUE,G54&lt;1)</f>
        <v>1</v>
      </c>
      <c r="E54" s="1830">
        <f>ROUND(SUMIF('91_01'!$C$36:$C$2002,"*1220900*",'91_01'!$H$36:$H$2002),0)</f>
        <v>0</v>
      </c>
      <c r="F54" s="1830">
        <f>ROUND('59_03'!$N$10,0)</f>
        <v>0</v>
      </c>
      <c r="G54" s="1831">
        <f t="shared" si="4"/>
        <v>0</v>
      </c>
    </row>
    <row r="55" spans="2:7">
      <c r="B55" s="1827" t="s">
        <v>6383</v>
      </c>
      <c r="C55" s="1842" t="s">
        <v>883</v>
      </c>
      <c r="D55" s="1833" t="b">
        <f>IF(Содержание!$D$3="0000000002",TRUE,G55&lt;1)</f>
        <v>1</v>
      </c>
      <c r="E55" s="1830">
        <f>ROUND(SUMIF('91_02'!$C$46:$C$2011,"*225000*",'91_02'!$F$46:$F$2011),0)+'58_03_1'!Z10+'58_03_2'!Z10</f>
        <v>0</v>
      </c>
      <c r="F55" s="1830">
        <f>ROUND(SUMIF('58_02_движ'!$N$13:$N$1000,"*F_M0914*",'58_02_движ'!$Q$13:$Q$1000),0)</f>
        <v>0</v>
      </c>
      <c r="G55" s="1831">
        <f t="shared" si="4"/>
        <v>0</v>
      </c>
    </row>
    <row r="56" spans="2:7">
      <c r="B56" s="1827" t="s">
        <v>6385</v>
      </c>
      <c r="C56" s="1842" t="s">
        <v>882</v>
      </c>
      <c r="D56" s="1833" t="b">
        <f>IF(Содержание!$D$3="0000000002",TRUE,G56&lt;1)</f>
        <v>1</v>
      </c>
      <c r="E56" s="1830">
        <f>ROUND(SUMIF('91_02'!$C$46:$C$2011,"*2220700*",'91_02'!$F$46:$F$2011),0)+ROUND(SUMIF('91_02'!$C$46:$C$2011,"*2220800*",'91_02'!$F$46:$F$2011),0)</f>
        <v>0</v>
      </c>
      <c r="F56" s="1830">
        <f>ROUND('59_01'!$M$10,0)</f>
        <v>0</v>
      </c>
      <c r="G56" s="1831">
        <f>ABS(E56+F56)</f>
        <v>0</v>
      </c>
    </row>
    <row r="57" spans="2:7">
      <c r="B57" s="1827" t="s">
        <v>6386</v>
      </c>
      <c r="C57" s="1842" t="s">
        <v>880</v>
      </c>
      <c r="D57" s="1833" t="b">
        <f>IF(Содержание!$D$3="0000000002",TRUE,G57&lt;1)</f>
        <v>1</v>
      </c>
      <c r="E57" s="1830">
        <f>ROUND(SUMIF('91_02'!$C$46:$C$2011,"*2220500*",'91_02'!$F$46:$F$2011),0)+ROUND(SUMIF('91_02'!$C$46:$C$2011,"*2220600*",'91_02'!$F$46:$F$2011),0)</f>
        <v>0</v>
      </c>
      <c r="F57" s="1830">
        <f>ROUND('59_02'!$Q$10,0)</f>
        <v>0</v>
      </c>
      <c r="G57" s="1831">
        <f t="shared" si="4"/>
        <v>0</v>
      </c>
    </row>
    <row r="58" spans="2:7">
      <c r="B58" s="1827" t="s">
        <v>6387</v>
      </c>
      <c r="C58" s="1842" t="s">
        <v>881</v>
      </c>
      <c r="D58" s="1833" t="b">
        <f>IF(Содержание!$D$3="0000000002",TRUE,G58&lt;1)</f>
        <v>1</v>
      </c>
      <c r="E58" s="1830">
        <f>ROUND(SUMIF('91_02'!$C$46:$C$2011,"*2220900*",'91_02'!$F$46:$F$2011),0)</f>
        <v>0</v>
      </c>
      <c r="F58" s="1830">
        <f>ROUND('59_03'!$O$10,0)</f>
        <v>0</v>
      </c>
      <c r="G58" s="1831">
        <f t="shared" si="4"/>
        <v>0</v>
      </c>
    </row>
    <row r="59" spans="2:7">
      <c r="B59" s="1827" t="s">
        <v>12</v>
      </c>
      <c r="C59" s="1842" t="s">
        <v>11</v>
      </c>
      <c r="D59" s="1833" t="b">
        <f>G59&lt;5</f>
        <v>1</v>
      </c>
      <c r="E59" s="1830">
        <f>'99'!D9</f>
        <v>0</v>
      </c>
      <c r="F59" s="1830">
        <f>SUM(ОФР!E8,ОФР!E9,ОФР!E11,ОФР!E12)</f>
        <v>0</v>
      </c>
      <c r="G59" s="1831">
        <f t="shared" si="4"/>
        <v>0</v>
      </c>
    </row>
    <row r="60" spans="2:7">
      <c r="B60" s="1827" t="s">
        <v>13</v>
      </c>
      <c r="C60" s="1842" t="s">
        <v>11</v>
      </c>
      <c r="D60" s="1833" t="b">
        <f>G60&lt;5</f>
        <v>1</v>
      </c>
      <c r="E60" s="1830">
        <f>'99'!E9</f>
        <v>0</v>
      </c>
      <c r="F60" s="1830">
        <f>SUM(ОФР!$E$16:$E$20)</f>
        <v>0</v>
      </c>
      <c r="G60" s="1831">
        <f t="shared" si="4"/>
        <v>0</v>
      </c>
    </row>
    <row r="61" spans="2:7" ht="25">
      <c r="B61" s="1827" t="s">
        <v>7673</v>
      </c>
      <c r="C61" s="1842" t="s">
        <v>7674</v>
      </c>
      <c r="D61" s="1833" t="b">
        <f t="shared" ref="D61:D66" si="5">G61&lt;5</f>
        <v>1</v>
      </c>
      <c r="E61" s="1830">
        <f>ROUND(SUM('98_01'!K10:O10)+'86'!T10+'98_02'!L10+'98_02'!K10,0)</f>
        <v>0</v>
      </c>
      <c r="F61" s="1830">
        <f>ROUND(SUMIF('91_01'!C36:C10002,"*1300100*",'91_01'!H36:H10002),0)+ROUND(SUMIF('91_01'!C36:C10002,"*1300200*",'91_01'!H36:H10002),0)+ROUND(SUMIF('91_01'!C36:C10002,"*1310100*",'91_01'!H36:H10002),0)+ROUND(SUMIF('91_01'!C36:C10002,"*1310200*",'91_01'!H36:H10002),0)+ROUND(SUMIF('91_01'!C36:C10002,"*1310300*",'91_01'!H36:H10002),0)+ROUND(SUMIF('91_01'!C36:C10002,"*1310400*",'91_01'!H36:H10002),0)+ROUND(SUMIF('91_01'!C36:C10002,"*1310900*",'91_01'!H36:H10002),0)+ROUND(SUMIF('91_01'!C36:C10002,"*1310910*",'91_01'!H36:H10002),0)+ROUND(SUMIF('91_01_ВГО'!C33:C10002,"*1300100*",'91_01_ВГО'!K33:K10002),0)+ROUND(SUMIF('91_01_ВГО'!C33:C10002,"*1300200*",'91_01_ВГО'!K33:K10002),0)+ROUND(SUMIF('91_01_ВГО'!C33:C10002,"*1310100*",'91_01_ВГО'!K33:K10002),0)+ROUND(SUMIF('91_01_ВГО'!C33:C10002,"*1310200*",'91_01_ВГО'!K33:K10002),0)+ROUND(SUMIF('91_01_ВГО'!C33:C10002,"*1310300*",'91_01_ВГО'!K33:K10002),0)+ROUND(SUMIF('91_01_ВГО'!C33:C10002,"*1310400*",'91_01_ВГО'!K33:K10002),0)+ROUND(SUMIF('91_01_ВГО'!C33:C10002,"*1310900*",'91_01_ВГО'!K33:K10002),0)+ROUND(SUMIF('91_01_ВГО'!C33:C10002,"*1320500*",'91_01_ВГО'!K33:K10002),0)+ROUND(SUMIF('91_01'!C36:C10002,"*1320500*",'91_01'!H36:H10002),0)+ROUND(SUMIF('91_01'!C36:C10002,"*1310210*",'91_01'!H36:H10002),0)+ROUND(SUMIF('91_01_ВГО'!C33:C10002,"*1310210*",'91_01_ВГО'!K33:K10002),0)+ROUND(SUMIF('91_01'!C36:C10002,"*1310110*",'91_01'!H36:H10002),0)+ROUND(SUMIF('91_01_ВГО'!C33:C10002,"*1310110*",'91_01_ВГО'!K33:K10002),0)+ROUND(SUMIF('91_01'!C36:C10002,"*1310310*",'91_01'!H36:H10002),0)+ROUND(SUMIF('91_01_ВГО'!C33:C10002,"*1310310*",'91_01_ВГО'!K33:K10002),0)+ROUND(SUMIF('91_01_ВГО'!C33:C10002,"*1310910*",'91_01_ВГО'!K33:K10002),0)+ROUND(SUMIFS(Прочие_расш!J34:J5001,Прочие_расш!C34:C5001,"*1340100*",Прочие_расш!H34:H5001,"*1310200*"),0)+ROUND(SUMIFS(Прочие_расш!J34:J5001,Прочие_расш!C34:C5001,"*1340100*",Прочие_расш!H34:H5001,"*1310300*"),0)+ROUND(SUMIFS(Прочие_расш!J34:J5001,Прочие_расш!C34:C5001,"*1340100*",Прочие_расш!H34:H5001,"*1310400*"),0)+ROUND(SUMIFS(Прочие_расш!J34:J5001,Прочие_расш!C34:C5001,"*1340100*",Прочие_расш!H34:H5001,"*1310900*"),0)+ROUND(SUMIFS(Прочие_расш!J34:J5001,Прочие_расш!C34:C5001,"*1340100*",Прочие_расш!H34:H5001,"*1310310*"),0)+ROUND(SUMIFS(Прочие_расш!J34:J5001,Прочие_расш!C34:C5001,"*1340100*",Прочие_расш!H34:H5001,"*1310910*"),0)+ROUND(SUMIFS(Прочие_расш!J34:J5001,Прочие_расш!C34:C5001,"*1340100*",Прочие_расш!H34:H5001,"*1310210*"),0)+ROUND(SUMIFS(Прочие_расш!J34:J5001,Прочие_расш!C34:C5001,"*1340100*",Прочие_расш!H34:H5001,"*1300200*"),0)+ROUND(SUMIFS(Прочие_расш!J34:J5001,Прочие_расш!C34:C5001,"*1340100*",Прочие_расш!H34:H5001,"*1300100*"),0)+ROUND(SUMIFS(Прочие_расш!J34:J5001,Прочие_расш!C34:C5001,"*1340100*",Прочие_расш!H34:H5001,"*1310100*"),0)+ROUND(SUMIFS(Прочие_расш!J34:J5001,Прочие_расш!C34:C5001,"*1340100*",Прочие_расш!H34:H5001,"*1320500*"),0)+ROUND(SUMIFS(Прочие_расш!J34:J5001,Прочие_расш!C34:C5001,"*1340100*",Прочие_расш!H34:H5001,"*1310110*"),0)</f>
        <v>0</v>
      </c>
      <c r="G61" s="1831">
        <f t="shared" si="4"/>
        <v>0</v>
      </c>
    </row>
    <row r="62" spans="2:7" ht="25">
      <c r="B62" s="1827" t="s">
        <v>7723</v>
      </c>
      <c r="C62" s="1842" t="s">
        <v>7722</v>
      </c>
      <c r="D62" s="1833" t="b">
        <f t="shared" si="5"/>
        <v>1</v>
      </c>
      <c r="E62" s="1830">
        <f>ROUND(SUM('98_01'!K11:O11)+'86'!T11,0)</f>
        <v>0</v>
      </c>
      <c r="F62" s="1830">
        <f>ROUND(SUMIF('91_01'!C36:C10002,"*1300100*",'91_01'!H36:H10002),0)+ROUND(SUMIF('91_01'!C36:C10002,"*1300200*",'91_01'!H36:H10002),0)+ROUND(SUMIF('91_01_ВГО'!C33:C10002,"*1300100*",'91_01_ВГО'!K33:K10002),0)+ROUND(SUMIF('91_01_ВГО'!C33:C10002,"*1300200*",'91_01_ВГО'!K33:K10002),0)+ROUND(SUMIFS(Прочие_расш!J34:J5001,Прочие_расш!C34:C5001,"*1340100*",Прочие_расш!H34:H5001,"*1300100*"),0)+ROUND(SUMIFS(Прочие_расш!J34:J5001,Прочие_расш!C34:C5001,"*1340100*",Прочие_расш!H34:H5001,"*1300200*"),0)</f>
        <v>0</v>
      </c>
      <c r="G62" s="1831">
        <f t="shared" si="4"/>
        <v>0</v>
      </c>
    </row>
    <row r="63" spans="2:7" ht="25">
      <c r="B63" s="1827" t="s">
        <v>7731</v>
      </c>
      <c r="C63" s="1842" t="s">
        <v>7674</v>
      </c>
      <c r="D63" s="1833" t="b">
        <f t="shared" si="5"/>
        <v>1</v>
      </c>
      <c r="E63" s="1830">
        <f>ROUND(SUM('98_01'!K12:O12)+'86'!T12+SUMIF('98_02'!F:F,"{124100} Международная техническая помощь",'98_02'!K:K)+SUMIF('98_02'!F:F,"{124100} Международная техническая помощь",'98_02'!L:L),0)</f>
        <v>0</v>
      </c>
      <c r="F63" s="1830">
        <f>ROUND(SUMIF('91_01'!C36:C10002,"*1310100*",'91_01'!H36:H10002),0)+ROUND(SUMIF('91_01_ВГО'!C33:C10002,"*1310100*",'91_01_ВГО'!K33:K10002),0)+ROUND(SUMIF('91_01'!C36:C10002,"*1310110*",'91_01'!H36:H10002),0)+ROUND(SUMIF('91_01_ВГО'!C33:C10002,"*1310110*",'91_01_ВГО'!K33:K10002),0)+ROUND(SUMIFS(Прочие_расш!J34:J5001,Прочие_расш!C34:C5001,"*1340100*",Прочие_расш!H34:H5001,"*1310100*")+SUMIFS(Прочие_расш!J34:J5001,Прочие_расш!C34:C5001,"*1340100*",Прочие_расш!H34:H5001,"*1310110*"),0)</f>
        <v>0</v>
      </c>
      <c r="G63" s="1831">
        <f t="shared" si="4"/>
        <v>0</v>
      </c>
    </row>
    <row r="64" spans="2:7" ht="25">
      <c r="B64" s="1827" t="s">
        <v>7732</v>
      </c>
      <c r="C64" s="1842" t="s">
        <v>7722</v>
      </c>
      <c r="D64" s="1833" t="b">
        <f t="shared" si="5"/>
        <v>1</v>
      </c>
      <c r="E64" s="1830">
        <f>ROUND(SUM('98_01'!K13:O13)+'86'!T13,0)</f>
        <v>0</v>
      </c>
      <c r="F64" s="1830">
        <f>ROUND(SUMIF('91_01'!C36:C10002,"*1310200*",'91_01'!H36:H10002),0)+ROUND(SUMIF('91_01'!C36:C10002,"*1310210*",'91_01'!H36:H10002),0)+ROUND(SUMIF('91_01_ВГО'!C33:C10002,"*1310200*",'91_01_ВГО'!K33:K10002),0)+ROUND(SUMIF('91_01_ВГО'!C33:C10002,"*1310210*",'91_01_ВГО'!K33:K10002),0)+ROUND(SUMIFS(Прочие_расш!J34:J5001,Прочие_расш!C34:C5001,"*1340100*",Прочие_расш!H34:H5001,"*1310200*"),0)+ROUND(SUMIFS(Прочие_расш!J34:J5001,Прочие_расш!C34:C5001,"*1340100*",Прочие_расш!H34:H5001,"*1310210*"),0)</f>
        <v>0</v>
      </c>
      <c r="G64" s="1831">
        <f t="shared" si="4"/>
        <v>0</v>
      </c>
    </row>
    <row r="65" spans="2:7" ht="25">
      <c r="B65" s="1827" t="s">
        <v>7733</v>
      </c>
      <c r="C65" s="1842" t="s">
        <v>7722</v>
      </c>
      <c r="D65" s="1833" t="b">
        <f t="shared" si="5"/>
        <v>1</v>
      </c>
      <c r="E65" s="1830">
        <f>ROUND(SUM('98_01'!K14:O14),0)+ROUND('86'!T14,0)</f>
        <v>0</v>
      </c>
      <c r="F65" s="1830">
        <f>ROUND(SUMIF('91_01'!C36:C10002,"*1310300*",'91_01'!H36:H10002),0)+ROUND(SUMIF('91_01'!C36:C10002,"*1310400*",'91_01'!H36:H10002),0)+ROUND(SUMIF('91_01'!C36:C10002,"*1310900*",'91_01'!H36:H10002),0)+ROUND(SUMIF('91_01_ВГО'!C33:C10002,"*1310300*",'91_01_ВГО'!K33:K10002),0)+ROUND(SUMIF('91_01_ВГО'!C33:C10002,"*1310400*",'91_01_ВГО'!K33:K10002),0)+ROUND(SUMIF('91_01_ВГО'!C33:C10002,"*1310900*",'91_01_ВГО'!K33:K10002),0)+ROUND(SUMIF('91_01'!C36:C10002,"*1310310*",'91_01'!H36:H10002),0)+ROUND(SUMIF('91_01_ВГО'!C33:C10002,"*1310310*",'91_01_ВГО'!K33:K10002),0)+ROUND(SUMIF('91_01'!C36:C10002,"*1310910*",'91_01'!H36:H10002),0)+ROUND(SUMIF('91_01_ВГО'!C33:C10002,"*1310910*",'91_01_ВГО'!K33:K10002),0)+ROUND(SUMIFS(Прочие_расш!J34:J5001,Прочие_расш!C34:C5001,"*1340100*",Прочие_расш!H34:H5001,"*1310300*"),0)+ROUND(SUMIFS(Прочие_расш!J34:J5001,Прочие_расш!C34:C5001,"*1340100*",Прочие_расш!H34:H5001,"*1310400*"),0)+ROUND(SUMIFS(Прочие_расш!J34:J5001,Прочие_расш!C34:C5001,"*1340100*",Прочие_расш!H34:H5001,"*1310900*"),0)+ROUND(SUMIFS(Прочие_расш!J34:J5001,Прочие_расш!C34:C5001,"*1340100*",Прочие_расш!H34:H5001,"*1310310*"),0)+ROUND(SUMIFS(Прочие_расш!J34:J5001,Прочие_расш!C34:C5001,"*1340100*",Прочие_расш!H34:H5001,"*1310910*"),0)</f>
        <v>0</v>
      </c>
      <c r="G65" s="1831">
        <f>ABS(E65+F65)</f>
        <v>0</v>
      </c>
    </row>
    <row r="66" spans="2:7" ht="25">
      <c r="B66" s="1827" t="s">
        <v>7734</v>
      </c>
      <c r="C66" s="1842" t="s">
        <v>7735</v>
      </c>
      <c r="D66" s="1833" t="b">
        <f t="shared" si="5"/>
        <v>1</v>
      </c>
      <c r="E66" s="1830">
        <f>ROUND(SUMIF('98_02'!F:F,"{129410} Безвозмездное получение имущества",'98_02'!K:K)+SUMIF('98_02'!F:F,"{129410} Безвозмездное получение имущества",'98_02'!L:L),0)</f>
        <v>0</v>
      </c>
      <c r="F66" s="1830">
        <f>ROUND(SUMIF('91_01'!C36:C10002,"*1320500*",'91_01'!H36:H10002)+SUMIFS(Прочие_расш!J34:J5001,Прочие_расш!C34:C5001,"*1340100*",Прочие_расш!H34:H5001,"*1320500*"),0)</f>
        <v>0</v>
      </c>
      <c r="G66" s="1831">
        <f>ABS(E66+F66)</f>
        <v>0</v>
      </c>
    </row>
    <row r="67" spans="2:7" ht="50">
      <c r="B67" s="1827" t="s">
        <v>5913</v>
      </c>
      <c r="C67" s="1842" t="s">
        <v>8495</v>
      </c>
      <c r="D67" s="1833" t="b">
        <f>AND('91_01'!AB8:AB9)</f>
        <v>1</v>
      </c>
      <c r="E67" s="1830" t="s">
        <v>4184</v>
      </c>
      <c r="F67" s="1830" t="s">
        <v>4184</v>
      </c>
      <c r="G67" s="1831" t="s">
        <v>4184</v>
      </c>
    </row>
    <row r="68" spans="2:7" ht="50">
      <c r="B68" s="1827" t="s">
        <v>254</v>
      </c>
      <c r="C68" s="1842" t="s">
        <v>8379</v>
      </c>
      <c r="D68" s="1833" t="b">
        <f>'60,62,63,76_контр'!$AN$6</f>
        <v>1</v>
      </c>
      <c r="E68" s="1830" t="s">
        <v>4184</v>
      </c>
      <c r="F68" s="1830" t="s">
        <v>4184</v>
      </c>
      <c r="G68" s="1831" t="s">
        <v>4184</v>
      </c>
    </row>
    <row r="69" spans="2:7" ht="25">
      <c r="B69" s="1827" t="s">
        <v>5676</v>
      </c>
      <c r="C69" s="1840" t="s">
        <v>221</v>
      </c>
      <c r="D69" s="1833" t="b">
        <f ca="1">IF(G69&gt;1,FALSE,TRUE)</f>
        <v>1</v>
      </c>
      <c r="E69" s="1830" t="s">
        <v>4184</v>
      </c>
      <c r="F69" s="1830" t="s">
        <v>4184</v>
      </c>
      <c r="G69" s="1831">
        <f ca="1">Затраты_Вход_2!O10</f>
        <v>0</v>
      </c>
    </row>
    <row r="70" spans="2:7" ht="25">
      <c r="B70" s="1827" t="s">
        <v>6388</v>
      </c>
      <c r="C70" s="1840" t="s">
        <v>221</v>
      </c>
      <c r="D70" s="1833" t="b">
        <f>AND(Затраты_Вход_2!L10,Затраты_Вход_2!Q10)</f>
        <v>1</v>
      </c>
      <c r="E70" s="1830" t="s">
        <v>4184</v>
      </c>
      <c r="F70" s="1830" t="s">
        <v>4184</v>
      </c>
      <c r="G70" s="1831" t="s">
        <v>4184</v>
      </c>
    </row>
    <row r="71" spans="2:7" ht="25">
      <c r="B71" s="1827" t="s">
        <v>5886</v>
      </c>
      <c r="C71" s="1842" t="s">
        <v>5885</v>
      </c>
      <c r="D71" s="1829" t="b">
        <f ca="1">G71&lt;5</f>
        <v>1</v>
      </c>
      <c r="E71" s="1830">
        <f ca="1">SUMIF('75_01'!G:N,"{10} Расчеты денежными средствами",'75_01'!N:N)</f>
        <v>0</v>
      </c>
      <c r="F71" s="1830">
        <f ca="1">SUMIF('50_51_52_55_57_движ'!C:J,"{3191000_~_~_~} Поступления денежных вкладов собственников (участников)",'50_51_52_55_57_движ'!J:J)+SUMIF('50_51_52_55_57_движ'!C:J,"{3130000_~_~_~} Поступления от эмиссии акций или иных долевых бумаг",'50_51_52_55_57_движ'!J:J)</f>
        <v>0</v>
      </c>
      <c r="G71" s="1846">
        <f ca="1">ABS(E71+F71)</f>
        <v>0</v>
      </c>
    </row>
    <row r="72" spans="2:7" ht="22.5" customHeight="1">
      <c r="B72" s="1827" t="s">
        <v>8723</v>
      </c>
      <c r="C72" s="1844" t="s">
        <v>8724</v>
      </c>
      <c r="D72" s="1829" t="b">
        <v>1</v>
      </c>
      <c r="E72" s="2955">
        <f ca="1">'01'!N8+'02'!M8+'01'!P8+'02'!O8+'07'!N9+'08'!S8+'07'!L9+'08'!O8+'01'!O8+ROUND(SUMIF('45'!C9:C5555,"*01*",'45'!G9:G326),0)+ROUND(SUMIF('45'!C9:C5555,"*01*",'45'!O9:O210),0)+ROUND(SUMIF('45'!C9:C5555,"*01*",'45'!N9:N30),0)</f>
        <v>0</v>
      </c>
      <c r="F72" s="2955">
        <f>-ROUND(SUMIF('91_02'!$C$46:$C$5010,"*2030100*",'91_02'!$F$46:$F$5010),0)-ROUND(SUMIF('91_02'!$C$46:$C$5010,"*2320310*",'91_02'!$F$46:$F$5010),0)-ROUND(SUMIF('91_02'!$C$46:$C$5010,"*2050100*",'91_02'!$F$46:$F$5010),0)</f>
        <v>0</v>
      </c>
      <c r="G72" s="1846">
        <f t="shared" ref="G72:G75" ca="1" si="6">ABS(E72-F72)</f>
        <v>0</v>
      </c>
    </row>
    <row r="73" spans="2:7" ht="25">
      <c r="B73" s="1827" t="s">
        <v>8698</v>
      </c>
      <c r="C73" s="1844" t="s">
        <v>8697</v>
      </c>
      <c r="D73" s="1829" t="b">
        <f>G73&lt;5</f>
        <v>1</v>
      </c>
      <c r="E73" s="1830">
        <f>'01'!Q8+'02'!N8</f>
        <v>0</v>
      </c>
      <c r="F73" s="1830">
        <f>-ROUND(SUMIF('91_02'!$C$46:$C$5010,"*2280100*",'91_02'!$F$46:$F$5010),0)</f>
        <v>0</v>
      </c>
      <c r="G73" s="1846">
        <f t="shared" si="6"/>
        <v>0</v>
      </c>
    </row>
    <row r="74" spans="2:7" ht="25">
      <c r="B74" s="1827" t="s">
        <v>8699</v>
      </c>
      <c r="C74" s="1844" t="s">
        <v>8697</v>
      </c>
      <c r="D74" s="1829" t="b">
        <f>G74&lt;5</f>
        <v>1</v>
      </c>
      <c r="E74" s="1830">
        <f>'01'!U8+'02'!Q8</f>
        <v>0</v>
      </c>
      <c r="F74" s="1830">
        <f>-ROUND(SUMIF('91_02'!$C$46:$C$5010,"*2920000*",'91_02'!$F$46:$F$5010)+SUMIF('91_01'!$C$36:$C$5002,"*1920000*",'91_01'!$H$36:$H$5002),0)-ROUND(SUMIF('91_02'!$C$46:$C$5010,"*2221200*",'91_02'!$F$46:$F$5010)+SUMIF('91_01'!$C$36:$C$5002,"*1221200*",'91_01'!$H$36:$H$5002),0)</f>
        <v>0</v>
      </c>
      <c r="G74" s="1846">
        <f t="shared" si="6"/>
        <v>0</v>
      </c>
    </row>
    <row r="75" spans="2:7" ht="25">
      <c r="B75" s="1827" t="s">
        <v>8701</v>
      </c>
      <c r="C75" s="1844" t="s">
        <v>8700</v>
      </c>
      <c r="D75" s="1829" t="b">
        <v>1</v>
      </c>
      <c r="E75" s="1830">
        <f>'07'!O9+'08'!T8</f>
        <v>0</v>
      </c>
      <c r="F75" s="1830">
        <f>-ROUND(SUMIF('91_02'!$C$46:$C$5010,"*2280300*",'91_02'!$F$46:$F$5010),0)</f>
        <v>0</v>
      </c>
      <c r="G75" s="1846">
        <f t="shared" si="6"/>
        <v>0</v>
      </c>
    </row>
    <row r="76" spans="2:7">
      <c r="B76" s="1843" t="s">
        <v>6389</v>
      </c>
      <c r="C76" s="1844" t="s">
        <v>5686</v>
      </c>
      <c r="D76" s="1829" t="b">
        <f t="shared" ref="D76:D97" si="7">G76&lt;5</f>
        <v>1</v>
      </c>
      <c r="E76" s="1845">
        <f>-'75_02'!P8</f>
        <v>0</v>
      </c>
      <c r="F76" s="1845">
        <f>'84'!F11+'84'!N11</f>
        <v>0</v>
      </c>
      <c r="G76" s="1846">
        <f>ABS(E76-F76)</f>
        <v>0</v>
      </c>
    </row>
    <row r="77" spans="2:7">
      <c r="B77" s="1843" t="s">
        <v>6390</v>
      </c>
      <c r="C77" s="1844" t="s">
        <v>1000</v>
      </c>
      <c r="D77" s="1829" t="b">
        <f t="shared" si="7"/>
        <v>1</v>
      </c>
      <c r="E77" s="1845">
        <f>-'80'!V11-'80'!F11</f>
        <v>0</v>
      </c>
      <c r="F77" s="1845">
        <f>'84'!J11</f>
        <v>0</v>
      </c>
      <c r="G77" s="1846">
        <f>ABS(E77-F77)</f>
        <v>0</v>
      </c>
    </row>
    <row r="78" spans="2:7" ht="37.5">
      <c r="B78" s="1843" t="s">
        <v>1001</v>
      </c>
      <c r="C78" s="1844">
        <v>86.98</v>
      </c>
      <c r="D78" s="1829" t="b">
        <f t="shared" si="7"/>
        <v>1</v>
      </c>
      <c r="E78" s="1845">
        <f>'86'!O10</f>
        <v>0</v>
      </c>
      <c r="F78" s="1845">
        <f>-'98_01'!Q10</f>
        <v>0</v>
      </c>
      <c r="G78" s="1846">
        <f t="shared" ref="G78:G131" si="8">ABS(E78-F78)</f>
        <v>0</v>
      </c>
    </row>
    <row r="79" spans="2:7" ht="25">
      <c r="B79" s="1843" t="s">
        <v>1002</v>
      </c>
      <c r="C79" s="1844">
        <v>86.98</v>
      </c>
      <c r="D79" s="1829" t="b">
        <f t="shared" si="7"/>
        <v>1</v>
      </c>
      <c r="E79" s="1845">
        <f>'86'!P10</f>
        <v>0</v>
      </c>
      <c r="F79" s="1845">
        <f>-'98_01'!R10</f>
        <v>0</v>
      </c>
      <c r="G79" s="1846">
        <f t="shared" si="8"/>
        <v>0</v>
      </c>
    </row>
    <row r="80" spans="2:7" ht="50">
      <c r="B80" s="1843" t="s">
        <v>1003</v>
      </c>
      <c r="C80" s="1844">
        <v>86.98</v>
      </c>
      <c r="D80" s="1829" t="b">
        <f t="shared" si="7"/>
        <v>1</v>
      </c>
      <c r="E80" s="1845">
        <f>'86'!Q10</f>
        <v>0</v>
      </c>
      <c r="F80" s="1845">
        <f>-'98_01'!U10</f>
        <v>0</v>
      </c>
      <c r="G80" s="1846">
        <f t="shared" si="8"/>
        <v>0</v>
      </c>
    </row>
    <row r="81" spans="2:7" ht="50">
      <c r="B81" s="1843" t="s">
        <v>707</v>
      </c>
      <c r="C81" s="1844">
        <v>86.98</v>
      </c>
      <c r="D81" s="1829" t="b">
        <f t="shared" si="7"/>
        <v>1</v>
      </c>
      <c r="E81" s="1845">
        <f>'86'!R10</f>
        <v>0</v>
      </c>
      <c r="F81" s="1845">
        <f>-'98_01'!S10</f>
        <v>0</v>
      </c>
      <c r="G81" s="1846">
        <f t="shared" si="8"/>
        <v>0</v>
      </c>
    </row>
    <row r="82" spans="2:7" ht="37.5">
      <c r="B82" s="1843" t="s">
        <v>708</v>
      </c>
      <c r="C82" s="1844">
        <v>86.98</v>
      </c>
      <c r="D82" s="1829" t="b">
        <f t="shared" si="7"/>
        <v>1</v>
      </c>
      <c r="E82" s="1845">
        <f>'86'!S10</f>
        <v>0</v>
      </c>
      <c r="F82" s="1845">
        <f>-'98_01'!T10</f>
        <v>0</v>
      </c>
      <c r="G82" s="1846">
        <f t="shared" si="8"/>
        <v>0</v>
      </c>
    </row>
    <row r="83" spans="2:7" ht="37.5">
      <c r="B83" s="1843" t="s">
        <v>403</v>
      </c>
      <c r="C83" s="1844" t="s">
        <v>10232</v>
      </c>
      <c r="D83" s="1829" t="b">
        <f t="shared" ca="1" si="7"/>
        <v>1</v>
      </c>
      <c r="E83" s="1845">
        <f ca="1">-SUMIF('91_01'!C:I,"{1230900} Доходы в виде сумм восстановленных оценочных обязательств по выводу из эксплуатации объектов основных средств",'91_01'!H:H)-SUMIFS('84_расш'!D:D,'84_расш'!D:D,"&lt;0",'84_расш'!H:H,"96_20100_Оценочные обязательства по выводу из эксплуатации объектов основных средств")-SUMIFS(Прочие_расш!J:J,Прочие_расш!C:C,"{1340100} Доходы прошлых лет, выявленные в отчетном периоде (нетто)",Прочие_расш!H:H,"{1230900} Доходы в виде сумм восстановленных оценочных обязательств по выводу из эксплуатации объектов основных средств")</f>
        <v>0</v>
      </c>
      <c r="F83" s="1845">
        <f>'96'!$J$37</f>
        <v>0</v>
      </c>
      <c r="G83" s="1846">
        <f ca="1">ABS(E83-F83)</f>
        <v>0</v>
      </c>
    </row>
    <row r="84" spans="2:7" ht="37.5">
      <c r="B84" s="1843" t="s">
        <v>890</v>
      </c>
      <c r="C84" s="1844" t="s">
        <v>10232</v>
      </c>
      <c r="D84" s="1829" t="b">
        <f t="shared" ca="1" si="7"/>
        <v>1</v>
      </c>
      <c r="E84" s="1845">
        <f ca="1">-SUMIF('91_01'!C:I,"{1231200} Доходы в виде сумм восстановленных оценочных обязательств по обращению с радиоактивными и прочими отходами",'91_01'!H:H)-SUMIFS('84_расш'!D:D,'84_расш'!D:D,"&lt;0",'84_расш'!H:H,"96_20300_Оценочные обязательства по обращению с радиоактивными и прочими отходами")-SUMIFS(Прочие_расш!J:J,Прочие_расш!C:C,"{1340100} Доходы прошлых лет, выявленные в отчетном периоде (нетто)",Прочие_расш!H:H,"{1231200} Доходы в виде сумм восстановленных оценочных обязательств по обращению с радиоактивными и прочими отходами")</f>
        <v>0</v>
      </c>
      <c r="F84" s="1845">
        <f>'96'!$J$39</f>
        <v>0</v>
      </c>
      <c r="G84" s="1846">
        <f t="shared" ca="1" si="8"/>
        <v>0</v>
      </c>
    </row>
    <row r="85" spans="2:7" ht="37.5">
      <c r="B85" s="1843" t="s">
        <v>716</v>
      </c>
      <c r="C85" s="1844" t="s">
        <v>10232</v>
      </c>
      <c r="D85" s="1829" t="b">
        <f t="shared" ca="1" si="7"/>
        <v>1</v>
      </c>
      <c r="E85" s="1845">
        <f ca="1">-SUMIF('91_01'!C:I,"{1230100} Доходы в виде сумм восстановленных оценочных обязательств по рекультивации нарушенных земель",'91_01'!H:H)-SUMIFS('84_расш'!D:D,'84_расш'!D:D,"&lt;0",'84_расш'!H:H,"96_20200_Оценочные обязательства по рекультивации нарушенных земель")-SUMIFS(Прочие_расш!J:J,Прочие_расш!C:C,"{1340100} Доходы прошлых лет, выявленные в отчетном периоде (нетто)",Прочие_расш!H:H,"{1230100} Доходы в виде сумм восстановленных оценочных обязательств по рекультивации нарушенных земель")</f>
        <v>0</v>
      </c>
      <c r="F85" s="1845">
        <f>'96'!$J$38</f>
        <v>0</v>
      </c>
      <c r="G85" s="1846">
        <f t="shared" ca="1" si="8"/>
        <v>0</v>
      </c>
    </row>
    <row r="86" spans="2:7" ht="37.5">
      <c r="B86" s="1843" t="s">
        <v>718</v>
      </c>
      <c r="C86" s="1844" t="s">
        <v>10232</v>
      </c>
      <c r="D86" s="1829" t="b">
        <f t="shared" ca="1" si="7"/>
        <v>1</v>
      </c>
      <c r="E86" s="1845">
        <f ca="1">-SUMIF('91_01'!C:I,"{1230200} Доходы в виде сумм восстановленных оценочных обязательств на проведение экологических мероприятий",'91_01'!H:H)-SUMIFS('84_расш'!D:D,'84_расш'!D:D,"&lt;0",'84_расш'!H:H,"96_20400_Оценочные обязательства по проведению экологических мероприятий")-SUMIFS(Прочие_расш!J:J,Прочие_расш!C:C,"{1340100} Доходы прошлых лет, выявленные в отчетном периоде (нетто)",Прочие_расш!H:H,"{1230200} Доходы в виде сумм восстановленных оценочных обязательств на проведение экологических мероприятий")</f>
        <v>0</v>
      </c>
      <c r="F86" s="1845">
        <f>'96'!$J$40</f>
        <v>0</v>
      </c>
      <c r="G86" s="1846">
        <f t="shared" ca="1" si="8"/>
        <v>0</v>
      </c>
    </row>
    <row r="87" spans="2:7" ht="37.5">
      <c r="B87" s="1843" t="s">
        <v>871</v>
      </c>
      <c r="C87" s="1844" t="s">
        <v>10232</v>
      </c>
      <c r="D87" s="1829" t="b">
        <f t="shared" ca="1" si="7"/>
        <v>1</v>
      </c>
      <c r="E87" s="1845">
        <f ca="1">-SUMIF('91_01'!C:I,"{1230300} Доходы в виде сумм восстановленных оценочных обязательств по обременительным договорам",'91_01'!H:H)-SUMIFS('84_расш'!D:D,'84_расш'!D:D,"&lt;0",'84_расш'!H:H,"96_20500_Оценочные обязательства по обременительным договорам")-SUMIFS(Прочие_расш!J:J,Прочие_расш!C:C,"{1340100} Доходы прошлых лет, выявленные в отчетном периоде (нетто)",Прочие_расш!H:H,"{1230300} Доходы в виде сумм восстановленных оценочных обязательств по обременительным договорам")</f>
        <v>0</v>
      </c>
      <c r="F87" s="1845">
        <f>'96'!$J$41</f>
        <v>0</v>
      </c>
      <c r="G87" s="1846">
        <f t="shared" ca="1" si="8"/>
        <v>0</v>
      </c>
    </row>
    <row r="88" spans="2:7" ht="25">
      <c r="B88" s="1843" t="s">
        <v>872</v>
      </c>
      <c r="C88" s="1844" t="s">
        <v>10232</v>
      </c>
      <c r="D88" s="1829" t="b">
        <f t="shared" ca="1" si="7"/>
        <v>1</v>
      </c>
      <c r="E88" s="1845">
        <f ca="1">-SUMIF('91_01'!C:I,"{1230400} Доходы в виде сумм восстановленных оценочных обязательств по судебным искам",'91_01'!H:H)-SUMIFS('84_расш'!D:D,'84_расш'!D:D,"&lt;0",'84_расш'!H:H,"96_20600_Оценочные обязательства по судебным искам")-SUMIFS(Прочие_расш!J:J,Прочие_расш!C:C,"{1340100} Доходы прошлых лет, выявленные в отчетном периоде (нетто)",Прочие_расш!H:H,"{1230400} Доходы в виде сумм восстановленных оценочных обязательств по судебным искам")</f>
        <v>0</v>
      </c>
      <c r="F88" s="1845">
        <f>'96'!$J$42</f>
        <v>0</v>
      </c>
      <c r="G88" s="1846">
        <f t="shared" ca="1" si="8"/>
        <v>0</v>
      </c>
    </row>
    <row r="89" spans="2:7" ht="37.5">
      <c r="B89" s="1843" t="s">
        <v>873</v>
      </c>
      <c r="C89" s="1844" t="s">
        <v>10232</v>
      </c>
      <c r="D89" s="1829" t="b">
        <f t="shared" ca="1" si="7"/>
        <v>1</v>
      </c>
      <c r="E89" s="1845">
        <f ca="1">-SUMIF('91_01'!C:I,"{1230500} Доходы в виде сумм восстановленных оценочных обязательств по налоговым искам/претензиям",'91_01'!H:H)-SUMIFS('84_расш'!D:D,'84_расш'!D:D,"&lt;0",'84_расш'!H:H,"96_20700_Оценочные обязательства по налоговым искам/претензиям")-SUMIFS(Прочие_расш!J:J,Прочие_расш!C:C,"{1340100} Доходы прошлых лет, выявленные в отчетном периоде (нетто)",Прочие_расш!H:H,"{1230500} Доходы в виде сумм восстановленных оценочных обязательств по налоговым искам/претензиям")</f>
        <v>0</v>
      </c>
      <c r="F89" s="1845">
        <f>'96'!$J$43</f>
        <v>0</v>
      </c>
      <c r="G89" s="1846">
        <f t="shared" ca="1" si="8"/>
        <v>0</v>
      </c>
    </row>
    <row r="90" spans="2:7" ht="37.5">
      <c r="B90" s="1843" t="s">
        <v>874</v>
      </c>
      <c r="C90" s="1844" t="s">
        <v>10232</v>
      </c>
      <c r="D90" s="1829" t="b">
        <f t="shared" ca="1" si="7"/>
        <v>1</v>
      </c>
      <c r="E90" s="1845">
        <f ca="1">-SUMIF('91_01'!C:I,"{1230600} Доходы в виде сумм восстановленных оценочных обязательств на реструктуризацию",'91_01'!H:H)-SUMIFS('84_расш'!D:D,'84_расш'!D:D,"&lt;0",'84_расш'!H:H,"96_20800_Оценочные обязательства по реструктуризации")-SUMIFS(Прочие_расш!J:J,Прочие_расш!C:C,"{1340100} Доходы прошлых лет, выявленные в отчетном периоде (нетто)",Прочие_расш!H:H,"{1230600} Доходы в виде сумм восстановленных оценочных обязательств на реструктуризацию")</f>
        <v>0</v>
      </c>
      <c r="F90" s="1845">
        <f>'96'!$J$44</f>
        <v>0</v>
      </c>
      <c r="G90" s="1846">
        <f t="shared" ca="1" si="8"/>
        <v>0</v>
      </c>
    </row>
    <row r="91" spans="2:7" ht="37.5">
      <c r="B91" s="1843" t="s">
        <v>875</v>
      </c>
      <c r="C91" s="1844" t="s">
        <v>10232</v>
      </c>
      <c r="D91" s="1829" t="b">
        <f t="shared" ca="1" si="7"/>
        <v>1</v>
      </c>
      <c r="E91" s="1845">
        <f ca="1">-SUMIF('91_01'!C:I,"{1230700} Доходы в виде сумм восстановленных оценочных обязательств по гарантийным обязательствам",'91_01'!H:H)-SUMIFS('84_расш'!D:D,'84_расш'!D:D,"&lt;0",'84_расш'!H:H,"96_20900_Оценочные обязательства по гарантийным обязательствам")-SUMIFS(Прочие_расш!J:J,Прочие_расш!C:C,"{1340100} Доходы прошлых лет, выявленные в отчетном периоде (нетто)",Прочие_расш!H:H,"{1230700} Доходы в виде сумм восстановленных оценочных обязательств по гарантийным обязательствам")</f>
        <v>0</v>
      </c>
      <c r="F91" s="1845">
        <f>'96'!$J$45</f>
        <v>0</v>
      </c>
      <c r="G91" s="1846">
        <f t="shared" ca="1" si="8"/>
        <v>0</v>
      </c>
    </row>
    <row r="92" spans="2:7" ht="37.5">
      <c r="B92" s="1843" t="s">
        <v>876</v>
      </c>
      <c r="C92" s="1844" t="s">
        <v>10232</v>
      </c>
      <c r="D92" s="1829" t="b">
        <f t="shared" ca="1" si="7"/>
        <v>1</v>
      </c>
      <c r="E92" s="1845">
        <f ca="1">-SUMIF('91_01'!C:I,"{1230800} Доходы в виде сумм восстановленных оценочных обязательств по финансовым гарантиям /поручительствам",'91_01'!H:H)-SUMIFS('84_расш'!D:D,'84_расш'!D:D,"&lt;0",'84_расш'!H:H,"96_21000_Оценочные обязательства по финансовым гарантиям/поручительствам")-SUMIFS(Прочие_расш!J:J,Прочие_расш!C:C,"{1340100} Доходы прошлых лет, выявленные в отчетном периоде (нетто)",Прочие_расш!H:H,"{1230800} Доходы в виде сумм восстановленных оценочных обязательств по финансовым гарантиям /поручительствам")</f>
        <v>0</v>
      </c>
      <c r="F92" s="1845">
        <f>'96'!$J$46</f>
        <v>0</v>
      </c>
      <c r="G92" s="1846">
        <f t="shared" ca="1" si="8"/>
        <v>0</v>
      </c>
    </row>
    <row r="93" spans="2:7" ht="25">
      <c r="B93" s="1843" t="s">
        <v>404</v>
      </c>
      <c r="C93" s="1844" t="s">
        <v>10232</v>
      </c>
      <c r="D93" s="1829" t="b">
        <f t="shared" ca="1" si="7"/>
        <v>1</v>
      </c>
      <c r="E93" s="1845">
        <f ca="1">-SUMIF('91_01'!C:I,"{1239900} Доходы в виде сумм восстановленных прочих оценочных обязательств",'91_01'!H:H)-SUMIFS('84_расш'!D:D,'84_расш'!D:D,"&lt;0",'84_расш'!H:H,"96_21100_Прочие оценочные обязательства")-SUMIFS(Прочие_расш!J:J,Прочие_расш!C:C,"{1340100} Доходы прошлых лет, выявленные в отчетном периоде (нетто)",Прочие_расш!H:H,"{1239900} Доходы в виде сумм восстановленных прочих оценочных обязательств")</f>
        <v>0</v>
      </c>
      <c r="F93" s="1845">
        <f>'96'!$J$47+'96'!$J$25+'96'!$J$26</f>
        <v>0</v>
      </c>
      <c r="G93" s="1846">
        <f t="shared" ca="1" si="8"/>
        <v>0</v>
      </c>
    </row>
    <row r="94" spans="2:7" ht="37.5">
      <c r="B94" s="1843" t="s">
        <v>877</v>
      </c>
      <c r="C94" s="1844" t="s">
        <v>717</v>
      </c>
      <c r="D94" s="1829" t="b">
        <f t="shared" ca="1" si="7"/>
        <v>1</v>
      </c>
      <c r="E94" s="1845">
        <f ca="1">-SUMIF('91_01'!C:I,"{1231000} Доходы в виде сумм восстановленных оценочных обязательств на выплату вознаграждений по итогам года",'91_01'!H:H)-SUMIFS(Прочие_расш!J:J,Прочие_расш!C:C,"{1340100} Доходы прошлых лет, выявленные в отчетном периоде (нетто)",Прочие_расш!H:H,"{1231000} Доходы в виде сумм восстановленных оценочных обязательств на выплату вознаграждений по итогам года")</f>
        <v>0</v>
      </c>
      <c r="F94" s="1845">
        <f>'96'!$J$11</f>
        <v>0</v>
      </c>
      <c r="G94" s="1846">
        <f t="shared" ca="1" si="8"/>
        <v>0</v>
      </c>
    </row>
    <row r="95" spans="2:7" ht="25">
      <c r="B95" s="1843" t="s">
        <v>878</v>
      </c>
      <c r="C95" s="1844" t="s">
        <v>717</v>
      </c>
      <c r="D95" s="1829" t="b">
        <f t="shared" ca="1" si="7"/>
        <v>1</v>
      </c>
      <c r="E95" s="1845">
        <f ca="1">-SUMIF('91_01'!C:I,"{1231100} Доходы в виде сумм восстановленных оценочных обязательств на выплату отпускных",'91_01'!H:H)-SUMIFS(Прочие_расш!J:J,Прочие_расш!C:C,"{1340100} Доходы прошлых лет, выявленные в отчетном периоде (нетто)",Прочие_расш!H:H,"{1231100} Доходы в виде сумм восстановленных оценочных обязательств на выплату отпускных")</f>
        <v>0</v>
      </c>
      <c r="F95" s="1845">
        <f>'96'!$J$18</f>
        <v>0</v>
      </c>
      <c r="G95" s="1846">
        <f t="shared" ca="1" si="8"/>
        <v>0</v>
      </c>
    </row>
    <row r="96" spans="2:7" ht="25">
      <c r="B96" s="1843" t="s">
        <v>879</v>
      </c>
      <c r="C96" s="1844" t="s">
        <v>10232</v>
      </c>
      <c r="D96" s="1829" t="b">
        <f t="shared" ca="1" si="7"/>
        <v>1</v>
      </c>
      <c r="E96" s="1845">
        <f ca="1">-SUMIF('91_01'!C:I,"{1240000} Доходы в виде сумм восстановленных отраслевых резервов",'91_01'!H:H)-SUMIFS('84_расш'!D:D,'84_расш'!D:D,"&lt;0",'84_расш'!H:H,"96_30000_Отраслевые резервы")-SUMIFS(Прочие_расш!J:J,Прочие_расш!C:C,"{1340100} Доходы прошлых лет, выявленные в отчетном периоде (нетто)",Прочие_расш!H:H,"{1240000} Доходы в виде сумм восстановленных отраслевых резервов")</f>
        <v>0</v>
      </c>
      <c r="F96" s="1845">
        <f>'96'!$J$49</f>
        <v>0</v>
      </c>
      <c r="G96" s="1846">
        <f t="shared" ca="1" si="8"/>
        <v>0</v>
      </c>
    </row>
    <row r="97" spans="2:8" s="3003" customFormat="1" ht="37.5">
      <c r="B97" s="1843" t="s">
        <v>10101</v>
      </c>
      <c r="C97" s="1844" t="s">
        <v>717</v>
      </c>
      <c r="D97" s="1829" t="b">
        <f t="shared" ca="1" si="7"/>
        <v>1</v>
      </c>
      <c r="E97" s="1845">
        <f ca="1">-SUMIF('91_01'!C:I,"{1232000} Доходы в виде сумм восстановленных оценочных обязательств по обращению с ОЯТ",'91_01'!H:H)-SUMIFS(Прочие_расш!J:J,Прочие_расш!C:C,"{1340100} Доходы прошлых лет, выявленные в отчетном периоде (нетто)",Прочие_расш!H:H,"{1232000} Доходы в виде сумм восстановленных оценочных обязательств по обращению с ОЯТ")</f>
        <v>0</v>
      </c>
      <c r="F97" s="1845">
        <f>'96'!$J$48</f>
        <v>0</v>
      </c>
      <c r="G97" s="1846">
        <f t="shared" ref="G97" ca="1" si="9">ABS(E97-F97)</f>
        <v>0</v>
      </c>
      <c r="H97" s="3004"/>
    </row>
    <row r="98" spans="2:8" ht="25">
      <c r="B98" s="1843" t="s">
        <v>8739</v>
      </c>
      <c r="C98" s="1844" t="s">
        <v>412</v>
      </c>
      <c r="D98" s="1829" t="b">
        <f ca="1">ABS(G98)&lt;=5</f>
        <v>1</v>
      </c>
      <c r="E98" s="1845">
        <f ca="1">SUMIF('91_02'!C:F,"{2180900} Процентные расходы от изменения дисконтированной стоимости",'91_02'!F:F)+SUMIFS(Прочие_расш!$J$34:$J$5002,Прочие_расш!$C$34:$C$5002,"*Убытки прошлых лет, признанные в текущем году*",Прочие_расш!$H$34:$H$5002,"{2180900} Процентные расходы от изменения дисконтированной стоимости")</f>
        <v>0</v>
      </c>
      <c r="F98" s="1845">
        <f>-'96'!$M$9</f>
        <v>0</v>
      </c>
      <c r="G98" s="1846">
        <f ca="1">ABS(E98-F98)</f>
        <v>0</v>
      </c>
    </row>
    <row r="99" spans="2:8" ht="37.5">
      <c r="B99" s="1843" t="s">
        <v>5276</v>
      </c>
      <c r="C99" s="1844" t="s">
        <v>5275</v>
      </c>
      <c r="D99" s="1829" t="b">
        <f>G99&lt;5</f>
        <v>1</v>
      </c>
      <c r="E99" s="1830">
        <f>'40'!G9</f>
        <v>0</v>
      </c>
      <c r="F99" s="1830">
        <f>'43'!G8</f>
        <v>0</v>
      </c>
      <c r="G99" s="1846">
        <f>ABS(E99+F99)</f>
        <v>0</v>
      </c>
    </row>
    <row r="100" spans="2:8" ht="37.5">
      <c r="B100" s="1843" t="s">
        <v>9681</v>
      </c>
      <c r="C100" s="1844">
        <v>82.84</v>
      </c>
      <c r="D100" s="1829" t="b">
        <f>ABS(G100)&lt;=5</f>
        <v>1</v>
      </c>
      <c r="E100" s="1830">
        <f>SUM(Свод_по_счетам!K31:L32)</f>
        <v>0</v>
      </c>
      <c r="F100" s="1830">
        <f>'84'!I13</f>
        <v>0</v>
      </c>
      <c r="G100" s="1846">
        <f>ABS(E100)-ABS('84'!I13)</f>
        <v>0</v>
      </c>
    </row>
    <row r="101" spans="2:8">
      <c r="B101" s="1843" t="s">
        <v>5678</v>
      </c>
      <c r="C101" s="1844" t="s">
        <v>5677</v>
      </c>
      <c r="D101" s="1829" t="b">
        <f>G101&lt;1</f>
        <v>1</v>
      </c>
      <c r="E101" s="1830" t="s">
        <v>4184</v>
      </c>
      <c r="F101" s="1830" t="s">
        <v>4184</v>
      </c>
      <c r="G101" s="1846">
        <f>Затраты_Вход_2!T8</f>
        <v>0</v>
      </c>
    </row>
    <row r="102" spans="2:8">
      <c r="B102" s="1843" t="s">
        <v>7511</v>
      </c>
      <c r="C102" s="1844" t="s">
        <v>7512</v>
      </c>
      <c r="D102" s="1829" t="b">
        <v>1</v>
      </c>
      <c r="E102" s="1830">
        <f>Затраты_Вход_1!J16</f>
        <v>0</v>
      </c>
      <c r="F102" s="1830">
        <f>Свод_по_счетам!K22</f>
        <v>0</v>
      </c>
      <c r="G102" s="1846">
        <f t="shared" si="8"/>
        <v>0</v>
      </c>
    </row>
    <row r="103" spans="2:8">
      <c r="B103" s="1843" t="s">
        <v>8770</v>
      </c>
      <c r="C103" s="1844" t="s">
        <v>8764</v>
      </c>
      <c r="D103" s="1829" t="b">
        <f>AND(ABS(E103)&lt;=5,ABS(F103)&lt;=5)</f>
        <v>1</v>
      </c>
      <c r="E103" s="1830">
        <f>ROUND(ОСВ_система!G14-Свод_по_счетам!K9,0)</f>
        <v>0</v>
      </c>
      <c r="F103" s="1830">
        <f>ROUND(ОСВ_система!H14+Свод_по_счетам!L9,0)</f>
        <v>0</v>
      </c>
      <c r="G103" s="1846" t="s">
        <v>4184</v>
      </c>
    </row>
    <row r="104" spans="2:8">
      <c r="B104" s="1843" t="s">
        <v>8771</v>
      </c>
      <c r="C104" s="1844" t="s">
        <v>8765</v>
      </c>
      <c r="D104" s="1829" t="b">
        <f t="shared" ref="D104:D109" si="10">AND(ABS(E104)&lt;=5,ABS(F104)&lt;=5)</f>
        <v>1</v>
      </c>
      <c r="E104" s="1830">
        <f>ROUND(ОСВ_система!G24-Свод_по_счетам!K22,0)</f>
        <v>0</v>
      </c>
      <c r="F104" s="1830">
        <f>ROUND(ОСВ_система!H24+Свод_по_счетам!L22,0)</f>
        <v>0</v>
      </c>
      <c r="G104" s="1846" t="s">
        <v>4184</v>
      </c>
    </row>
    <row r="105" spans="2:8">
      <c r="B105" s="1843" t="s">
        <v>8772</v>
      </c>
      <c r="C105" s="1844" t="s">
        <v>8766</v>
      </c>
      <c r="D105" s="1829" t="b">
        <f t="shared" si="10"/>
        <v>1</v>
      </c>
      <c r="E105" s="1830">
        <f>ROUND(ОСВ_система!G28-Свод_по_счетам!K27,0)</f>
        <v>0</v>
      </c>
      <c r="F105" s="1830">
        <f>ROUND(ОСВ_система!H28+Свод_по_счетам!L27,0)</f>
        <v>0</v>
      </c>
      <c r="G105" s="1846" t="s">
        <v>4184</v>
      </c>
    </row>
    <row r="106" spans="2:8">
      <c r="B106" s="1843" t="s">
        <v>8773</v>
      </c>
      <c r="C106" s="1844" t="s">
        <v>8762</v>
      </c>
      <c r="D106" s="1829" t="b">
        <f t="shared" si="10"/>
        <v>1</v>
      </c>
      <c r="E106" s="1830">
        <f>ROUND(ОСВ_система!G47-Свод_по_счетам!K28,0)</f>
        <v>0</v>
      </c>
      <c r="F106" s="1830">
        <f>ROUND(ОСВ_система!H47+Свод_по_счетам!L28,0)</f>
        <v>0</v>
      </c>
      <c r="G106" s="1846" t="s">
        <v>4184</v>
      </c>
    </row>
    <row r="107" spans="2:8">
      <c r="B107" s="1843" t="s">
        <v>8774</v>
      </c>
      <c r="C107" s="1844" t="s">
        <v>8767</v>
      </c>
      <c r="D107" s="1829" t="b">
        <f t="shared" si="10"/>
        <v>1</v>
      </c>
      <c r="E107" s="1830">
        <f>ROUND(ОСВ_система!G48-Свод_по_счетам!K29,0)</f>
        <v>0</v>
      </c>
      <c r="F107" s="1830">
        <f>ROUND(ОСВ_система!H48+Свод_по_счетам!L29,0)</f>
        <v>0</v>
      </c>
      <c r="G107" s="1846" t="s">
        <v>4184</v>
      </c>
    </row>
    <row r="108" spans="2:8">
      <c r="B108" s="1843" t="s">
        <v>8775</v>
      </c>
      <c r="C108" s="1844" t="s">
        <v>8768</v>
      </c>
      <c r="D108" s="1829" t="b">
        <f t="shared" si="10"/>
        <v>1</v>
      </c>
      <c r="E108" s="1830">
        <f>ROUND(ОСВ_система!G55-Свод_по_счетам!K30,0)</f>
        <v>0</v>
      </c>
      <c r="F108" s="1830">
        <f>ROUND(ОСВ_система!H55+Свод_по_счетам!L30,0)</f>
        <v>0</v>
      </c>
      <c r="G108" s="1846" t="s">
        <v>4184</v>
      </c>
    </row>
    <row r="109" spans="2:8">
      <c r="B109" s="1843" t="s">
        <v>8763</v>
      </c>
      <c r="C109" s="1844" t="s">
        <v>8769</v>
      </c>
      <c r="D109" s="1829" t="b">
        <f t="shared" si="10"/>
        <v>1</v>
      </c>
      <c r="E109" s="1830">
        <f>ROUND(ОСВ_система!G62-Свод_по_счетам!K37,0)</f>
        <v>0</v>
      </c>
      <c r="F109" s="1830">
        <f>ROUND(ОСВ_система!H62+Свод_по_счетам!L37,0)</f>
        <v>0</v>
      </c>
      <c r="G109" s="1846" t="s">
        <v>4184</v>
      </c>
    </row>
    <row r="110" spans="2:8" s="3003" customFormat="1">
      <c r="B110" s="1843" t="s">
        <v>9617</v>
      </c>
      <c r="C110" s="1844" t="s">
        <v>7512</v>
      </c>
      <c r="D110" s="1829" t="b">
        <f>E110&lt;=F110</f>
        <v>1</v>
      </c>
      <c r="E110" s="3005">
        <f>Затраты_Вход_1!J10</f>
        <v>0</v>
      </c>
      <c r="F110" s="3005">
        <f>Свод_по_счетам!K22</f>
        <v>0</v>
      </c>
      <c r="G110" s="1846" t="s">
        <v>4184</v>
      </c>
      <c r="H110" s="3004"/>
    </row>
    <row r="111" spans="2:8" ht="31.5" customHeight="1">
      <c r="B111" s="1843" t="s">
        <v>5900</v>
      </c>
      <c r="C111" s="1844" t="s">
        <v>14993</v>
      </c>
      <c r="D111" s="1829" t="b">
        <f ca="1">'96'!AE26</f>
        <v>1</v>
      </c>
      <c r="E111" s="1830" t="s">
        <v>4184</v>
      </c>
      <c r="F111" s="1830" t="s">
        <v>4184</v>
      </c>
      <c r="G111" s="1846" t="s">
        <v>4184</v>
      </c>
    </row>
    <row r="112" spans="2:8" ht="25">
      <c r="B112" s="1843" t="s">
        <v>1554</v>
      </c>
      <c r="C112" s="1844" t="s">
        <v>1555</v>
      </c>
      <c r="D112" s="1829" t="b">
        <f t="shared" ref="D112:D121" ca="1" si="11">G112&lt;5</f>
        <v>1</v>
      </c>
      <c r="E112" s="1845">
        <f ca="1">SUMIF(Затраты_Вход_1!C:H,"{51010100} Резерв на обеспечение безопасности",Затраты_Вход_1!H:H)+SUMIF(Прочие_расш!$D$38:$D$3402,"{51010100} Резерв на обеспечение безопасности",Прочие_расш!$K$34:$K$3402)</f>
        <v>0</v>
      </c>
      <c r="F112" s="1845">
        <f>-'96'!$K$50</f>
        <v>0</v>
      </c>
      <c r="G112" s="1846">
        <f t="shared" ca="1" si="8"/>
        <v>0</v>
      </c>
      <c r="H112" s="3004"/>
    </row>
    <row r="113" spans="2:8" ht="25">
      <c r="B113" s="1843" t="s">
        <v>1556</v>
      </c>
      <c r="C113" s="1844" t="s">
        <v>1555</v>
      </c>
      <c r="D113" s="1829" t="b">
        <f t="shared" ca="1" si="11"/>
        <v>1</v>
      </c>
      <c r="E113" s="1830">
        <f ca="1">SUMIF(Затраты_Вход_1!C:H,"{51010200} Резерв на вывод из эксплуатации и НИОКР",Затраты_Вход_1!H:H)+SUMIF(Прочие_расш!$D$38:$D$3402,"{51010200} Резерв на вывод из эксплуатации и НИОКР",Прочие_расш!$K$34:$K$3402)</f>
        <v>0</v>
      </c>
      <c r="F113" s="1830">
        <f>-'96'!$K$53</f>
        <v>0</v>
      </c>
      <c r="G113" s="1831">
        <f t="shared" ca="1" si="8"/>
        <v>0</v>
      </c>
    </row>
    <row r="114" spans="2:8" ht="25">
      <c r="B114" s="1843" t="s">
        <v>1557</v>
      </c>
      <c r="C114" s="1844" t="s">
        <v>1555</v>
      </c>
      <c r="D114" s="1829" t="b">
        <f t="shared" ca="1" si="11"/>
        <v>1</v>
      </c>
      <c r="E114" s="1830">
        <f ca="1">SUMIF(Затраты_Вход_1!C:H,"{51010300} Резерв на физическую защиту",Затраты_Вход_1!H:H)+SUMIF(Прочие_расш!$D$38:$D$3402,"{51010300} Резерв на физическую защиту",Прочие_расш!$K$34:$K$3402)</f>
        <v>0</v>
      </c>
      <c r="F114" s="1830">
        <f>-'96'!$K$56</f>
        <v>0</v>
      </c>
      <c r="G114" s="1831">
        <f t="shared" ca="1" si="8"/>
        <v>0</v>
      </c>
    </row>
    <row r="115" spans="2:8" ht="25">
      <c r="B115" s="1843" t="s">
        <v>1558</v>
      </c>
      <c r="C115" s="1844" t="s">
        <v>1555</v>
      </c>
      <c r="D115" s="1829" t="b">
        <f t="shared" ca="1" si="11"/>
        <v>1</v>
      </c>
      <c r="E115" s="1830">
        <f ca="1">SUMIF(Затраты_Вход_1!C:H,"{51010400} Резерв по обеспечению развития",Затраты_Вход_1!H:H)+SUMIF(Прочие_расш!$D$38:$D$3402,"{51010400} Резерв по обеспечению развития",Прочие_расш!$K$34:$K$3402)</f>
        <v>0</v>
      </c>
      <c r="F115" s="1830">
        <f>-'96'!$K$59</f>
        <v>0</v>
      </c>
      <c r="G115" s="1831">
        <f t="shared" ca="1" si="8"/>
        <v>0</v>
      </c>
    </row>
    <row r="116" spans="2:8" ht="25">
      <c r="B116" s="1843" t="s">
        <v>1559</v>
      </c>
      <c r="C116" s="1844" t="s">
        <v>1555</v>
      </c>
      <c r="D116" s="1829" t="b">
        <f t="shared" ca="1" si="11"/>
        <v>1</v>
      </c>
      <c r="E116" s="1830">
        <f ca="1">SUMIF(Затраты_Вход_1!C:H,"{51010500} Резерв на захоронение РАО",Затраты_Вход_1!H:H)+SUMIF(Прочие_расш!$D$38:$D$3402,"{51010500} Резерв на захоронение РАО",Прочие_расш!$K$34:$K$3402)</f>
        <v>0</v>
      </c>
      <c r="F116" s="1830">
        <f>-'96'!$K$62</f>
        <v>0</v>
      </c>
      <c r="G116" s="1831">
        <f t="shared" ca="1" si="8"/>
        <v>0</v>
      </c>
    </row>
    <row r="117" spans="2:8" ht="25">
      <c r="B117" s="1843" t="s">
        <v>6857</v>
      </c>
      <c r="C117" s="1844" t="s">
        <v>6862</v>
      </c>
      <c r="D117" s="1829" t="b">
        <f t="shared" si="11"/>
        <v>1</v>
      </c>
      <c r="E117" s="1830">
        <f>SUMIF(Затраты_Вход_2!_xlnm.Print_Titles,"{1131*",Затраты_Вход_2!J:J)</f>
        <v>0</v>
      </c>
      <c r="F117" s="1830">
        <f>SUMIFS('96_движ'!L:L,'96_движ'!C:C,"{301*",'96_движ'!D:D,"20_23_25_29")</f>
        <v>0</v>
      </c>
      <c r="G117" s="1831">
        <f t="shared" si="8"/>
        <v>0</v>
      </c>
    </row>
    <row r="118" spans="2:8" ht="25">
      <c r="B118" s="1843" t="s">
        <v>6858</v>
      </c>
      <c r="C118" s="1844" t="s">
        <v>6862</v>
      </c>
      <c r="D118" s="1829" t="b">
        <f t="shared" si="11"/>
        <v>1</v>
      </c>
      <c r="E118" s="1830">
        <f>SUMIF(Затраты_Вход_2!_xlnm.Print_Titles,"{1132*",Затраты_Вход_2!J:J)</f>
        <v>0</v>
      </c>
      <c r="F118" s="1830">
        <f>SUMIFS('96_движ'!L:L,'96_движ'!C:C,"{302*",'96_движ'!D:D,"20_23_25_29")</f>
        <v>0</v>
      </c>
      <c r="G118" s="1831">
        <f t="shared" si="8"/>
        <v>0</v>
      </c>
    </row>
    <row r="119" spans="2:8" ht="25">
      <c r="B119" s="1843" t="s">
        <v>6859</v>
      </c>
      <c r="C119" s="1844" t="s">
        <v>6862</v>
      </c>
      <c r="D119" s="1829" t="b">
        <f t="shared" si="11"/>
        <v>1</v>
      </c>
      <c r="E119" s="1830">
        <f>SUMIF(Затраты_Вход_2!_xlnm.Print_Titles,"{1133*",Затраты_Вход_2!J:J)</f>
        <v>0</v>
      </c>
      <c r="F119" s="1830">
        <f>SUMIFS('96_движ'!L:L,'96_движ'!C:C,"{303*",'96_движ'!D:D,"20_23_25_29")</f>
        <v>0</v>
      </c>
      <c r="G119" s="1831">
        <f t="shared" si="8"/>
        <v>0</v>
      </c>
    </row>
    <row r="120" spans="2:8" ht="25">
      <c r="B120" s="1843" t="s">
        <v>6860</v>
      </c>
      <c r="C120" s="1844" t="s">
        <v>6862</v>
      </c>
      <c r="D120" s="1829" t="b">
        <f t="shared" si="11"/>
        <v>1</v>
      </c>
      <c r="E120" s="1830">
        <f>SUMIF(Затраты_Вход_2!_xlnm.Print_Titles,"{1134*",Затраты_Вход_2!J:J)</f>
        <v>0</v>
      </c>
      <c r="F120" s="1830">
        <f>SUMIFS('96_движ'!L:L,'96_движ'!C:C,"{304*",'96_движ'!D:D,"20_23_25_29")</f>
        <v>0</v>
      </c>
      <c r="G120" s="1831">
        <f t="shared" si="8"/>
        <v>0</v>
      </c>
    </row>
    <row r="121" spans="2:8" ht="25">
      <c r="B121" s="1843" t="s">
        <v>6861</v>
      </c>
      <c r="C121" s="1844" t="s">
        <v>6862</v>
      </c>
      <c r="D121" s="1829" t="b">
        <f t="shared" si="11"/>
        <v>1</v>
      </c>
      <c r="E121" s="1830">
        <f>SUMIF(Затраты_Вход_2!_xlnm.Print_Titles,"{1135*",Затраты_Вход_2!J:J)</f>
        <v>0</v>
      </c>
      <c r="F121" s="1830">
        <f>SUMIFS('96_движ'!L:L,'96_движ'!C:C,"{305*",'96_движ'!D:D,"20_23_25_29")</f>
        <v>0</v>
      </c>
      <c r="G121" s="1831">
        <f t="shared" si="8"/>
        <v>0</v>
      </c>
    </row>
    <row r="122" spans="2:8" ht="37.5">
      <c r="B122" s="1843" t="s">
        <v>7635</v>
      </c>
      <c r="C122" s="1844" t="s">
        <v>1555</v>
      </c>
      <c r="D122" s="1829" t="b">
        <f t="shared" ref="D122:D125" ca="1" si="12">G122&lt;1</f>
        <v>1</v>
      </c>
      <c r="E122" s="1830">
        <f ca="1">SUMIF(Затраты_Вход_1!C:H,"{20030100} Оценочные обязательства по выплате вознаграждений по итогам работы за год (сумма выплат)",Затраты_Вход_1!H:H)+SUMIF(Затраты_Вход_1!C:H,"{20030100} Оценочные обязательства по выплате вознаграждений по итогам работы за год (сумма выплат)",Затраты_Вход_1!I:I)+SUMIFS('96_движ'!L:L,'96_движ'!D:D,96,'96_движ'!E:E,"{20030100} Оценочные обязательства по выплате вознаграждений по итогам работы за год (сумма выплат)")+SUMIF(Затраты_Вход_1!C:H,"{20030100} Оценочные обязательства по выплате вознаграждений по итогам работы за год (сумма выплат)",Затраты_Вход_1!K:K)+SUMIF(Затраты_Вход_1!C:H,"{20030100} Оценочные обязательства по выплате вознаграждений по итогам работы за год (сумма выплат)",Затраты_Вход_1!J:J)</f>
        <v>0</v>
      </c>
      <c r="F122" s="1830">
        <f>-'96'!$K$13</f>
        <v>0</v>
      </c>
      <c r="G122" s="1831">
        <f ca="1">IF(OR(Содержание!$D$3="0000000002",Содержание!$D$3=4010000200),ABS(E122-F122+E123-F123),ABS(E122-F122))</f>
        <v>0</v>
      </c>
      <c r="H122" s="3004"/>
    </row>
    <row r="123" spans="2:8" ht="37.5">
      <c r="B123" s="1843" t="s">
        <v>7636</v>
      </c>
      <c r="C123" s="1844" t="s">
        <v>10107</v>
      </c>
      <c r="D123" s="1829" t="b">
        <f t="shared" si="12"/>
        <v>1</v>
      </c>
      <c r="E123" s="1830">
        <f>IF(ABS(SUMIF('91_02'!C:C,"{2231010} Отчисления в оценочные обязательства на выплату вознаграждений по итогам года (сумма выплат)",'91_02'!F:F)+'96'!$K$14+SUMIF('91_02'!C:C,"{2231020} Отчисления в оценочные обязательства на выплату вознаграждений по итогам года (сумма страховых взносов)",'91_02'!F:F)+SUMIF(Затраты_Вход_1!C10:C5000,"{20030110} Оценочные обязательства по выплате вознаграждений по итогам работы за год (корректировка прошлого года) (сумма выплат)",Затраты_Вход_1!I10:I5000)+SUMIF(Затраты_Вход_1!C10:C5000,"{20030110} Оценочные обязательства по выплате вознаграждений по итогам работы за год (корректировка прошлого года) (сумма выплат)",Затраты_Вход_1!H10:H5000)+'96'!$K$17+SUMIFS('84_расш'!F9:F1000,'84_расш'!H9:H1000,"96_10000_Оценочные обязательства, связанные с расчетами с персоналом"))&lt;5,-'96'!$K$14,SUMIF('91_02'!C:C,"{2231010} Отчисления в оценочные обязательства на выплату вознаграждений по итогам года (сумма выплат)",'91_02'!F:F)+SUMIF(Затраты_Вход_1!C10:C5000,"{20030110} Оценочные обязательства по выплате вознаграждений по итогам работы за год (корректировка прошлого года) (сумма выплат)",Затраты_Вход_1!I10:I5000)+SUMIF(Затраты_Вход_1!C10:C5000,"{20030110} Оценочные обязательства по выплате вознаграждений по итогам работы за год (корректировка прошлого года) (сумма выплат)",Затраты_Вход_1!H10:H5000))</f>
        <v>0</v>
      </c>
      <c r="F123" s="1830">
        <f>-'96'!$K$14</f>
        <v>0</v>
      </c>
      <c r="G123" s="1831">
        <f>IF(OR(Содержание!$D$3="0000000002",Содержание!$D$3=4010000200),ABS(E122-F122+E123-F123),ABS(E123-F123))</f>
        <v>0</v>
      </c>
      <c r="H123" s="3004"/>
    </row>
    <row r="124" spans="2:8" ht="37.5">
      <c r="B124" s="1843" t="s">
        <v>7637</v>
      </c>
      <c r="C124" s="1844" t="s">
        <v>1555</v>
      </c>
      <c r="D124" s="1829" t="b">
        <f t="shared" ca="1" si="12"/>
        <v>1</v>
      </c>
      <c r="E124" s="1830">
        <f ca="1">SUMIF(Затраты_Вход_1!C:H,"{30500100} Оценочные обязательства по выплате вознаграждений по итогам работы за год (сумма страховых взносов)",Затраты_Вход_1!H:H)+SUMIF(Затраты_Вход_1!C:H,"{30500100} Оценочные обязательства по выплате вознаграждений по итогам работы за год (сумма страховых взносов)",Затраты_Вход_1!I:I)+SUMIFS('96_движ'!L:L,'96_движ'!D:D,96,'96_движ'!E:E,"{30500100} Оценочные обязательства по выплате вознаграждений по итогам работы за год (сумма страховых взносов)")+SUMIF(Затраты_Вход_1!C:H,"{30500100} Оценочные обязательства по выплате вознаграждений по итогам работы за год (сумма страховых взносов)",Затраты_Вход_1!K:K)+SUMIF(Затраты_Вход_1!C:H,"{30500100} Оценочные обязательства по выплате вознаграждений по итогам работы за год (сумма страховых взносов)",Затраты_Вход_1!J:J)</f>
        <v>0</v>
      </c>
      <c r="F124" s="1830">
        <f>-'96'!$K$16</f>
        <v>0</v>
      </c>
      <c r="G124" s="1831">
        <f ca="1">IF(OR(Содержание!$D$3="0000000002",Содержание!$D$3=4010000200),ABS(E124-F124+E125-F125),ABS(E124-F124))</f>
        <v>0</v>
      </c>
      <c r="H124" s="3004"/>
    </row>
    <row r="125" spans="2:8" ht="37.5">
      <c r="B125" s="1843" t="s">
        <v>7638</v>
      </c>
      <c r="C125" s="1844" t="s">
        <v>10107</v>
      </c>
      <c r="D125" s="1829" t="b">
        <f t="shared" si="12"/>
        <v>1</v>
      </c>
      <c r="E125" s="3566">
        <f>IF(ABS(SUMIF('91_02'!C:C,"{2231010} Отчисления в оценочные обязательства на выплату вознаграждений по итогам года (сумма выплат)",'91_02'!F:F)+SUMIF(Затраты_Вход_1!C10:C5000,"{30500110} Оценочные обязательства по выплате вознаграждений по итогам работы за год (корректировка прошлого года) (сумма страховых взносов)",Затраты_Вход_1!I10:I5000)+SUMIF(Затраты_Вход_1!C10:C5000,"{30500110} Оценочные обязательства по выплате вознаграждений по итогам работы за год (корректировка прошлого года) (сумма страховых взносов)",Затраты_Вход_1!H10:H5000)+'96'!$K$14+SUMIF('91_02'!C:C,"{2231020} Отчисления в оценочные обязательства на выплату вознаграждений по итогам года (сумма страховых взносов)",'91_02'!F:F)+'96'!$K$17+SUMIFS('84_расш'!F9:F1000,'84_расш'!H9:H1000,"96_10000_Оценочные обязательства, связанные с расчетами с персоналом"))&lt;5,-'96'!$K$17,SUMIF('91_02'!C:C,"{2231020} Отчисления в оценочные обязательства на выплату вознаграждений по итогам года (сумма страховых взносов)",'91_02'!F:F)+SUMIF(Затраты_Вход_1!C10:C5000,"{30500110} Оценочные обязательства по выплате вознаграждений по итогам работы за год (корректировка прошлого года) (сумма страховых взносов)",Затраты_Вход_1!I10:I5000)+SUMIF(Затраты_Вход_1!C10:C5000,"{30500110} Оценочные обязательства по выплате вознаграждений по итогам работы за год (корректировка прошлого года) (сумма страховых взносов)",Затраты_Вход_1!H10:H5000))</f>
        <v>0</v>
      </c>
      <c r="F125" s="1830">
        <f>-'96'!$K$17</f>
        <v>0</v>
      </c>
      <c r="G125" s="1831">
        <f>IF(OR(Содержание!$D$3="0000000002",Содержание!$D$3=4010000200),ABS(E124-F124+E125-F125),ABS(E125-F125))</f>
        <v>0</v>
      </c>
      <c r="H125" s="3004"/>
    </row>
    <row r="126" spans="2:8" ht="37.5">
      <c r="B126" s="1843" t="s">
        <v>6231</v>
      </c>
      <c r="C126" s="1844" t="s">
        <v>1555</v>
      </c>
      <c r="D126" s="1829" t="b">
        <f t="shared" ref="D126:D131" ca="1" si="13">G126&lt;5</f>
        <v>1</v>
      </c>
      <c r="E126" s="1830">
        <f ca="1">SUMIF(Затраты_Вход_1!C:H,"{20030200} Оценочные обязательства по оплате отпусков работников (сумма выплат)",Затраты_Вход_1!H:H)+SUMIF(Затраты_Вход_1!C:H,"{20030200} Оценочные обязательства по оплате отпусков работников (сумма выплат)",Затраты_Вход_1!I:I)+SUMIFS('96_движ'!L:L,'96_движ'!D:D,96,'96_движ'!E:E,"{20030200} Оценочные обязательства по оплате отпусков работников (сумма выплат)")+SUMIF(Затраты_Вход_1!C:H,"{20030200} Оценочные обязательства по оплате отпусков работников (сумма выплат)",Затраты_Вход_1!K:K)+SUMIF(Затраты_Вход_1!C:H,"{20030200} Оценочные обязательства по оплате отпусков работников (сумма выплат)",Затраты_Вход_1!J:J)</f>
        <v>0</v>
      </c>
      <c r="F126" s="1830">
        <f>-'96'!$K$19</f>
        <v>0</v>
      </c>
      <c r="G126" s="1831">
        <f t="shared" ca="1" si="8"/>
        <v>0</v>
      </c>
      <c r="H126" s="3004"/>
    </row>
    <row r="127" spans="2:8" ht="37.5">
      <c r="B127" s="1843" t="s">
        <v>6232</v>
      </c>
      <c r="C127" s="1844" t="s">
        <v>1555</v>
      </c>
      <c r="D127" s="1829" t="b">
        <f t="shared" ca="1" si="13"/>
        <v>1</v>
      </c>
      <c r="E127" s="1830">
        <f ca="1">SUMIF(Затраты_Вход_1!C:H,"{30500200} Оценочные обязательства по оплате отпусков работников (сумма страховых взносов)",Затраты_Вход_1!H:H)+SUMIF(Затраты_Вход_1!C:H,"{30500200} Оценочные обязательства по оплате отпусков работников (сумма страховых взносов)",Затраты_Вход_1!I:I)+SUMIFS('96_движ'!L:L,'96_движ'!D:D,96,'96_движ'!E:E,"{30500200} Оценочные обязательства по оплате отпусков работников (сумма страховых взносов)")+SUMIF(Затраты_Вход_1!C:H,"{30500200} Оценочные обязательства по оплате отпусков работников (сумма страховых взносов)",Затраты_Вход_1!K:K)+SUMIF(Затраты_Вход_1!C:H,"{30500200} Оценочные обязательства по оплате отпусков работников (сумма страховых взносов)",Затраты_Вход_1!J:J)</f>
        <v>0</v>
      </c>
      <c r="F127" s="1830">
        <f>-'96'!$K$20</f>
        <v>0</v>
      </c>
      <c r="G127" s="1831">
        <f t="shared" ca="1" si="8"/>
        <v>0</v>
      </c>
      <c r="H127" s="3004"/>
    </row>
    <row r="128" spans="2:8" ht="37.5">
      <c r="B128" s="1843" t="s">
        <v>6233</v>
      </c>
      <c r="C128" s="1844" t="s">
        <v>1555</v>
      </c>
      <c r="D128" s="1829" t="b">
        <f t="shared" ca="1" si="13"/>
        <v>1</v>
      </c>
      <c r="E128" s="3005">
        <f ca="1">SUMIF(Затраты_Вход_1!C:H,"{20030300} Оценочные обязательства по прочим выплатам персоналу (сумма выплат)",Затраты_Вход_1!H:H)+SUMIF(Затраты_Вход_1!C:H,"{20030300} Оценочные обязательства по прочим выплатам персоналу (сумма выплат)",Затраты_Вход_1!I:I)+SUMIFS('96_движ'!L:L,'96_движ'!D:D,96,'96_движ'!E:E,"{20030300} Оценочные обязательства по прочим выплатам персоналу (сумма выплат)")+SUMIF(Затраты_Вход_1!C:H,"{20030300} Оценочные обязательства по прочим выплатам персоналу (сумма выплат)",Затраты_Вход_1!K:K)+SUMIF(Затраты_Вход_1!C:H,"{20030300} Оценочные обязательства по прочим выплатам персоналу (сумма выплат)",Затраты_Вход_1!J:J)+SUMIFS(Прочие_расш!$J$34:$J$5002,Прочие_расш!$C$34:$C$5002,"*Убытки прошлых лет, признанные в текущем году*",Прочие_расш!$G$34:$G$5002,"{20030300} Оценочные обязательства по прочим выплатам персоналу (сумма выплат)")</f>
        <v>0</v>
      </c>
      <c r="F128" s="1830">
        <f>-'96'!$K$25</f>
        <v>0</v>
      </c>
      <c r="G128" s="1831">
        <f t="shared" ca="1" si="8"/>
        <v>0</v>
      </c>
      <c r="H128" s="3004"/>
    </row>
    <row r="129" spans="2:8" ht="37.5">
      <c r="B129" s="1843" t="s">
        <v>6234</v>
      </c>
      <c r="C129" s="1844" t="s">
        <v>1555</v>
      </c>
      <c r="D129" s="1829" t="b">
        <f t="shared" ca="1" si="13"/>
        <v>1</v>
      </c>
      <c r="E129" s="3005">
        <f ca="1">SUMIF(Затраты_Вход_1!C:H,"{30500300} Оценочные обязательства по прочим выплатам персоналу (сумма страховых взносов)",Затраты_Вход_1!H:H)+SUMIF(Затраты_Вход_1!C:H,"{30500300} Оценочные обязательства по прочим выплатам персоналу (сумма страховых взносов)",Затраты_Вход_1!I:I)+SUMIFS('96_движ'!L:L,'96_движ'!D:D,96,'96_движ'!E:E,"{30500300} Оценочные обязательства по прочим выплатам персоналу (сумма страховых взносов)")+SUMIF(Затраты_Вход_1!C:H,"{30500300} Оценочные обязательства по прочим выплатам персоналу (сумма страховых взносов)",Затраты_Вход_1!K:K)+SUMIF(Затраты_Вход_1!C:H,"{30500300} Оценочные обязательства по прочим выплатам персоналу (сумма страховых взносов)",Затраты_Вход_1!J:J)+SUMIFS(Прочие_расш!$J$34:$J$5002,Прочие_расш!$C$34:$C$5002,"*Убытки прошлых лет, признанные в текущем году*",Прочие_расш!$G$34:$G$5002,"{30500300} Оценочные обязательства по прочим выплатам персоналу (сумма страховых взносов)")</f>
        <v>0</v>
      </c>
      <c r="F129" s="1830">
        <f>-'96'!$K$26</f>
        <v>0</v>
      </c>
      <c r="G129" s="1831">
        <f t="shared" ca="1" si="8"/>
        <v>0</v>
      </c>
      <c r="H129" s="3004"/>
    </row>
    <row r="130" spans="2:8">
      <c r="B130" s="1843" t="s">
        <v>6926</v>
      </c>
      <c r="C130" s="1844" t="s">
        <v>1555</v>
      </c>
      <c r="D130" s="1829" t="b">
        <f t="shared" ca="1" si="13"/>
        <v>1</v>
      </c>
      <c r="E130" s="1830">
        <f ca="1">SUMIF(Затраты_Вход_1!C:H,"{20030400} Оценочные обязательства на выплату проектной премии (сумма выплат)",Затраты_Вход_1!H:H)+SUMIF(Затраты_Вход_1!C:H,"{20030400} Оценочные обязательства на выплату проектной премии (сумма выплат)",Затраты_Вход_1!I:I)+SUMIFS('96_движ'!L:L,'96_движ'!D:D,96,'96_движ'!E:E,"{20030400} Оценочные обязательства на выплату проектной премии (сумма выплат)")+SUMIF(Затраты_Вход_1!C:H,"{20030400} Оценочные обязательства на выплату проектной премии (сумма выплат)",Затраты_Вход_1!K:K)+SUMIF(Затраты_Вход_1!C:H,"{20030400} Оценочные обязательства на выплату проектной премии (сумма выплат)",Затраты_Вход_1!J:J)</f>
        <v>0</v>
      </c>
      <c r="F130" s="1830">
        <f>-'96'!K28</f>
        <v>0</v>
      </c>
      <c r="G130" s="1831">
        <f t="shared" ca="1" si="8"/>
        <v>0</v>
      </c>
      <c r="H130" s="3004"/>
    </row>
    <row r="131" spans="2:8" ht="25">
      <c r="B131" s="1843" t="s">
        <v>6925</v>
      </c>
      <c r="C131" s="1844" t="s">
        <v>1555</v>
      </c>
      <c r="D131" s="1829" t="b">
        <f t="shared" ca="1" si="13"/>
        <v>1</v>
      </c>
      <c r="E131" s="1830">
        <f ca="1">SUMIF(Затраты_Вход_1!C:H,"{30500400} Оценочные обязательства на выплату проектной премии (страховые взносы)",Затраты_Вход_1!H:H)+SUMIF(Затраты_Вход_1!C:H,"{30500400} Оценочные обязательства на выплату проектной премии (страховые взносы)",Затраты_Вход_1!I:I)+SUMIFS('96_движ'!L:L,'96_движ'!D:D,96,'96_движ'!E:E,"{30500400} Оценочные обязательства на выплату проектной премии (страховые взносы)")+SUMIF(Затраты_Вход_1!C:H,"{30500400} Оценочные обязательства на выплату проектной премии (страховые взносы)",Затраты_Вход_1!K:K)+SUMIF(Затраты_Вход_1!C:H,"{30500400} Оценочные обязательства на выплату проектной премии (страховые взносы)",Затраты_Вход_1!J:J)</f>
        <v>0</v>
      </c>
      <c r="F131" s="1830">
        <f>-'96'!K29</f>
        <v>0</v>
      </c>
      <c r="G131" s="1831">
        <f t="shared" ca="1" si="8"/>
        <v>0</v>
      </c>
      <c r="H131" s="3004"/>
    </row>
    <row r="132" spans="2:8" ht="37.5">
      <c r="B132" s="1843" t="s">
        <v>5271</v>
      </c>
      <c r="C132" s="1844" t="s">
        <v>5270</v>
      </c>
      <c r="D132" s="1829" t="b">
        <f>'21'!I4</f>
        <v>1</v>
      </c>
      <c r="E132" s="1830" t="s">
        <v>4184</v>
      </c>
      <c r="F132" s="1830" t="s">
        <v>4184</v>
      </c>
      <c r="G132" s="1831" t="s">
        <v>4184</v>
      </c>
      <c r="H132" s="3004"/>
    </row>
    <row r="133" spans="2:8" ht="25">
      <c r="B133" s="1843" t="s">
        <v>5887</v>
      </c>
      <c r="C133" s="1844" t="s">
        <v>919</v>
      </c>
      <c r="D133" s="1829" t="b">
        <f>Затраты_Выход!K38</f>
        <v>1</v>
      </c>
      <c r="E133" s="1830" t="s">
        <v>4184</v>
      </c>
      <c r="F133" s="1830" t="s">
        <v>4184</v>
      </c>
      <c r="G133" s="1831" t="s">
        <v>4184</v>
      </c>
      <c r="H133" s="3004"/>
    </row>
    <row r="134" spans="2:8" ht="37.5">
      <c r="B134" s="1843" t="s">
        <v>5942</v>
      </c>
      <c r="C134" s="1844" t="s">
        <v>5936</v>
      </c>
      <c r="D134" s="1829" t="b">
        <f>G134&lt;5</f>
        <v>1</v>
      </c>
      <c r="E134" s="1830">
        <f>'09'!$F$8+'09'!$H$8+'09'!$J$8</f>
        <v>0</v>
      </c>
      <c r="F134" s="1830">
        <f>Налог_на_прибыль!$F$129*20%</f>
        <v>0</v>
      </c>
      <c r="G134" s="1831">
        <f>ABS(E134-F134)</f>
        <v>0</v>
      </c>
      <c r="H134" s="3004"/>
    </row>
    <row r="135" spans="2:8" ht="37.5">
      <c r="B135" s="1843" t="s">
        <v>5943</v>
      </c>
      <c r="C135" s="1844" t="s">
        <v>5937</v>
      </c>
      <c r="D135" s="1829" t="b">
        <f>G135&lt;5</f>
        <v>1</v>
      </c>
      <c r="E135" s="1830">
        <f>'77'!$F$8+'77'!$H$8+'77'!$J$8</f>
        <v>0</v>
      </c>
      <c r="F135" s="1830">
        <f>-Налог_на_прибыль!$F$157*20%</f>
        <v>0</v>
      </c>
      <c r="G135" s="1831">
        <f>ABS(E135-F135)</f>
        <v>0</v>
      </c>
    </row>
    <row r="136" spans="2:8" ht="25">
      <c r="B136" s="1843" t="s">
        <v>5938</v>
      </c>
      <c r="C136" s="1844" t="s">
        <v>5939</v>
      </c>
      <c r="D136" s="1829" t="b">
        <f>G136&lt;5</f>
        <v>1</v>
      </c>
      <c r="E136" s="1845">
        <f>'09'!$F$8+'09'!$J$8+'77'!$F$8+'77'!$J$8</f>
        <v>0</v>
      </c>
      <c r="F136" s="1845">
        <f>-('99'!$J$10+'99'!$L$10+'99'!$M$10)</f>
        <v>0</v>
      </c>
      <c r="G136" s="1846">
        <f>ABS(E136-F136)</f>
        <v>0</v>
      </c>
    </row>
    <row r="137" spans="2:8" ht="25">
      <c r="B137" s="1843" t="s">
        <v>5940</v>
      </c>
      <c r="C137" s="1844" t="s">
        <v>3432</v>
      </c>
      <c r="D137" s="1829" t="b">
        <f>AND('09'!$F$8&lt;=0,'09'!$J$8&gt;=0)</f>
        <v>1</v>
      </c>
      <c r="E137" s="1830" t="s">
        <v>4184</v>
      </c>
      <c r="F137" s="1830" t="s">
        <v>4184</v>
      </c>
      <c r="G137" s="1831" t="s">
        <v>4184</v>
      </c>
    </row>
    <row r="138" spans="2:8" ht="25">
      <c r="B138" s="1843" t="s">
        <v>5941</v>
      </c>
      <c r="C138" s="1844">
        <v>77</v>
      </c>
      <c r="D138" s="1829" t="b">
        <f>AND('77'!$F$8&lt;=0,'77'!$J$8&gt;=0)</f>
        <v>1</v>
      </c>
      <c r="E138" s="1845" t="s">
        <v>4184</v>
      </c>
      <c r="F138" s="1845" t="s">
        <v>4184</v>
      </c>
      <c r="G138" s="1846" t="s">
        <v>4184</v>
      </c>
    </row>
    <row r="139" spans="2:8" ht="25">
      <c r="B139" s="1843" t="s">
        <v>7672</v>
      </c>
      <c r="C139" s="1844">
        <v>99</v>
      </c>
      <c r="D139" s="1829" t="b">
        <f>AND('99'!D5:P5)</f>
        <v>1</v>
      </c>
      <c r="E139" s="1830" t="s">
        <v>4184</v>
      </c>
      <c r="F139" s="1830" t="s">
        <v>4184</v>
      </c>
      <c r="G139" s="1831" t="s">
        <v>4184</v>
      </c>
    </row>
    <row r="140" spans="2:8">
      <c r="B140" s="1843" t="s">
        <v>6245</v>
      </c>
      <c r="C140" s="1844" t="s">
        <v>6244</v>
      </c>
      <c r="D140" s="1829" t="b">
        <f>'91_02'!$K$5</f>
        <v>1</v>
      </c>
      <c r="E140" s="1830" t="s">
        <v>4184</v>
      </c>
      <c r="F140" s="1830" t="s">
        <v>4184</v>
      </c>
      <c r="G140" s="1831" t="s">
        <v>4184</v>
      </c>
    </row>
    <row r="141" spans="2:8" ht="25">
      <c r="B141" s="1843" t="s">
        <v>6264</v>
      </c>
      <c r="C141" s="1844" t="s">
        <v>6260</v>
      </c>
      <c r="D141" s="1829" t="b">
        <f>IF(G141&lt;0,FALSE,TRUE)</f>
        <v>1</v>
      </c>
      <c r="E141" s="1830">
        <f>-Затраты_Выход!D21</f>
        <v>0</v>
      </c>
      <c r="F141" s="1830">
        <f>SUMIF(Прочие_расш!$I$34:$I$1006,"20_23_25_29",Прочие_расш!$J$34:$J$1006)</f>
        <v>0</v>
      </c>
      <c r="G141" s="1831">
        <f>E141-F141</f>
        <v>0</v>
      </c>
    </row>
    <row r="142" spans="2:8" ht="25">
      <c r="B142" s="1843" t="s">
        <v>6265</v>
      </c>
      <c r="C142" s="1844" t="s">
        <v>6260</v>
      </c>
      <c r="D142" s="1829" t="b">
        <f t="shared" ref="D142:D145" si="14">IF(G142&lt;0,FALSE,TRUE)</f>
        <v>1</v>
      </c>
      <c r="E142" s="1830">
        <f>-Затраты_Выход!E21</f>
        <v>0</v>
      </c>
      <c r="F142" s="1830">
        <f>SUMIF(Прочие_расш!$I$34:$I$1006,"26",Прочие_расш!$J$34:$J$1006)</f>
        <v>0</v>
      </c>
      <c r="G142" s="1831">
        <f>E142-F142</f>
        <v>0</v>
      </c>
    </row>
    <row r="143" spans="2:8" ht="25">
      <c r="B143" s="1843" t="s">
        <v>6908</v>
      </c>
      <c r="C143" s="1844" t="s">
        <v>6906</v>
      </c>
      <c r="D143" s="1829" t="b">
        <f>IF(ABS(G143)&gt;1000,FALSE,TRUE)</f>
        <v>1</v>
      </c>
      <c r="E143" s="1830">
        <f>'66'!Q11+'67'!Q11</f>
        <v>0</v>
      </c>
      <c r="F143" s="1830">
        <f>ДДС_приложение!E235</f>
        <v>0</v>
      </c>
      <c r="G143" s="1831">
        <f>ABS(E143)-ABS(F143)</f>
        <v>0</v>
      </c>
    </row>
    <row r="144" spans="2:8" ht="25">
      <c r="B144" s="1843" t="s">
        <v>6907</v>
      </c>
      <c r="C144" s="1844" t="s">
        <v>6906</v>
      </c>
      <c r="D144" s="1829" t="b">
        <f>IF(G144&lt;0,FALSE,TRUE)</f>
        <v>1</v>
      </c>
      <c r="E144" s="1830">
        <f>'66'!M11+'67'!M11</f>
        <v>0</v>
      </c>
      <c r="F144" s="1830">
        <f>ДДС_приложение!E261</f>
        <v>0</v>
      </c>
      <c r="G144" s="1831">
        <f t="shared" ref="G144" si="15">ABS(E144)-ABS(F144)</f>
        <v>0</v>
      </c>
    </row>
    <row r="145" spans="2:7" ht="25">
      <c r="B145" s="1843" t="s">
        <v>6266</v>
      </c>
      <c r="C145" s="1844" t="s">
        <v>6260</v>
      </c>
      <c r="D145" s="1829" t="b">
        <f t="shared" si="14"/>
        <v>1</v>
      </c>
      <c r="E145" s="1830">
        <f>-Затраты_Выход!F21</f>
        <v>0</v>
      </c>
      <c r="F145" s="1830">
        <f>SUMIF(Прочие_расш!$J$34:$J$1006,"44",Прочие_расш!$K$34:$K$1006)</f>
        <v>0</v>
      </c>
      <c r="G145" s="1831">
        <f t="shared" ref="G145" si="16">E145-F145</f>
        <v>0</v>
      </c>
    </row>
    <row r="146" spans="2:7" ht="37.5">
      <c r="B146" s="1843" t="s">
        <v>6920</v>
      </c>
      <c r="C146" s="1844" t="s">
        <v>6921</v>
      </c>
      <c r="D146" s="1829" t="b">
        <f>ДДС_приложение!M235</f>
        <v>1</v>
      </c>
      <c r="E146" s="1830" t="s">
        <v>4184</v>
      </c>
      <c r="F146" s="1830" t="s">
        <v>4184</v>
      </c>
      <c r="G146" s="1831" t="s">
        <v>4184</v>
      </c>
    </row>
    <row r="147" spans="2:7" ht="37.5">
      <c r="B147" s="1843" t="s">
        <v>6899</v>
      </c>
      <c r="C147" s="1844" t="s">
        <v>6898</v>
      </c>
      <c r="D147" s="1829" t="b">
        <v>1</v>
      </c>
      <c r="E147" s="1830" t="s">
        <v>4184</v>
      </c>
      <c r="F147" s="1830" t="s">
        <v>4184</v>
      </c>
      <c r="G147" s="1831" t="s">
        <v>4184</v>
      </c>
    </row>
    <row r="148" spans="2:7">
      <c r="B148" s="1835" t="s">
        <v>4436</v>
      </c>
      <c r="C148" s="1841"/>
      <c r="D148" s="1837" t="b">
        <f>AND(D149:D156)</f>
        <v>1</v>
      </c>
      <c r="E148" s="1838" t="s">
        <v>3389</v>
      </c>
      <c r="F148" s="1838" t="s">
        <v>3389</v>
      </c>
      <c r="G148" s="1839" t="s">
        <v>3389</v>
      </c>
    </row>
    <row r="149" spans="2:7" ht="25">
      <c r="B149" s="1827" t="s">
        <v>1469</v>
      </c>
      <c r="C149" s="1842" t="s">
        <v>5030</v>
      </c>
      <c r="D149" s="1833" t="b">
        <f t="shared" ref="D149:D156" si="17">G149&lt;1</f>
        <v>1</v>
      </c>
      <c r="E149" s="1830">
        <f>ROUND('50'!F7-'50'!E7+'51'!G7-'51'!F7+'52'!H7-'52'!G7+'55'!I7-'55'!H7+'57'!H7-'57'!G7,0)</f>
        <v>0</v>
      </c>
      <c r="F149" s="1830">
        <f>ROUND('50_51_52_55_57_движ'!J7,0)</f>
        <v>0</v>
      </c>
      <c r="G149" s="1831">
        <f t="shared" ref="G149:G156" si="18">ABS(E149-F149)</f>
        <v>0</v>
      </c>
    </row>
    <row r="150" spans="2:7" ht="25">
      <c r="B150" s="1827" t="s">
        <v>1470</v>
      </c>
      <c r="C150" s="1842" t="s">
        <v>4435</v>
      </c>
      <c r="D150" s="1833" t="b">
        <f t="shared" si="17"/>
        <v>1</v>
      </c>
      <c r="E150" s="1830">
        <f>'58_02'!U11</f>
        <v>0</v>
      </c>
      <c r="F150" s="1830">
        <f>'58_02_движ'!Q12</f>
        <v>0</v>
      </c>
      <c r="G150" s="1831">
        <f t="shared" si="18"/>
        <v>0</v>
      </c>
    </row>
    <row r="151" spans="2:7" ht="25">
      <c r="B151" s="1827" t="s">
        <v>1471</v>
      </c>
      <c r="C151" s="1842" t="s">
        <v>4434</v>
      </c>
      <c r="D151" s="1833" t="b">
        <f t="shared" si="17"/>
        <v>1</v>
      </c>
      <c r="E151" s="1830">
        <f>SUMIF('75_01'!G:G,"{20} Расчеты неденежными средствами",'75_01'!N:N)</f>
        <v>0</v>
      </c>
      <c r="F151" s="1830">
        <f>'75_01_Неденеж'!I9</f>
        <v>0</v>
      </c>
      <c r="G151" s="1831">
        <f t="shared" si="18"/>
        <v>0</v>
      </c>
    </row>
    <row r="152" spans="2:7" ht="25">
      <c r="B152" s="1827" t="s">
        <v>5804</v>
      </c>
      <c r="C152" s="1842" t="s">
        <v>5809</v>
      </c>
      <c r="D152" s="1833" t="b">
        <f t="shared" si="17"/>
        <v>1</v>
      </c>
      <c r="E152" s="1830">
        <f>ROUND('50'!F7-'50'!E7,0)</f>
        <v>0</v>
      </c>
      <c r="F152" s="1830">
        <f>ROUND('50_51_52_55_57_движ'!$D$7,0)</f>
        <v>0</v>
      </c>
      <c r="G152" s="1831">
        <f t="shared" si="18"/>
        <v>0</v>
      </c>
    </row>
    <row r="153" spans="2:7" ht="25">
      <c r="B153" s="1827" t="s">
        <v>5805</v>
      </c>
      <c r="C153" s="1842" t="s">
        <v>5810</v>
      </c>
      <c r="D153" s="1833" t="b">
        <f t="shared" si="17"/>
        <v>1</v>
      </c>
      <c r="E153" s="1830">
        <f>ROUND('51'!G7-'51'!F7,0)</f>
        <v>0</v>
      </c>
      <c r="F153" s="1830">
        <f>ROUND('50_51_52_55_57_движ'!$E$7,0)</f>
        <v>0</v>
      </c>
      <c r="G153" s="1831">
        <f t="shared" si="18"/>
        <v>0</v>
      </c>
    </row>
    <row r="154" spans="2:7" ht="25">
      <c r="B154" s="1827" t="s">
        <v>5806</v>
      </c>
      <c r="C154" s="1842" t="s">
        <v>5811</v>
      </c>
      <c r="D154" s="1833" t="b">
        <f t="shared" si="17"/>
        <v>1</v>
      </c>
      <c r="E154" s="1830">
        <f>ROUND('52'!H7-'52'!G7,0)</f>
        <v>0</v>
      </c>
      <c r="F154" s="1830">
        <f>ROUND('50_51_52_55_57_движ'!$F$7,0)</f>
        <v>0</v>
      </c>
      <c r="G154" s="1831">
        <f t="shared" si="18"/>
        <v>0</v>
      </c>
    </row>
    <row r="155" spans="2:7" ht="25">
      <c r="B155" s="1827" t="s">
        <v>5807</v>
      </c>
      <c r="C155" s="1842" t="s">
        <v>5812</v>
      </c>
      <c r="D155" s="1833" t="b">
        <f t="shared" si="17"/>
        <v>1</v>
      </c>
      <c r="E155" s="1830">
        <f>ROUND('55'!I7-'55'!H7,0)</f>
        <v>0</v>
      </c>
      <c r="F155" s="1830">
        <f>ROUND('50_51_52_55_57_движ'!$G$7+'50_51_52_55_57_движ'!$H$7,0)</f>
        <v>0</v>
      </c>
      <c r="G155" s="1831">
        <f t="shared" si="18"/>
        <v>0</v>
      </c>
    </row>
    <row r="156" spans="2:7" ht="25">
      <c r="B156" s="1827" t="s">
        <v>5808</v>
      </c>
      <c r="C156" s="1842" t="s">
        <v>5813</v>
      </c>
      <c r="D156" s="1833" t="b">
        <f t="shared" si="17"/>
        <v>1</v>
      </c>
      <c r="E156" s="1830">
        <f>ROUND('57'!H7-'57'!G7,0)</f>
        <v>0</v>
      </c>
      <c r="F156" s="1830">
        <f>ROUND('50_51_52_55_57_движ'!$I$7,0)</f>
        <v>0</v>
      </c>
      <c r="G156" s="1831">
        <f t="shared" si="18"/>
        <v>0</v>
      </c>
    </row>
    <row r="157" spans="2:7" ht="25">
      <c r="B157" s="1827" t="s">
        <v>8693</v>
      </c>
      <c r="C157" s="1842" t="s">
        <v>2825</v>
      </c>
      <c r="D157" s="1833" t="b">
        <f>'50_51_52_55_57_движ'!M7</f>
        <v>1</v>
      </c>
      <c r="E157" s="1830" t="s">
        <v>4184</v>
      </c>
      <c r="F157" s="1830" t="s">
        <v>4184</v>
      </c>
      <c r="G157" s="1831" t="s">
        <v>4184</v>
      </c>
    </row>
    <row r="158" spans="2:7" ht="26">
      <c r="B158" s="1835" t="s">
        <v>738</v>
      </c>
      <c r="C158" s="1841"/>
      <c r="D158" s="1837" t="b">
        <f ca="1">AND(D159:D180)</f>
        <v>1</v>
      </c>
      <c r="E158" s="1838"/>
      <c r="F158" s="1838"/>
      <c r="G158" s="1839"/>
    </row>
    <row r="159" spans="2:7" ht="25">
      <c r="B159" s="1827" t="s">
        <v>6391</v>
      </c>
      <c r="C159" s="1842" t="s">
        <v>737</v>
      </c>
      <c r="D159" s="1833" t="b">
        <f>IF(ROUND(E533,0)&lt;&gt;0,FALSE,TRUE)</f>
        <v>1</v>
      </c>
      <c r="E159" s="1830" t="s">
        <v>4184</v>
      </c>
      <c r="F159" s="1830" t="s">
        <v>4184</v>
      </c>
      <c r="G159" s="1831" t="s">
        <v>4184</v>
      </c>
    </row>
    <row r="160" spans="2:7" ht="25">
      <c r="B160" s="1827" t="s">
        <v>6392</v>
      </c>
      <c r="C160" s="1842" t="s">
        <v>4534</v>
      </c>
      <c r="D160" s="1833" t="b">
        <f>IF(ROUND(I533,0)&lt;&gt;0,FALSE,TRUE)</f>
        <v>1</v>
      </c>
      <c r="E160" s="1830" t="s">
        <v>4184</v>
      </c>
      <c r="F160" s="1830" t="s">
        <v>4184</v>
      </c>
      <c r="G160" s="1831" t="s">
        <v>4184</v>
      </c>
    </row>
    <row r="161" spans="2:8" ht="25">
      <c r="B161" s="1827" t="s">
        <v>6393</v>
      </c>
      <c r="C161" s="1842" t="s">
        <v>739</v>
      </c>
      <c r="D161" s="1833" t="b">
        <f>'10_расш'!W10</f>
        <v>1</v>
      </c>
      <c r="E161" s="1830" t="s">
        <v>4184</v>
      </c>
      <c r="F161" s="1830" t="s">
        <v>4184</v>
      </c>
      <c r="G161" s="1831" t="s">
        <v>4184</v>
      </c>
    </row>
    <row r="162" spans="2:8" ht="25">
      <c r="B162" s="1827" t="s">
        <v>6394</v>
      </c>
      <c r="C162" s="1842" t="s">
        <v>740</v>
      </c>
      <c r="D162" s="1833" t="b">
        <f>'10_расш'!X10</f>
        <v>1</v>
      </c>
      <c r="E162" s="1830" t="s">
        <v>4184</v>
      </c>
      <c r="F162" s="1830" t="s">
        <v>4184</v>
      </c>
      <c r="G162" s="1831" t="s">
        <v>4184</v>
      </c>
    </row>
    <row r="163" spans="2:8" s="3003" customFormat="1" ht="25">
      <c r="B163" s="1827" t="s">
        <v>9964</v>
      </c>
      <c r="C163" s="3009" t="s">
        <v>9965</v>
      </c>
      <c r="D163" s="1833" t="b">
        <f>'10'!Z9</f>
        <v>1</v>
      </c>
      <c r="E163" s="3005" t="s">
        <v>4184</v>
      </c>
      <c r="F163" s="3005" t="s">
        <v>4184</v>
      </c>
      <c r="G163" s="3006" t="s">
        <v>4184</v>
      </c>
      <c r="H163" s="3004"/>
    </row>
    <row r="164" spans="2:8" ht="25">
      <c r="B164" s="1827" t="s">
        <v>4432</v>
      </c>
      <c r="C164" s="1842" t="s">
        <v>1493</v>
      </c>
      <c r="D164" s="1833" t="b">
        <f>ABS(-'91_01'!H32-'91_02'!F42)&lt;=1</f>
        <v>1</v>
      </c>
      <c r="E164" s="1830" t="s">
        <v>4184</v>
      </c>
      <c r="F164" s="1830" t="s">
        <v>4184</v>
      </c>
      <c r="G164" s="1831" t="s">
        <v>4184</v>
      </c>
    </row>
    <row r="165" spans="2:8" ht="25">
      <c r="B165" s="1827" t="s">
        <v>6170</v>
      </c>
      <c r="C165" s="1842" t="s">
        <v>6171</v>
      </c>
      <c r="D165" s="1833" t="b">
        <f>AND('90_контр'!$Z$12:$Z$14)</f>
        <v>1</v>
      </c>
      <c r="E165" s="1830" t="s">
        <v>4184</v>
      </c>
      <c r="F165" s="1830" t="s">
        <v>4184</v>
      </c>
      <c r="G165" s="1831" t="s">
        <v>4184</v>
      </c>
    </row>
    <row r="166" spans="2:8" ht="25">
      <c r="B166" s="1827" t="s">
        <v>6246</v>
      </c>
      <c r="C166" s="1842" t="s">
        <v>6171</v>
      </c>
      <c r="D166" s="1833" t="b">
        <f>AND('90_контр'!S12:S10001)</f>
        <v>1</v>
      </c>
      <c r="E166" s="1830" t="s">
        <v>4184</v>
      </c>
      <c r="F166" s="1830" t="s">
        <v>4184</v>
      </c>
      <c r="G166" s="1831" t="s">
        <v>4184</v>
      </c>
    </row>
    <row r="167" spans="2:8" ht="37.5">
      <c r="B167" s="1827" t="s">
        <v>8507</v>
      </c>
      <c r="C167" s="1842" t="s">
        <v>8379</v>
      </c>
      <c r="D167" s="1833" t="b">
        <f>AND('60,62,63,76_контр'!AN3:AN5,'60,62,63,76_контр'!$AP$6,'60,62,63,76_контр'!AP3:AP4)</f>
        <v>1</v>
      </c>
      <c r="E167" s="1830" t="s">
        <v>4184</v>
      </c>
      <c r="F167" s="1830" t="s">
        <v>4184</v>
      </c>
      <c r="G167" s="1831" t="s">
        <v>4184</v>
      </c>
    </row>
    <row r="168" spans="2:8" ht="25">
      <c r="B168" s="1827" t="s">
        <v>8508</v>
      </c>
      <c r="C168" s="1842" t="s">
        <v>2836</v>
      </c>
      <c r="D168" s="1833" t="b">
        <f>AND('60_01'!Y7:AC8)</f>
        <v>1</v>
      </c>
      <c r="E168" s="1830" t="s">
        <v>4184</v>
      </c>
      <c r="F168" s="1830" t="s">
        <v>4184</v>
      </c>
      <c r="G168" s="1831" t="s">
        <v>4184</v>
      </c>
    </row>
    <row r="169" spans="2:8" ht="25">
      <c r="B169" s="1827" t="s">
        <v>8509</v>
      </c>
      <c r="C169" s="1842" t="s">
        <v>2837</v>
      </c>
      <c r="D169" s="1833" t="b">
        <f>AND('60_02'!T13:U13)</f>
        <v>1</v>
      </c>
      <c r="E169" s="1830" t="s">
        <v>4184</v>
      </c>
      <c r="F169" s="1830" t="s">
        <v>4184</v>
      </c>
      <c r="G169" s="1831" t="s">
        <v>4184</v>
      </c>
    </row>
    <row r="170" spans="2:8" ht="25">
      <c r="B170" s="1827" t="s">
        <v>8510</v>
      </c>
      <c r="C170" s="1842" t="s">
        <v>2838</v>
      </c>
      <c r="D170" s="1833" t="b">
        <f>AND('62_01'!X9:Z9)</f>
        <v>1</v>
      </c>
      <c r="E170" s="1830" t="s">
        <v>4184</v>
      </c>
      <c r="F170" s="1830" t="s">
        <v>4184</v>
      </c>
      <c r="G170" s="1831" t="s">
        <v>4184</v>
      </c>
    </row>
    <row r="171" spans="2:8" ht="25">
      <c r="B171" s="1827" t="s">
        <v>8511</v>
      </c>
      <c r="C171" s="1842" t="s">
        <v>2839</v>
      </c>
      <c r="D171" s="1833" t="b">
        <f>AND('62_02'!U9:V9)</f>
        <v>1</v>
      </c>
      <c r="E171" s="1830" t="s">
        <v>4184</v>
      </c>
      <c r="F171" s="1830" t="s">
        <v>4184</v>
      </c>
      <c r="G171" s="1831" t="s">
        <v>4184</v>
      </c>
    </row>
    <row r="172" spans="2:8" ht="25">
      <c r="B172" s="1827" t="s">
        <v>8512</v>
      </c>
      <c r="C172" s="1840">
        <v>76</v>
      </c>
      <c r="D172" s="1833" t="b">
        <f>AND('76'!AJ4:AM4)</f>
        <v>1</v>
      </c>
      <c r="E172" s="1830" t="s">
        <v>4184</v>
      </c>
      <c r="F172" s="1830" t="s">
        <v>4184</v>
      </c>
      <c r="G172" s="1831" t="s">
        <v>4184</v>
      </c>
    </row>
    <row r="173" spans="2:8" s="3003" customFormat="1">
      <c r="B173" s="1827" t="s">
        <v>9915</v>
      </c>
      <c r="C173" s="3008" t="s">
        <v>9914</v>
      </c>
      <c r="D173" s="1833" t="b">
        <f>AND('76_01_%'!AX6:AZ6)</f>
        <v>1</v>
      </c>
      <c r="E173" s="3005" t="s">
        <v>4184</v>
      </c>
      <c r="F173" s="3005" t="s">
        <v>4184</v>
      </c>
      <c r="G173" s="3006" t="s">
        <v>4184</v>
      </c>
      <c r="H173" s="3004"/>
    </row>
    <row r="174" spans="2:8" ht="25">
      <c r="B174" s="1827" t="s">
        <v>8513</v>
      </c>
      <c r="C174" s="1842" t="s">
        <v>424</v>
      </c>
      <c r="D174" s="1833" t="b">
        <f>AND(Долгосроч_договоры!AN:AN)</f>
        <v>1</v>
      </c>
      <c r="E174" s="1830" t="s">
        <v>4184</v>
      </c>
      <c r="F174" s="1830" t="s">
        <v>4184</v>
      </c>
      <c r="G174" s="1831" t="s">
        <v>4184</v>
      </c>
    </row>
    <row r="175" spans="2:8" ht="50">
      <c r="B175" s="1827" t="s">
        <v>14288</v>
      </c>
      <c r="C175" s="3009" t="s">
        <v>8379</v>
      </c>
      <c r="D175" s="1833" t="b">
        <f ca="1">'60,62,63,76_контр'!CC6</f>
        <v>1</v>
      </c>
      <c r="E175" s="3005" t="s">
        <v>4184</v>
      </c>
      <c r="F175" s="3005" t="s">
        <v>4184</v>
      </c>
      <c r="G175" s="3006" t="s">
        <v>4184</v>
      </c>
    </row>
    <row r="176" spans="2:8" s="3003" customFormat="1" ht="37.5">
      <c r="B176" s="1827" t="s">
        <v>7147</v>
      </c>
      <c r="C176" s="1842" t="s">
        <v>8493</v>
      </c>
      <c r="D176" s="1833" t="b">
        <f>Долгосроч_договоры!BE9</f>
        <v>1</v>
      </c>
      <c r="E176" s="1830" t="s">
        <v>4184</v>
      </c>
      <c r="F176" s="1830" t="s">
        <v>4184</v>
      </c>
      <c r="G176" s="1831" t="s">
        <v>4184</v>
      </c>
      <c r="H176" s="3004"/>
    </row>
    <row r="177" spans="2:8" s="3003" customFormat="1" ht="25">
      <c r="B177" s="1827" t="s">
        <v>14907</v>
      </c>
      <c r="C177" s="3009" t="s">
        <v>424</v>
      </c>
      <c r="D177" s="1833" t="b">
        <f>Долгосроч_договоры!CQ9</f>
        <v>1</v>
      </c>
      <c r="E177" s="3005" t="s">
        <v>4184</v>
      </c>
      <c r="F177" s="3005" t="s">
        <v>4184</v>
      </c>
      <c r="G177" s="3006" t="s">
        <v>4184</v>
      </c>
      <c r="H177" s="3004"/>
    </row>
    <row r="178" spans="2:8" ht="25">
      <c r="B178" s="1827" t="s">
        <v>10319</v>
      </c>
      <c r="C178" s="3009" t="s">
        <v>424</v>
      </c>
      <c r="D178" s="1833" t="b">
        <f>Долгосроч_договоры!CS9</f>
        <v>1</v>
      </c>
      <c r="E178" s="3005" t="s">
        <v>4184</v>
      </c>
      <c r="F178" s="3005" t="s">
        <v>4184</v>
      </c>
      <c r="G178" s="3006" t="s">
        <v>4184</v>
      </c>
    </row>
    <row r="179" spans="2:8" ht="25">
      <c r="B179" s="1827" t="s">
        <v>7589</v>
      </c>
      <c r="C179" s="1842" t="s">
        <v>7588</v>
      </c>
      <c r="D179" s="1833" t="b">
        <f>AND('14'!M5,'14'!M7)</f>
        <v>1</v>
      </c>
      <c r="E179" s="1830" t="s">
        <v>4184</v>
      </c>
      <c r="F179" s="1830" t="s">
        <v>4184</v>
      </c>
      <c r="G179" s="1831" t="s">
        <v>4184</v>
      </c>
    </row>
    <row r="180" spans="2:8" s="3003" customFormat="1" ht="25">
      <c r="B180" s="1827" t="s">
        <v>6187</v>
      </c>
      <c r="C180" s="1842" t="s">
        <v>6188</v>
      </c>
      <c r="D180" s="3325" t="b">
        <f>ABS(('08'!$G$8+'08'!$H$8+'08'!$I$8+'08'!$K$8+'08'!$L$8+'08'!$M$8)-'08_расш'!$E$8)&lt;5</f>
        <v>1</v>
      </c>
      <c r="E180" s="1830" t="s">
        <v>4184</v>
      </c>
      <c r="F180" s="1830" t="s">
        <v>4184</v>
      </c>
      <c r="G180" s="1831" t="s">
        <v>4184</v>
      </c>
      <c r="H180" s="3004"/>
    </row>
    <row r="181" spans="2:8" s="3003" customFormat="1">
      <c r="B181" s="1827" t="s">
        <v>10049</v>
      </c>
      <c r="C181" s="3009" t="s">
        <v>10046</v>
      </c>
      <c r="D181" s="1833" t="b">
        <f>AND('08_НИОКР'!J7:K7)</f>
        <v>1</v>
      </c>
      <c r="E181" s="3005" t="s">
        <v>4184</v>
      </c>
      <c r="F181" s="3005" t="s">
        <v>4184</v>
      </c>
      <c r="G181" s="3006" t="s">
        <v>4184</v>
      </c>
      <c r="H181" s="3004"/>
    </row>
    <row r="182" spans="2:8" ht="25">
      <c r="B182" s="1827" t="s">
        <v>10047</v>
      </c>
      <c r="C182" s="3009" t="s">
        <v>10048</v>
      </c>
      <c r="D182" s="3325" t="b">
        <f>ABS(('08'!$G$18+'08'!$G$19+'08'!$G$20+'08'!$H$18+'08'!$H$19+'08'!$H$20)-('08_НИОКР'!$D$8+'08_НИОКР'!$E$8))&lt;5</f>
        <v>1</v>
      </c>
      <c r="E182" s="3005" t="s">
        <v>4184</v>
      </c>
      <c r="F182" s="3005" t="s">
        <v>4184</v>
      </c>
      <c r="G182" s="3006" t="s">
        <v>4184</v>
      </c>
    </row>
    <row r="183" spans="2:8" s="3003" customFormat="1" ht="25">
      <c r="B183" s="1827" t="s">
        <v>7651</v>
      </c>
      <c r="C183" s="1842" t="s">
        <v>7652</v>
      </c>
      <c r="D183" s="1833" t="b">
        <f>'69'!$K$10+Затраты_Вход_1!$S$15&lt;=5</f>
        <v>1</v>
      </c>
      <c r="E183" s="1830" t="s">
        <v>4184</v>
      </c>
      <c r="F183" s="1830" t="s">
        <v>4184</v>
      </c>
      <c r="G183" s="1831" t="s">
        <v>4184</v>
      </c>
      <c r="H183" s="3004"/>
    </row>
    <row r="184" spans="2:8" s="3003" customFormat="1">
      <c r="B184" s="1827" t="s">
        <v>9671</v>
      </c>
      <c r="C184" s="3009" t="s">
        <v>9670</v>
      </c>
      <c r="D184" s="1833" t="b">
        <v>1</v>
      </c>
      <c r="E184" s="3005" t="s">
        <v>4184</v>
      </c>
      <c r="F184" s="3005" t="s">
        <v>4184</v>
      </c>
      <c r="G184" s="3006" t="s">
        <v>4184</v>
      </c>
      <c r="H184" s="3004"/>
    </row>
    <row r="185" spans="2:8" s="3003" customFormat="1">
      <c r="B185" s="1827" t="s">
        <v>9673</v>
      </c>
      <c r="C185" s="3009" t="s">
        <v>9670</v>
      </c>
      <c r="D185" s="1833" t="b">
        <v>1</v>
      </c>
      <c r="E185" s="3005" t="s">
        <v>4184</v>
      </c>
      <c r="F185" s="3005" t="s">
        <v>4184</v>
      </c>
      <c r="G185" s="3006" t="s">
        <v>4184</v>
      </c>
      <c r="H185" s="3004"/>
    </row>
    <row r="186" spans="2:8">
      <c r="B186" s="1827" t="s">
        <v>9672</v>
      </c>
      <c r="C186" s="3009" t="s">
        <v>9670</v>
      </c>
      <c r="D186" s="1833" t="b">
        <v>1</v>
      </c>
      <c r="E186" s="3005" t="s">
        <v>4184</v>
      </c>
      <c r="F186" s="3005" t="s">
        <v>4184</v>
      </c>
      <c r="G186" s="3006" t="s">
        <v>4184</v>
      </c>
    </row>
    <row r="187" spans="2:8" ht="50">
      <c r="B187" s="1832" t="s">
        <v>10311</v>
      </c>
      <c r="C187" s="1840" t="s">
        <v>10310</v>
      </c>
      <c r="D187" s="1842" t="b">
        <f>Долгосроч_договоры!CA9</f>
        <v>1</v>
      </c>
      <c r="E187" s="1830" t="s">
        <v>3196</v>
      </c>
      <c r="F187" s="1830" t="s">
        <v>3196</v>
      </c>
      <c r="G187" s="1831" t="s">
        <v>3196</v>
      </c>
    </row>
    <row r="188" spans="2:8" ht="25">
      <c r="B188" s="1827" t="s">
        <v>7687</v>
      </c>
      <c r="C188" s="1842" t="s">
        <v>8035</v>
      </c>
      <c r="D188" s="1833" t="b">
        <f>AND('58_04'!AC9,'58_04'!AD9)</f>
        <v>1</v>
      </c>
      <c r="E188" s="1830" t="s">
        <v>4184</v>
      </c>
      <c r="F188" s="1830" t="s">
        <v>4184</v>
      </c>
      <c r="G188" s="1831" t="s">
        <v>4184</v>
      </c>
    </row>
    <row r="189" spans="2:8" ht="37.5">
      <c r="B189" s="1832" t="s">
        <v>8533</v>
      </c>
      <c r="C189" s="1840" t="s">
        <v>8534</v>
      </c>
      <c r="D189" s="1833" t="b">
        <f>'58_04'!AB9</f>
        <v>1</v>
      </c>
      <c r="E189" s="1830" t="s">
        <v>3389</v>
      </c>
      <c r="F189" s="1830" t="s">
        <v>3389</v>
      </c>
      <c r="G189" s="1831" t="s">
        <v>3389</v>
      </c>
    </row>
    <row r="190" spans="2:8">
      <c r="B190" s="1832" t="s">
        <v>8702</v>
      </c>
      <c r="C190" s="1840" t="s">
        <v>2832</v>
      </c>
      <c r="D190" s="1833" t="b">
        <f>'58_04'!AE9</f>
        <v>1</v>
      </c>
      <c r="E190" s="1830" t="s">
        <v>3389</v>
      </c>
      <c r="F190" s="1830" t="s">
        <v>3389</v>
      </c>
      <c r="G190" s="1831" t="s">
        <v>3389</v>
      </c>
    </row>
    <row r="191" spans="2:8" s="3003" customFormat="1">
      <c r="B191" s="1832" t="s">
        <v>8703</v>
      </c>
      <c r="C191" s="1840" t="s">
        <v>2832</v>
      </c>
      <c r="D191" s="1833" t="b">
        <f>'58_04'!AF9</f>
        <v>1</v>
      </c>
      <c r="E191" s="1830" t="s">
        <v>3389</v>
      </c>
      <c r="F191" s="1830" t="s">
        <v>3389</v>
      </c>
      <c r="G191" s="1831" t="s">
        <v>3389</v>
      </c>
      <c r="H191" s="3004"/>
    </row>
    <row r="192" spans="2:8" s="3003" customFormat="1" ht="25">
      <c r="B192" s="3007" t="s">
        <v>15202</v>
      </c>
      <c r="C192" s="3008" t="s">
        <v>2832</v>
      </c>
      <c r="D192" s="1833" t="b">
        <f>'58_04'!AA9</f>
        <v>1</v>
      </c>
      <c r="E192" s="3005" t="s">
        <v>3389</v>
      </c>
      <c r="F192" s="3005" t="s">
        <v>3389</v>
      </c>
      <c r="G192" s="3006" t="s">
        <v>3389</v>
      </c>
      <c r="H192" s="3004"/>
    </row>
    <row r="193" spans="2:8" ht="50">
      <c r="B193" s="3007" t="s">
        <v>9893</v>
      </c>
      <c r="C193" s="3008" t="s">
        <v>2832</v>
      </c>
      <c r="D193" s="1833" t="b">
        <f>'58_04'!AG9</f>
        <v>1</v>
      </c>
      <c r="E193" s="3005" t="s">
        <v>3389</v>
      </c>
      <c r="F193" s="3005" t="s">
        <v>3389</v>
      </c>
      <c r="G193" s="3006" t="s">
        <v>3389</v>
      </c>
    </row>
    <row r="194" spans="2:8" ht="50">
      <c r="B194" s="1832" t="s">
        <v>8873</v>
      </c>
      <c r="C194" s="1840" t="s">
        <v>8875</v>
      </c>
      <c r="D194" s="1833" t="b">
        <f>'76_01_%'!AI11</f>
        <v>1</v>
      </c>
      <c r="E194" s="1830" t="s">
        <v>3389</v>
      </c>
      <c r="F194" s="1830" t="s">
        <v>3389</v>
      </c>
      <c r="G194" s="1831" t="s">
        <v>3389</v>
      </c>
    </row>
    <row r="195" spans="2:8" ht="37.5">
      <c r="B195" s="1832" t="s">
        <v>10308</v>
      </c>
      <c r="C195" s="1842" t="s">
        <v>10309</v>
      </c>
      <c r="D195" s="1833" t="b">
        <f>'46'!AS9</f>
        <v>1</v>
      </c>
      <c r="E195" s="1830" t="s">
        <v>3389</v>
      </c>
      <c r="F195" s="1830" t="s">
        <v>3389</v>
      </c>
      <c r="G195" s="1831" t="s">
        <v>3389</v>
      </c>
    </row>
    <row r="196" spans="2:8" s="3003" customFormat="1" ht="25">
      <c r="B196" s="1832" t="s">
        <v>8548</v>
      </c>
      <c r="C196" s="1842" t="s">
        <v>424</v>
      </c>
      <c r="D196" s="1833" t="b">
        <f>Долгосроч_договоры!BG9</f>
        <v>1</v>
      </c>
      <c r="E196" s="1830" t="s">
        <v>3389</v>
      </c>
      <c r="F196" s="1830" t="s">
        <v>3389</v>
      </c>
      <c r="G196" s="1831" t="s">
        <v>3389</v>
      </c>
      <c r="H196" s="3004"/>
    </row>
    <row r="197" spans="2:8" ht="25">
      <c r="B197" s="3007" t="s">
        <v>10258</v>
      </c>
      <c r="C197" s="3009" t="s">
        <v>10259</v>
      </c>
      <c r="D197" s="1833" t="b">
        <f>Долгосроч_договоры!CL9</f>
        <v>1</v>
      </c>
      <c r="E197" s="3005" t="s">
        <v>3389</v>
      </c>
      <c r="F197" s="3005" t="s">
        <v>3389</v>
      </c>
      <c r="G197" s="3006" t="s">
        <v>3389</v>
      </c>
    </row>
    <row r="198" spans="2:8" ht="25">
      <c r="B198" s="3007" t="s">
        <v>8746</v>
      </c>
      <c r="C198" s="3009" t="s">
        <v>8747</v>
      </c>
      <c r="D198" s="1833" t="b">
        <f>G198&gt;=0</f>
        <v>1</v>
      </c>
      <c r="E198" s="3005">
        <f>Свод_по_счетам!K28</f>
        <v>0</v>
      </c>
      <c r="F198" s="3005">
        <f>SUMIF('50_51_52_55_57_движ'!_xlnm.Print_Titles,"{1220000_~_~_~} Оплата труда и иные выплаты работникам в денежной форме",'50_51_52_55_57_движ'!J:J)</f>
        <v>0</v>
      </c>
      <c r="G198" s="3006">
        <f>E198+F198</f>
        <v>0</v>
      </c>
    </row>
    <row r="199" spans="2:8" ht="25">
      <c r="B199" s="3007" t="s">
        <v>8748</v>
      </c>
      <c r="C199" s="3009" t="s">
        <v>8749</v>
      </c>
      <c r="D199" s="1833" t="b">
        <f>G199&lt;=0</f>
        <v>1</v>
      </c>
      <c r="E199" s="3005">
        <f>Свод_по_счетам!L28</f>
        <v>0</v>
      </c>
      <c r="F199" s="3005">
        <f>SUMIF(Затраты_Вход_1!_xlnm.Print_Titles,"{2001*",Затраты_Вход_1!H:H)</f>
        <v>0</v>
      </c>
      <c r="G199" s="3006">
        <f>E199+F199</f>
        <v>0</v>
      </c>
    </row>
    <row r="200" spans="2:8">
      <c r="B200" s="1835" t="s">
        <v>4433</v>
      </c>
      <c r="C200" s="1841"/>
      <c r="D200" s="1837" t="b">
        <f>AND(D201:D212)</f>
        <v>0</v>
      </c>
      <c r="E200" s="1838" t="s">
        <v>3389</v>
      </c>
      <c r="F200" s="1838" t="s">
        <v>3389</v>
      </c>
      <c r="G200" s="1839" t="s">
        <v>3389</v>
      </c>
    </row>
    <row r="201" spans="2:8" ht="25">
      <c r="B201" s="1827" t="s">
        <v>4430</v>
      </c>
      <c r="C201" s="1842" t="s">
        <v>4429</v>
      </c>
      <c r="D201" s="1833" t="b">
        <f>AND(Налог_на_прибыль!H130:H156,Налог_на_прибыль!H158:H175)</f>
        <v>1</v>
      </c>
      <c r="E201" s="1830" t="s">
        <v>4184</v>
      </c>
      <c r="F201" s="1830" t="s">
        <v>4184</v>
      </c>
      <c r="G201" s="1831" t="s">
        <v>4184</v>
      </c>
    </row>
    <row r="202" spans="2:8" ht="25">
      <c r="B202" s="1827" t="s">
        <v>4428</v>
      </c>
      <c r="C202" s="1842" t="s">
        <v>4427</v>
      </c>
      <c r="D202" s="1833" t="b">
        <f>AND(Налог_на_прибыль!I10,Налог_на_прибыль!I181)</f>
        <v>1</v>
      </c>
      <c r="E202" s="1830" t="s">
        <v>4184</v>
      </c>
      <c r="F202" s="1830" t="s">
        <v>4184</v>
      </c>
      <c r="G202" s="1831" t="s">
        <v>4184</v>
      </c>
    </row>
    <row r="203" spans="2:8" ht="25">
      <c r="B203" s="1827" t="s">
        <v>8445</v>
      </c>
      <c r="C203" s="1842" t="s">
        <v>8446</v>
      </c>
      <c r="D203" s="1833" t="b">
        <f>AND(IF(Налог_на_прибыль!E178="",FALSE,TRUE))</f>
        <v>0</v>
      </c>
      <c r="E203" s="1830" t="s">
        <v>4184</v>
      </c>
      <c r="F203" s="1830" t="s">
        <v>4184</v>
      </c>
      <c r="G203" s="1831" t="s">
        <v>4184</v>
      </c>
    </row>
    <row r="204" spans="2:8" s="3003" customFormat="1">
      <c r="B204" s="1827" t="s">
        <v>15225</v>
      </c>
      <c r="C204" s="3009" t="s">
        <v>4388</v>
      </c>
      <c r="D204" s="1833" t="b">
        <f>Налог_на_прибыль!J181</f>
        <v>1</v>
      </c>
      <c r="E204" s="3005" t="s">
        <v>4184</v>
      </c>
      <c r="F204" s="3005" t="s">
        <v>4184</v>
      </c>
      <c r="G204" s="3006" t="s">
        <v>4184</v>
      </c>
      <c r="H204" s="3004"/>
    </row>
    <row r="205" spans="2:8" ht="25">
      <c r="B205" s="1832" t="s">
        <v>4426</v>
      </c>
      <c r="C205" s="1840">
        <v>25</v>
      </c>
      <c r="D205" s="1833" t="b">
        <f>AND(E205=0,F205=0)</f>
        <v>1</v>
      </c>
      <c r="E205" s="1830">
        <f>ABS(ОСВ_система!L22)</f>
        <v>0</v>
      </c>
      <c r="F205" s="1830">
        <f>ABS(ОСВ_система!M22)</f>
        <v>0</v>
      </c>
      <c r="G205" s="1831" t="s">
        <v>3389</v>
      </c>
    </row>
    <row r="206" spans="2:8" ht="25">
      <c r="B206" s="1832" t="s">
        <v>4425</v>
      </c>
      <c r="C206" s="1840">
        <v>26</v>
      </c>
      <c r="D206" s="1833" t="b">
        <f>AND(E206=0,F206=0)</f>
        <v>1</v>
      </c>
      <c r="E206" s="1830">
        <f>ABS(ОСВ_система!L23)</f>
        <v>0</v>
      </c>
      <c r="F206" s="1830">
        <f>ABS(ОСВ_система!M23)</f>
        <v>0</v>
      </c>
      <c r="G206" s="1831" t="s">
        <v>3389</v>
      </c>
    </row>
    <row r="207" spans="2:8" ht="37.5">
      <c r="B207" s="1832" t="s">
        <v>4685</v>
      </c>
      <c r="C207" s="1840" t="s">
        <v>4423</v>
      </c>
      <c r="D207" s="1833" t="b">
        <f>AND(ДДС_приложение!G5:G273)</f>
        <v>1</v>
      </c>
      <c r="E207" s="1830" t="s">
        <v>3389</v>
      </c>
      <c r="F207" s="1830" t="s">
        <v>3389</v>
      </c>
      <c r="G207" s="1831" t="s">
        <v>3389</v>
      </c>
    </row>
    <row r="208" spans="2:8" ht="25">
      <c r="B208" s="1832" t="s">
        <v>5883</v>
      </c>
      <c r="C208" s="1840" t="s">
        <v>8379</v>
      </c>
      <c r="D208" s="1833" t="b">
        <f>AND('60,62,63,76_контр'!AS6,'60,62,63,76_контр'!AW6:BB6,'60,62,63,76_контр'!$BQ$6)</f>
        <v>1</v>
      </c>
      <c r="E208" s="1830" t="s">
        <v>3389</v>
      </c>
      <c r="F208" s="1830" t="s">
        <v>3389</v>
      </c>
      <c r="G208" s="1831" t="s">
        <v>3389</v>
      </c>
    </row>
    <row r="209" spans="2:8" ht="25">
      <c r="B209" s="1832" t="s">
        <v>6221</v>
      </c>
      <c r="C209" s="1840" t="s">
        <v>8380</v>
      </c>
      <c r="D209" s="1833" t="b">
        <f>ABS(G209)&lt;=5</f>
        <v>1</v>
      </c>
      <c r="E209" s="1830">
        <f>'60,62,63,76_контр'!BD15</f>
        <v>0</v>
      </c>
      <c r="F209" s="1830">
        <f>'76'!AN45+'60_01'!AA10+'62_02'!W10+'76_01_%'!AE11</f>
        <v>0</v>
      </c>
      <c r="G209" s="1831">
        <f>E209-F209</f>
        <v>0</v>
      </c>
    </row>
    <row r="210" spans="2:8" ht="25">
      <c r="B210" s="1832" t="s">
        <v>6222</v>
      </c>
      <c r="C210" s="1840" t="s">
        <v>8380</v>
      </c>
      <c r="D210" s="1833" t="b">
        <f>ABS(G210)&lt;=5</f>
        <v>1</v>
      </c>
      <c r="E210" s="1830">
        <f>'60,62,63,76_контр'!BE15</f>
        <v>0</v>
      </c>
      <c r="F210" s="1830">
        <f>'76'!AO45+'60_01'!AB10+'62_02'!X10+'76_01_%'!AF11</f>
        <v>0</v>
      </c>
      <c r="G210" s="1831">
        <f>E210-F210</f>
        <v>0</v>
      </c>
    </row>
    <row r="211" spans="2:8" s="3003" customFormat="1" ht="25">
      <c r="B211" s="3007" t="s">
        <v>15009</v>
      </c>
      <c r="C211" s="3008" t="s">
        <v>15010</v>
      </c>
      <c r="D211" s="1833" t="b">
        <f>Долгосроч_договоры!DC9</f>
        <v>1</v>
      </c>
      <c r="E211" s="3005" t="s">
        <v>3389</v>
      </c>
      <c r="F211" s="3005" t="s">
        <v>3389</v>
      </c>
      <c r="G211" s="3006" t="s">
        <v>3389</v>
      </c>
      <c r="H211" s="3004"/>
    </row>
    <row r="212" spans="2:8" ht="25">
      <c r="B212" s="1832" t="s">
        <v>3524</v>
      </c>
      <c r="C212" s="1840" t="s">
        <v>4422</v>
      </c>
      <c r="D212" s="1833" t="b">
        <f>'83'!P4</f>
        <v>1</v>
      </c>
      <c r="E212" s="1830" t="s">
        <v>3389</v>
      </c>
      <c r="F212" s="1830" t="s">
        <v>3389</v>
      </c>
      <c r="G212" s="1831" t="s">
        <v>3389</v>
      </c>
    </row>
    <row r="213" spans="2:8" ht="39">
      <c r="B213" s="1835" t="s">
        <v>4421</v>
      </c>
      <c r="C213" s="1841"/>
      <c r="D213" s="1837" t="b">
        <f>AND(D214:D237)</f>
        <v>1</v>
      </c>
      <c r="E213" s="1838" t="s">
        <v>3389</v>
      </c>
      <c r="F213" s="1838" t="s">
        <v>3389</v>
      </c>
      <c r="G213" s="1839" t="s">
        <v>3389</v>
      </c>
    </row>
    <row r="214" spans="2:8" ht="75">
      <c r="B214" s="1832" t="s">
        <v>1150</v>
      </c>
      <c r="C214" s="1840" t="s">
        <v>4420</v>
      </c>
      <c r="D214" s="1833" t="b">
        <f>E214&lt;=F214</f>
        <v>1</v>
      </c>
      <c r="E214" s="1830">
        <f>ROUND(SUMIF('91_01_ВГО'!$C:$C,"*1030100*",'91_01_ВГО'!$L:$L),0)</f>
        <v>0</v>
      </c>
      <c r="F214" s="1830">
        <f>ROUND(SUMIF('91_02'!$C:$C,"*2030100*",'91_02'!$F:$F)+SUMIF('91_02'!$C:$C,"*2030200*",'91_02'!$F:$F),0)</f>
        <v>0</v>
      </c>
      <c r="G214" s="1831" t="s">
        <v>3389</v>
      </c>
    </row>
    <row r="215" spans="2:8" ht="75">
      <c r="B215" s="1832" t="s">
        <v>1151</v>
      </c>
      <c r="C215" s="1840" t="s">
        <v>4420</v>
      </c>
      <c r="D215" s="1833" t="b">
        <f t="shared" ref="D215:D237" si="19">E215&lt;=F215</f>
        <v>1</v>
      </c>
      <c r="E215" s="1830">
        <f>ROUND(SUMIF('91_01_ВГО'!$C:$C,"*1040100*",'91_01_ВГО'!$L:$L),0)</f>
        <v>0</v>
      </c>
      <c r="F215" s="1830">
        <f>ROUND(SUMIF('91_02'!$C:$C,"*2040100*",'91_02'!$F:$F)+SUMIF('91_02'!$C:$C,"*2040200*",'91_02'!$F:$F),0)</f>
        <v>0</v>
      </c>
      <c r="G215" s="1831" t="s">
        <v>3389</v>
      </c>
    </row>
    <row r="216" spans="2:8" ht="87.5">
      <c r="B216" s="1832" t="s">
        <v>1152</v>
      </c>
      <c r="C216" s="1840" t="s">
        <v>4420</v>
      </c>
      <c r="D216" s="1833" t="b">
        <f t="shared" si="19"/>
        <v>1</v>
      </c>
      <c r="E216" s="1830">
        <f>ROUND(SUMIF('91_01_ВГО'!$C:$C,"*1050100*",'91_01_ВГО'!$L:$L),0)</f>
        <v>0</v>
      </c>
      <c r="F216" s="1830">
        <f>ROUND(SUMIF('91_02'!$C:$C,"*2050100*",'91_02'!$F:$F)+SUMIF('91_02'!$C:$C,"*2050200*",'91_02'!$F:$F),0)</f>
        <v>0</v>
      </c>
      <c r="G216" s="1831" t="s">
        <v>3389</v>
      </c>
    </row>
    <row r="217" spans="2:8" ht="75">
      <c r="B217" s="1832" t="s">
        <v>1153</v>
      </c>
      <c r="C217" s="1840" t="s">
        <v>4420</v>
      </c>
      <c r="D217" s="1833" t="b">
        <f t="shared" si="19"/>
        <v>1</v>
      </c>
      <c r="E217" s="1830">
        <f>ROUND(SUMIF('91_01_ВГО'!$C:$C,"*1060100*",'91_01_ВГО'!$L:$L),0)</f>
        <v>0</v>
      </c>
      <c r="F217" s="1830">
        <f>ROUND(SUMIF('91_02'!$C:$C,"*2060100*",'91_02'!$F:$F)+SUMIF('91_02'!$C:$C,"*2060200*",'91_02'!$F:$F),0)</f>
        <v>0</v>
      </c>
      <c r="G217" s="1831" t="s">
        <v>3389</v>
      </c>
    </row>
    <row r="218" spans="2:8" ht="87.5">
      <c r="B218" s="1832" t="s">
        <v>1154</v>
      </c>
      <c r="C218" s="1840" t="s">
        <v>4420</v>
      </c>
      <c r="D218" s="1833" t="b">
        <f t="shared" si="19"/>
        <v>1</v>
      </c>
      <c r="E218" s="1830">
        <f>ROUND(SUMIF('91_01_ВГО'!$C:$C,"*1060300*",'91_01_ВГО'!$L:$L),0)</f>
        <v>0</v>
      </c>
      <c r="F218" s="1830">
        <f>ROUND(SUMIF('91_02'!$C:$C,"*2060300*",'91_02'!$F:$F)+SUMIF('91_02'!$C:$C,"*2060400*",'91_02'!$F:$F),0)</f>
        <v>0</v>
      </c>
      <c r="G218" s="1831" t="s">
        <v>3389</v>
      </c>
    </row>
    <row r="219" spans="2:8" ht="100">
      <c r="B219" s="1832" t="s">
        <v>1155</v>
      </c>
      <c r="C219" s="1840" t="s">
        <v>4420</v>
      </c>
      <c r="D219" s="1833" t="b">
        <f t="shared" si="19"/>
        <v>1</v>
      </c>
      <c r="E219" s="1830">
        <f>ROUND(SUMIF('91_01_ВГО'!$C:$C,"*1060500*",'91_01_ВГО'!$L:$L),0)</f>
        <v>0</v>
      </c>
      <c r="F219" s="1830">
        <f>ROUND(SUMIF('91_02'!$C:$C,"*2060500*",'91_02'!$F:$F)+SUMIF('91_02'!$C:$C,"*2060600*",'91_02'!$F:$F),0)</f>
        <v>0</v>
      </c>
      <c r="G219" s="1831" t="s">
        <v>3389</v>
      </c>
    </row>
    <row r="220" spans="2:8" ht="75">
      <c r="B220" s="1832" t="s">
        <v>1156</v>
      </c>
      <c r="C220" s="1840" t="s">
        <v>4420</v>
      </c>
      <c r="D220" s="1833" t="b">
        <f>E220&lt;=F220</f>
        <v>1</v>
      </c>
      <c r="E220" s="1830">
        <f>ROUND(SUMIF('91_01_ВГО'!$C:$C,"*1110100*",'91_01_ВГО'!$L:$L),0)</f>
        <v>0</v>
      </c>
      <c r="F220" s="1830">
        <f>ROUND(SUMIF('91_02'!$C:$C,"*2110100*",'91_02'!$F:$F)+SUMIF('91_02'!$C:$C,"*2110200*",'91_02'!$F:$F),0)</f>
        <v>0</v>
      </c>
      <c r="G220" s="1831" t="s">
        <v>3389</v>
      </c>
    </row>
    <row r="221" spans="2:8" ht="87.5">
      <c r="B221" s="1832" t="s">
        <v>1157</v>
      </c>
      <c r="C221" s="1840" t="s">
        <v>4420</v>
      </c>
      <c r="D221" s="1833" t="b">
        <f t="shared" si="19"/>
        <v>1</v>
      </c>
      <c r="E221" s="1830">
        <f>ROUND(SUMIF('91_01_ВГО'!$C:$C,"*1110200*",'91_01_ВГО'!$L:$L),0)</f>
        <v>0</v>
      </c>
      <c r="F221" s="1830">
        <f>ROUND(SUMIF('91_02'!$C:$C,"*2110300*",'91_02'!$F:$F)+SUMIF('91_02'!$C:$C,"*2110400*",'91_02'!$F:$F),0)</f>
        <v>0</v>
      </c>
      <c r="G221" s="1831" t="s">
        <v>3389</v>
      </c>
    </row>
    <row r="222" spans="2:8" ht="87.5">
      <c r="B222" s="1832" t="s">
        <v>310</v>
      </c>
      <c r="C222" s="1840" t="s">
        <v>4420</v>
      </c>
      <c r="D222" s="1833" t="b">
        <f t="shared" si="19"/>
        <v>1</v>
      </c>
      <c r="E222" s="1830">
        <f>ROUND(SUMIF('91_01_ВГО'!$C:$C,"*1070104*",'91_01_ВГО'!$L:$L),0)</f>
        <v>0</v>
      </c>
      <c r="F222" s="1830">
        <f>ROUND(SUMIF('91_02'!$C:$C,"*2070114*",'91_02'!$F:$F)+SUMIF('91_02'!$C:$C,"*2070214*",'91_02'!$F:$F),0)</f>
        <v>0</v>
      </c>
      <c r="G222" s="1831" t="s">
        <v>3389</v>
      </c>
    </row>
    <row r="223" spans="2:8" ht="87.5">
      <c r="B223" s="1832" t="s">
        <v>311</v>
      </c>
      <c r="C223" s="1840" t="s">
        <v>4420</v>
      </c>
      <c r="D223" s="1833" t="b">
        <f>E223&lt;=F223</f>
        <v>1</v>
      </c>
      <c r="E223" s="1830">
        <f>ROUND(SUMIF('91_01_ВГО'!$C:$C,"*1070105*",'91_01_ВГО'!$L:$L),0)</f>
        <v>0</v>
      </c>
      <c r="F223" s="1830">
        <f>ROUND(SUMIF('91_02'!$C:$C,"*2070115*",'91_02'!$F:$F)+SUMIF('91_02'!$C:$C,"*2070215*",'91_02'!$F:$F),0)</f>
        <v>0</v>
      </c>
      <c r="G223" s="1831" t="s">
        <v>3389</v>
      </c>
    </row>
    <row r="224" spans="2:8" ht="87.5">
      <c r="B224" s="1832" t="s">
        <v>1158</v>
      </c>
      <c r="C224" s="1840" t="s">
        <v>4420</v>
      </c>
      <c r="D224" s="1833" t="b">
        <f t="shared" si="19"/>
        <v>1</v>
      </c>
      <c r="E224" s="1830">
        <f>ROUND(SUMIF('91_01_ВГО'!$C:$C,"*1070200*",'91_01_ВГО'!$L:$L),0)</f>
        <v>0</v>
      </c>
      <c r="F224" s="1830">
        <f>ROUND(SUMIF('91_02'!$C:$C,"*2070120*",'91_02'!$F:$F)+SUMIF('91_02'!$C:$C,"*2070220*",'91_02'!$F:$F),0)</f>
        <v>0</v>
      </c>
      <c r="G224" s="1831" t="s">
        <v>3389</v>
      </c>
    </row>
    <row r="225" spans="2:7" ht="87.5">
      <c r="B225" s="1832" t="s">
        <v>312</v>
      </c>
      <c r="C225" s="1840" t="s">
        <v>4420</v>
      </c>
      <c r="D225" s="1833" t="b">
        <f t="shared" si="19"/>
        <v>1</v>
      </c>
      <c r="E225" s="1830">
        <f>ROUND(SUMIF('91_01_ВГО'!$C:$C,"*1070304*",'91_01_ВГО'!$L:$L),0)</f>
        <v>0</v>
      </c>
      <c r="F225" s="1830">
        <f>ROUND(SUMIF('91_02'!$C:$C,"*2070134*",'91_02'!$F:$F)+SUMIF('91_02'!$C:$C,"*2070234*",'91_02'!$F:$F),0)</f>
        <v>0</v>
      </c>
      <c r="G225" s="1831" t="s">
        <v>3389</v>
      </c>
    </row>
    <row r="226" spans="2:7" ht="87.5">
      <c r="B226" s="1832" t="s">
        <v>313</v>
      </c>
      <c r="C226" s="1840" t="s">
        <v>4420</v>
      </c>
      <c r="D226" s="1833" t="b">
        <f>E226&lt;=F226</f>
        <v>1</v>
      </c>
      <c r="E226" s="1830">
        <f>ROUND(SUMIF('91_01_ВГО'!$C:$C,"*1070305*",'91_01_ВГО'!$L:$L),0)</f>
        <v>0</v>
      </c>
      <c r="F226" s="1830">
        <f>ROUND(SUMIF('91_02'!$C:$C,"*2070135*",'91_02'!$F:$F)+SUMIF('91_02'!$C:$C,"*2070235*",'91_02'!$F:$F),0)</f>
        <v>0</v>
      </c>
      <c r="G226" s="1831" t="s">
        <v>3389</v>
      </c>
    </row>
    <row r="227" spans="2:7" ht="87.5">
      <c r="B227" s="1832" t="s">
        <v>1159</v>
      </c>
      <c r="C227" s="1840" t="s">
        <v>4420</v>
      </c>
      <c r="D227" s="1833" t="b">
        <f t="shared" si="19"/>
        <v>1</v>
      </c>
      <c r="E227" s="1830">
        <f>ROUND(SUMIF('91_01_ВГО'!$C:$C,"*1070400*",'91_01_ВГО'!$L:$L),0)</f>
        <v>0</v>
      </c>
      <c r="F227" s="1830">
        <f>ROUND(SUMIF('91_02'!$C:$C,"*2070140*",'91_02'!$F:$F)+SUMIF('91_02'!$C:$C,"*2070240*",'91_02'!$F:$F),0)</f>
        <v>0</v>
      </c>
      <c r="G227" s="1831" t="s">
        <v>3389</v>
      </c>
    </row>
    <row r="228" spans="2:7" ht="87.5">
      <c r="B228" s="1832" t="s">
        <v>314</v>
      </c>
      <c r="C228" s="1840" t="s">
        <v>4420</v>
      </c>
      <c r="D228" s="1833" t="b">
        <f t="shared" si="19"/>
        <v>1</v>
      </c>
      <c r="E228" s="1830">
        <f>ROUND(SUMIF('91_01_ВГО'!$C:$C,"*1070504*",'91_01_ВГО'!$L:$L),0)</f>
        <v>0</v>
      </c>
      <c r="F228" s="1830">
        <f>ROUND(SUMIF('91_02'!$C:$C,"*2070154*",'91_02'!$F:$F)+SUMIF('91_02'!$C:$C,"*2070254*",'91_02'!$F:$F),0)</f>
        <v>0</v>
      </c>
      <c r="G228" s="1831" t="s">
        <v>3389</v>
      </c>
    </row>
    <row r="229" spans="2:7" ht="87.5">
      <c r="B229" s="1832" t="s">
        <v>0</v>
      </c>
      <c r="C229" s="1840" t="s">
        <v>4420</v>
      </c>
      <c r="D229" s="1833" t="b">
        <f>E229&lt;=F229</f>
        <v>1</v>
      </c>
      <c r="E229" s="1830">
        <f>ROUND(SUMIF('91_01_ВГО'!$C:$C,"*1070505*",'91_01_ВГО'!$L:$L),0)</f>
        <v>0</v>
      </c>
      <c r="F229" s="1830">
        <f>ROUND(SUMIF('91_02'!$C:$C,"*2070155*",'91_02'!$F:$F)+SUMIF('91_02'!$C:$C,"*2070255*",'91_02'!$F:$F),0)</f>
        <v>0</v>
      </c>
      <c r="G229" s="1831" t="s">
        <v>3389</v>
      </c>
    </row>
    <row r="230" spans="2:7" ht="87.5">
      <c r="B230" s="1832" t="s">
        <v>1160</v>
      </c>
      <c r="C230" s="1840" t="s">
        <v>4420</v>
      </c>
      <c r="D230" s="1833" t="b">
        <f t="shared" si="19"/>
        <v>1</v>
      </c>
      <c r="E230" s="1830">
        <f>ROUND(SUMIF('91_01_ВГО'!$C:$C,"*1070600*",'91_01_ВГО'!$L:$L),0)</f>
        <v>0</v>
      </c>
      <c r="F230" s="1830">
        <f>ROUND(SUMIF('91_02'!$C:$C,"*2070160*",'91_02'!$F:$F)+SUMIF('91_02'!$C:$C,"*2070260*",'91_02'!$F:$F),0)</f>
        <v>0</v>
      </c>
      <c r="G230" s="1831" t="s">
        <v>3389</v>
      </c>
    </row>
    <row r="231" spans="2:7" ht="87.5">
      <c r="B231" s="1832" t="s">
        <v>1161</v>
      </c>
      <c r="C231" s="1840" t="s">
        <v>4420</v>
      </c>
      <c r="D231" s="1833" t="b">
        <f t="shared" si="19"/>
        <v>1</v>
      </c>
      <c r="E231" s="1830">
        <f>ROUND(SUMIF('91_01_ВГО'!$C:$C,"*1080100*",'91_01_ВГО'!$L:$L),0)</f>
        <v>0</v>
      </c>
      <c r="F231" s="1830">
        <f>ROUND(SUMIF('91_02'!$C:$C,"*2080110*",'91_02'!$F:$F)+SUMIF('91_02'!$C:$C,"*2080210*",'91_02'!$F:$F),0)</f>
        <v>0</v>
      </c>
      <c r="G231" s="1831" t="s">
        <v>3389</v>
      </c>
    </row>
    <row r="232" spans="2:7" ht="75">
      <c r="B232" s="1832" t="s">
        <v>1162</v>
      </c>
      <c r="C232" s="1840" t="s">
        <v>4420</v>
      </c>
      <c r="D232" s="1833" t="b">
        <f t="shared" si="19"/>
        <v>1</v>
      </c>
      <c r="E232" s="1830">
        <f>ROUND(SUMIF('91_01_ВГО'!$C:$C,"*1080200*",'91_01_ВГО'!$L:$L),0)</f>
        <v>0</v>
      </c>
      <c r="F232" s="1830">
        <f>ROUND(SUMIF('91_02'!$C:$C,"*2080120*",'91_02'!$F:$F)+SUMIF('91_02'!$C:$C,"*2080220*",'91_02'!$F:$F),0)</f>
        <v>0</v>
      </c>
      <c r="G232" s="1831" t="s">
        <v>3389</v>
      </c>
    </row>
    <row r="233" spans="2:7" ht="75">
      <c r="B233" s="1832" t="s">
        <v>1163</v>
      </c>
      <c r="C233" s="1840" t="s">
        <v>4420</v>
      </c>
      <c r="D233" s="1833" t="b">
        <f t="shared" si="19"/>
        <v>1</v>
      </c>
      <c r="E233" s="1830">
        <f>ROUND(SUMIF('91_01_ВГО'!$C:$C,"*1080300*",'91_01_ВГО'!$L:$L),0)</f>
        <v>0</v>
      </c>
      <c r="F233" s="1830">
        <f>ROUND(SUMIF('91_02'!$C:$C,"*2080130*",'91_02'!$F:$F)+SUMIF('91_02'!$C:$C,"*2080230*",'91_02'!$F:$F),0)</f>
        <v>0</v>
      </c>
      <c r="G233" s="1831" t="s">
        <v>3389</v>
      </c>
    </row>
    <row r="234" spans="2:7" ht="75">
      <c r="B234" s="1832" t="s">
        <v>1164</v>
      </c>
      <c r="C234" s="1840" t="s">
        <v>4420</v>
      </c>
      <c r="D234" s="1833" t="b">
        <f t="shared" si="19"/>
        <v>1</v>
      </c>
      <c r="E234" s="1830">
        <f>ROUND(SUMIF('91_01_ВГО'!$C:$C,"*1080400*",'91_01_ВГО'!$L:$L),0)</f>
        <v>0</v>
      </c>
      <c r="F234" s="1830">
        <f>ROUND(SUMIF('91_02'!$C:$C,"*2080140*",'91_02'!$F:$F)+SUMIF('91_02'!$C:$C,"*2080240*",'91_02'!$F:$F),0)</f>
        <v>0</v>
      </c>
      <c r="G234" s="1831" t="s">
        <v>3389</v>
      </c>
    </row>
    <row r="235" spans="2:7" ht="75">
      <c r="B235" s="1832" t="s">
        <v>1165</v>
      </c>
      <c r="C235" s="1840" t="s">
        <v>4420</v>
      </c>
      <c r="D235" s="1833" t="b">
        <f t="shared" si="19"/>
        <v>1</v>
      </c>
      <c r="E235" s="1830">
        <f>ROUND(SUMIF('91_01_ВГО'!$C:$C,"*1080500*",'91_01_ВГО'!$L:$L),0)</f>
        <v>0</v>
      </c>
      <c r="F235" s="1830">
        <f>ROUND(SUMIF('91_02'!$C:$C,"*2080150*",'91_02'!$F:$F)+SUMIF('91_02'!$C:$C,"*2080250*",'91_02'!$F:$F),0)</f>
        <v>0</v>
      </c>
      <c r="G235" s="1831" t="s">
        <v>3389</v>
      </c>
    </row>
    <row r="236" spans="2:7" ht="112.5">
      <c r="B236" s="1832" t="s">
        <v>14484</v>
      </c>
      <c r="C236" s="1840" t="s">
        <v>4420</v>
      </c>
      <c r="D236" s="1833" t="b">
        <f t="shared" si="19"/>
        <v>1</v>
      </c>
      <c r="E236" s="1830">
        <f>ROUND(SUMIF('91_01_ВГО'!$C:$C,"*1130112*",'91_01_ВГО'!$L:$L),0)</f>
        <v>0</v>
      </c>
      <c r="F236" s="1830">
        <f>ROUND(SUMIF('91_02'!$C:$C,"*2130112*",'91_02'!$F:$F)+SUMIF('91_02'!$C:$C,"*2130122*",'91_02'!$F:$F)+SUMIF('91_02'!$C:$C,"*2400100*",'91_02'!$F:$F)+SUMIF('91_02_ВГО'!$C:$C,"*2130112*",'91_02_ВГО'!$I:$I)+SUMIF('91_02_ВГО'!$C:$C,"*2130122*",'91_02_ВГО'!$I:$I)+SUMIF('91_02_ВГО'!$C:$C,"*2400100*",'91_02_ВГО'!$I:$I),0)</f>
        <v>0</v>
      </c>
      <c r="G236" s="1831" t="s">
        <v>3389</v>
      </c>
    </row>
    <row r="237" spans="2:7" ht="112.5">
      <c r="B237" s="1832" t="s">
        <v>14485</v>
      </c>
      <c r="C237" s="1840" t="s">
        <v>4420</v>
      </c>
      <c r="D237" s="1833" t="b">
        <f t="shared" si="19"/>
        <v>1</v>
      </c>
      <c r="E237" s="1830">
        <f>ROUND(SUMIF('91_01_ВГО'!$C:$C,"*1130113*",'91_01_ВГО'!$L:$L),0)</f>
        <v>0</v>
      </c>
      <c r="F237" s="1830">
        <f>ROUND(SUMIF('91_02'!$C:$C,"*2130113*",'91_02'!$F:$F)+SUMIF('91_02'!$C:$C,"*2130123*",'91_02'!$F:$F)+SUMIF('91_02'!$C:$C,"*2400100*",'91_02'!$F:$F)+SUMIF('91_02_ВГО'!$C:$C,"*2130113*",'91_02_ВГО'!$I:$I)+SUMIF('91_02_ВГО'!$C:$C,"*2130123*",'91_02_ВГО'!$I:$I)+SUMIF('91_02_ВГО'!$C:$C,"*2400100*",'91_02_ВГО'!$I:$I),0)</f>
        <v>0</v>
      </c>
      <c r="G237" s="1831" t="s">
        <v>3389</v>
      </c>
    </row>
    <row r="238" spans="2:7" ht="25">
      <c r="B238" s="1832" t="s">
        <v>6395</v>
      </c>
      <c r="C238" s="1840" t="s">
        <v>4419</v>
      </c>
      <c r="D238" s="1833" t="b">
        <f t="shared" ref="D238:D242" si="20">E238=0</f>
        <v>1</v>
      </c>
      <c r="E238" s="3005">
        <f>ABS('01'!T8)-ABS('03'!S9)</f>
        <v>0</v>
      </c>
      <c r="F238" s="1830" t="s">
        <v>3389</v>
      </c>
      <c r="G238" s="1831" t="s">
        <v>3389</v>
      </c>
    </row>
    <row r="239" spans="2:7" ht="25">
      <c r="B239" s="1832" t="s">
        <v>6396</v>
      </c>
      <c r="C239" s="1840" t="s">
        <v>4418</v>
      </c>
      <c r="D239" s="1833" t="b">
        <f t="shared" si="20"/>
        <v>1</v>
      </c>
      <c r="E239" s="1830">
        <f>ABS('02'!R8)</f>
        <v>0</v>
      </c>
      <c r="F239" s="1830" t="s">
        <v>3389</v>
      </c>
      <c r="G239" s="1831" t="s">
        <v>3389</v>
      </c>
    </row>
    <row r="240" spans="2:7" ht="25">
      <c r="B240" s="1832" t="s">
        <v>14729</v>
      </c>
      <c r="C240" s="1840" t="s">
        <v>14730</v>
      </c>
      <c r="D240" s="1833" t="b">
        <f t="shared" si="20"/>
        <v>1</v>
      </c>
      <c r="E240" s="1830">
        <f>ABS('03'!S9)-ABS('01'!T8)</f>
        <v>0</v>
      </c>
      <c r="F240" s="1830" t="s">
        <v>3389</v>
      </c>
      <c r="G240" s="1831" t="s">
        <v>3389</v>
      </c>
    </row>
    <row r="241" spans="2:16" ht="25">
      <c r="B241" s="1832" t="s">
        <v>6397</v>
      </c>
      <c r="C241" s="1840" t="s">
        <v>4416</v>
      </c>
      <c r="D241" s="1833" t="b">
        <f t="shared" si="20"/>
        <v>1</v>
      </c>
      <c r="E241" s="1830">
        <f>ABS('04'!M9)</f>
        <v>0</v>
      </c>
      <c r="F241" s="1830" t="s">
        <v>3389</v>
      </c>
      <c r="G241" s="1831" t="s">
        <v>3389</v>
      </c>
    </row>
    <row r="242" spans="2:16" ht="25">
      <c r="B242" s="1832" t="s">
        <v>6398</v>
      </c>
      <c r="C242" s="1840" t="s">
        <v>4415</v>
      </c>
      <c r="D242" s="1833" t="b">
        <f t="shared" si="20"/>
        <v>1</v>
      </c>
      <c r="E242" s="1830">
        <f>ABS('05'!L8)</f>
        <v>0</v>
      </c>
      <c r="F242" s="1830" t="s">
        <v>3389</v>
      </c>
      <c r="G242" s="1831" t="s">
        <v>3389</v>
      </c>
    </row>
    <row r="243" spans="2:16" ht="25">
      <c r="B243" s="1832" t="s">
        <v>8144</v>
      </c>
      <c r="C243" s="1840" t="s">
        <v>1562</v>
      </c>
      <c r="D243" s="1833" t="b">
        <f t="shared" ref="D243" si="21">E243=0</f>
        <v>1</v>
      </c>
      <c r="E243" s="1830">
        <f>ABS('08'!V8)</f>
        <v>0</v>
      </c>
      <c r="F243" s="1830" t="s">
        <v>3389</v>
      </c>
      <c r="G243" s="1831" t="s">
        <v>3389</v>
      </c>
    </row>
    <row r="244" spans="2:16">
      <c r="B244" s="1832" t="s">
        <v>5029</v>
      </c>
      <c r="C244" s="1840" t="s">
        <v>7641</v>
      </c>
      <c r="D244" s="1833" t="b">
        <f>G244&lt;5</f>
        <v>1</v>
      </c>
      <c r="E244" s="1830">
        <f>SUMIF('96'!$C:$C,"{20300}*",'96'!$H:$H)
+SUMIF('96'!$C:$C,"{20500}*",'96'!$H:$H)
+SUMIF('96'!$C:$C,"{20600}*",'96'!$H:$H)
+SUMIF('96'!$C:$C,"{20800}*",'96'!$H:$H)
+SUMIF('96'!$C:$C,"{20900}*",'96'!$H:$H)
+SUMIF('96'!$C:$C,"{21200}*",'96'!$H:$H)
+SUMIF('96'!$C:$C,"{30000}*",'96'!$H:$H)
+SUMIF('96'!$C:$C,"{20500}*",'96'!$K:$K)
+SUMIF('96'!$C:$C,"{20600}*",'96'!$K:$K)
+SUMIF('96'!$C:$C,"{20900}*",'96'!$K:$K)</f>
        <v>0</v>
      </c>
      <c r="F244" s="1830">
        <f>SUMIF('96_движ'!$C:$C,"{20300}*",'96_движ'!$L:$L)
+SUMIF('96_движ'!$C:$C,"{20500}*",'96_движ'!$L:$L)
+SUMIF('96_движ'!$C:$C,"{20600}*",'96_движ'!$L:$L)
+SUMIF('96_движ'!$C:$C,"{20800}*",'96_движ'!$L:$L)
+SUMIF('96_движ'!$C:$C,"{20900}*",'96_движ'!$L:$L)
+SUMIF('96_движ'!$C:$C,"{21200}*",'96_движ'!$L:$L)
+SUMIF('96_движ'!$C:$C,"{30*",'96_движ'!$L:$L)
+SUMIF('96_движ'!$C:$C,"{20500}*",'96_движ'!$N:$N)
+SUMIF('96_движ'!$C:$C,"{20600}*",'96_движ'!$N:$N)
+SUMIF('96_движ'!$C:$C,"{20900}*",'96_движ'!$N:$N)</f>
        <v>0</v>
      </c>
      <c r="G244" s="1831">
        <f>ABS(E244-F244)</f>
        <v>0</v>
      </c>
    </row>
    <row r="245" spans="2:16">
      <c r="B245" s="1832" t="s">
        <v>731</v>
      </c>
      <c r="C245" s="1840"/>
      <c r="D245" s="1833" t="b">
        <f>ROUND(Затраты_Вход_1!H10,0)=ROUND(-(Затраты_Выход!G12-Затраты_Выход!G31),0)</f>
        <v>1</v>
      </c>
      <c r="E245" s="1830" t="s">
        <v>3196</v>
      </c>
      <c r="F245" s="1830" t="s">
        <v>3389</v>
      </c>
      <c r="G245" s="1831" t="s">
        <v>3389</v>
      </c>
    </row>
    <row r="246" spans="2:16">
      <c r="B246" s="1847" t="s">
        <v>5045</v>
      </c>
      <c r="C246" s="1848"/>
      <c r="D246" s="1837" t="b">
        <f>AND(D247:D251)</f>
        <v>1</v>
      </c>
      <c r="E246" s="1849" t="s">
        <v>3389</v>
      </c>
      <c r="F246" s="1849" t="s">
        <v>3389</v>
      </c>
      <c r="G246" s="1850" t="s">
        <v>3389</v>
      </c>
    </row>
    <row r="247" spans="2:16">
      <c r="B247" s="1843" t="s">
        <v>5044</v>
      </c>
      <c r="C247" s="1844" t="s">
        <v>5043</v>
      </c>
      <c r="D247" s="1828" t="b">
        <f>G247&lt;5</f>
        <v>1</v>
      </c>
      <c r="E247" s="1845">
        <f>'90_контр'!I9</f>
        <v>0</v>
      </c>
      <c r="F247" s="1845">
        <f>'90'!I9+'90'!J9</f>
        <v>0</v>
      </c>
      <c r="G247" s="1846">
        <f>ABS(E247-F247)</f>
        <v>0</v>
      </c>
    </row>
    <row r="248" spans="2:16">
      <c r="B248" s="1832" t="s">
        <v>1560</v>
      </c>
      <c r="C248" s="1840" t="s">
        <v>1561</v>
      </c>
      <c r="D248" s="1842" t="b">
        <f>'50_51_52_55_57_движ'!N7</f>
        <v>1</v>
      </c>
      <c r="E248" s="1830" t="s">
        <v>3196</v>
      </c>
      <c r="F248" s="1830" t="s">
        <v>3196</v>
      </c>
      <c r="G248" s="1831" t="s">
        <v>3196</v>
      </c>
    </row>
    <row r="249" spans="2:16" ht="25">
      <c r="B249" s="1832" t="s">
        <v>6399</v>
      </c>
      <c r="C249" s="1840" t="s">
        <v>4419</v>
      </c>
      <c r="D249" s="1842" t="b">
        <f>'01'!Z8</f>
        <v>1</v>
      </c>
      <c r="E249" s="1830" t="s">
        <v>3196</v>
      </c>
      <c r="F249" s="1830" t="s">
        <v>3196</v>
      </c>
      <c r="G249" s="1831" t="s">
        <v>3196</v>
      </c>
    </row>
    <row r="250" spans="2:16" ht="25">
      <c r="B250" s="1832" t="s">
        <v>6400</v>
      </c>
      <c r="C250" s="1840" t="s">
        <v>4416</v>
      </c>
      <c r="D250" s="1842" t="b">
        <f>'04'!T10</f>
        <v>1</v>
      </c>
      <c r="E250" s="1830" t="s">
        <v>3196</v>
      </c>
      <c r="F250" s="1830" t="s">
        <v>3196</v>
      </c>
      <c r="G250" s="1831" t="s">
        <v>3196</v>
      </c>
    </row>
    <row r="251" spans="2:16" ht="25">
      <c r="B251" s="1832" t="s">
        <v>6401</v>
      </c>
      <c r="C251" s="1840" t="s">
        <v>1562</v>
      </c>
      <c r="D251" s="1842" t="b">
        <f>'08'!AB8</f>
        <v>1</v>
      </c>
      <c r="E251" s="1830" t="s">
        <v>3196</v>
      </c>
      <c r="F251" s="1830" t="s">
        <v>3196</v>
      </c>
      <c r="G251" s="1831" t="s">
        <v>3196</v>
      </c>
    </row>
    <row r="252" spans="2:16" ht="25">
      <c r="B252" s="1832" t="s">
        <v>7528</v>
      </c>
      <c r="C252" s="1840" t="s">
        <v>5687</v>
      </c>
      <c r="D252" s="1842" t="b">
        <f>'86'!AK11</f>
        <v>1</v>
      </c>
      <c r="E252" s="1830" t="s">
        <v>3196</v>
      </c>
      <c r="F252" s="1830" t="s">
        <v>3196</v>
      </c>
      <c r="G252" s="1831" t="s">
        <v>3196</v>
      </c>
    </row>
    <row r="253" spans="2:16" ht="25">
      <c r="B253" s="1832" t="s">
        <v>7529</v>
      </c>
      <c r="C253" s="1840" t="s">
        <v>7530</v>
      </c>
      <c r="D253" s="1842" t="b">
        <f>'98_01'!AE11</f>
        <v>1</v>
      </c>
      <c r="E253" s="1830" t="s">
        <v>3196</v>
      </c>
      <c r="F253" s="1830" t="s">
        <v>3196</v>
      </c>
      <c r="G253" s="1831" t="s">
        <v>3196</v>
      </c>
    </row>
    <row r="254" spans="2:16">
      <c r="B254" s="1832" t="s">
        <v>6163</v>
      </c>
      <c r="C254" s="1840" t="s">
        <v>424</v>
      </c>
      <c r="D254" s="1842" t="b">
        <f>AND(Долгосроч_договоры!AS10:AS9997,Долгосроч_договоры!AR10:AR9992)</f>
        <v>1</v>
      </c>
      <c r="E254" s="1830" t="s">
        <v>3196</v>
      </c>
      <c r="F254" s="1830" t="s">
        <v>3196</v>
      </c>
      <c r="G254" s="1831"/>
    </row>
    <row r="255" spans="2:16" s="3003" customFormat="1">
      <c r="B255" s="1832" t="s">
        <v>6125</v>
      </c>
      <c r="C255" s="1840" t="s">
        <v>424</v>
      </c>
      <c r="D255" s="1842" t="b">
        <f>AND(Долгосроч_договоры!AT10:AT9997)</f>
        <v>1</v>
      </c>
      <c r="E255" s="1830"/>
      <c r="F255" s="1830"/>
      <c r="G255" s="1831"/>
      <c r="H255" s="3004"/>
    </row>
    <row r="256" spans="2:16">
      <c r="B256" s="3007" t="s">
        <v>9910</v>
      </c>
      <c r="C256" s="3008" t="s">
        <v>1577</v>
      </c>
      <c r="D256" s="3009" t="b">
        <f>AND('96'!AK7:AO7)</f>
        <v>1</v>
      </c>
      <c r="E256" s="3005" t="s">
        <v>3196</v>
      </c>
      <c r="F256" s="3005" t="s">
        <v>3196</v>
      </c>
      <c r="G256" s="3006" t="s">
        <v>3196</v>
      </c>
      <c r="I256" s="3003"/>
      <c r="J256" s="3003"/>
      <c r="K256" s="3003"/>
      <c r="L256" s="3003"/>
      <c r="M256" s="3003"/>
      <c r="N256" s="3003"/>
      <c r="O256" s="3003"/>
      <c r="P256" s="3003"/>
    </row>
    <row r="257" spans="2:8" s="3003" customFormat="1" ht="50">
      <c r="B257" s="3007" t="s">
        <v>9901</v>
      </c>
      <c r="C257" s="3008" t="s">
        <v>8715</v>
      </c>
      <c r="D257" s="1842" t="b">
        <f>ABS(G257)&lt;=5</f>
        <v>1</v>
      </c>
      <c r="E257" s="1830">
        <f>SUMIF('96'!C:C,"{20600} Оценочные обязательства по судебным искам",'96'!K:K)</f>
        <v>0</v>
      </c>
      <c r="F257" s="1830">
        <f>SUMIFS('96_движ'!N:N,'96_движ'!C:C,"{20600} Оценочные обязательства по судебным искам")</f>
        <v>0</v>
      </c>
      <c r="G257" s="1831">
        <f>ABS(E257-F257)</f>
        <v>0</v>
      </c>
      <c r="H257" s="3004"/>
    </row>
    <row r="258" spans="2:8" ht="62.5">
      <c r="B258" s="3007" t="s">
        <v>9902</v>
      </c>
      <c r="C258" s="3008" t="s">
        <v>8715</v>
      </c>
      <c r="D258" s="3009" t="b">
        <f>ABS(G258)&lt;=5</f>
        <v>1</v>
      </c>
      <c r="E258" s="3005">
        <f>+SUMIF('96'!C:C,"{20600} Оценочные обязательства по судебным искам",'96'!H:H)</f>
        <v>0</v>
      </c>
      <c r="F258" s="3005">
        <f>SUMIFS('96_движ'!L:L,'96_движ'!C:C,"{20600} Оценочные обязательства по судебным искам")</f>
        <v>0</v>
      </c>
      <c r="G258" s="3006">
        <f>ABS(E258-F258)</f>
        <v>0</v>
      </c>
    </row>
    <row r="259" spans="2:8" s="3003" customFormat="1" ht="50">
      <c r="B259" s="3007" t="s">
        <v>9903</v>
      </c>
      <c r="C259" s="3008" t="s">
        <v>8715</v>
      </c>
      <c r="D259" s="1842" t="b">
        <f>ABS(G259)&lt;=5</f>
        <v>1</v>
      </c>
      <c r="E259" s="1830">
        <f>SUMIF('96'!C:C,"{20900} Оценочные обязательства по гарантийным обязательствам",'96'!K:K)</f>
        <v>0</v>
      </c>
      <c r="F259" s="1830">
        <f>SUMIFS('96_движ'!N:N,'96_движ'!C:C,"{20900} Оценочные обязательства по гарантийным обязательствам")</f>
        <v>0</v>
      </c>
      <c r="G259" s="1831">
        <f>ABS(E259-F259)</f>
        <v>0</v>
      </c>
      <c r="H259" s="3004"/>
    </row>
    <row r="260" spans="2:8" s="3003" customFormat="1" ht="62.5">
      <c r="B260" s="3007" t="s">
        <v>9904</v>
      </c>
      <c r="C260" s="3008" t="s">
        <v>8715</v>
      </c>
      <c r="D260" s="3009" t="b">
        <f>ABS(G260)&lt;=5</f>
        <v>1</v>
      </c>
      <c r="E260" s="3005">
        <f>+SUMIF('96'!C:C,"{20900} Оценочные обязательства по гарантийным обязательствам",'96'!H:H)</f>
        <v>0</v>
      </c>
      <c r="F260" s="3005">
        <f>SUMIFS('96_движ'!L:L,'96_движ'!C:C,"{20900} Оценочные обязательства по гарантийным обязательствам")</f>
        <v>0</v>
      </c>
      <c r="G260" s="3006">
        <f>ABS(E260-F260)</f>
        <v>0</v>
      </c>
      <c r="H260" s="3004"/>
    </row>
    <row r="261" spans="2:8" s="3003" customFormat="1" ht="50">
      <c r="B261" s="3007" t="s">
        <v>14299</v>
      </c>
      <c r="C261" s="3008" t="s">
        <v>713</v>
      </c>
      <c r="D261" s="3009" t="b">
        <f>'96_движ'!AK10</f>
        <v>1</v>
      </c>
      <c r="E261" s="3005" t="s">
        <v>3196</v>
      </c>
      <c r="F261" s="3005" t="s">
        <v>3196</v>
      </c>
      <c r="G261" s="3006" t="s">
        <v>3196</v>
      </c>
      <c r="H261" s="3004"/>
    </row>
    <row r="262" spans="2:8" s="3003" customFormat="1" ht="25">
      <c r="B262" s="3007" t="s">
        <v>10291</v>
      </c>
      <c r="C262" s="3008" t="s">
        <v>10300</v>
      </c>
      <c r="D262" s="3009" t="b">
        <f>Зарубежная_выручка!R10</f>
        <v>1</v>
      </c>
      <c r="E262" s="3005" t="s">
        <v>3196</v>
      </c>
      <c r="F262" s="3005" t="s">
        <v>3196</v>
      </c>
      <c r="G262" s="3006" t="s">
        <v>3196</v>
      </c>
      <c r="H262" s="3004"/>
    </row>
    <row r="263" spans="2:8" s="3003" customFormat="1" ht="25">
      <c r="B263" s="3007" t="s">
        <v>10292</v>
      </c>
      <c r="C263" s="3008" t="s">
        <v>10300</v>
      </c>
      <c r="D263" s="3009" t="b">
        <f>Зарубежная_выручка!S10</f>
        <v>1</v>
      </c>
      <c r="E263" s="3005" t="s">
        <v>3196</v>
      </c>
      <c r="F263" s="3005" t="s">
        <v>3196</v>
      </c>
      <c r="G263" s="3006" t="s">
        <v>3196</v>
      </c>
      <c r="H263" s="3004"/>
    </row>
    <row r="264" spans="2:8" s="3003" customFormat="1">
      <c r="B264" s="3007" t="s">
        <v>10318</v>
      </c>
      <c r="C264" s="3008" t="s">
        <v>10300</v>
      </c>
      <c r="D264" s="3009" t="b">
        <f>Зарубежная_выручка!T10</f>
        <v>1</v>
      </c>
      <c r="E264" s="3005" t="s">
        <v>3196</v>
      </c>
      <c r="F264" s="3005" t="s">
        <v>3196</v>
      </c>
      <c r="G264" s="3006" t="s">
        <v>3196</v>
      </c>
      <c r="H264" s="3004"/>
    </row>
    <row r="265" spans="2:8" s="3003" customFormat="1" ht="37.5">
      <c r="B265" s="3007" t="s">
        <v>14229</v>
      </c>
      <c r="C265" s="3008" t="s">
        <v>10300</v>
      </c>
      <c r="D265" s="3009" t="b">
        <f>Зарубежная_выручка!U10</f>
        <v>1</v>
      </c>
      <c r="E265" s="3005" t="s">
        <v>3196</v>
      </c>
      <c r="F265" s="3005" t="s">
        <v>3196</v>
      </c>
      <c r="G265" s="3006" t="s">
        <v>3196</v>
      </c>
      <c r="H265" s="3004"/>
    </row>
    <row r="266" spans="2:8" ht="37.5">
      <c r="B266" s="3007" t="s">
        <v>10321</v>
      </c>
      <c r="C266" s="3008">
        <v>46</v>
      </c>
      <c r="D266" s="3009" t="b">
        <f>AND('46'!BC9,'46'!BE9)</f>
        <v>1</v>
      </c>
      <c r="E266" s="3005" t="s">
        <v>3196</v>
      </c>
      <c r="F266" s="3005" t="s">
        <v>3196</v>
      </c>
      <c r="G266" s="3006" t="s">
        <v>3196</v>
      </c>
    </row>
    <row r="267" spans="2:8">
      <c r="B267" s="1851" t="s">
        <v>1563</v>
      </c>
      <c r="C267" s="1852"/>
      <c r="D267" s="1874" t="b">
        <f>AND(D268:D316)</f>
        <v>1</v>
      </c>
      <c r="E267" s="2173"/>
      <c r="F267" s="1852"/>
      <c r="G267" s="1853"/>
    </row>
    <row r="268" spans="2:8">
      <c r="B268" s="1832" t="s">
        <v>6366</v>
      </c>
      <c r="C268" s="1840" t="s">
        <v>744</v>
      </c>
      <c r="D268" s="1842" t="b">
        <f>'07'!S10</f>
        <v>1</v>
      </c>
      <c r="E268" s="1830" t="s">
        <v>3196</v>
      </c>
      <c r="F268" s="1830" t="s">
        <v>3196</v>
      </c>
      <c r="G268" s="1831" t="s">
        <v>3196</v>
      </c>
    </row>
    <row r="269" spans="2:8">
      <c r="B269" s="1832" t="s">
        <v>6367</v>
      </c>
      <c r="C269" s="1840" t="s">
        <v>1564</v>
      </c>
      <c r="D269" s="1842" t="b">
        <f>'09'!N8</f>
        <v>1</v>
      </c>
      <c r="E269" s="1830" t="s">
        <v>3196</v>
      </c>
      <c r="F269" s="1830" t="s">
        <v>3196</v>
      </c>
      <c r="G269" s="1831" t="s">
        <v>3196</v>
      </c>
    </row>
    <row r="270" spans="2:8">
      <c r="B270" s="1832" t="s">
        <v>6368</v>
      </c>
      <c r="C270" s="1840" t="s">
        <v>735</v>
      </c>
      <c r="D270" s="1842" t="b">
        <f>AND('10'!D3,'10'!W3)</f>
        <v>1</v>
      </c>
      <c r="E270" s="1830" t="s">
        <v>3196</v>
      </c>
      <c r="F270" s="1830" t="s">
        <v>3196</v>
      </c>
      <c r="G270" s="1831" t="s">
        <v>3196</v>
      </c>
    </row>
    <row r="271" spans="2:8">
      <c r="B271" s="1832" t="s">
        <v>6369</v>
      </c>
      <c r="C271" s="1840" t="s">
        <v>1565</v>
      </c>
      <c r="D271" s="1842" t="b">
        <f>'41_01'!X10</f>
        <v>1</v>
      </c>
      <c r="E271" s="1830" t="s">
        <v>3196</v>
      </c>
      <c r="F271" s="1830" t="s">
        <v>3196</v>
      </c>
      <c r="G271" s="1831" t="s">
        <v>3196</v>
      </c>
    </row>
    <row r="272" spans="2:8" s="3003" customFormat="1">
      <c r="B272" s="1832" t="s">
        <v>7705</v>
      </c>
      <c r="C272" s="1840" t="s">
        <v>8430</v>
      </c>
      <c r="D272" s="1842" t="b">
        <f>AND('46'!AH10:AH65533,НЗП_ГП!R9)</f>
        <v>1</v>
      </c>
      <c r="E272" s="1830" t="s">
        <v>3196</v>
      </c>
      <c r="F272" s="1830" t="s">
        <v>3196</v>
      </c>
      <c r="G272" s="1831" t="s">
        <v>3196</v>
      </c>
      <c r="H272" s="3004"/>
    </row>
    <row r="273" spans="2:8" ht="37.5">
      <c r="B273" s="3007" t="s">
        <v>8890</v>
      </c>
      <c r="C273" s="3008" t="s">
        <v>8889</v>
      </c>
      <c r="D273" s="3009" t="b">
        <f>'46'!AX9</f>
        <v>1</v>
      </c>
      <c r="E273" s="3005" t="s">
        <v>3196</v>
      </c>
      <c r="F273" s="3005" t="s">
        <v>3196</v>
      </c>
      <c r="G273" s="3006" t="s">
        <v>3196</v>
      </c>
    </row>
    <row r="274" spans="2:8" ht="37.5">
      <c r="B274" s="1832" t="s">
        <v>6370</v>
      </c>
      <c r="C274" s="1840" t="s">
        <v>5934</v>
      </c>
      <c r="D274" s="1842" t="b">
        <f>AND('43'!O9:O1000)</f>
        <v>1</v>
      </c>
      <c r="E274" s="1830" t="s">
        <v>3196</v>
      </c>
      <c r="F274" s="1830" t="s">
        <v>3196</v>
      </c>
      <c r="G274" s="1831" t="s">
        <v>3196</v>
      </c>
    </row>
    <row r="275" spans="2:8" ht="33" customHeight="1">
      <c r="B275" s="1832" t="s">
        <v>6371</v>
      </c>
      <c r="C275" s="1840" t="s">
        <v>5935</v>
      </c>
      <c r="D275" s="1842" t="b">
        <f>AND('45'!T9:T1000)</f>
        <v>1</v>
      </c>
      <c r="E275" s="1830" t="s">
        <v>3196</v>
      </c>
      <c r="F275" s="1830" t="s">
        <v>3196</v>
      </c>
      <c r="G275" s="1831" t="s">
        <v>3196</v>
      </c>
    </row>
    <row r="276" spans="2:8" ht="25">
      <c r="B276" s="1832" t="s">
        <v>8360</v>
      </c>
      <c r="C276" s="1840" t="s">
        <v>8361</v>
      </c>
      <c r="D276" s="1842" t="b">
        <f>AND('10'!Y9,'21'!O10,'40'!L9,'41_01'!AA10,'41_02'!Q13,'43'!Q8,'45'!V8,'45'!W8)</f>
        <v>1</v>
      </c>
      <c r="E276" s="1830" t="s">
        <v>3196</v>
      </c>
      <c r="F276" s="1830" t="s">
        <v>3196</v>
      </c>
      <c r="G276" s="1831" t="s">
        <v>3196</v>
      </c>
    </row>
    <row r="277" spans="2:8" s="3003" customFormat="1">
      <c r="B277" s="3007" t="s">
        <v>14648</v>
      </c>
      <c r="C277" s="3008" t="s">
        <v>14649</v>
      </c>
      <c r="D277" s="3009" t="b">
        <f>'41_01'!AB10</f>
        <v>1</v>
      </c>
      <c r="E277" s="3005" t="s">
        <v>3196</v>
      </c>
      <c r="F277" s="3005" t="s">
        <v>3196</v>
      </c>
      <c r="G277" s="3006" t="s">
        <v>3196</v>
      </c>
      <c r="H277" s="3004"/>
    </row>
    <row r="278" spans="2:8">
      <c r="B278" s="1832" t="s">
        <v>6372</v>
      </c>
      <c r="C278" s="1840" t="s">
        <v>6158</v>
      </c>
      <c r="D278" s="1842" t="b">
        <f>AND('58_02'!AI12:AI1000,'58_02'!AN12:AN1000)</f>
        <v>1</v>
      </c>
      <c r="E278" s="1830" t="s">
        <v>3196</v>
      </c>
      <c r="F278" s="1830" t="s">
        <v>3196</v>
      </c>
      <c r="G278" s="1831" t="s">
        <v>3196</v>
      </c>
    </row>
    <row r="279" spans="2:8">
      <c r="B279" s="1832" t="s">
        <v>6373</v>
      </c>
      <c r="C279" s="1840" t="s">
        <v>1566</v>
      </c>
      <c r="D279" s="1842" t="b">
        <f>'60_01'!V9</f>
        <v>1</v>
      </c>
      <c r="E279" s="1830" t="s">
        <v>3196</v>
      </c>
      <c r="F279" s="1830" t="s">
        <v>3196</v>
      </c>
      <c r="G279" s="1831" t="s">
        <v>3196</v>
      </c>
    </row>
    <row r="280" spans="2:8">
      <c r="B280" s="1832" t="s">
        <v>6374</v>
      </c>
      <c r="C280" s="1840" t="s">
        <v>1567</v>
      </c>
      <c r="D280" s="1842" t="b">
        <f>'60_02'!Q9</f>
        <v>1</v>
      </c>
      <c r="E280" s="1830" t="s">
        <v>3196</v>
      </c>
      <c r="F280" s="1830" t="s">
        <v>3196</v>
      </c>
      <c r="G280" s="1831" t="s">
        <v>3196</v>
      </c>
    </row>
    <row r="281" spans="2:8">
      <c r="B281" s="1832" t="s">
        <v>6375</v>
      </c>
      <c r="C281" s="1840" t="s">
        <v>1568</v>
      </c>
      <c r="D281" s="1842" t="b">
        <f>'62_01'!U9</f>
        <v>1</v>
      </c>
      <c r="E281" s="1830" t="s">
        <v>3196</v>
      </c>
      <c r="F281" s="1830" t="s">
        <v>3196</v>
      </c>
      <c r="G281" s="1831" t="s">
        <v>3196</v>
      </c>
    </row>
    <row r="282" spans="2:8">
      <c r="B282" s="1832" t="s">
        <v>6376</v>
      </c>
      <c r="C282" s="1840" t="s">
        <v>1569</v>
      </c>
      <c r="D282" s="1842" t="b">
        <f>'62_02'!Q9</f>
        <v>1</v>
      </c>
      <c r="E282" s="1830" t="s">
        <v>3196</v>
      </c>
      <c r="F282" s="1830" t="s">
        <v>3196</v>
      </c>
      <c r="G282" s="1831" t="s">
        <v>3196</v>
      </c>
    </row>
    <row r="283" spans="2:8">
      <c r="B283" s="1832" t="s">
        <v>6377</v>
      </c>
      <c r="C283" s="1840" t="s">
        <v>1570</v>
      </c>
      <c r="D283" s="1842" t="b">
        <f>'66'!BE11</f>
        <v>1</v>
      </c>
      <c r="E283" s="1830" t="s">
        <v>3196</v>
      </c>
      <c r="F283" s="1830" t="s">
        <v>3196</v>
      </c>
      <c r="G283" s="1831" t="s">
        <v>3196</v>
      </c>
    </row>
    <row r="284" spans="2:8">
      <c r="B284" s="1832" t="s">
        <v>6378</v>
      </c>
      <c r="C284" s="1840" t="s">
        <v>1571</v>
      </c>
      <c r="D284" s="1842" t="b">
        <f>'67'!BF11</f>
        <v>1</v>
      </c>
      <c r="E284" s="1830" t="s">
        <v>3196</v>
      </c>
      <c r="F284" s="1830" t="s">
        <v>3196</v>
      </c>
      <c r="G284" s="1831" t="s">
        <v>3196</v>
      </c>
    </row>
    <row r="285" spans="2:8">
      <c r="B285" s="1832" t="s">
        <v>6066</v>
      </c>
      <c r="C285" s="1840" t="s">
        <v>6067</v>
      </c>
      <c r="D285" s="1842" t="b">
        <f>'66'!BF11</f>
        <v>1</v>
      </c>
      <c r="E285" s="1830"/>
      <c r="F285" s="1830"/>
      <c r="G285" s="1831"/>
    </row>
    <row r="286" spans="2:8">
      <c r="B286" s="1832" t="s">
        <v>8381</v>
      </c>
      <c r="C286" s="1840" t="s">
        <v>8379</v>
      </c>
      <c r="D286" s="1842" t="b">
        <f>'60,62,63,76_контр'!$AL$6</f>
        <v>1</v>
      </c>
      <c r="E286" s="1830" t="s">
        <v>3196</v>
      </c>
      <c r="F286" s="1830" t="s">
        <v>3196</v>
      </c>
      <c r="G286" s="1831" t="s">
        <v>3196</v>
      </c>
    </row>
    <row r="287" spans="2:8">
      <c r="B287" s="1832" t="s">
        <v>8514</v>
      </c>
      <c r="C287" s="1840" t="s">
        <v>8379</v>
      </c>
      <c r="D287" s="1842" t="b">
        <f>'60,62,63,76_контр'!$AM$6</f>
        <v>1</v>
      </c>
      <c r="E287" s="1830" t="s">
        <v>3196</v>
      </c>
      <c r="F287" s="1830" t="s">
        <v>3196</v>
      </c>
      <c r="G287" s="1831" t="s">
        <v>3196</v>
      </c>
    </row>
    <row r="288" spans="2:8" ht="37.5">
      <c r="B288" s="1832" t="s">
        <v>5944</v>
      </c>
      <c r="C288" s="1840" t="s">
        <v>8379</v>
      </c>
      <c r="D288" s="1842" t="b">
        <f>AND('60,62,63,76_контр'!$BB$6,'60,62,63,76_контр'!$BN$6,'60,62,63,76_контр'!$BR$6)</f>
        <v>1</v>
      </c>
      <c r="E288" s="1830" t="s">
        <v>3196</v>
      </c>
      <c r="F288" s="1830" t="s">
        <v>3196</v>
      </c>
      <c r="G288" s="1831" t="s">
        <v>3196</v>
      </c>
    </row>
    <row r="289" spans="2:8" ht="25">
      <c r="B289" s="1832" t="s">
        <v>8353</v>
      </c>
      <c r="C289" s="1840" t="s">
        <v>8379</v>
      </c>
      <c r="D289" s="1842" t="b">
        <f>AND('60,62,63,76_контр'!$BB$6,'60,62,63,76_контр'!$BN$6)</f>
        <v>1</v>
      </c>
      <c r="E289" s="1830" t="s">
        <v>3196</v>
      </c>
      <c r="F289" s="1830" t="s">
        <v>3196</v>
      </c>
      <c r="G289" s="1831" t="s">
        <v>3196</v>
      </c>
    </row>
    <row r="290" spans="2:8">
      <c r="B290" s="1832" t="s">
        <v>6411</v>
      </c>
      <c r="C290" s="1840" t="s">
        <v>768</v>
      </c>
      <c r="D290" s="1842" t="b">
        <f>AND('76'!$Y:$Y)</f>
        <v>1</v>
      </c>
      <c r="E290" s="1830" t="s">
        <v>3196</v>
      </c>
      <c r="F290" s="1830" t="s">
        <v>3196</v>
      </c>
      <c r="G290" s="1831" t="s">
        <v>3196</v>
      </c>
    </row>
    <row r="291" spans="2:8">
      <c r="B291" s="1832" t="s">
        <v>6410</v>
      </c>
      <c r="C291" s="1840" t="s">
        <v>768</v>
      </c>
      <c r="D291" s="1842" t="b">
        <f>AND('76'!$Z:$Z)</f>
        <v>1</v>
      </c>
      <c r="E291" s="1830" t="s">
        <v>3196</v>
      </c>
      <c r="F291" s="1830" t="s">
        <v>3196</v>
      </c>
      <c r="G291" s="1831" t="s">
        <v>3196</v>
      </c>
    </row>
    <row r="292" spans="2:8" ht="25">
      <c r="B292" s="1832" t="s">
        <v>5902</v>
      </c>
      <c r="C292" s="1840" t="s">
        <v>768</v>
      </c>
      <c r="D292" s="1842" t="b">
        <f>AND('76'!AD:AD)</f>
        <v>1</v>
      </c>
      <c r="E292" s="1830" t="s">
        <v>3196</v>
      </c>
      <c r="F292" s="1830" t="s">
        <v>3196</v>
      </c>
      <c r="G292" s="1831" t="s">
        <v>3196</v>
      </c>
    </row>
    <row r="293" spans="2:8">
      <c r="B293" s="1832" t="s">
        <v>6306</v>
      </c>
      <c r="C293" s="1840" t="s">
        <v>768</v>
      </c>
      <c r="D293" s="1842" t="b">
        <f>AND('76'!AC:AC)</f>
        <v>1</v>
      </c>
      <c r="E293" s="1830" t="s">
        <v>3196</v>
      </c>
      <c r="F293" s="1830" t="s">
        <v>3196</v>
      </c>
      <c r="G293" s="1831" t="s">
        <v>3196</v>
      </c>
    </row>
    <row r="294" spans="2:8" s="3003" customFormat="1">
      <c r="B294" s="3007" t="s">
        <v>15143</v>
      </c>
      <c r="C294" s="3008" t="s">
        <v>768</v>
      </c>
      <c r="D294" s="3009" t="b">
        <f>'76'!AT4</f>
        <v>1</v>
      </c>
      <c r="E294" s="3005" t="s">
        <v>3196</v>
      </c>
      <c r="F294" s="3005" t="s">
        <v>3196</v>
      </c>
      <c r="G294" s="3006" t="s">
        <v>3196</v>
      </c>
      <c r="H294" s="3004"/>
    </row>
    <row r="295" spans="2:8">
      <c r="B295" s="1832" t="s">
        <v>8040</v>
      </c>
      <c r="C295" s="1840" t="s">
        <v>1570</v>
      </c>
      <c r="D295" s="1842" t="b">
        <f>'66'!BG9</f>
        <v>1</v>
      </c>
      <c r="E295" s="1830" t="s">
        <v>3196</v>
      </c>
      <c r="F295" s="1830" t="s">
        <v>3196</v>
      </c>
      <c r="G295" s="1831" t="s">
        <v>3196</v>
      </c>
    </row>
    <row r="296" spans="2:8">
      <c r="B296" s="1832" t="s">
        <v>8039</v>
      </c>
      <c r="C296" s="1840" t="s">
        <v>1571</v>
      </c>
      <c r="D296" s="1842" t="b">
        <f>'67'!BG9</f>
        <v>1</v>
      </c>
      <c r="E296" s="1830" t="s">
        <v>3196</v>
      </c>
      <c r="F296" s="1830" t="s">
        <v>3196</v>
      </c>
      <c r="G296" s="1831" t="s">
        <v>3196</v>
      </c>
    </row>
    <row r="297" spans="2:8">
      <c r="B297" s="1832" t="s">
        <v>6409</v>
      </c>
      <c r="C297" s="1840" t="s">
        <v>1572</v>
      </c>
      <c r="D297" s="1842" t="b">
        <f>'68'!AG9</f>
        <v>1</v>
      </c>
      <c r="E297" s="1830" t="s">
        <v>3196</v>
      </c>
      <c r="F297" s="1830" t="s">
        <v>3196</v>
      </c>
      <c r="G297" s="1831" t="s">
        <v>3196</v>
      </c>
    </row>
    <row r="298" spans="2:8">
      <c r="B298" s="1832" t="s">
        <v>6408</v>
      </c>
      <c r="C298" s="1840" t="s">
        <v>1573</v>
      </c>
      <c r="D298" s="1842" t="b">
        <f>'69'!V10</f>
        <v>1</v>
      </c>
      <c r="E298" s="1830" t="s">
        <v>3196</v>
      </c>
      <c r="F298" s="1830" t="s">
        <v>3196</v>
      </c>
      <c r="G298" s="1831" t="s">
        <v>3196</v>
      </c>
    </row>
    <row r="299" spans="2:8">
      <c r="B299" s="1832" t="s">
        <v>6293</v>
      </c>
      <c r="C299" s="1840" t="s">
        <v>1573</v>
      </c>
      <c r="D299" s="1842" t="b">
        <f>'69'!W10</f>
        <v>1</v>
      </c>
      <c r="E299" s="1830" t="s">
        <v>3196</v>
      </c>
      <c r="F299" s="1830" t="s">
        <v>3196</v>
      </c>
      <c r="G299" s="1831" t="s">
        <v>3196</v>
      </c>
    </row>
    <row r="300" spans="2:8">
      <c r="B300" s="1832" t="s">
        <v>6407</v>
      </c>
      <c r="C300" s="1840" t="s">
        <v>1574</v>
      </c>
      <c r="D300" s="1842" t="b">
        <f>IF(OR(Свод_по_счетам!E28&lt;-1,Свод_по_счетам!F28&gt;1,Свод_по_счетам!M28&lt;-1,Свод_по_счетам!N28&gt;1),FALSE,TRUE)</f>
        <v>1</v>
      </c>
      <c r="E300" s="1830" t="s">
        <v>3196</v>
      </c>
      <c r="F300" s="1830" t="s">
        <v>3196</v>
      </c>
      <c r="G300" s="1831" t="s">
        <v>3196</v>
      </c>
    </row>
    <row r="301" spans="2:8">
      <c r="B301" s="1832" t="s">
        <v>8156</v>
      </c>
      <c r="C301" s="1840" t="s">
        <v>8155</v>
      </c>
      <c r="D301" s="1842" t="b">
        <f>Свод_по_счетам!T7</f>
        <v>1</v>
      </c>
      <c r="E301" s="1830" t="s">
        <v>3196</v>
      </c>
      <c r="F301" s="1830" t="s">
        <v>3196</v>
      </c>
      <c r="G301" s="1831" t="s">
        <v>3196</v>
      </c>
    </row>
    <row r="302" spans="2:8">
      <c r="B302" s="1832" t="s">
        <v>6406</v>
      </c>
      <c r="C302" s="1840" t="s">
        <v>1575</v>
      </c>
      <c r="D302" s="1842" t="b">
        <f>'73'!Y9</f>
        <v>1</v>
      </c>
      <c r="E302" s="1830" t="s">
        <v>3196</v>
      </c>
      <c r="F302" s="1830" t="s">
        <v>3196</v>
      </c>
      <c r="G302" s="1831" t="s">
        <v>3196</v>
      </c>
    </row>
    <row r="303" spans="2:8">
      <c r="B303" s="1832" t="s">
        <v>6405</v>
      </c>
      <c r="C303" s="1840" t="s">
        <v>1576</v>
      </c>
      <c r="D303" s="1842" t="b">
        <f>'77'!N8</f>
        <v>1</v>
      </c>
      <c r="E303" s="1830" t="s">
        <v>3196</v>
      </c>
      <c r="F303" s="1830" t="s">
        <v>3196</v>
      </c>
      <c r="G303" s="1831" t="s">
        <v>3196</v>
      </c>
    </row>
    <row r="304" spans="2:8">
      <c r="B304" s="1832" t="s">
        <v>6402</v>
      </c>
      <c r="C304" s="1840" t="s">
        <v>5687</v>
      </c>
      <c r="D304" s="1842" t="b">
        <f>IF(C2="Госкорпорация Росатом",TRUE,AND('86'!AG15:AG65536,'86'!AH15:AH65536))</f>
        <v>1</v>
      </c>
      <c r="E304" s="1830" t="s">
        <v>3196</v>
      </c>
      <c r="F304" s="1830" t="s">
        <v>3196</v>
      </c>
      <c r="G304" s="1831" t="s">
        <v>3196</v>
      </c>
    </row>
    <row r="305" spans="2:8">
      <c r="B305" s="1832" t="s">
        <v>6403</v>
      </c>
      <c r="C305" s="1840" t="s">
        <v>1577</v>
      </c>
      <c r="D305" s="1842" t="b">
        <f>'96'!V8</f>
        <v>1</v>
      </c>
      <c r="E305" s="1830" t="s">
        <v>3196</v>
      </c>
      <c r="F305" s="1830" t="s">
        <v>3196</v>
      </c>
      <c r="G305" s="1831" t="s">
        <v>3196</v>
      </c>
    </row>
    <row r="306" spans="2:8">
      <c r="B306" s="1832" t="s">
        <v>6404</v>
      </c>
      <c r="C306" s="1840" t="s">
        <v>1577</v>
      </c>
      <c r="D306" s="1842" t="b">
        <f>'96'!W8</f>
        <v>1</v>
      </c>
      <c r="E306" s="1830" t="s">
        <v>3196</v>
      </c>
      <c r="F306" s="1830" t="s">
        <v>3196</v>
      </c>
      <c r="G306" s="1831" t="s">
        <v>3196</v>
      </c>
    </row>
    <row r="307" spans="2:8" ht="25">
      <c r="B307" s="1832" t="s">
        <v>8364</v>
      </c>
      <c r="C307" s="1840" t="s">
        <v>1577</v>
      </c>
      <c r="D307" s="1842" t="b">
        <f>'96'!AG7</f>
        <v>1</v>
      </c>
      <c r="E307" s="1830" t="s">
        <v>3196</v>
      </c>
      <c r="F307" s="1830" t="s">
        <v>3196</v>
      </c>
      <c r="G307" s="1831" t="s">
        <v>3196</v>
      </c>
    </row>
    <row r="308" spans="2:8" ht="62.5">
      <c r="B308" s="1832" t="s">
        <v>9949</v>
      </c>
      <c r="C308" s="1840" t="s">
        <v>1577</v>
      </c>
      <c r="D308" s="1842" t="b">
        <f>'96'!AH7</f>
        <v>1</v>
      </c>
      <c r="E308" s="1830" t="s">
        <v>3196</v>
      </c>
      <c r="F308" s="1830" t="s">
        <v>3196</v>
      </c>
      <c r="G308" s="1831" t="s">
        <v>3196</v>
      </c>
    </row>
    <row r="309" spans="2:8" ht="50">
      <c r="B309" s="1832" t="s">
        <v>8871</v>
      </c>
      <c r="C309" s="1840" t="s">
        <v>8872</v>
      </c>
      <c r="D309" s="1842" t="b">
        <f>'96'!AI7</f>
        <v>1</v>
      </c>
      <c r="E309" s="1830">
        <f>-SUMIFS('50_51_52_55_57_движ'!J7:J65536,'50_51_52_55_57_движ'!C7:C65536,"{1290900_~_~_~} Перечисление средств отраслевых резервов")</f>
        <v>0</v>
      </c>
      <c r="F309" s="1830">
        <f>'96'!I9</f>
        <v>0</v>
      </c>
      <c r="G309" s="1831">
        <f>ABS(E309-F309)</f>
        <v>0</v>
      </c>
    </row>
    <row r="310" spans="2:8">
      <c r="B310" s="1832" t="s">
        <v>6365</v>
      </c>
      <c r="C310" s="1840" t="s">
        <v>1578</v>
      </c>
      <c r="D310" s="1842" t="b">
        <f>AND(ОКХ!S5:U5)</f>
        <v>1</v>
      </c>
      <c r="E310" s="1830" t="s">
        <v>3196</v>
      </c>
      <c r="F310" s="1830" t="s">
        <v>3196</v>
      </c>
      <c r="G310" s="1831" t="s">
        <v>3196</v>
      </c>
    </row>
    <row r="311" spans="2:8">
      <c r="B311" s="1832" t="s">
        <v>6364</v>
      </c>
      <c r="C311" s="1840" t="s">
        <v>6308</v>
      </c>
      <c r="D311" s="1842" t="b">
        <f>НЗП_ГП!X10</f>
        <v>1</v>
      </c>
      <c r="E311" s="1830" t="s">
        <v>3196</v>
      </c>
      <c r="F311" s="1830" t="s">
        <v>3196</v>
      </c>
      <c r="G311" s="1831" t="s">
        <v>3196</v>
      </c>
    </row>
    <row r="312" spans="2:8">
      <c r="B312" s="1832" t="s">
        <v>6363</v>
      </c>
      <c r="C312" s="1840" t="s">
        <v>6309</v>
      </c>
      <c r="D312" s="1842" t="b">
        <f>НЗП_ГП!Y10</f>
        <v>1</v>
      </c>
      <c r="E312" s="1830" t="s">
        <v>3196</v>
      </c>
      <c r="F312" s="1830" t="s">
        <v>3196</v>
      </c>
      <c r="G312" s="1831" t="s">
        <v>3196</v>
      </c>
    </row>
    <row r="313" spans="2:8">
      <c r="B313" s="1832" t="s">
        <v>6362</v>
      </c>
      <c r="C313" s="1840" t="s">
        <v>6310</v>
      </c>
      <c r="D313" s="1842" t="b">
        <f>НЗП_ГП!Z10</f>
        <v>1</v>
      </c>
      <c r="E313" s="1830" t="s">
        <v>3196</v>
      </c>
      <c r="F313" s="1830" t="s">
        <v>3196</v>
      </c>
      <c r="G313" s="1831" t="s">
        <v>3196</v>
      </c>
    </row>
    <row r="314" spans="2:8">
      <c r="B314" s="1832" t="s">
        <v>6731</v>
      </c>
      <c r="C314" s="1840" t="s">
        <v>6732</v>
      </c>
      <c r="D314" s="1842" t="b">
        <f>НЗП_ГП!AA10</f>
        <v>1</v>
      </c>
      <c r="E314" s="1830" t="s">
        <v>3196</v>
      </c>
      <c r="F314" s="1830" t="s">
        <v>3196</v>
      </c>
      <c r="G314" s="1831" t="s">
        <v>3196</v>
      </c>
    </row>
    <row r="315" spans="2:8">
      <c r="B315" s="1832" t="s">
        <v>6311</v>
      </c>
      <c r="C315" s="1840" t="s">
        <v>423</v>
      </c>
      <c r="D315" s="1842" t="b">
        <f>AND(AND(НЗП_ГП!Q5:Q9995),НЗП_ГП!W6,НЗП_ГП!V9)</f>
        <v>1</v>
      </c>
      <c r="E315" s="1830" t="s">
        <v>3196</v>
      </c>
      <c r="F315" s="1830" t="s">
        <v>3196</v>
      </c>
      <c r="G315" s="1831" t="s">
        <v>3196</v>
      </c>
    </row>
    <row r="316" spans="2:8">
      <c r="B316" s="1832" t="s">
        <v>6361</v>
      </c>
      <c r="C316" s="1840" t="s">
        <v>423</v>
      </c>
      <c r="D316" s="1842" t="b">
        <f>AND(НЗП_ГП!W9:AA9)</f>
        <v>1</v>
      </c>
      <c r="E316" s="1830" t="s">
        <v>3196</v>
      </c>
      <c r="F316" s="1830" t="s">
        <v>3196</v>
      </c>
      <c r="G316" s="1831" t="s">
        <v>3196</v>
      </c>
    </row>
    <row r="317" spans="2:8" ht="25">
      <c r="B317" s="1832" t="s">
        <v>8179</v>
      </c>
      <c r="C317" s="1840" t="s">
        <v>424</v>
      </c>
      <c r="D317" s="1842" t="b">
        <f>Долгосроч_договоры!AY9</f>
        <v>1</v>
      </c>
      <c r="E317" s="1830" t="s">
        <v>3196</v>
      </c>
      <c r="F317" s="1830" t="s">
        <v>3196</v>
      </c>
      <c r="G317" s="1831" t="s">
        <v>3196</v>
      </c>
    </row>
    <row r="318" spans="2:8" s="3003" customFormat="1" ht="25">
      <c r="B318" s="3007" t="s">
        <v>14684</v>
      </c>
      <c r="C318" s="3008">
        <v>97</v>
      </c>
      <c r="D318" s="3009" t="b">
        <f>'97'!V9</f>
        <v>1</v>
      </c>
      <c r="E318" s="3005" t="s">
        <v>3196</v>
      </c>
      <c r="F318" s="3005" t="s">
        <v>3196</v>
      </c>
      <c r="G318" s="3006" t="s">
        <v>3196</v>
      </c>
      <c r="H318" s="3004"/>
    </row>
    <row r="319" spans="2:8" s="3003" customFormat="1">
      <c r="B319" s="3007" t="s">
        <v>9676</v>
      </c>
      <c r="C319" s="3008">
        <v>97</v>
      </c>
      <c r="D319" s="3009" t="b">
        <f>'97'!Z8</f>
        <v>1</v>
      </c>
      <c r="E319" s="3005" t="s">
        <v>3196</v>
      </c>
      <c r="F319" s="3005" t="s">
        <v>3196</v>
      </c>
      <c r="G319" s="3006" t="s">
        <v>3196</v>
      </c>
      <c r="H319" s="3004"/>
    </row>
    <row r="320" spans="2:8">
      <c r="B320" s="1871" t="s">
        <v>1148</v>
      </c>
      <c r="C320" s="1854"/>
      <c r="D320" s="1854" t="b">
        <f ca="1">AND(D321:D349)</f>
        <v>1</v>
      </c>
      <c r="E320" s="2174"/>
      <c r="F320" s="1854"/>
      <c r="G320" s="1855"/>
    </row>
    <row r="321" spans="2:8">
      <c r="B321" s="1832" t="s">
        <v>6360</v>
      </c>
      <c r="C321" s="1840" t="s">
        <v>2829</v>
      </c>
      <c r="D321" s="1842" t="b">
        <f>'58_02_движ'!Q4</f>
        <v>1</v>
      </c>
      <c r="E321" s="1830" t="s">
        <v>3196</v>
      </c>
      <c r="F321" s="1830" t="s">
        <v>3196</v>
      </c>
      <c r="G321" s="1831" t="s">
        <v>3196</v>
      </c>
    </row>
    <row r="322" spans="2:8">
      <c r="B322" s="1832" t="s">
        <v>6359</v>
      </c>
      <c r="C322" s="1840" t="s">
        <v>5436</v>
      </c>
      <c r="D322" s="1842" t="b">
        <f>AND('91_01_ВГО'!S32:S65531)</f>
        <v>1</v>
      </c>
      <c r="E322" s="1830" t="s">
        <v>3196</v>
      </c>
      <c r="F322" s="1830" t="s">
        <v>3196</v>
      </c>
      <c r="G322" s="1831" t="s">
        <v>3196</v>
      </c>
    </row>
    <row r="323" spans="2:8" s="3003" customFormat="1">
      <c r="B323" s="1832" t="s">
        <v>6358</v>
      </c>
      <c r="C323" s="1840" t="s">
        <v>951</v>
      </c>
      <c r="D323" s="1842" t="b">
        <f>AND('90_ОРВГ'!W10:W65536)</f>
        <v>1</v>
      </c>
      <c r="E323" s="1830" t="s">
        <v>3196</v>
      </c>
      <c r="F323" s="1830" t="s">
        <v>3196</v>
      </c>
      <c r="G323" s="1831" t="s">
        <v>3196</v>
      </c>
      <c r="H323" s="3004"/>
    </row>
    <row r="324" spans="2:8" s="3003" customFormat="1">
      <c r="B324" s="3007" t="s">
        <v>10272</v>
      </c>
      <c r="C324" s="3008" t="s">
        <v>951</v>
      </c>
      <c r="D324" s="3009" t="b">
        <f>AND('90_ОРВГ'!X10:X2400)</f>
        <v>1</v>
      </c>
      <c r="E324" s="3005" t="s">
        <v>3196</v>
      </c>
      <c r="F324" s="3005" t="s">
        <v>3196</v>
      </c>
      <c r="G324" s="3006" t="s">
        <v>3196</v>
      </c>
      <c r="H324" s="3004"/>
    </row>
    <row r="325" spans="2:8" s="3003" customFormat="1">
      <c r="B325" s="3007" t="s">
        <v>10274</v>
      </c>
      <c r="C325" s="3008" t="s">
        <v>5266</v>
      </c>
      <c r="D325" s="3009" t="b">
        <f>AND('90_контр'!U12:U2101)</f>
        <v>1</v>
      </c>
      <c r="E325" s="3005" t="s">
        <v>3196</v>
      </c>
      <c r="F325" s="3005" t="s">
        <v>3196</v>
      </c>
      <c r="G325" s="3006" t="s">
        <v>3196</v>
      </c>
      <c r="H325" s="3004"/>
    </row>
    <row r="326" spans="2:8" s="3003" customFormat="1">
      <c r="B326" s="3007" t="s">
        <v>15209</v>
      </c>
      <c r="C326" s="3008">
        <v>90</v>
      </c>
      <c r="D326" s="3009" t="b">
        <f>AND('90'!O11:O2400)</f>
        <v>1</v>
      </c>
      <c r="E326" s="3005" t="s">
        <v>3196</v>
      </c>
      <c r="F326" s="3005" t="s">
        <v>3196</v>
      </c>
      <c r="G326" s="3006" t="s">
        <v>3196</v>
      </c>
      <c r="H326" s="3004"/>
    </row>
    <row r="327" spans="2:8" s="3003" customFormat="1">
      <c r="B327" s="3007" t="s">
        <v>15210</v>
      </c>
      <c r="C327" s="3008">
        <v>90</v>
      </c>
      <c r="D327" s="3009" t="b">
        <f>AND('90'!P11:P2400)</f>
        <v>1</v>
      </c>
      <c r="E327" s="3005" t="s">
        <v>3196</v>
      </c>
      <c r="F327" s="3005" t="s">
        <v>3196</v>
      </c>
      <c r="G327" s="3006" t="s">
        <v>3196</v>
      </c>
      <c r="H327" s="3004"/>
    </row>
    <row r="328" spans="2:8" s="3003" customFormat="1">
      <c r="B328" s="3007" t="s">
        <v>15211</v>
      </c>
      <c r="C328" s="3008" t="s">
        <v>951</v>
      </c>
      <c r="D328" s="3009" t="b">
        <f>AND('90_ОРВГ'!Y10:Y2400)</f>
        <v>1</v>
      </c>
      <c r="E328" s="3005" t="s">
        <v>3196</v>
      </c>
      <c r="F328" s="3005" t="s">
        <v>3196</v>
      </c>
      <c r="G328" s="3006" t="s">
        <v>3196</v>
      </c>
      <c r="H328" s="3004"/>
    </row>
    <row r="329" spans="2:8" s="3003" customFormat="1">
      <c r="B329" s="3007" t="s">
        <v>15212</v>
      </c>
      <c r="C329" s="3008" t="s">
        <v>951</v>
      </c>
      <c r="D329" s="3009" t="b">
        <f>AND('90_ОРВГ'!Z10:Z2400)</f>
        <v>1</v>
      </c>
      <c r="E329" s="3005" t="s">
        <v>3196</v>
      </c>
      <c r="F329" s="3005" t="s">
        <v>3196</v>
      </c>
      <c r="G329" s="3006" t="s">
        <v>3196</v>
      </c>
      <c r="H329" s="3004"/>
    </row>
    <row r="330" spans="2:8" s="3003" customFormat="1">
      <c r="B330" s="3007" t="s">
        <v>15213</v>
      </c>
      <c r="C330" s="3008" t="s">
        <v>5266</v>
      </c>
      <c r="D330" s="3009" t="b">
        <f>AND('90_контр'!V12:V2400)</f>
        <v>1</v>
      </c>
      <c r="E330" s="3005" t="s">
        <v>3196</v>
      </c>
      <c r="F330" s="3005" t="s">
        <v>3196</v>
      </c>
      <c r="G330" s="3006" t="s">
        <v>3196</v>
      </c>
      <c r="H330" s="3004"/>
    </row>
    <row r="331" spans="2:8" ht="25">
      <c r="B331" s="3007" t="s">
        <v>10299</v>
      </c>
      <c r="C331" s="3008" t="s">
        <v>5266</v>
      </c>
      <c r="D331" s="3009" t="b">
        <f ca="1">AND('90_контр'!M11:M24000)</f>
        <v>1</v>
      </c>
      <c r="E331" s="3005" t="s">
        <v>3196</v>
      </c>
      <c r="F331" s="3005" t="s">
        <v>3196</v>
      </c>
      <c r="G331" s="3006" t="s">
        <v>3196</v>
      </c>
    </row>
    <row r="332" spans="2:8">
      <c r="B332" s="1832" t="s">
        <v>6357</v>
      </c>
      <c r="C332" s="1840" t="s">
        <v>5436</v>
      </c>
      <c r="D332" s="1842" t="b">
        <f>AND('91_01_ВГО'!W33:W65531)</f>
        <v>1</v>
      </c>
      <c r="E332" s="1830" t="s">
        <v>3196</v>
      </c>
      <c r="F332" s="1830" t="s">
        <v>3196</v>
      </c>
      <c r="G332" s="1831" t="s">
        <v>3196</v>
      </c>
    </row>
    <row r="333" spans="2:8">
      <c r="B333" s="1832" t="s">
        <v>6356</v>
      </c>
      <c r="C333" s="1840" t="s">
        <v>5264</v>
      </c>
      <c r="D333" s="1842" t="b">
        <f>'96_движ'!I4</f>
        <v>1</v>
      </c>
      <c r="E333" s="1830" t="s">
        <v>3196</v>
      </c>
      <c r="F333" s="1830" t="s">
        <v>3196</v>
      </c>
      <c r="G333" s="1831" t="s">
        <v>3196</v>
      </c>
    </row>
    <row r="334" spans="2:8" ht="25">
      <c r="B334" s="1832" t="s">
        <v>5888</v>
      </c>
      <c r="C334" s="1840" t="s">
        <v>5264</v>
      </c>
      <c r="D334" s="1842" t="b">
        <f>'96_движ'!Y10</f>
        <v>1</v>
      </c>
      <c r="E334" s="1830" t="s">
        <v>3196</v>
      </c>
      <c r="F334" s="1830" t="s">
        <v>3196</v>
      </c>
      <c r="G334" s="1831" t="s">
        <v>3196</v>
      </c>
    </row>
    <row r="335" spans="2:8" ht="25">
      <c r="B335" s="3007" t="s">
        <v>8721</v>
      </c>
      <c r="C335" s="3008" t="s">
        <v>5264</v>
      </c>
      <c r="D335" s="3009" t="b">
        <f>'96_движ'!V10</f>
        <v>1</v>
      </c>
      <c r="E335" s="3005" t="s">
        <v>3196</v>
      </c>
      <c r="F335" s="3005" t="s">
        <v>3196</v>
      </c>
      <c r="G335" s="3006" t="s">
        <v>3196</v>
      </c>
    </row>
    <row r="336" spans="2:8" ht="37.5">
      <c r="B336" s="1832" t="s">
        <v>8709</v>
      </c>
      <c r="C336" s="1840" t="s">
        <v>2843</v>
      </c>
      <c r="D336" s="1842" t="b">
        <f>AND('84_расш'!$K:$K,'84_расш'!$L:$L)</f>
        <v>1</v>
      </c>
      <c r="E336" s="1830" t="s">
        <v>3196</v>
      </c>
      <c r="F336" s="1830" t="s">
        <v>3196</v>
      </c>
      <c r="G336" s="1831" t="s">
        <v>3196</v>
      </c>
    </row>
    <row r="337" spans="2:8">
      <c r="B337" s="1832" t="s">
        <v>6206</v>
      </c>
      <c r="C337" s="1840" t="s">
        <v>4559</v>
      </c>
      <c r="D337" s="1842" t="b">
        <f>AND('75_02'!W5:X5)</f>
        <v>1</v>
      </c>
      <c r="E337" s="1830" t="s">
        <v>3196</v>
      </c>
      <c r="F337" s="1830" t="s">
        <v>3196</v>
      </c>
      <c r="G337" s="1831" t="s">
        <v>3196</v>
      </c>
    </row>
    <row r="338" spans="2:8">
      <c r="B338" s="1832" t="s">
        <v>5909</v>
      </c>
      <c r="C338" s="1840" t="s">
        <v>5919</v>
      </c>
      <c r="D338" s="3009" t="b">
        <f>AND(Прочие_расш!U33,Прочие_расш!M29,Прочие_расш!E29,Прочие_расш!P30,Прочие_расш!X33,Прочие_расш!M33&lt;=1000,Прочие_расш!N33&lt;=1000)</f>
        <v>1</v>
      </c>
      <c r="E338" s="1830" t="s">
        <v>3196</v>
      </c>
      <c r="F338" s="1830" t="s">
        <v>3196</v>
      </c>
      <c r="G338" s="1831" t="s">
        <v>3196</v>
      </c>
    </row>
    <row r="339" spans="2:8" ht="25">
      <c r="B339" s="1832" t="s">
        <v>8515</v>
      </c>
      <c r="C339" s="1840" t="s">
        <v>8379</v>
      </c>
      <c r="D339" s="1842" t="b">
        <f>'60,62,63,76_контр'!$AS$3</f>
        <v>1</v>
      </c>
      <c r="E339" s="1830" t="s">
        <v>3196</v>
      </c>
      <c r="F339" s="1830" t="s">
        <v>3196</v>
      </c>
      <c r="G339" s="1831" t="s">
        <v>3196</v>
      </c>
    </row>
    <row r="340" spans="2:8">
      <c r="B340" s="1832" t="s">
        <v>7100</v>
      </c>
      <c r="C340" s="1840">
        <v>76</v>
      </c>
      <c r="D340" s="1842" t="b">
        <f>'76'!AB4</f>
        <v>1</v>
      </c>
      <c r="E340" s="1830"/>
      <c r="F340" s="1830"/>
      <c r="G340" s="1831"/>
    </row>
    <row r="341" spans="2:8" s="3003" customFormat="1">
      <c r="B341" s="1832" t="s">
        <v>7158</v>
      </c>
      <c r="C341" s="1840" t="s">
        <v>2841</v>
      </c>
      <c r="D341" s="1842" t="b">
        <f>'76_01_%'!AD4</f>
        <v>1</v>
      </c>
      <c r="E341" s="1830"/>
      <c r="F341" s="1830"/>
      <c r="G341" s="1831"/>
      <c r="H341" s="3004"/>
    </row>
    <row r="342" spans="2:8">
      <c r="B342" s="3007" t="s">
        <v>10138</v>
      </c>
      <c r="C342" s="3008" t="s">
        <v>10139</v>
      </c>
      <c r="D342" s="3009" t="b">
        <f>AND('10_расш'!Y10,НЗП_ГП!U9,'10_расш'!Z10)</f>
        <v>1</v>
      </c>
      <c r="E342" s="3005" t="s">
        <v>3196</v>
      </c>
      <c r="F342" s="3005" t="s">
        <v>3196</v>
      </c>
      <c r="G342" s="3006" t="s">
        <v>3196</v>
      </c>
    </row>
    <row r="343" spans="2:8">
      <c r="B343" s="1832" t="s">
        <v>6413</v>
      </c>
      <c r="C343" s="1840">
        <v>14</v>
      </c>
      <c r="D343" s="1842" t="b">
        <f>'14'!F3</f>
        <v>1</v>
      </c>
      <c r="E343" s="1830" t="s">
        <v>3196</v>
      </c>
      <c r="F343" s="1830" t="s">
        <v>3196</v>
      </c>
      <c r="G343" s="1831" t="s">
        <v>3196</v>
      </c>
    </row>
    <row r="344" spans="2:8" s="3003" customFormat="1">
      <c r="B344" s="3007" t="s">
        <v>14645</v>
      </c>
      <c r="C344" s="3008">
        <v>14</v>
      </c>
      <c r="D344" s="3009" t="b">
        <f>'14'!M3</f>
        <v>1</v>
      </c>
      <c r="E344" s="3005" t="s">
        <v>3196</v>
      </c>
      <c r="F344" s="3005" t="s">
        <v>3196</v>
      </c>
      <c r="G344" s="3006" t="s">
        <v>3196</v>
      </c>
      <c r="H344" s="3004"/>
    </row>
    <row r="345" spans="2:8" ht="25">
      <c r="B345" s="1832" t="s">
        <v>6912</v>
      </c>
      <c r="C345" s="1840">
        <v>78</v>
      </c>
      <c r="D345" s="1842" t="b">
        <f>IF(ABS('78'!L9)&lt;3,TRUE)</f>
        <v>1</v>
      </c>
      <c r="E345" s="1830" t="s">
        <v>3196</v>
      </c>
      <c r="F345" s="1830" t="s">
        <v>3196</v>
      </c>
      <c r="G345" s="1831" t="s">
        <v>3196</v>
      </c>
    </row>
    <row r="346" spans="2:8" ht="37.5">
      <c r="B346" s="1832" t="s">
        <v>7428</v>
      </c>
      <c r="C346" s="1840">
        <v>78</v>
      </c>
      <c r="D346" s="1842" t="b">
        <f>AND('78'!$Q$10:$Q$26)</f>
        <v>1</v>
      </c>
      <c r="E346" s="1830" t="s">
        <v>3196</v>
      </c>
      <c r="F346" s="1830" t="s">
        <v>3196</v>
      </c>
      <c r="G346" s="1831" t="s">
        <v>3196</v>
      </c>
    </row>
    <row r="347" spans="2:8" ht="25">
      <c r="B347" s="1832" t="s">
        <v>7101</v>
      </c>
      <c r="C347" s="1840">
        <v>68</v>
      </c>
      <c r="D347" s="1842" t="b">
        <f>IF(ABS('68'!X9)&gt;2,FALSE,TRUE)</f>
        <v>1</v>
      </c>
      <c r="E347" s="1830" t="s">
        <v>3196</v>
      </c>
      <c r="F347" s="1830" t="s">
        <v>3196</v>
      </c>
      <c r="G347" s="1831" t="s">
        <v>3196</v>
      </c>
    </row>
    <row r="348" spans="2:8">
      <c r="B348" s="1832" t="s">
        <v>7614</v>
      </c>
      <c r="C348" s="1840">
        <v>68</v>
      </c>
      <c r="D348" s="1842" t="b">
        <f>'68'!AH9</f>
        <v>1</v>
      </c>
      <c r="E348" s="1830" t="s">
        <v>3196</v>
      </c>
      <c r="F348" s="1830" t="s">
        <v>3196</v>
      </c>
      <c r="G348" s="1831" t="s">
        <v>3196</v>
      </c>
    </row>
    <row r="349" spans="2:8" ht="25">
      <c r="B349" s="1832" t="s">
        <v>8478</v>
      </c>
      <c r="C349" s="1840">
        <v>68</v>
      </c>
      <c r="D349" s="1842" t="b">
        <f>'68'!AF9</f>
        <v>1</v>
      </c>
      <c r="E349" s="1830" t="s">
        <v>3196</v>
      </c>
      <c r="F349" s="1830" t="s">
        <v>3196</v>
      </c>
      <c r="G349" s="1831" t="s">
        <v>3196</v>
      </c>
    </row>
    <row r="350" spans="2:8">
      <c r="B350" s="1832" t="s">
        <v>7868</v>
      </c>
      <c r="C350" s="1840">
        <v>68</v>
      </c>
      <c r="D350" s="1842" t="b">
        <f>AND('68'!AI9,'68'!AJ9,'68'!AK9,'68'!AL9)</f>
        <v>1</v>
      </c>
      <c r="E350" s="1830" t="s">
        <v>3196</v>
      </c>
      <c r="F350" s="1830" t="s">
        <v>3196</v>
      </c>
      <c r="G350" s="1831" t="s">
        <v>3196</v>
      </c>
    </row>
    <row r="351" spans="2:8" ht="25">
      <c r="B351" s="1832" t="s">
        <v>6338</v>
      </c>
      <c r="C351" s="1840" t="s">
        <v>424</v>
      </c>
      <c r="D351" s="1842" t="b">
        <f>AND(Долгосроч_договоры!$AQ:$AQ)</f>
        <v>1</v>
      </c>
      <c r="E351" s="1830" t="s">
        <v>3196</v>
      </c>
      <c r="F351" s="1830" t="s">
        <v>3196</v>
      </c>
      <c r="G351" s="1831" t="s">
        <v>3196</v>
      </c>
    </row>
    <row r="352" spans="2:8" ht="25">
      <c r="B352" s="1832" t="s">
        <v>6077</v>
      </c>
      <c r="C352" s="1840" t="s">
        <v>424</v>
      </c>
      <c r="D352" s="1842" t="b">
        <f>AND(Долгосроч_договоры!$AU10:$AU9992)</f>
        <v>1</v>
      </c>
      <c r="E352" s="1830" t="s">
        <v>3196</v>
      </c>
      <c r="F352" s="1830" t="s">
        <v>3196</v>
      </c>
      <c r="G352" s="1831" t="s">
        <v>3196</v>
      </c>
    </row>
    <row r="353" spans="2:8" s="3003" customFormat="1" ht="25">
      <c r="B353" s="1832" t="s">
        <v>6339</v>
      </c>
      <c r="C353" s="1840" t="s">
        <v>222</v>
      </c>
      <c r="D353" s="1842" t="b">
        <f>AND(Фин_договоры!AG:AG)</f>
        <v>1</v>
      </c>
      <c r="E353" s="1830" t="s">
        <v>3196</v>
      </c>
      <c r="F353" s="1830" t="s">
        <v>3196</v>
      </c>
      <c r="G353" s="1831" t="s">
        <v>3196</v>
      </c>
      <c r="H353" s="3004"/>
    </row>
    <row r="354" spans="2:8" ht="60.75" customHeight="1">
      <c r="B354" s="3007" t="s">
        <v>9798</v>
      </c>
      <c r="C354" s="3008" t="s">
        <v>222</v>
      </c>
      <c r="D354" s="3009" t="b">
        <f>AND(Фин_договоры!AO:AO)</f>
        <v>1</v>
      </c>
      <c r="E354" s="3005" t="s">
        <v>3196</v>
      </c>
      <c r="F354" s="3005" t="s">
        <v>3196</v>
      </c>
      <c r="G354" s="3006" t="s">
        <v>3196</v>
      </c>
    </row>
    <row r="355" spans="2:8" ht="25">
      <c r="B355" s="1832" t="s">
        <v>6848</v>
      </c>
      <c r="C355" s="1840" t="s">
        <v>222</v>
      </c>
      <c r="D355" s="1842" t="b">
        <f>AND(Фин_договоры!AI:AI)</f>
        <v>1</v>
      </c>
      <c r="E355" s="1830" t="s">
        <v>3196</v>
      </c>
      <c r="F355" s="1830" t="s">
        <v>3196</v>
      </c>
      <c r="G355" s="1831" t="s">
        <v>3196</v>
      </c>
    </row>
    <row r="356" spans="2:8">
      <c r="B356" s="1832" t="s">
        <v>6267</v>
      </c>
      <c r="C356" s="1840" t="s">
        <v>222</v>
      </c>
      <c r="D356" s="1842" t="b">
        <f>AND(Фин_договоры!AH:AH)</f>
        <v>1</v>
      </c>
      <c r="E356" s="1830" t="s">
        <v>3196</v>
      </c>
      <c r="F356" s="1830" t="s">
        <v>3196</v>
      </c>
      <c r="G356" s="1831" t="s">
        <v>3196</v>
      </c>
    </row>
    <row r="357" spans="2:8" s="3003" customFormat="1">
      <c r="B357" s="1832" t="s">
        <v>6869</v>
      </c>
      <c r="C357" s="1840" t="s">
        <v>222</v>
      </c>
      <c r="D357" s="1842" t="b">
        <f>AND(Фин_договоры!AJ:AJ)</f>
        <v>1</v>
      </c>
      <c r="E357" s="1830" t="s">
        <v>3196</v>
      </c>
      <c r="F357" s="1830" t="s">
        <v>3196</v>
      </c>
      <c r="G357" s="1831" t="s">
        <v>3196</v>
      </c>
      <c r="H357" s="3004"/>
    </row>
    <row r="358" spans="2:8" ht="25">
      <c r="B358" s="3007" t="s">
        <v>10021</v>
      </c>
      <c r="C358" s="3008" t="s">
        <v>222</v>
      </c>
      <c r="D358" s="3009" t="b">
        <f>Фин_договоры!AS6</f>
        <v>1</v>
      </c>
      <c r="E358" s="3005" t="s">
        <v>3196</v>
      </c>
      <c r="F358" s="3005" t="s">
        <v>3196</v>
      </c>
      <c r="G358" s="3006" t="s">
        <v>3196</v>
      </c>
    </row>
    <row r="359" spans="2:8" ht="25">
      <c r="B359" s="3007" t="s">
        <v>8683</v>
      </c>
      <c r="C359" s="3008" t="s">
        <v>222</v>
      </c>
      <c r="D359" s="3009" t="b">
        <f>AND(Фин_договоры!AF:AF)</f>
        <v>1</v>
      </c>
      <c r="E359" s="3005" t="s">
        <v>3196</v>
      </c>
      <c r="F359" s="3005" t="s">
        <v>3196</v>
      </c>
      <c r="G359" s="3006" t="s">
        <v>3196</v>
      </c>
    </row>
    <row r="360" spans="2:8" ht="37.5">
      <c r="B360" s="1832" t="s">
        <v>8678</v>
      </c>
      <c r="C360" s="1840">
        <v>66</v>
      </c>
      <c r="D360" s="1842" t="b">
        <f>AND('66'!BD:BD)</f>
        <v>1</v>
      </c>
      <c r="E360" s="1830" t="s">
        <v>3196</v>
      </c>
      <c r="F360" s="1830" t="s">
        <v>3196</v>
      </c>
      <c r="G360" s="1831" t="s">
        <v>3196</v>
      </c>
    </row>
    <row r="361" spans="2:8" ht="37.5">
      <c r="B361" s="1832" t="s">
        <v>8679</v>
      </c>
      <c r="C361" s="1840">
        <v>67</v>
      </c>
      <c r="D361" s="1842" t="b">
        <f>AND('67'!BE:BE)</f>
        <v>1</v>
      </c>
      <c r="E361" s="1830" t="s">
        <v>3196</v>
      </c>
      <c r="F361" s="1830" t="s">
        <v>3196</v>
      </c>
      <c r="G361" s="1831" t="s">
        <v>3196</v>
      </c>
    </row>
    <row r="362" spans="2:8" ht="25">
      <c r="B362" s="1832" t="s">
        <v>6873</v>
      </c>
      <c r="C362" s="1840" t="s">
        <v>2826</v>
      </c>
      <c r="D362" s="1842" t="b">
        <f>AND('58_01_1'!AC:AC)</f>
        <v>1</v>
      </c>
      <c r="E362" s="1830" t="s">
        <v>3196</v>
      </c>
      <c r="F362" s="1830" t="s">
        <v>3196</v>
      </c>
      <c r="G362" s="1831" t="s">
        <v>3196</v>
      </c>
    </row>
    <row r="363" spans="2:8" s="3003" customFormat="1" ht="25">
      <c r="B363" s="1832" t="s">
        <v>6874</v>
      </c>
      <c r="C363" s="1840" t="s">
        <v>2827</v>
      </c>
      <c r="D363" s="1842" t="b">
        <f>AND('58_01_2'!AC:AC)</f>
        <v>1</v>
      </c>
      <c r="E363" s="1830" t="s">
        <v>3196</v>
      </c>
      <c r="F363" s="1830" t="s">
        <v>3196</v>
      </c>
      <c r="G363" s="1831" t="s">
        <v>3196</v>
      </c>
      <c r="H363" s="3004"/>
    </row>
    <row r="364" spans="2:8" s="3003" customFormat="1" ht="37.5">
      <c r="B364" s="3007" t="s">
        <v>10254</v>
      </c>
      <c r="C364" s="3008" t="s">
        <v>2826</v>
      </c>
      <c r="D364" s="3009" t="b">
        <f>'58_01_1'!AK8</f>
        <v>1</v>
      </c>
      <c r="E364" s="3005" t="s">
        <v>3196</v>
      </c>
      <c r="F364" s="3005" t="s">
        <v>3196</v>
      </c>
      <c r="G364" s="3006" t="s">
        <v>3196</v>
      </c>
      <c r="H364" s="3004"/>
    </row>
    <row r="365" spans="2:8" ht="37.5">
      <c r="B365" s="3007" t="s">
        <v>10255</v>
      </c>
      <c r="C365" s="3008" t="s">
        <v>2827</v>
      </c>
      <c r="D365" s="3009" t="b">
        <f>'58_01_2'!AK8</f>
        <v>1</v>
      </c>
      <c r="E365" s="3005" t="s">
        <v>3196</v>
      </c>
      <c r="F365" s="3005" t="s">
        <v>3196</v>
      </c>
      <c r="G365" s="3006" t="s">
        <v>3196</v>
      </c>
    </row>
    <row r="366" spans="2:8" ht="25">
      <c r="B366" s="1832" t="s">
        <v>7711</v>
      </c>
      <c r="C366" s="1840" t="s">
        <v>2828</v>
      </c>
      <c r="D366" s="1842" t="b">
        <f>AND('58_02'!AJ:AJ,'58_02'!AM:AM)</f>
        <v>1</v>
      </c>
      <c r="E366" s="1830" t="s">
        <v>3196</v>
      </c>
      <c r="F366" s="1830" t="s">
        <v>3196</v>
      </c>
      <c r="G366" s="1831" t="s">
        <v>3196</v>
      </c>
    </row>
    <row r="367" spans="2:8" ht="25">
      <c r="B367" s="1832" t="s">
        <v>6875</v>
      </c>
      <c r="C367" s="1840" t="s">
        <v>2829</v>
      </c>
      <c r="D367" s="1842" t="b">
        <f>AND('58_02_движ'!X:Y)</f>
        <v>1</v>
      </c>
      <c r="E367" s="1830" t="s">
        <v>3196</v>
      </c>
      <c r="F367" s="1830" t="s">
        <v>3196</v>
      </c>
      <c r="G367" s="1831" t="s">
        <v>3196</v>
      </c>
    </row>
    <row r="368" spans="2:8" s="3003" customFormat="1">
      <c r="B368" s="3007" t="s">
        <v>8686</v>
      </c>
      <c r="C368" s="3008" t="s">
        <v>2829</v>
      </c>
      <c r="D368" s="3009" t="b">
        <f>AND('58_02_движ'!W:W)</f>
        <v>1</v>
      </c>
      <c r="E368" s="3005" t="s">
        <v>3196</v>
      </c>
      <c r="F368" s="3005" t="s">
        <v>3196</v>
      </c>
      <c r="G368" s="3006" t="s">
        <v>3196</v>
      </c>
      <c r="H368" s="3004"/>
    </row>
    <row r="369" spans="2:8">
      <c r="B369" s="3007" t="s">
        <v>8685</v>
      </c>
      <c r="C369" s="3008" t="s">
        <v>2837</v>
      </c>
      <c r="D369" s="3009" t="b">
        <f>'60_02'!V13</f>
        <v>1</v>
      </c>
      <c r="E369" s="3005" t="s">
        <v>3196</v>
      </c>
      <c r="F369" s="3005" t="s">
        <v>3196</v>
      </c>
      <c r="G369" s="3006" t="s">
        <v>3196</v>
      </c>
    </row>
    <row r="370" spans="2:8" ht="25">
      <c r="B370" s="1832" t="s">
        <v>6876</v>
      </c>
      <c r="C370" s="1840" t="s">
        <v>2830</v>
      </c>
      <c r="D370" s="1842" t="b">
        <f>AND('58_03_1'!AJ:AJ)</f>
        <v>1</v>
      </c>
      <c r="E370" s="1830" t="s">
        <v>3196</v>
      </c>
      <c r="F370" s="1830" t="s">
        <v>3196</v>
      </c>
      <c r="G370" s="1831" t="s">
        <v>3196</v>
      </c>
    </row>
    <row r="371" spans="2:8">
      <c r="B371" s="3007" t="s">
        <v>8687</v>
      </c>
      <c r="C371" s="3008" t="s">
        <v>2831</v>
      </c>
      <c r="D371" s="3009" t="b">
        <f>AND('58_03_1'!AI:AI)</f>
        <v>1</v>
      </c>
      <c r="E371" s="3005" t="s">
        <v>3196</v>
      </c>
      <c r="F371" s="3005" t="s">
        <v>3196</v>
      </c>
      <c r="G371" s="3006" t="s">
        <v>3196</v>
      </c>
    </row>
    <row r="372" spans="2:8" ht="25">
      <c r="B372" s="1832" t="s">
        <v>6877</v>
      </c>
      <c r="C372" s="1840" t="s">
        <v>2831</v>
      </c>
      <c r="D372" s="1842" t="b">
        <f>AND('58_03_2'!AJ:AJ)</f>
        <v>1</v>
      </c>
      <c r="E372" s="1830" t="s">
        <v>3196</v>
      </c>
      <c r="F372" s="1830" t="s">
        <v>3196</v>
      </c>
      <c r="G372" s="1831" t="s">
        <v>3196</v>
      </c>
    </row>
    <row r="373" spans="2:8">
      <c r="B373" s="3007" t="s">
        <v>8685</v>
      </c>
      <c r="C373" s="3008" t="s">
        <v>8684</v>
      </c>
      <c r="D373" s="3009" t="b">
        <f>AND('58_03_2'!AI:AI)</f>
        <v>1</v>
      </c>
      <c r="E373" s="3005" t="s">
        <v>3196</v>
      </c>
      <c r="F373" s="3005" t="s">
        <v>3196</v>
      </c>
      <c r="G373" s="3006" t="s">
        <v>3196</v>
      </c>
    </row>
    <row r="374" spans="2:8" ht="25">
      <c r="B374" s="1832" t="s">
        <v>6340</v>
      </c>
      <c r="C374" s="1840">
        <v>51</v>
      </c>
      <c r="D374" s="1842" t="b">
        <f>AND('51'!I8:I1000)</f>
        <v>1</v>
      </c>
      <c r="E374" s="1830" t="s">
        <v>3196</v>
      </c>
      <c r="F374" s="1830" t="s">
        <v>3196</v>
      </c>
      <c r="G374" s="1831" t="s">
        <v>3196</v>
      </c>
    </row>
    <row r="375" spans="2:8" ht="25">
      <c r="B375" s="1832" t="s">
        <v>6849</v>
      </c>
      <c r="C375" s="1840">
        <v>51</v>
      </c>
      <c r="D375" s="1842" t="b">
        <f>AND('51'!J8:J1000)</f>
        <v>1</v>
      </c>
      <c r="E375" s="1830"/>
      <c r="F375" s="1830"/>
      <c r="G375" s="1831"/>
    </row>
    <row r="376" spans="2:8" ht="25">
      <c r="B376" s="1832" t="s">
        <v>6341</v>
      </c>
      <c r="C376" s="1840">
        <v>52</v>
      </c>
      <c r="D376" s="1842" t="b">
        <f>AND('52'!J8:J1000)</f>
        <v>1</v>
      </c>
      <c r="E376" s="1830" t="s">
        <v>3196</v>
      </c>
      <c r="F376" s="1830" t="s">
        <v>3196</v>
      </c>
      <c r="G376" s="1831" t="s">
        <v>3196</v>
      </c>
    </row>
    <row r="377" spans="2:8" ht="25">
      <c r="B377" s="1832" t="s">
        <v>6850</v>
      </c>
      <c r="C377" s="1840">
        <v>52</v>
      </c>
      <c r="D377" s="1842" t="b">
        <f>AND('52'!K8:K1000)</f>
        <v>1</v>
      </c>
      <c r="E377" s="1830" t="s">
        <v>3196</v>
      </c>
      <c r="F377" s="1830" t="s">
        <v>3196</v>
      </c>
      <c r="G377" s="1831" t="s">
        <v>3196</v>
      </c>
    </row>
    <row r="378" spans="2:8" ht="25">
      <c r="B378" s="1832" t="s">
        <v>6342</v>
      </c>
      <c r="C378" s="1840">
        <v>55</v>
      </c>
      <c r="D378" s="1842" t="b">
        <f>AND('55'!L8:L1000)</f>
        <v>1</v>
      </c>
      <c r="E378" s="1830" t="s">
        <v>3196</v>
      </c>
      <c r="F378" s="1830" t="s">
        <v>3196</v>
      </c>
      <c r="G378" s="1831" t="s">
        <v>3196</v>
      </c>
    </row>
    <row r="379" spans="2:8" ht="25">
      <c r="B379" s="1832" t="s">
        <v>6851</v>
      </c>
      <c r="C379" s="1840">
        <v>55</v>
      </c>
      <c r="D379" s="1842" t="b">
        <f>AND('55'!M8:M1000)</f>
        <v>1</v>
      </c>
      <c r="E379" s="1830" t="s">
        <v>3196</v>
      </c>
      <c r="F379" s="1830" t="s">
        <v>3196</v>
      </c>
      <c r="G379" s="1831" t="s">
        <v>3196</v>
      </c>
    </row>
    <row r="380" spans="2:8">
      <c r="B380" s="1832" t="s">
        <v>8152</v>
      </c>
      <c r="C380" s="1840">
        <v>50</v>
      </c>
      <c r="D380" s="1842" t="b">
        <f>'50'!G6</f>
        <v>1</v>
      </c>
      <c r="E380" s="1830" t="s">
        <v>3196</v>
      </c>
      <c r="F380" s="1830" t="s">
        <v>3196</v>
      </c>
      <c r="G380" s="1831" t="s">
        <v>3196</v>
      </c>
    </row>
    <row r="381" spans="2:8">
      <c r="B381" s="1832" t="s">
        <v>8051</v>
      </c>
      <c r="C381" s="1840">
        <v>51</v>
      </c>
      <c r="D381" s="1842" t="b">
        <f>'51'!K6</f>
        <v>1</v>
      </c>
      <c r="E381" s="1830" t="s">
        <v>3196</v>
      </c>
      <c r="F381" s="1830" t="s">
        <v>3196</v>
      </c>
      <c r="G381" s="1831" t="s">
        <v>3196</v>
      </c>
    </row>
    <row r="382" spans="2:8" s="3003" customFormat="1">
      <c r="B382" s="3007" t="s">
        <v>8566</v>
      </c>
      <c r="C382" s="3008">
        <v>51</v>
      </c>
      <c r="D382" s="3009" t="b">
        <f>'55'!L6</f>
        <v>1</v>
      </c>
      <c r="E382" s="3005" t="s">
        <v>3196</v>
      </c>
      <c r="F382" s="3005" t="s">
        <v>3196</v>
      </c>
      <c r="G382" s="3006" t="s">
        <v>3196</v>
      </c>
      <c r="H382" s="3004"/>
    </row>
    <row r="383" spans="2:8">
      <c r="B383" s="1832" t="s">
        <v>8050</v>
      </c>
      <c r="C383" s="1840">
        <v>52</v>
      </c>
      <c r="D383" s="1842" t="b">
        <f>'52'!L6</f>
        <v>1</v>
      </c>
      <c r="E383" s="3005" t="s">
        <v>3196</v>
      </c>
      <c r="F383" s="3005" t="s">
        <v>3196</v>
      </c>
      <c r="G383" s="3006" t="s">
        <v>3196</v>
      </c>
    </row>
    <row r="384" spans="2:8" s="3003" customFormat="1">
      <c r="B384" s="3007" t="s">
        <v>8566</v>
      </c>
      <c r="C384" s="3008">
        <v>52</v>
      </c>
      <c r="D384" s="3009" t="b">
        <f>'52'!J6</f>
        <v>1</v>
      </c>
      <c r="E384" s="3005" t="s">
        <v>3196</v>
      </c>
      <c r="F384" s="3005" t="s">
        <v>3196</v>
      </c>
      <c r="G384" s="3006" t="s">
        <v>3196</v>
      </c>
      <c r="H384" s="3004"/>
    </row>
    <row r="385" spans="2:8">
      <c r="B385" s="1832" t="s">
        <v>8153</v>
      </c>
      <c r="C385" s="1840">
        <v>55</v>
      </c>
      <c r="D385" s="1842" t="b">
        <f>'55'!N6</f>
        <v>1</v>
      </c>
      <c r="E385" s="3005" t="s">
        <v>3196</v>
      </c>
      <c r="F385" s="3005" t="s">
        <v>3196</v>
      </c>
      <c r="G385" s="3006" t="s">
        <v>3196</v>
      </c>
    </row>
    <row r="386" spans="2:8" s="3003" customFormat="1">
      <c r="B386" s="3007" t="s">
        <v>8566</v>
      </c>
      <c r="C386" s="3008">
        <v>55</v>
      </c>
      <c r="D386" s="3009" t="b">
        <f>'55'!L6</f>
        <v>1</v>
      </c>
      <c r="E386" s="3005" t="s">
        <v>3196</v>
      </c>
      <c r="F386" s="3005" t="s">
        <v>3196</v>
      </c>
      <c r="G386" s="3006" t="s">
        <v>3196</v>
      </c>
      <c r="H386" s="3004"/>
    </row>
    <row r="387" spans="2:8">
      <c r="B387" s="1832" t="s">
        <v>8154</v>
      </c>
      <c r="C387" s="1840">
        <v>57</v>
      </c>
      <c r="D387" s="1842" t="b">
        <f>'57'!K6</f>
        <v>1</v>
      </c>
      <c r="E387" s="3005" t="s">
        <v>3196</v>
      </c>
      <c r="F387" s="3005" t="s">
        <v>3196</v>
      </c>
      <c r="G387" s="3006" t="s">
        <v>3196</v>
      </c>
    </row>
    <row r="388" spans="2:8" s="3003" customFormat="1">
      <c r="B388" s="3007" t="s">
        <v>8566</v>
      </c>
      <c r="C388" s="3008">
        <v>57</v>
      </c>
      <c r="D388" s="3009" t="b">
        <f>'57'!I6</f>
        <v>1</v>
      </c>
      <c r="E388" s="3005" t="s">
        <v>3196</v>
      </c>
      <c r="F388" s="3005" t="s">
        <v>3196</v>
      </c>
      <c r="G388" s="3006" t="s">
        <v>3196</v>
      </c>
      <c r="H388" s="3004"/>
    </row>
    <row r="389" spans="2:8">
      <c r="B389" s="1832" t="s">
        <v>8128</v>
      </c>
      <c r="C389" s="1840">
        <v>55</v>
      </c>
      <c r="D389" s="1842" t="b">
        <f>'55'!K7</f>
        <v>1</v>
      </c>
      <c r="E389" s="3005" t="s">
        <v>3196</v>
      </c>
      <c r="F389" s="3005" t="s">
        <v>3196</v>
      </c>
      <c r="G389" s="3006" t="s">
        <v>3196</v>
      </c>
    </row>
    <row r="390" spans="2:8" ht="25">
      <c r="B390" s="1832" t="s">
        <v>6343</v>
      </c>
      <c r="C390" s="1840" t="s">
        <v>5042</v>
      </c>
      <c r="D390" s="1842" t="b">
        <f>AND(ДП_полученные!U9:W9)</f>
        <v>1</v>
      </c>
      <c r="E390" s="1830" t="s">
        <v>3196</v>
      </c>
      <c r="F390" s="1830" t="s">
        <v>3196</v>
      </c>
      <c r="G390" s="1831" t="s">
        <v>3196</v>
      </c>
    </row>
    <row r="391" spans="2:8" ht="25">
      <c r="B391" s="1832" t="s">
        <v>6344</v>
      </c>
      <c r="C391" s="1840" t="s">
        <v>5040</v>
      </c>
      <c r="D391" s="1842" t="b">
        <f>AND(ДП_выданные!S9:U9)</f>
        <v>1</v>
      </c>
      <c r="E391" s="1830" t="s">
        <v>3196</v>
      </c>
      <c r="F391" s="1830" t="s">
        <v>3196</v>
      </c>
      <c r="G391" s="1831" t="s">
        <v>3196</v>
      </c>
    </row>
    <row r="392" spans="2:8" ht="25">
      <c r="B392" s="1832" t="s">
        <v>6345</v>
      </c>
      <c r="C392" s="1840" t="s">
        <v>5268</v>
      </c>
      <c r="D392" s="1842" t="b">
        <f>AND(ОКХ!$T:$T)</f>
        <v>1</v>
      </c>
      <c r="E392" s="1830" t="s">
        <v>3196</v>
      </c>
      <c r="F392" s="1830" t="s">
        <v>3196</v>
      </c>
      <c r="G392" s="1831" t="s">
        <v>3196</v>
      </c>
    </row>
    <row r="393" spans="2:8">
      <c r="B393" s="1832" t="s">
        <v>7877</v>
      </c>
      <c r="C393" s="1840" t="s">
        <v>8379</v>
      </c>
      <c r="D393" s="1842" t="b">
        <f>'60,62,63,76_контр'!$AR$3</f>
        <v>1</v>
      </c>
      <c r="E393" s="1830" t="s">
        <v>3196</v>
      </c>
      <c r="F393" s="1830" t="s">
        <v>3196</v>
      </c>
      <c r="G393" s="1831" t="s">
        <v>3196</v>
      </c>
    </row>
    <row r="394" spans="2:8" ht="32.25" customHeight="1">
      <c r="B394" s="1832" t="s">
        <v>8350</v>
      </c>
      <c r="C394" s="1840" t="s">
        <v>8379</v>
      </c>
      <c r="D394" s="1842" t="b">
        <f>AND('60,62,63,76_контр'!$AU$3,'60,62,63,76_контр'!$AU$4,'60,62,63,76_контр'!$AU$5)</f>
        <v>1</v>
      </c>
      <c r="E394" s="1830" t="s">
        <v>3196</v>
      </c>
      <c r="F394" s="1830" t="s">
        <v>3196</v>
      </c>
      <c r="G394" s="1831" t="s">
        <v>3196</v>
      </c>
    </row>
    <row r="395" spans="2:8" ht="25">
      <c r="B395" s="1832" t="s">
        <v>8351</v>
      </c>
      <c r="C395" s="1832">
        <v>76</v>
      </c>
      <c r="D395" s="1842" t="b">
        <f>AND('76'!$AP$4,'76'!$AQ$4)</f>
        <v>1</v>
      </c>
      <c r="E395" s="1830" t="s">
        <v>3196</v>
      </c>
      <c r="F395" s="1830" t="s">
        <v>3196</v>
      </c>
      <c r="G395" s="1831" t="s">
        <v>3196</v>
      </c>
    </row>
    <row r="396" spans="2:8" ht="25">
      <c r="B396" s="1832" t="s">
        <v>6346</v>
      </c>
      <c r="C396" s="1840" t="s">
        <v>224</v>
      </c>
      <c r="D396" s="1842" t="b">
        <f>AND('75_01'!$W:$W)</f>
        <v>1</v>
      </c>
      <c r="E396" s="1830" t="s">
        <v>3196</v>
      </c>
      <c r="F396" s="1830" t="s">
        <v>3196</v>
      </c>
      <c r="G396" s="1831" t="s">
        <v>3196</v>
      </c>
    </row>
    <row r="397" spans="2:8" ht="25">
      <c r="B397" s="1832" t="s">
        <v>6852</v>
      </c>
      <c r="C397" s="1840" t="s">
        <v>224</v>
      </c>
      <c r="D397" s="1842" t="b">
        <f>AND('75_01'!$X:$X)</f>
        <v>1</v>
      </c>
      <c r="E397" s="1830" t="s">
        <v>3196</v>
      </c>
      <c r="F397" s="1830" t="s">
        <v>3196</v>
      </c>
      <c r="G397" s="1831" t="s">
        <v>3196</v>
      </c>
    </row>
    <row r="398" spans="2:8" ht="25">
      <c r="B398" s="1832" t="s">
        <v>6347</v>
      </c>
      <c r="C398" s="1840" t="s">
        <v>1799</v>
      </c>
      <c r="D398" s="1842" t="b">
        <f>AND('75_01_Неденеж'!$M:$M)</f>
        <v>1</v>
      </c>
      <c r="E398" s="1830" t="s">
        <v>3196</v>
      </c>
      <c r="F398" s="1830" t="s">
        <v>3196</v>
      </c>
      <c r="G398" s="1831" t="s">
        <v>3196</v>
      </c>
    </row>
    <row r="399" spans="2:8" ht="25">
      <c r="B399" s="1832" t="s">
        <v>6853</v>
      </c>
      <c r="C399" s="1840">
        <v>86</v>
      </c>
      <c r="D399" s="1842" t="b">
        <f>AND('86'!$AJ:$AJ)</f>
        <v>1</v>
      </c>
      <c r="E399" s="1830" t="s">
        <v>3196</v>
      </c>
      <c r="F399" s="1830" t="s">
        <v>3196</v>
      </c>
      <c r="G399" s="1831" t="s">
        <v>3196</v>
      </c>
    </row>
    <row r="400" spans="2:8" ht="25">
      <c r="B400" s="1832" t="s">
        <v>6348</v>
      </c>
      <c r="C400" s="1840">
        <v>86</v>
      </c>
      <c r="D400" s="1842" t="b">
        <f>AND('86'!$AI:$AI)</f>
        <v>1</v>
      </c>
      <c r="E400" s="1830" t="s">
        <v>3196</v>
      </c>
      <c r="F400" s="1830" t="s">
        <v>3196</v>
      </c>
      <c r="G400" s="1831" t="s">
        <v>3196</v>
      </c>
    </row>
    <row r="401" spans="2:8">
      <c r="B401" s="1832" t="s">
        <v>7432</v>
      </c>
      <c r="C401" s="1840" t="s">
        <v>5266</v>
      </c>
      <c r="D401" s="1842" t="b">
        <f>AND('90_контр'!$P:$Q,'90_контр'!$T:$T)</f>
        <v>1</v>
      </c>
      <c r="E401" s="1830" t="s">
        <v>3196</v>
      </c>
      <c r="F401" s="1830" t="s">
        <v>3196</v>
      </c>
      <c r="G401" s="1831" t="s">
        <v>3196</v>
      </c>
    </row>
    <row r="402" spans="2:8" s="3003" customFormat="1">
      <c r="B402" s="1832" t="s">
        <v>6168</v>
      </c>
      <c r="C402" s="1840" t="s">
        <v>5266</v>
      </c>
      <c r="D402" s="1842" t="b">
        <f>AND('90_контр'!$R:$R)</f>
        <v>1</v>
      </c>
      <c r="E402" s="1830" t="s">
        <v>3196</v>
      </c>
      <c r="F402" s="1830" t="s">
        <v>3196</v>
      </c>
      <c r="G402" s="1831" t="s">
        <v>3196</v>
      </c>
      <c r="H402" s="3004"/>
    </row>
    <row r="403" spans="2:8" ht="50">
      <c r="B403" s="3007" t="s">
        <v>9608</v>
      </c>
      <c r="C403" s="3008" t="s">
        <v>3525</v>
      </c>
      <c r="D403" s="3009" t="b">
        <f>'91_01'!Q35</f>
        <v>1</v>
      </c>
      <c r="E403" s="3005" t="s">
        <v>3196</v>
      </c>
      <c r="F403" s="3005" t="s">
        <v>3196</v>
      </c>
      <c r="G403" s="3006" t="s">
        <v>3196</v>
      </c>
    </row>
    <row r="404" spans="2:8">
      <c r="B404" s="1832" t="s">
        <v>7433</v>
      </c>
      <c r="C404" s="1840" t="s">
        <v>3525</v>
      </c>
      <c r="D404" s="1842" t="b">
        <f>AND('91_01'!L35,'91_01'!M35)</f>
        <v>1</v>
      </c>
      <c r="E404" s="1830" t="s">
        <v>3196</v>
      </c>
      <c r="F404" s="1830" t="s">
        <v>3196</v>
      </c>
      <c r="G404" s="1831" t="s">
        <v>3196</v>
      </c>
    </row>
    <row r="405" spans="2:8">
      <c r="B405" s="1832" t="s">
        <v>6355</v>
      </c>
      <c r="C405" s="1840" t="s">
        <v>5269</v>
      </c>
      <c r="D405" s="1842" t="b">
        <f>AND(ОСС!I8,ОСС!J8,ОСС!K8)</f>
        <v>1</v>
      </c>
      <c r="E405" s="1830" t="s">
        <v>3196</v>
      </c>
      <c r="F405" s="1830" t="s">
        <v>3196</v>
      </c>
      <c r="G405" s="1831" t="s">
        <v>3196</v>
      </c>
    </row>
    <row r="406" spans="2:8">
      <c r="B406" s="1832" t="s">
        <v>5889</v>
      </c>
      <c r="C406" s="1840" t="s">
        <v>5264</v>
      </c>
      <c r="D406" s="1842" t="b">
        <f>'96_движ'!Z10</f>
        <v>1</v>
      </c>
      <c r="E406" s="1830" t="s">
        <v>3196</v>
      </c>
      <c r="F406" s="1830" t="s">
        <v>3196</v>
      </c>
      <c r="G406" s="1831" t="s">
        <v>3196</v>
      </c>
    </row>
    <row r="407" spans="2:8" ht="25">
      <c r="B407" s="1832" t="s">
        <v>6349</v>
      </c>
      <c r="C407" s="1840" t="s">
        <v>2845</v>
      </c>
      <c r="D407" s="1842" t="b">
        <f>AND('98_01'!$AC:$AC)</f>
        <v>1</v>
      </c>
      <c r="E407" s="1830" t="s">
        <v>3196</v>
      </c>
      <c r="F407" s="1830" t="s">
        <v>3196</v>
      </c>
      <c r="G407" s="1831" t="s">
        <v>3196</v>
      </c>
    </row>
    <row r="408" spans="2:8" ht="25">
      <c r="B408" s="1832" t="s">
        <v>6854</v>
      </c>
      <c r="C408" s="1840" t="s">
        <v>2845</v>
      </c>
      <c r="D408" s="1842" t="b">
        <f>AND('98_01'!$AD:$AD)</f>
        <v>1</v>
      </c>
      <c r="E408" s="1830" t="s">
        <v>3196</v>
      </c>
      <c r="F408" s="1830" t="s">
        <v>3196</v>
      </c>
      <c r="G408" s="1831" t="s">
        <v>3196</v>
      </c>
    </row>
    <row r="409" spans="2:8" ht="25">
      <c r="B409" s="3007" t="s">
        <v>8795</v>
      </c>
      <c r="C409" s="1840" t="s">
        <v>2845</v>
      </c>
      <c r="D409" s="1842" t="b">
        <f>AND('98_01'!$AA:$AA)</f>
        <v>1</v>
      </c>
      <c r="E409" s="1830" t="s">
        <v>3196</v>
      </c>
      <c r="F409" s="1830" t="s">
        <v>3196</v>
      </c>
      <c r="G409" s="1831" t="s">
        <v>3196</v>
      </c>
    </row>
    <row r="410" spans="2:8">
      <c r="B410" s="3007" t="s">
        <v>8788</v>
      </c>
      <c r="C410" s="1840" t="s">
        <v>2845</v>
      </c>
      <c r="D410" s="1842" t="b">
        <f>AND('98_01'!$AB:$AB)</f>
        <v>1</v>
      </c>
      <c r="E410" s="1830" t="s">
        <v>3196</v>
      </c>
      <c r="F410" s="1830" t="s">
        <v>3196</v>
      </c>
      <c r="G410" s="1831" t="s">
        <v>3196</v>
      </c>
    </row>
    <row r="411" spans="2:8" ht="25">
      <c r="B411" s="3007" t="s">
        <v>6350</v>
      </c>
      <c r="C411" s="1840" t="s">
        <v>2846</v>
      </c>
      <c r="D411" s="1842" t="b">
        <f>AND('98_02'!$W:$W)</f>
        <v>1</v>
      </c>
      <c r="E411" s="1830" t="s">
        <v>3196</v>
      </c>
      <c r="F411" s="1830" t="s">
        <v>3196</v>
      </c>
      <c r="G411" s="1831" t="s">
        <v>3196</v>
      </c>
    </row>
    <row r="412" spans="2:8" ht="25">
      <c r="B412" s="3007" t="s">
        <v>6855</v>
      </c>
      <c r="C412" s="1840" t="s">
        <v>2846</v>
      </c>
      <c r="D412" s="1842" t="b">
        <f>AND('98_02'!$X:$X)</f>
        <v>1</v>
      </c>
      <c r="E412" s="1830" t="s">
        <v>3196</v>
      </c>
      <c r="F412" s="1830" t="s">
        <v>3196</v>
      </c>
      <c r="G412" s="1831" t="s">
        <v>3196</v>
      </c>
    </row>
    <row r="413" spans="2:8">
      <c r="B413" s="3007" t="s">
        <v>8789</v>
      </c>
      <c r="C413" s="1840" t="s">
        <v>2846</v>
      </c>
      <c r="D413" s="1842" t="b">
        <f>AND('98_02'!$V:$V)</f>
        <v>1</v>
      </c>
      <c r="E413" s="1830" t="s">
        <v>3196</v>
      </c>
      <c r="F413" s="1830" t="s">
        <v>3196</v>
      </c>
      <c r="G413" s="1831" t="s">
        <v>3196</v>
      </c>
    </row>
    <row r="414" spans="2:8" ht="25">
      <c r="B414" s="3007" t="s">
        <v>8794</v>
      </c>
      <c r="C414" s="1840" t="s">
        <v>2846</v>
      </c>
      <c r="D414" s="1842" t="b">
        <f>AND('98_02'!$U:$U)</f>
        <v>1</v>
      </c>
      <c r="E414" s="1830" t="s">
        <v>3196</v>
      </c>
      <c r="F414" s="1830" t="s">
        <v>3196</v>
      </c>
      <c r="G414" s="1831" t="s">
        <v>3196</v>
      </c>
    </row>
    <row r="415" spans="2:8">
      <c r="B415" s="3007" t="s">
        <v>8876</v>
      </c>
      <c r="C415" s="1840" t="s">
        <v>5264</v>
      </c>
      <c r="D415" s="1842" t="b">
        <f>'96_движ'!AG10</f>
        <v>1</v>
      </c>
      <c r="E415" s="1830" t="s">
        <v>3196</v>
      </c>
      <c r="F415" s="1830" t="s">
        <v>3196</v>
      </c>
      <c r="G415" s="1831" t="s">
        <v>3196</v>
      </c>
    </row>
    <row r="416" spans="2:8">
      <c r="B416" s="3007" t="s">
        <v>6190</v>
      </c>
      <c r="C416" s="1840" t="s">
        <v>5264</v>
      </c>
      <c r="D416" s="1842" t="b">
        <f>'96_движ'!$AA$10</f>
        <v>0</v>
      </c>
      <c r="E416" s="1830" t="s">
        <v>3196</v>
      </c>
      <c r="F416" s="1830" t="s">
        <v>3196</v>
      </c>
      <c r="G416" s="1831" t="s">
        <v>3196</v>
      </c>
    </row>
    <row r="417" spans="2:8" ht="25">
      <c r="B417" s="3007" t="s">
        <v>7507</v>
      </c>
      <c r="C417" s="1840" t="s">
        <v>5264</v>
      </c>
      <c r="D417" s="1842" t="b">
        <f>AND('96_движ'!AC11:AE20)</f>
        <v>1</v>
      </c>
      <c r="E417" s="1830" t="s">
        <v>3196</v>
      </c>
      <c r="F417" s="1830" t="s">
        <v>3196</v>
      </c>
      <c r="G417" s="1831" t="s">
        <v>3196</v>
      </c>
    </row>
    <row r="418" spans="2:8" s="3003" customFormat="1" ht="46.4" customHeight="1">
      <c r="B418" s="3007" t="s">
        <v>14910</v>
      </c>
      <c r="C418" s="1840" t="s">
        <v>5264</v>
      </c>
      <c r="D418" s="1842" t="b">
        <f>'96_движ'!X10</f>
        <v>1</v>
      </c>
      <c r="E418" s="1830" t="s">
        <v>3196</v>
      </c>
      <c r="F418" s="1830" t="s">
        <v>3196</v>
      </c>
      <c r="G418" s="1831" t="s">
        <v>3196</v>
      </c>
      <c r="H418" s="3004"/>
    </row>
    <row r="419" spans="2:8" s="3003" customFormat="1" ht="25">
      <c r="B419" s="3007" t="s">
        <v>10234</v>
      </c>
      <c r="C419" s="3008" t="s">
        <v>5264</v>
      </c>
      <c r="D419" s="3009" t="b">
        <f>'96_движ'!AH10</f>
        <v>1</v>
      </c>
      <c r="E419" s="3005" t="s">
        <v>3196</v>
      </c>
      <c r="F419" s="3005" t="s">
        <v>3196</v>
      </c>
      <c r="G419" s="3006" t="s">
        <v>3196</v>
      </c>
      <c r="H419" s="3004"/>
    </row>
    <row r="420" spans="2:8" ht="62.5">
      <c r="B420" s="3007" t="s">
        <v>9984</v>
      </c>
      <c r="C420" s="3008" t="s">
        <v>5264</v>
      </c>
      <c r="D420" s="3009" t="b">
        <f>'96_движ'!AI10</f>
        <v>1</v>
      </c>
      <c r="E420" s="3005" t="s">
        <v>3196</v>
      </c>
      <c r="F420" s="3005" t="s">
        <v>3196</v>
      </c>
      <c r="G420" s="3006" t="s">
        <v>3196</v>
      </c>
    </row>
    <row r="421" spans="2:8" ht="37.5">
      <c r="B421" s="3007" t="s">
        <v>14583</v>
      </c>
      <c r="C421" s="3008" t="s">
        <v>5264</v>
      </c>
      <c r="D421" s="3009" t="b">
        <f>'96_движ'!AJ10</f>
        <v>1</v>
      </c>
      <c r="E421" s="3005" t="s">
        <v>3196</v>
      </c>
      <c r="F421" s="3005" t="s">
        <v>3196</v>
      </c>
      <c r="G421" s="3006" t="s">
        <v>3196</v>
      </c>
    </row>
    <row r="422" spans="2:8" s="3003" customFormat="1" ht="25">
      <c r="B422" s="3007" t="s">
        <v>7510</v>
      </c>
      <c r="C422" s="1840" t="s">
        <v>424</v>
      </c>
      <c r="D422" s="1842" t="b">
        <f>Долгосроч_договоры!BG9</f>
        <v>1</v>
      </c>
      <c r="E422" s="1830" t="s">
        <v>3196</v>
      </c>
      <c r="F422" s="1830" t="s">
        <v>3196</v>
      </c>
      <c r="G422" s="1831" t="s">
        <v>3196</v>
      </c>
      <c r="H422" s="3004"/>
    </row>
    <row r="423" spans="2:8" ht="37.5">
      <c r="B423" s="3007" t="s">
        <v>8178</v>
      </c>
      <c r="C423" s="1840" t="s">
        <v>424</v>
      </c>
      <c r="D423" s="1842" t="b">
        <f>Долгосроч_договоры!BL9</f>
        <v>1</v>
      </c>
      <c r="E423" s="1830" t="s">
        <v>3196</v>
      </c>
      <c r="F423" s="1830" t="s">
        <v>3196</v>
      </c>
      <c r="G423" s="1831" t="s">
        <v>3196</v>
      </c>
    </row>
    <row r="424" spans="2:8" ht="50">
      <c r="B424" s="3007" t="s">
        <v>9610</v>
      </c>
      <c r="C424" s="3008" t="s">
        <v>424</v>
      </c>
      <c r="D424" s="3009" t="b">
        <f ca="1">Долгосроч_договоры!BF9</f>
        <v>1</v>
      </c>
      <c r="E424" s="3005" t="s">
        <v>3196</v>
      </c>
      <c r="F424" s="3005" t="s">
        <v>3196</v>
      </c>
      <c r="G424" s="3006" t="s">
        <v>3196</v>
      </c>
    </row>
    <row r="425" spans="2:8" ht="25">
      <c r="B425" s="3007" t="s">
        <v>6856</v>
      </c>
      <c r="C425" s="1840" t="s">
        <v>2848</v>
      </c>
      <c r="D425" s="1842" t="b">
        <f>AND('98_04'!$T:$T)</f>
        <v>1</v>
      </c>
      <c r="E425" s="1830" t="s">
        <v>3196</v>
      </c>
      <c r="F425" s="1830" t="s">
        <v>3196</v>
      </c>
      <c r="G425" s="1831" t="s">
        <v>3196</v>
      </c>
    </row>
    <row r="426" spans="2:8" ht="25">
      <c r="B426" s="3007" t="s">
        <v>6351</v>
      </c>
      <c r="C426" s="1840" t="s">
        <v>2848</v>
      </c>
      <c r="D426" s="1842" t="b">
        <f>AND('98_04'!$S:$S)</f>
        <v>1</v>
      </c>
      <c r="E426" s="1830" t="s">
        <v>3196</v>
      </c>
      <c r="F426" s="1830" t="s">
        <v>3196</v>
      </c>
      <c r="G426" s="1831" t="s">
        <v>3196</v>
      </c>
    </row>
    <row r="427" spans="2:8" s="3003" customFormat="1">
      <c r="B427" s="3007" t="s">
        <v>8609</v>
      </c>
      <c r="C427" s="1840" t="s">
        <v>2848</v>
      </c>
      <c r="D427" s="1842" t="b">
        <f>AND('98_04'!$R:$R)</f>
        <v>1</v>
      </c>
      <c r="E427" s="1830" t="s">
        <v>3196</v>
      </c>
      <c r="F427" s="1830" t="s">
        <v>3196</v>
      </c>
      <c r="G427" s="1831" t="s">
        <v>3196</v>
      </c>
      <c r="H427" s="3004"/>
    </row>
    <row r="428" spans="2:8">
      <c r="B428" s="1832" t="s">
        <v>6909</v>
      </c>
      <c r="C428" s="1840" t="s">
        <v>5266</v>
      </c>
      <c r="D428" s="1842" t="b">
        <f>'90_контр'!Z15</f>
        <v>1</v>
      </c>
      <c r="E428" s="1830" t="s">
        <v>3196</v>
      </c>
      <c r="F428" s="1830" t="s">
        <v>3196</v>
      </c>
      <c r="G428" s="1831" t="s">
        <v>3196</v>
      </c>
    </row>
    <row r="429" spans="2:8">
      <c r="B429" s="3007" t="s">
        <v>9875</v>
      </c>
      <c r="C429" s="3008" t="s">
        <v>9876</v>
      </c>
      <c r="D429" s="3009"/>
      <c r="E429" s="3005" t="s">
        <v>3196</v>
      </c>
      <c r="F429" s="3005" t="s">
        <v>3196</v>
      </c>
      <c r="G429" s="3006">
        <f>ABS('60_01'!K9+'62_01'!L9+'76'!N8+'76_01_%'!U10)</f>
        <v>0</v>
      </c>
    </row>
    <row r="430" spans="2:8">
      <c r="B430" s="1871" t="s">
        <v>709</v>
      </c>
      <c r="C430" s="1854"/>
      <c r="D430" s="1854" t="b">
        <f ca="1">AND(D431:D440)</f>
        <v>1</v>
      </c>
      <c r="E430" s="2174"/>
      <c r="F430" s="1854"/>
      <c r="G430" s="1855"/>
    </row>
    <row r="431" spans="2:8">
      <c r="B431" s="1832" t="s">
        <v>6354</v>
      </c>
      <c r="C431" s="1891" t="s">
        <v>712</v>
      </c>
      <c r="D431" s="1834" t="b">
        <f>AND(Затраты_Вход_1!L16,Затраты_Вход_1!M16,Затраты_Вход_1!N16)</f>
        <v>1</v>
      </c>
      <c r="E431" s="1830" t="s">
        <v>3196</v>
      </c>
      <c r="F431" s="1830" t="s">
        <v>3196</v>
      </c>
      <c r="G431" s="1831" t="s">
        <v>3196</v>
      </c>
    </row>
    <row r="432" spans="2:8">
      <c r="B432" s="1872" t="s">
        <v>710</v>
      </c>
      <c r="C432" s="1891" t="s">
        <v>712</v>
      </c>
      <c r="D432" s="1834" t="b">
        <f ca="1">AND(IF(Затраты_Вход_1!M11&gt;10000,FALSE,TRUE),AND(Затраты_Вход_1!N11:Q11))</f>
        <v>1</v>
      </c>
      <c r="E432" s="1830" t="s">
        <v>3196</v>
      </c>
      <c r="F432" s="1830" t="s">
        <v>3196</v>
      </c>
      <c r="G432" s="1831" t="s">
        <v>3196</v>
      </c>
    </row>
    <row r="433" spans="2:8" ht="25">
      <c r="B433" s="1872" t="s">
        <v>711</v>
      </c>
      <c r="C433" s="1891" t="s">
        <v>712</v>
      </c>
      <c r="D433" s="1834" t="b">
        <f ca="1">AND(IF(Затраты_Вход_1!M12&gt;10000,FALSE,TRUE),AND(Затраты_Вход_1!N12:Q12))</f>
        <v>1</v>
      </c>
      <c r="E433" s="1830" t="s">
        <v>3196</v>
      </c>
      <c r="F433" s="1830" t="s">
        <v>3196</v>
      </c>
      <c r="G433" s="1831" t="s">
        <v>3196</v>
      </c>
    </row>
    <row r="434" spans="2:8">
      <c r="B434" s="1873" t="s">
        <v>6334</v>
      </c>
      <c r="C434" s="1891" t="s">
        <v>712</v>
      </c>
      <c r="D434" s="1834" t="b">
        <f ca="1">AND(IF(Затраты_Вход_1!M14&gt;10000,FALSE,TRUE),AND(Затраты_Вход_1!N14:Q14))</f>
        <v>1</v>
      </c>
      <c r="E434" s="1830" t="s">
        <v>3196</v>
      </c>
      <c r="F434" s="1830" t="s">
        <v>3196</v>
      </c>
      <c r="G434" s="1831" t="s">
        <v>3196</v>
      </c>
    </row>
    <row r="435" spans="2:8" s="3003" customFormat="1" ht="25">
      <c r="B435" s="1872" t="s">
        <v>5946</v>
      </c>
      <c r="C435" s="1891" t="s">
        <v>712</v>
      </c>
      <c r="D435" s="1834" t="b">
        <f ca="1">Затраты_Вход_1!P10</f>
        <v>1</v>
      </c>
      <c r="E435" s="1830" t="s">
        <v>3196</v>
      </c>
      <c r="F435" s="1830" t="s">
        <v>3196</v>
      </c>
      <c r="G435" s="1831" t="s">
        <v>3196</v>
      </c>
      <c r="H435" s="3004"/>
    </row>
    <row r="436" spans="2:8">
      <c r="B436" s="1872" t="s">
        <v>8481</v>
      </c>
      <c r="C436" s="1891" t="s">
        <v>712</v>
      </c>
      <c r="D436" s="1834" t="b">
        <f>Затраты_Вход_1!M8</f>
        <v>1</v>
      </c>
      <c r="E436" s="1830" t="s">
        <v>3196</v>
      </c>
      <c r="F436" s="1830" t="s">
        <v>3196</v>
      </c>
      <c r="G436" s="1831" t="s">
        <v>3196</v>
      </c>
    </row>
    <row r="437" spans="2:8" ht="25">
      <c r="B437" s="1872" t="s">
        <v>9795</v>
      </c>
      <c r="C437" s="1891" t="s">
        <v>712</v>
      </c>
      <c r="D437" s="1834" t="b">
        <f>IF(C2&lt;&gt;0,IF(VLOOKUP(C2,Список_компаний!A:L,12,0)="Да",Затраты_Вход_1!E16&gt;100,TRUE),TRUE)</f>
        <v>1</v>
      </c>
      <c r="E437" s="3005" t="s">
        <v>3196</v>
      </c>
      <c r="F437" s="3005" t="s">
        <v>3196</v>
      </c>
      <c r="G437" s="3006" t="s">
        <v>3196</v>
      </c>
    </row>
    <row r="438" spans="2:8" ht="25">
      <c r="B438" s="1872" t="s">
        <v>6352</v>
      </c>
      <c r="C438" s="1891" t="s">
        <v>713</v>
      </c>
      <c r="D438" s="1834" t="b">
        <f ca="1">IF('96_движ'!X6&gt;10000,FALSE,TRUE)</f>
        <v>1</v>
      </c>
      <c r="E438" s="1830" t="s">
        <v>3196</v>
      </c>
      <c r="F438" s="1830" t="s">
        <v>3196</v>
      </c>
      <c r="G438" s="1831" t="s">
        <v>3196</v>
      </c>
    </row>
    <row r="439" spans="2:8" ht="25">
      <c r="B439" s="1872" t="s">
        <v>6353</v>
      </c>
      <c r="C439" s="1891" t="s">
        <v>713</v>
      </c>
      <c r="D439" s="1834" t="b">
        <f ca="1">IF('96_движ'!X7&gt;10000,FALSE,TRUE)</f>
        <v>1</v>
      </c>
      <c r="E439" s="1830" t="s">
        <v>3196</v>
      </c>
      <c r="F439" s="1830" t="s">
        <v>3196</v>
      </c>
      <c r="G439" s="1831" t="s">
        <v>3196</v>
      </c>
    </row>
    <row r="440" spans="2:8">
      <c r="B440" s="1873" t="s">
        <v>6335</v>
      </c>
      <c r="C440" s="1891" t="s">
        <v>713</v>
      </c>
      <c r="D440" s="1834" t="b">
        <f ca="1">IF('96_движ'!X9&gt;10000,FALSE,TRUE)</f>
        <v>1</v>
      </c>
      <c r="E440" s="1830" t="s">
        <v>3196</v>
      </c>
      <c r="F440" s="1830" t="s">
        <v>3196</v>
      </c>
      <c r="G440" s="1831" t="s">
        <v>3196</v>
      </c>
    </row>
    <row r="441" spans="2:8" ht="25">
      <c r="B441" s="1832" t="s">
        <v>8442</v>
      </c>
      <c r="C441" s="1891" t="s">
        <v>713</v>
      </c>
      <c r="D441" s="1834" t="b">
        <f>'96_движ'!AF10</f>
        <v>1</v>
      </c>
      <c r="E441" s="1830" t="s">
        <v>3196</v>
      </c>
      <c r="F441" s="1830" t="s">
        <v>3196</v>
      </c>
      <c r="G441" s="1831" t="s">
        <v>3196</v>
      </c>
    </row>
    <row r="442" spans="2:8" s="3003" customFormat="1" ht="62.5">
      <c r="B442" s="3494" t="s">
        <v>14872</v>
      </c>
      <c r="C442" s="1891" t="s">
        <v>713</v>
      </c>
      <c r="D442" s="2291" t="b">
        <f>'96_движ'!AL10</f>
        <v>1</v>
      </c>
      <c r="E442" s="3005" t="s">
        <v>3196</v>
      </c>
      <c r="F442" s="3005" t="s">
        <v>3196</v>
      </c>
      <c r="G442" s="3006" t="s">
        <v>3196</v>
      </c>
      <c r="H442" s="3004"/>
    </row>
    <row r="443" spans="2:8" s="3003" customFormat="1" ht="50">
      <c r="B443" s="3007" t="s">
        <v>14639</v>
      </c>
      <c r="C443" s="1891" t="s">
        <v>713</v>
      </c>
      <c r="D443" s="2291" t="b">
        <f>'96_движ'!AM10</f>
        <v>1</v>
      </c>
      <c r="E443" s="3005" t="s">
        <v>3196</v>
      </c>
      <c r="F443" s="3005" t="s">
        <v>3196</v>
      </c>
      <c r="G443" s="3006" t="s">
        <v>3196</v>
      </c>
      <c r="H443" s="3004"/>
    </row>
    <row r="444" spans="2:8" ht="37.5">
      <c r="B444" s="1832" t="s">
        <v>6160</v>
      </c>
      <c r="C444" s="1891" t="s">
        <v>6159</v>
      </c>
      <c r="D444" s="2291" t="b">
        <f>'91_01'!P35</f>
        <v>1</v>
      </c>
      <c r="E444" s="1830" t="s">
        <v>3196</v>
      </c>
      <c r="F444" s="1830" t="s">
        <v>3196</v>
      </c>
      <c r="G444" s="1831" t="s">
        <v>3196</v>
      </c>
    </row>
    <row r="445" spans="2:8" ht="25">
      <c r="B445" s="1832" t="s">
        <v>7591</v>
      </c>
      <c r="C445" s="1891" t="s">
        <v>7590</v>
      </c>
      <c r="D445" s="2291" t="b">
        <f>AND('91_01'!$N$35,'91_01_ВГО'!$X$32,'91_02'!$L$45,'91_02_ВГО'!$L$42,Прочие_расш!$V$30)</f>
        <v>1</v>
      </c>
      <c r="E445" s="1830" t="s">
        <v>3196</v>
      </c>
      <c r="F445" s="1830" t="s">
        <v>3196</v>
      </c>
      <c r="G445" s="1831" t="s">
        <v>3196</v>
      </c>
    </row>
    <row r="446" spans="2:8">
      <c r="B446" s="1832" t="s">
        <v>7737</v>
      </c>
      <c r="C446" s="1891" t="s">
        <v>3525</v>
      </c>
      <c r="D446" s="2291" t="b">
        <f>'91_01'!O35</f>
        <v>1</v>
      </c>
      <c r="E446" s="1830" t="s">
        <v>3196</v>
      </c>
      <c r="F446" s="1830" t="s">
        <v>3196</v>
      </c>
      <c r="G446" s="1831" t="s">
        <v>3196</v>
      </c>
    </row>
    <row r="447" spans="2:8">
      <c r="B447" s="3007" t="s">
        <v>8637</v>
      </c>
      <c r="C447" s="1891" t="s">
        <v>5919</v>
      </c>
      <c r="D447" s="2291" t="b">
        <f>Прочие_расш!Y33</f>
        <v>1</v>
      </c>
      <c r="E447" s="3005" t="s">
        <v>3196</v>
      </c>
      <c r="F447" s="3005" t="s">
        <v>3196</v>
      </c>
      <c r="G447" s="3006" t="s">
        <v>3196</v>
      </c>
    </row>
    <row r="448" spans="2:8" ht="150.5">
      <c r="B448" s="1832" t="s">
        <v>8620</v>
      </c>
      <c r="C448" s="1891" t="s">
        <v>1436</v>
      </c>
      <c r="D448" s="2291" t="b">
        <f>IF(Содержание!D5="",FALSE,IF(Содержание!D6="",FALSE,IF(Содержание!D7="",FALSE,IF(Содержание!D8="",FALSE,IF(Содержание!D9="",FALSE,IF(Содержание!D10="",FALSE,IF(Содержание!D11="",FALSE,TRUE)))))))</f>
        <v>0</v>
      </c>
      <c r="E448" s="1830" t="s">
        <v>3196</v>
      </c>
      <c r="F448" s="1830" t="s">
        <v>3196</v>
      </c>
      <c r="G448" s="1831" t="s">
        <v>3196</v>
      </c>
    </row>
    <row r="449" spans="2:8" ht="37.5">
      <c r="B449" s="2785" t="s">
        <v>8347</v>
      </c>
      <c r="C449" s="2789" t="s">
        <v>8348</v>
      </c>
      <c r="D449" s="2291" t="b">
        <f>'80'!AC5</f>
        <v>1</v>
      </c>
      <c r="E449" s="1830" t="s">
        <v>3196</v>
      </c>
      <c r="F449" s="1830" t="s">
        <v>3196</v>
      </c>
      <c r="G449" s="1831" t="s">
        <v>3196</v>
      </c>
    </row>
    <row r="450" spans="2:8">
      <c r="B450" s="2785" t="s">
        <v>8343</v>
      </c>
      <c r="C450" s="2785" t="s">
        <v>5034</v>
      </c>
      <c r="D450" s="2291" t="b">
        <f>AND(Налоговые_льготы_прочие!K7:L7)</f>
        <v>0</v>
      </c>
      <c r="E450" s="1830" t="s">
        <v>3196</v>
      </c>
      <c r="F450" s="1830" t="s">
        <v>3196</v>
      </c>
      <c r="G450" s="1831" t="s">
        <v>3196</v>
      </c>
    </row>
    <row r="451" spans="2:8" s="3003" customFormat="1" ht="25">
      <c r="B451" s="2785" t="s">
        <v>10102</v>
      </c>
      <c r="C451" s="2785" t="s">
        <v>5036</v>
      </c>
      <c r="D451" s="2291" t="b">
        <f>Налоговые_льготы_имущество!T8</f>
        <v>1</v>
      </c>
      <c r="E451" s="3005" t="s">
        <v>3196</v>
      </c>
      <c r="F451" s="3005" t="s">
        <v>3196</v>
      </c>
      <c r="G451" s="3006" t="s">
        <v>3196</v>
      </c>
      <c r="H451" s="3004"/>
    </row>
    <row r="452" spans="2:8" ht="37.5">
      <c r="B452" s="2785" t="s">
        <v>8629</v>
      </c>
      <c r="C452" s="2785" t="s">
        <v>8630</v>
      </c>
      <c r="D452" s="2291" t="b">
        <f>AND(Долгосроч_договоры!D4,Фин_договоры!F2,ОКХ!F2)</f>
        <v>1</v>
      </c>
      <c r="E452" s="1830" t="s">
        <v>3196</v>
      </c>
      <c r="F452" s="1830" t="s">
        <v>3196</v>
      </c>
      <c r="G452" s="1831" t="s">
        <v>3196</v>
      </c>
    </row>
    <row r="453" spans="2:8" ht="25">
      <c r="B453" s="2785" t="s">
        <v>8516</v>
      </c>
      <c r="C453" s="2785" t="s">
        <v>8494</v>
      </c>
      <c r="D453" s="2291" t="b">
        <f>AND('76_01_%'!AR6:AU6,'76_01_%'!AI9)</f>
        <v>1</v>
      </c>
      <c r="E453" s="1830" t="s">
        <v>3196</v>
      </c>
      <c r="F453" s="1830" t="s">
        <v>3196</v>
      </c>
      <c r="G453" s="1831" t="s">
        <v>3196</v>
      </c>
    </row>
    <row r="454" spans="2:8" s="3003" customFormat="1" ht="25">
      <c r="B454" s="3491" t="s">
        <v>9626</v>
      </c>
      <c r="C454" s="3492" t="s">
        <v>14572</v>
      </c>
      <c r="D454" s="3481" t="b">
        <f>AND('01'!Y8,'03'!X7,'04'!U10,'07'!T9,'08'!AA8,'02'!V6,'05'!P6,'01'!AI6,'03'!AF7,'02'!AS6)</f>
        <v>1</v>
      </c>
      <c r="E454" s="1830" t="s">
        <v>3196</v>
      </c>
      <c r="F454" s="1830" t="s">
        <v>3196</v>
      </c>
      <c r="G454" s="1831" t="s">
        <v>3196</v>
      </c>
      <c r="H454" s="3004"/>
    </row>
    <row r="455" spans="2:8" s="3003" customFormat="1">
      <c r="B455" s="2785" t="s">
        <v>8372</v>
      </c>
      <c r="C455" s="2815" t="s">
        <v>14574</v>
      </c>
      <c r="D455" s="3481" t="b">
        <f>AND('01'!T4,'02'!R4,'03'!S5,'04'!M5,'05'!L4,'08'!V4,'01'!AN6,'03'!AK7)</f>
        <v>1</v>
      </c>
      <c r="E455" s="1830" t="s">
        <v>3196</v>
      </c>
      <c r="F455" s="1830" t="s">
        <v>3196</v>
      </c>
      <c r="G455" s="1831" t="s">
        <v>3196</v>
      </c>
      <c r="H455" s="3004"/>
    </row>
    <row r="456" spans="2:8" s="3003" customFormat="1">
      <c r="B456" s="2785" t="s">
        <v>14711</v>
      </c>
      <c r="C456" s="3140" t="s">
        <v>4419</v>
      </c>
      <c r="D456" s="3481" t="b">
        <f ca="1">'01'!AA8</f>
        <v>1</v>
      </c>
      <c r="E456" s="3037"/>
      <c r="F456" s="3037"/>
      <c r="G456" s="3006"/>
      <c r="H456" s="3004"/>
    </row>
    <row r="457" spans="2:8" s="3003" customFormat="1">
      <c r="B457" s="2785" t="s">
        <v>14712</v>
      </c>
      <c r="C457" s="3140" t="s">
        <v>14713</v>
      </c>
      <c r="D457" s="3481" t="b">
        <f ca="1">'02'!W6</f>
        <v>1</v>
      </c>
      <c r="E457" s="3037"/>
      <c r="F457" s="3037"/>
      <c r="G457" s="3006"/>
      <c r="H457" s="3004"/>
    </row>
    <row r="458" spans="2:8" s="3003" customFormat="1">
      <c r="B458" s="2785" t="s">
        <v>14707</v>
      </c>
      <c r="C458" s="3140" t="s">
        <v>4417</v>
      </c>
      <c r="D458" s="3481" t="b">
        <f ca="1">'03'!Y7</f>
        <v>1</v>
      </c>
      <c r="E458" s="3037"/>
      <c r="F458" s="3037"/>
      <c r="G458" s="3006"/>
      <c r="H458" s="3004"/>
    </row>
    <row r="459" spans="2:8" s="3003" customFormat="1">
      <c r="B459" s="3491" t="s">
        <v>14990</v>
      </c>
      <c r="C459" s="3571" t="s">
        <v>14989</v>
      </c>
      <c r="D459" s="3481" t="b">
        <f>AND('02'!AX6,'05'!AI7)</f>
        <v>1</v>
      </c>
      <c r="E459" s="3566" t="s">
        <v>3196</v>
      </c>
      <c r="F459" s="3566" t="s">
        <v>3196</v>
      </c>
      <c r="G459" s="3572" t="s">
        <v>3196</v>
      </c>
      <c r="H459" s="3004"/>
    </row>
    <row r="460" spans="2:8" s="3003" customFormat="1" ht="25">
      <c r="B460" s="2785" t="s">
        <v>9627</v>
      </c>
      <c r="C460" s="2815" t="s">
        <v>9628</v>
      </c>
      <c r="D460" s="2291" t="b">
        <f>E460=F460</f>
        <v>1</v>
      </c>
      <c r="E460" s="3037">
        <f>Свод_по_счетам!F39</f>
        <v>0</v>
      </c>
      <c r="F460" s="3037">
        <f>ДП_выданные!O9</f>
        <v>0</v>
      </c>
      <c r="G460" s="3006" t="s">
        <v>3196</v>
      </c>
      <c r="H460" s="3004"/>
    </row>
    <row r="461" spans="2:8" s="3003" customFormat="1" ht="25">
      <c r="B461" s="2785" t="s">
        <v>9629</v>
      </c>
      <c r="C461" s="2815" t="s">
        <v>9630</v>
      </c>
      <c r="D461" s="2291" t="b">
        <f>E461=F461</f>
        <v>1</v>
      </c>
      <c r="E461" s="3037">
        <f>Свод_по_счетам!N39</f>
        <v>0</v>
      </c>
      <c r="F461" s="3037">
        <f>ДП_выданные!P9</f>
        <v>0</v>
      </c>
      <c r="G461" s="3006" t="s">
        <v>3196</v>
      </c>
      <c r="H461" s="3004"/>
    </row>
    <row r="462" spans="2:8" s="3003" customFormat="1" ht="25">
      <c r="B462" s="2785" t="s">
        <v>10265</v>
      </c>
      <c r="C462" s="3140" t="s">
        <v>10263</v>
      </c>
      <c r="D462" s="2291" t="b">
        <f>AND(ДП_полученные!Y9,ДП_выданные!W9)=TRUE</f>
        <v>1</v>
      </c>
      <c r="E462" s="3005" t="s">
        <v>3196</v>
      </c>
      <c r="F462" s="3005" t="s">
        <v>3196</v>
      </c>
      <c r="G462" s="3006"/>
      <c r="H462" s="3004"/>
    </row>
    <row r="463" spans="2:8" s="3003" customFormat="1" ht="25">
      <c r="B463" s="2785" t="s">
        <v>10141</v>
      </c>
      <c r="C463" s="3140" t="s">
        <v>5040</v>
      </c>
      <c r="D463" s="2291" t="b">
        <f>ДП_выданные!V9</f>
        <v>1</v>
      </c>
      <c r="E463" s="3005" t="s">
        <v>3196</v>
      </c>
      <c r="F463" s="3005" t="s">
        <v>3196</v>
      </c>
      <c r="G463" s="3006" t="s">
        <v>3196</v>
      </c>
      <c r="H463" s="3004"/>
    </row>
    <row r="464" spans="2:8" s="3003" customFormat="1" ht="25">
      <c r="B464" s="2785" t="s">
        <v>10142</v>
      </c>
      <c r="C464" s="3140" t="s">
        <v>5042</v>
      </c>
      <c r="D464" s="2291" t="b">
        <f>ДП_полученные!X9</f>
        <v>1</v>
      </c>
      <c r="E464" s="3005" t="s">
        <v>3196</v>
      </c>
      <c r="F464" s="3005" t="s">
        <v>3196</v>
      </c>
      <c r="G464" s="3006" t="s">
        <v>3196</v>
      </c>
      <c r="H464" s="3004"/>
    </row>
    <row r="465" spans="2:8" s="3003" customFormat="1" ht="25">
      <c r="B465" s="2785" t="s">
        <v>9631</v>
      </c>
      <c r="C465" s="2815" t="s">
        <v>9632</v>
      </c>
      <c r="D465" s="3037" t="b">
        <f>IF(Свод_по_счетам!F39="",Свод_по_счетам!S39&lt;&gt;"",OR(Свод_по_счетам!S39="",Свод_по_счетам!S39&lt;&gt;""))</f>
        <v>0</v>
      </c>
      <c r="E465" s="3005" t="s">
        <v>3196</v>
      </c>
      <c r="F465" s="3005" t="s">
        <v>3196</v>
      </c>
      <c r="G465" s="3006" t="s">
        <v>3196</v>
      </c>
      <c r="H465" s="3004"/>
    </row>
    <row r="466" spans="2:8" s="3003" customFormat="1" ht="25">
      <c r="B466" s="2785" t="s">
        <v>9633</v>
      </c>
      <c r="C466" s="2815" t="s">
        <v>9634</v>
      </c>
      <c r="D466" s="3037" t="b">
        <f>IF(Свод_по_счетам!N39="",Свод_по_счетам!S39&lt;&gt;"",OR(Свод_по_счетам!S39="",Свод_по_счетам!S39&lt;&gt;""))</f>
        <v>0</v>
      </c>
      <c r="E466" s="3005" t="s">
        <v>3196</v>
      </c>
      <c r="F466" s="3005" t="s">
        <v>3196</v>
      </c>
      <c r="G466" s="3006" t="s">
        <v>3196</v>
      </c>
      <c r="H466" s="3004"/>
    </row>
    <row r="467" spans="2:8" s="3003" customFormat="1" ht="100">
      <c r="B467" s="2785" t="s">
        <v>9639</v>
      </c>
      <c r="C467" s="2815" t="s">
        <v>9699</v>
      </c>
      <c r="D467" s="3037" t="b">
        <f>AND(Долгосроч_договоры!CB9,Фин_договоры!AL6,ОКХ!V5,'86'!AL11)</f>
        <v>1</v>
      </c>
      <c r="E467" s="3005" t="s">
        <v>3196</v>
      </c>
      <c r="F467" s="3005" t="s">
        <v>3196</v>
      </c>
      <c r="G467" s="3006" t="s">
        <v>3196</v>
      </c>
      <c r="H467" s="3004"/>
    </row>
    <row r="468" spans="2:8" s="3003" customFormat="1" ht="25">
      <c r="B468" s="2785" t="s">
        <v>9866</v>
      </c>
      <c r="C468" s="3140" t="s">
        <v>222</v>
      </c>
      <c r="D468" s="3037" t="b">
        <f>Фин_договоры!AP6</f>
        <v>1</v>
      </c>
      <c r="E468" s="3005" t="s">
        <v>3196</v>
      </c>
      <c r="F468" s="3005" t="s">
        <v>3196</v>
      </c>
      <c r="G468" s="3006" t="s">
        <v>3196</v>
      </c>
      <c r="H468" s="3004"/>
    </row>
    <row r="469" spans="2:8" s="3003" customFormat="1" ht="25">
      <c r="B469" s="2785" t="s">
        <v>9997</v>
      </c>
      <c r="C469" s="3140" t="s">
        <v>9995</v>
      </c>
      <c r="D469" s="3037" t="b">
        <f>AND('58_03_1'!AK12:AK1500)</f>
        <v>1</v>
      </c>
      <c r="E469" s="3005" t="s">
        <v>3196</v>
      </c>
      <c r="F469" s="3005" t="s">
        <v>3196</v>
      </c>
      <c r="G469" s="3006" t="s">
        <v>3196</v>
      </c>
      <c r="H469" s="3004"/>
    </row>
    <row r="470" spans="2:8" s="3003" customFormat="1" ht="25">
      <c r="B470" s="2785" t="s">
        <v>9998</v>
      </c>
      <c r="C470" s="3140" t="s">
        <v>9996</v>
      </c>
      <c r="D470" s="3037" t="b">
        <f>AND('58_03_2'!AK12:AK1600)</f>
        <v>1</v>
      </c>
      <c r="E470" s="3005" t="s">
        <v>3196</v>
      </c>
      <c r="F470" s="3005" t="s">
        <v>3196</v>
      </c>
      <c r="G470" s="3006" t="s">
        <v>3196</v>
      </c>
      <c r="H470" s="3004"/>
    </row>
    <row r="471" spans="2:8" s="3003" customFormat="1" ht="37.5">
      <c r="B471" s="2785" t="s">
        <v>9999</v>
      </c>
      <c r="C471" s="3140" t="s">
        <v>3525</v>
      </c>
      <c r="D471" s="3037" t="b">
        <f>'91_01'!K35</f>
        <v>1</v>
      </c>
      <c r="E471" s="3005" t="s">
        <v>3196</v>
      </c>
      <c r="F471" s="3005" t="s">
        <v>3196</v>
      </c>
      <c r="G471" s="3006" t="s">
        <v>3196</v>
      </c>
      <c r="H471" s="3004"/>
    </row>
    <row r="472" spans="2:8" s="3003" customFormat="1">
      <c r="B472" s="2785" t="s">
        <v>15083</v>
      </c>
      <c r="C472" s="3140" t="s">
        <v>3526</v>
      </c>
      <c r="D472" s="3037" t="b">
        <f>AND('91_02'!M46:M2500)</f>
        <v>1</v>
      </c>
      <c r="E472" s="3005" t="s">
        <v>3196</v>
      </c>
      <c r="F472" s="3005" t="s">
        <v>3196</v>
      </c>
      <c r="G472" s="3006" t="s">
        <v>3196</v>
      </c>
      <c r="H472" s="3004"/>
    </row>
    <row r="473" spans="2:8" s="3003" customFormat="1">
      <c r="B473" s="2785" t="s">
        <v>15084</v>
      </c>
      <c r="C473" s="3140" t="s">
        <v>5437</v>
      </c>
      <c r="D473" s="3037" t="b">
        <f>AND('91_02_ВГО'!M43:M2500)</f>
        <v>1</v>
      </c>
      <c r="E473" s="3005" t="s">
        <v>3196</v>
      </c>
      <c r="F473" s="3005" t="s">
        <v>3196</v>
      </c>
      <c r="G473" s="3006" t="s">
        <v>3196</v>
      </c>
      <c r="H473" s="3004"/>
    </row>
    <row r="474" spans="2:8" s="3003" customFormat="1">
      <c r="B474" s="2785" t="s">
        <v>10207</v>
      </c>
      <c r="C474" s="3140">
        <v>76</v>
      </c>
      <c r="D474" s="3037" t="b">
        <f>AND('76'!AR3:AS4)</f>
        <v>1</v>
      </c>
      <c r="E474" s="3005" t="s">
        <v>3196</v>
      </c>
      <c r="F474" s="3005" t="s">
        <v>3196</v>
      </c>
      <c r="G474" s="3006" t="s">
        <v>3196</v>
      </c>
      <c r="H474" s="3004"/>
    </row>
    <row r="475" spans="2:8" s="3003" customFormat="1" ht="25">
      <c r="B475" s="2785" t="s">
        <v>9934</v>
      </c>
      <c r="C475" s="3008" t="s">
        <v>8379</v>
      </c>
      <c r="D475" s="3037" t="b">
        <f>'60,62,63,76_контр'!BV6</f>
        <v>1</v>
      </c>
      <c r="E475" s="3005" t="s">
        <v>3196</v>
      </c>
      <c r="F475" s="3005" t="s">
        <v>3196</v>
      </c>
      <c r="G475" s="3006" t="s">
        <v>3196</v>
      </c>
      <c r="H475" s="3004"/>
    </row>
    <row r="476" spans="2:8" s="3003" customFormat="1" ht="25">
      <c r="B476" s="2785" t="s">
        <v>14296</v>
      </c>
      <c r="C476" s="3140" t="s">
        <v>10300</v>
      </c>
      <c r="D476" s="3037" t="b">
        <f>Зарубежная_выручка!W10</f>
        <v>1</v>
      </c>
      <c r="E476" s="3005" t="s">
        <v>3196</v>
      </c>
      <c r="F476" s="3005" t="s">
        <v>3196</v>
      </c>
      <c r="G476" s="3006" t="s">
        <v>3196</v>
      </c>
      <c r="H476" s="3004"/>
    </row>
    <row r="477" spans="2:8" s="3003" customFormat="1" ht="25">
      <c r="B477" s="2785" t="s">
        <v>14296</v>
      </c>
      <c r="C477" s="3140" t="s">
        <v>222</v>
      </c>
      <c r="D477" s="3037" t="b">
        <f>Фин_договоры!BK6</f>
        <v>1</v>
      </c>
      <c r="E477" s="3005" t="s">
        <v>3196</v>
      </c>
      <c r="F477" s="3005" t="s">
        <v>3196</v>
      </c>
      <c r="G477" s="3006" t="s">
        <v>3196</v>
      </c>
      <c r="H477" s="3004"/>
    </row>
    <row r="478" spans="2:8" s="3003" customFormat="1" ht="25">
      <c r="B478" s="2785" t="s">
        <v>14296</v>
      </c>
      <c r="C478" s="3140" t="s">
        <v>5268</v>
      </c>
      <c r="D478" s="3037" t="b">
        <f>ОКХ!Y5</f>
        <v>1</v>
      </c>
      <c r="E478" s="3005" t="s">
        <v>3196</v>
      </c>
      <c r="F478" s="3005" t="s">
        <v>3196</v>
      </c>
      <c r="G478" s="3006" t="s">
        <v>3196</v>
      </c>
      <c r="H478" s="3004"/>
    </row>
    <row r="479" spans="2:8" s="3003" customFormat="1" ht="25">
      <c r="B479" s="2785" t="s">
        <v>14296</v>
      </c>
      <c r="C479" s="3140" t="s">
        <v>8379</v>
      </c>
      <c r="D479" s="3037" t="b">
        <f>'60,62,63,76_контр'!CG6</f>
        <v>1</v>
      </c>
      <c r="E479" s="3005" t="s">
        <v>3196</v>
      </c>
      <c r="F479" s="3005" t="s">
        <v>3196</v>
      </c>
      <c r="G479" s="3006" t="s">
        <v>3196</v>
      </c>
      <c r="H479" s="3004"/>
    </row>
    <row r="480" spans="2:8" s="3003" customFormat="1" ht="25">
      <c r="B480" s="2785" t="s">
        <v>14296</v>
      </c>
      <c r="C480" s="3140">
        <v>86</v>
      </c>
      <c r="D480" s="3037" t="b">
        <f>'86'!AN11</f>
        <v>1</v>
      </c>
      <c r="E480" s="3005" t="s">
        <v>3196</v>
      </c>
      <c r="F480" s="3005" t="s">
        <v>3196</v>
      </c>
      <c r="G480" s="3006" t="s">
        <v>3196</v>
      </c>
      <c r="H480" s="3004"/>
    </row>
    <row r="481" spans="2:8" s="3003" customFormat="1" ht="25">
      <c r="B481" s="2785" t="s">
        <v>14296</v>
      </c>
      <c r="C481" s="3140" t="s">
        <v>424</v>
      </c>
      <c r="D481" s="3037" t="b">
        <f>Долгосроч_договоры!DA9</f>
        <v>1</v>
      </c>
      <c r="E481" s="3005" t="s">
        <v>3196</v>
      </c>
      <c r="F481" s="3005" t="s">
        <v>3196</v>
      </c>
      <c r="G481" s="3006" t="s">
        <v>3196</v>
      </c>
      <c r="H481" s="3004"/>
    </row>
    <row r="482" spans="2:8" s="3003" customFormat="1">
      <c r="B482" s="2785" t="s">
        <v>15232</v>
      </c>
      <c r="C482" s="3140" t="s">
        <v>2836</v>
      </c>
      <c r="D482" s="3037" t="b">
        <f>'60_01'!U8</f>
        <v>1</v>
      </c>
      <c r="E482" s="3005" t="s">
        <v>3196</v>
      </c>
      <c r="F482" s="3005" t="s">
        <v>3196</v>
      </c>
      <c r="G482" s="3006" t="s">
        <v>3196</v>
      </c>
      <c r="H482" s="3004"/>
    </row>
    <row r="483" spans="2:8" s="3003" customFormat="1">
      <c r="B483" s="2785" t="s">
        <v>15232</v>
      </c>
      <c r="C483" s="3140" t="s">
        <v>2837</v>
      </c>
      <c r="D483" s="3037" t="b">
        <f>'60_02'!P13</f>
        <v>1</v>
      </c>
      <c r="E483" s="3005" t="s">
        <v>3196</v>
      </c>
      <c r="F483" s="3005" t="s">
        <v>3196</v>
      </c>
      <c r="G483" s="3006" t="s">
        <v>3196</v>
      </c>
      <c r="H483" s="3004"/>
    </row>
    <row r="484" spans="2:8" s="3003" customFormat="1">
      <c r="B484" s="2785" t="s">
        <v>15232</v>
      </c>
      <c r="C484" s="3140" t="s">
        <v>2838</v>
      </c>
      <c r="D484" s="3037" t="b">
        <f>'62_01'!T9</f>
        <v>1</v>
      </c>
      <c r="E484" s="3005" t="s">
        <v>3196</v>
      </c>
      <c r="F484" s="3005" t="s">
        <v>3196</v>
      </c>
      <c r="G484" s="3006" t="s">
        <v>3196</v>
      </c>
      <c r="H484" s="3004"/>
    </row>
    <row r="485" spans="2:8" s="3003" customFormat="1">
      <c r="B485" s="2785" t="s">
        <v>15232</v>
      </c>
      <c r="C485" s="3140" t="s">
        <v>2839</v>
      </c>
      <c r="D485" s="3037" t="b">
        <f>'62_02'!O9</f>
        <v>1</v>
      </c>
      <c r="E485" s="3005" t="s">
        <v>3196</v>
      </c>
      <c r="F485" s="3005" t="s">
        <v>3196</v>
      </c>
      <c r="G485" s="3006" t="s">
        <v>3196</v>
      </c>
      <c r="H485" s="3004"/>
    </row>
    <row r="486" spans="2:8" s="3003" customFormat="1" ht="240.5">
      <c r="B486" s="2785" t="s">
        <v>9933</v>
      </c>
      <c r="C486" s="3140" t="s">
        <v>222</v>
      </c>
      <c r="D486" s="3037" t="b">
        <f ca="1">AND(Фин_договоры!AQ6:AR6)</f>
        <v>1</v>
      </c>
      <c r="E486" s="3005" t="s">
        <v>3196</v>
      </c>
      <c r="F486" s="3005" t="s">
        <v>3196</v>
      </c>
      <c r="G486" s="3006" t="s">
        <v>3196</v>
      </c>
      <c r="H486" s="3004"/>
    </row>
    <row r="487" spans="2:8" s="3003" customFormat="1" ht="48.75" customHeight="1">
      <c r="B487" s="2785" t="s">
        <v>14678</v>
      </c>
      <c r="C487" s="3140" t="s">
        <v>222</v>
      </c>
      <c r="D487" s="3037" t="b">
        <f>Фин_договоры!BL6</f>
        <v>1</v>
      </c>
      <c r="E487" s="3005" t="s">
        <v>3196</v>
      </c>
      <c r="F487" s="3005" t="s">
        <v>3196</v>
      </c>
      <c r="G487" s="3006" t="s">
        <v>3196</v>
      </c>
      <c r="H487" s="3004"/>
    </row>
    <row r="488" spans="2:8" s="3003" customFormat="1" ht="48.75" customHeight="1">
      <c r="B488" s="1851" t="s">
        <v>9666</v>
      </c>
      <c r="C488" s="1854"/>
      <c r="D488" s="1854" t="b">
        <f ca="1">AND(D489:D490)</f>
        <v>1</v>
      </c>
      <c r="E488" s="2174"/>
      <c r="F488" s="1854"/>
      <c r="G488" s="1855"/>
      <c r="H488" s="3004"/>
    </row>
    <row r="489" spans="2:8" s="3003" customFormat="1" ht="48.75" customHeight="1">
      <c r="B489" s="1827" t="s">
        <v>9661</v>
      </c>
      <c r="C489" s="3009" t="s">
        <v>9665</v>
      </c>
      <c r="D489" s="1833" t="b">
        <f ca="1">'50_51_52_55_57_движ'!L7</f>
        <v>1</v>
      </c>
      <c r="E489" s="3005" t="s">
        <v>4184</v>
      </c>
      <c r="F489" s="3005" t="s">
        <v>4184</v>
      </c>
      <c r="G489" s="3006" t="s">
        <v>4184</v>
      </c>
      <c r="H489" s="3004"/>
    </row>
    <row r="490" spans="2:8" s="3003" customFormat="1" ht="48.75" customHeight="1">
      <c r="B490" s="1827" t="s">
        <v>9669</v>
      </c>
      <c r="C490" s="3009" t="s">
        <v>9668</v>
      </c>
      <c r="D490" s="1833" t="b">
        <f>'60,62,63,76_контр'!$BG$6</f>
        <v>1</v>
      </c>
      <c r="E490" s="3005" t="s">
        <v>4184</v>
      </c>
      <c r="F490" s="3005" t="s">
        <v>4184</v>
      </c>
      <c r="G490" s="3006" t="s">
        <v>4184</v>
      </c>
      <c r="H490" s="3004"/>
    </row>
    <row r="491" spans="2:8" s="3003" customFormat="1" ht="48.75" customHeight="1">
      <c r="B491" s="1851" t="s">
        <v>9685</v>
      </c>
      <c r="C491" s="1854"/>
      <c r="D491" s="1854" t="b">
        <f>AND(D492)</f>
        <v>1</v>
      </c>
      <c r="E491" s="2174"/>
      <c r="F491" s="1854"/>
      <c r="G491" s="1855"/>
      <c r="H491" s="3004"/>
    </row>
    <row r="492" spans="2:8" s="3003" customFormat="1" ht="48.75" customHeight="1">
      <c r="B492" s="1827" t="s">
        <v>9689</v>
      </c>
      <c r="C492" s="3009" t="s">
        <v>9686</v>
      </c>
      <c r="D492" s="1833" t="b">
        <f>'59_01'!R9</f>
        <v>1</v>
      </c>
      <c r="E492" s="3005" t="s">
        <v>4184</v>
      </c>
      <c r="F492" s="3005" t="s">
        <v>4184</v>
      </c>
      <c r="G492" s="3006" t="s">
        <v>4184</v>
      </c>
      <c r="H492" s="3004"/>
    </row>
    <row r="493" spans="2:8" s="3003" customFormat="1" ht="25">
      <c r="B493" s="1827" t="s">
        <v>9689</v>
      </c>
      <c r="C493" s="3009" t="s">
        <v>9687</v>
      </c>
      <c r="D493" s="1833" t="b">
        <f>'59_02'!Y9</f>
        <v>1</v>
      </c>
      <c r="E493" s="3037"/>
      <c r="F493" s="3037"/>
      <c r="G493" s="3108"/>
      <c r="H493" s="3004"/>
    </row>
    <row r="494" spans="2:8" ht="25">
      <c r="B494" s="1827" t="s">
        <v>9689</v>
      </c>
      <c r="C494" s="3009" t="s">
        <v>9688</v>
      </c>
      <c r="D494" s="1833" t="b">
        <f>'59_03'!T9</f>
        <v>1</v>
      </c>
      <c r="E494" s="3037"/>
      <c r="F494" s="3037"/>
      <c r="G494" s="3108"/>
    </row>
    <row r="495" spans="2:8" s="3003" customFormat="1" ht="25">
      <c r="B495" s="1827" t="s">
        <v>9689</v>
      </c>
      <c r="C495" s="3009" t="s">
        <v>9668</v>
      </c>
      <c r="D495" s="1833" t="b">
        <f>'60,62,63,76_контр'!BU6</f>
        <v>1</v>
      </c>
      <c r="E495" s="3037"/>
      <c r="F495" s="3037"/>
      <c r="G495" s="3108"/>
      <c r="H495" s="3004"/>
    </row>
    <row r="496" spans="2:8" s="3003" customFormat="1" ht="15" thickBot="1">
      <c r="B496" s="1992" t="s">
        <v>10011</v>
      </c>
      <c r="C496" s="1993" t="s">
        <v>10012</v>
      </c>
      <c r="D496" s="1994" t="b">
        <f>Проверка_ГИД!E16</f>
        <v>0</v>
      </c>
      <c r="E496" s="1994" t="s">
        <v>3196</v>
      </c>
      <c r="F496" s="1994" t="s">
        <v>3196</v>
      </c>
      <c r="G496" s="1995" t="s">
        <v>3196</v>
      </c>
      <c r="H496" s="3004"/>
    </row>
    <row r="497" spans="2:8" s="3003" customFormat="1" ht="15" thickBot="1">
      <c r="B497" s="1992" t="s">
        <v>4936</v>
      </c>
      <c r="C497" s="1993" t="s">
        <v>4936</v>
      </c>
      <c r="D497" s="1994" t="b">
        <f ca="1">AND(D498:D524)</f>
        <v>1</v>
      </c>
      <c r="E497" s="1994" t="s">
        <v>3196</v>
      </c>
      <c r="F497" s="1994" t="s">
        <v>3196</v>
      </c>
      <c r="G497" s="1995" t="s">
        <v>3196</v>
      </c>
      <c r="H497" s="3004"/>
    </row>
    <row r="498" spans="2:8" s="3003" customFormat="1" ht="25">
      <c r="B498" s="3418" t="s">
        <v>4936</v>
      </c>
      <c r="C498" s="3419" t="s">
        <v>14249</v>
      </c>
      <c r="D498" s="3420" t="b">
        <f ca="1">Долгосроч_договоры!CW9</f>
        <v>1</v>
      </c>
      <c r="E498" s="3420" t="s">
        <v>3196</v>
      </c>
      <c r="F498" s="3421" t="s">
        <v>3196</v>
      </c>
      <c r="G498" s="3422" t="s">
        <v>3196</v>
      </c>
      <c r="H498" s="3004"/>
    </row>
    <row r="499" spans="2:8" s="3003" customFormat="1" ht="25">
      <c r="B499" s="3416" t="s">
        <v>4936</v>
      </c>
      <c r="C499" s="3140" t="s">
        <v>14250</v>
      </c>
      <c r="D499" s="3037" t="b">
        <f ca="1">Долгосроч_договоры!CX9</f>
        <v>1</v>
      </c>
      <c r="E499" s="3037" t="s">
        <v>3196</v>
      </c>
      <c r="F499" s="3005" t="s">
        <v>3196</v>
      </c>
      <c r="G499" s="3006" t="s">
        <v>3196</v>
      </c>
      <c r="H499" s="3004"/>
    </row>
    <row r="500" spans="2:8" s="3003" customFormat="1" ht="25">
      <c r="B500" s="3416" t="s">
        <v>4936</v>
      </c>
      <c r="C500" s="3140" t="s">
        <v>14251</v>
      </c>
      <c r="D500" s="3037" t="b">
        <f ca="1">Долгосроч_договоры!CY9</f>
        <v>1</v>
      </c>
      <c r="E500" s="3037" t="s">
        <v>3196</v>
      </c>
      <c r="F500" s="3005" t="s">
        <v>3196</v>
      </c>
      <c r="G500" s="3006" t="s">
        <v>3196</v>
      </c>
      <c r="H500" s="3004"/>
    </row>
    <row r="501" spans="2:8" s="3003" customFormat="1">
      <c r="B501" s="3416" t="s">
        <v>4936</v>
      </c>
      <c r="C501" s="3140" t="s">
        <v>14241</v>
      </c>
      <c r="D501" s="3037" t="b">
        <f ca="1">Фин_договоры!BC6</f>
        <v>1</v>
      </c>
      <c r="E501" s="3037" t="s">
        <v>3196</v>
      </c>
      <c r="F501" s="3005" t="s">
        <v>3196</v>
      </c>
      <c r="G501" s="3006" t="s">
        <v>3196</v>
      </c>
      <c r="H501" s="3004"/>
    </row>
    <row r="502" spans="2:8" s="3003" customFormat="1">
      <c r="B502" s="3416" t="s">
        <v>4936</v>
      </c>
      <c r="C502" s="3140" t="s">
        <v>14242</v>
      </c>
      <c r="D502" s="3037" t="b">
        <f ca="1">Фин_договоры!BD6</f>
        <v>1</v>
      </c>
      <c r="E502" s="3037" t="s">
        <v>3196</v>
      </c>
      <c r="F502" s="3005" t="s">
        <v>3196</v>
      </c>
      <c r="G502" s="3006" t="s">
        <v>3196</v>
      </c>
      <c r="H502" s="3004"/>
    </row>
    <row r="503" spans="2:8" s="3003" customFormat="1">
      <c r="B503" s="3416" t="s">
        <v>4936</v>
      </c>
      <c r="C503" s="3140" t="s">
        <v>14243</v>
      </c>
      <c r="D503" s="3037" t="b">
        <f ca="1">Фин_договоры!BE6</f>
        <v>1</v>
      </c>
      <c r="E503" s="3037" t="s">
        <v>3196</v>
      </c>
      <c r="F503" s="3005" t="s">
        <v>3196</v>
      </c>
      <c r="G503" s="3006" t="s">
        <v>3196</v>
      </c>
      <c r="H503" s="3004"/>
    </row>
    <row r="504" spans="2:8" s="3003" customFormat="1">
      <c r="B504" s="3416" t="s">
        <v>4936</v>
      </c>
      <c r="C504" s="3140" t="s">
        <v>14244</v>
      </c>
      <c r="D504" s="3037" t="b">
        <f ca="1">Фин_договоры!BF6</f>
        <v>1</v>
      </c>
      <c r="E504" s="3037" t="s">
        <v>3196</v>
      </c>
      <c r="F504" s="3005" t="s">
        <v>3196</v>
      </c>
      <c r="G504" s="3006" t="s">
        <v>3196</v>
      </c>
      <c r="H504" s="3004"/>
    </row>
    <row r="505" spans="2:8" s="3003" customFormat="1">
      <c r="B505" s="3416" t="s">
        <v>4936</v>
      </c>
      <c r="C505" s="3140" t="s">
        <v>14245</v>
      </c>
      <c r="D505" s="3037" t="b">
        <f ca="1">Фин_договоры!BG6</f>
        <v>1</v>
      </c>
      <c r="E505" s="3037" t="s">
        <v>3196</v>
      </c>
      <c r="F505" s="3005" t="s">
        <v>3196</v>
      </c>
      <c r="G505" s="3006" t="s">
        <v>3196</v>
      </c>
      <c r="H505" s="3004"/>
    </row>
    <row r="506" spans="2:8" s="3003" customFormat="1">
      <c r="B506" s="3416" t="s">
        <v>4936</v>
      </c>
      <c r="C506" s="3140" t="s">
        <v>14246</v>
      </c>
      <c r="D506" s="3037" t="b">
        <f ca="1">Фин_договоры!BH6</f>
        <v>1</v>
      </c>
      <c r="E506" s="3037" t="s">
        <v>3196</v>
      </c>
      <c r="F506" s="3005" t="s">
        <v>3196</v>
      </c>
      <c r="G506" s="3006" t="s">
        <v>3196</v>
      </c>
      <c r="H506" s="3004"/>
    </row>
    <row r="507" spans="2:8" s="3003" customFormat="1">
      <c r="B507" s="3416" t="s">
        <v>4936</v>
      </c>
      <c r="C507" s="3140" t="s">
        <v>14247</v>
      </c>
      <c r="D507" s="3037" t="b">
        <f ca="1">Фин_договоры!BI6</f>
        <v>1</v>
      </c>
      <c r="E507" s="3037" t="s">
        <v>3196</v>
      </c>
      <c r="F507" s="3005" t="s">
        <v>3196</v>
      </c>
      <c r="G507" s="3006" t="s">
        <v>3196</v>
      </c>
      <c r="H507" s="3004"/>
    </row>
    <row r="508" spans="2:8" s="3003" customFormat="1">
      <c r="B508" s="3416" t="s">
        <v>4936</v>
      </c>
      <c r="C508" s="3140" t="s">
        <v>14248</v>
      </c>
      <c r="D508" s="3037" t="b">
        <f ca="1">Фин_договоры!BJ6</f>
        <v>1</v>
      </c>
      <c r="E508" s="3037" t="s">
        <v>3196</v>
      </c>
      <c r="F508" s="3005" t="s">
        <v>3196</v>
      </c>
      <c r="G508" s="3006" t="s">
        <v>3196</v>
      </c>
      <c r="H508" s="3004"/>
    </row>
    <row r="509" spans="2:8" s="3003" customFormat="1">
      <c r="B509" s="3416" t="s">
        <v>4936</v>
      </c>
      <c r="C509" s="3140" t="s">
        <v>14263</v>
      </c>
      <c r="D509" s="3037" t="b">
        <f ca="1">'58_02_движ'!AE12</f>
        <v>1</v>
      </c>
      <c r="E509" s="3037" t="s">
        <v>3196</v>
      </c>
      <c r="F509" s="3005" t="s">
        <v>3196</v>
      </c>
      <c r="G509" s="3006" t="s">
        <v>3196</v>
      </c>
      <c r="H509" s="3004"/>
    </row>
    <row r="510" spans="2:8" s="3003" customFormat="1">
      <c r="B510" s="3416" t="s">
        <v>4936</v>
      </c>
      <c r="C510" s="3140" t="s">
        <v>14267</v>
      </c>
      <c r="D510" s="3037" t="b">
        <f ca="1">'58_04'!AH9</f>
        <v>1</v>
      </c>
      <c r="E510" s="3037" t="s">
        <v>3196</v>
      </c>
      <c r="F510" s="3005" t="s">
        <v>3196</v>
      </c>
      <c r="G510" s="3006" t="s">
        <v>3196</v>
      </c>
      <c r="H510" s="3004"/>
    </row>
    <row r="511" spans="2:8" s="3003" customFormat="1">
      <c r="B511" s="3416" t="s">
        <v>4936</v>
      </c>
      <c r="C511" s="3140" t="s">
        <v>14268</v>
      </c>
      <c r="D511" s="3037" t="b">
        <f ca="1">ДП_полученные!Z9</f>
        <v>1</v>
      </c>
      <c r="E511" s="3037" t="s">
        <v>3196</v>
      </c>
      <c r="F511" s="3005" t="s">
        <v>3196</v>
      </c>
      <c r="G511" s="3006" t="s">
        <v>3196</v>
      </c>
      <c r="H511" s="3004"/>
    </row>
    <row r="512" spans="2:8" s="3003" customFormat="1">
      <c r="B512" s="3416" t="s">
        <v>4936</v>
      </c>
      <c r="C512" s="3140" t="s">
        <v>14269</v>
      </c>
      <c r="D512" s="3037" t="b">
        <f ca="1">ДП_полученные!AA9</f>
        <v>1</v>
      </c>
      <c r="E512" s="3037" t="s">
        <v>3196</v>
      </c>
      <c r="F512" s="3005" t="s">
        <v>3196</v>
      </c>
      <c r="G512" s="3006" t="s">
        <v>3196</v>
      </c>
      <c r="H512" s="3004"/>
    </row>
    <row r="513" spans="2:9" s="3003" customFormat="1">
      <c r="B513" s="3416" t="s">
        <v>4936</v>
      </c>
      <c r="C513" s="3140" t="s">
        <v>14270</v>
      </c>
      <c r="D513" s="3037" t="b">
        <f ca="1">ДП_полученные!AB9</f>
        <v>1</v>
      </c>
      <c r="E513" s="3037" t="s">
        <v>3196</v>
      </c>
      <c r="F513" s="3005" t="s">
        <v>3196</v>
      </c>
      <c r="G513" s="3006" t="s">
        <v>3196</v>
      </c>
      <c r="H513" s="3004"/>
    </row>
    <row r="514" spans="2:9" s="3003" customFormat="1">
      <c r="B514" s="3416" t="s">
        <v>4936</v>
      </c>
      <c r="C514" s="3140" t="s">
        <v>14271</v>
      </c>
      <c r="D514" s="3037" t="b">
        <f ca="1">ДП_выданные!X9</f>
        <v>1</v>
      </c>
      <c r="E514" s="3037" t="s">
        <v>3196</v>
      </c>
      <c r="F514" s="3005" t="s">
        <v>3196</v>
      </c>
      <c r="G514" s="3006" t="s">
        <v>3196</v>
      </c>
      <c r="H514" s="3004"/>
    </row>
    <row r="515" spans="2:9" s="3003" customFormat="1">
      <c r="B515" s="3416" t="s">
        <v>4936</v>
      </c>
      <c r="C515" s="3140" t="s">
        <v>14272</v>
      </c>
      <c r="D515" s="3037" t="b">
        <f ca="1">ДП_выданные!Y9</f>
        <v>1</v>
      </c>
      <c r="E515" s="3037" t="s">
        <v>3196</v>
      </c>
      <c r="F515" s="3005" t="s">
        <v>3196</v>
      </c>
      <c r="G515" s="3006" t="s">
        <v>3196</v>
      </c>
      <c r="H515" s="3004"/>
    </row>
    <row r="516" spans="2:9" s="3003" customFormat="1">
      <c r="B516" s="3416" t="s">
        <v>4936</v>
      </c>
      <c r="C516" s="3140" t="s">
        <v>14273</v>
      </c>
      <c r="D516" s="3037" t="b">
        <f ca="1">ДП_выданные!Z9</f>
        <v>1</v>
      </c>
      <c r="E516" s="3037" t="s">
        <v>3196</v>
      </c>
      <c r="F516" s="3005" t="s">
        <v>3196</v>
      </c>
      <c r="G516" s="3006" t="s">
        <v>3196</v>
      </c>
      <c r="H516" s="3004"/>
    </row>
    <row r="517" spans="2:9" s="3003" customFormat="1">
      <c r="B517" s="3416" t="s">
        <v>4936</v>
      </c>
      <c r="C517" s="3140" t="s">
        <v>14274</v>
      </c>
      <c r="D517" s="3037" t="b">
        <f ca="1">ОКХ!W5</f>
        <v>1</v>
      </c>
      <c r="E517" s="3037" t="s">
        <v>3196</v>
      </c>
      <c r="F517" s="3005" t="s">
        <v>3196</v>
      </c>
      <c r="G517" s="3006" t="s">
        <v>3196</v>
      </c>
      <c r="H517" s="3004"/>
    </row>
    <row r="518" spans="2:9" s="3003" customFormat="1">
      <c r="B518" s="3416" t="s">
        <v>4936</v>
      </c>
      <c r="C518" s="3140" t="s">
        <v>14275</v>
      </c>
      <c r="D518" s="3037" t="b">
        <f ca="1">ОКХ!X5</f>
        <v>1</v>
      </c>
      <c r="E518" s="3037" t="s">
        <v>3196</v>
      </c>
      <c r="F518" s="3005" t="s">
        <v>3196</v>
      </c>
      <c r="G518" s="3006" t="s">
        <v>3196</v>
      </c>
      <c r="H518" s="3004"/>
    </row>
    <row r="519" spans="2:9" s="3003" customFormat="1">
      <c r="B519" s="3416" t="s">
        <v>4936</v>
      </c>
      <c r="C519" s="3140" t="s">
        <v>14276</v>
      </c>
      <c r="D519" s="3037" t="b">
        <f>'60,62,63,76_контр'!BZ6</f>
        <v>1</v>
      </c>
      <c r="E519" s="3037" t="s">
        <v>3196</v>
      </c>
      <c r="F519" s="3005" t="s">
        <v>3196</v>
      </c>
      <c r="G519" s="3006" t="s">
        <v>3196</v>
      </c>
      <c r="H519" s="3004"/>
    </row>
    <row r="520" spans="2:9" s="3003" customFormat="1">
      <c r="B520" s="3416" t="s">
        <v>4936</v>
      </c>
      <c r="C520" s="3140" t="s">
        <v>14277</v>
      </c>
      <c r="D520" s="3037" t="b">
        <f>'60,62,63,76_контр'!CA6</f>
        <v>1</v>
      </c>
      <c r="E520" s="3037" t="s">
        <v>3196</v>
      </c>
      <c r="F520" s="3005" t="s">
        <v>3196</v>
      </c>
      <c r="G520" s="3006" t="s">
        <v>3196</v>
      </c>
      <c r="H520" s="3004"/>
    </row>
    <row r="521" spans="2:9" s="3003" customFormat="1">
      <c r="B521" s="3416" t="s">
        <v>4936</v>
      </c>
      <c r="C521" s="3140" t="s">
        <v>14278</v>
      </c>
      <c r="D521" s="3037" t="b">
        <f>'60,62,63,76_контр'!CB6</f>
        <v>1</v>
      </c>
      <c r="E521" s="3037" t="s">
        <v>3196</v>
      </c>
      <c r="F521" s="3005" t="s">
        <v>3196</v>
      </c>
      <c r="G521" s="3006" t="s">
        <v>3196</v>
      </c>
      <c r="H521" s="3004"/>
    </row>
    <row r="522" spans="2:9" s="3003" customFormat="1">
      <c r="B522" s="3416" t="s">
        <v>4936</v>
      </c>
      <c r="C522" s="3140" t="s">
        <v>14279</v>
      </c>
      <c r="D522" s="3037" t="b">
        <f ca="1">Налог_пров!AI11</f>
        <v>1</v>
      </c>
      <c r="E522" s="3037" t="s">
        <v>3196</v>
      </c>
      <c r="F522" s="3005" t="s">
        <v>3196</v>
      </c>
      <c r="G522" s="3006" t="s">
        <v>3196</v>
      </c>
      <c r="H522" s="3004"/>
    </row>
    <row r="523" spans="2:9">
      <c r="B523" s="3416" t="s">
        <v>4936</v>
      </c>
      <c r="C523" s="3140" t="s">
        <v>14280</v>
      </c>
      <c r="D523" s="3037" t="b">
        <f ca="1">'75_01_Неденеж'!K9</f>
        <v>1</v>
      </c>
      <c r="E523" s="3037" t="s">
        <v>3196</v>
      </c>
      <c r="F523" s="3005" t="s">
        <v>3196</v>
      </c>
      <c r="G523" s="3006" t="s">
        <v>3196</v>
      </c>
      <c r="I523" s="3003"/>
    </row>
    <row r="524" spans="2:9">
      <c r="B524" s="3416" t="s">
        <v>4936</v>
      </c>
      <c r="C524" s="3140" t="s">
        <v>14281</v>
      </c>
      <c r="D524" s="3037" t="b">
        <f ca="1">'86'!AM11</f>
        <v>1</v>
      </c>
      <c r="E524" s="3037" t="s">
        <v>3196</v>
      </c>
      <c r="F524" s="3005" t="s">
        <v>3196</v>
      </c>
      <c r="G524" s="3006" t="s">
        <v>3196</v>
      </c>
      <c r="I524" s="3003"/>
    </row>
    <row r="525" spans="2:9" ht="25.5" thickBot="1">
      <c r="B525" s="3417" t="s">
        <v>4936</v>
      </c>
      <c r="C525" s="3423" t="s">
        <v>14282</v>
      </c>
      <c r="D525" s="3424" t="b">
        <f ca="1">Зарубежная_выручка!V10</f>
        <v>1</v>
      </c>
      <c r="E525" s="1994" t="s">
        <v>3196</v>
      </c>
      <c r="F525" s="1994" t="s">
        <v>3196</v>
      </c>
      <c r="G525" s="1995" t="s">
        <v>3196</v>
      </c>
      <c r="I525" s="3003"/>
    </row>
    <row r="526" spans="2:9">
      <c r="B526" s="8"/>
      <c r="C526" s="8"/>
      <c r="I526" s="3003"/>
    </row>
    <row r="527" spans="2:9">
      <c r="I527" s="3003"/>
    </row>
    <row r="528" spans="2:9">
      <c r="H528" s="3004"/>
      <c r="I528" s="3003"/>
    </row>
    <row r="529" spans="2:9">
      <c r="H529" s="3004"/>
      <c r="I529" s="3003"/>
    </row>
    <row r="530" spans="2:9">
      <c r="H530" s="3004"/>
      <c r="I530" s="3003"/>
    </row>
    <row r="531" spans="2:9">
      <c r="H531" s="3004"/>
      <c r="I531" s="3003"/>
    </row>
    <row r="532" spans="2:9" ht="15.5">
      <c r="E532" s="1901"/>
      <c r="I532" s="3003"/>
    </row>
    <row r="533" spans="2:9" ht="15.5">
      <c r="E533" s="1901">
        <f>SUM(E534:E577)</f>
        <v>0</v>
      </c>
      <c r="G533" s="1901">
        <f>SUM(G534:G577)</f>
        <v>0</v>
      </c>
      <c r="H533" s="1901">
        <f>SUM(H534:H577)</f>
        <v>0</v>
      </c>
      <c r="I533" s="1901">
        <f>SUM(I534:I577)</f>
        <v>0</v>
      </c>
    </row>
    <row r="534" spans="2:9" ht="29" hidden="1" outlineLevel="1">
      <c r="B534" s="511" t="s">
        <v>7533</v>
      </c>
      <c r="C534" s="394">
        <f>SUMIF('10'!C:C,B534,'10'!D:D)</f>
        <v>0</v>
      </c>
      <c r="D534" s="327">
        <f>SUMIF('10_расш'!$C$11:$C$3000,B534,'10_расш'!$F$11:$F$3000)</f>
        <v>0</v>
      </c>
      <c r="E534" s="394">
        <f>ABS(C534-D534)</f>
        <v>0</v>
      </c>
      <c r="G534" s="394">
        <f>SUMIF('10'!C:C,B534,'10'!W:W)</f>
        <v>0</v>
      </c>
      <c r="H534" s="1119">
        <f>SUMIF('10_расш'!$C$11:$C$3000,B534,'10_расш'!$L$11:$L$3000)</f>
        <v>0</v>
      </c>
      <c r="I534" s="1119">
        <f t="shared" ref="I534:I554" si="22">ABS(G534-H534)</f>
        <v>0</v>
      </c>
    </row>
    <row r="535" spans="2:9" ht="29" hidden="1" outlineLevel="1">
      <c r="B535" s="511" t="s">
        <v>7534</v>
      </c>
      <c r="C535" s="394">
        <f>SUMIF('10'!C:C,B535,'10'!D:D)</f>
        <v>0</v>
      </c>
      <c r="D535" s="327">
        <f>SUMIF('10_расш'!$C$11:$C$3000,B535,'10_расш'!$F$11:$F$3000)</f>
        <v>0</v>
      </c>
      <c r="E535" s="394">
        <f t="shared" ref="E535:E577" si="23">ABS(C535-D535)</f>
        <v>0</v>
      </c>
      <c r="G535" s="394">
        <f>SUMIF('10'!C:C,B535,'10'!W:W)</f>
        <v>0</v>
      </c>
      <c r="H535" s="1119">
        <f>SUMIF('10_расш'!$C$11:$C$3000,B535,'10_расш'!$L$11:$L$3000)</f>
        <v>0</v>
      </c>
      <c r="I535" s="1119">
        <f t="shared" si="22"/>
        <v>0</v>
      </c>
    </row>
    <row r="536" spans="2:9" ht="29" hidden="1" outlineLevel="1">
      <c r="B536" s="511" t="s">
        <v>7535</v>
      </c>
      <c r="C536" s="394">
        <f>SUMIF('10'!C:C,B536,'10'!D:D)</f>
        <v>0</v>
      </c>
      <c r="D536" s="327">
        <f>SUMIF('10_расш'!$C$11:$C$3000,B536,'10_расш'!$F$11:$F$3000)</f>
        <v>0</v>
      </c>
      <c r="E536" s="394">
        <f t="shared" si="23"/>
        <v>0</v>
      </c>
      <c r="G536" s="394">
        <f>SUMIF('10'!C:C,B536,'10'!W:W)</f>
        <v>0</v>
      </c>
      <c r="H536" s="1119">
        <f>SUMIF('10_расш'!$C$11:$C$3000,B536,'10_расш'!$L$11:$L$3000)</f>
        <v>0</v>
      </c>
      <c r="I536" s="1119">
        <f t="shared" si="22"/>
        <v>0</v>
      </c>
    </row>
    <row r="537" spans="2:9" ht="29" hidden="1" outlineLevel="1">
      <c r="B537" s="511" t="s">
        <v>7536</v>
      </c>
      <c r="C537" s="394">
        <f>SUMIF('10'!C:C,B537,'10'!D:D)</f>
        <v>0</v>
      </c>
      <c r="D537" s="327">
        <f>SUMIF('10_расш'!$C$11:$C$3000,B537,'10_расш'!$F$11:$F$3000)</f>
        <v>0</v>
      </c>
      <c r="E537" s="394">
        <f t="shared" si="23"/>
        <v>0</v>
      </c>
      <c r="G537" s="394">
        <f>SUMIF('10'!C:C,B537,'10'!W:W)</f>
        <v>0</v>
      </c>
      <c r="H537" s="1119">
        <f>SUMIF('10_расш'!$C$11:$C$3000,B537,'10_расш'!$L$11:$L$3000)</f>
        <v>0</v>
      </c>
      <c r="I537" s="1119">
        <f t="shared" si="22"/>
        <v>0</v>
      </c>
    </row>
    <row r="538" spans="2:9" ht="43.5" hidden="1" outlineLevel="1">
      <c r="B538" s="511" t="s">
        <v>7537</v>
      </c>
      <c r="C538" s="394">
        <f>SUMIF('10'!C:C,B538,'10'!D:D)</f>
        <v>0</v>
      </c>
      <c r="D538" s="327">
        <f>SUMIF('10_расш'!$C$11:$C$3000,B538,'10_расш'!$F$11:$F$3000)</f>
        <v>0</v>
      </c>
      <c r="E538" s="394">
        <f t="shared" si="23"/>
        <v>0</v>
      </c>
      <c r="G538" s="394">
        <f>SUMIF('10'!C:C,B538,'10'!W:W)</f>
        <v>0</v>
      </c>
      <c r="H538" s="1119">
        <f>SUMIF('10_расш'!$C$11:$C$3000,B538,'10_расш'!$L$11:$L$3000)</f>
        <v>0</v>
      </c>
      <c r="I538" s="1119">
        <f t="shared" si="22"/>
        <v>0</v>
      </c>
    </row>
    <row r="539" spans="2:9" ht="58" hidden="1" outlineLevel="1">
      <c r="B539" s="511" t="s">
        <v>7538</v>
      </c>
      <c r="C539" s="394">
        <f>SUMIF('10'!C:C,B539,'10'!D:D)</f>
        <v>0</v>
      </c>
      <c r="D539" s="327">
        <f>SUMIF('10_расш'!$C$11:$C$3000,B539,'10_расш'!$F$11:$F$3000)</f>
        <v>0</v>
      </c>
      <c r="E539" s="394">
        <f t="shared" si="23"/>
        <v>0</v>
      </c>
      <c r="G539" s="394">
        <f>SUMIF('10'!C:C,B539,'10'!W:W)</f>
        <v>0</v>
      </c>
      <c r="H539" s="1119">
        <f>SUMIF('10_расш'!$C$11:$C$3000,B539,'10_расш'!$L$11:$L$3000)</f>
        <v>0</v>
      </c>
      <c r="I539" s="1119">
        <f t="shared" si="22"/>
        <v>0</v>
      </c>
    </row>
    <row r="540" spans="2:9" ht="58" hidden="1" outlineLevel="1">
      <c r="B540" s="511" t="s">
        <v>7539</v>
      </c>
      <c r="C540" s="394">
        <f>SUMIF('10'!C:C,B540,'10'!D:D)</f>
        <v>0</v>
      </c>
      <c r="D540" s="327">
        <f>SUMIF('10_расш'!$C$11:$C$3000,B540,'10_расш'!$F$11:$F$3000)</f>
        <v>0</v>
      </c>
      <c r="E540" s="394">
        <f t="shared" si="23"/>
        <v>0</v>
      </c>
      <c r="G540" s="394">
        <f>SUMIF('10'!C:C,B540,'10'!W:W)</f>
        <v>0</v>
      </c>
      <c r="H540" s="1119">
        <f>SUMIF('10_расш'!$C$11:$C$3000,B540,'10_расш'!$L$11:$L$3000)</f>
        <v>0</v>
      </c>
      <c r="I540" s="1119">
        <f t="shared" si="22"/>
        <v>0</v>
      </c>
    </row>
    <row r="541" spans="2:9" ht="29" hidden="1" outlineLevel="1">
      <c r="B541" s="511" t="s">
        <v>7544</v>
      </c>
      <c r="C541" s="394">
        <f>SUMIF('10'!C:C,B541,'10'!D:D)</f>
        <v>0</v>
      </c>
      <c r="D541" s="327">
        <f>SUMIF('10_расш'!$C$11:$C$3000,B541,'10_расш'!$F$11:$F$3000)</f>
        <v>0</v>
      </c>
      <c r="E541" s="394">
        <f t="shared" ref="E541" si="24">ABS(C541-D541)</f>
        <v>0</v>
      </c>
      <c r="G541" s="394">
        <f>SUMIF('10'!C:C,B541,'10'!W:W)</f>
        <v>0</v>
      </c>
      <c r="H541" s="1119">
        <f>SUMIF('10_расш'!$C$11:$C$3000,B541,'10_расш'!$L$11:$L$3000)</f>
        <v>0</v>
      </c>
      <c r="I541" s="1119">
        <f t="shared" si="22"/>
        <v>0</v>
      </c>
    </row>
    <row r="542" spans="2:9" ht="29" hidden="1" outlineLevel="1">
      <c r="B542" s="511" t="s">
        <v>7540</v>
      </c>
      <c r="C542" s="394">
        <f>SUMIF('10'!C:C,B542,'10'!D:D)</f>
        <v>0</v>
      </c>
      <c r="D542" s="327">
        <f>SUMIF('10_расш'!$C$11:$C$3000,B542,'10_расш'!$F$11:$F$3000)</f>
        <v>0</v>
      </c>
      <c r="E542" s="394">
        <f>ABS(C542-D542)</f>
        <v>0</v>
      </c>
      <c r="G542" s="394">
        <f>SUMIF('10'!C:C,B542,'10'!W:W)</f>
        <v>0</v>
      </c>
      <c r="H542" s="1119">
        <f>SUMIF('10_расш'!$C$11:$C$3000,B542,'10_расш'!$L$11:$L$3000)</f>
        <v>0</v>
      </c>
      <c r="I542" s="1119">
        <f t="shared" si="22"/>
        <v>0</v>
      </c>
    </row>
    <row r="543" spans="2:9" ht="29" hidden="1" outlineLevel="1">
      <c r="B543" s="511" t="s">
        <v>7541</v>
      </c>
      <c r="C543" s="394">
        <f>SUMIF('10'!C:C,B543,'10'!D:D)</f>
        <v>0</v>
      </c>
      <c r="D543" s="327">
        <f>SUMIF('10_расш'!$C$11:$C$3000,B543,'10_расш'!$F$11:$F$3000)</f>
        <v>0</v>
      </c>
      <c r="E543" s="394">
        <f t="shared" si="23"/>
        <v>0</v>
      </c>
      <c r="G543" s="394">
        <f>SUMIF('10'!C:C,B543,'10'!W:W)</f>
        <v>0</v>
      </c>
      <c r="H543" s="1119">
        <f>SUMIF('10_расш'!$C$11:$C$3000,B543,'10_расш'!$L$11:$L$3000)</f>
        <v>0</v>
      </c>
      <c r="I543" s="1119">
        <f t="shared" si="22"/>
        <v>0</v>
      </c>
    </row>
    <row r="544" spans="2:9" hidden="1" outlineLevel="1">
      <c r="B544" s="511" t="s">
        <v>7545</v>
      </c>
      <c r="C544" s="394">
        <f>SUMIF('10'!C:C,B544,'10'!D:D)</f>
        <v>0</v>
      </c>
      <c r="D544" s="327">
        <f>SUMIF('10_расш'!$C$11:$C$3000,B544,'10_расш'!$F$11:$F$3000)</f>
        <v>0</v>
      </c>
      <c r="E544" s="394">
        <f t="shared" si="23"/>
        <v>0</v>
      </c>
      <c r="G544" s="394">
        <f>SUMIF('10'!C:C,B544,'10'!W:W)</f>
        <v>0</v>
      </c>
      <c r="H544" s="1119">
        <f>SUMIF('10_расш'!$C$11:$C$3000,B544,'10_расш'!$L$11:$L$3000)</f>
        <v>0</v>
      </c>
      <c r="I544" s="1119">
        <f t="shared" si="22"/>
        <v>0</v>
      </c>
    </row>
    <row r="545" spans="2:9" ht="29" hidden="1" outlineLevel="1">
      <c r="B545" s="511" t="s">
        <v>7546</v>
      </c>
      <c r="C545" s="394">
        <f>SUMIF('10'!C:C,B545,'10'!D:D)</f>
        <v>0</v>
      </c>
      <c r="D545" s="327">
        <f>SUMIF('10_расш'!$C$11:$C$3000,B545,'10_расш'!$F$11:$F$3000)</f>
        <v>0</v>
      </c>
      <c r="E545" s="394">
        <f>ABS(C545-D545)</f>
        <v>0</v>
      </c>
      <c r="G545" s="394">
        <f>SUMIF('10'!C:C,B545,'10'!W:W)</f>
        <v>0</v>
      </c>
      <c r="H545" s="1119">
        <f>SUMIF('10_расш'!$C$11:$C$3000,B545,'10_расш'!$L$11:$L$3000)</f>
        <v>0</v>
      </c>
      <c r="I545" s="1119">
        <f t="shared" si="22"/>
        <v>0</v>
      </c>
    </row>
    <row r="546" spans="2:9" hidden="1" outlineLevel="1">
      <c r="B546" s="511" t="s">
        <v>7547</v>
      </c>
      <c r="C546" s="394">
        <f>SUMIF('10'!C:C,B546,'10'!D:D)</f>
        <v>0</v>
      </c>
      <c r="D546" s="327">
        <f>SUMIF('10_расш'!$C$11:$C$3000,B546,'10_расш'!$F$11:$F$3000)</f>
        <v>0</v>
      </c>
      <c r="E546" s="394">
        <f t="shared" si="23"/>
        <v>0</v>
      </c>
      <c r="G546" s="394">
        <f>SUMIF('10'!C:C,B546,'10'!W:W)</f>
        <v>0</v>
      </c>
      <c r="H546" s="1119">
        <f>SUMIF('10_расш'!$C$11:$C$3000,B546,'10_расш'!$L$11:$L$3000)</f>
        <v>0</v>
      </c>
      <c r="I546" s="1119">
        <f t="shared" si="22"/>
        <v>0</v>
      </c>
    </row>
    <row r="547" spans="2:9" hidden="1" outlineLevel="1">
      <c r="B547" s="511" t="s">
        <v>7548</v>
      </c>
      <c r="C547" s="394">
        <f>SUMIF('10'!C:C,B547,'10'!D:D)</f>
        <v>0</v>
      </c>
      <c r="D547" s="327">
        <f>SUMIF('10_расш'!$C$11:$C$3000,B547,'10_расш'!$F$11:$F$3000)</f>
        <v>0</v>
      </c>
      <c r="E547" s="394">
        <f t="shared" si="23"/>
        <v>0</v>
      </c>
      <c r="G547" s="394">
        <f>SUMIF('10'!C:C,B547,'10'!W:W)</f>
        <v>0</v>
      </c>
      <c r="H547" s="1119">
        <f>SUMIF('10_расш'!$C$11:$C$3000,B547,'10_расш'!$L$11:$L$3000)</f>
        <v>0</v>
      </c>
      <c r="I547" s="1119">
        <f t="shared" si="22"/>
        <v>0</v>
      </c>
    </row>
    <row r="548" spans="2:9" ht="29" hidden="1" outlineLevel="1">
      <c r="B548" s="511" t="s">
        <v>7549</v>
      </c>
      <c r="C548" s="394">
        <f>SUMIF('10'!C:C,B548,'10'!D:D)</f>
        <v>0</v>
      </c>
      <c r="D548" s="327">
        <f>SUMIF('10_расш'!$C$11:$C$3000,B548,'10_расш'!$F$11:$F$3000)</f>
        <v>0</v>
      </c>
      <c r="E548" s="394">
        <f t="shared" si="23"/>
        <v>0</v>
      </c>
      <c r="G548" s="394">
        <f>SUMIF('10'!C:C,B548,'10'!W:W)</f>
        <v>0</v>
      </c>
      <c r="H548" s="1119">
        <f>SUMIF('10_расш'!$C$11:$C$3000,B548,'10_расш'!$L$11:$L$3000)</f>
        <v>0</v>
      </c>
      <c r="I548" s="1119">
        <f t="shared" si="22"/>
        <v>0</v>
      </c>
    </row>
    <row r="549" spans="2:9" ht="29" hidden="1" outlineLevel="1">
      <c r="B549" s="511" t="s">
        <v>7550</v>
      </c>
      <c r="C549" s="394">
        <f>SUMIF('10'!C:C,B549,'10'!D:D)</f>
        <v>0</v>
      </c>
      <c r="D549" s="327">
        <f>SUMIF('10_расш'!$C$11:$C$3000,B549,'10_расш'!$F$11:$F$3000)</f>
        <v>0</v>
      </c>
      <c r="E549" s="394">
        <f t="shared" si="23"/>
        <v>0</v>
      </c>
      <c r="G549" s="394">
        <f>SUMIF('10'!C:C,B549,'10'!W:W)</f>
        <v>0</v>
      </c>
      <c r="H549" s="1119">
        <f>SUMIF('10_расш'!$C$11:$C$3000,B549,'10_расш'!$L$11:$L$3000)</f>
        <v>0</v>
      </c>
      <c r="I549" s="1119">
        <f t="shared" si="22"/>
        <v>0</v>
      </c>
    </row>
    <row r="550" spans="2:9" ht="29" hidden="1" outlineLevel="1">
      <c r="B550" s="511" t="s">
        <v>7551</v>
      </c>
      <c r="C550" s="394">
        <f>SUMIF('10'!C:C,B550,'10'!D:D)</f>
        <v>0</v>
      </c>
      <c r="D550" s="327">
        <f>SUMIF('10_расш'!$C$11:$C$3000,B550,'10_расш'!$F$11:$F$3000)</f>
        <v>0</v>
      </c>
      <c r="E550" s="394">
        <f t="shared" si="23"/>
        <v>0</v>
      </c>
      <c r="G550" s="394">
        <f>SUMIF('10'!C:C,B550,'10'!W:W)</f>
        <v>0</v>
      </c>
      <c r="H550" s="1119">
        <f>SUMIF('10_расш'!$C$11:$C$3000,B550,'10_расш'!$L$11:$L$3000)</f>
        <v>0</v>
      </c>
      <c r="I550" s="1119">
        <f t="shared" si="22"/>
        <v>0</v>
      </c>
    </row>
    <row r="551" spans="2:9" ht="29" hidden="1" outlineLevel="1">
      <c r="B551" s="511" t="s">
        <v>7552</v>
      </c>
      <c r="C551" s="394">
        <f>SUMIF('10'!C:C,B551,'10'!D:D)</f>
        <v>0</v>
      </c>
      <c r="D551" s="327">
        <f>SUMIF('10_расш'!$C$11:$C$3000,B551,'10_расш'!$F$11:$F$3000)</f>
        <v>0</v>
      </c>
      <c r="E551" s="394">
        <f>ABS(C551-D551)</f>
        <v>0</v>
      </c>
      <c r="G551" s="394">
        <f>SUMIF('10'!C:C,B551,'10'!W:W)</f>
        <v>0</v>
      </c>
      <c r="H551" s="1119">
        <f>SUMIF('10_расш'!$C$11:$C$3000,B551,'10_расш'!$L$11:$L$3000)</f>
        <v>0</v>
      </c>
      <c r="I551" s="1119">
        <f t="shared" si="22"/>
        <v>0</v>
      </c>
    </row>
    <row r="552" spans="2:9" ht="29" hidden="1" outlineLevel="1">
      <c r="B552" s="2263" t="s">
        <v>7553</v>
      </c>
      <c r="C552" s="394">
        <f>SUMIF('10'!C:C,B552,'10'!D:D)</f>
        <v>0</v>
      </c>
      <c r="D552" s="327">
        <f>SUMIF('10_расш'!$C$11:$C$3000,B552,'10_расш'!$F$11:$F$3000)</f>
        <v>0</v>
      </c>
      <c r="E552" s="394">
        <f>ABS(C552-D552)</f>
        <v>0</v>
      </c>
      <c r="G552" s="394">
        <f>SUMIF('10'!C:C,B552,'10'!W:W)</f>
        <v>0</v>
      </c>
      <c r="H552" s="1119">
        <f>SUMIF('10_расш'!$C$11:$C$3000,B552,'10_расш'!$L$11:$L$3000)</f>
        <v>0</v>
      </c>
      <c r="I552" s="1119">
        <f t="shared" si="22"/>
        <v>0</v>
      </c>
    </row>
    <row r="553" spans="2:9" hidden="1" outlineLevel="1">
      <c r="B553" s="511" t="s">
        <v>7554</v>
      </c>
      <c r="C553" s="394">
        <f>SUMIF('10'!C:C,B553,'10'!D:D)</f>
        <v>0</v>
      </c>
      <c r="D553" s="327">
        <f>SUMIF('10_расш'!$C$11:$C$3000,B553,'10_расш'!$F$11:$F$3000)</f>
        <v>0</v>
      </c>
      <c r="E553" s="394">
        <f t="shared" si="23"/>
        <v>0</v>
      </c>
      <c r="G553" s="394">
        <f>SUMIF('10'!C:C,B553,'10'!W:W)</f>
        <v>0</v>
      </c>
      <c r="H553" s="1119">
        <f>SUMIF('10_расш'!$C$11:$C$3000,B553,'10_расш'!$L$11:$L$3000)</f>
        <v>0</v>
      </c>
      <c r="I553" s="1119">
        <f t="shared" si="22"/>
        <v>0</v>
      </c>
    </row>
    <row r="554" spans="2:9" s="3003" customFormat="1" ht="43.5" hidden="1" outlineLevel="1">
      <c r="B554" s="511" t="s">
        <v>7555</v>
      </c>
      <c r="C554" s="394">
        <f>SUMIF('10'!C:C,B554,'10'!D:D)</f>
        <v>0</v>
      </c>
      <c r="D554" s="327">
        <f>SUMIF('10_расш'!$C$11:$C$3000,B554,'10_расш'!$F$11:$F$3000)</f>
        <v>0</v>
      </c>
      <c r="E554" s="394">
        <f t="shared" si="23"/>
        <v>0</v>
      </c>
      <c r="F554" s="394"/>
      <c r="G554" s="394">
        <f>SUMIF('10'!C:C,B554,'10'!W:W)</f>
        <v>0</v>
      </c>
      <c r="H554" s="1119">
        <f>SUMIF('10_расш'!$C$11:$C$3000,B554,'10_расш'!$L$11:$L$3000)</f>
        <v>0</v>
      </c>
      <c r="I554" s="1119">
        <f t="shared" si="22"/>
        <v>0</v>
      </c>
    </row>
    <row r="555" spans="2:9" ht="29" hidden="1" outlineLevel="1">
      <c r="B555" s="2744" t="s">
        <v>14358</v>
      </c>
      <c r="C555" s="394">
        <f>SUMIF('10'!C:C,B555,'10'!D:D)</f>
        <v>0</v>
      </c>
      <c r="D555" s="327">
        <f>SUMIF('10_расш'!$C$11:$C$3000,B555,'10_расш'!$F$11:$F$3000)</f>
        <v>0</v>
      </c>
      <c r="E555" s="394">
        <f t="shared" ref="E555" si="25">ABS(C555-D555)</f>
        <v>0</v>
      </c>
      <c r="G555" s="394">
        <f>SUMIF('10'!C:C,B555,'10'!W:W)</f>
        <v>0</v>
      </c>
      <c r="H555" s="3004">
        <f>SUMIF('10_расш'!$C$11:$C$3000,B555,'10_расш'!$L$11:$L$3000)</f>
        <v>0</v>
      </c>
      <c r="I555" s="3004">
        <f t="shared" ref="I555:I576" si="26">ABS(G555-H555)</f>
        <v>0</v>
      </c>
    </row>
    <row r="556" spans="2:9" ht="29" hidden="1" outlineLevel="1">
      <c r="B556" s="511" t="s">
        <v>7556</v>
      </c>
      <c r="C556" s="394">
        <f>SUMIF('10'!C:C,B556,'10'!D:D)</f>
        <v>0</v>
      </c>
      <c r="D556" s="327">
        <f>SUMIF('10_расш'!$C$11:$C$3000,B556,'10_расш'!$F$11:$F$3000)</f>
        <v>0</v>
      </c>
      <c r="E556" s="394">
        <f t="shared" si="23"/>
        <v>0</v>
      </c>
      <c r="G556" s="394">
        <f>SUMIF('10'!C:C,B556,'10'!W:W)</f>
        <v>0</v>
      </c>
      <c r="H556" s="3004">
        <f>SUMIF('10_расш'!$C$11:$C$3000,B556,'10_расш'!$L$11:$L$3000)</f>
        <v>0</v>
      </c>
      <c r="I556" s="3004">
        <f t="shared" si="26"/>
        <v>0</v>
      </c>
    </row>
    <row r="557" spans="2:9" ht="29" hidden="1" outlineLevel="1">
      <c r="B557" s="511" t="s">
        <v>7557</v>
      </c>
      <c r="C557" s="394">
        <f>SUMIF('10'!C:C,B557,'10'!D:D)</f>
        <v>0</v>
      </c>
      <c r="D557" s="327">
        <f>SUMIF('10_расш'!$C$11:$C$3000,B557,'10_расш'!$F$11:$F$3000)</f>
        <v>0</v>
      </c>
      <c r="E557" s="394">
        <f t="shared" si="23"/>
        <v>0</v>
      </c>
      <c r="G557" s="394">
        <f>SUMIF('10'!C:C,B557,'10'!W:W)</f>
        <v>0</v>
      </c>
      <c r="H557" s="3004">
        <f>SUMIF('10_расш'!$C$11:$C$3000,B557,'10_расш'!$L$11:$L$3000)</f>
        <v>0</v>
      </c>
      <c r="I557" s="3004">
        <f t="shared" si="26"/>
        <v>0</v>
      </c>
    </row>
    <row r="558" spans="2:9" ht="29" hidden="1" outlineLevel="1">
      <c r="B558" s="511" t="s">
        <v>7558</v>
      </c>
      <c r="C558" s="394">
        <f>SUMIF('10'!C:C,B558,'10'!D:D)</f>
        <v>0</v>
      </c>
      <c r="D558" s="327">
        <f>SUMIF('10_расш'!$C$11:$C$3000,B558,'10_расш'!$F$11:$F$3000)</f>
        <v>0</v>
      </c>
      <c r="E558" s="394">
        <f t="shared" si="23"/>
        <v>0</v>
      </c>
      <c r="G558" s="394">
        <f>SUMIF('10'!C:C,B558,'10'!W:W)</f>
        <v>0</v>
      </c>
      <c r="H558" s="3004">
        <f>SUMIF('10_расш'!$C$11:$C$3000,B558,'10_расш'!$L$11:$L$3000)</f>
        <v>0</v>
      </c>
      <c r="I558" s="3004">
        <f t="shared" si="26"/>
        <v>0</v>
      </c>
    </row>
    <row r="559" spans="2:9" ht="29" hidden="1" outlineLevel="1">
      <c r="B559" s="511" t="s">
        <v>7559</v>
      </c>
      <c r="C559" s="394">
        <f>SUMIF('10'!C:C,B559,'10'!D:D)</f>
        <v>0</v>
      </c>
      <c r="D559" s="327">
        <f>SUMIF('10_расш'!$C$11:$C$3000,B559,'10_расш'!$F$11:$F$3000)</f>
        <v>0</v>
      </c>
      <c r="E559" s="394">
        <f t="shared" si="23"/>
        <v>0</v>
      </c>
      <c r="G559" s="394">
        <f>SUMIF('10'!C:C,B559,'10'!W:W)</f>
        <v>0</v>
      </c>
      <c r="H559" s="3004">
        <f>SUMIF('10_расш'!$C$11:$C$3000,B559,'10_расш'!$L$11:$L$3000)</f>
        <v>0</v>
      </c>
      <c r="I559" s="3004">
        <f t="shared" si="26"/>
        <v>0</v>
      </c>
    </row>
    <row r="560" spans="2:9" ht="43.5" hidden="1" outlineLevel="1">
      <c r="B560" s="511" t="s">
        <v>7560</v>
      </c>
      <c r="C560" s="394">
        <f>SUMIF('10'!C:C,B560,'10'!D:D)</f>
        <v>0</v>
      </c>
      <c r="D560" s="327">
        <f>SUMIF('10_расш'!$C$11:$C$3000,B560,'10_расш'!$F$11:$F$3000)</f>
        <v>0</v>
      </c>
      <c r="E560" s="394">
        <f t="shared" si="23"/>
        <v>0</v>
      </c>
      <c r="G560" s="394">
        <f>SUMIF('10'!C:C,B560,'10'!W:W)</f>
        <v>0</v>
      </c>
      <c r="H560" s="3004">
        <f>SUMIF('10_расш'!$C$11:$C$3000,B560,'10_расш'!$L$11:$L$3000)</f>
        <v>0</v>
      </c>
      <c r="I560" s="3004">
        <f t="shared" si="26"/>
        <v>0</v>
      </c>
    </row>
    <row r="561" spans="2:9" ht="58" hidden="1" outlineLevel="1">
      <c r="B561" s="511" t="s">
        <v>7561</v>
      </c>
      <c r="C561" s="394">
        <f>SUMIF('10'!C:C,B561,'10'!D:D)</f>
        <v>0</v>
      </c>
      <c r="D561" s="327">
        <f>SUMIF('10_расш'!$C$11:$C$3000,B561,'10_расш'!$F$11:$F$3000)</f>
        <v>0</v>
      </c>
      <c r="E561" s="394">
        <f t="shared" si="23"/>
        <v>0</v>
      </c>
      <c r="G561" s="394">
        <f>SUMIF('10'!C:C,B561,'10'!W:W)</f>
        <v>0</v>
      </c>
      <c r="H561" s="3004">
        <f>SUMIF('10_расш'!$C$11:$C$3000,B561,'10_расш'!$L$11:$L$3000)</f>
        <v>0</v>
      </c>
      <c r="I561" s="3004">
        <f t="shared" si="26"/>
        <v>0</v>
      </c>
    </row>
    <row r="562" spans="2:9" ht="58" hidden="1" outlineLevel="1">
      <c r="B562" s="511" t="s">
        <v>7562</v>
      </c>
      <c r="C562" s="394">
        <f>SUMIF('10'!C:C,B562,'10'!D:D)</f>
        <v>0</v>
      </c>
      <c r="D562" s="327">
        <f>SUMIF('10_расш'!$C$11:$C$3000,B562,'10_расш'!$F$11:$F$3000)</f>
        <v>0</v>
      </c>
      <c r="E562" s="394">
        <f t="shared" si="23"/>
        <v>0</v>
      </c>
      <c r="G562" s="394">
        <f>SUMIF('10'!C:C,B562,'10'!W:W)</f>
        <v>0</v>
      </c>
      <c r="H562" s="3004">
        <f>SUMIF('10_расш'!$C$11:$C$3000,B562,'10_расш'!$L$11:$L$3000)</f>
        <v>0</v>
      </c>
      <c r="I562" s="3004">
        <f t="shared" si="26"/>
        <v>0</v>
      </c>
    </row>
    <row r="563" spans="2:9" ht="29" hidden="1" outlineLevel="1">
      <c r="B563" s="511" t="s">
        <v>7563</v>
      </c>
      <c r="C563" s="394">
        <f>SUMIF('10'!C:C,B563,'10'!D:D)</f>
        <v>0</v>
      </c>
      <c r="D563" s="327">
        <f>SUMIF('10_расш'!$C$11:$C$3000,B563,'10_расш'!$F$11:$F$3000)</f>
        <v>0</v>
      </c>
      <c r="E563" s="394">
        <f t="shared" ref="E563" si="27">ABS(C563-D563)</f>
        <v>0</v>
      </c>
      <c r="G563" s="394">
        <f>SUMIF('10'!C:C,B563,'10'!W:W)</f>
        <v>0</v>
      </c>
      <c r="H563" s="3004">
        <f>SUMIF('10_расш'!$C$11:$C$3000,B563,'10_расш'!$L$11:$L$3000)</f>
        <v>0</v>
      </c>
      <c r="I563" s="3004">
        <f t="shared" si="26"/>
        <v>0</v>
      </c>
    </row>
    <row r="564" spans="2:9" ht="29" hidden="1" outlineLevel="1">
      <c r="B564" s="511" t="s">
        <v>7542</v>
      </c>
      <c r="C564" s="394">
        <f>SUMIF('10'!C:C,B564,'10'!D:D)</f>
        <v>0</v>
      </c>
      <c r="D564" s="327">
        <f>SUMIF('10_расш'!$C$11:$C$3000,B564,'10_расш'!$F$11:$F$3000)</f>
        <v>0</v>
      </c>
      <c r="E564" s="394">
        <f t="shared" si="23"/>
        <v>0</v>
      </c>
      <c r="G564" s="394">
        <f>SUMIF('10'!C:C,B564,'10'!W:W)</f>
        <v>0</v>
      </c>
      <c r="H564" s="3004">
        <f>SUMIF('10_расш'!$C$11:$C$3000,B564,'10_расш'!$L$11:$L$3000)</f>
        <v>0</v>
      </c>
      <c r="I564" s="3004">
        <f t="shared" si="26"/>
        <v>0</v>
      </c>
    </row>
    <row r="565" spans="2:9" ht="29" hidden="1" outlineLevel="1">
      <c r="B565" s="511" t="s">
        <v>7543</v>
      </c>
      <c r="C565" s="394">
        <f>SUMIF('10'!C:C,B565,'10'!D:D)</f>
        <v>0</v>
      </c>
      <c r="D565" s="327">
        <f>SUMIF('10_расш'!$C$11:$C$3000,B565,'10_расш'!$F$11:$F$3000)</f>
        <v>0</v>
      </c>
      <c r="E565" s="394">
        <f t="shared" si="23"/>
        <v>0</v>
      </c>
      <c r="G565" s="394">
        <f>SUMIF('10'!C:C,B565,'10'!W:W)</f>
        <v>0</v>
      </c>
      <c r="H565" s="3004">
        <f>SUMIF('10_расш'!$C$11:$C$3000,B565,'10_расш'!$L$11:$L$3000)</f>
        <v>0</v>
      </c>
      <c r="I565" s="3004">
        <f t="shared" si="26"/>
        <v>0</v>
      </c>
    </row>
    <row r="566" spans="2:9" ht="29" hidden="1" outlineLevel="1">
      <c r="B566" s="511" t="s">
        <v>7564</v>
      </c>
      <c r="C566" s="394">
        <f>SUMIF('10'!C:C,B566,'10'!D:D)</f>
        <v>0</v>
      </c>
      <c r="D566" s="327">
        <f>SUMIF('10_расш'!$C$11:$C$3000,B566,'10_расш'!$F$11:$F$3000)</f>
        <v>0</v>
      </c>
      <c r="E566" s="394">
        <f t="shared" si="23"/>
        <v>0</v>
      </c>
      <c r="G566" s="394">
        <f>SUMIF('10'!C:C,B566,'10'!W:W)</f>
        <v>0</v>
      </c>
      <c r="H566" s="3004">
        <f>SUMIF('10_расш'!$C$11:$C$3000,B566,'10_расш'!$L$11:$L$3000)</f>
        <v>0</v>
      </c>
      <c r="I566" s="3004">
        <f t="shared" si="26"/>
        <v>0</v>
      </c>
    </row>
    <row r="567" spans="2:9" ht="29" hidden="1" outlineLevel="1">
      <c r="B567" s="511" t="s">
        <v>7565</v>
      </c>
      <c r="C567" s="394">
        <f>SUMIF('10'!C:C,B567,'10'!D:D)</f>
        <v>0</v>
      </c>
      <c r="D567" s="327">
        <f>SUMIF('10_расш'!$C$11:$C$3000,B567,'10_расш'!$F$11:$F$3000)</f>
        <v>0</v>
      </c>
      <c r="E567" s="394">
        <f t="shared" si="23"/>
        <v>0</v>
      </c>
      <c r="G567" s="394">
        <f>SUMIF('10'!C:C,B567,'10'!W:W)</f>
        <v>0</v>
      </c>
      <c r="H567" s="3004">
        <f>SUMIF('10_расш'!$C$11:$C$3000,B567,'10_расш'!$L$11:$L$3000)</f>
        <v>0</v>
      </c>
      <c r="I567" s="3004">
        <f t="shared" si="26"/>
        <v>0</v>
      </c>
    </row>
    <row r="568" spans="2:9" ht="29" hidden="1" outlineLevel="1">
      <c r="B568" s="511" t="s">
        <v>7566</v>
      </c>
      <c r="C568" s="394">
        <f>SUMIF('10'!C:C,B568,'10'!D:D)</f>
        <v>0</v>
      </c>
      <c r="D568" s="327">
        <f>SUMIF('10_расш'!$C$11:$C$3000,B568,'10_расш'!$F$11:$F$3000)</f>
        <v>0</v>
      </c>
      <c r="E568" s="394">
        <f t="shared" si="23"/>
        <v>0</v>
      </c>
      <c r="G568" s="394">
        <f>SUMIF('10'!C:C,B568,'10'!W:W)</f>
        <v>0</v>
      </c>
      <c r="H568" s="3004">
        <f>SUMIF('10_расш'!$C$11:$C$3000,B568,'10_расш'!$L$11:$L$3000)</f>
        <v>0</v>
      </c>
      <c r="I568" s="3004">
        <f t="shared" si="26"/>
        <v>0</v>
      </c>
    </row>
    <row r="569" spans="2:9" ht="29" hidden="1" outlineLevel="1">
      <c r="B569" s="511" t="s">
        <v>7567</v>
      </c>
      <c r="C569" s="394">
        <f>SUMIF('10'!C:C,B569,'10'!D:D)</f>
        <v>0</v>
      </c>
      <c r="D569" s="327">
        <f>SUMIF('10_расш'!$C$11:$C$3000,B569,'10_расш'!$F$11:$F$3000)</f>
        <v>0</v>
      </c>
      <c r="E569" s="394">
        <f t="shared" si="23"/>
        <v>0</v>
      </c>
      <c r="G569" s="394">
        <f>SUMIF('10'!C:C,B569,'10'!W:W)</f>
        <v>0</v>
      </c>
      <c r="H569" s="3004">
        <f>SUMIF('10_расш'!$C$11:$C$3000,B569,'10_расш'!$L$11:$L$3000)</f>
        <v>0</v>
      </c>
      <c r="I569" s="3004">
        <f t="shared" si="26"/>
        <v>0</v>
      </c>
    </row>
    <row r="570" spans="2:9" ht="29" hidden="1" outlineLevel="1">
      <c r="B570" s="511" t="s">
        <v>7568</v>
      </c>
      <c r="C570" s="394">
        <f>SUMIF('10'!C:C,B570,'10'!D:D)</f>
        <v>0</v>
      </c>
      <c r="D570" s="327">
        <f>SUMIF('10_расш'!$C$11:$C$3000,B570,'10_расш'!$F$11:$F$3000)</f>
        <v>0</v>
      </c>
      <c r="E570" s="394">
        <f t="shared" si="23"/>
        <v>0</v>
      </c>
      <c r="G570" s="394">
        <f>SUMIF('10'!C:C,B570,'10'!W:W)</f>
        <v>0</v>
      </c>
      <c r="H570" s="3004">
        <f>SUMIF('10_расш'!$C$11:$C$3000,B570,'10_расш'!$L$11:$L$3000)</f>
        <v>0</v>
      </c>
      <c r="I570" s="3004">
        <f t="shared" si="26"/>
        <v>0</v>
      </c>
    </row>
    <row r="571" spans="2:9" ht="29" hidden="1" outlineLevel="1">
      <c r="B571" s="511" t="s">
        <v>7569</v>
      </c>
      <c r="C571" s="394">
        <f>SUMIF('10'!C:C,B571,'10'!D:D)</f>
        <v>0</v>
      </c>
      <c r="D571" s="327">
        <f>SUMIF('10_расш'!$C$11:$C$3000,B571,'10_расш'!$F$11:$F$3000)</f>
        <v>0</v>
      </c>
      <c r="E571" s="394">
        <f t="shared" si="23"/>
        <v>0</v>
      </c>
      <c r="G571" s="394">
        <f>SUMIF('10'!C:C,B571,'10'!W:W)</f>
        <v>0</v>
      </c>
      <c r="H571" s="3004">
        <f>SUMIF('10_расш'!$C$11:$C$3000,B571,'10_расш'!$L$11:$L$3000)</f>
        <v>0</v>
      </c>
      <c r="I571" s="3004">
        <f t="shared" si="26"/>
        <v>0</v>
      </c>
    </row>
    <row r="572" spans="2:9" ht="43.5" hidden="1" outlineLevel="1">
      <c r="B572" s="511" t="s">
        <v>7570</v>
      </c>
      <c r="C572" s="394">
        <f>SUMIF('10'!C:C,B572,'10'!D:D)</f>
        <v>0</v>
      </c>
      <c r="D572" s="327">
        <f>SUMIF('10_расш'!$C$11:$C$3000,B572,'10_расш'!$F$11:$F$3000)</f>
        <v>0</v>
      </c>
      <c r="E572" s="394">
        <f t="shared" si="23"/>
        <v>0</v>
      </c>
      <c r="G572" s="394">
        <f>SUMIF('10'!C:C,B572,'10'!W:W)</f>
        <v>0</v>
      </c>
      <c r="H572" s="3004">
        <f>SUMIF('10_расш'!$C$11:$C$3000,B572,'10_расш'!$L$11:$L$3000)</f>
        <v>0</v>
      </c>
      <c r="I572" s="3004">
        <f t="shared" si="26"/>
        <v>0</v>
      </c>
    </row>
    <row r="573" spans="2:9" ht="43.5" hidden="1" outlineLevel="1">
      <c r="B573" s="511" t="s">
        <v>7571</v>
      </c>
      <c r="C573" s="394">
        <f>SUMIF('10'!C:C,B573,'10'!D:D)</f>
        <v>0</v>
      </c>
      <c r="D573" s="327">
        <f>SUMIF('10_расш'!$C$11:$C$3000,B573,'10_расш'!$F$11:$F$3000)</f>
        <v>0</v>
      </c>
      <c r="E573" s="394">
        <f t="shared" si="23"/>
        <v>0</v>
      </c>
      <c r="G573" s="394">
        <f>SUMIF('10'!C:C,B573,'10'!W:W)</f>
        <v>0</v>
      </c>
      <c r="H573" s="3004">
        <f>SUMIF('10_расш'!$C$11:$C$3000,B573,'10_расш'!$L$11:$L$3000)</f>
        <v>0</v>
      </c>
      <c r="I573" s="3004">
        <f t="shared" si="26"/>
        <v>0</v>
      </c>
    </row>
    <row r="574" spans="2:9" ht="43.5" hidden="1" outlineLevel="1">
      <c r="B574" s="511" t="s">
        <v>7572</v>
      </c>
      <c r="C574" s="394">
        <f>SUMIF('10'!C:C,B574,'10'!D:D)</f>
        <v>0</v>
      </c>
      <c r="D574" s="327">
        <f>SUMIF('10_расш'!$C$11:$C$3000,B574,'10_расш'!$F$11:$F$3000)</f>
        <v>0</v>
      </c>
      <c r="E574" s="394">
        <f t="shared" si="23"/>
        <v>0</v>
      </c>
      <c r="G574" s="394">
        <f>SUMIF('10'!C:C,B574,'10'!W:W)</f>
        <v>0</v>
      </c>
      <c r="H574" s="3004">
        <f>SUMIF('10_расш'!$C$11:$C$3000,B574,'10_расш'!$L$11:$L$3000)</f>
        <v>0</v>
      </c>
      <c r="I574" s="3004">
        <f t="shared" si="26"/>
        <v>0</v>
      </c>
    </row>
    <row r="575" spans="2:9" ht="29" hidden="1" outlineLevel="1">
      <c r="B575" s="511" t="s">
        <v>7573</v>
      </c>
      <c r="C575" s="394">
        <f>SUMIF('10'!C:C,B575,'10'!D:D)</f>
        <v>0</v>
      </c>
      <c r="D575" s="327">
        <f>SUMIF('10_расш'!$C$11:$C$3000,B575,'10_расш'!$F$11:$F$3000)</f>
        <v>0</v>
      </c>
      <c r="E575" s="394">
        <f t="shared" si="23"/>
        <v>0</v>
      </c>
      <c r="G575" s="394">
        <f>SUMIF('10'!C:C,B575,'10'!W:W)</f>
        <v>0</v>
      </c>
      <c r="H575" s="3004">
        <f>SUMIF('10_расш'!$C$11:$C$3000,B575,'10_расш'!$L$11:$L$3000)</f>
        <v>0</v>
      </c>
      <c r="I575" s="3004">
        <f t="shared" si="26"/>
        <v>0</v>
      </c>
    </row>
    <row r="576" spans="2:9" ht="43.5" hidden="1" outlineLevel="1">
      <c r="B576" s="2744" t="s">
        <v>7574</v>
      </c>
      <c r="C576" s="394">
        <f>SUMIF('10'!C:C,B576,'10'!D:D)</f>
        <v>0</v>
      </c>
      <c r="D576" s="327">
        <f>SUMIF('10_расш'!$C$11:$C$3000,B576,'10_расш'!$F$11:$F$3000)</f>
        <v>0</v>
      </c>
      <c r="E576" s="394">
        <f t="shared" ref="E576" si="28">ABS(C576-D576)</f>
        <v>0</v>
      </c>
      <c r="G576" s="394">
        <f>SUMIF('10'!C:C,B576,'10'!W:W)</f>
        <v>0</v>
      </c>
      <c r="H576" s="3004">
        <f>SUMIF('10_расш'!$C$11:$C$3000,B576,'10_расш'!$L$11:$L$3000)</f>
        <v>0</v>
      </c>
      <c r="I576" s="3004">
        <f t="shared" si="26"/>
        <v>0</v>
      </c>
    </row>
    <row r="577" spans="2:9" ht="29" hidden="1" outlineLevel="1">
      <c r="B577" s="511" t="s">
        <v>14359</v>
      </c>
      <c r="C577" s="394">
        <f>SUMIF('10'!C:C,B577,'10'!D:D)</f>
        <v>0</v>
      </c>
      <c r="D577" s="327">
        <f>SUMIF('10_расш'!$C$11:$C$3000,B577,'10_расш'!$F$11:$F$3000)</f>
        <v>0</v>
      </c>
      <c r="E577" s="394">
        <f t="shared" si="23"/>
        <v>0</v>
      </c>
      <c r="G577" s="394">
        <f>SUMIF('10'!C:C,B577,'10'!W:W)</f>
        <v>0</v>
      </c>
      <c r="H577" s="3004">
        <f>SUMIF('10_расш'!$C$11:$C$3000,B577,'10_расш'!$L$11:$L$3000)</f>
        <v>0</v>
      </c>
      <c r="I577" s="3004">
        <f>ABS(G577-H577)</f>
        <v>0</v>
      </c>
    </row>
    <row r="578" spans="2:9" collapsed="1"/>
    <row r="579" spans="2:9">
      <c r="H579" s="3004"/>
      <c r="I579" s="3003"/>
    </row>
  </sheetData>
  <sheetProtection algorithmName="SHA-512" hashValue="ineu2st9FYw7/VI+ENudKccDBl3n/pCoJEgKzuwz4i242PKpJ21I/f7FFBfP68bjWFC11kYcFq2N3pFm5K3JBg==" saltValue="lbk6zCZ4iNcjH5s8dCsiUg==" spinCount="100000" sheet="1" objects="1" scenarios="1" formatColumns="0" formatRows="0" autoFilter="0"/>
  <autoFilter ref="B7:G525"/>
  <customSheetViews>
    <customSheetView guid="{3769259D-9653-4B34-A2F6-4FB6F9F4E533}" scale="70" showGridLines="0" fitToPage="1" showAutoFilter="1" topLeftCell="A37">
      <selection activeCell="E52" sqref="E52"/>
      <pageMargins left="0.70866141732283472" right="0.70866141732283472" top="0.74803149606299213" bottom="0.74803149606299213" header="0.31496062992125984" footer="0.31496062992125984"/>
      <pageSetup paperSize="9" scale="26" fitToHeight="0" orientation="portrait" r:id="rId1"/>
      <autoFilter ref="B1:G1"/>
    </customSheetView>
    <customSheetView guid="{40D7A2BB-326C-4ED3-999C-17852F56D6F4}" scale="80" showPageBreaks="1" showGridLines="0" fitToPage="1" showAutoFilter="1" topLeftCell="A41">
      <selection activeCell="E46" sqref="E46"/>
      <pageMargins left="0.70866141732283472" right="0.70866141732283472" top="0.74803149606299213" bottom="0.74803149606299213" header="0.31496062992125984" footer="0.31496062992125984"/>
      <pageSetup paperSize="9" scale="24" fitToHeight="0" orientation="portrait" r:id="rId2"/>
      <autoFilter ref="B1:G1"/>
    </customSheetView>
    <customSheetView guid="{5D121940-0CE8-4A0E-A493-67FAAA6E0FF8}" scale="70" showGridLines="0" fitToPage="1" showAutoFilter="1" topLeftCell="A88">
      <selection activeCell="B94" sqref="B94:E94"/>
      <pageMargins left="0.70866141732283472" right="0.70866141732283472" top="0.74803149606299213" bottom="0.74803149606299213" header="0.31496062992125984" footer="0.31496062992125984"/>
      <pageSetup paperSize="9" scale="26" fitToHeight="0" orientation="portrait" r:id="rId3"/>
      <autoFilter ref="B1:G1"/>
    </customSheetView>
  </customSheetViews>
  <mergeCells count="7">
    <mergeCell ref="G5:G6"/>
    <mergeCell ref="E1:E2"/>
    <mergeCell ref="B5:B6"/>
    <mergeCell ref="C5:C6"/>
    <mergeCell ref="D5:D6"/>
    <mergeCell ref="E5:E6"/>
    <mergeCell ref="F5:F6"/>
  </mergeCells>
  <phoneticPr fontId="0" type="noConversion"/>
  <conditionalFormatting sqref="B578:B1048576 B396:B404 B527:B532 B244:B251 B132:B138 B167:B176 B200:B202 B212:B242 B254:B256 B274:B276 B279:B292 B55:B66 B68:B71 B444 B205:B208 B1:B15 B76:B96 B334 B336:B338 B267:B271 B406:B408 B41:B51 B111:B116 B430:B436 B438:B440 B101:B109 B148:B162 B98:B99 B179:B181 B316:B318 B18:B39 B320:B332">
    <cfRule type="duplicateValues" dxfId="262" priority="253"/>
    <cfRule type="duplicateValues" dxfId="261" priority="254"/>
    <cfRule type="duplicateValues" dxfId="260" priority="255"/>
  </conditionalFormatting>
  <conditionalFormatting sqref="B533">
    <cfRule type="duplicateValues" dxfId="259" priority="238"/>
    <cfRule type="duplicateValues" dxfId="258" priority="239"/>
    <cfRule type="duplicateValues" dxfId="257" priority="240"/>
  </conditionalFormatting>
  <conditionalFormatting sqref="B542:B543">
    <cfRule type="duplicateValues" dxfId="256" priority="228"/>
  </conditionalFormatting>
  <conditionalFormatting sqref="B564:B565">
    <cfRule type="duplicateValues" dxfId="255" priority="227"/>
  </conditionalFormatting>
  <conditionalFormatting sqref="B395:C395">
    <cfRule type="duplicateValues" dxfId="254" priority="221"/>
    <cfRule type="duplicateValues" dxfId="253" priority="222"/>
    <cfRule type="duplicateValues" dxfId="252" priority="223"/>
  </conditionalFormatting>
  <conditionalFormatting sqref="B445:B446 B448:B452">
    <cfRule type="duplicateValues" dxfId="251" priority="212"/>
    <cfRule type="duplicateValues" dxfId="250" priority="213"/>
    <cfRule type="duplicateValues" dxfId="249" priority="214"/>
  </conditionalFormatting>
  <conditionalFormatting sqref="B243">
    <cfRule type="duplicateValues" dxfId="248" priority="209"/>
    <cfRule type="duplicateValues" dxfId="247" priority="210"/>
    <cfRule type="duplicateValues" dxfId="246" priority="211"/>
  </conditionalFormatting>
  <conditionalFormatting sqref="C450:C452">
    <cfRule type="duplicateValues" dxfId="245" priority="203"/>
    <cfRule type="duplicateValues" dxfId="244" priority="204"/>
    <cfRule type="duplicateValues" dxfId="243" priority="205"/>
  </conditionalFormatting>
  <conditionalFormatting sqref="B394">
    <cfRule type="duplicateValues" dxfId="242" priority="200"/>
    <cfRule type="duplicateValues" dxfId="241" priority="201"/>
    <cfRule type="duplicateValues" dxfId="240" priority="202"/>
  </conditionalFormatting>
  <conditionalFormatting sqref="B453:B459">
    <cfRule type="duplicateValues" dxfId="239" priority="197"/>
    <cfRule type="duplicateValues" dxfId="238" priority="198"/>
    <cfRule type="duplicateValues" dxfId="237" priority="199"/>
  </conditionalFormatting>
  <conditionalFormatting sqref="C453:C459">
    <cfRule type="duplicateValues" dxfId="236" priority="194"/>
    <cfRule type="duplicateValues" dxfId="235" priority="195"/>
    <cfRule type="duplicateValues" dxfId="234" priority="196"/>
  </conditionalFormatting>
  <conditionalFormatting sqref="B52:B54">
    <cfRule type="duplicateValues" dxfId="233" priority="191"/>
    <cfRule type="duplicateValues" dxfId="232" priority="192"/>
    <cfRule type="duplicateValues" dxfId="231" priority="193"/>
  </conditionalFormatting>
  <conditionalFormatting sqref="B117:B131">
    <cfRule type="duplicateValues" dxfId="230" priority="185"/>
    <cfRule type="duplicateValues" dxfId="229" priority="186"/>
    <cfRule type="duplicateValues" dxfId="228" priority="187"/>
  </conditionalFormatting>
  <conditionalFormatting sqref="B139:B147">
    <cfRule type="duplicateValues" dxfId="227" priority="182"/>
    <cfRule type="duplicateValues" dxfId="226" priority="183"/>
    <cfRule type="duplicateValues" dxfId="225" priority="184"/>
  </conditionalFormatting>
  <conditionalFormatting sqref="B188 B183">
    <cfRule type="duplicateValues" dxfId="224" priority="176"/>
    <cfRule type="duplicateValues" dxfId="223" priority="177"/>
    <cfRule type="duplicateValues" dxfId="222" priority="178"/>
  </conditionalFormatting>
  <conditionalFormatting sqref="B209:B211">
    <cfRule type="duplicateValues" dxfId="221" priority="173"/>
    <cfRule type="duplicateValues" dxfId="220" priority="174"/>
    <cfRule type="duplicateValues" dxfId="219" priority="175"/>
  </conditionalFormatting>
  <conditionalFormatting sqref="B252:B253">
    <cfRule type="duplicateValues" dxfId="218" priority="170"/>
    <cfRule type="duplicateValues" dxfId="217" priority="171"/>
    <cfRule type="duplicateValues" dxfId="216" priority="172"/>
  </conditionalFormatting>
  <conditionalFormatting sqref="B272:B273">
    <cfRule type="duplicateValues" dxfId="215" priority="167"/>
    <cfRule type="duplicateValues" dxfId="214" priority="168"/>
    <cfRule type="duplicateValues" dxfId="213" priority="169"/>
  </conditionalFormatting>
  <conditionalFormatting sqref="B278">
    <cfRule type="duplicateValues" dxfId="212" priority="164"/>
    <cfRule type="duplicateValues" dxfId="211" priority="165"/>
    <cfRule type="duplicateValues" dxfId="210" priority="166"/>
  </conditionalFormatting>
  <conditionalFormatting sqref="B293:B315">
    <cfRule type="duplicateValues" dxfId="209" priority="161"/>
    <cfRule type="duplicateValues" dxfId="208" priority="162"/>
    <cfRule type="duplicateValues" dxfId="207" priority="163"/>
  </conditionalFormatting>
  <conditionalFormatting sqref="B333">
    <cfRule type="duplicateValues" dxfId="206" priority="158"/>
    <cfRule type="duplicateValues" dxfId="205" priority="159"/>
    <cfRule type="duplicateValues" dxfId="204" priority="160"/>
  </conditionalFormatting>
  <conditionalFormatting sqref="B405">
    <cfRule type="duplicateValues" dxfId="203" priority="155"/>
    <cfRule type="duplicateValues" dxfId="202" priority="156"/>
    <cfRule type="duplicateValues" dxfId="201" priority="157"/>
  </conditionalFormatting>
  <conditionalFormatting sqref="B428:B429">
    <cfRule type="duplicateValues" dxfId="200" priority="152"/>
    <cfRule type="duplicateValues" dxfId="199" priority="153"/>
    <cfRule type="duplicateValues" dxfId="198" priority="154"/>
  </conditionalFormatting>
  <conditionalFormatting sqref="B541">
    <cfRule type="duplicateValues" dxfId="197" priority="148"/>
  </conditionalFormatting>
  <conditionalFormatting sqref="B563">
    <cfRule type="duplicateValues" dxfId="196" priority="147"/>
  </conditionalFormatting>
  <conditionalFormatting sqref="B67">
    <cfRule type="duplicateValues" dxfId="195" priority="144"/>
    <cfRule type="duplicateValues" dxfId="194" priority="145"/>
    <cfRule type="duplicateValues" dxfId="193" priority="146"/>
  </conditionalFormatting>
  <conditionalFormatting sqref="B441:B443">
    <cfRule type="duplicateValues" dxfId="192" priority="138"/>
    <cfRule type="duplicateValues" dxfId="191" priority="139"/>
    <cfRule type="duplicateValues" dxfId="190" priority="140"/>
  </conditionalFormatting>
  <conditionalFormatting sqref="B203:B204">
    <cfRule type="duplicateValues" dxfId="189" priority="135"/>
    <cfRule type="duplicateValues" dxfId="188" priority="136"/>
    <cfRule type="duplicateValues" dxfId="187" priority="137"/>
  </conditionalFormatting>
  <conditionalFormatting sqref="B360:B367 B339:B341 B370 B372 B374:B381 B343:B358 B389:B393">
    <cfRule type="duplicateValues" dxfId="186" priority="3109"/>
    <cfRule type="duplicateValues" dxfId="185" priority="3110"/>
    <cfRule type="duplicateValues" dxfId="184" priority="3111"/>
  </conditionalFormatting>
  <conditionalFormatting sqref="B187">
    <cfRule type="duplicateValues" dxfId="183" priority="132"/>
    <cfRule type="duplicateValues" dxfId="182" priority="133"/>
    <cfRule type="duplicateValues" dxfId="181" priority="134"/>
  </conditionalFormatting>
  <conditionalFormatting sqref="B72:B75">
    <cfRule type="duplicateValues" dxfId="180" priority="5825"/>
    <cfRule type="duplicateValues" dxfId="179" priority="5826"/>
    <cfRule type="duplicateValues" dxfId="178" priority="5827"/>
  </conditionalFormatting>
  <conditionalFormatting sqref="B189:B197">
    <cfRule type="duplicateValues" dxfId="177" priority="6172"/>
    <cfRule type="duplicateValues" dxfId="176" priority="6173"/>
    <cfRule type="duplicateValues" dxfId="175" priority="6174"/>
  </conditionalFormatting>
  <conditionalFormatting sqref="B460:B475 B486:B487">
    <cfRule type="duplicateValues" dxfId="174" priority="114"/>
    <cfRule type="duplicateValues" dxfId="173" priority="115"/>
    <cfRule type="duplicateValues" dxfId="172" priority="116"/>
  </conditionalFormatting>
  <conditionalFormatting sqref="C460:C474">
    <cfRule type="duplicateValues" dxfId="171" priority="111"/>
    <cfRule type="duplicateValues" dxfId="170" priority="112"/>
    <cfRule type="duplicateValues" dxfId="169" priority="113"/>
  </conditionalFormatting>
  <conditionalFormatting sqref="B16:B17">
    <cfRule type="duplicateValues" dxfId="168" priority="108"/>
    <cfRule type="duplicateValues" dxfId="167" priority="109"/>
    <cfRule type="duplicateValues" dxfId="166" priority="110"/>
  </conditionalFormatting>
  <conditionalFormatting sqref="B40">
    <cfRule type="duplicateValues" dxfId="165" priority="105"/>
    <cfRule type="duplicateValues" dxfId="164" priority="106"/>
    <cfRule type="duplicateValues" dxfId="163" priority="107"/>
  </conditionalFormatting>
  <conditionalFormatting sqref="B110">
    <cfRule type="duplicateValues" dxfId="162" priority="102"/>
    <cfRule type="duplicateValues" dxfId="161" priority="103"/>
    <cfRule type="duplicateValues" dxfId="160" priority="104"/>
  </conditionalFormatting>
  <conditionalFormatting sqref="B198:B199">
    <cfRule type="duplicateValues" dxfId="159" priority="99"/>
    <cfRule type="duplicateValues" dxfId="158" priority="100"/>
    <cfRule type="duplicateValues" dxfId="157" priority="101"/>
  </conditionalFormatting>
  <conditionalFormatting sqref="B257:B266">
    <cfRule type="duplicateValues" dxfId="156" priority="96"/>
    <cfRule type="duplicateValues" dxfId="155" priority="97"/>
    <cfRule type="duplicateValues" dxfId="154" priority="98"/>
  </conditionalFormatting>
  <conditionalFormatting sqref="B335">
    <cfRule type="duplicateValues" dxfId="153" priority="93"/>
    <cfRule type="duplicateValues" dxfId="152" priority="94"/>
    <cfRule type="duplicateValues" dxfId="151" priority="95"/>
  </conditionalFormatting>
  <conditionalFormatting sqref="B368:B369">
    <cfRule type="duplicateValues" dxfId="150" priority="87"/>
    <cfRule type="duplicateValues" dxfId="149" priority="88"/>
    <cfRule type="duplicateValues" dxfId="148" priority="89"/>
  </conditionalFormatting>
  <conditionalFormatting sqref="B371">
    <cfRule type="duplicateValues" dxfId="147" priority="84"/>
    <cfRule type="duplicateValues" dxfId="146" priority="85"/>
    <cfRule type="duplicateValues" dxfId="145" priority="86"/>
  </conditionalFormatting>
  <conditionalFormatting sqref="B373">
    <cfRule type="duplicateValues" dxfId="144" priority="81"/>
    <cfRule type="duplicateValues" dxfId="143" priority="82"/>
    <cfRule type="duplicateValues" dxfId="142" priority="83"/>
  </conditionalFormatting>
  <conditionalFormatting sqref="B447">
    <cfRule type="duplicateValues" dxfId="141" priority="75"/>
    <cfRule type="duplicateValues" dxfId="140" priority="76"/>
    <cfRule type="duplicateValues" dxfId="139" priority="77"/>
  </conditionalFormatting>
  <conditionalFormatting sqref="B488">
    <cfRule type="duplicateValues" dxfId="138" priority="72"/>
    <cfRule type="duplicateValues" dxfId="137" priority="73"/>
    <cfRule type="duplicateValues" dxfId="136" priority="74"/>
  </conditionalFormatting>
  <conditionalFormatting sqref="B489">
    <cfRule type="duplicateValues" dxfId="135" priority="69"/>
    <cfRule type="duplicateValues" dxfId="134" priority="70"/>
    <cfRule type="duplicateValues" dxfId="133" priority="71"/>
  </conditionalFormatting>
  <conditionalFormatting sqref="B490">
    <cfRule type="duplicateValues" dxfId="132" priority="66"/>
    <cfRule type="duplicateValues" dxfId="131" priority="67"/>
    <cfRule type="duplicateValues" dxfId="130" priority="68"/>
  </conditionalFormatting>
  <conditionalFormatting sqref="B100">
    <cfRule type="duplicateValues" dxfId="129" priority="6882"/>
    <cfRule type="duplicateValues" dxfId="128" priority="6883"/>
    <cfRule type="duplicateValues" dxfId="127" priority="6884"/>
  </conditionalFormatting>
  <conditionalFormatting sqref="B491">
    <cfRule type="duplicateValues" dxfId="126" priority="63"/>
    <cfRule type="duplicateValues" dxfId="125" priority="64"/>
    <cfRule type="duplicateValues" dxfId="124" priority="65"/>
  </conditionalFormatting>
  <conditionalFormatting sqref="B359">
    <cfRule type="duplicateValues" dxfId="123" priority="7146"/>
    <cfRule type="duplicateValues" dxfId="122" priority="7147"/>
    <cfRule type="duplicateValues" dxfId="121" priority="7148"/>
  </conditionalFormatting>
  <conditionalFormatting sqref="B437">
    <cfRule type="duplicateValues" dxfId="120" priority="54"/>
    <cfRule type="duplicateValues" dxfId="119" priority="55"/>
    <cfRule type="duplicateValues" dxfId="118" priority="56"/>
  </conditionalFormatting>
  <conditionalFormatting sqref="C486">
    <cfRule type="duplicateValues" dxfId="117" priority="48"/>
    <cfRule type="duplicateValues" dxfId="116" priority="49"/>
    <cfRule type="duplicateValues" dxfId="115" priority="50"/>
  </conditionalFormatting>
  <conditionalFormatting sqref="B182">
    <cfRule type="duplicateValues" dxfId="114" priority="42"/>
    <cfRule type="duplicateValues" dxfId="113" priority="43"/>
    <cfRule type="duplicateValues" dxfId="112" priority="44"/>
  </conditionalFormatting>
  <conditionalFormatting sqref="B184:B186">
    <cfRule type="duplicateValues" dxfId="111" priority="39"/>
    <cfRule type="duplicateValues" dxfId="110" priority="40"/>
    <cfRule type="duplicateValues" dxfId="109" priority="41"/>
  </conditionalFormatting>
  <conditionalFormatting sqref="B97">
    <cfRule type="duplicateValues" dxfId="108" priority="36"/>
    <cfRule type="duplicateValues" dxfId="107" priority="37"/>
    <cfRule type="duplicateValues" dxfId="106" priority="38"/>
  </conditionalFormatting>
  <conditionalFormatting sqref="B409:B427">
    <cfRule type="duplicateValues" dxfId="105" priority="9093"/>
    <cfRule type="duplicateValues" dxfId="104" priority="9094"/>
    <cfRule type="duplicateValues" dxfId="103" priority="9095"/>
  </conditionalFormatting>
  <conditionalFormatting sqref="B163">
    <cfRule type="duplicateValues" dxfId="102" priority="33"/>
    <cfRule type="duplicateValues" dxfId="101" priority="34"/>
    <cfRule type="duplicateValues" dxfId="100" priority="35"/>
  </conditionalFormatting>
  <conditionalFormatting sqref="B342">
    <cfRule type="duplicateValues" dxfId="99" priority="30"/>
    <cfRule type="duplicateValues" dxfId="98" priority="31"/>
    <cfRule type="duplicateValues" dxfId="97" priority="32"/>
  </conditionalFormatting>
  <conditionalFormatting sqref="B496">
    <cfRule type="duplicateValues" dxfId="96" priority="10624"/>
    <cfRule type="duplicateValues" dxfId="95" priority="10625"/>
    <cfRule type="duplicateValues" dxfId="94" priority="10626"/>
  </conditionalFormatting>
  <conditionalFormatting sqref="C498:C525">
    <cfRule type="duplicateValues" dxfId="93" priority="21"/>
    <cfRule type="duplicateValues" dxfId="92" priority="22"/>
    <cfRule type="duplicateValues" dxfId="91" priority="23"/>
  </conditionalFormatting>
  <conditionalFormatting sqref="B498:B525">
    <cfRule type="duplicateValues" dxfId="90" priority="14"/>
    <cfRule type="duplicateValues" dxfId="89" priority="15"/>
    <cfRule type="duplicateValues" dxfId="88" priority="16"/>
    <cfRule type="duplicateValues" dxfId="87" priority="17"/>
  </conditionalFormatting>
  <conditionalFormatting sqref="B497">
    <cfRule type="duplicateValues" dxfId="86" priority="11"/>
    <cfRule type="duplicateValues" dxfId="85" priority="12"/>
    <cfRule type="duplicateValues" dxfId="84" priority="13"/>
  </conditionalFormatting>
  <conditionalFormatting sqref="B177:B178">
    <cfRule type="duplicateValues" dxfId="83" priority="10740"/>
    <cfRule type="duplicateValues" dxfId="82" priority="10741"/>
    <cfRule type="duplicateValues" dxfId="81" priority="10742"/>
  </conditionalFormatting>
  <conditionalFormatting sqref="B164:B166">
    <cfRule type="duplicateValues" dxfId="80" priority="11114"/>
    <cfRule type="duplicateValues" dxfId="79" priority="11115"/>
    <cfRule type="duplicateValues" dxfId="78" priority="11116"/>
  </conditionalFormatting>
  <conditionalFormatting sqref="B534:B540 B566:B575 B544:B562 B577">
    <cfRule type="duplicateValues" dxfId="77" priority="11684"/>
  </conditionalFormatting>
  <conditionalFormatting sqref="B576">
    <cfRule type="duplicateValues" dxfId="76" priority="10"/>
  </conditionalFormatting>
  <conditionalFormatting sqref="B277">
    <cfRule type="duplicateValues" dxfId="75" priority="7"/>
    <cfRule type="duplicateValues" dxfId="74" priority="8"/>
    <cfRule type="duplicateValues" dxfId="73" priority="9"/>
  </conditionalFormatting>
  <conditionalFormatting sqref="C487">
    <cfRule type="duplicateValues" dxfId="72" priority="4"/>
    <cfRule type="duplicateValues" dxfId="71" priority="5"/>
    <cfRule type="duplicateValues" dxfId="70" priority="6"/>
  </conditionalFormatting>
  <conditionalFormatting sqref="B319">
    <cfRule type="duplicateValues" dxfId="69" priority="14832"/>
    <cfRule type="duplicateValues" dxfId="68" priority="14833"/>
    <cfRule type="duplicateValues" dxfId="67" priority="14834"/>
  </conditionalFormatting>
  <hyperlinks>
    <hyperlink ref="C317" display="Долгосроч_договоры"/>
    <hyperlink ref="G3" location="Содержание!A1" display="Содержание"/>
    <hyperlink ref="C318" display="Долгосроч_договоры"/>
    <hyperlink ref="C319" display="Долгосроч_договоры"/>
  </hyperlinks>
  <pageMargins left="0.70866141732283472" right="0.70866141732283472" top="0.74803149606299213" bottom="0.74803149606299213" header="0.31496062992125984" footer="0.31496062992125984"/>
  <pageSetup paperSize="9" scale="32" fitToHeight="3" orientation="portrait" r:id="rId4"/>
  <rowBreaks count="5" manualBreakCount="5">
    <brk id="38" max="6" man="1"/>
    <brk id="154" max="6" man="1"/>
    <brk id="215" max="6" man="1"/>
    <brk id="316" max="6" man="1"/>
    <brk id="427" max="6" man="1"/>
  </rowBreaks>
  <ignoredErrors>
    <ignoredError sqref="E49 F1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pageSetUpPr fitToPage="1"/>
  </sheetPr>
  <dimension ref="A2:I16"/>
  <sheetViews>
    <sheetView topLeftCell="B10" workbookViewId="0">
      <selection activeCell="I8" sqref="I8"/>
    </sheetView>
  </sheetViews>
  <sheetFormatPr defaultColWidth="9.453125" defaultRowHeight="14.5"/>
  <cols>
    <col min="1" max="1" width="0.54296875" style="1955" hidden="1" customWidth="1"/>
    <col min="2" max="2" width="0.453125" style="1955" customWidth="1"/>
    <col min="3" max="3" width="0.54296875" style="1955" customWidth="1"/>
    <col min="4" max="4" width="45.453125" style="1955" customWidth="1"/>
    <col min="5" max="5" width="13" style="1955" customWidth="1"/>
    <col min="6" max="8" width="9.453125" style="1955"/>
    <col min="9" max="9" width="43.54296875" style="1955" customWidth="1"/>
    <col min="10" max="10" width="7.453125" style="1955" customWidth="1"/>
    <col min="11" max="16384" width="9.453125" style="1955"/>
  </cols>
  <sheetData>
    <row r="2" spans="3:9" ht="15" thickBot="1"/>
    <row r="3" spans="3:9">
      <c r="D3" s="1957"/>
      <c r="E3" s="1958"/>
      <c r="F3" s="1958"/>
      <c r="G3" s="1958"/>
      <c r="H3" s="1959"/>
      <c r="I3" s="3044" t="s">
        <v>1436</v>
      </c>
    </row>
    <row r="4" spans="3:9" ht="12.75" customHeight="1">
      <c r="D4" s="1960"/>
      <c r="E4" s="1961"/>
      <c r="F4" s="1961"/>
      <c r="G4" s="1961"/>
      <c r="H4" s="1962"/>
    </row>
    <row r="5" spans="3:9" ht="70.5" customHeight="1">
      <c r="D5" s="1960"/>
      <c r="E5" s="1961"/>
      <c r="F5" s="1961"/>
      <c r="G5" s="1961"/>
      <c r="H5" s="1962"/>
      <c r="I5" s="1987" t="s">
        <v>4932</v>
      </c>
    </row>
    <row r="6" spans="3:9" ht="30.75" customHeight="1">
      <c r="D6" s="1960"/>
      <c r="E6" s="1961"/>
      <c r="F6" s="1961"/>
      <c r="G6" s="1961"/>
      <c r="H6" s="1962"/>
    </row>
    <row r="7" spans="3:9" ht="15" thickBot="1">
      <c r="D7" s="1963"/>
      <c r="E7" s="1964"/>
      <c r="F7" s="1964"/>
      <c r="G7" s="1964"/>
      <c r="H7" s="1965"/>
    </row>
    <row r="8" spans="3:9">
      <c r="D8" s="1955" t="s">
        <v>637</v>
      </c>
    </row>
    <row r="9" spans="3:9">
      <c r="C9" s="1991" t="s">
        <v>4935</v>
      </c>
    </row>
    <row r="10" spans="3:9">
      <c r="D10" s="1988" t="s">
        <v>99</v>
      </c>
      <c r="E10" s="1988"/>
      <c r="F10" s="1988"/>
      <c r="G10" s="1988"/>
      <c r="H10" s="1988"/>
      <c r="I10" s="1988"/>
    </row>
    <row r="11" spans="3:9">
      <c r="D11" s="1988" t="s">
        <v>100</v>
      </c>
      <c r="E11" s="1988"/>
      <c r="F11" s="1988"/>
      <c r="G11" s="1988"/>
      <c r="H11" s="1988"/>
      <c r="I11" s="1988"/>
    </row>
    <row r="12" spans="3:9" ht="14.25" customHeight="1">
      <c r="D12" s="1988" t="s">
        <v>5105</v>
      </c>
      <c r="E12" s="1988"/>
      <c r="F12" s="1988"/>
      <c r="G12" s="1988"/>
      <c r="H12" s="1988"/>
      <c r="I12" s="1988"/>
    </row>
    <row r="13" spans="3:9">
      <c r="D13" s="1988" t="s">
        <v>5106</v>
      </c>
      <c r="E13" s="1988"/>
      <c r="F13" s="1988"/>
      <c r="G13" s="1988"/>
      <c r="H13" s="1989"/>
      <c r="I13" s="1990"/>
    </row>
    <row r="15" spans="3:9" ht="15" thickBot="1"/>
    <row r="16" spans="3:9" ht="15" thickBot="1">
      <c r="D16" s="1985" t="s">
        <v>650</v>
      </c>
      <c r="E16" s="1986" t="b">
        <v>0</v>
      </c>
    </row>
  </sheetData>
  <sheetProtection algorithmName="SHA-512" hashValue="QLUeb/fAmwFwppVzOlycL9XGghThfPRLUiL4gbMahuSmXoarjfFmIVb4DX81tY/v62AKcv3ofeGtixC5cd56wQ==" saltValue="X/ZRa9IGNDFmniRYdP/NEg==" spinCount="100000" sheet="1" objects="1" scenarios="1" formatColumns="0" formatRows="0" autoFilter="0"/>
  <dataConsolidate/>
  <phoneticPr fontId="0" type="noConversion"/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250" r:id="rId4" name="Button 2">
              <controlPr defaultSize="0" print="0" autoFill="0" autoPict="0" macro="[0]!даты">
                <anchor moveWithCells="1">
                  <from>
                    <xdr:col>3</xdr:col>
                    <xdr:colOff>641350</xdr:colOff>
                    <xdr:row>3</xdr:row>
                    <xdr:rowOff>107950</xdr:rowOff>
                  </from>
                  <to>
                    <xdr:col>7</xdr:col>
                    <xdr:colOff>184150</xdr:colOff>
                    <xdr:row>4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pageSetUpPr fitToPage="1"/>
  </sheetPr>
  <dimension ref="A1:L39"/>
  <sheetViews>
    <sheetView topLeftCell="B28" workbookViewId="0">
      <selection activeCell="H40" sqref="H40"/>
    </sheetView>
  </sheetViews>
  <sheetFormatPr defaultColWidth="9.453125" defaultRowHeight="14.5"/>
  <cols>
    <col min="1" max="1" width="0.54296875" style="1955" hidden="1" customWidth="1"/>
    <col min="2" max="2" width="0.453125" style="1955" customWidth="1"/>
    <col min="3" max="3" width="0.54296875" style="1955" customWidth="1"/>
    <col min="4" max="4" width="45.453125" style="1955" customWidth="1"/>
    <col min="5" max="5" width="13" style="1955" customWidth="1"/>
    <col min="6" max="8" width="9.453125" style="1955"/>
    <col min="9" max="9" width="132.81640625" style="1955" customWidth="1"/>
    <col min="10" max="10" width="7.453125" style="1955" customWidth="1"/>
    <col min="11" max="16384" width="9.453125" style="1955"/>
  </cols>
  <sheetData>
    <row r="1" spans="3:12">
      <c r="L1" s="1955" t="s">
        <v>10001</v>
      </c>
    </row>
    <row r="2" spans="3:12" ht="15" thickBot="1">
      <c r="L2" s="1955">
        <v>10000</v>
      </c>
    </row>
    <row r="3" spans="3:12">
      <c r="D3" s="1957"/>
      <c r="E3" s="1958"/>
      <c r="F3" s="1958"/>
      <c r="G3" s="1958"/>
      <c r="H3" s="1959"/>
      <c r="I3" s="3044" t="s">
        <v>1436</v>
      </c>
      <c r="L3" s="1955">
        <v>10018</v>
      </c>
    </row>
    <row r="4" spans="3:12" ht="12.75" customHeight="1">
      <c r="D4" s="1960"/>
      <c r="E4" s="1961"/>
      <c r="F4" s="1961"/>
      <c r="G4" s="1961"/>
      <c r="H4" s="1962"/>
      <c r="L4" s="1955">
        <v>10015</v>
      </c>
    </row>
    <row r="5" spans="3:12" ht="70.5" customHeight="1">
      <c r="D5" s="1960"/>
      <c r="E5" s="1961"/>
      <c r="F5" s="1961"/>
      <c r="G5" s="1961"/>
      <c r="H5" s="1962"/>
      <c r="I5" s="1987" t="s">
        <v>4932</v>
      </c>
    </row>
    <row r="6" spans="3:12" ht="30.75" customHeight="1">
      <c r="D6" s="1960"/>
      <c r="E6" s="1961"/>
      <c r="F6" s="1961"/>
      <c r="G6" s="1961"/>
      <c r="H6" s="1962"/>
    </row>
    <row r="7" spans="3:12" ht="15" thickBot="1">
      <c r="D7" s="1963"/>
      <c r="E7" s="1964"/>
      <c r="F7" s="1964"/>
      <c r="G7" s="1964"/>
      <c r="H7" s="1965"/>
    </row>
    <row r="8" spans="3:12">
      <c r="D8" s="1955" t="s">
        <v>10008</v>
      </c>
    </row>
    <row r="9" spans="3:12">
      <c r="C9" s="1991" t="s">
        <v>4935</v>
      </c>
    </row>
    <row r="10" spans="3:12">
      <c r="D10" s="1988" t="s">
        <v>10010</v>
      </c>
      <c r="E10" s="1988"/>
      <c r="F10" s="1988"/>
      <c r="G10" s="1988"/>
      <c r="H10" s="1988"/>
      <c r="I10" s="1988"/>
    </row>
    <row r="11" spans="3:12">
      <c r="D11" s="1988" t="s">
        <v>10002</v>
      </c>
      <c r="E11" s="1988"/>
      <c r="F11" s="1988"/>
      <c r="G11" s="1988"/>
      <c r="H11" s="1988"/>
      <c r="I11" s="1988"/>
    </row>
    <row r="12" spans="3:12" ht="14.25" customHeight="1">
      <c r="D12" s="1988" t="s">
        <v>10003</v>
      </c>
      <c r="E12" s="1988"/>
      <c r="F12" s="1988"/>
      <c r="G12" s="1988"/>
      <c r="H12" s="1988"/>
      <c r="I12" s="1988"/>
    </row>
    <row r="13" spans="3:12">
      <c r="D13" s="1988" t="s">
        <v>5106</v>
      </c>
      <c r="E13" s="1988"/>
      <c r="F13" s="1988"/>
      <c r="G13" s="1988"/>
      <c r="H13" s="1989"/>
      <c r="I13" s="1990"/>
    </row>
    <row r="15" spans="3:12" ht="15" thickBot="1"/>
    <row r="16" spans="3:12" ht="15" thickBot="1">
      <c r="D16" s="1985" t="s">
        <v>10004</v>
      </c>
      <c r="E16" s="1986" t="b">
        <v>0</v>
      </c>
    </row>
    <row r="19" spans="4:6" ht="15" thickBot="1">
      <c r="D19" s="1955" t="s">
        <v>10005</v>
      </c>
    </row>
    <row r="20" spans="4:6" ht="43.5">
      <c r="D20" s="3218" t="s">
        <v>638</v>
      </c>
      <c r="E20" s="3221" t="s">
        <v>10006</v>
      </c>
      <c r="F20" s="3221" t="s">
        <v>10007</v>
      </c>
    </row>
    <row r="21" spans="4:6">
      <c r="D21" s="3219" t="s">
        <v>423</v>
      </c>
      <c r="E21" s="3220">
        <v>14</v>
      </c>
      <c r="F21" s="3220">
        <v>15</v>
      </c>
    </row>
    <row r="22" spans="4:6">
      <c r="D22" s="3219" t="s">
        <v>424</v>
      </c>
      <c r="E22" s="3220">
        <v>6</v>
      </c>
      <c r="F22" s="3220">
        <v>7</v>
      </c>
    </row>
    <row r="23" spans="4:6">
      <c r="D23" s="3219" t="s">
        <v>424</v>
      </c>
      <c r="E23" s="3220">
        <v>37</v>
      </c>
      <c r="F23" s="3220">
        <v>38</v>
      </c>
    </row>
    <row r="24" spans="4:6">
      <c r="D24" s="3219" t="s">
        <v>4289</v>
      </c>
      <c r="E24" s="3220">
        <v>31</v>
      </c>
      <c r="F24" s="3220">
        <v>32</v>
      </c>
    </row>
    <row r="25" spans="4:6">
      <c r="D25" s="3219" t="s">
        <v>4296</v>
      </c>
      <c r="E25" s="3220">
        <v>4</v>
      </c>
      <c r="F25" s="3220">
        <v>5</v>
      </c>
    </row>
    <row r="26" spans="4:6">
      <c r="D26" s="3219" t="s">
        <v>4298</v>
      </c>
      <c r="E26" s="3220">
        <v>4</v>
      </c>
      <c r="F26" s="3220">
        <v>5</v>
      </c>
    </row>
    <row r="27" spans="4:6">
      <c r="D27" s="3219" t="s">
        <v>4300</v>
      </c>
      <c r="E27" s="3220">
        <v>5</v>
      </c>
      <c r="F27" s="3220">
        <v>6</v>
      </c>
    </row>
    <row r="28" spans="4:6">
      <c r="D28" s="3219" t="s">
        <v>4302</v>
      </c>
      <c r="E28" s="3220">
        <v>5</v>
      </c>
      <c r="F28" s="3220">
        <v>6</v>
      </c>
    </row>
    <row r="29" spans="4:6">
      <c r="D29" s="3219" t="s">
        <v>222</v>
      </c>
      <c r="E29" s="3220">
        <v>9</v>
      </c>
      <c r="F29" s="3220">
        <v>10</v>
      </c>
    </row>
    <row r="30" spans="4:6">
      <c r="D30" s="3219" t="s">
        <v>2829</v>
      </c>
      <c r="E30" s="3220">
        <v>12</v>
      </c>
      <c r="F30" s="3220">
        <v>13</v>
      </c>
    </row>
    <row r="31" spans="4:6">
      <c r="D31" s="3219" t="s">
        <v>5042</v>
      </c>
      <c r="E31" s="3220">
        <v>4</v>
      </c>
      <c r="F31" s="3220">
        <v>5</v>
      </c>
    </row>
    <row r="32" spans="4:6">
      <c r="D32" s="3219" t="s">
        <v>5040</v>
      </c>
      <c r="E32" s="3220">
        <v>4</v>
      </c>
      <c r="F32" s="3220">
        <v>5</v>
      </c>
    </row>
    <row r="33" spans="4:6">
      <c r="D33" s="3219" t="s">
        <v>5268</v>
      </c>
      <c r="E33" s="3220">
        <v>4</v>
      </c>
      <c r="F33" s="3220">
        <v>5</v>
      </c>
    </row>
    <row r="34" spans="4:6">
      <c r="D34" s="3219" t="s">
        <v>8379</v>
      </c>
      <c r="E34" s="3220">
        <v>5</v>
      </c>
      <c r="F34" s="3220">
        <v>6</v>
      </c>
    </row>
    <row r="35" spans="4:6">
      <c r="D35" s="3219" t="s">
        <v>224</v>
      </c>
      <c r="E35" s="3220">
        <v>4</v>
      </c>
      <c r="F35" s="3220">
        <v>5</v>
      </c>
    </row>
    <row r="36" spans="4:6">
      <c r="D36" s="3219" t="s">
        <v>1799</v>
      </c>
      <c r="E36" s="3220">
        <v>4</v>
      </c>
      <c r="F36" s="3220">
        <v>5</v>
      </c>
    </row>
    <row r="37" spans="4:6">
      <c r="D37" s="3219" t="s">
        <v>5266</v>
      </c>
      <c r="E37" s="3220">
        <v>7</v>
      </c>
      <c r="F37" s="3220">
        <v>8</v>
      </c>
    </row>
    <row r="38" spans="4:6">
      <c r="D38" s="3219" t="s">
        <v>3525</v>
      </c>
      <c r="E38" s="3220">
        <v>6</v>
      </c>
      <c r="F38" s="3220">
        <v>7</v>
      </c>
    </row>
    <row r="39" spans="4:6">
      <c r="D39" s="3219" t="s">
        <v>10300</v>
      </c>
      <c r="E39" s="3220">
        <v>10</v>
      </c>
      <c r="F39" s="3220">
        <v>9</v>
      </c>
    </row>
  </sheetData>
  <sheetProtection algorithmName="SHA-512" hashValue="Bc/OskFYK14UgL5d8RSV8rE4XqwF7qXMxMXbaNjZewedgXBGrzHnBEiH6pyugpSyVk9FI1CftQUa+15PHWgXMQ==" saltValue="sTFre6k+B14my5k1MnJdqA==" spinCount="100000" sheet="1" objects="1" scenarios="1" formatColumns="0" formatRows="0" autoFilter="0"/>
  <dataConsolidate/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3665" r:id="rId4" name="Button 1">
              <controlPr defaultSize="0" print="0" autoFill="0" autoPict="0" macro="[0]!ГИД">
                <anchor moveWithCells="1">
                  <from>
                    <xdr:col>3</xdr:col>
                    <xdr:colOff>641350</xdr:colOff>
                    <xdr:row>3</xdr:row>
                    <xdr:rowOff>107950</xdr:rowOff>
                  </from>
                  <to>
                    <xdr:col>7</xdr:col>
                    <xdr:colOff>184150</xdr:colOff>
                    <xdr:row>4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"/>
  <sheetViews>
    <sheetView workbookViewId="0">
      <selection activeCell="F17" sqref="F17"/>
    </sheetView>
  </sheetViews>
  <sheetFormatPr defaultRowHeight="14.5"/>
  <cols>
    <col min="1" max="1" width="15.54296875" customWidth="1"/>
    <col min="2" max="2" width="20.453125" customWidth="1"/>
    <col min="3" max="3" width="20.54296875" customWidth="1"/>
  </cols>
  <sheetData>
    <row r="1" spans="1:3" ht="15" thickBot="1">
      <c r="A1" s="1956" t="s">
        <v>638</v>
      </c>
      <c r="B1" s="1966" t="s">
        <v>639</v>
      </c>
      <c r="C1" s="1967" t="s">
        <v>640</v>
      </c>
    </row>
  </sheetData>
  <sheetProtection algorithmName="SHA-512" hashValue="c44/QMU8001+NBi0s5anoFmmDJPgzFH+vkC4AbRFlrR9Zi1Fgj3TECwNnqb2bnE6+QehgXnPr+Uo8x4uAtOZWQ==" saltValue="aF1hUwgDHt2aiIM6Wa8qeg==" spinCount="100000" sheet="1" objects="1" scenarios="1" formatColumns="0" formatRows="0" autoFilter="0"/>
  <phoneticPr fontId="0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29"/>
  <sheetViews>
    <sheetView workbookViewId="0">
      <selection activeCell="F2" sqref="F2:F29"/>
    </sheetView>
  </sheetViews>
  <sheetFormatPr defaultRowHeight="14.5"/>
  <cols>
    <col min="1" max="1" width="20.453125" customWidth="1"/>
    <col min="2" max="2" width="13.54296875" customWidth="1"/>
    <col min="3" max="3" width="14.453125" customWidth="1"/>
  </cols>
  <sheetData>
    <row r="1" spans="1:6" ht="15" thickBot="1">
      <c r="A1" s="1968" t="s">
        <v>638</v>
      </c>
      <c r="B1" s="1969" t="s">
        <v>639</v>
      </c>
      <c r="C1" s="1970" t="s">
        <v>640</v>
      </c>
      <c r="D1" s="1797" t="s">
        <v>641</v>
      </c>
    </row>
    <row r="2" spans="1:6">
      <c r="A2" s="3404" t="s">
        <v>424</v>
      </c>
      <c r="B2" s="2410">
        <v>8</v>
      </c>
      <c r="C2" s="3064">
        <v>10</v>
      </c>
      <c r="D2" s="2410" t="s">
        <v>6237</v>
      </c>
      <c r="E2" s="2127" t="b">
        <f ca="1">Долгосроч_договоры!CW9</f>
        <v>1</v>
      </c>
      <c r="F2" s="3404" t="str">
        <f>CONCATENATE(A2," ","столбец"," ",D2)</f>
        <v>Долгосроч_договоры столбец H</v>
      </c>
    </row>
    <row r="3" spans="1:6" s="3404" customFormat="1">
      <c r="A3" s="3404" t="s">
        <v>424</v>
      </c>
      <c r="B3" s="2410">
        <v>21</v>
      </c>
      <c r="C3" s="3064">
        <v>10</v>
      </c>
      <c r="D3" s="2410" t="s">
        <v>14238</v>
      </c>
      <c r="E3" s="2127" t="b">
        <f ca="1">Долгосроч_договоры!CX9</f>
        <v>1</v>
      </c>
      <c r="F3" s="3404" t="str">
        <f>CONCATENATE(A3," ","столбец"," ",D3)</f>
        <v>Долгосроч_договоры столбец U</v>
      </c>
    </row>
    <row r="4" spans="1:6" s="3404" customFormat="1">
      <c r="A4" s="3404" t="s">
        <v>424</v>
      </c>
      <c r="B4" s="2410">
        <v>22</v>
      </c>
      <c r="C4" s="3064">
        <v>10</v>
      </c>
      <c r="D4" s="2410" t="s">
        <v>14239</v>
      </c>
      <c r="E4" s="2127" t="b">
        <f ca="1">Долгосроч_договоры!CY9</f>
        <v>1</v>
      </c>
      <c r="F4" s="3404" t="str">
        <f>CONCATENATE(A4," ","столбец"," ",D4)</f>
        <v>Долгосроч_договоры столбец V</v>
      </c>
    </row>
    <row r="5" spans="1:6" s="3404" customFormat="1">
      <c r="A5" s="2410" t="s">
        <v>222</v>
      </c>
      <c r="B5" s="2410">
        <v>7</v>
      </c>
      <c r="C5" s="2410">
        <v>9</v>
      </c>
      <c r="D5" s="2410" t="s">
        <v>642</v>
      </c>
      <c r="E5" s="2127" t="b">
        <f ca="1">Фин_договоры!BC6</f>
        <v>1</v>
      </c>
      <c r="F5" s="3404" t="str">
        <f t="shared" ref="F5:F29" si="0">CONCATENATE(A5," ","столбец"," ",D5)</f>
        <v>Фин_договоры столбец G</v>
      </c>
    </row>
    <row r="6" spans="1:6">
      <c r="A6" s="3404" t="s">
        <v>222</v>
      </c>
      <c r="B6" s="2410">
        <v>11</v>
      </c>
      <c r="C6" s="3404">
        <v>9</v>
      </c>
      <c r="D6" s="2410" t="s">
        <v>643</v>
      </c>
      <c r="E6" s="2127" t="b">
        <f ca="1">Фин_договоры!BD6</f>
        <v>1</v>
      </c>
      <c r="F6" s="3404" t="str">
        <f t="shared" si="0"/>
        <v>Фин_договоры столбец K</v>
      </c>
    </row>
    <row r="7" spans="1:6" s="1971" customFormat="1">
      <c r="A7" s="3404" t="s">
        <v>222</v>
      </c>
      <c r="B7" s="2410">
        <v>12</v>
      </c>
      <c r="C7" s="3404">
        <v>9</v>
      </c>
      <c r="D7" s="2410" t="s">
        <v>6325</v>
      </c>
      <c r="E7" s="2127" t="b">
        <f ca="1">Фин_договоры!BE6</f>
        <v>1</v>
      </c>
      <c r="F7" s="3404" t="str">
        <f t="shared" si="0"/>
        <v>Фин_договоры столбец L</v>
      </c>
    </row>
    <row r="8" spans="1:6">
      <c r="A8" s="3404" t="s">
        <v>222</v>
      </c>
      <c r="B8" s="2410">
        <v>14</v>
      </c>
      <c r="C8" s="3404">
        <v>9</v>
      </c>
      <c r="D8" s="2410" t="s">
        <v>6326</v>
      </c>
      <c r="E8" s="2127" t="b">
        <f ca="1">Фин_договоры!BF6</f>
        <v>1</v>
      </c>
      <c r="F8" s="3404" t="str">
        <f t="shared" si="0"/>
        <v>Фин_договоры столбец N</v>
      </c>
    </row>
    <row r="9" spans="1:6">
      <c r="A9" s="3404" t="s">
        <v>222</v>
      </c>
      <c r="B9" s="2410">
        <v>27</v>
      </c>
      <c r="C9" s="3404">
        <v>9</v>
      </c>
      <c r="D9" s="2410" t="s">
        <v>647</v>
      </c>
      <c r="E9" s="2127" t="b">
        <f ca="1">Фин_договоры!BG6</f>
        <v>1</v>
      </c>
      <c r="F9" s="3404" t="str">
        <f t="shared" si="0"/>
        <v>Фин_договоры столбец AA</v>
      </c>
    </row>
    <row r="10" spans="1:6">
      <c r="A10" s="3404" t="s">
        <v>222</v>
      </c>
      <c r="B10" s="2410">
        <v>28</v>
      </c>
      <c r="C10" s="3404">
        <v>9</v>
      </c>
      <c r="D10" s="2410" t="s">
        <v>648</v>
      </c>
      <c r="E10" s="2127" t="b">
        <f ca="1">Фин_договоры!BH6</f>
        <v>1</v>
      </c>
      <c r="F10" s="3404" t="str">
        <f t="shared" si="0"/>
        <v>Фин_договоры столбец AB</v>
      </c>
    </row>
    <row r="11" spans="1:6">
      <c r="A11" s="3404" t="s">
        <v>222</v>
      </c>
      <c r="B11" s="2410">
        <v>29</v>
      </c>
      <c r="C11" s="3404">
        <v>9</v>
      </c>
      <c r="D11" s="2410" t="s">
        <v>649</v>
      </c>
      <c r="E11" s="2127" t="b">
        <f ca="1">Фин_договоры!BI6</f>
        <v>1</v>
      </c>
      <c r="F11" s="3404" t="str">
        <f t="shared" si="0"/>
        <v>Фин_договоры столбец AC</v>
      </c>
    </row>
    <row r="12" spans="1:6">
      <c r="A12" s="3404" t="s">
        <v>222</v>
      </c>
      <c r="B12" s="2410">
        <v>30</v>
      </c>
      <c r="C12" s="3404">
        <v>9</v>
      </c>
      <c r="D12" s="2410" t="s">
        <v>6327</v>
      </c>
      <c r="E12" s="2127" t="b">
        <f ca="1">Фин_договоры!BJ6</f>
        <v>1</v>
      </c>
      <c r="F12" s="3404" t="str">
        <f t="shared" si="0"/>
        <v>Фин_договоры столбец AD</v>
      </c>
    </row>
    <row r="13" spans="1:6">
      <c r="A13" s="3404" t="s">
        <v>2829</v>
      </c>
      <c r="B13" s="2410">
        <v>10</v>
      </c>
      <c r="C13" s="3404">
        <v>13</v>
      </c>
      <c r="D13" s="2410" t="s">
        <v>645</v>
      </c>
      <c r="E13" s="2127" t="b">
        <f ca="1">'58_02_движ'!AE12</f>
        <v>1</v>
      </c>
      <c r="F13" s="3404" t="str">
        <f t="shared" si="0"/>
        <v>58_02_движ столбец J</v>
      </c>
    </row>
    <row r="14" spans="1:6">
      <c r="A14" s="3404" t="s">
        <v>2832</v>
      </c>
      <c r="B14" s="2410">
        <v>11</v>
      </c>
      <c r="C14" s="3404">
        <v>12</v>
      </c>
      <c r="D14" s="2410" t="s">
        <v>643</v>
      </c>
      <c r="E14" s="2127" t="b">
        <f ca="1">'58_04'!AH9</f>
        <v>1</v>
      </c>
      <c r="F14" s="3404" t="str">
        <f t="shared" si="0"/>
        <v>58_04 столбец K</v>
      </c>
    </row>
    <row r="15" spans="1:6">
      <c r="A15" s="3404" t="s">
        <v>5042</v>
      </c>
      <c r="B15" s="2410">
        <v>7</v>
      </c>
      <c r="C15" s="3404">
        <v>10</v>
      </c>
      <c r="D15" s="2410" t="s">
        <v>642</v>
      </c>
      <c r="E15" s="2127" t="b">
        <f ca="1">ДП_полученные!Z9</f>
        <v>1</v>
      </c>
      <c r="F15" s="3404" t="str">
        <f t="shared" si="0"/>
        <v>ДП_полученные столбец G</v>
      </c>
    </row>
    <row r="16" spans="1:6">
      <c r="A16" s="3404" t="s">
        <v>5042</v>
      </c>
      <c r="B16" s="2410">
        <v>13</v>
      </c>
      <c r="C16" s="3404">
        <v>10</v>
      </c>
      <c r="D16" s="2410" t="s">
        <v>646</v>
      </c>
      <c r="E16" s="2127" t="b">
        <f ca="1">ДП_полученные!AA9</f>
        <v>1</v>
      </c>
      <c r="F16" s="3404" t="str">
        <f t="shared" si="0"/>
        <v>ДП_полученные столбец M</v>
      </c>
    </row>
    <row r="17" spans="1:6">
      <c r="A17" s="3404" t="s">
        <v>5042</v>
      </c>
      <c r="B17" s="2410">
        <v>14</v>
      </c>
      <c r="C17" s="3404">
        <v>10</v>
      </c>
      <c r="D17" s="2410" t="s">
        <v>6326</v>
      </c>
      <c r="E17" s="2127" t="b">
        <f ca="1">ДП_полученные!AB9</f>
        <v>1</v>
      </c>
      <c r="F17" s="3404" t="str">
        <f t="shared" si="0"/>
        <v>ДП_полученные столбец N</v>
      </c>
    </row>
    <row r="18" spans="1:6">
      <c r="A18" s="3404" t="s">
        <v>5040</v>
      </c>
      <c r="B18" s="2410">
        <v>7</v>
      </c>
      <c r="C18" s="3404">
        <v>10</v>
      </c>
      <c r="D18" s="2410" t="s">
        <v>642</v>
      </c>
      <c r="E18" s="2127" t="b">
        <f ca="1">ДП_выданные!X9</f>
        <v>1</v>
      </c>
      <c r="F18" s="3404" t="str">
        <f t="shared" si="0"/>
        <v>ДП_выданные столбец G</v>
      </c>
    </row>
    <row r="19" spans="1:6">
      <c r="A19" s="3404" t="s">
        <v>5040</v>
      </c>
      <c r="B19" s="2410">
        <v>12</v>
      </c>
      <c r="C19" s="3404">
        <v>10</v>
      </c>
      <c r="D19" s="2410" t="s">
        <v>6325</v>
      </c>
      <c r="E19" s="2127" t="b">
        <f ca="1">ДП_выданные!Y9</f>
        <v>1</v>
      </c>
      <c r="F19" s="3404" t="str">
        <f t="shared" si="0"/>
        <v>ДП_выданные столбец L</v>
      </c>
    </row>
    <row r="20" spans="1:6">
      <c r="A20" s="3404" t="s">
        <v>5040</v>
      </c>
      <c r="B20" s="2410">
        <v>13</v>
      </c>
      <c r="C20" s="3404">
        <v>10</v>
      </c>
      <c r="D20" s="2410" t="s">
        <v>646</v>
      </c>
      <c r="E20" s="2127" t="b">
        <f ca="1">ДП_выданные!Z9</f>
        <v>1</v>
      </c>
      <c r="F20" s="3404" t="str">
        <f t="shared" si="0"/>
        <v>ДП_выданные столбец M</v>
      </c>
    </row>
    <row r="21" spans="1:6">
      <c r="A21" s="3404" t="s">
        <v>5268</v>
      </c>
      <c r="B21" s="2410">
        <v>7</v>
      </c>
      <c r="C21" s="3404">
        <v>10</v>
      </c>
      <c r="D21" s="2410" t="s">
        <v>642</v>
      </c>
      <c r="E21" s="2127" t="b">
        <f ca="1">ОКХ!W5</f>
        <v>1</v>
      </c>
      <c r="F21" s="3404" t="str">
        <f t="shared" si="0"/>
        <v>ОКХ столбец G</v>
      </c>
    </row>
    <row r="22" spans="1:6">
      <c r="A22" s="3404" t="s">
        <v>5268</v>
      </c>
      <c r="B22" s="2410">
        <v>8</v>
      </c>
      <c r="C22" s="3404">
        <v>10</v>
      </c>
      <c r="D22" s="2410" t="s">
        <v>6237</v>
      </c>
      <c r="E22" s="2127" t="b">
        <f ca="1">ОКХ!X5</f>
        <v>1</v>
      </c>
      <c r="F22" s="3404" t="str">
        <f t="shared" si="0"/>
        <v>ОКХ столбец H</v>
      </c>
    </row>
    <row r="23" spans="1:6">
      <c r="A23" s="2410" t="s">
        <v>8379</v>
      </c>
      <c r="B23" s="2410">
        <v>8</v>
      </c>
      <c r="C23" s="3404">
        <v>15</v>
      </c>
      <c r="D23" s="2410" t="s">
        <v>6237</v>
      </c>
      <c r="E23" s="2127" t="b">
        <f>'60,62,63,76_контр'!BZ6</f>
        <v>1</v>
      </c>
      <c r="F23" s="3404" t="str">
        <f t="shared" si="0"/>
        <v>60,62,63,76_контр столбец H</v>
      </c>
    </row>
    <row r="24" spans="1:6">
      <c r="A24" s="2410" t="s">
        <v>8379</v>
      </c>
      <c r="B24" s="2410">
        <v>12</v>
      </c>
      <c r="C24" s="3404">
        <v>15</v>
      </c>
      <c r="D24" s="2410" t="s">
        <v>6325</v>
      </c>
      <c r="E24" s="2127" t="b">
        <f>'60,62,63,76_контр'!CA6</f>
        <v>1</v>
      </c>
      <c r="F24" s="3404" t="str">
        <f t="shared" si="0"/>
        <v>60,62,63,76_контр столбец L</v>
      </c>
    </row>
    <row r="25" spans="1:6">
      <c r="A25" s="3063" t="s">
        <v>8379</v>
      </c>
      <c r="B25" s="3063">
        <v>13</v>
      </c>
      <c r="C25" s="3064">
        <v>15</v>
      </c>
      <c r="D25" s="3063" t="s">
        <v>646</v>
      </c>
      <c r="E25" s="2127" t="b">
        <f>'60,62,63,76_контр'!CB6</f>
        <v>1</v>
      </c>
      <c r="F25" s="3404" t="str">
        <f t="shared" si="0"/>
        <v>60,62,63,76_контр столбец M</v>
      </c>
    </row>
    <row r="26" spans="1:6" s="3061" customFormat="1">
      <c r="A26" s="2410" t="s">
        <v>5038</v>
      </c>
      <c r="B26" s="2410">
        <v>6</v>
      </c>
      <c r="C26" s="2410">
        <v>12</v>
      </c>
      <c r="D26" s="2410" t="s">
        <v>644</v>
      </c>
      <c r="E26" s="2127" t="b">
        <f ca="1">Налог_пров!AI11</f>
        <v>1</v>
      </c>
      <c r="F26" s="3404" t="str">
        <f t="shared" si="0"/>
        <v>Налог_пров столбец F</v>
      </c>
    </row>
    <row r="27" spans="1:6">
      <c r="A27" s="3404" t="s">
        <v>1799</v>
      </c>
      <c r="B27" s="2410">
        <v>8</v>
      </c>
      <c r="C27" s="3404">
        <v>10</v>
      </c>
      <c r="D27" s="2410" t="s">
        <v>6237</v>
      </c>
      <c r="E27" s="2127" t="b">
        <f ca="1">'75_01_Неденеж'!K9</f>
        <v>1</v>
      </c>
      <c r="F27" s="3404" t="str">
        <f t="shared" si="0"/>
        <v>75_01_Неденеж столбец H</v>
      </c>
    </row>
    <row r="28" spans="1:6">
      <c r="A28" s="3404">
        <v>86</v>
      </c>
      <c r="B28" s="2410">
        <v>7</v>
      </c>
      <c r="C28" s="3404">
        <v>15</v>
      </c>
      <c r="D28" s="2410" t="s">
        <v>642</v>
      </c>
      <c r="E28" s="2127" t="b">
        <f ca="1">'86'!AM11</f>
        <v>1</v>
      </c>
      <c r="F28" s="3404" t="str">
        <f t="shared" si="0"/>
        <v>86 столбец G</v>
      </c>
    </row>
    <row r="29" spans="1:6">
      <c r="A29" t="s">
        <v>10300</v>
      </c>
      <c r="B29" s="2410"/>
      <c r="D29" s="3063" t="s">
        <v>646</v>
      </c>
      <c r="E29" s="2127" t="b">
        <f ca="1">Зарубежная_выручка!V10</f>
        <v>1</v>
      </c>
      <c r="F29" s="3404" t="str">
        <f t="shared" si="0"/>
        <v>Зарубежная_выручка столбец M</v>
      </c>
    </row>
  </sheetData>
  <sheetProtection algorithmName="SHA-512" hashValue="QI7FTRfUnVtAJOKR/xgKMBX5OIyCjKSbRUQZ3aPuOFIgKbWXwI9tbHHCMDI/FEITruMyk4zUJSEm9UwxgnJ30w==" saltValue="spuXWTFv9PNTT1sToraKJw==" spinCount="100000" sheet="1" objects="1" scenarios="1" formatColumns="0" formatRows="0" autoFilter="0"/>
  <phoneticPr fontId="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P107"/>
  <sheetViews>
    <sheetView workbookViewId="0">
      <selection activeCell="I12" sqref="I12"/>
    </sheetView>
  </sheetViews>
  <sheetFormatPr defaultRowHeight="14.5"/>
  <sheetData>
    <row r="1" spans="1:42">
      <c r="A1" s="1972" t="s">
        <v>424</v>
      </c>
      <c r="B1" s="1972" t="s">
        <v>222</v>
      </c>
      <c r="C1" s="1972" t="s">
        <v>222</v>
      </c>
      <c r="D1" s="1972" t="s">
        <v>222</v>
      </c>
      <c r="E1" s="1972" t="s">
        <v>222</v>
      </c>
      <c r="F1" s="1972" t="s">
        <v>222</v>
      </c>
      <c r="G1" s="1972" t="s">
        <v>222</v>
      </c>
      <c r="H1" s="1973" t="s">
        <v>222</v>
      </c>
      <c r="I1" s="1973" t="s">
        <v>222</v>
      </c>
      <c r="J1" s="1973" t="s">
        <v>2829</v>
      </c>
      <c r="K1" s="1973" t="s">
        <v>2832</v>
      </c>
      <c r="L1" s="1973" t="s">
        <v>5042</v>
      </c>
      <c r="M1" s="1973" t="s">
        <v>5042</v>
      </c>
      <c r="N1" s="1973" t="s">
        <v>5042</v>
      </c>
      <c r="O1" s="1973" t="s">
        <v>5040</v>
      </c>
      <c r="P1" s="1972" t="s">
        <v>5040</v>
      </c>
      <c r="Q1" s="1972" t="s">
        <v>5040</v>
      </c>
      <c r="R1" s="1972" t="s">
        <v>5268</v>
      </c>
      <c r="S1" s="1972" t="s">
        <v>5268</v>
      </c>
      <c r="T1" s="1972" t="s">
        <v>8379</v>
      </c>
      <c r="U1" s="1972" t="s">
        <v>8379</v>
      </c>
      <c r="V1" s="1972" t="s">
        <v>8379</v>
      </c>
      <c r="W1" s="1972" t="s">
        <v>5038</v>
      </c>
      <c r="X1" s="1972" t="s">
        <v>1799</v>
      </c>
      <c r="Y1" s="1972">
        <v>86</v>
      </c>
      <c r="Z1" s="1972"/>
      <c r="AA1" s="1972"/>
      <c r="AB1" s="1972"/>
      <c r="AC1" s="1972"/>
      <c r="AD1" s="1972"/>
      <c r="AE1" s="1972"/>
      <c r="AF1" s="1972"/>
      <c r="AG1" s="1972"/>
      <c r="AH1" s="1972"/>
      <c r="AI1" s="1972"/>
      <c r="AJ1" s="1972"/>
      <c r="AK1" s="1972"/>
      <c r="AL1" s="1972"/>
      <c r="AM1" s="1972"/>
      <c r="AN1" s="1972"/>
      <c r="AO1" s="1972"/>
      <c r="AP1" s="1972"/>
    </row>
    <row r="2" spans="1:42">
      <c r="A2" s="1972">
        <v>8</v>
      </c>
      <c r="B2" s="1972">
        <v>7</v>
      </c>
      <c r="C2" s="1972">
        <v>11</v>
      </c>
      <c r="D2" s="1972">
        <v>12</v>
      </c>
      <c r="E2" s="1972">
        <v>14</v>
      </c>
      <c r="F2" s="1972">
        <v>27</v>
      </c>
      <c r="G2" s="1972">
        <v>28</v>
      </c>
      <c r="H2" s="1974">
        <v>29</v>
      </c>
      <c r="I2" s="1974">
        <v>30</v>
      </c>
      <c r="J2" s="1974">
        <v>10</v>
      </c>
      <c r="K2" s="1974">
        <v>11</v>
      </c>
      <c r="L2" s="1974">
        <v>7</v>
      </c>
      <c r="M2" s="1974">
        <v>13</v>
      </c>
      <c r="N2" s="1974">
        <v>14</v>
      </c>
      <c r="O2" s="1974">
        <v>7</v>
      </c>
      <c r="P2" s="1972">
        <v>12</v>
      </c>
      <c r="Q2" s="1972">
        <v>13</v>
      </c>
      <c r="R2" s="1972">
        <v>7</v>
      </c>
      <c r="S2" s="1972">
        <v>8</v>
      </c>
      <c r="T2" s="1972">
        <v>8</v>
      </c>
      <c r="U2" s="1972">
        <v>12</v>
      </c>
      <c r="V2" s="1972">
        <v>13</v>
      </c>
      <c r="W2" s="1972">
        <v>6</v>
      </c>
      <c r="X2" s="1972">
        <v>8</v>
      </c>
      <c r="Y2" s="1972">
        <v>7</v>
      </c>
      <c r="Z2" s="1972"/>
      <c r="AA2" s="1972"/>
      <c r="AB2" s="1972"/>
      <c r="AC2" s="1972"/>
      <c r="AD2" s="1972"/>
      <c r="AE2" s="1972"/>
      <c r="AF2" s="1972"/>
      <c r="AG2" s="1972"/>
      <c r="AH2" s="1972"/>
      <c r="AI2" s="1972"/>
      <c r="AJ2" s="1972"/>
      <c r="AK2" s="1972"/>
      <c r="AL2" s="1972"/>
      <c r="AM2" s="1972"/>
      <c r="AN2" s="1972"/>
      <c r="AO2" s="1972"/>
      <c r="AP2" s="1972"/>
    </row>
    <row r="3" spans="1:42">
      <c r="A3" s="1975"/>
      <c r="B3" s="1972"/>
      <c r="C3" s="1972"/>
      <c r="D3" s="1972"/>
      <c r="E3" s="1972"/>
      <c r="F3" s="1972"/>
      <c r="G3" s="1972"/>
      <c r="H3" s="1976"/>
      <c r="I3" s="1976"/>
      <c r="J3" s="1977"/>
      <c r="K3" s="1978"/>
      <c r="L3" s="1979"/>
      <c r="M3" s="1979"/>
      <c r="N3" s="1979"/>
      <c r="O3" s="1979"/>
      <c r="P3" s="1972"/>
      <c r="Q3" s="1980"/>
      <c r="R3" s="1981"/>
      <c r="S3" s="1972"/>
      <c r="T3" s="1972"/>
      <c r="U3" s="1972"/>
      <c r="V3" s="1972"/>
      <c r="W3" s="1972"/>
      <c r="X3" s="1972"/>
      <c r="Y3" s="1972"/>
      <c r="Z3" s="1972"/>
      <c r="AA3" s="1972"/>
      <c r="AB3" s="1972"/>
      <c r="AC3" s="1972"/>
      <c r="AD3" s="1972"/>
      <c r="AE3" s="1972"/>
      <c r="AF3" s="1972"/>
      <c r="AG3" s="1972"/>
      <c r="AH3" s="1972"/>
      <c r="AI3" s="1972"/>
      <c r="AJ3" s="1972"/>
      <c r="AK3" s="1972"/>
      <c r="AL3" s="1982"/>
      <c r="AM3" s="1983"/>
      <c r="AN3" s="1972"/>
      <c r="AO3" s="1972"/>
      <c r="AP3" s="1972"/>
    </row>
    <row r="4" spans="1:42">
      <c r="A4" s="1975"/>
      <c r="B4" s="1972"/>
      <c r="C4" s="1972"/>
      <c r="D4" s="1972"/>
      <c r="E4" s="1972"/>
      <c r="F4" s="1972"/>
      <c r="G4" s="1972"/>
      <c r="H4" s="1976"/>
      <c r="I4" s="1976"/>
      <c r="J4" s="1977"/>
      <c r="K4" s="1978"/>
      <c r="L4" s="1979"/>
      <c r="M4" s="1979"/>
      <c r="N4" s="1979"/>
      <c r="O4" s="1979"/>
      <c r="P4" s="1972"/>
      <c r="Q4" s="1980"/>
      <c r="R4" s="1981"/>
      <c r="S4" s="1972"/>
      <c r="T4" s="1972"/>
      <c r="U4" s="1972"/>
      <c r="V4" s="1972"/>
      <c r="W4" s="1972"/>
      <c r="X4" s="1972"/>
      <c r="Y4" s="1972"/>
      <c r="Z4" s="1972"/>
      <c r="AA4" s="1972"/>
      <c r="AB4" s="1972"/>
      <c r="AC4" s="1972"/>
      <c r="AD4" s="1972"/>
      <c r="AE4" s="1972"/>
      <c r="AF4" s="1972"/>
      <c r="AG4" s="1972"/>
      <c r="AH4" s="1972"/>
      <c r="AI4" s="1972"/>
      <c r="AJ4" s="1972"/>
      <c r="AK4" s="1972"/>
      <c r="AL4" s="1972"/>
      <c r="AM4" s="1972"/>
      <c r="AN4" s="1972"/>
      <c r="AO4" s="1972"/>
      <c r="AP4" s="1972"/>
    </row>
    <row r="5" spans="1:42">
      <c r="A5" s="1975"/>
      <c r="B5" s="1972"/>
      <c r="C5" s="1972"/>
      <c r="D5" s="1972"/>
      <c r="E5" s="1972"/>
      <c r="F5" s="1972"/>
      <c r="G5" s="1972"/>
      <c r="H5" s="1976"/>
      <c r="I5" s="1976"/>
      <c r="J5" s="1977"/>
      <c r="K5" s="1978"/>
      <c r="L5" s="1979"/>
      <c r="M5" s="1979"/>
      <c r="N5" s="1979"/>
      <c r="O5" s="1979"/>
      <c r="P5" s="1972"/>
      <c r="Q5" s="1972"/>
      <c r="R5" s="1972"/>
      <c r="S5" s="1972"/>
      <c r="T5" s="1972"/>
      <c r="U5" s="1972"/>
      <c r="V5" s="1972"/>
      <c r="W5" s="1972"/>
      <c r="X5" s="1972"/>
      <c r="Y5" s="1972"/>
      <c r="Z5" s="1972"/>
      <c r="AA5" s="1972"/>
      <c r="AB5" s="1972"/>
      <c r="AC5" s="1972"/>
      <c r="AD5" s="1972"/>
      <c r="AE5" s="1972"/>
      <c r="AF5" s="1972"/>
      <c r="AG5" s="1972"/>
      <c r="AH5" s="1972"/>
      <c r="AI5" s="1972"/>
      <c r="AJ5" s="1972"/>
      <c r="AK5" s="1972"/>
      <c r="AL5" s="1972"/>
      <c r="AM5" s="1972"/>
      <c r="AN5" s="1972"/>
      <c r="AO5" s="1972"/>
      <c r="AP5" s="1972"/>
    </row>
    <row r="6" spans="1:42">
      <c r="A6" s="1972"/>
      <c r="B6" s="1972"/>
      <c r="C6" s="1972"/>
      <c r="D6" s="1972"/>
      <c r="E6" s="1972"/>
      <c r="F6" s="1972"/>
      <c r="G6" s="1972"/>
      <c r="H6" s="1976"/>
      <c r="I6" s="1976"/>
      <c r="J6" s="1977"/>
      <c r="K6" s="1978"/>
      <c r="L6" s="1979"/>
      <c r="M6" s="1979"/>
      <c r="N6" s="1979"/>
      <c r="O6" s="1979"/>
      <c r="P6" s="1972"/>
      <c r="Q6" s="1972"/>
      <c r="R6" s="1972"/>
      <c r="S6" s="1972"/>
      <c r="T6" s="1972"/>
      <c r="U6" s="1972"/>
      <c r="V6" s="1972"/>
      <c r="W6" s="1972"/>
      <c r="X6" s="1972"/>
      <c r="Y6" s="1972"/>
      <c r="Z6" s="1972"/>
      <c r="AA6" s="1972"/>
      <c r="AB6" s="1972"/>
      <c r="AC6" s="1972"/>
      <c r="AD6" s="1972"/>
      <c r="AE6" s="1972"/>
      <c r="AF6" s="1972"/>
      <c r="AG6" s="1972"/>
      <c r="AH6" s="1972"/>
      <c r="AI6" s="1972"/>
      <c r="AJ6" s="1972"/>
      <c r="AK6" s="1972"/>
      <c r="AL6" s="1972"/>
      <c r="AM6" s="1972"/>
      <c r="AN6" s="1972"/>
      <c r="AO6" s="1972"/>
      <c r="AP6" s="1972"/>
    </row>
    <row r="7" spans="1:42">
      <c r="A7" s="1972"/>
      <c r="B7" s="1972"/>
      <c r="C7" s="1972"/>
      <c r="D7" s="1972"/>
      <c r="E7" s="1972"/>
      <c r="F7" s="1972"/>
      <c r="G7" s="1972"/>
      <c r="H7" s="1976"/>
      <c r="I7" s="1976"/>
      <c r="J7" s="1977"/>
      <c r="K7" s="1978"/>
      <c r="L7" s="1979"/>
      <c r="M7" s="1979"/>
      <c r="N7" s="1979"/>
      <c r="O7" s="1979"/>
      <c r="P7" s="1972"/>
      <c r="Q7" s="1972"/>
      <c r="R7" s="1972"/>
      <c r="S7" s="1972"/>
      <c r="T7" s="1972"/>
      <c r="U7" s="1972"/>
      <c r="V7" s="1972"/>
      <c r="W7" s="1972"/>
      <c r="X7" s="1972"/>
      <c r="Y7" s="1972"/>
      <c r="Z7" s="1972"/>
      <c r="AA7" s="1972"/>
      <c r="AB7" s="1972"/>
      <c r="AC7" s="1972"/>
      <c r="AD7" s="1972"/>
      <c r="AE7" s="1972"/>
      <c r="AF7" s="1972"/>
      <c r="AG7" s="1972"/>
      <c r="AH7" s="1972"/>
      <c r="AI7" s="1972"/>
      <c r="AJ7" s="1972"/>
      <c r="AK7" s="1972"/>
      <c r="AL7" s="1972"/>
      <c r="AM7" s="1972"/>
      <c r="AN7" s="1972"/>
      <c r="AO7" s="1972"/>
      <c r="AP7" s="1972"/>
    </row>
    <row r="8" spans="1:42">
      <c r="A8" s="1972"/>
      <c r="B8" s="1972"/>
      <c r="C8" s="1972"/>
      <c r="D8" s="1972"/>
      <c r="E8" s="1972"/>
      <c r="F8" s="1972"/>
      <c r="G8" s="1972"/>
      <c r="H8" s="1976"/>
      <c r="I8" s="1976"/>
      <c r="J8" s="1977"/>
      <c r="K8" s="1978"/>
      <c r="L8" s="1979"/>
      <c r="M8" s="1979"/>
      <c r="N8" s="1979"/>
      <c r="O8" s="1979"/>
      <c r="P8" s="1972"/>
      <c r="Q8" s="1972"/>
      <c r="R8" s="1972"/>
      <c r="S8" s="1972"/>
      <c r="T8" s="1972"/>
      <c r="U8" s="1972"/>
      <c r="V8" s="1972"/>
      <c r="W8" s="1972"/>
      <c r="X8" s="1972"/>
      <c r="Y8" s="1972"/>
      <c r="Z8" s="1972"/>
      <c r="AA8" s="1972"/>
      <c r="AB8" s="1972"/>
      <c r="AC8" s="1972"/>
      <c r="AD8" s="1972"/>
      <c r="AE8" s="1972"/>
      <c r="AF8" s="1972"/>
      <c r="AG8" s="1972"/>
      <c r="AH8" s="1972"/>
      <c r="AI8" s="1972"/>
      <c r="AJ8" s="1972"/>
      <c r="AK8" s="1972"/>
      <c r="AL8" s="1972"/>
      <c r="AM8" s="1972"/>
      <c r="AN8" s="1972"/>
      <c r="AO8" s="1972"/>
      <c r="AP8" s="1972"/>
    </row>
    <row r="9" spans="1:42">
      <c r="A9" s="1972"/>
      <c r="B9" s="1972"/>
      <c r="C9" s="1972"/>
      <c r="D9" s="1972"/>
      <c r="E9" s="1972"/>
      <c r="F9" s="1972"/>
      <c r="G9" s="1972"/>
      <c r="H9" s="1976"/>
      <c r="I9" s="1976"/>
      <c r="J9" s="1977"/>
      <c r="K9" s="1978"/>
      <c r="L9" s="1979"/>
      <c r="M9" s="1979"/>
      <c r="N9" s="1979"/>
      <c r="O9" s="1979"/>
      <c r="P9" s="1972"/>
      <c r="Q9" s="1972"/>
      <c r="R9" s="1972"/>
      <c r="S9" s="1972"/>
      <c r="T9" s="1972"/>
      <c r="U9" s="1972"/>
      <c r="V9" s="1972"/>
      <c r="W9" s="1972"/>
      <c r="X9" s="1972"/>
      <c r="Y9" s="1972"/>
      <c r="Z9" s="1972"/>
      <c r="AA9" s="1972"/>
      <c r="AB9" s="1972"/>
      <c r="AC9" s="1972"/>
      <c r="AD9" s="1972"/>
      <c r="AE9" s="1972"/>
      <c r="AF9" s="1972"/>
      <c r="AG9" s="1972"/>
      <c r="AH9" s="1972"/>
      <c r="AI9" s="1972"/>
      <c r="AJ9" s="1972"/>
      <c r="AK9" s="1972"/>
      <c r="AL9" s="1972"/>
      <c r="AM9" s="1972"/>
      <c r="AN9" s="1972"/>
      <c r="AO9" s="1972"/>
      <c r="AP9" s="1972"/>
    </row>
    <row r="10" spans="1:42">
      <c r="A10" s="1972"/>
      <c r="B10" s="1972"/>
      <c r="C10" s="1972"/>
      <c r="D10" s="1972"/>
      <c r="E10" s="1972"/>
      <c r="F10" s="1972"/>
      <c r="G10" s="1972"/>
      <c r="H10" s="1976"/>
      <c r="I10" s="1976"/>
      <c r="J10" s="1977"/>
      <c r="K10" s="1978"/>
      <c r="L10" s="1979"/>
      <c r="M10" s="1979"/>
      <c r="N10" s="1979"/>
      <c r="O10" s="1979"/>
      <c r="P10" s="1972"/>
      <c r="Q10" s="1972"/>
      <c r="R10" s="1972"/>
      <c r="S10" s="1972"/>
      <c r="T10" s="1972"/>
      <c r="U10" s="1972"/>
      <c r="V10" s="1972"/>
      <c r="W10" s="1972"/>
      <c r="X10" s="1972"/>
      <c r="Y10" s="1972"/>
      <c r="Z10" s="1972"/>
      <c r="AA10" s="1972"/>
      <c r="AB10" s="1972"/>
      <c r="AC10" s="1972"/>
      <c r="AD10" s="1972"/>
      <c r="AE10" s="1972"/>
      <c r="AF10" s="1972"/>
      <c r="AG10" s="1972"/>
      <c r="AH10" s="1972"/>
      <c r="AI10" s="1972"/>
      <c r="AJ10" s="1972"/>
      <c r="AK10" s="1972"/>
      <c r="AL10" s="1972"/>
      <c r="AM10" s="1972"/>
      <c r="AN10" s="1972"/>
      <c r="AO10" s="1972"/>
      <c r="AP10" s="1972"/>
    </row>
    <row r="11" spans="1:42">
      <c r="A11" s="1972"/>
      <c r="B11" s="1972"/>
      <c r="C11" s="1972"/>
      <c r="D11" s="1972"/>
      <c r="E11" s="1972"/>
      <c r="F11" s="1972"/>
      <c r="G11" s="1972"/>
      <c r="H11" s="1976"/>
      <c r="I11" s="1976"/>
      <c r="J11" s="1977"/>
      <c r="K11" s="1978"/>
      <c r="L11" s="1979"/>
      <c r="M11" s="1979"/>
      <c r="N11" s="1979"/>
      <c r="O11" s="1979"/>
      <c r="P11" s="1972"/>
      <c r="Q11" s="1972"/>
      <c r="R11" s="1972"/>
      <c r="S11" s="1972"/>
      <c r="T11" s="1972"/>
      <c r="U11" s="1972"/>
      <c r="V11" s="1972"/>
      <c r="W11" s="1972"/>
      <c r="X11" s="1972"/>
      <c r="Y11" s="1972"/>
      <c r="Z11" s="1972"/>
      <c r="AA11" s="1972"/>
      <c r="AB11" s="1972"/>
      <c r="AC11" s="1972"/>
      <c r="AD11" s="1972"/>
      <c r="AE11" s="1972"/>
      <c r="AF11" s="1972"/>
      <c r="AG11" s="1972"/>
      <c r="AH11" s="1972"/>
      <c r="AI11" s="1972"/>
      <c r="AJ11" s="1972"/>
      <c r="AK11" s="1972"/>
      <c r="AL11" s="1972"/>
      <c r="AM11" s="1972"/>
      <c r="AN11" s="1972"/>
      <c r="AO11" s="1972"/>
      <c r="AP11" s="1972"/>
    </row>
    <row r="12" spans="1:42">
      <c r="A12" s="1972"/>
      <c r="B12" s="1972"/>
      <c r="C12" s="1972"/>
      <c r="D12" s="1972"/>
      <c r="E12" s="1972"/>
      <c r="F12" s="1972"/>
      <c r="G12" s="1972"/>
      <c r="H12" s="1976"/>
      <c r="I12" s="1976"/>
      <c r="J12" s="1977"/>
      <c r="K12" s="1978"/>
      <c r="L12" s="1979"/>
      <c r="M12" s="1979"/>
      <c r="N12" s="1979"/>
      <c r="O12" s="1979"/>
      <c r="P12" s="1972"/>
      <c r="Q12" s="1972"/>
      <c r="R12" s="1972"/>
      <c r="S12" s="1972"/>
      <c r="T12" s="1972"/>
      <c r="U12" s="1972"/>
      <c r="V12" s="1972"/>
      <c r="W12" s="1972"/>
      <c r="X12" s="1972"/>
      <c r="Y12" s="1972"/>
      <c r="Z12" s="1972"/>
      <c r="AA12" s="1972"/>
      <c r="AB12" s="1972"/>
      <c r="AC12" s="1972"/>
      <c r="AD12" s="1972"/>
      <c r="AE12" s="1972"/>
      <c r="AF12" s="1972"/>
      <c r="AG12" s="1972"/>
      <c r="AH12" s="1972"/>
      <c r="AI12" s="1972"/>
      <c r="AJ12" s="1972"/>
      <c r="AK12" s="1972"/>
      <c r="AL12" s="1972"/>
      <c r="AM12" s="1972"/>
      <c r="AN12" s="1972"/>
      <c r="AO12" s="1972"/>
      <c r="AP12" s="1972"/>
    </row>
    <row r="13" spans="1:42">
      <c r="A13" s="1972"/>
      <c r="B13" s="1972"/>
      <c r="C13" s="1972"/>
      <c r="D13" s="1972"/>
      <c r="E13" s="1972"/>
      <c r="F13" s="1972"/>
      <c r="G13" s="1972"/>
      <c r="H13" s="1976"/>
      <c r="I13" s="1976"/>
      <c r="J13" s="1977"/>
      <c r="K13" s="1978"/>
      <c r="L13" s="1979"/>
      <c r="M13" s="1979"/>
      <c r="N13" s="1979"/>
      <c r="O13" s="1979"/>
      <c r="P13" s="1972"/>
      <c r="Q13" s="1972"/>
      <c r="R13" s="1972"/>
      <c r="S13" s="1972"/>
      <c r="T13" s="1972"/>
      <c r="U13" s="1972"/>
      <c r="V13" s="1972"/>
      <c r="W13" s="1972"/>
      <c r="X13" s="1972"/>
      <c r="Y13" s="1972"/>
      <c r="Z13" s="1972"/>
      <c r="AA13" s="1972"/>
      <c r="AB13" s="1972"/>
      <c r="AC13" s="1972"/>
      <c r="AD13" s="1972"/>
      <c r="AE13" s="1972"/>
      <c r="AF13" s="1972"/>
      <c r="AG13" s="1972"/>
      <c r="AH13" s="1972"/>
      <c r="AI13" s="1972"/>
      <c r="AJ13" s="1972"/>
      <c r="AK13" s="1972"/>
      <c r="AL13" s="1972"/>
      <c r="AM13" s="1972"/>
      <c r="AN13" s="1972"/>
      <c r="AO13" s="1972"/>
      <c r="AP13" s="1972"/>
    </row>
    <row r="14" spans="1:42">
      <c r="A14" s="1972"/>
      <c r="B14" s="1972"/>
      <c r="C14" s="1972"/>
      <c r="D14" s="1972"/>
      <c r="E14" s="1972"/>
      <c r="F14" s="1972"/>
      <c r="G14" s="1972"/>
      <c r="H14" s="1976"/>
      <c r="I14" s="1976"/>
      <c r="J14" s="1977"/>
      <c r="K14" s="1978"/>
      <c r="L14" s="1979"/>
      <c r="M14" s="1979"/>
      <c r="N14" s="1979"/>
      <c r="O14" s="1979"/>
      <c r="P14" s="1972"/>
      <c r="Q14" s="1972"/>
      <c r="R14" s="1972"/>
      <c r="S14" s="1972"/>
      <c r="T14" s="1972"/>
      <c r="U14" s="1972"/>
      <c r="V14" s="1972"/>
      <c r="W14" s="1972"/>
      <c r="X14" s="1972"/>
      <c r="Y14" s="1972"/>
      <c r="Z14" s="1972"/>
      <c r="AA14" s="1972"/>
      <c r="AB14" s="1972"/>
      <c r="AC14" s="1972"/>
      <c r="AD14" s="1972"/>
      <c r="AE14" s="1972"/>
      <c r="AF14" s="1972"/>
      <c r="AG14" s="1972"/>
      <c r="AH14" s="1972"/>
      <c r="AI14" s="1972"/>
      <c r="AJ14" s="1972"/>
      <c r="AK14" s="1972"/>
      <c r="AL14" s="1972"/>
      <c r="AM14" s="1972"/>
      <c r="AN14" s="1972"/>
      <c r="AO14" s="1972"/>
      <c r="AP14" s="1972"/>
    </row>
    <row r="15" spans="1:42">
      <c r="A15" s="1972"/>
      <c r="B15" s="1972"/>
      <c r="C15" s="1972"/>
      <c r="D15" s="1972"/>
      <c r="E15" s="1972"/>
      <c r="F15" s="1972"/>
      <c r="G15" s="1972"/>
      <c r="H15" s="1976"/>
      <c r="I15" s="1976"/>
      <c r="J15" s="1977"/>
      <c r="K15" s="1978"/>
      <c r="L15" s="1979"/>
      <c r="M15" s="1979"/>
      <c r="N15" s="1979"/>
      <c r="O15" s="1979"/>
      <c r="P15" s="1972"/>
      <c r="Q15" s="1972"/>
      <c r="R15" s="1972"/>
      <c r="S15" s="1972"/>
      <c r="T15" s="1972"/>
      <c r="U15" s="1972"/>
      <c r="V15" s="1972"/>
      <c r="W15" s="1972"/>
      <c r="X15" s="1972"/>
      <c r="Y15" s="1972"/>
      <c r="Z15" s="1972"/>
      <c r="AA15" s="1972"/>
      <c r="AB15" s="1972"/>
      <c r="AC15" s="1972"/>
      <c r="AD15" s="1972"/>
      <c r="AE15" s="1972"/>
      <c r="AF15" s="1972"/>
      <c r="AG15" s="1972"/>
      <c r="AH15" s="1972"/>
      <c r="AI15" s="1972"/>
      <c r="AJ15" s="1972"/>
      <c r="AK15" s="1972"/>
      <c r="AL15" s="1972"/>
      <c r="AM15" s="1972"/>
      <c r="AN15" s="1972"/>
      <c r="AO15" s="1972"/>
      <c r="AP15" s="1972"/>
    </row>
    <row r="16" spans="1:42">
      <c r="A16" s="1972"/>
      <c r="B16" s="1972"/>
      <c r="C16" s="1972"/>
      <c r="D16" s="1972"/>
      <c r="E16" s="1972"/>
      <c r="F16" s="1972"/>
      <c r="G16" s="1972"/>
      <c r="H16" s="1976"/>
      <c r="I16" s="1976"/>
      <c r="J16" s="1977"/>
      <c r="K16" s="1978"/>
      <c r="L16" s="1979"/>
      <c r="M16" s="1979"/>
      <c r="N16" s="1979"/>
      <c r="O16" s="1979"/>
      <c r="P16" s="1972"/>
      <c r="Q16" s="1972"/>
      <c r="R16" s="1972"/>
      <c r="S16" s="1972"/>
      <c r="T16" s="1972"/>
      <c r="U16" s="1972"/>
      <c r="V16" s="1972"/>
      <c r="W16" s="1972"/>
      <c r="X16" s="1972"/>
      <c r="Y16" s="1972"/>
      <c r="Z16" s="1972"/>
      <c r="AA16" s="1972"/>
      <c r="AB16" s="1972"/>
      <c r="AC16" s="1972"/>
      <c r="AD16" s="1972"/>
      <c r="AE16" s="1972"/>
      <c r="AF16" s="1972"/>
      <c r="AG16" s="1972"/>
      <c r="AH16" s="1972"/>
      <c r="AI16" s="1972"/>
      <c r="AJ16" s="1972"/>
      <c r="AK16" s="1972"/>
      <c r="AL16" s="1972"/>
      <c r="AM16" s="1972"/>
      <c r="AN16" s="1972"/>
      <c r="AO16" s="1972"/>
      <c r="AP16" s="1972"/>
    </row>
    <row r="17" spans="1:42">
      <c r="A17" s="1972"/>
      <c r="B17" s="1972"/>
      <c r="C17" s="1972"/>
      <c r="D17" s="1972"/>
      <c r="E17" s="1972"/>
      <c r="F17" s="1972"/>
      <c r="G17" s="1972"/>
      <c r="H17" s="1976"/>
      <c r="I17" s="1976"/>
      <c r="J17" s="1977"/>
      <c r="K17" s="1978"/>
      <c r="L17" s="1979"/>
      <c r="M17" s="1979"/>
      <c r="N17" s="1979"/>
      <c r="O17" s="1979"/>
      <c r="P17" s="1972"/>
      <c r="Q17" s="1972"/>
      <c r="R17" s="1972"/>
      <c r="S17" s="1972"/>
      <c r="T17" s="1972"/>
      <c r="U17" s="1972"/>
      <c r="V17" s="1972"/>
      <c r="W17" s="1972"/>
      <c r="X17" s="1972"/>
      <c r="Y17" s="1972"/>
      <c r="Z17" s="1972"/>
      <c r="AA17" s="1972"/>
      <c r="AB17" s="1972"/>
      <c r="AC17" s="1972"/>
      <c r="AD17" s="1972"/>
      <c r="AE17" s="1972"/>
      <c r="AF17" s="1972"/>
      <c r="AG17" s="1972"/>
      <c r="AH17" s="1972"/>
      <c r="AI17" s="1972"/>
      <c r="AJ17" s="1972"/>
      <c r="AK17" s="1972"/>
      <c r="AL17" s="1972"/>
      <c r="AM17" s="1972"/>
      <c r="AN17" s="1972"/>
      <c r="AO17" s="1972"/>
      <c r="AP17" s="1972"/>
    </row>
    <row r="18" spans="1:42">
      <c r="A18" s="1972"/>
      <c r="B18" s="1972"/>
      <c r="C18" s="1972"/>
      <c r="D18" s="1972"/>
      <c r="E18" s="1972"/>
      <c r="F18" s="1972"/>
      <c r="G18" s="1972"/>
      <c r="H18" s="1976"/>
      <c r="I18" s="1976"/>
      <c r="J18" s="1977"/>
      <c r="K18" s="1978"/>
      <c r="L18" s="1979"/>
      <c r="M18" s="1979"/>
      <c r="N18" s="1979"/>
      <c r="O18" s="1979"/>
      <c r="P18" s="1972"/>
      <c r="Q18" s="1972"/>
      <c r="R18" s="1972"/>
      <c r="S18" s="1972"/>
      <c r="T18" s="1972"/>
      <c r="U18" s="1972"/>
      <c r="V18" s="1972"/>
      <c r="W18" s="1972"/>
      <c r="X18" s="1972"/>
      <c r="Y18" s="1972"/>
      <c r="Z18" s="1972"/>
      <c r="AA18" s="1972"/>
      <c r="AB18" s="1972"/>
      <c r="AC18" s="1972"/>
      <c r="AD18" s="1972"/>
      <c r="AE18" s="1972"/>
      <c r="AF18" s="1972"/>
      <c r="AG18" s="1972"/>
      <c r="AH18" s="1972"/>
      <c r="AI18" s="1972"/>
      <c r="AJ18" s="1972"/>
      <c r="AK18" s="1972"/>
      <c r="AL18" s="1972"/>
      <c r="AM18" s="1972"/>
      <c r="AN18" s="1972"/>
      <c r="AO18" s="1972"/>
      <c r="AP18" s="1972"/>
    </row>
    <row r="19" spans="1:42">
      <c r="A19" s="1972"/>
      <c r="B19" s="1972"/>
      <c r="C19" s="1972"/>
      <c r="D19" s="1972"/>
      <c r="E19" s="1972"/>
      <c r="F19" s="1972"/>
      <c r="G19" s="1972"/>
      <c r="H19" s="1976"/>
      <c r="I19" s="1976"/>
      <c r="J19" s="1977"/>
      <c r="K19" s="1978"/>
      <c r="L19" s="1979"/>
      <c r="M19" s="1979"/>
      <c r="N19" s="1979"/>
      <c r="O19" s="1979"/>
      <c r="P19" s="1972"/>
      <c r="Q19" s="1972"/>
      <c r="R19" s="1972"/>
      <c r="S19" s="1972"/>
      <c r="T19" s="1972"/>
      <c r="U19" s="1972"/>
      <c r="V19" s="1972"/>
      <c r="W19" s="1972"/>
      <c r="X19" s="1972"/>
      <c r="Y19" s="1972"/>
      <c r="Z19" s="1972"/>
      <c r="AA19" s="1972"/>
      <c r="AB19" s="1972"/>
      <c r="AC19" s="1972"/>
      <c r="AD19" s="1972"/>
      <c r="AE19" s="1972"/>
      <c r="AF19" s="1972"/>
      <c r="AG19" s="1972"/>
      <c r="AH19" s="1972"/>
      <c r="AI19" s="1972"/>
      <c r="AJ19" s="1972"/>
      <c r="AK19" s="1972"/>
      <c r="AL19" s="1972"/>
      <c r="AM19" s="1972"/>
      <c r="AN19" s="1972"/>
      <c r="AO19" s="1972"/>
      <c r="AP19" s="1972"/>
    </row>
    <row r="20" spans="1:42">
      <c r="A20" s="1972"/>
      <c r="B20" s="1972"/>
      <c r="C20" s="1972"/>
      <c r="D20" s="1972"/>
      <c r="E20" s="1972"/>
      <c r="F20" s="1972"/>
      <c r="G20" s="1972"/>
      <c r="H20" s="1976"/>
      <c r="I20" s="1976"/>
      <c r="J20" s="1977"/>
      <c r="K20" s="1978"/>
      <c r="L20" s="1979"/>
      <c r="M20" s="1979"/>
      <c r="N20" s="1979"/>
      <c r="O20" s="1979"/>
      <c r="P20" s="1972"/>
      <c r="Q20" s="1972"/>
      <c r="R20" s="1972"/>
      <c r="S20" s="1972"/>
      <c r="T20" s="1972"/>
      <c r="U20" s="1972"/>
      <c r="V20" s="1972"/>
      <c r="W20" s="1972"/>
      <c r="X20" s="1972"/>
      <c r="Y20" s="1972"/>
      <c r="Z20" s="1972"/>
      <c r="AA20" s="1972"/>
      <c r="AB20" s="1972"/>
      <c r="AC20" s="1972"/>
      <c r="AD20" s="1972"/>
      <c r="AE20" s="1972"/>
      <c r="AF20" s="1972"/>
      <c r="AG20" s="1972"/>
      <c r="AH20" s="1972"/>
      <c r="AI20" s="1972"/>
      <c r="AJ20" s="1972"/>
      <c r="AK20" s="1972"/>
      <c r="AL20" s="1972"/>
      <c r="AM20" s="1972"/>
      <c r="AN20" s="1972"/>
      <c r="AO20" s="1972"/>
      <c r="AP20" s="1972"/>
    </row>
    <row r="21" spans="1:42">
      <c r="A21" s="1972"/>
      <c r="B21" s="1972"/>
      <c r="C21" s="1972"/>
      <c r="D21" s="1972"/>
      <c r="E21" s="1972"/>
      <c r="F21" s="1972"/>
      <c r="G21" s="1972"/>
      <c r="H21" s="1976"/>
      <c r="I21" s="1976"/>
      <c r="J21" s="1977"/>
      <c r="K21" s="1978"/>
      <c r="L21" s="1979"/>
      <c r="M21" s="1979"/>
      <c r="N21" s="1979"/>
      <c r="O21" s="1979"/>
      <c r="P21" s="1972"/>
      <c r="Q21" s="1972"/>
      <c r="R21" s="1972"/>
      <c r="S21" s="1972"/>
      <c r="T21" s="1972"/>
      <c r="U21" s="1972"/>
      <c r="V21" s="1972"/>
      <c r="W21" s="1972"/>
      <c r="X21" s="1972"/>
      <c r="Y21" s="1972"/>
      <c r="Z21" s="1972"/>
      <c r="AA21" s="1972"/>
      <c r="AB21" s="1972"/>
      <c r="AC21" s="1972"/>
      <c r="AD21" s="1972"/>
      <c r="AE21" s="1972"/>
      <c r="AF21" s="1972"/>
      <c r="AG21" s="1972"/>
      <c r="AH21" s="1972"/>
      <c r="AI21" s="1972"/>
      <c r="AJ21" s="1972"/>
      <c r="AK21" s="1972"/>
      <c r="AL21" s="1972"/>
      <c r="AM21" s="1972"/>
      <c r="AN21" s="1972"/>
      <c r="AO21" s="1972"/>
      <c r="AP21" s="1972"/>
    </row>
    <row r="22" spans="1:42">
      <c r="A22" s="1972"/>
      <c r="B22" s="1972"/>
      <c r="C22" s="1972"/>
      <c r="D22" s="1972"/>
      <c r="E22" s="1972"/>
      <c r="F22" s="1972"/>
      <c r="G22" s="1972"/>
      <c r="H22" s="1976"/>
      <c r="I22" s="1976"/>
      <c r="J22" s="1977"/>
      <c r="K22" s="1978"/>
      <c r="L22" s="1979"/>
      <c r="M22" s="1979"/>
      <c r="N22" s="1979"/>
      <c r="O22" s="1979"/>
      <c r="P22" s="1972"/>
      <c r="Q22" s="1972"/>
      <c r="R22" s="1972"/>
      <c r="S22" s="1972"/>
      <c r="T22" s="1972"/>
      <c r="U22" s="1972"/>
      <c r="V22" s="1972"/>
      <c r="W22" s="1972"/>
      <c r="X22" s="1972"/>
      <c r="Y22" s="1972"/>
      <c r="Z22" s="1972"/>
      <c r="AA22" s="1972"/>
      <c r="AB22" s="1972"/>
      <c r="AC22" s="1972"/>
      <c r="AD22" s="1972"/>
      <c r="AE22" s="1972"/>
      <c r="AF22" s="1972"/>
      <c r="AG22" s="1972"/>
      <c r="AH22" s="1972"/>
      <c r="AI22" s="1972"/>
      <c r="AJ22" s="1972"/>
      <c r="AK22" s="1972"/>
      <c r="AL22" s="1972"/>
      <c r="AM22" s="1972"/>
      <c r="AN22" s="1972"/>
      <c r="AO22" s="1972"/>
      <c r="AP22" s="1972"/>
    </row>
    <row r="23" spans="1:42">
      <c r="A23" s="1972"/>
      <c r="B23" s="1972"/>
      <c r="C23" s="1972"/>
      <c r="D23" s="1972"/>
      <c r="E23" s="1972"/>
      <c r="F23" s="1972"/>
      <c r="G23" s="1972"/>
      <c r="H23" s="1976"/>
      <c r="I23" s="1976"/>
      <c r="J23" s="1977"/>
      <c r="K23" s="1978"/>
      <c r="L23" s="1979"/>
      <c r="M23" s="1979"/>
      <c r="N23" s="1979"/>
      <c r="O23" s="1979"/>
      <c r="P23" s="1972"/>
      <c r="Q23" s="1972"/>
      <c r="R23" s="1972"/>
      <c r="S23" s="1972"/>
      <c r="T23" s="1972"/>
      <c r="U23" s="1972"/>
      <c r="V23" s="1972"/>
      <c r="W23" s="1972"/>
      <c r="X23" s="1972"/>
      <c r="Y23" s="1972"/>
      <c r="Z23" s="1972"/>
      <c r="AA23" s="1972"/>
      <c r="AB23" s="1972"/>
      <c r="AC23" s="1972"/>
      <c r="AD23" s="1972"/>
      <c r="AE23" s="1972"/>
      <c r="AF23" s="1972"/>
      <c r="AG23" s="1972"/>
      <c r="AH23" s="1972"/>
      <c r="AI23" s="1972"/>
      <c r="AJ23" s="1972"/>
      <c r="AK23" s="1972"/>
      <c r="AL23" s="1972"/>
      <c r="AM23" s="1972"/>
      <c r="AN23" s="1972"/>
      <c r="AO23" s="1972"/>
      <c r="AP23" s="1972"/>
    </row>
    <row r="24" spans="1:42">
      <c r="A24" s="1972"/>
      <c r="B24" s="1972"/>
      <c r="C24" s="1972"/>
      <c r="D24" s="1972"/>
      <c r="E24" s="1972"/>
      <c r="F24" s="1972"/>
      <c r="G24" s="1972"/>
      <c r="H24" s="1976"/>
      <c r="I24" s="1976"/>
      <c r="J24" s="1977"/>
      <c r="K24" s="1978"/>
      <c r="L24" s="1979"/>
      <c r="M24" s="1979"/>
      <c r="N24" s="1979"/>
      <c r="O24" s="1979"/>
      <c r="P24" s="1972"/>
      <c r="Q24" s="1972"/>
      <c r="R24" s="1972"/>
      <c r="S24" s="1972"/>
      <c r="T24" s="1972"/>
      <c r="U24" s="1972"/>
      <c r="V24" s="1972"/>
      <c r="W24" s="1972"/>
      <c r="X24" s="1972"/>
      <c r="Y24" s="1972"/>
      <c r="Z24" s="1972"/>
      <c r="AA24" s="1972"/>
      <c r="AB24" s="1972"/>
      <c r="AC24" s="1972"/>
      <c r="AD24" s="1972"/>
      <c r="AE24" s="1972"/>
      <c r="AF24" s="1972"/>
      <c r="AG24" s="1972"/>
      <c r="AH24" s="1972"/>
      <c r="AI24" s="1972"/>
      <c r="AJ24" s="1972"/>
      <c r="AK24" s="1972"/>
      <c r="AL24" s="1972"/>
      <c r="AM24" s="1972"/>
      <c r="AN24" s="1972"/>
      <c r="AO24" s="1972"/>
      <c r="AP24" s="1972"/>
    </row>
    <row r="25" spans="1:42">
      <c r="A25" s="1972"/>
      <c r="B25" s="1972"/>
      <c r="C25" s="1972"/>
      <c r="D25" s="1972"/>
      <c r="E25" s="1972"/>
      <c r="F25" s="1972"/>
      <c r="G25" s="1972"/>
      <c r="H25" s="1976"/>
      <c r="I25" s="1976"/>
      <c r="J25" s="1977"/>
      <c r="K25" s="1978"/>
      <c r="L25" s="1979"/>
      <c r="M25" s="1979"/>
      <c r="N25" s="1979"/>
      <c r="O25" s="1979"/>
      <c r="P25" s="1972"/>
      <c r="Q25" s="1972"/>
      <c r="R25" s="1972"/>
      <c r="S25" s="1972"/>
      <c r="T25" s="1972"/>
      <c r="U25" s="1972"/>
      <c r="V25" s="1972"/>
      <c r="W25" s="1972"/>
      <c r="X25" s="1972"/>
      <c r="Y25" s="1972"/>
      <c r="Z25" s="1972"/>
      <c r="AA25" s="1972"/>
      <c r="AB25" s="1972"/>
      <c r="AC25" s="1972"/>
      <c r="AD25" s="1972"/>
      <c r="AE25" s="1972"/>
      <c r="AF25" s="1972"/>
      <c r="AG25" s="1972"/>
      <c r="AH25" s="1972"/>
      <c r="AI25" s="1972"/>
      <c r="AJ25" s="1972"/>
      <c r="AK25" s="1972"/>
      <c r="AL25" s="1972"/>
      <c r="AM25" s="1972"/>
      <c r="AN25" s="1972"/>
      <c r="AO25" s="1972"/>
      <c r="AP25" s="1972"/>
    </row>
    <row r="26" spans="1:42">
      <c r="A26" s="1972"/>
      <c r="B26" s="1972"/>
      <c r="C26" s="1972"/>
      <c r="D26" s="1972"/>
      <c r="E26" s="1972"/>
      <c r="F26" s="1972"/>
      <c r="G26" s="1972"/>
      <c r="H26" s="1976"/>
      <c r="I26" s="1976"/>
      <c r="J26" s="1977"/>
      <c r="K26" s="1978"/>
      <c r="L26" s="1979"/>
      <c r="M26" s="1979"/>
      <c r="N26" s="1979"/>
      <c r="O26" s="1979"/>
      <c r="P26" s="1972"/>
      <c r="Q26" s="1972"/>
      <c r="R26" s="1972"/>
      <c r="S26" s="1972"/>
      <c r="T26" s="1972"/>
      <c r="U26" s="1972"/>
      <c r="V26" s="1972"/>
      <c r="W26" s="1972"/>
      <c r="X26" s="1972"/>
      <c r="Y26" s="1972"/>
      <c r="Z26" s="1972"/>
      <c r="AA26" s="1972"/>
      <c r="AB26" s="1972"/>
      <c r="AC26" s="1972"/>
      <c r="AD26" s="1972"/>
      <c r="AE26" s="1972"/>
      <c r="AF26" s="1972"/>
      <c r="AG26" s="1972"/>
      <c r="AH26" s="1972"/>
      <c r="AI26" s="1972"/>
      <c r="AJ26" s="1972"/>
      <c r="AK26" s="1972"/>
      <c r="AL26" s="1972"/>
      <c r="AM26" s="1972"/>
      <c r="AN26" s="1972"/>
      <c r="AO26" s="1972"/>
      <c r="AP26" s="1972"/>
    </row>
    <row r="27" spans="1:42">
      <c r="A27" s="1972"/>
      <c r="B27" s="1972"/>
      <c r="C27" s="1972"/>
      <c r="D27" s="1972"/>
      <c r="E27" s="1972"/>
      <c r="F27" s="1972"/>
      <c r="G27" s="1972"/>
      <c r="H27" s="1976"/>
      <c r="I27" s="1976"/>
      <c r="J27" s="1977"/>
      <c r="K27" s="1978"/>
      <c r="L27" s="1979"/>
      <c r="M27" s="1979"/>
      <c r="N27" s="1979"/>
      <c r="O27" s="1979"/>
      <c r="P27" s="1972"/>
      <c r="Q27" s="1972"/>
      <c r="R27" s="1972"/>
      <c r="S27" s="1972"/>
      <c r="T27" s="1972"/>
      <c r="U27" s="1972"/>
      <c r="V27" s="1972"/>
      <c r="W27" s="1972"/>
      <c r="X27" s="1972"/>
      <c r="Y27" s="1972"/>
      <c r="Z27" s="1972"/>
      <c r="AA27" s="1972"/>
      <c r="AB27" s="1972"/>
      <c r="AC27" s="1972"/>
      <c r="AD27" s="1972"/>
      <c r="AE27" s="1972"/>
      <c r="AF27" s="1972"/>
      <c r="AG27" s="1972"/>
      <c r="AH27" s="1972"/>
      <c r="AI27" s="1972"/>
      <c r="AJ27" s="1972"/>
      <c r="AK27" s="1972"/>
      <c r="AL27" s="1972"/>
      <c r="AM27" s="1972"/>
      <c r="AN27" s="1972"/>
      <c r="AO27" s="1972"/>
      <c r="AP27" s="1972"/>
    </row>
    <row r="28" spans="1:42">
      <c r="A28" s="1972"/>
      <c r="B28" s="1972"/>
      <c r="C28" s="1972"/>
      <c r="D28" s="1972"/>
      <c r="E28" s="1972"/>
      <c r="F28" s="1972"/>
      <c r="G28" s="1972"/>
      <c r="H28" s="1976"/>
      <c r="I28" s="1976"/>
      <c r="J28" s="1977"/>
      <c r="K28" s="1978"/>
      <c r="L28" s="1979"/>
      <c r="M28" s="1979"/>
      <c r="N28" s="1979"/>
      <c r="O28" s="1979"/>
      <c r="P28" s="1972"/>
      <c r="Q28" s="1972"/>
      <c r="R28" s="1972"/>
      <c r="S28" s="1972"/>
      <c r="T28" s="1972"/>
      <c r="U28" s="1972"/>
      <c r="V28" s="1972"/>
      <c r="W28" s="1972"/>
      <c r="X28" s="1972"/>
      <c r="Y28" s="1972"/>
      <c r="Z28" s="1972"/>
      <c r="AA28" s="1972"/>
      <c r="AB28" s="1972"/>
      <c r="AC28" s="1972"/>
      <c r="AD28" s="1972"/>
      <c r="AE28" s="1972"/>
      <c r="AF28" s="1972"/>
      <c r="AG28" s="1972"/>
      <c r="AH28" s="1972"/>
      <c r="AI28" s="1972"/>
      <c r="AJ28" s="1972"/>
      <c r="AK28" s="1972"/>
      <c r="AL28" s="1972"/>
      <c r="AM28" s="1972"/>
      <c r="AN28" s="1972"/>
      <c r="AO28" s="1972"/>
      <c r="AP28" s="1972"/>
    </row>
    <row r="29" spans="1:42">
      <c r="A29" s="1972"/>
      <c r="B29" s="1972"/>
      <c r="C29" s="1972"/>
      <c r="D29" s="1972"/>
      <c r="E29" s="1972"/>
      <c r="F29" s="1972"/>
      <c r="G29" s="1972"/>
      <c r="H29" s="1976"/>
      <c r="I29" s="1976"/>
      <c r="J29" s="1977"/>
      <c r="K29" s="1978"/>
      <c r="L29" s="1979"/>
      <c r="M29" s="1979"/>
      <c r="N29" s="1979"/>
      <c r="O29" s="1979"/>
      <c r="P29" s="1972"/>
      <c r="Q29" s="1972"/>
      <c r="R29" s="1972"/>
      <c r="S29" s="1972"/>
      <c r="T29" s="1972"/>
      <c r="U29" s="1972"/>
      <c r="V29" s="1972"/>
      <c r="W29" s="1972"/>
      <c r="X29" s="1972"/>
      <c r="Y29" s="1972"/>
      <c r="Z29" s="1972"/>
      <c r="AA29" s="1972"/>
      <c r="AB29" s="1972"/>
      <c r="AC29" s="1972"/>
      <c r="AD29" s="1972"/>
      <c r="AE29" s="1972"/>
      <c r="AF29" s="1972"/>
      <c r="AG29" s="1972"/>
      <c r="AH29" s="1972"/>
      <c r="AI29" s="1972"/>
      <c r="AJ29" s="1972"/>
      <c r="AK29" s="1972"/>
      <c r="AL29" s="1972"/>
      <c r="AM29" s="1972"/>
      <c r="AN29" s="1972"/>
      <c r="AO29" s="1972"/>
      <c r="AP29" s="1972"/>
    </row>
    <row r="30" spans="1:42">
      <c r="A30" s="1972"/>
      <c r="B30" s="1972"/>
      <c r="C30" s="1972"/>
      <c r="D30" s="1972"/>
      <c r="E30" s="1972"/>
      <c r="F30" s="1972"/>
      <c r="G30" s="1972"/>
      <c r="H30" s="1976"/>
      <c r="I30" s="1976"/>
      <c r="J30" s="1977"/>
      <c r="K30" s="1978"/>
      <c r="L30" s="1979"/>
      <c r="M30" s="1979"/>
      <c r="N30" s="1979"/>
      <c r="O30" s="1979"/>
      <c r="P30" s="1972"/>
      <c r="Q30" s="1972"/>
      <c r="R30" s="1972"/>
      <c r="S30" s="1972"/>
      <c r="T30" s="1972"/>
      <c r="U30" s="1972"/>
      <c r="V30" s="1972"/>
      <c r="W30" s="1972"/>
      <c r="X30" s="1972"/>
      <c r="Y30" s="1972"/>
      <c r="Z30" s="1972"/>
      <c r="AA30" s="1972"/>
      <c r="AB30" s="1972"/>
      <c r="AC30" s="1972"/>
      <c r="AD30" s="1972"/>
      <c r="AE30" s="1972"/>
      <c r="AF30" s="1972"/>
      <c r="AG30" s="1972"/>
      <c r="AH30" s="1972"/>
      <c r="AI30" s="1972"/>
      <c r="AJ30" s="1972"/>
      <c r="AK30" s="1972"/>
      <c r="AL30" s="1972"/>
      <c r="AM30" s="1972"/>
      <c r="AN30" s="1972"/>
      <c r="AO30" s="1972"/>
      <c r="AP30" s="1972"/>
    </row>
    <row r="31" spans="1:42">
      <c r="A31" s="1972"/>
      <c r="B31" s="1972"/>
      <c r="C31" s="1972"/>
      <c r="D31" s="1972"/>
      <c r="E31" s="1972"/>
      <c r="F31" s="1972"/>
      <c r="G31" s="1972"/>
      <c r="H31" s="1976"/>
      <c r="I31" s="1976"/>
      <c r="J31" s="1977"/>
      <c r="K31" s="1978"/>
      <c r="L31" s="1979"/>
      <c r="M31" s="1979"/>
      <c r="N31" s="1979"/>
      <c r="O31" s="1979"/>
      <c r="P31" s="1972"/>
      <c r="Q31" s="1972"/>
      <c r="R31" s="1972"/>
      <c r="S31" s="1972"/>
      <c r="T31" s="1972"/>
      <c r="U31" s="1972"/>
      <c r="V31" s="1972"/>
      <c r="W31" s="1972"/>
      <c r="X31" s="1972"/>
      <c r="Y31" s="1972"/>
      <c r="Z31" s="1972"/>
      <c r="AA31" s="1972"/>
      <c r="AB31" s="1972"/>
      <c r="AC31" s="1972"/>
      <c r="AD31" s="1972"/>
      <c r="AE31" s="1972"/>
      <c r="AF31" s="1972"/>
      <c r="AG31" s="1972"/>
      <c r="AH31" s="1972"/>
      <c r="AI31" s="1972"/>
      <c r="AJ31" s="1972"/>
      <c r="AK31" s="1972"/>
      <c r="AL31" s="1972"/>
      <c r="AM31" s="1972"/>
      <c r="AN31" s="1972"/>
      <c r="AO31" s="1972"/>
      <c r="AP31" s="1972"/>
    </row>
    <row r="32" spans="1:42">
      <c r="A32" s="1972"/>
      <c r="B32" s="1972"/>
      <c r="C32" s="1972"/>
      <c r="D32" s="1972"/>
      <c r="E32" s="1972"/>
      <c r="F32" s="1972"/>
      <c r="G32" s="1972"/>
      <c r="H32" s="1976"/>
      <c r="I32" s="1976"/>
      <c r="J32" s="1977"/>
      <c r="K32" s="1978"/>
      <c r="L32" s="1979"/>
      <c r="M32" s="1979"/>
      <c r="N32" s="1979"/>
      <c r="O32" s="1979"/>
      <c r="P32" s="1972"/>
      <c r="Q32" s="1972"/>
      <c r="R32" s="1972"/>
      <c r="S32" s="1972"/>
      <c r="T32" s="1972"/>
      <c r="U32" s="1972"/>
      <c r="V32" s="1972"/>
      <c r="W32" s="1972"/>
      <c r="X32" s="1972"/>
      <c r="Y32" s="1972"/>
      <c r="Z32" s="1972"/>
      <c r="AA32" s="1972"/>
      <c r="AB32" s="1972"/>
      <c r="AC32" s="1972"/>
      <c r="AD32" s="1972"/>
      <c r="AE32" s="1972"/>
      <c r="AF32" s="1972"/>
      <c r="AG32" s="1972"/>
      <c r="AH32" s="1972"/>
      <c r="AI32" s="1972"/>
      <c r="AJ32" s="1972"/>
      <c r="AK32" s="1972"/>
      <c r="AL32" s="1972"/>
      <c r="AM32" s="1972"/>
      <c r="AN32" s="1972"/>
      <c r="AO32" s="1972"/>
      <c r="AP32" s="1972"/>
    </row>
    <row r="33" spans="1:42">
      <c r="A33" s="1972"/>
      <c r="B33" s="1972"/>
      <c r="C33" s="1972"/>
      <c r="D33" s="1972"/>
      <c r="E33" s="1972"/>
      <c r="F33" s="1972"/>
      <c r="G33" s="1972"/>
      <c r="H33" s="1976"/>
      <c r="I33" s="1976"/>
      <c r="J33" s="1977"/>
      <c r="K33" s="1978"/>
      <c r="L33" s="1979"/>
      <c r="M33" s="1979"/>
      <c r="N33" s="1979"/>
      <c r="O33" s="1979"/>
      <c r="P33" s="1972"/>
      <c r="Q33" s="1972"/>
      <c r="R33" s="1972"/>
      <c r="S33" s="1972"/>
      <c r="T33" s="1972"/>
      <c r="U33" s="1972"/>
      <c r="V33" s="1972"/>
      <c r="W33" s="1972"/>
      <c r="X33" s="1972"/>
      <c r="Y33" s="1972"/>
      <c r="Z33" s="1972"/>
      <c r="AA33" s="1972"/>
      <c r="AB33" s="1972"/>
      <c r="AC33" s="1972"/>
      <c r="AD33" s="1972"/>
      <c r="AE33" s="1972"/>
      <c r="AF33" s="1972"/>
      <c r="AG33" s="1972"/>
      <c r="AH33" s="1972"/>
      <c r="AI33" s="1972"/>
      <c r="AJ33" s="1972"/>
      <c r="AK33" s="1972"/>
      <c r="AL33" s="1972"/>
      <c r="AM33" s="1972"/>
      <c r="AN33" s="1972"/>
      <c r="AO33" s="1972"/>
      <c r="AP33" s="1972"/>
    </row>
    <row r="34" spans="1:42">
      <c r="A34" s="1972"/>
      <c r="B34" s="1972"/>
      <c r="C34" s="1972"/>
      <c r="D34" s="1972"/>
      <c r="E34" s="1972"/>
      <c r="F34" s="1972"/>
      <c r="G34" s="1972"/>
      <c r="H34" s="1976"/>
      <c r="I34" s="1976"/>
      <c r="J34" s="1977"/>
      <c r="K34" s="1978"/>
      <c r="L34" s="1979"/>
      <c r="M34" s="1979"/>
      <c r="N34" s="1979"/>
      <c r="O34" s="1979"/>
      <c r="P34" s="1972"/>
      <c r="Q34" s="1972"/>
      <c r="R34" s="1972"/>
      <c r="S34" s="1972"/>
      <c r="T34" s="1972"/>
      <c r="U34" s="1972"/>
      <c r="V34" s="1972"/>
      <c r="W34" s="1972"/>
      <c r="X34" s="1972"/>
      <c r="Y34" s="1972"/>
      <c r="Z34" s="1972"/>
      <c r="AA34" s="1972"/>
      <c r="AB34" s="1972"/>
      <c r="AC34" s="1972"/>
      <c r="AD34" s="1972"/>
      <c r="AE34" s="1972"/>
      <c r="AF34" s="1972"/>
      <c r="AG34" s="1972"/>
      <c r="AH34" s="1972"/>
      <c r="AI34" s="1972"/>
      <c r="AJ34" s="1972"/>
      <c r="AK34" s="1972"/>
      <c r="AL34" s="1972"/>
      <c r="AM34" s="1972"/>
      <c r="AN34" s="1972"/>
      <c r="AO34" s="1972"/>
      <c r="AP34" s="1972"/>
    </row>
    <row r="35" spans="1:42">
      <c r="A35" s="1972"/>
      <c r="B35" s="1972"/>
      <c r="C35" s="1972"/>
      <c r="D35" s="1972"/>
      <c r="E35" s="1972"/>
      <c r="F35" s="1972"/>
      <c r="G35" s="1972"/>
      <c r="H35" s="1976"/>
      <c r="I35" s="1976"/>
      <c r="J35" s="1977"/>
      <c r="K35" s="1978"/>
      <c r="L35" s="1979"/>
      <c r="M35" s="1979"/>
      <c r="N35" s="1979"/>
      <c r="O35" s="1979"/>
      <c r="P35" s="1972"/>
      <c r="Q35" s="1972"/>
      <c r="R35" s="1972"/>
      <c r="S35" s="1972"/>
      <c r="T35" s="1972"/>
      <c r="U35" s="1972"/>
      <c r="V35" s="1972"/>
      <c r="W35" s="1972"/>
      <c r="X35" s="1972"/>
      <c r="Y35" s="1972"/>
      <c r="Z35" s="1972"/>
      <c r="AA35" s="1972"/>
      <c r="AB35" s="1972"/>
      <c r="AC35" s="1972"/>
      <c r="AD35" s="1972"/>
      <c r="AE35" s="1972"/>
      <c r="AF35" s="1972"/>
      <c r="AG35" s="1972"/>
      <c r="AH35" s="1972"/>
      <c r="AI35" s="1972"/>
      <c r="AJ35" s="1972"/>
      <c r="AK35" s="1972"/>
      <c r="AL35" s="1972"/>
      <c r="AM35" s="1972"/>
      <c r="AN35" s="1972"/>
      <c r="AO35" s="1972"/>
      <c r="AP35" s="1972"/>
    </row>
    <row r="36" spans="1:42">
      <c r="A36" s="1972"/>
      <c r="B36" s="1972"/>
      <c r="C36" s="1972"/>
      <c r="D36" s="1972"/>
      <c r="E36" s="1972"/>
      <c r="F36" s="1972"/>
      <c r="G36" s="1972"/>
      <c r="H36" s="1976"/>
      <c r="I36" s="1976"/>
      <c r="J36" s="1977"/>
      <c r="K36" s="1978"/>
      <c r="L36" s="1979"/>
      <c r="M36" s="1979"/>
      <c r="N36" s="1979"/>
      <c r="O36" s="1979"/>
      <c r="P36" s="1972"/>
      <c r="Q36" s="1972"/>
      <c r="R36" s="1972"/>
      <c r="S36" s="1972"/>
      <c r="T36" s="1972"/>
      <c r="U36" s="1972"/>
      <c r="V36" s="1972"/>
      <c r="W36" s="1972"/>
      <c r="X36" s="1972"/>
      <c r="Y36" s="1972"/>
      <c r="Z36" s="1972"/>
      <c r="AA36" s="1972"/>
      <c r="AB36" s="1972"/>
      <c r="AC36" s="1972"/>
      <c r="AD36" s="1972"/>
      <c r="AE36" s="1972"/>
      <c r="AF36" s="1972"/>
      <c r="AG36" s="1972"/>
      <c r="AH36" s="1972"/>
      <c r="AI36" s="1972"/>
      <c r="AJ36" s="1972"/>
      <c r="AK36" s="1972"/>
      <c r="AL36" s="1972"/>
      <c r="AM36" s="1972"/>
      <c r="AN36" s="1972"/>
      <c r="AO36" s="1972"/>
      <c r="AP36" s="1972"/>
    </row>
    <row r="37" spans="1:42">
      <c r="A37" s="1972"/>
      <c r="B37" s="1972"/>
      <c r="C37" s="1972"/>
      <c r="D37" s="1972"/>
      <c r="E37" s="1972"/>
      <c r="F37" s="1972"/>
      <c r="G37" s="1972"/>
      <c r="H37" s="1976"/>
      <c r="I37" s="1976"/>
      <c r="J37" s="1977"/>
      <c r="K37" s="1978"/>
      <c r="L37" s="1979"/>
      <c r="M37" s="1979"/>
      <c r="N37" s="1979"/>
      <c r="O37" s="1979"/>
      <c r="P37" s="1972"/>
      <c r="Q37" s="1972"/>
      <c r="R37" s="1972"/>
      <c r="S37" s="1972"/>
      <c r="T37" s="1972"/>
      <c r="U37" s="1972"/>
      <c r="V37" s="1972"/>
      <c r="W37" s="1972"/>
      <c r="X37" s="1972"/>
      <c r="Y37" s="1972"/>
      <c r="Z37" s="1972"/>
      <c r="AA37" s="1972"/>
      <c r="AB37" s="1972"/>
      <c r="AC37" s="1972"/>
      <c r="AD37" s="1972"/>
      <c r="AE37" s="1972"/>
      <c r="AF37" s="1972"/>
      <c r="AG37" s="1972"/>
      <c r="AH37" s="1972"/>
      <c r="AI37" s="1972"/>
      <c r="AJ37" s="1972"/>
      <c r="AK37" s="1972"/>
      <c r="AL37" s="1972"/>
      <c r="AM37" s="1972"/>
      <c r="AN37" s="1972"/>
      <c r="AO37" s="1972"/>
      <c r="AP37" s="1972"/>
    </row>
    <row r="38" spans="1:42">
      <c r="A38" s="1972"/>
      <c r="B38" s="1972"/>
      <c r="C38" s="1972"/>
      <c r="D38" s="1972"/>
      <c r="E38" s="1972"/>
      <c r="F38" s="1972"/>
      <c r="G38" s="1972"/>
      <c r="H38" s="1976"/>
      <c r="I38" s="1976"/>
      <c r="J38" s="1977"/>
      <c r="K38" s="1978"/>
      <c r="L38" s="1979"/>
      <c r="M38" s="1979"/>
      <c r="N38" s="1979"/>
      <c r="O38" s="1979"/>
      <c r="P38" s="1972"/>
      <c r="Q38" s="1972"/>
      <c r="R38" s="1972"/>
      <c r="S38" s="1972"/>
      <c r="T38" s="1972"/>
      <c r="U38" s="1972"/>
      <c r="V38" s="1972"/>
      <c r="W38" s="1972"/>
      <c r="X38" s="1972"/>
      <c r="Y38" s="1972"/>
      <c r="Z38" s="1972"/>
      <c r="AA38" s="1972"/>
      <c r="AB38" s="1972"/>
      <c r="AC38" s="1972"/>
      <c r="AD38" s="1972"/>
      <c r="AE38" s="1972"/>
      <c r="AF38" s="1972"/>
      <c r="AG38" s="1972"/>
      <c r="AH38" s="1972"/>
      <c r="AI38" s="1972"/>
      <c r="AJ38" s="1972"/>
      <c r="AK38" s="1972"/>
      <c r="AL38" s="1972"/>
      <c r="AM38" s="1972"/>
      <c r="AN38" s="1972"/>
      <c r="AO38" s="1972"/>
      <c r="AP38" s="1972"/>
    </row>
    <row r="39" spans="1:42">
      <c r="A39" s="1972"/>
      <c r="B39" s="1972"/>
      <c r="C39" s="1972"/>
      <c r="D39" s="1972"/>
      <c r="E39" s="1972"/>
      <c r="F39" s="1972"/>
      <c r="G39" s="1972"/>
      <c r="H39" s="1976"/>
      <c r="I39" s="1976"/>
      <c r="J39" s="1977"/>
      <c r="K39" s="1978"/>
      <c r="L39" s="1979"/>
      <c r="M39" s="1979"/>
      <c r="N39" s="1979"/>
      <c r="O39" s="1979"/>
      <c r="P39" s="1972"/>
      <c r="Q39" s="1972"/>
      <c r="R39" s="1972"/>
      <c r="S39" s="1972"/>
      <c r="T39" s="1972"/>
      <c r="U39" s="1972"/>
      <c r="V39" s="1972"/>
      <c r="W39" s="1972"/>
      <c r="X39" s="1972"/>
      <c r="Y39" s="1972"/>
      <c r="Z39" s="1972"/>
      <c r="AA39" s="1972"/>
      <c r="AB39" s="1972"/>
      <c r="AC39" s="1972"/>
      <c r="AD39" s="1972"/>
      <c r="AE39" s="1972"/>
      <c r="AF39" s="1972"/>
      <c r="AG39" s="1972"/>
      <c r="AH39" s="1972"/>
      <c r="AI39" s="1972"/>
      <c r="AJ39" s="1972"/>
      <c r="AK39" s="1972"/>
      <c r="AL39" s="1972"/>
      <c r="AM39" s="1972"/>
      <c r="AN39" s="1972"/>
      <c r="AO39" s="1972"/>
      <c r="AP39" s="1972"/>
    </row>
    <row r="40" spans="1:42">
      <c r="A40" s="1972"/>
      <c r="B40" s="1972"/>
      <c r="C40" s="1972"/>
      <c r="D40" s="1972"/>
      <c r="E40" s="1972"/>
      <c r="F40" s="1972"/>
      <c r="G40" s="1972"/>
      <c r="H40" s="1976"/>
      <c r="I40" s="1976"/>
      <c r="J40" s="1977"/>
      <c r="K40" s="1978"/>
      <c r="L40" s="1979"/>
      <c r="M40" s="1979"/>
      <c r="N40" s="1979"/>
      <c r="O40" s="1979"/>
      <c r="P40" s="1972"/>
      <c r="Q40" s="1972"/>
      <c r="R40" s="1972"/>
      <c r="S40" s="1972"/>
      <c r="T40" s="1972"/>
      <c r="U40" s="1972"/>
      <c r="V40" s="1972"/>
      <c r="W40" s="1972"/>
      <c r="X40" s="1972"/>
      <c r="Y40" s="1972"/>
      <c r="Z40" s="1972"/>
      <c r="AA40" s="1972"/>
      <c r="AB40" s="1972"/>
      <c r="AC40" s="1972"/>
      <c r="AD40" s="1972"/>
      <c r="AE40" s="1972"/>
      <c r="AF40" s="1972"/>
      <c r="AG40" s="1972"/>
      <c r="AH40" s="1972"/>
      <c r="AI40" s="1972"/>
      <c r="AJ40" s="1972"/>
      <c r="AK40" s="1972"/>
      <c r="AL40" s="1972"/>
      <c r="AM40" s="1972"/>
      <c r="AN40" s="1972"/>
      <c r="AO40" s="1972"/>
      <c r="AP40" s="1972"/>
    </row>
    <row r="41" spans="1:42">
      <c r="A41" s="1972"/>
      <c r="B41" s="1972"/>
      <c r="C41" s="1972"/>
      <c r="D41" s="1972"/>
      <c r="E41" s="1972"/>
      <c r="F41" s="1972"/>
      <c r="G41" s="1972"/>
      <c r="H41" s="1976"/>
      <c r="I41" s="1976"/>
      <c r="J41" s="1977"/>
      <c r="K41" s="1978"/>
      <c r="L41" s="1979"/>
      <c r="M41" s="1979"/>
      <c r="N41" s="1979"/>
      <c r="O41" s="1979"/>
      <c r="P41" s="1972"/>
      <c r="Q41" s="1972"/>
      <c r="R41" s="1972"/>
      <c r="S41" s="1972"/>
      <c r="T41" s="1972"/>
      <c r="U41" s="1972"/>
      <c r="V41" s="1972"/>
      <c r="W41" s="1972"/>
      <c r="X41" s="1972"/>
      <c r="Y41" s="1972"/>
      <c r="Z41" s="1972"/>
      <c r="AA41" s="1972"/>
      <c r="AB41" s="1972"/>
      <c r="AC41" s="1972"/>
      <c r="AD41" s="1972"/>
      <c r="AE41" s="1972"/>
      <c r="AF41" s="1972"/>
      <c r="AG41" s="1972"/>
      <c r="AH41" s="1972"/>
      <c r="AI41" s="1972"/>
      <c r="AJ41" s="1972"/>
      <c r="AK41" s="1972"/>
      <c r="AL41" s="1972"/>
      <c r="AM41" s="1972"/>
      <c r="AN41" s="1972"/>
      <c r="AO41" s="1972"/>
      <c r="AP41" s="1972"/>
    </row>
    <row r="42" spans="1:42">
      <c r="A42" s="1972"/>
      <c r="B42" s="1972"/>
      <c r="C42" s="1972"/>
      <c r="D42" s="1972"/>
      <c r="E42" s="1972"/>
      <c r="F42" s="1972"/>
      <c r="G42" s="1972"/>
      <c r="H42" s="1976"/>
      <c r="I42" s="1976"/>
      <c r="J42" s="1977"/>
      <c r="K42" s="1978"/>
      <c r="L42" s="1979"/>
      <c r="M42" s="1979"/>
      <c r="N42" s="1979"/>
      <c r="O42" s="1979"/>
      <c r="P42" s="1972"/>
      <c r="Q42" s="1972"/>
      <c r="R42" s="1972"/>
      <c r="S42" s="1972"/>
      <c r="T42" s="1972"/>
      <c r="U42" s="1972"/>
      <c r="V42" s="1972"/>
      <c r="W42" s="1972"/>
      <c r="X42" s="1972"/>
      <c r="Y42" s="1972"/>
      <c r="Z42" s="1972"/>
      <c r="AA42" s="1972"/>
      <c r="AB42" s="1972"/>
      <c r="AC42" s="1972"/>
      <c r="AD42" s="1972"/>
      <c r="AE42" s="1972"/>
      <c r="AF42" s="1972"/>
      <c r="AG42" s="1972"/>
      <c r="AH42" s="1972"/>
      <c r="AI42" s="1972"/>
      <c r="AJ42" s="1972"/>
      <c r="AK42" s="1972"/>
      <c r="AL42" s="1972"/>
      <c r="AM42" s="1972"/>
      <c r="AN42" s="1972"/>
      <c r="AO42" s="1972"/>
      <c r="AP42" s="1972"/>
    </row>
    <row r="43" spans="1:42">
      <c r="A43" s="1972"/>
      <c r="B43" s="1972"/>
      <c r="C43" s="1972"/>
      <c r="D43" s="1972"/>
      <c r="E43" s="1972"/>
      <c r="F43" s="1972"/>
      <c r="G43" s="1972"/>
      <c r="H43" s="1976"/>
      <c r="I43" s="1976"/>
      <c r="J43" s="1977"/>
      <c r="K43" s="1978"/>
      <c r="L43" s="1979"/>
      <c r="M43" s="1979"/>
      <c r="N43" s="1979"/>
      <c r="O43" s="1979"/>
      <c r="P43" s="1972"/>
      <c r="Q43" s="1972"/>
      <c r="R43" s="1972"/>
      <c r="S43" s="1972"/>
      <c r="T43" s="1972"/>
      <c r="U43" s="1972"/>
      <c r="V43" s="1972"/>
      <c r="W43" s="1972"/>
      <c r="X43" s="1972"/>
      <c r="Y43" s="1972"/>
      <c r="Z43" s="1972"/>
      <c r="AA43" s="1972"/>
      <c r="AB43" s="1972"/>
      <c r="AC43" s="1972"/>
      <c r="AD43" s="1972"/>
      <c r="AE43" s="1972"/>
      <c r="AF43" s="1972"/>
      <c r="AG43" s="1972"/>
      <c r="AH43" s="1972"/>
      <c r="AI43" s="1972"/>
      <c r="AJ43" s="1972"/>
      <c r="AK43" s="1972"/>
      <c r="AL43" s="1972"/>
      <c r="AM43" s="1972"/>
      <c r="AN43" s="1972"/>
      <c r="AO43" s="1972"/>
      <c r="AP43" s="1972"/>
    </row>
    <row r="44" spans="1:42">
      <c r="A44" s="1972"/>
      <c r="B44" s="1972"/>
      <c r="C44" s="1972"/>
      <c r="D44" s="1972"/>
      <c r="E44" s="1972"/>
      <c r="F44" s="1972"/>
      <c r="G44" s="1972"/>
      <c r="H44" s="1976"/>
      <c r="I44" s="1976"/>
      <c r="J44" s="1977"/>
      <c r="K44" s="1978"/>
      <c r="L44" s="1979"/>
      <c r="M44" s="1979"/>
      <c r="N44" s="1979"/>
      <c r="O44" s="1979"/>
      <c r="P44" s="1972"/>
      <c r="Q44" s="1972"/>
      <c r="R44" s="1972"/>
      <c r="S44" s="1972"/>
      <c r="T44" s="1972"/>
      <c r="U44" s="1972"/>
      <c r="V44" s="1972"/>
      <c r="W44" s="1972"/>
      <c r="X44" s="1972"/>
      <c r="Y44" s="1972"/>
      <c r="Z44" s="1972"/>
      <c r="AA44" s="1972"/>
      <c r="AB44" s="1972"/>
      <c r="AC44" s="1972"/>
      <c r="AD44" s="1972"/>
      <c r="AE44" s="1972"/>
      <c r="AF44" s="1972"/>
      <c r="AG44" s="1972"/>
      <c r="AH44" s="1972"/>
      <c r="AI44" s="1972"/>
      <c r="AJ44" s="1972"/>
      <c r="AK44" s="1972"/>
      <c r="AL44" s="1972"/>
      <c r="AM44" s="1972"/>
      <c r="AN44" s="1972"/>
      <c r="AO44" s="1972"/>
      <c r="AP44" s="1972"/>
    </row>
    <row r="45" spans="1:42">
      <c r="A45" s="1972"/>
      <c r="B45" s="1972"/>
      <c r="C45" s="1972"/>
      <c r="D45" s="1972"/>
      <c r="E45" s="1972"/>
      <c r="F45" s="1972"/>
      <c r="G45" s="1972"/>
      <c r="H45" s="1976"/>
      <c r="I45" s="1976"/>
      <c r="J45" s="1977"/>
      <c r="K45" s="1978"/>
      <c r="L45" s="1979"/>
      <c r="M45" s="1979"/>
      <c r="N45" s="1979"/>
      <c r="O45" s="1979"/>
      <c r="P45" s="1972"/>
      <c r="Q45" s="1972"/>
      <c r="R45" s="1972"/>
      <c r="S45" s="1972"/>
      <c r="T45" s="1972"/>
      <c r="U45" s="1972"/>
      <c r="V45" s="1972"/>
      <c r="W45" s="1972"/>
      <c r="X45" s="1972"/>
      <c r="Y45" s="1972"/>
      <c r="Z45" s="1972"/>
      <c r="AA45" s="1972"/>
      <c r="AB45" s="1972"/>
      <c r="AC45" s="1972"/>
      <c r="AD45" s="1972"/>
      <c r="AE45" s="1972"/>
      <c r="AF45" s="1972"/>
      <c r="AG45" s="1972"/>
      <c r="AH45" s="1972"/>
      <c r="AI45" s="1972"/>
      <c r="AJ45" s="1972"/>
      <c r="AK45" s="1972"/>
      <c r="AL45" s="1972"/>
      <c r="AM45" s="1972"/>
      <c r="AN45" s="1972"/>
      <c r="AO45" s="1972"/>
      <c r="AP45" s="1972"/>
    </row>
    <row r="46" spans="1:42">
      <c r="A46" s="1972"/>
      <c r="B46" s="1972"/>
      <c r="C46" s="1972"/>
      <c r="D46" s="1972"/>
      <c r="E46" s="1972"/>
      <c r="F46" s="1972"/>
      <c r="G46" s="1972"/>
      <c r="H46" s="1976"/>
      <c r="I46" s="1976"/>
      <c r="J46" s="1977"/>
      <c r="K46" s="1978"/>
      <c r="L46" s="1979"/>
      <c r="M46" s="1979"/>
      <c r="N46" s="1979"/>
      <c r="O46" s="1979"/>
      <c r="P46" s="1972"/>
      <c r="Q46" s="1972"/>
      <c r="R46" s="1972"/>
      <c r="S46" s="1972"/>
      <c r="T46" s="1972"/>
      <c r="U46" s="1972"/>
      <c r="V46" s="1972"/>
      <c r="W46" s="1972"/>
      <c r="X46" s="1972"/>
      <c r="Y46" s="1972"/>
      <c r="Z46" s="1972"/>
      <c r="AA46" s="1972"/>
      <c r="AB46" s="1972"/>
      <c r="AC46" s="1972"/>
      <c r="AD46" s="1972"/>
      <c r="AE46" s="1972"/>
      <c r="AF46" s="1972"/>
      <c r="AG46" s="1972"/>
      <c r="AH46" s="1972"/>
      <c r="AI46" s="1972"/>
      <c r="AJ46" s="1972"/>
      <c r="AK46" s="1972"/>
      <c r="AL46" s="1972"/>
      <c r="AM46" s="1972"/>
      <c r="AN46" s="1972"/>
      <c r="AO46" s="1972"/>
      <c r="AP46" s="1972"/>
    </row>
    <row r="47" spans="1:42">
      <c r="A47" s="1972"/>
      <c r="B47" s="1972"/>
      <c r="C47" s="1972"/>
      <c r="D47" s="1972"/>
      <c r="E47" s="1972"/>
      <c r="F47" s="1972"/>
      <c r="G47" s="1972"/>
      <c r="H47" s="1976"/>
      <c r="I47" s="1976"/>
      <c r="J47" s="1977"/>
      <c r="K47" s="1978"/>
      <c r="L47" s="1979"/>
      <c r="M47" s="1979"/>
      <c r="N47" s="1979"/>
      <c r="O47" s="1979"/>
      <c r="P47" s="1972"/>
      <c r="Q47" s="1972"/>
      <c r="R47" s="1972"/>
      <c r="S47" s="1972"/>
      <c r="T47" s="1972"/>
      <c r="U47" s="1972"/>
      <c r="V47" s="1972"/>
      <c r="W47" s="1972"/>
      <c r="X47" s="1972"/>
      <c r="Y47" s="1972"/>
      <c r="Z47" s="1972"/>
      <c r="AA47" s="1972"/>
      <c r="AB47" s="1972"/>
      <c r="AC47" s="1972"/>
      <c r="AD47" s="1972"/>
      <c r="AE47" s="1972"/>
      <c r="AF47" s="1972"/>
      <c r="AG47" s="1972"/>
      <c r="AH47" s="1972"/>
      <c r="AI47" s="1972"/>
      <c r="AJ47" s="1972"/>
      <c r="AK47" s="1972"/>
      <c r="AL47" s="1972"/>
      <c r="AM47" s="1972"/>
      <c r="AN47" s="1972"/>
      <c r="AO47" s="1972"/>
      <c r="AP47" s="1972"/>
    </row>
    <row r="48" spans="1:42">
      <c r="A48" s="1972"/>
      <c r="B48" s="1972"/>
      <c r="C48" s="1972"/>
      <c r="D48" s="1972"/>
      <c r="E48" s="1972"/>
      <c r="F48" s="1972"/>
      <c r="G48" s="1972"/>
      <c r="H48" s="1976"/>
      <c r="I48" s="1976"/>
      <c r="J48" s="1977"/>
      <c r="K48" s="1978"/>
      <c r="L48" s="1979"/>
      <c r="M48" s="1979"/>
      <c r="N48" s="1979"/>
      <c r="O48" s="1979"/>
      <c r="P48" s="1972"/>
      <c r="Q48" s="1972"/>
      <c r="R48" s="1972"/>
      <c r="S48" s="1972"/>
      <c r="T48" s="1972"/>
      <c r="U48" s="1972"/>
      <c r="V48" s="1972"/>
      <c r="W48" s="1972"/>
      <c r="X48" s="1972"/>
      <c r="Y48" s="1972"/>
      <c r="Z48" s="1972"/>
      <c r="AA48" s="1972"/>
      <c r="AB48" s="1972"/>
      <c r="AC48" s="1972"/>
      <c r="AD48" s="1972"/>
      <c r="AE48" s="1972"/>
      <c r="AF48" s="1972"/>
      <c r="AG48" s="1972"/>
      <c r="AH48" s="1972"/>
      <c r="AI48" s="1972"/>
      <c r="AJ48" s="1972"/>
      <c r="AK48" s="1972"/>
      <c r="AL48" s="1972"/>
      <c r="AM48" s="1972"/>
      <c r="AN48" s="1972"/>
      <c r="AO48" s="1972"/>
      <c r="AP48" s="1972"/>
    </row>
    <row r="49" spans="1:42">
      <c r="A49" s="1972"/>
      <c r="B49" s="1972"/>
      <c r="C49" s="1972"/>
      <c r="D49" s="1972"/>
      <c r="E49" s="1972"/>
      <c r="F49" s="1972"/>
      <c r="G49" s="1972"/>
      <c r="H49" s="1976"/>
      <c r="I49" s="1976"/>
      <c r="J49" s="1977"/>
      <c r="K49" s="1978"/>
      <c r="L49" s="1979"/>
      <c r="M49" s="1979"/>
      <c r="N49" s="1979"/>
      <c r="O49" s="1979"/>
      <c r="P49" s="1972"/>
      <c r="Q49" s="1972"/>
      <c r="R49" s="1972"/>
      <c r="S49" s="1972"/>
      <c r="T49" s="1972"/>
      <c r="U49" s="1972"/>
      <c r="V49" s="1972"/>
      <c r="W49" s="1972"/>
      <c r="X49" s="1972"/>
      <c r="Y49" s="1972"/>
      <c r="Z49" s="1972"/>
      <c r="AA49" s="1972"/>
      <c r="AB49" s="1972"/>
      <c r="AC49" s="1972"/>
      <c r="AD49" s="1972"/>
      <c r="AE49" s="1972"/>
      <c r="AF49" s="1972"/>
      <c r="AG49" s="1972"/>
      <c r="AH49" s="1972"/>
      <c r="AI49" s="1972"/>
      <c r="AJ49" s="1972"/>
      <c r="AK49" s="1972"/>
      <c r="AL49" s="1972"/>
      <c r="AM49" s="1972"/>
      <c r="AN49" s="1972"/>
      <c r="AO49" s="1972"/>
      <c r="AP49" s="1972"/>
    </row>
    <row r="50" spans="1:42">
      <c r="A50" s="1972"/>
      <c r="B50" s="1972"/>
      <c r="C50" s="1972"/>
      <c r="D50" s="1972"/>
      <c r="E50" s="1972"/>
      <c r="F50" s="1972"/>
      <c r="G50" s="1972"/>
      <c r="H50" s="1976"/>
      <c r="I50" s="1976"/>
      <c r="J50" s="1977"/>
      <c r="K50" s="1978"/>
      <c r="L50" s="1979"/>
      <c r="M50" s="1979"/>
      <c r="N50" s="1979"/>
      <c r="O50" s="1979"/>
      <c r="P50" s="1972"/>
      <c r="Q50" s="1972"/>
      <c r="R50" s="1972"/>
      <c r="S50" s="1972"/>
      <c r="T50" s="1972"/>
      <c r="U50" s="1972"/>
      <c r="V50" s="1972"/>
      <c r="W50" s="1972"/>
      <c r="X50" s="1972"/>
      <c r="Y50" s="1972"/>
      <c r="Z50" s="1972"/>
      <c r="AA50" s="1972"/>
      <c r="AB50" s="1972"/>
      <c r="AC50" s="1972"/>
      <c r="AD50" s="1972"/>
      <c r="AE50" s="1972"/>
      <c r="AF50" s="1972"/>
      <c r="AG50" s="1972"/>
      <c r="AH50" s="1972"/>
      <c r="AI50" s="1972"/>
      <c r="AJ50" s="1972"/>
      <c r="AK50" s="1972"/>
      <c r="AL50" s="1972"/>
      <c r="AM50" s="1972"/>
      <c r="AN50" s="1972"/>
      <c r="AO50" s="1972"/>
      <c r="AP50" s="1972"/>
    </row>
    <row r="51" spans="1:42">
      <c r="A51" s="1972"/>
      <c r="B51" s="1972"/>
      <c r="C51" s="1972"/>
      <c r="D51" s="1972"/>
      <c r="E51" s="1972"/>
      <c r="F51" s="1972"/>
      <c r="G51" s="1972"/>
      <c r="H51" s="1976"/>
      <c r="I51" s="1976"/>
      <c r="J51" s="1977"/>
      <c r="K51" s="1978"/>
      <c r="L51" s="1979"/>
      <c r="M51" s="1979"/>
      <c r="N51" s="1979"/>
      <c r="O51" s="1979"/>
      <c r="P51" s="1972"/>
      <c r="Q51" s="1972"/>
      <c r="R51" s="1972"/>
      <c r="S51" s="1972"/>
      <c r="T51" s="1972"/>
      <c r="U51" s="1972"/>
      <c r="V51" s="1972"/>
      <c r="W51" s="1972"/>
      <c r="X51" s="1972"/>
      <c r="Y51" s="1972"/>
      <c r="Z51" s="1972"/>
      <c r="AA51" s="1972"/>
      <c r="AB51" s="1972"/>
      <c r="AC51" s="1972"/>
      <c r="AD51" s="1972"/>
      <c r="AE51" s="1972"/>
      <c r="AF51" s="1972"/>
      <c r="AG51" s="1972"/>
      <c r="AH51" s="1972"/>
      <c r="AI51" s="1972"/>
      <c r="AJ51" s="1972"/>
      <c r="AK51" s="1972"/>
      <c r="AL51" s="1972"/>
      <c r="AM51" s="1972"/>
      <c r="AN51" s="1972"/>
      <c r="AO51" s="1972"/>
      <c r="AP51" s="1972"/>
    </row>
    <row r="52" spans="1:42">
      <c r="A52" s="1972"/>
      <c r="B52" s="1972"/>
      <c r="C52" s="1972"/>
      <c r="D52" s="1972"/>
      <c r="E52" s="1972"/>
      <c r="F52" s="1972"/>
      <c r="G52" s="1972"/>
      <c r="H52" s="1976"/>
      <c r="I52" s="1976"/>
      <c r="J52" s="1977"/>
      <c r="K52" s="1978"/>
      <c r="L52" s="1979"/>
      <c r="M52" s="1979"/>
      <c r="N52" s="1979"/>
      <c r="O52" s="1979"/>
      <c r="P52" s="1972"/>
      <c r="Q52" s="1972"/>
      <c r="R52" s="1972"/>
      <c r="S52" s="1972"/>
      <c r="T52" s="1972"/>
      <c r="U52" s="1972"/>
      <c r="V52" s="1972"/>
      <c r="W52" s="1972"/>
      <c r="X52" s="1972"/>
      <c r="Y52" s="1972"/>
      <c r="Z52" s="1972"/>
      <c r="AA52" s="1972"/>
      <c r="AB52" s="1972"/>
      <c r="AC52" s="1972"/>
      <c r="AD52" s="1972"/>
      <c r="AE52" s="1972"/>
      <c r="AF52" s="1972"/>
      <c r="AG52" s="1972"/>
      <c r="AH52" s="1972"/>
      <c r="AI52" s="1972"/>
      <c r="AJ52" s="1972"/>
      <c r="AK52" s="1972"/>
      <c r="AL52" s="1972"/>
      <c r="AM52" s="1972"/>
      <c r="AN52" s="1972"/>
      <c r="AO52" s="1972"/>
      <c r="AP52" s="1972"/>
    </row>
    <row r="53" spans="1:42">
      <c r="A53" s="1972"/>
      <c r="B53" s="1972"/>
      <c r="C53" s="1972"/>
      <c r="D53" s="1972"/>
      <c r="E53" s="1972"/>
      <c r="F53" s="1972"/>
      <c r="G53" s="1972"/>
      <c r="H53" s="1976"/>
      <c r="I53" s="1976"/>
      <c r="J53" s="1977"/>
      <c r="K53" s="1978"/>
      <c r="L53" s="1979"/>
      <c r="M53" s="1979"/>
      <c r="N53" s="1979"/>
      <c r="O53" s="1979"/>
      <c r="P53" s="1972"/>
      <c r="Q53" s="1972"/>
      <c r="R53" s="1972"/>
      <c r="S53" s="1972"/>
      <c r="T53" s="1972"/>
      <c r="U53" s="1972"/>
      <c r="V53" s="1972"/>
      <c r="W53" s="1972"/>
      <c r="X53" s="1972"/>
      <c r="Y53" s="1972"/>
      <c r="Z53" s="1972"/>
      <c r="AA53" s="1972"/>
      <c r="AB53" s="1972"/>
      <c r="AC53" s="1972"/>
      <c r="AD53" s="1972"/>
      <c r="AE53" s="1972"/>
      <c r="AF53" s="1972"/>
      <c r="AG53" s="1972"/>
      <c r="AH53" s="1972"/>
      <c r="AI53" s="1972"/>
      <c r="AJ53" s="1972"/>
      <c r="AK53" s="1972"/>
      <c r="AL53" s="1972"/>
      <c r="AM53" s="1972"/>
      <c r="AN53" s="1972"/>
      <c r="AO53" s="1972"/>
      <c r="AP53" s="1972"/>
    </row>
    <row r="54" spans="1:42">
      <c r="A54" s="1972"/>
      <c r="B54" s="1972"/>
      <c r="C54" s="1972"/>
      <c r="D54" s="1972"/>
      <c r="E54" s="1972"/>
      <c r="F54" s="1972"/>
      <c r="G54" s="1972"/>
      <c r="H54" s="1976"/>
      <c r="I54" s="1976"/>
      <c r="J54" s="1977"/>
      <c r="K54" s="1978"/>
      <c r="L54" s="1979"/>
      <c r="M54" s="1979"/>
      <c r="N54" s="1979"/>
      <c r="O54" s="1979"/>
      <c r="P54" s="1972"/>
      <c r="Q54" s="1972"/>
      <c r="R54" s="1972"/>
      <c r="S54" s="1972"/>
      <c r="T54" s="1972"/>
      <c r="U54" s="1972"/>
      <c r="V54" s="1972"/>
      <c r="W54" s="1972"/>
      <c r="X54" s="1972"/>
      <c r="Y54" s="1972"/>
      <c r="Z54" s="1972"/>
      <c r="AA54" s="1972"/>
      <c r="AB54" s="1972"/>
      <c r="AC54" s="1972"/>
      <c r="AD54" s="1972"/>
      <c r="AE54" s="1972"/>
      <c r="AF54" s="1972"/>
      <c r="AG54" s="1972"/>
      <c r="AH54" s="1972"/>
      <c r="AI54" s="1972"/>
      <c r="AJ54" s="1972"/>
      <c r="AK54" s="1972"/>
      <c r="AL54" s="1972"/>
      <c r="AM54" s="1972"/>
      <c r="AN54" s="1972"/>
      <c r="AO54" s="1972"/>
      <c r="AP54" s="1972"/>
    </row>
    <row r="55" spans="1:42">
      <c r="A55" s="1972"/>
      <c r="B55" s="1972"/>
      <c r="C55" s="1972"/>
      <c r="D55" s="1972"/>
      <c r="E55" s="1972"/>
      <c r="F55" s="1972"/>
      <c r="G55" s="1972"/>
      <c r="H55" s="1976"/>
      <c r="I55" s="1976"/>
      <c r="J55" s="1977"/>
      <c r="K55" s="1978"/>
      <c r="L55" s="1979"/>
      <c r="M55" s="1979"/>
      <c r="N55" s="1979"/>
      <c r="O55" s="1979"/>
      <c r="P55" s="1972"/>
      <c r="Q55" s="1972"/>
      <c r="R55" s="1972"/>
      <c r="S55" s="1972"/>
      <c r="T55" s="1972"/>
      <c r="U55" s="1972"/>
      <c r="V55" s="1972"/>
      <c r="W55" s="1972"/>
      <c r="X55" s="1972"/>
      <c r="Y55" s="1972"/>
      <c r="Z55" s="1972"/>
      <c r="AA55" s="1972"/>
      <c r="AB55" s="1972"/>
      <c r="AC55" s="1972"/>
      <c r="AD55" s="1972"/>
      <c r="AE55" s="1972"/>
      <c r="AF55" s="1972"/>
      <c r="AG55" s="1972"/>
      <c r="AH55" s="1972"/>
      <c r="AI55" s="1972"/>
      <c r="AJ55" s="1972"/>
      <c r="AK55" s="1972"/>
      <c r="AL55" s="1972"/>
      <c r="AM55" s="1972"/>
      <c r="AN55" s="1972"/>
      <c r="AO55" s="1972"/>
      <c r="AP55" s="1972"/>
    </row>
    <row r="56" spans="1:42">
      <c r="A56" s="1972"/>
      <c r="B56" s="1972"/>
      <c r="C56" s="1972"/>
      <c r="D56" s="1972"/>
      <c r="E56" s="1972"/>
      <c r="F56" s="1972"/>
      <c r="G56" s="1972"/>
      <c r="H56" s="1976"/>
      <c r="I56" s="1976"/>
      <c r="J56" s="1977"/>
      <c r="K56" s="1978"/>
      <c r="L56" s="1979"/>
      <c r="M56" s="1979"/>
      <c r="N56" s="1979"/>
      <c r="O56" s="1979"/>
      <c r="P56" s="1972"/>
      <c r="Q56" s="1972"/>
      <c r="R56" s="1972"/>
      <c r="S56" s="1972"/>
      <c r="T56" s="1972"/>
      <c r="U56" s="1972"/>
      <c r="V56" s="1972"/>
      <c r="W56" s="1972"/>
      <c r="X56" s="1972"/>
      <c r="Y56" s="1972"/>
      <c r="Z56" s="1972"/>
      <c r="AA56" s="1972"/>
      <c r="AB56" s="1972"/>
      <c r="AC56" s="1972"/>
      <c r="AD56" s="1972"/>
      <c r="AE56" s="1972"/>
      <c r="AF56" s="1972"/>
      <c r="AG56" s="1972"/>
      <c r="AH56" s="1972"/>
      <c r="AI56" s="1972"/>
      <c r="AJ56" s="1972"/>
      <c r="AK56" s="1972"/>
      <c r="AL56" s="1972"/>
      <c r="AM56" s="1972"/>
      <c r="AN56" s="1972"/>
      <c r="AO56" s="1972"/>
      <c r="AP56" s="1972"/>
    </row>
    <row r="57" spans="1:42">
      <c r="A57" s="1972"/>
      <c r="B57" s="1972"/>
      <c r="C57" s="1972"/>
      <c r="D57" s="1972"/>
      <c r="E57" s="1972"/>
      <c r="F57" s="1972"/>
      <c r="G57" s="1972"/>
      <c r="H57" s="1976"/>
      <c r="I57" s="1976"/>
      <c r="J57" s="1977"/>
      <c r="K57" s="1978"/>
      <c r="L57" s="1979"/>
      <c r="M57" s="1979"/>
      <c r="N57" s="1979"/>
      <c r="O57" s="1979"/>
      <c r="P57" s="1972"/>
      <c r="Q57" s="1972"/>
      <c r="R57" s="1972"/>
      <c r="S57" s="1972"/>
      <c r="T57" s="1972"/>
      <c r="U57" s="1972"/>
      <c r="V57" s="1972"/>
      <c r="W57" s="1972"/>
      <c r="X57" s="1972"/>
      <c r="Y57" s="1972"/>
      <c r="Z57" s="1972"/>
      <c r="AA57" s="1972"/>
      <c r="AB57" s="1972"/>
      <c r="AC57" s="1972"/>
      <c r="AD57" s="1972"/>
      <c r="AE57" s="1972"/>
      <c r="AF57" s="1972"/>
      <c r="AG57" s="1972"/>
      <c r="AH57" s="1972"/>
      <c r="AI57" s="1972"/>
      <c r="AJ57" s="1972"/>
      <c r="AK57" s="1972"/>
      <c r="AL57" s="1972"/>
      <c r="AM57" s="1972"/>
      <c r="AN57" s="1972"/>
      <c r="AO57" s="1972"/>
      <c r="AP57" s="1972"/>
    </row>
    <row r="58" spans="1:42">
      <c r="A58" s="1972"/>
      <c r="B58" s="1972"/>
      <c r="C58" s="1972"/>
      <c r="D58" s="1972"/>
      <c r="E58" s="1972"/>
      <c r="F58" s="1972"/>
      <c r="G58" s="1972"/>
      <c r="H58" s="1976"/>
      <c r="I58" s="1976"/>
      <c r="J58" s="1977"/>
      <c r="K58" s="1978"/>
      <c r="L58" s="1979"/>
      <c r="M58" s="1979"/>
      <c r="N58" s="1979"/>
      <c r="O58" s="1979"/>
      <c r="P58" s="1972"/>
      <c r="Q58" s="1972"/>
      <c r="R58" s="1972"/>
      <c r="S58" s="1972"/>
      <c r="T58" s="1972"/>
      <c r="U58" s="1972"/>
      <c r="V58" s="1972"/>
      <c r="W58" s="1972"/>
      <c r="X58" s="1972"/>
      <c r="Y58" s="1972"/>
      <c r="Z58" s="1972"/>
      <c r="AA58" s="1972"/>
      <c r="AB58" s="1972"/>
      <c r="AC58" s="1972"/>
      <c r="AD58" s="1972"/>
      <c r="AE58" s="1972"/>
      <c r="AF58" s="1972"/>
      <c r="AG58" s="1972"/>
      <c r="AH58" s="1972"/>
      <c r="AI58" s="1972"/>
      <c r="AJ58" s="1972"/>
      <c r="AK58" s="1972"/>
      <c r="AL58" s="1972"/>
      <c r="AM58" s="1972"/>
      <c r="AN58" s="1972"/>
      <c r="AO58" s="1972"/>
      <c r="AP58" s="1972"/>
    </row>
    <row r="59" spans="1:42">
      <c r="A59" s="1972"/>
      <c r="B59" s="1972"/>
      <c r="C59" s="1972"/>
      <c r="D59" s="1972"/>
      <c r="E59" s="1972"/>
      <c r="F59" s="1972"/>
      <c r="G59" s="1972"/>
      <c r="H59" s="1976"/>
      <c r="I59" s="1976"/>
      <c r="J59" s="1977"/>
      <c r="K59" s="1978"/>
      <c r="L59" s="1979"/>
      <c r="M59" s="1979"/>
      <c r="N59" s="1979"/>
      <c r="O59" s="1979"/>
      <c r="P59" s="1972"/>
      <c r="Q59" s="1972"/>
      <c r="R59" s="1972"/>
      <c r="S59" s="1972"/>
      <c r="T59" s="1972"/>
      <c r="U59" s="1972"/>
      <c r="V59" s="1972"/>
      <c r="W59" s="1972"/>
      <c r="X59" s="1972"/>
      <c r="Y59" s="1972"/>
      <c r="Z59" s="1972"/>
      <c r="AA59" s="1972"/>
      <c r="AB59" s="1972"/>
      <c r="AC59" s="1972"/>
      <c r="AD59" s="1972"/>
      <c r="AE59" s="1972"/>
      <c r="AF59" s="1972"/>
      <c r="AG59" s="1972"/>
      <c r="AH59" s="1972"/>
      <c r="AI59" s="1972"/>
      <c r="AJ59" s="1972"/>
      <c r="AK59" s="1972"/>
      <c r="AL59" s="1972"/>
      <c r="AM59" s="1972"/>
      <c r="AN59" s="1972"/>
      <c r="AO59" s="1972"/>
      <c r="AP59" s="1972"/>
    </row>
    <row r="60" spans="1:42">
      <c r="A60" s="1972"/>
      <c r="B60" s="1972"/>
      <c r="C60" s="1972"/>
      <c r="D60" s="1972"/>
      <c r="E60" s="1972"/>
      <c r="F60" s="1972"/>
      <c r="G60" s="1972"/>
      <c r="H60" s="1976"/>
      <c r="I60" s="1976"/>
      <c r="J60" s="1977"/>
      <c r="K60" s="1978"/>
      <c r="L60" s="1979"/>
      <c r="M60" s="1979"/>
      <c r="N60" s="1979"/>
      <c r="O60" s="1979"/>
      <c r="P60" s="1972"/>
      <c r="Q60" s="1972"/>
      <c r="R60" s="1972"/>
      <c r="S60" s="1972"/>
      <c r="T60" s="1972"/>
      <c r="U60" s="1972"/>
      <c r="V60" s="1972"/>
      <c r="W60" s="1972"/>
      <c r="X60" s="1972"/>
      <c r="Y60" s="1972"/>
      <c r="Z60" s="1972"/>
      <c r="AA60" s="1972"/>
      <c r="AB60" s="1972"/>
      <c r="AC60" s="1972"/>
      <c r="AD60" s="1972"/>
      <c r="AE60" s="1972"/>
      <c r="AF60" s="1972"/>
      <c r="AG60" s="1972"/>
      <c r="AH60" s="1972"/>
      <c r="AI60" s="1972"/>
      <c r="AJ60" s="1972"/>
      <c r="AK60" s="1972"/>
      <c r="AL60" s="1972"/>
      <c r="AM60" s="1972"/>
      <c r="AN60" s="1972"/>
      <c r="AO60" s="1972"/>
      <c r="AP60" s="1972"/>
    </row>
    <row r="61" spans="1:42">
      <c r="A61" s="1972"/>
      <c r="B61" s="1972"/>
      <c r="C61" s="1972"/>
      <c r="D61" s="1972"/>
      <c r="E61" s="1972"/>
      <c r="F61" s="1972"/>
      <c r="G61" s="1972"/>
      <c r="H61" s="1976"/>
      <c r="I61" s="1976"/>
      <c r="J61" s="1977"/>
      <c r="K61" s="1978"/>
      <c r="L61" s="1979"/>
      <c r="M61" s="1979"/>
      <c r="N61" s="1979"/>
      <c r="O61" s="1979"/>
      <c r="P61" s="1972"/>
      <c r="Q61" s="1972"/>
      <c r="R61" s="1972"/>
      <c r="S61" s="1972"/>
      <c r="T61" s="1972"/>
      <c r="U61" s="1972"/>
      <c r="V61" s="1972"/>
      <c r="W61" s="1972"/>
      <c r="X61" s="1972"/>
      <c r="Y61" s="1972"/>
      <c r="Z61" s="1972"/>
      <c r="AA61" s="1972"/>
      <c r="AB61" s="1972"/>
      <c r="AC61" s="1972"/>
      <c r="AD61" s="1972"/>
      <c r="AE61" s="1972"/>
      <c r="AF61" s="1972"/>
      <c r="AG61" s="1972"/>
      <c r="AH61" s="1972"/>
      <c r="AI61" s="1972"/>
      <c r="AJ61" s="1972"/>
      <c r="AK61" s="1972"/>
      <c r="AL61" s="1972"/>
      <c r="AM61" s="1972"/>
      <c r="AN61" s="1972"/>
      <c r="AO61" s="1972"/>
      <c r="AP61" s="1972"/>
    </row>
    <row r="62" spans="1:42">
      <c r="A62" s="1972"/>
      <c r="B62" s="1972"/>
      <c r="C62" s="1972"/>
      <c r="D62" s="1972"/>
      <c r="E62" s="1972"/>
      <c r="F62" s="1972"/>
      <c r="G62" s="1972"/>
      <c r="H62" s="1976"/>
      <c r="I62" s="1976"/>
      <c r="J62" s="1977"/>
      <c r="K62" s="1978"/>
      <c r="L62" s="1979"/>
      <c r="M62" s="1979"/>
      <c r="N62" s="1979"/>
      <c r="O62" s="1979"/>
      <c r="P62" s="1972"/>
      <c r="Q62" s="1972"/>
      <c r="R62" s="1972"/>
      <c r="S62" s="1972"/>
      <c r="T62" s="1972"/>
      <c r="U62" s="1972"/>
      <c r="V62" s="1972"/>
      <c r="W62" s="1972"/>
      <c r="X62" s="1972"/>
      <c r="Y62" s="1972"/>
      <c r="Z62" s="1972"/>
      <c r="AA62" s="1972"/>
      <c r="AB62" s="1972"/>
      <c r="AC62" s="1972"/>
      <c r="AD62" s="1972"/>
      <c r="AE62" s="1972"/>
      <c r="AF62" s="1972"/>
      <c r="AG62" s="1972"/>
      <c r="AH62" s="1972"/>
      <c r="AI62" s="1972"/>
      <c r="AJ62" s="1972"/>
      <c r="AK62" s="1972"/>
      <c r="AL62" s="1972"/>
      <c r="AM62" s="1972"/>
      <c r="AN62" s="1972"/>
      <c r="AO62" s="1972"/>
      <c r="AP62" s="1972"/>
    </row>
    <row r="63" spans="1:42">
      <c r="A63" s="1972"/>
      <c r="B63" s="1972"/>
      <c r="C63" s="1972"/>
      <c r="D63" s="1972"/>
      <c r="E63" s="1972"/>
      <c r="F63" s="1972"/>
      <c r="G63" s="1972"/>
      <c r="H63" s="1976"/>
      <c r="I63" s="1976"/>
      <c r="J63" s="1978"/>
      <c r="K63" s="1978"/>
      <c r="L63" s="1979"/>
      <c r="M63" s="1979"/>
      <c r="N63" s="1979"/>
      <c r="O63" s="1979"/>
      <c r="P63" s="1972"/>
      <c r="Q63" s="1972"/>
      <c r="R63" s="1972"/>
      <c r="S63" s="1972"/>
      <c r="T63" s="1972"/>
      <c r="U63" s="1972"/>
      <c r="V63" s="1972"/>
      <c r="W63" s="1972"/>
      <c r="X63" s="1972"/>
      <c r="Y63" s="1972"/>
      <c r="Z63" s="1972"/>
      <c r="AA63" s="1972"/>
      <c r="AB63" s="1972"/>
      <c r="AC63" s="1972"/>
      <c r="AD63" s="1972"/>
      <c r="AE63" s="1972"/>
      <c r="AF63" s="1972"/>
      <c r="AG63" s="1972"/>
      <c r="AH63" s="1972"/>
      <c r="AI63" s="1972"/>
      <c r="AJ63" s="1972"/>
      <c r="AK63" s="1972"/>
      <c r="AL63" s="1972"/>
      <c r="AM63" s="1972"/>
      <c r="AN63" s="1972"/>
      <c r="AO63" s="1972"/>
      <c r="AP63" s="1972"/>
    </row>
    <row r="64" spans="1:42">
      <c r="A64" s="1972"/>
      <c r="B64" s="1972"/>
      <c r="C64" s="1972"/>
      <c r="D64" s="1972"/>
      <c r="E64" s="1972"/>
      <c r="F64" s="1972"/>
      <c r="G64" s="1972"/>
      <c r="H64" s="1972"/>
      <c r="I64" s="1972"/>
      <c r="J64" s="1972"/>
      <c r="K64" s="1972"/>
      <c r="L64" s="1972"/>
      <c r="M64" s="1972"/>
      <c r="N64" s="1972"/>
      <c r="O64" s="1972"/>
      <c r="P64" s="1972"/>
      <c r="Q64" s="1972"/>
      <c r="R64" s="1972"/>
      <c r="S64" s="1972"/>
      <c r="T64" s="1972"/>
      <c r="U64" s="1972"/>
      <c r="V64" s="1972"/>
      <c r="W64" s="1972"/>
      <c r="X64" s="1972"/>
      <c r="Y64" s="1972"/>
      <c r="Z64" s="1972"/>
      <c r="AA64" s="1972"/>
      <c r="AB64" s="1972"/>
      <c r="AC64" s="1972"/>
      <c r="AD64" s="1972"/>
      <c r="AE64" s="1972"/>
      <c r="AF64" s="1972"/>
      <c r="AG64" s="1972"/>
      <c r="AH64" s="1972"/>
      <c r="AI64" s="1972"/>
      <c r="AJ64" s="1972"/>
      <c r="AK64" s="1972"/>
      <c r="AL64" s="1972"/>
      <c r="AM64" s="1972"/>
      <c r="AN64" s="1972"/>
      <c r="AO64" s="1972"/>
      <c r="AP64" s="1972"/>
    </row>
    <row r="65" spans="1:42">
      <c r="A65" s="1972"/>
      <c r="B65" s="1972"/>
      <c r="C65" s="1972"/>
      <c r="D65" s="1972"/>
      <c r="E65" s="1972"/>
      <c r="F65" s="1972"/>
      <c r="G65" s="1972"/>
      <c r="H65" s="1972"/>
      <c r="I65" s="1972"/>
      <c r="J65" s="1972"/>
      <c r="K65" s="1972"/>
      <c r="L65" s="1972"/>
      <c r="M65" s="1972"/>
      <c r="N65" s="1972"/>
      <c r="O65" s="1972"/>
      <c r="P65" s="1972"/>
      <c r="Q65" s="1972"/>
      <c r="R65" s="1972"/>
      <c r="S65" s="1972"/>
      <c r="T65" s="1972"/>
      <c r="U65" s="1972"/>
      <c r="V65" s="1972"/>
      <c r="W65" s="1972"/>
      <c r="X65" s="1972"/>
      <c r="Y65" s="1972"/>
      <c r="Z65" s="1972"/>
      <c r="AA65" s="1972"/>
      <c r="AB65" s="1972"/>
      <c r="AC65" s="1972"/>
      <c r="AD65" s="1972"/>
      <c r="AE65" s="1972"/>
      <c r="AF65" s="1972"/>
      <c r="AG65" s="1972"/>
      <c r="AH65" s="1972"/>
      <c r="AI65" s="1972"/>
      <c r="AJ65" s="1972"/>
      <c r="AK65" s="1972"/>
      <c r="AL65" s="1972"/>
      <c r="AM65" s="1972"/>
      <c r="AN65" s="1972"/>
      <c r="AO65" s="1972"/>
      <c r="AP65" s="1972"/>
    </row>
    <row r="66" spans="1:42">
      <c r="A66" s="1972"/>
      <c r="B66" s="1972"/>
      <c r="C66" s="1972"/>
      <c r="D66" s="1972"/>
      <c r="E66" s="1972"/>
      <c r="F66" s="1972"/>
      <c r="G66" s="1972"/>
      <c r="H66" s="1972"/>
      <c r="I66" s="1972"/>
      <c r="J66" s="1972"/>
      <c r="K66" s="1972"/>
      <c r="L66" s="1972"/>
      <c r="M66" s="1972"/>
      <c r="N66" s="1972"/>
      <c r="O66" s="1972"/>
      <c r="P66" s="1972"/>
      <c r="Q66" s="1972"/>
      <c r="R66" s="1972"/>
      <c r="S66" s="1972"/>
      <c r="T66" s="1972"/>
      <c r="U66" s="1972"/>
      <c r="V66" s="1972"/>
      <c r="W66" s="1972"/>
      <c r="X66" s="1972"/>
      <c r="Y66" s="1972"/>
      <c r="Z66" s="1972"/>
      <c r="AA66" s="1972"/>
      <c r="AB66" s="1972"/>
      <c r="AC66" s="1972"/>
      <c r="AD66" s="1972"/>
      <c r="AE66" s="1972"/>
      <c r="AF66" s="1972"/>
      <c r="AG66" s="1972"/>
      <c r="AH66" s="1972"/>
      <c r="AI66" s="1972"/>
      <c r="AJ66" s="1972"/>
      <c r="AK66" s="1972"/>
      <c r="AL66" s="1972"/>
      <c r="AM66" s="1972"/>
      <c r="AN66" s="1972"/>
      <c r="AO66" s="1972"/>
      <c r="AP66" s="1972"/>
    </row>
    <row r="67" spans="1:42">
      <c r="A67" s="1972"/>
      <c r="B67" s="1972"/>
      <c r="C67" s="1972"/>
      <c r="D67" s="1972"/>
      <c r="E67" s="1972"/>
      <c r="F67" s="1972"/>
      <c r="G67" s="1972"/>
      <c r="H67" s="1972"/>
      <c r="I67" s="1972"/>
      <c r="J67" s="1972"/>
      <c r="K67" s="1972"/>
      <c r="L67" s="1972"/>
      <c r="M67" s="1972"/>
      <c r="N67" s="1972"/>
      <c r="O67" s="1972"/>
      <c r="P67" s="1972"/>
      <c r="Q67" s="1972"/>
      <c r="R67" s="1972"/>
      <c r="S67" s="1972"/>
      <c r="T67" s="1972"/>
      <c r="U67" s="1972"/>
      <c r="V67" s="1972"/>
      <c r="W67" s="1972"/>
      <c r="X67" s="1972"/>
      <c r="Y67" s="1972"/>
      <c r="Z67" s="1972"/>
      <c r="AA67" s="1972"/>
      <c r="AB67" s="1972"/>
      <c r="AC67" s="1972"/>
      <c r="AD67" s="1972"/>
      <c r="AE67" s="1972"/>
      <c r="AF67" s="1972"/>
      <c r="AG67" s="1972"/>
      <c r="AH67" s="1972"/>
      <c r="AI67" s="1972"/>
      <c r="AJ67" s="1972"/>
      <c r="AK67" s="1972"/>
      <c r="AL67" s="1972"/>
      <c r="AM67" s="1972"/>
      <c r="AN67" s="1972"/>
      <c r="AO67" s="1972"/>
      <c r="AP67" s="1972"/>
    </row>
    <row r="68" spans="1:42">
      <c r="A68" s="1972"/>
      <c r="B68" s="1972"/>
      <c r="C68" s="1972"/>
      <c r="D68" s="1972"/>
      <c r="E68" s="1972"/>
      <c r="F68" s="1972"/>
      <c r="G68" s="1972"/>
      <c r="H68" s="1972"/>
      <c r="I68" s="1972"/>
      <c r="J68" s="1972"/>
      <c r="K68" s="1972"/>
      <c r="L68" s="1972"/>
      <c r="M68" s="1972"/>
      <c r="N68" s="1972"/>
      <c r="O68" s="1972"/>
      <c r="P68" s="1972"/>
      <c r="Q68" s="1972"/>
      <c r="R68" s="1972"/>
      <c r="S68" s="1972"/>
      <c r="T68" s="1972"/>
      <c r="U68" s="1972"/>
      <c r="V68" s="1972"/>
      <c r="W68" s="1972"/>
      <c r="X68" s="1972"/>
      <c r="Y68" s="1972"/>
      <c r="Z68" s="1972"/>
      <c r="AA68" s="1972"/>
      <c r="AB68" s="1972"/>
      <c r="AC68" s="1972"/>
      <c r="AD68" s="1972"/>
      <c r="AE68" s="1972"/>
      <c r="AF68" s="1972"/>
      <c r="AG68" s="1972"/>
      <c r="AH68" s="1972"/>
      <c r="AI68" s="1972"/>
      <c r="AJ68" s="1972"/>
      <c r="AK68" s="1972"/>
      <c r="AL68" s="1972"/>
      <c r="AM68" s="1972"/>
      <c r="AN68" s="1972"/>
      <c r="AO68" s="1972"/>
      <c r="AP68" s="1972"/>
    </row>
    <row r="69" spans="1:42">
      <c r="A69" s="1972"/>
      <c r="B69" s="1972"/>
      <c r="C69" s="1972"/>
      <c r="D69" s="1972"/>
      <c r="E69" s="1972"/>
      <c r="F69" s="1972"/>
      <c r="G69" s="1972"/>
      <c r="H69" s="1972"/>
      <c r="I69" s="1972"/>
      <c r="J69" s="1972"/>
      <c r="K69" s="1972"/>
      <c r="L69" s="1972"/>
      <c r="M69" s="1972"/>
      <c r="N69" s="1972"/>
      <c r="O69" s="1972"/>
      <c r="P69" s="1972"/>
      <c r="Q69" s="1972"/>
      <c r="R69" s="1972"/>
      <c r="S69" s="1972"/>
      <c r="T69" s="1972"/>
      <c r="U69" s="1972"/>
      <c r="V69" s="1972"/>
      <c r="W69" s="1972"/>
      <c r="X69" s="1972"/>
      <c r="Y69" s="1972"/>
      <c r="Z69" s="1972"/>
      <c r="AA69" s="1972"/>
      <c r="AB69" s="1972"/>
      <c r="AC69" s="1972"/>
      <c r="AD69" s="1972"/>
      <c r="AE69" s="1972"/>
      <c r="AF69" s="1972"/>
      <c r="AG69" s="1972"/>
      <c r="AH69" s="1972"/>
      <c r="AI69" s="1972"/>
      <c r="AJ69" s="1972"/>
      <c r="AK69" s="1972"/>
      <c r="AL69" s="1972"/>
      <c r="AM69" s="1972"/>
      <c r="AN69" s="1972"/>
      <c r="AO69" s="1972"/>
      <c r="AP69" s="1972"/>
    </row>
    <row r="70" spans="1:42">
      <c r="A70" s="1972"/>
      <c r="B70" s="1972"/>
      <c r="C70" s="1972"/>
      <c r="D70" s="1972"/>
      <c r="E70" s="1972"/>
      <c r="F70" s="1972"/>
      <c r="G70" s="1972"/>
      <c r="H70" s="1972"/>
      <c r="I70" s="1972"/>
      <c r="J70" s="1972"/>
      <c r="K70" s="1972"/>
      <c r="L70" s="1972"/>
      <c r="M70" s="1972"/>
      <c r="N70" s="1972"/>
      <c r="O70" s="1972"/>
      <c r="P70" s="1972"/>
      <c r="Q70" s="1972"/>
      <c r="R70" s="1972"/>
      <c r="S70" s="1972"/>
      <c r="T70" s="1972"/>
      <c r="U70" s="1972"/>
      <c r="V70" s="1972"/>
      <c r="W70" s="1972"/>
      <c r="X70" s="1972"/>
      <c r="Y70" s="1972"/>
      <c r="Z70" s="1972"/>
      <c r="AA70" s="1972"/>
      <c r="AB70" s="1972"/>
      <c r="AC70" s="1972"/>
      <c r="AD70" s="1972"/>
      <c r="AE70" s="1972"/>
      <c r="AF70" s="1972"/>
      <c r="AG70" s="1972"/>
      <c r="AH70" s="1972"/>
      <c r="AI70" s="1972"/>
      <c r="AJ70" s="1972"/>
      <c r="AK70" s="1972"/>
      <c r="AL70" s="1972"/>
      <c r="AM70" s="1972"/>
      <c r="AN70" s="1972"/>
      <c r="AO70" s="1972"/>
      <c r="AP70" s="1972"/>
    </row>
    <row r="71" spans="1:42">
      <c r="A71" s="1972"/>
      <c r="B71" s="1972"/>
      <c r="C71" s="1972"/>
      <c r="D71" s="1972"/>
      <c r="E71" s="1972"/>
      <c r="F71" s="1972"/>
      <c r="G71" s="1972"/>
      <c r="H71" s="1972"/>
      <c r="I71" s="1972"/>
      <c r="J71" s="1972"/>
      <c r="K71" s="1972"/>
      <c r="L71" s="1972"/>
      <c r="M71" s="1972"/>
      <c r="N71" s="1972"/>
      <c r="O71" s="1972"/>
      <c r="P71" s="1972"/>
      <c r="Q71" s="1972"/>
      <c r="R71" s="1972"/>
      <c r="S71" s="1972"/>
      <c r="T71" s="1972"/>
      <c r="U71" s="1972"/>
      <c r="V71" s="1972"/>
      <c r="W71" s="1972"/>
      <c r="X71" s="1972"/>
      <c r="Y71" s="1972"/>
      <c r="Z71" s="1972"/>
      <c r="AA71" s="1972"/>
      <c r="AB71" s="1972"/>
      <c r="AC71" s="1972"/>
      <c r="AD71" s="1972"/>
      <c r="AE71" s="1972"/>
      <c r="AF71" s="1972"/>
      <c r="AG71" s="1972"/>
      <c r="AH71" s="1972"/>
      <c r="AI71" s="1972"/>
      <c r="AJ71" s="1972"/>
      <c r="AK71" s="1972"/>
      <c r="AL71" s="1972"/>
      <c r="AM71" s="1972"/>
      <c r="AN71" s="1972"/>
      <c r="AO71" s="1972"/>
      <c r="AP71" s="1972"/>
    </row>
    <row r="72" spans="1:42">
      <c r="A72" s="1972"/>
      <c r="B72" s="1972"/>
      <c r="C72" s="1972"/>
      <c r="D72" s="1972"/>
      <c r="E72" s="1972"/>
      <c r="F72" s="1972"/>
      <c r="G72" s="1972"/>
      <c r="H72" s="1972"/>
      <c r="I72" s="1972"/>
      <c r="J72" s="1972"/>
      <c r="K72" s="1972"/>
      <c r="L72" s="1972"/>
      <c r="M72" s="1972"/>
      <c r="N72" s="1972"/>
      <c r="O72" s="1972"/>
      <c r="P72" s="1972"/>
      <c r="Q72" s="1972"/>
      <c r="R72" s="1972"/>
      <c r="S72" s="1972"/>
      <c r="T72" s="1972"/>
      <c r="U72" s="1972"/>
      <c r="V72" s="1972"/>
      <c r="W72" s="1972"/>
      <c r="X72" s="1972"/>
      <c r="Y72" s="1972"/>
      <c r="Z72" s="1972"/>
      <c r="AA72" s="1972"/>
      <c r="AB72" s="1972"/>
      <c r="AC72" s="1972"/>
      <c r="AD72" s="1972"/>
      <c r="AE72" s="1972"/>
      <c r="AF72" s="1972"/>
      <c r="AG72" s="1972"/>
      <c r="AH72" s="1972"/>
      <c r="AI72" s="1972"/>
      <c r="AJ72" s="1972"/>
      <c r="AK72" s="1972"/>
      <c r="AL72" s="1972"/>
      <c r="AM72" s="1972"/>
      <c r="AN72" s="1972"/>
      <c r="AO72" s="1972"/>
      <c r="AP72" s="1972"/>
    </row>
    <row r="73" spans="1:42">
      <c r="A73" s="1972"/>
      <c r="B73" s="1972"/>
      <c r="C73" s="1972"/>
      <c r="D73" s="1972"/>
      <c r="E73" s="1972"/>
      <c r="F73" s="1972"/>
      <c r="G73" s="1972"/>
      <c r="H73" s="1972"/>
      <c r="I73" s="1972"/>
      <c r="J73" s="1972"/>
      <c r="K73" s="1972"/>
      <c r="L73" s="1972"/>
      <c r="M73" s="1972"/>
      <c r="N73" s="1972"/>
      <c r="O73" s="1972"/>
      <c r="P73" s="1972"/>
      <c r="Q73" s="1972"/>
      <c r="R73" s="1972"/>
      <c r="S73" s="1972"/>
      <c r="T73" s="1972"/>
      <c r="U73" s="1972"/>
      <c r="V73" s="1972"/>
      <c r="W73" s="1972"/>
      <c r="X73" s="1972"/>
      <c r="Y73" s="1972"/>
      <c r="Z73" s="1972"/>
      <c r="AA73" s="1972"/>
      <c r="AB73" s="1972"/>
      <c r="AC73" s="1972"/>
      <c r="AD73" s="1972"/>
      <c r="AE73" s="1972"/>
      <c r="AF73" s="1972"/>
      <c r="AG73" s="1972"/>
      <c r="AH73" s="1972"/>
      <c r="AI73" s="1972"/>
      <c r="AJ73" s="1972"/>
      <c r="AK73" s="1972"/>
      <c r="AL73" s="1972"/>
      <c r="AM73" s="1972"/>
      <c r="AN73" s="1972"/>
      <c r="AO73" s="1972"/>
      <c r="AP73" s="1972"/>
    </row>
    <row r="74" spans="1:42">
      <c r="A74" s="1972"/>
      <c r="B74" s="1972"/>
      <c r="C74" s="1972"/>
      <c r="D74" s="1972"/>
      <c r="E74" s="1972"/>
      <c r="F74" s="1972"/>
      <c r="G74" s="1972"/>
      <c r="H74" s="1972"/>
      <c r="I74" s="1972"/>
      <c r="J74" s="1972"/>
      <c r="K74" s="1972"/>
      <c r="L74" s="1972"/>
      <c r="M74" s="1972"/>
      <c r="N74" s="1972"/>
      <c r="O74" s="1972"/>
      <c r="P74" s="1972"/>
      <c r="Q74" s="1972"/>
      <c r="R74" s="1972"/>
      <c r="S74" s="1972"/>
      <c r="T74" s="1972"/>
      <c r="U74" s="1972"/>
      <c r="V74" s="1972"/>
      <c r="W74" s="1972"/>
      <c r="X74" s="1972"/>
      <c r="Y74" s="1972"/>
      <c r="Z74" s="1972"/>
      <c r="AA74" s="1972"/>
      <c r="AB74" s="1972"/>
      <c r="AC74" s="1972"/>
      <c r="AD74" s="1972"/>
      <c r="AE74" s="1972"/>
      <c r="AF74" s="1972"/>
      <c r="AG74" s="1972"/>
      <c r="AH74" s="1972"/>
      <c r="AI74" s="1972"/>
      <c r="AJ74" s="1972"/>
      <c r="AK74" s="1972"/>
      <c r="AL74" s="1972"/>
      <c r="AM74" s="1972"/>
      <c r="AN74" s="1972"/>
      <c r="AO74" s="1972"/>
      <c r="AP74" s="1972"/>
    </row>
    <row r="75" spans="1:42">
      <c r="A75" s="1972"/>
      <c r="B75" s="1972"/>
      <c r="C75" s="1972"/>
      <c r="D75" s="1972"/>
      <c r="E75" s="1972"/>
      <c r="F75" s="1972"/>
      <c r="G75" s="1972"/>
      <c r="H75" s="1972"/>
      <c r="I75" s="1972"/>
      <c r="J75" s="1972"/>
      <c r="K75" s="1972"/>
      <c r="L75" s="1972"/>
      <c r="M75" s="1972"/>
      <c r="N75" s="1972"/>
      <c r="O75" s="1972"/>
      <c r="P75" s="1972"/>
      <c r="Q75" s="1972"/>
      <c r="R75" s="1972"/>
      <c r="S75" s="1972"/>
      <c r="T75" s="1972"/>
      <c r="U75" s="1972"/>
      <c r="V75" s="1972"/>
      <c r="W75" s="1972"/>
      <c r="X75" s="1972"/>
      <c r="Y75" s="1972"/>
      <c r="Z75" s="1972"/>
      <c r="AA75" s="1972"/>
      <c r="AB75" s="1972"/>
      <c r="AC75" s="1972"/>
      <c r="AD75" s="1972"/>
      <c r="AE75" s="1972"/>
      <c r="AF75" s="1972"/>
      <c r="AG75" s="1972"/>
      <c r="AH75" s="1972"/>
      <c r="AI75" s="1972"/>
      <c r="AJ75" s="1972"/>
      <c r="AK75" s="1972"/>
      <c r="AL75" s="1972"/>
      <c r="AM75" s="1972"/>
      <c r="AN75" s="1972"/>
      <c r="AO75" s="1972"/>
      <c r="AP75" s="1972"/>
    </row>
    <row r="76" spans="1:42">
      <c r="A76" s="1972"/>
      <c r="B76" s="1972"/>
      <c r="C76" s="1972"/>
      <c r="D76" s="1972"/>
      <c r="E76" s="1972"/>
      <c r="F76" s="1972"/>
      <c r="G76" s="1972"/>
      <c r="H76" s="1972"/>
      <c r="I76" s="1972"/>
      <c r="J76" s="1972"/>
      <c r="K76" s="1972"/>
      <c r="L76" s="1972"/>
      <c r="M76" s="1972"/>
      <c r="N76" s="1972"/>
      <c r="O76" s="1972"/>
      <c r="P76" s="1972"/>
      <c r="Q76" s="1972"/>
      <c r="R76" s="1972"/>
      <c r="S76" s="1972"/>
      <c r="T76" s="1972"/>
      <c r="U76" s="1972"/>
      <c r="V76" s="1972"/>
      <c r="W76" s="1972"/>
      <c r="X76" s="1972"/>
      <c r="Y76" s="1972"/>
      <c r="Z76" s="1972"/>
      <c r="AA76" s="1972"/>
      <c r="AB76" s="1972"/>
      <c r="AC76" s="1972"/>
      <c r="AD76" s="1972"/>
      <c r="AE76" s="1972"/>
      <c r="AF76" s="1972"/>
      <c r="AG76" s="1972"/>
      <c r="AH76" s="1972"/>
      <c r="AI76" s="1972"/>
      <c r="AJ76" s="1972"/>
      <c r="AK76" s="1972"/>
      <c r="AL76" s="1972"/>
      <c r="AM76" s="1972"/>
      <c r="AN76" s="1972"/>
      <c r="AO76" s="1972"/>
      <c r="AP76" s="1972"/>
    </row>
    <row r="77" spans="1:42">
      <c r="A77" s="1972"/>
      <c r="B77" s="1972"/>
      <c r="C77" s="1972"/>
      <c r="D77" s="1972"/>
      <c r="E77" s="1972"/>
      <c r="F77" s="1972"/>
      <c r="G77" s="1972"/>
      <c r="H77" s="1972"/>
      <c r="I77" s="1972"/>
      <c r="J77" s="1972"/>
      <c r="K77" s="1972"/>
      <c r="L77" s="1972"/>
      <c r="M77" s="1972"/>
      <c r="N77" s="1972"/>
      <c r="O77" s="1972"/>
      <c r="P77" s="1972"/>
      <c r="Q77" s="1972"/>
      <c r="R77" s="1972"/>
      <c r="S77" s="1972"/>
      <c r="T77" s="1972"/>
      <c r="U77" s="1972"/>
      <c r="V77" s="1972"/>
      <c r="W77" s="1972"/>
      <c r="X77" s="1972"/>
      <c r="Y77" s="1972"/>
      <c r="Z77" s="1972"/>
      <c r="AA77" s="1972"/>
      <c r="AB77" s="1972"/>
      <c r="AC77" s="1972"/>
      <c r="AD77" s="1972"/>
      <c r="AE77" s="1972"/>
      <c r="AF77" s="1972"/>
      <c r="AG77" s="1972"/>
      <c r="AH77" s="1972"/>
      <c r="AI77" s="1972"/>
      <c r="AJ77" s="1972"/>
      <c r="AK77" s="1972"/>
      <c r="AL77" s="1972"/>
      <c r="AM77" s="1972"/>
      <c r="AN77" s="1972"/>
      <c r="AO77" s="1972"/>
      <c r="AP77" s="1972"/>
    </row>
    <row r="78" spans="1:42">
      <c r="A78" s="1972"/>
      <c r="B78" s="1972"/>
      <c r="C78" s="1972"/>
      <c r="D78" s="1972"/>
      <c r="E78" s="1972"/>
      <c r="F78" s="1972"/>
      <c r="G78" s="1972"/>
      <c r="H78" s="1972"/>
      <c r="I78" s="1972"/>
      <c r="J78" s="1972"/>
      <c r="K78" s="1972"/>
      <c r="L78" s="1972"/>
      <c r="M78" s="1972"/>
      <c r="N78" s="1972"/>
      <c r="O78" s="1972"/>
      <c r="P78" s="1972"/>
      <c r="Q78" s="1972"/>
      <c r="R78" s="1972"/>
      <c r="S78" s="1972"/>
      <c r="T78" s="1972"/>
      <c r="U78" s="1972"/>
      <c r="V78" s="1972"/>
      <c r="W78" s="1972"/>
      <c r="X78" s="1972"/>
      <c r="Y78" s="1972"/>
      <c r="Z78" s="1972"/>
      <c r="AA78" s="1972"/>
      <c r="AB78" s="1972"/>
      <c r="AC78" s="1972"/>
      <c r="AD78" s="1972"/>
      <c r="AE78" s="1972"/>
      <c r="AF78" s="1972"/>
      <c r="AG78" s="1972"/>
      <c r="AH78" s="1972"/>
      <c r="AI78" s="1972"/>
      <c r="AJ78" s="1972"/>
      <c r="AK78" s="1972"/>
      <c r="AL78" s="1972"/>
      <c r="AM78" s="1972"/>
      <c r="AN78" s="1972"/>
      <c r="AO78" s="1972"/>
      <c r="AP78" s="1972"/>
    </row>
    <row r="79" spans="1:42">
      <c r="A79" s="1972"/>
      <c r="B79" s="1972"/>
      <c r="C79" s="1972"/>
      <c r="D79" s="1972"/>
      <c r="E79" s="1972"/>
      <c r="F79" s="1972"/>
      <c r="G79" s="1972"/>
      <c r="H79" s="1972"/>
      <c r="I79" s="1972"/>
      <c r="J79" s="1972"/>
      <c r="K79" s="1972"/>
      <c r="L79" s="1972"/>
      <c r="M79" s="1972"/>
      <c r="N79" s="1972"/>
      <c r="O79" s="1972"/>
      <c r="P79" s="1972"/>
      <c r="Q79" s="1972"/>
      <c r="R79" s="1972"/>
      <c r="S79" s="1972"/>
      <c r="T79" s="1972"/>
      <c r="U79" s="1972"/>
      <c r="V79" s="1972"/>
      <c r="W79" s="1972"/>
      <c r="X79" s="1972"/>
      <c r="Y79" s="1972"/>
      <c r="Z79" s="1972"/>
      <c r="AA79" s="1972"/>
      <c r="AB79" s="1972"/>
      <c r="AC79" s="1972"/>
      <c r="AD79" s="1972"/>
      <c r="AE79" s="1972"/>
      <c r="AF79" s="1972"/>
      <c r="AG79" s="1972"/>
      <c r="AH79" s="1972"/>
      <c r="AI79" s="1972"/>
      <c r="AJ79" s="1972"/>
      <c r="AK79" s="1972"/>
      <c r="AL79" s="1972"/>
      <c r="AM79" s="1972"/>
      <c r="AN79" s="1972"/>
      <c r="AO79" s="1972"/>
      <c r="AP79" s="1972"/>
    </row>
    <row r="80" spans="1:42">
      <c r="A80" s="1972"/>
      <c r="B80" s="1972"/>
      <c r="C80" s="1972"/>
      <c r="D80" s="1972"/>
      <c r="E80" s="1972"/>
      <c r="F80" s="1972"/>
      <c r="G80" s="1972"/>
      <c r="H80" s="1972"/>
      <c r="I80" s="1972"/>
      <c r="J80" s="1972"/>
      <c r="K80" s="1972"/>
      <c r="L80" s="1972"/>
      <c r="M80" s="1972"/>
      <c r="N80" s="1972"/>
      <c r="O80" s="1972"/>
      <c r="P80" s="1972"/>
      <c r="Q80" s="1972"/>
      <c r="R80" s="1972"/>
      <c r="S80" s="1972"/>
      <c r="T80" s="1972"/>
      <c r="U80" s="1972"/>
      <c r="V80" s="1972"/>
      <c r="W80" s="1972"/>
      <c r="X80" s="1972"/>
      <c r="Y80" s="1972"/>
      <c r="Z80" s="1972"/>
      <c r="AA80" s="1972"/>
      <c r="AB80" s="1972"/>
      <c r="AC80" s="1972"/>
      <c r="AD80" s="1972"/>
      <c r="AE80" s="1972"/>
      <c r="AF80" s="1972"/>
      <c r="AG80" s="1972"/>
      <c r="AH80" s="1972"/>
      <c r="AI80" s="1972"/>
      <c r="AJ80" s="1972"/>
      <c r="AK80" s="1972"/>
      <c r="AL80" s="1972"/>
      <c r="AM80" s="1972"/>
      <c r="AN80" s="1972"/>
      <c r="AO80" s="1972"/>
      <c r="AP80" s="1972"/>
    </row>
    <row r="81" spans="1:42">
      <c r="A81" s="1972"/>
      <c r="B81" s="1972"/>
      <c r="C81" s="1972"/>
      <c r="D81" s="1972"/>
      <c r="E81" s="1972"/>
      <c r="F81" s="1972"/>
      <c r="G81" s="1972"/>
      <c r="H81" s="1972"/>
      <c r="I81" s="1972"/>
      <c r="J81" s="1972"/>
      <c r="K81" s="1972"/>
      <c r="L81" s="1972"/>
      <c r="M81" s="1972"/>
      <c r="N81" s="1972"/>
      <c r="O81" s="1972"/>
      <c r="P81" s="1972"/>
      <c r="Q81" s="1972"/>
      <c r="R81" s="1972"/>
      <c r="S81" s="1972"/>
      <c r="T81" s="1972"/>
      <c r="U81" s="1972"/>
      <c r="V81" s="1972"/>
      <c r="W81" s="1972"/>
      <c r="X81" s="1972"/>
      <c r="Y81" s="1972"/>
      <c r="Z81" s="1972"/>
      <c r="AA81" s="1972"/>
      <c r="AB81" s="1972"/>
      <c r="AC81" s="1972"/>
      <c r="AD81" s="1972"/>
      <c r="AE81" s="1972"/>
      <c r="AF81" s="1972"/>
      <c r="AG81" s="1972"/>
      <c r="AH81" s="1972"/>
      <c r="AI81" s="1972"/>
      <c r="AJ81" s="1972"/>
      <c r="AK81" s="1972"/>
      <c r="AL81" s="1972"/>
      <c r="AM81" s="1972"/>
      <c r="AN81" s="1972"/>
      <c r="AO81" s="1972"/>
      <c r="AP81" s="1972"/>
    </row>
    <row r="82" spans="1:42">
      <c r="A82" s="1972"/>
      <c r="B82" s="1972"/>
      <c r="C82" s="1972"/>
      <c r="D82" s="1972"/>
      <c r="E82" s="1972"/>
      <c r="F82" s="1972"/>
      <c r="G82" s="1972"/>
      <c r="H82" s="1972"/>
      <c r="I82" s="1972"/>
      <c r="J82" s="1972"/>
      <c r="K82" s="1972"/>
      <c r="L82" s="1972"/>
      <c r="M82" s="1972"/>
      <c r="N82" s="1972"/>
      <c r="O82" s="1972"/>
      <c r="P82" s="1972"/>
      <c r="Q82" s="1972"/>
      <c r="R82" s="1972"/>
      <c r="S82" s="1972"/>
      <c r="T82" s="1972"/>
      <c r="U82" s="1972"/>
      <c r="V82" s="1972"/>
      <c r="W82" s="1972"/>
      <c r="X82" s="1972"/>
      <c r="Y82" s="1972"/>
      <c r="Z82" s="1972"/>
      <c r="AA82" s="1972"/>
      <c r="AB82" s="1972"/>
      <c r="AC82" s="1972"/>
      <c r="AD82" s="1972"/>
      <c r="AE82" s="1972"/>
      <c r="AF82" s="1972"/>
      <c r="AG82" s="1972"/>
      <c r="AH82" s="1972"/>
      <c r="AI82" s="1972"/>
      <c r="AJ82" s="1972"/>
      <c r="AK82" s="1972"/>
      <c r="AL82" s="1972"/>
      <c r="AM82" s="1972"/>
      <c r="AN82" s="1972"/>
      <c r="AO82" s="1972"/>
      <c r="AP82" s="1972"/>
    </row>
    <row r="83" spans="1:42">
      <c r="A83" s="1972"/>
      <c r="B83" s="1972"/>
      <c r="C83" s="1972"/>
      <c r="D83" s="1972"/>
      <c r="E83" s="1972"/>
      <c r="F83" s="1972"/>
      <c r="G83" s="1972"/>
      <c r="H83" s="1972"/>
      <c r="I83" s="1972"/>
      <c r="J83" s="1972"/>
      <c r="K83" s="1972"/>
      <c r="L83" s="1972"/>
      <c r="M83" s="1972"/>
      <c r="N83" s="1972"/>
      <c r="O83" s="1972"/>
      <c r="P83" s="1972"/>
      <c r="Q83" s="1972"/>
      <c r="R83" s="1972"/>
      <c r="S83" s="1972"/>
      <c r="T83" s="1972"/>
      <c r="U83" s="1972"/>
      <c r="V83" s="1972"/>
      <c r="W83" s="1972"/>
      <c r="X83" s="1972"/>
      <c r="Y83" s="1972"/>
      <c r="Z83" s="1972"/>
      <c r="AA83" s="1972"/>
      <c r="AB83" s="1972"/>
      <c r="AC83" s="1972"/>
      <c r="AD83" s="1972"/>
      <c r="AE83" s="1972"/>
      <c r="AF83" s="1972"/>
      <c r="AG83" s="1972"/>
      <c r="AH83" s="1972"/>
      <c r="AI83" s="1972"/>
      <c r="AJ83" s="1972"/>
      <c r="AK83" s="1972"/>
      <c r="AL83" s="1972"/>
      <c r="AM83" s="1972"/>
      <c r="AN83" s="1972"/>
      <c r="AO83" s="1972"/>
      <c r="AP83" s="1972"/>
    </row>
    <row r="84" spans="1:42">
      <c r="A84" s="1972"/>
      <c r="B84" s="1972"/>
      <c r="C84" s="1972"/>
      <c r="D84" s="1972"/>
      <c r="E84" s="1972"/>
      <c r="F84" s="1972"/>
      <c r="G84" s="1972"/>
      <c r="H84" s="1972"/>
      <c r="I84" s="1972"/>
      <c r="J84" s="1972"/>
      <c r="K84" s="1972"/>
      <c r="L84" s="1972"/>
      <c r="M84" s="1972"/>
      <c r="N84" s="1972"/>
      <c r="O84" s="1972"/>
      <c r="P84" s="1972"/>
      <c r="Q84" s="1972"/>
      <c r="R84" s="1972"/>
      <c r="S84" s="1972"/>
      <c r="T84" s="1972"/>
      <c r="U84" s="1972"/>
      <c r="V84" s="1972"/>
      <c r="W84" s="1972"/>
      <c r="X84" s="1972"/>
      <c r="Y84" s="1972"/>
      <c r="Z84" s="1972"/>
      <c r="AA84" s="1972"/>
      <c r="AB84" s="1972"/>
      <c r="AC84" s="1972"/>
      <c r="AD84" s="1972"/>
      <c r="AE84" s="1972"/>
      <c r="AF84" s="1972"/>
      <c r="AG84" s="1972"/>
      <c r="AH84" s="1972"/>
      <c r="AI84" s="1972"/>
      <c r="AJ84" s="1972"/>
      <c r="AK84" s="1972"/>
      <c r="AL84" s="1972"/>
      <c r="AM84" s="1972"/>
      <c r="AN84" s="1972"/>
      <c r="AO84" s="1972"/>
      <c r="AP84" s="1972"/>
    </row>
    <row r="85" spans="1:42">
      <c r="A85" s="1972"/>
      <c r="B85" s="1972"/>
      <c r="C85" s="1972"/>
      <c r="D85" s="1972"/>
      <c r="E85" s="1972"/>
      <c r="F85" s="1972"/>
      <c r="G85" s="1972"/>
      <c r="H85" s="1972"/>
      <c r="I85" s="1972"/>
      <c r="J85" s="1972"/>
      <c r="K85" s="1972"/>
      <c r="L85" s="1972"/>
      <c r="M85" s="1972"/>
      <c r="N85" s="1972"/>
      <c r="O85" s="1972"/>
      <c r="P85" s="1972"/>
      <c r="Q85" s="1972"/>
      <c r="R85" s="1972"/>
      <c r="S85" s="1972"/>
      <c r="T85" s="1972"/>
      <c r="U85" s="1972"/>
      <c r="V85" s="1972"/>
      <c r="W85" s="1972"/>
      <c r="X85" s="1972"/>
      <c r="Y85" s="1972"/>
      <c r="Z85" s="1972"/>
      <c r="AA85" s="1972"/>
      <c r="AB85" s="1972"/>
      <c r="AC85" s="1972"/>
      <c r="AD85" s="1972"/>
      <c r="AE85" s="1972"/>
      <c r="AF85" s="1972"/>
      <c r="AG85" s="1972"/>
      <c r="AH85" s="1972"/>
      <c r="AI85" s="1972"/>
      <c r="AJ85" s="1972"/>
      <c r="AK85" s="1972"/>
      <c r="AL85" s="1972"/>
      <c r="AM85" s="1972"/>
      <c r="AN85" s="1972"/>
      <c r="AO85" s="1972"/>
      <c r="AP85" s="1972"/>
    </row>
    <row r="86" spans="1:42">
      <c r="A86" s="1972"/>
      <c r="B86" s="1972"/>
      <c r="C86" s="1972"/>
      <c r="D86" s="1972"/>
      <c r="E86" s="1972"/>
      <c r="F86" s="1972"/>
      <c r="G86" s="1972"/>
      <c r="H86" s="1972"/>
      <c r="I86" s="1972"/>
      <c r="J86" s="1972"/>
      <c r="K86" s="1972"/>
      <c r="L86" s="1972"/>
      <c r="M86" s="1972"/>
      <c r="N86" s="1972"/>
      <c r="O86" s="1972"/>
      <c r="P86" s="1972"/>
      <c r="Q86" s="1972"/>
      <c r="R86" s="1972"/>
      <c r="S86" s="1972"/>
      <c r="T86" s="1972"/>
      <c r="U86" s="1972"/>
      <c r="V86" s="1972"/>
      <c r="W86" s="1972"/>
      <c r="X86" s="1972"/>
      <c r="Y86" s="1972"/>
      <c r="Z86" s="1972"/>
      <c r="AA86" s="1972"/>
      <c r="AB86" s="1972"/>
      <c r="AC86" s="1972"/>
      <c r="AD86" s="1972"/>
      <c r="AE86" s="1972"/>
      <c r="AF86" s="1972"/>
      <c r="AG86" s="1972"/>
      <c r="AH86" s="1972"/>
      <c r="AI86" s="1972"/>
      <c r="AJ86" s="1972"/>
      <c r="AK86" s="1972"/>
      <c r="AL86" s="1972"/>
      <c r="AM86" s="1972"/>
      <c r="AN86" s="1972"/>
      <c r="AO86" s="1972"/>
      <c r="AP86" s="1972"/>
    </row>
    <row r="87" spans="1:42">
      <c r="A87" s="1972"/>
      <c r="B87" s="1972"/>
      <c r="C87" s="1972"/>
      <c r="D87" s="1972"/>
      <c r="E87" s="1972"/>
      <c r="F87" s="1972"/>
      <c r="G87" s="1972"/>
      <c r="H87" s="1972"/>
      <c r="I87" s="1972"/>
      <c r="J87" s="1972"/>
      <c r="K87" s="1972"/>
      <c r="L87" s="1972"/>
      <c r="M87" s="1972"/>
      <c r="N87" s="1972"/>
      <c r="O87" s="1972"/>
      <c r="P87" s="1972"/>
      <c r="Q87" s="1972"/>
      <c r="R87" s="1972"/>
      <c r="S87" s="1972"/>
      <c r="T87" s="1972"/>
      <c r="U87" s="1972"/>
      <c r="V87" s="1972"/>
      <c r="W87" s="1972"/>
      <c r="X87" s="1972"/>
      <c r="Y87" s="1972"/>
      <c r="Z87" s="1972"/>
      <c r="AA87" s="1972"/>
      <c r="AB87" s="1972"/>
      <c r="AC87" s="1972"/>
      <c r="AD87" s="1972"/>
      <c r="AE87" s="1972"/>
      <c r="AF87" s="1972"/>
      <c r="AG87" s="1972"/>
      <c r="AH87" s="1972"/>
      <c r="AI87" s="1972"/>
      <c r="AJ87" s="1972"/>
      <c r="AK87" s="1972"/>
      <c r="AL87" s="1972"/>
      <c r="AM87" s="1972"/>
      <c r="AN87" s="1972"/>
      <c r="AO87" s="1972"/>
      <c r="AP87" s="1972"/>
    </row>
    <row r="88" spans="1:42">
      <c r="A88" s="1972"/>
      <c r="B88" s="1972"/>
      <c r="C88" s="1972"/>
      <c r="D88" s="1972"/>
      <c r="E88" s="1972"/>
      <c r="F88" s="1972"/>
      <c r="G88" s="1972"/>
      <c r="H88" s="1972"/>
      <c r="I88" s="1972"/>
      <c r="J88" s="1972"/>
      <c r="K88" s="1972"/>
      <c r="L88" s="1972"/>
      <c r="M88" s="1972"/>
      <c r="N88" s="1972"/>
      <c r="O88" s="1972"/>
      <c r="P88" s="1972"/>
      <c r="Q88" s="1972"/>
      <c r="R88" s="1972"/>
      <c r="S88" s="1972"/>
      <c r="T88" s="1972"/>
      <c r="U88" s="1972"/>
      <c r="V88" s="1972"/>
      <c r="W88" s="1972"/>
      <c r="X88" s="1972"/>
      <c r="Y88" s="1972"/>
      <c r="Z88" s="1972"/>
      <c r="AA88" s="1972"/>
      <c r="AB88" s="1972"/>
      <c r="AC88" s="1972"/>
      <c r="AD88" s="1972"/>
      <c r="AE88" s="1972"/>
      <c r="AF88" s="1972"/>
      <c r="AG88" s="1972"/>
      <c r="AH88" s="1972"/>
      <c r="AI88" s="1972"/>
      <c r="AJ88" s="1972"/>
      <c r="AK88" s="1972"/>
      <c r="AL88" s="1972"/>
      <c r="AM88" s="1972"/>
      <c r="AN88" s="1972"/>
      <c r="AO88" s="1972"/>
      <c r="AP88" s="1972"/>
    </row>
    <row r="89" spans="1:42">
      <c r="A89" s="1972"/>
      <c r="B89" s="1972"/>
      <c r="C89" s="1972"/>
      <c r="D89" s="1972"/>
      <c r="E89" s="1972"/>
      <c r="F89" s="1972"/>
      <c r="G89" s="1972"/>
      <c r="H89" s="1972"/>
      <c r="I89" s="1972"/>
      <c r="J89" s="1972"/>
      <c r="K89" s="1972"/>
      <c r="L89" s="1972"/>
      <c r="M89" s="1972"/>
      <c r="N89" s="1972"/>
      <c r="O89" s="1972"/>
      <c r="P89" s="1972"/>
      <c r="Q89" s="1972"/>
      <c r="R89" s="1972"/>
      <c r="S89" s="1972"/>
      <c r="T89" s="1972"/>
      <c r="U89" s="1972"/>
      <c r="V89" s="1972"/>
      <c r="W89" s="1972"/>
      <c r="X89" s="1972"/>
      <c r="Y89" s="1972"/>
      <c r="Z89" s="1972"/>
      <c r="AA89" s="1972"/>
      <c r="AB89" s="1972"/>
      <c r="AC89" s="1972"/>
      <c r="AD89" s="1972"/>
      <c r="AE89" s="1972"/>
      <c r="AF89" s="1972"/>
      <c r="AG89" s="1972"/>
      <c r="AH89" s="1972"/>
      <c r="AI89" s="1972"/>
      <c r="AJ89" s="1972"/>
      <c r="AK89" s="1972"/>
      <c r="AL89" s="1972"/>
      <c r="AM89" s="1972"/>
      <c r="AN89" s="1972"/>
      <c r="AO89" s="1972"/>
      <c r="AP89" s="1972"/>
    </row>
    <row r="90" spans="1:42">
      <c r="A90" s="1972"/>
      <c r="B90" s="1972"/>
      <c r="C90" s="1972"/>
      <c r="D90" s="1972"/>
      <c r="E90" s="1972"/>
      <c r="F90" s="1972"/>
      <c r="G90" s="1972"/>
      <c r="H90" s="1972"/>
      <c r="I90" s="1972"/>
      <c r="J90" s="1972"/>
      <c r="K90" s="1972"/>
      <c r="L90" s="1972"/>
      <c r="M90" s="1972"/>
      <c r="N90" s="1972"/>
      <c r="O90" s="1972"/>
      <c r="P90" s="1972"/>
      <c r="Q90" s="1972"/>
      <c r="R90" s="1972"/>
      <c r="S90" s="1972"/>
      <c r="T90" s="1972"/>
      <c r="U90" s="1972"/>
      <c r="V90" s="1972"/>
      <c r="W90" s="1972"/>
      <c r="X90" s="1972"/>
      <c r="Y90" s="1972"/>
      <c r="Z90" s="1972"/>
      <c r="AA90" s="1972"/>
      <c r="AB90" s="1972"/>
      <c r="AC90" s="1972"/>
      <c r="AD90" s="1972"/>
      <c r="AE90" s="1972"/>
      <c r="AF90" s="1972"/>
      <c r="AG90" s="1972"/>
      <c r="AH90" s="1972"/>
      <c r="AI90" s="1972"/>
      <c r="AJ90" s="1972"/>
      <c r="AK90" s="1972"/>
      <c r="AL90" s="1972"/>
      <c r="AM90" s="1972"/>
      <c r="AN90" s="1972"/>
      <c r="AO90" s="1972"/>
      <c r="AP90" s="1972"/>
    </row>
    <row r="91" spans="1:42">
      <c r="A91" s="1972"/>
      <c r="B91" s="1972"/>
      <c r="C91" s="1972"/>
      <c r="D91" s="1972"/>
      <c r="E91" s="1972"/>
      <c r="F91" s="1972"/>
      <c r="G91" s="1972"/>
      <c r="H91" s="1972"/>
      <c r="I91" s="1972"/>
      <c r="J91" s="1972"/>
      <c r="K91" s="1972"/>
      <c r="L91" s="1972"/>
      <c r="M91" s="1972"/>
      <c r="N91" s="1972"/>
      <c r="O91" s="1972"/>
      <c r="P91" s="1972"/>
      <c r="Q91" s="1972"/>
      <c r="R91" s="1972"/>
      <c r="S91" s="1972"/>
      <c r="T91" s="1972"/>
      <c r="U91" s="1972"/>
      <c r="V91" s="1972"/>
      <c r="W91" s="1972"/>
      <c r="X91" s="1972"/>
      <c r="Y91" s="1972"/>
      <c r="Z91" s="1972"/>
      <c r="AA91" s="1972"/>
      <c r="AB91" s="1972"/>
      <c r="AC91" s="1972"/>
      <c r="AD91" s="1972"/>
      <c r="AE91" s="1972"/>
      <c r="AF91" s="1972"/>
      <c r="AG91" s="1972"/>
      <c r="AH91" s="1972"/>
      <c r="AI91" s="1972"/>
      <c r="AJ91" s="1972"/>
      <c r="AK91" s="1972"/>
      <c r="AL91" s="1972"/>
      <c r="AM91" s="1972"/>
      <c r="AN91" s="1972"/>
      <c r="AO91" s="1972"/>
      <c r="AP91" s="1972"/>
    </row>
    <row r="92" spans="1:42">
      <c r="A92" s="1972"/>
      <c r="B92" s="1972"/>
      <c r="C92" s="1972"/>
      <c r="D92" s="1972"/>
      <c r="E92" s="1972"/>
      <c r="F92" s="1972"/>
      <c r="G92" s="1972"/>
      <c r="H92" s="1972"/>
      <c r="I92" s="1972"/>
      <c r="J92" s="1972"/>
      <c r="K92" s="1972"/>
      <c r="L92" s="1972"/>
      <c r="M92" s="1972"/>
      <c r="N92" s="1972"/>
      <c r="O92" s="1972"/>
      <c r="P92" s="1972"/>
      <c r="Q92" s="1972"/>
      <c r="R92" s="1972"/>
      <c r="S92" s="1972"/>
      <c r="T92" s="1972"/>
      <c r="U92" s="1972"/>
      <c r="V92" s="1972"/>
      <c r="W92" s="1972"/>
      <c r="X92" s="1972"/>
      <c r="Y92" s="1972"/>
      <c r="Z92" s="1972"/>
      <c r="AA92" s="1972"/>
      <c r="AB92" s="1972"/>
      <c r="AC92" s="1972"/>
      <c r="AD92" s="1972"/>
      <c r="AE92" s="1972"/>
      <c r="AF92" s="1972"/>
      <c r="AG92" s="1972"/>
      <c r="AH92" s="1972"/>
      <c r="AI92" s="1972"/>
      <c r="AJ92" s="1972"/>
      <c r="AK92" s="1972"/>
      <c r="AL92" s="1972"/>
      <c r="AM92" s="1972"/>
      <c r="AN92" s="1972"/>
      <c r="AO92" s="1972"/>
      <c r="AP92" s="1972"/>
    </row>
    <row r="93" spans="1:42">
      <c r="A93" s="1972"/>
      <c r="B93" s="1972"/>
      <c r="C93" s="1972"/>
      <c r="D93" s="1972"/>
      <c r="E93" s="1972"/>
      <c r="F93" s="1972"/>
      <c r="G93" s="1972"/>
      <c r="H93" s="1972"/>
      <c r="I93" s="1972"/>
      <c r="J93" s="1972"/>
      <c r="K93" s="1972"/>
      <c r="L93" s="1972"/>
      <c r="M93" s="1972"/>
      <c r="N93" s="1972"/>
      <c r="O93" s="1972"/>
      <c r="P93" s="1972"/>
      <c r="Q93" s="1972"/>
      <c r="R93" s="1972"/>
      <c r="S93" s="1972"/>
      <c r="T93" s="1972"/>
      <c r="U93" s="1972"/>
      <c r="V93" s="1972"/>
      <c r="W93" s="1972"/>
      <c r="X93" s="1972"/>
      <c r="Y93" s="1972"/>
      <c r="Z93" s="1972"/>
      <c r="AA93" s="1972"/>
      <c r="AB93" s="1972"/>
      <c r="AC93" s="1972"/>
      <c r="AD93" s="1972"/>
      <c r="AE93" s="1972"/>
      <c r="AF93" s="1972"/>
      <c r="AG93" s="1972"/>
      <c r="AH93" s="1972"/>
      <c r="AI93" s="1972"/>
      <c r="AJ93" s="1972"/>
      <c r="AK93" s="1972"/>
      <c r="AL93" s="1972"/>
      <c r="AM93" s="1972"/>
      <c r="AN93" s="1972"/>
      <c r="AO93" s="1972"/>
      <c r="AP93" s="1972"/>
    </row>
    <row r="94" spans="1:42">
      <c r="A94" s="1972"/>
      <c r="B94" s="1972"/>
      <c r="C94" s="1972"/>
      <c r="D94" s="1972"/>
      <c r="E94" s="1972"/>
      <c r="F94" s="1972"/>
      <c r="G94" s="1972"/>
      <c r="H94" s="1972"/>
      <c r="I94" s="1972"/>
      <c r="J94" s="1972"/>
      <c r="K94" s="1972"/>
      <c r="L94" s="1972"/>
      <c r="M94" s="1972"/>
      <c r="N94" s="1972"/>
      <c r="O94" s="1972"/>
      <c r="P94" s="1972"/>
      <c r="Q94" s="1972"/>
      <c r="R94" s="1972"/>
      <c r="S94" s="1972"/>
      <c r="T94" s="1972"/>
      <c r="U94" s="1972"/>
      <c r="V94" s="1972"/>
      <c r="W94" s="1972"/>
      <c r="X94" s="1972"/>
      <c r="Y94" s="1972"/>
      <c r="Z94" s="1972"/>
      <c r="AA94" s="1972"/>
      <c r="AB94" s="1972"/>
      <c r="AC94" s="1972"/>
      <c r="AD94" s="1972"/>
      <c r="AE94" s="1972"/>
      <c r="AF94" s="1972"/>
      <c r="AG94" s="1972"/>
      <c r="AH94" s="1972"/>
      <c r="AI94" s="1972"/>
      <c r="AJ94" s="1972"/>
      <c r="AK94" s="1972"/>
      <c r="AL94" s="1972"/>
      <c r="AM94" s="1972"/>
      <c r="AN94" s="1972"/>
      <c r="AO94" s="1972"/>
      <c r="AP94" s="1972"/>
    </row>
    <row r="95" spans="1:42">
      <c r="A95" s="1972"/>
      <c r="B95" s="1972"/>
      <c r="C95" s="1972"/>
      <c r="D95" s="1972"/>
      <c r="E95" s="1972"/>
      <c r="F95" s="1972"/>
      <c r="G95" s="1972"/>
      <c r="H95" s="1972"/>
      <c r="I95" s="1972"/>
      <c r="J95" s="1972"/>
      <c r="K95" s="1972"/>
      <c r="L95" s="1972"/>
      <c r="M95" s="1972"/>
      <c r="N95" s="1972"/>
      <c r="O95" s="1972"/>
      <c r="P95" s="1972"/>
      <c r="Q95" s="1972"/>
      <c r="R95" s="1972"/>
      <c r="S95" s="1972"/>
      <c r="T95" s="1972"/>
      <c r="U95" s="1972"/>
      <c r="V95" s="1972"/>
      <c r="W95" s="1972"/>
      <c r="X95" s="1972"/>
      <c r="Y95" s="1972"/>
      <c r="Z95" s="1972"/>
      <c r="AA95" s="1972"/>
      <c r="AB95" s="1972"/>
      <c r="AC95" s="1972"/>
      <c r="AD95" s="1972"/>
      <c r="AE95" s="1972"/>
      <c r="AF95" s="1972"/>
      <c r="AG95" s="1972"/>
      <c r="AH95" s="1972"/>
      <c r="AI95" s="1972"/>
      <c r="AJ95" s="1972"/>
      <c r="AK95" s="1972"/>
      <c r="AL95" s="1972"/>
      <c r="AM95" s="1972"/>
      <c r="AN95" s="1972"/>
      <c r="AO95" s="1972"/>
      <c r="AP95" s="1972"/>
    </row>
    <row r="96" spans="1:42">
      <c r="A96" s="1972"/>
      <c r="B96" s="1972"/>
      <c r="C96" s="1972"/>
      <c r="D96" s="1972"/>
      <c r="E96" s="1972"/>
      <c r="F96" s="1972"/>
      <c r="G96" s="1972"/>
      <c r="H96" s="1972"/>
      <c r="I96" s="1972"/>
      <c r="J96" s="1972"/>
      <c r="K96" s="1972"/>
      <c r="L96" s="1972"/>
      <c r="M96" s="1972"/>
      <c r="N96" s="1972"/>
      <c r="O96" s="1972"/>
      <c r="P96" s="1972"/>
      <c r="Q96" s="1972"/>
      <c r="R96" s="1972"/>
      <c r="S96" s="1972"/>
      <c r="T96" s="1972"/>
      <c r="U96" s="1972"/>
      <c r="V96" s="1972"/>
      <c r="W96" s="1972"/>
      <c r="X96" s="1972"/>
      <c r="Y96" s="1972"/>
      <c r="Z96" s="1972"/>
      <c r="AA96" s="1972"/>
      <c r="AB96" s="1972"/>
      <c r="AC96" s="1972"/>
      <c r="AD96" s="1972"/>
      <c r="AE96" s="1972"/>
      <c r="AF96" s="1972"/>
      <c r="AG96" s="1972"/>
      <c r="AH96" s="1972"/>
      <c r="AI96" s="1972"/>
      <c r="AJ96" s="1972"/>
      <c r="AK96" s="1972"/>
      <c r="AL96" s="1972"/>
      <c r="AM96" s="1972"/>
      <c r="AN96" s="1972"/>
      <c r="AO96" s="1972"/>
      <c r="AP96" s="1972"/>
    </row>
    <row r="97" spans="1:42">
      <c r="A97" s="1972"/>
      <c r="B97" s="1972"/>
      <c r="C97" s="1972"/>
      <c r="D97" s="1972"/>
      <c r="E97" s="1972"/>
      <c r="F97" s="1972"/>
      <c r="G97" s="1972"/>
      <c r="H97" s="1972"/>
      <c r="I97" s="1972"/>
      <c r="J97" s="1972"/>
      <c r="K97" s="1972"/>
      <c r="L97" s="1972"/>
      <c r="M97" s="1972"/>
      <c r="N97" s="1972"/>
      <c r="O97" s="1972"/>
      <c r="P97" s="1972"/>
      <c r="Q97" s="1972"/>
      <c r="R97" s="1972"/>
      <c r="S97" s="1972"/>
      <c r="T97" s="1972"/>
      <c r="U97" s="1972"/>
      <c r="V97" s="1972"/>
      <c r="W97" s="1972"/>
      <c r="X97" s="1972"/>
      <c r="Y97" s="1972"/>
      <c r="Z97" s="1972"/>
      <c r="AA97" s="1972"/>
      <c r="AB97" s="1972"/>
      <c r="AC97" s="1972"/>
      <c r="AD97" s="1972"/>
      <c r="AE97" s="1972"/>
      <c r="AF97" s="1972"/>
      <c r="AG97" s="1972"/>
      <c r="AH97" s="1972"/>
      <c r="AI97" s="1972"/>
      <c r="AJ97" s="1972"/>
      <c r="AK97" s="1972"/>
      <c r="AL97" s="1972"/>
      <c r="AM97" s="1972"/>
      <c r="AN97" s="1972"/>
      <c r="AO97" s="1972"/>
      <c r="AP97" s="1972"/>
    </row>
    <row r="98" spans="1:42">
      <c r="A98" s="1972"/>
      <c r="B98" s="1972"/>
      <c r="C98" s="1972"/>
      <c r="D98" s="1972"/>
      <c r="E98" s="1972"/>
      <c r="F98" s="1972"/>
      <c r="G98" s="1972"/>
      <c r="H98" s="1972"/>
      <c r="I98" s="1972"/>
      <c r="J98" s="1972"/>
      <c r="K98" s="1972"/>
      <c r="L98" s="1972"/>
      <c r="M98" s="1972"/>
      <c r="N98" s="1972"/>
      <c r="O98" s="1972"/>
      <c r="P98" s="1972"/>
      <c r="Q98" s="1972"/>
      <c r="R98" s="1972"/>
      <c r="S98" s="1972"/>
      <c r="T98" s="1972"/>
      <c r="U98" s="1972"/>
      <c r="V98" s="1972"/>
      <c r="W98" s="1972"/>
      <c r="X98" s="1972"/>
      <c r="Y98" s="1972"/>
      <c r="Z98" s="1972"/>
      <c r="AA98" s="1972"/>
      <c r="AB98" s="1972"/>
      <c r="AC98" s="1972"/>
      <c r="AD98" s="1972"/>
      <c r="AE98" s="1972"/>
      <c r="AF98" s="1972"/>
      <c r="AG98" s="1972"/>
      <c r="AH98" s="1972"/>
      <c r="AI98" s="1972"/>
      <c r="AJ98" s="1972"/>
      <c r="AK98" s="1972"/>
      <c r="AL98" s="1972"/>
      <c r="AM98" s="1972"/>
      <c r="AN98" s="1972"/>
      <c r="AO98" s="1972"/>
      <c r="AP98" s="1972"/>
    </row>
    <row r="99" spans="1:42">
      <c r="A99" s="1972"/>
      <c r="B99" s="1972"/>
      <c r="C99" s="1972"/>
      <c r="D99" s="1972"/>
      <c r="E99" s="1972"/>
      <c r="F99" s="1972"/>
      <c r="G99" s="1972"/>
      <c r="H99" s="1972"/>
      <c r="I99" s="1972"/>
      <c r="J99" s="1972"/>
      <c r="K99" s="1972"/>
      <c r="L99" s="1972"/>
      <c r="M99" s="1972"/>
      <c r="N99" s="1972"/>
      <c r="O99" s="1972"/>
      <c r="P99" s="1972"/>
      <c r="Q99" s="1972"/>
      <c r="R99" s="1972"/>
      <c r="S99" s="1972"/>
      <c r="T99" s="1972"/>
      <c r="U99" s="1972"/>
      <c r="V99" s="1972"/>
      <c r="W99" s="1972"/>
      <c r="X99" s="1972"/>
      <c r="Y99" s="1972"/>
      <c r="Z99" s="1972"/>
      <c r="AA99" s="1972"/>
      <c r="AB99" s="1972"/>
      <c r="AC99" s="1972"/>
      <c r="AD99" s="1972"/>
      <c r="AE99" s="1972"/>
      <c r="AF99" s="1972"/>
      <c r="AG99" s="1972"/>
      <c r="AH99" s="1972"/>
      <c r="AI99" s="1972"/>
      <c r="AJ99" s="1972"/>
      <c r="AK99" s="1972"/>
      <c r="AL99" s="1972"/>
      <c r="AM99" s="1972"/>
      <c r="AN99" s="1972"/>
      <c r="AO99" s="1972"/>
      <c r="AP99" s="1972"/>
    </row>
    <row r="100" spans="1:42">
      <c r="A100" s="1972"/>
      <c r="B100" s="1972"/>
      <c r="C100" s="1972"/>
      <c r="D100" s="1972"/>
      <c r="E100" s="1972"/>
      <c r="F100" s="1972"/>
      <c r="G100" s="1972"/>
      <c r="H100" s="1972"/>
      <c r="I100" s="1972"/>
      <c r="J100" s="1972"/>
      <c r="K100" s="1972"/>
      <c r="L100" s="1972"/>
      <c r="M100" s="1972"/>
      <c r="N100" s="1972"/>
      <c r="O100" s="1972"/>
      <c r="P100" s="1972"/>
      <c r="Q100" s="1972"/>
      <c r="R100" s="1972"/>
      <c r="S100" s="1972"/>
      <c r="T100" s="1972"/>
      <c r="U100" s="1972"/>
      <c r="V100" s="1972"/>
      <c r="W100" s="1972"/>
      <c r="X100" s="1972"/>
      <c r="Y100" s="1972"/>
      <c r="Z100" s="1972"/>
      <c r="AA100" s="1972"/>
      <c r="AB100" s="1972"/>
      <c r="AC100" s="1972"/>
      <c r="AD100" s="1972"/>
      <c r="AE100" s="1972"/>
      <c r="AF100" s="1972"/>
      <c r="AG100" s="1972"/>
      <c r="AH100" s="1972"/>
      <c r="AI100" s="1972"/>
      <c r="AJ100" s="1972"/>
      <c r="AK100" s="1972"/>
      <c r="AL100" s="1972"/>
      <c r="AM100" s="1972"/>
      <c r="AN100" s="1972"/>
      <c r="AO100" s="1972"/>
      <c r="AP100" s="1972"/>
    </row>
    <row r="101" spans="1:42">
      <c r="A101" s="1972"/>
      <c r="B101" s="1972"/>
      <c r="C101" s="1972"/>
      <c r="D101" s="1972"/>
      <c r="E101" s="1972"/>
      <c r="F101" s="1972"/>
      <c r="G101" s="1972"/>
      <c r="H101" s="1972"/>
      <c r="I101" s="1972"/>
      <c r="J101" s="1972"/>
      <c r="K101" s="1972"/>
      <c r="L101" s="1972"/>
      <c r="M101" s="1972"/>
      <c r="N101" s="1972"/>
      <c r="O101" s="1972"/>
      <c r="P101" s="1972"/>
      <c r="Q101" s="1972"/>
      <c r="R101" s="1972"/>
      <c r="S101" s="1972"/>
      <c r="T101" s="1972"/>
      <c r="U101" s="1972"/>
      <c r="V101" s="1972"/>
      <c r="W101" s="1972"/>
      <c r="X101" s="1972"/>
      <c r="Y101" s="1972"/>
      <c r="Z101" s="1972"/>
      <c r="AA101" s="1972"/>
      <c r="AB101" s="1972"/>
      <c r="AC101" s="1972"/>
      <c r="AD101" s="1972"/>
      <c r="AE101" s="1972"/>
      <c r="AF101" s="1972"/>
      <c r="AG101" s="1972"/>
      <c r="AH101" s="1972"/>
      <c r="AI101" s="1972"/>
      <c r="AJ101" s="1972"/>
      <c r="AK101" s="1972"/>
      <c r="AL101" s="1972"/>
      <c r="AM101" s="1972"/>
      <c r="AN101" s="1972"/>
      <c r="AO101" s="1972"/>
      <c r="AP101" s="1972"/>
    </row>
    <row r="102" spans="1:42">
      <c r="A102" s="1972"/>
      <c r="B102" s="1972"/>
      <c r="C102" s="1972"/>
      <c r="D102" s="1972"/>
      <c r="E102" s="1972"/>
      <c r="F102" s="1972"/>
      <c r="G102" s="1972"/>
      <c r="H102" s="1972"/>
      <c r="I102" s="1972"/>
      <c r="J102" s="1972"/>
      <c r="K102" s="1972"/>
      <c r="L102" s="1972"/>
      <c r="M102" s="1972"/>
      <c r="N102" s="1972"/>
      <c r="O102" s="1972"/>
      <c r="P102" s="1972"/>
      <c r="Q102" s="1972"/>
      <c r="R102" s="1972"/>
      <c r="S102" s="1972"/>
      <c r="T102" s="1972"/>
      <c r="U102" s="1972"/>
      <c r="V102" s="1972"/>
      <c r="W102" s="1972"/>
      <c r="X102" s="1972"/>
      <c r="Y102" s="1972"/>
      <c r="Z102" s="1972"/>
      <c r="AA102" s="1972"/>
      <c r="AB102" s="1972"/>
      <c r="AC102" s="1972"/>
      <c r="AD102" s="1972"/>
      <c r="AE102" s="1972"/>
      <c r="AF102" s="1972"/>
      <c r="AG102" s="1972"/>
      <c r="AH102" s="1972"/>
      <c r="AI102" s="1972"/>
      <c r="AJ102" s="1972"/>
      <c r="AK102" s="1972"/>
      <c r="AL102" s="1972"/>
      <c r="AM102" s="1972"/>
      <c r="AN102" s="1972"/>
      <c r="AO102" s="1972"/>
      <c r="AP102" s="1972"/>
    </row>
    <row r="103" spans="1:42">
      <c r="A103" s="1972"/>
      <c r="B103" s="1972"/>
      <c r="C103" s="1972"/>
      <c r="D103" s="1972"/>
      <c r="E103" s="1972"/>
      <c r="F103" s="1972"/>
      <c r="G103" s="1972"/>
      <c r="H103" s="1972"/>
      <c r="I103" s="1972"/>
      <c r="J103" s="1972"/>
      <c r="K103" s="1972"/>
      <c r="L103" s="1972"/>
      <c r="M103" s="1972"/>
      <c r="N103" s="1972"/>
      <c r="O103" s="1972"/>
      <c r="P103" s="1972"/>
      <c r="Q103" s="1972"/>
      <c r="R103" s="1972"/>
      <c r="S103" s="1972"/>
      <c r="T103" s="1972"/>
      <c r="U103" s="1972"/>
      <c r="V103" s="1972"/>
      <c r="W103" s="1972"/>
      <c r="X103" s="1972"/>
      <c r="Y103" s="1972"/>
      <c r="Z103" s="1972"/>
      <c r="AA103" s="1972"/>
      <c r="AB103" s="1972"/>
      <c r="AC103" s="1972"/>
      <c r="AD103" s="1972"/>
      <c r="AE103" s="1972"/>
      <c r="AF103" s="1972"/>
      <c r="AG103" s="1972"/>
      <c r="AH103" s="1972"/>
      <c r="AI103" s="1972"/>
      <c r="AJ103" s="1972"/>
      <c r="AK103" s="1972"/>
      <c r="AL103" s="1972"/>
      <c r="AM103" s="1972"/>
      <c r="AN103" s="1972"/>
      <c r="AO103" s="1972"/>
      <c r="AP103" s="1972"/>
    </row>
    <row r="104" spans="1:42">
      <c r="A104" s="1972"/>
      <c r="B104" s="1972"/>
      <c r="C104" s="1972"/>
      <c r="D104" s="1972"/>
      <c r="E104" s="1972"/>
      <c r="F104" s="1972"/>
      <c r="G104" s="1972"/>
      <c r="H104" s="1972"/>
      <c r="I104" s="1972"/>
      <c r="J104" s="1972"/>
      <c r="K104" s="1972"/>
      <c r="L104" s="1972"/>
      <c r="M104" s="1972"/>
      <c r="N104" s="1972"/>
      <c r="O104" s="1972"/>
      <c r="P104" s="1972"/>
      <c r="Q104" s="1972"/>
      <c r="R104" s="1972"/>
      <c r="S104" s="1972"/>
      <c r="T104" s="1972"/>
      <c r="U104" s="1972"/>
      <c r="V104" s="1972"/>
      <c r="W104" s="1972"/>
      <c r="X104" s="1972"/>
      <c r="Y104" s="1972"/>
      <c r="Z104" s="1972"/>
      <c r="AA104" s="1972"/>
      <c r="AB104" s="1972"/>
      <c r="AC104" s="1972"/>
      <c r="AD104" s="1972"/>
      <c r="AE104" s="1972"/>
      <c r="AF104" s="1972"/>
      <c r="AG104" s="1972"/>
      <c r="AH104" s="1972"/>
      <c r="AI104" s="1972"/>
      <c r="AJ104" s="1972"/>
      <c r="AK104" s="1972"/>
      <c r="AL104" s="1972"/>
      <c r="AM104" s="1972"/>
      <c r="AN104" s="1972"/>
      <c r="AO104" s="1972"/>
      <c r="AP104" s="1972"/>
    </row>
    <row r="105" spans="1:42">
      <c r="A105" s="1972"/>
      <c r="B105" s="1972"/>
      <c r="C105" s="1972"/>
      <c r="D105" s="1972"/>
      <c r="E105" s="1972"/>
      <c r="F105" s="1972"/>
      <c r="G105" s="1972"/>
      <c r="H105" s="1972"/>
      <c r="I105" s="1972"/>
      <c r="J105" s="1972"/>
      <c r="K105" s="1972"/>
      <c r="L105" s="1972"/>
      <c r="M105" s="1972"/>
      <c r="N105" s="1972"/>
      <c r="O105" s="1972"/>
      <c r="P105" s="1972"/>
      <c r="Q105" s="1972"/>
      <c r="R105" s="1972"/>
      <c r="S105" s="1972"/>
      <c r="T105" s="1972"/>
      <c r="U105" s="1972"/>
      <c r="V105" s="1972"/>
      <c r="W105" s="1972"/>
      <c r="X105" s="1972"/>
      <c r="Y105" s="1972"/>
      <c r="Z105" s="1972"/>
      <c r="AA105" s="1972"/>
      <c r="AB105" s="1972"/>
      <c r="AC105" s="1972"/>
      <c r="AD105" s="1972"/>
      <c r="AE105" s="1972"/>
      <c r="AF105" s="1972"/>
      <c r="AG105" s="1972"/>
      <c r="AH105" s="1972"/>
      <c r="AI105" s="1972"/>
      <c r="AJ105" s="1972"/>
      <c r="AK105" s="1972"/>
      <c r="AL105" s="1972"/>
      <c r="AM105" s="1972"/>
      <c r="AN105" s="1972"/>
      <c r="AO105" s="1972"/>
      <c r="AP105" s="1972"/>
    </row>
    <row r="106" spans="1:42">
      <c r="A106" s="1972"/>
      <c r="B106" s="1972"/>
      <c r="C106" s="1972"/>
      <c r="D106" s="1972"/>
      <c r="E106" s="1972"/>
      <c r="F106" s="1972"/>
      <c r="G106" s="1972"/>
      <c r="H106" s="1972"/>
      <c r="I106" s="1972"/>
      <c r="J106" s="1972"/>
      <c r="K106" s="1972"/>
      <c r="L106" s="1972"/>
      <c r="M106" s="1972"/>
      <c r="N106" s="1972"/>
      <c r="O106" s="1972"/>
      <c r="P106" s="1972"/>
      <c r="Q106" s="1972"/>
      <c r="R106" s="1972"/>
      <c r="S106" s="1972"/>
      <c r="T106" s="1972"/>
      <c r="U106" s="1972"/>
      <c r="V106" s="1972"/>
      <c r="W106" s="1972"/>
      <c r="X106" s="1972"/>
      <c r="Y106" s="1972"/>
      <c r="Z106" s="1972"/>
      <c r="AA106" s="1972"/>
      <c r="AB106" s="1972"/>
      <c r="AC106" s="1972"/>
      <c r="AD106" s="1972"/>
      <c r="AE106" s="1972"/>
      <c r="AF106" s="1972"/>
      <c r="AG106" s="1972"/>
      <c r="AH106" s="1972"/>
      <c r="AI106" s="1972"/>
      <c r="AJ106" s="1972"/>
      <c r="AK106" s="1972"/>
      <c r="AL106" s="1972"/>
      <c r="AM106" s="1972"/>
      <c r="AN106" s="1972"/>
      <c r="AO106" s="1972"/>
      <c r="AP106" s="1972"/>
    </row>
    <row r="107" spans="1:42">
      <c r="A107" s="1972"/>
      <c r="B107" s="1972"/>
      <c r="C107" s="1972"/>
      <c r="D107" s="1972"/>
      <c r="E107" s="1972"/>
      <c r="F107" s="1972"/>
      <c r="G107" s="1972"/>
      <c r="H107" s="1972"/>
      <c r="I107" s="1972"/>
      <c r="J107" s="1972"/>
      <c r="K107" s="1972"/>
      <c r="L107" s="1972"/>
      <c r="M107" s="1972"/>
      <c r="N107" s="1972"/>
      <c r="O107" s="1972"/>
      <c r="P107" s="1972"/>
      <c r="Q107" s="1972"/>
      <c r="R107" s="1972"/>
      <c r="S107" s="1972"/>
      <c r="T107" s="1972"/>
      <c r="U107" s="1972"/>
      <c r="V107" s="1972"/>
      <c r="W107" s="1972"/>
      <c r="X107" s="1972"/>
      <c r="Y107" s="1972"/>
      <c r="Z107" s="1972"/>
      <c r="AA107" s="1972"/>
      <c r="AB107" s="1972"/>
      <c r="AC107" s="1972"/>
      <c r="AD107" s="1972"/>
      <c r="AE107" s="1972"/>
      <c r="AF107" s="1972"/>
      <c r="AG107" s="1972"/>
      <c r="AH107" s="1972"/>
      <c r="AI107" s="1972"/>
      <c r="AJ107" s="1972"/>
      <c r="AK107" s="1972"/>
      <c r="AL107" s="1972"/>
      <c r="AM107" s="1972"/>
      <c r="AN107" s="1972"/>
      <c r="AO107" s="1972"/>
      <c r="AP107" s="1972"/>
    </row>
  </sheetData>
  <sheetProtection algorithmName="SHA-512" hashValue="hVaQtYgK0MAGrqnC01lvOgWV912oPDm2tHti1dBGFVOHD/8bjD5ORQYViEg2ZYF4BlEfzXfqvBZwSybIzpMUAg==" saltValue="KazeD02Sg7cYSmtoCh7BXg==" spinCount="100000" sheet="1" objects="1" scenarios="1" formatColumns="0" formatRows="0" autoFilter="0"/>
  <phoneticPr fontId="0" type="noConversion"/>
  <dataValidations count="3">
    <dataValidation allowBlank="1" showInputMessage="1" showErrorMessage="1" prompt="Дата в формате ДД.ММ.ГГГГ (01.01.2014)" sqref="H3:O63 Q3"/>
    <dataValidation operator="equal" allowBlank="1" showInputMessage="1" prompt="Дата в формате ДД.ММ.ГГГГ (01.01.2014)" sqref="Q4"/>
    <dataValidation operator="equal" allowBlank="1" showInputMessage="1" prompt="Дата в формате ДД.ММ.ГГГГ (01.01.2010)" sqref="R3:R4">
      <formula1>0</formula1>
      <formula2>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87"/>
  <sheetViews>
    <sheetView zoomScale="60" zoomScaleNormal="60" workbookViewId="0">
      <pane xSplit="4" ySplit="5" topLeftCell="E6" activePane="bottomRight" state="frozen"/>
      <selection activeCell="F17" sqref="F17"/>
      <selection pane="topRight" activeCell="F17" sqref="F17"/>
      <selection pane="bottomLeft" activeCell="F17" sqref="F17"/>
      <selection pane="bottomRight" activeCell="F39" sqref="F39"/>
    </sheetView>
  </sheetViews>
  <sheetFormatPr defaultColWidth="37" defaultRowHeight="14.5"/>
  <cols>
    <col min="1" max="1" width="27" style="1163" hidden="1" customWidth="1"/>
    <col min="2" max="2" width="3.54296875" style="1163" customWidth="1"/>
    <col min="3" max="3" width="46.453125" style="1163" customWidth="1"/>
    <col min="4" max="4" width="15" style="1163" customWidth="1"/>
    <col min="5" max="5" width="33.453125" style="1163" customWidth="1"/>
    <col min="6" max="6" width="45.453125" style="1571" customWidth="1"/>
    <col min="7" max="7" width="19.54296875" style="1163" customWidth="1"/>
    <col min="8" max="8" width="28.453125" style="1163" bestFit="1" customWidth="1"/>
    <col min="9" max="9" width="29.453125" style="1163" bestFit="1" customWidth="1"/>
    <col min="10" max="10" width="37" style="1562" customWidth="1"/>
    <col min="11" max="13" width="37" style="1163"/>
    <col min="14" max="14" width="29.453125" style="3493" customWidth="1"/>
    <col min="15" max="15" width="29.453125" customWidth="1"/>
    <col min="16" max="16384" width="37" style="1163"/>
  </cols>
  <sheetData>
    <row r="1" spans="1:20" ht="22.5" hidden="1" customHeight="1">
      <c r="A1" s="1561" t="s">
        <v>2091</v>
      </c>
      <c r="B1" s="1857"/>
      <c r="C1" s="1858"/>
      <c r="D1" s="1857"/>
      <c r="E1" s="1857" t="s">
        <v>8520</v>
      </c>
      <c r="F1" s="1859" t="s">
        <v>8521</v>
      </c>
      <c r="G1" s="1857"/>
      <c r="H1" s="1857" t="s">
        <v>1580</v>
      </c>
      <c r="I1" s="1857" t="s">
        <v>1579</v>
      </c>
      <c r="J1" s="1860"/>
      <c r="K1" s="1857"/>
      <c r="L1" s="1857"/>
      <c r="M1" s="1857"/>
      <c r="P1" s="1857"/>
    </row>
    <row r="2" spans="1:20" ht="43.5" customHeight="1">
      <c r="A2" s="1861"/>
      <c r="C2" s="409" t="s">
        <v>5009</v>
      </c>
      <c r="D2" s="3044" t="s">
        <v>1436</v>
      </c>
      <c r="E2" s="1897" t="s">
        <v>2067</v>
      </c>
      <c r="F2" s="1244">
        <f>Содержание!$D$2</f>
        <v>0</v>
      </c>
      <c r="G2" s="168"/>
      <c r="H2" s="168"/>
      <c r="I2"/>
      <c r="K2" s="168"/>
      <c r="L2" s="168"/>
      <c r="M2" s="168"/>
    </row>
    <row r="3" spans="1:20" ht="45" customHeight="1" thickBot="1">
      <c r="A3" s="1861"/>
      <c r="C3" s="8"/>
      <c r="D3" s="399"/>
      <c r="E3" s="1897" t="s">
        <v>2075</v>
      </c>
      <c r="F3" s="1244" t="str">
        <f>Содержание!$D$15</f>
        <v>2022 год</v>
      </c>
      <c r="G3" s="168"/>
      <c r="H3" s="168"/>
      <c r="I3" s="409"/>
      <c r="K3" s="399"/>
      <c r="L3" s="409"/>
      <c r="M3" s="409"/>
    </row>
    <row r="4" spans="1:20" ht="41.15" customHeight="1">
      <c r="A4" s="1861"/>
      <c r="C4" s="3675" t="s">
        <v>4958</v>
      </c>
      <c r="D4" s="3677" t="s">
        <v>5305</v>
      </c>
      <c r="E4" s="3679" t="s">
        <v>3400</v>
      </c>
      <c r="F4" s="3680"/>
      <c r="G4" s="399"/>
      <c r="H4" s="3681" t="s">
        <v>5303</v>
      </c>
      <c r="I4" s="3682"/>
      <c r="K4" s="3681" t="s">
        <v>868</v>
      </c>
      <c r="L4" s="3680"/>
      <c r="M4" s="401" t="s">
        <v>4183</v>
      </c>
      <c r="N4" s="2309" t="s">
        <v>14632</v>
      </c>
      <c r="O4" s="2309" t="s">
        <v>6194</v>
      </c>
    </row>
    <row r="5" spans="1:20" ht="58.5" customHeight="1">
      <c r="A5" s="1861"/>
      <c r="C5" s="3676"/>
      <c r="D5" s="3678"/>
      <c r="E5" s="2292" t="s">
        <v>4960</v>
      </c>
      <c r="F5" s="117" t="s">
        <v>4959</v>
      </c>
      <c r="G5" s="400"/>
      <c r="H5" s="401" t="s">
        <v>4960</v>
      </c>
      <c r="I5" s="401" t="s">
        <v>4959</v>
      </c>
      <c r="K5" s="401" t="s">
        <v>4960</v>
      </c>
      <c r="L5" s="401" t="s">
        <v>4959</v>
      </c>
      <c r="M5" s="401"/>
    </row>
    <row r="6" spans="1:20" ht="30.75" customHeight="1">
      <c r="A6" s="1861"/>
      <c r="C6" s="1265" t="s">
        <v>4961</v>
      </c>
      <c r="D6" s="1266"/>
      <c r="E6" s="1266"/>
      <c r="F6" s="1267" t="s">
        <v>4184</v>
      </c>
      <c r="G6" s="8"/>
      <c r="H6" s="1912" t="s">
        <v>4184</v>
      </c>
      <c r="I6" s="404" t="s">
        <v>4184</v>
      </c>
      <c r="K6" s="1912" t="s">
        <v>4184</v>
      </c>
      <c r="L6" s="404" t="s">
        <v>4184</v>
      </c>
      <c r="M6" s="404"/>
      <c r="R6" s="2130"/>
      <c r="S6" s="2130"/>
    </row>
    <row r="7" spans="1:20" ht="36" customHeight="1">
      <c r="A7" s="1861" t="s">
        <v>1581</v>
      </c>
      <c r="C7" s="1268" t="s">
        <v>4860</v>
      </c>
      <c r="D7" s="1269">
        <v>1110</v>
      </c>
      <c r="E7" s="1425">
        <f>SUMIF(ОСВ_авт!$N:$N,Баланс!D7,ОСВ_авт!$F:$F)+SUM('08'!X14:X15)-SUM('08'!Y14:Y15)+SUMIF('60_02'!C:C,"*251012*",'60_02'!L:L)+'60_02'!L12+'10_расш'!Q10</f>
        <v>0</v>
      </c>
      <c r="F7" s="2294">
        <f>SUMIF(ОСВ_авт!$N:$N,Баланс!D7,ОСВ_авт!$E:$E)+SUM('08'!D14:D15)-SUM('08'!E14:E15)+SUMIF('60_02'!C:C,"*251012*",'60_02'!F:F)+'60_02'!F12+'10_расш'!H10</f>
        <v>0</v>
      </c>
      <c r="G7" s="8"/>
      <c r="H7" s="2297"/>
      <c r="I7" s="444"/>
      <c r="K7" s="1914" t="b">
        <f>IF(ABS(E7-H7)&lt;=1,TRUE,FALSE)</f>
        <v>1</v>
      </c>
      <c r="L7" s="444" t="b">
        <f>IF(ABS(F7-I7)&lt;=1,TRUE,"Комментарий")</f>
        <v>1</v>
      </c>
      <c r="M7" s="444"/>
      <c r="N7" s="3493" t="b">
        <f>IF(K7="Комментарий",IF(L7&gt;"",TRUE,FALSE),TRUE)</f>
        <v>1</v>
      </c>
      <c r="O7" t="b">
        <f>IF(L7="Комментарий",IF(M7&gt;"",TRUE,FALSE),TRUE)</f>
        <v>1</v>
      </c>
    </row>
    <row r="8" spans="1:20" ht="36" customHeight="1">
      <c r="A8" s="1861" t="s">
        <v>5108</v>
      </c>
      <c r="C8" s="1268" t="s">
        <v>4962</v>
      </c>
      <c r="D8" s="1269">
        <v>1120</v>
      </c>
      <c r="E8" s="1425">
        <f>SUMIF(ОСВ_авт!$N:$N,Баланс!D8,ОСВ_авт!$F:$F)</f>
        <v>0</v>
      </c>
      <c r="F8" s="2294">
        <f>SUMIF(ОСВ_авт!$N:$N,Баланс!D8,ОСВ_авт!$E:$E)</f>
        <v>0</v>
      </c>
      <c r="G8" s="8"/>
      <c r="H8" s="2297"/>
      <c r="I8" s="444"/>
      <c r="K8" s="1914" t="b">
        <f t="shared" ref="K8:K22" si="0">IF(ABS(E8-H8)&lt;=1,TRUE,FALSE)</f>
        <v>1</v>
      </c>
      <c r="L8" s="444" t="b">
        <f t="shared" ref="L8:L22" si="1">IF(ABS(F8-I8)&lt;=1,TRUE,"Комментарий")</f>
        <v>1</v>
      </c>
      <c r="M8" s="444"/>
      <c r="N8" s="3493" t="b">
        <f t="shared" ref="N8:O41" si="2">IF(K8="Комментарий",IF(L8&gt;"",TRUE,FALSE),TRUE)</f>
        <v>1</v>
      </c>
      <c r="O8" s="2308" t="b">
        <f t="shared" si="2"/>
        <v>1</v>
      </c>
    </row>
    <row r="9" spans="1:20" ht="36" customHeight="1">
      <c r="A9" s="1861" t="s">
        <v>5093</v>
      </c>
      <c r="C9" s="1268" t="s">
        <v>910</v>
      </c>
      <c r="D9" s="1269">
        <v>1130</v>
      </c>
      <c r="E9" s="1425">
        <f>ОСВ_авт!$F$37</f>
        <v>0</v>
      </c>
      <c r="F9" s="2294">
        <f>ОСВ_авт!$E$37</f>
        <v>0</v>
      </c>
      <c r="G9" s="8"/>
      <c r="H9" s="2297"/>
      <c r="I9" s="444"/>
      <c r="K9" s="1914" t="b">
        <f t="shared" si="0"/>
        <v>1</v>
      </c>
      <c r="L9" s="444" t="b">
        <f t="shared" si="1"/>
        <v>1</v>
      </c>
      <c r="M9" s="444"/>
      <c r="N9" s="3493" t="b">
        <f t="shared" si="2"/>
        <v>1</v>
      </c>
      <c r="O9" s="2308" t="b">
        <f t="shared" si="2"/>
        <v>1</v>
      </c>
    </row>
    <row r="10" spans="1:20" ht="36" customHeight="1">
      <c r="A10" s="1861" t="s">
        <v>5094</v>
      </c>
      <c r="C10" s="1268" t="s">
        <v>911</v>
      </c>
      <c r="D10" s="1269">
        <v>1140</v>
      </c>
      <c r="E10" s="1425">
        <f>('08'!$X$22+'08'!$X$26)-('08'!$Y$22+'08'!$Y$26)</f>
        <v>0</v>
      </c>
      <c r="F10" s="2294">
        <f>('08'!$D$22+'08'!$D$26)-('08'!$E$22+'08'!$E$26)</f>
        <v>0</v>
      </c>
      <c r="G10" s="8"/>
      <c r="H10" s="2297"/>
      <c r="I10" s="444"/>
      <c r="K10" s="1914" t="b">
        <f t="shared" si="0"/>
        <v>1</v>
      </c>
      <c r="L10" s="444" t="b">
        <f t="shared" si="1"/>
        <v>1</v>
      </c>
      <c r="M10" s="444"/>
      <c r="N10" s="3493" t="b">
        <f t="shared" si="2"/>
        <v>1</v>
      </c>
      <c r="O10" s="2308" t="b">
        <f t="shared" si="2"/>
        <v>1</v>
      </c>
    </row>
    <row r="11" spans="1:20" ht="36" customHeight="1">
      <c r="A11" s="1861"/>
      <c r="C11" s="1268" t="s">
        <v>3406</v>
      </c>
      <c r="D11" s="1269">
        <v>1150</v>
      </c>
      <c r="E11" s="1425">
        <f>SUM(E12:E15)</f>
        <v>0</v>
      </c>
      <c r="F11" s="2294">
        <f>SUM(F12:F15)</f>
        <v>0</v>
      </c>
      <c r="G11" s="8"/>
      <c r="H11" s="2339">
        <f>SUM(H12:H15)</f>
        <v>0</v>
      </c>
      <c r="I11" s="2339">
        <f>SUM(I12:I15)</f>
        <v>0</v>
      </c>
      <c r="K11" s="1914" t="b">
        <f t="shared" si="0"/>
        <v>1</v>
      </c>
      <c r="L11" s="444" t="b">
        <f t="shared" si="1"/>
        <v>1</v>
      </c>
      <c r="M11" s="444"/>
      <c r="N11" s="3493" t="b">
        <f t="shared" si="2"/>
        <v>1</v>
      </c>
      <c r="O11" s="2308" t="b">
        <f t="shared" si="2"/>
        <v>1</v>
      </c>
    </row>
    <row r="12" spans="1:20" ht="36" customHeight="1">
      <c r="A12" s="1861" t="s">
        <v>1582</v>
      </c>
      <c r="C12" s="1270" t="s">
        <v>4963</v>
      </c>
      <c r="D12" s="1269">
        <v>1151</v>
      </c>
      <c r="E12" s="1425">
        <f>SUMIF(ОСВ_авт!$N:$N,Баланс!D12,ОСВ_авт!$F:$F)+SUMIF('10'!_xlnm.Print_Titles,"*1600*",'10'!$W:$W)</f>
        <v>0</v>
      </c>
      <c r="F12" s="1426">
        <f>SUMIF(ОСВ_авт!$N:$N,Баланс!D12,ОСВ_авт!$E:$E)+SUMIF('10'!_xlnm.Print_Titles,"*1600*",'10'!$D:$D)</f>
        <v>0</v>
      </c>
      <c r="G12" s="8"/>
      <c r="H12" s="2297"/>
      <c r="I12" s="444"/>
      <c r="K12" s="1914" t="b">
        <f t="shared" si="0"/>
        <v>1</v>
      </c>
      <c r="L12" s="444" t="b">
        <f t="shared" si="1"/>
        <v>1</v>
      </c>
      <c r="M12" s="444"/>
      <c r="N12" s="3493" t="b">
        <f t="shared" si="2"/>
        <v>1</v>
      </c>
      <c r="O12" s="2308" t="b">
        <f t="shared" si="2"/>
        <v>1</v>
      </c>
    </row>
    <row r="13" spans="1:20" ht="36" customHeight="1">
      <c r="A13" s="1861" t="s">
        <v>1583</v>
      </c>
      <c r="C13" s="1878" t="s">
        <v>909</v>
      </c>
      <c r="D13" s="1269">
        <v>1152</v>
      </c>
      <c r="E13" s="1425">
        <f>SUMIF(ОСВ_авт!$N:$N,Баланс!D13,ОСВ_авт!$F:$F)-SUMIF('08'!C:C,"{0080_~} Создание и приобретение инвестиционной недвижимости",'08'!X:X)-SUMIF('08'!C:C,"{0052_~} Приобретение нематериальных активов",'08'!X:X)-SUMIF('08'!C:C,"{0051_~} Создание нематериальных активов",'08'!X:X)-SUMIF('08'!C:C,"{0070_1} Расходы на научно-исследовательские работы (стадия исследований)",'08'!X:X)-SUMIF('08'!C:C,"{0070_2} Расходы на опытно-конструкторские работы (стадия разработок)",'08'!X:X)-SUMIF('08'!C:C,"{0070_3} Расходы на технологические работы",'08'!X:X)+'10_расш'!R10-SUMIF('08'!C:C,"{0091_~} Создание материальных поисковых активов",'08'!X:X)-SUMIF('08'!C:C,"{0092_~} Создание нематериальных поисковых активов",'08'!X:X)-SUMIF('08'!C:C,"{0093_~} Материальные поисковые активы",'08'!X:X)+SUMIF('08'!C:C,"{0080_~} Создание и приобретение инвестиционной недвижимости",'08'!Y:Y)+SUMIF('08'!C:C,"{0052_~} Приобретение нематериальных активов",'08'!Y:Y)+SUMIF('08'!C:C,"{0051_~} Создание нематериальных активов",'08'!Y:Y)+SUMIF('08'!C:C,"{0070_1} Расходы на научно-исследовательские работы (стадия исследований)",'08'!Y:Y)+SUMIF('08'!C:C,"{0070_2} Расходы на опытно-конструкторские работы (стадия разработок)",'08'!Y:Y)+SUMIF('08'!C:C,"{0070_3} Расходы на технологические работы",'08'!Y:Y)+SUMIF('08'!C:C,"{0091_~} Создание материальных поисковых активов",'08'!Y:Y)+SUMIF('08'!C:C,"{0092_~} Создание нематериальных поисковых активов",'08'!Y:Y)+SUMIF('08'!C:C,"{0093_~} Материальные поисковые активы",'08'!Y:Y)</f>
        <v>0</v>
      </c>
      <c r="F13" s="1426">
        <f>SUMIF(ОСВ_авт!$N:$N,Баланс!D13,ОСВ_авт!$E:$E)-SUMIF('08'!C:C,"{0080_~} Создание и приобретение инвестиционной недвижимости",'08'!D:D)-SUMIF('08'!C:C,"{0052_~} Приобретение нематериальных активов",'08'!D:D)-SUMIF('08'!C:C,"{0051_~} Создание нематериальных активов",'08'!D:D)-SUMIF('08'!C:C,"{0070_1} Расходы на научно-исследовательские работы (стадия исследований)",'08'!D:D)-SUMIF('08'!C:C,"{0070_2} Расходы на опытно-конструкторские работы (стадия разработок)",'08'!D:D)-SUMIF('08'!C:C,"{0070_3} Расходы на технологические работы",'08'!D:D)+'10_расш'!I10-SUMIF('08'!C:C,"{0091_~} Создание материальных поисковых активов",'08'!D:D)-SUMIF('08'!C:C,"{0092_~} Создание нематериальных поисковых активов",'08'!D:D)-SUMIF('08'!C:C,"{0093_~} Материальные поисковые активы",'08'!D:D)-SUMIF('08'!C:C,"{0080_~} Создание и приобретение инвестиционной недвижимости",'08'!E:E)+SUMIF('08'!C:C,"{0052_~} Приобретение нематериальных активов",'08'!E:E)+SUMIF('08'!C:C,"{0051_~} Создание нематериальных активов",'08'!E:E)+SUMIF('08'!C:C,"{0070_1} Расходы на научно-исследовательские работы (стадия исследований)",'08'!E:E)+SUMIF('08'!C:C,"{0070_2} Расходы на опытно-конструкторские работы (стадия разработок)",'08'!E:E)+SUMIF('08'!C:C,"{0070_3} Расходы на технологические работы",'08'!E:E)+SUMIF('08'!C:C,"{0091_~} Создание материальных поисковых активов",'08'!E:E)+SUMIF('08'!C:C,"{0092_~} Создание нематериальных поисковых активов",'08'!E:E)+SUMIF('08'!C:C,"{0093_~} Материальные поисковые активы",'08'!E:E)</f>
        <v>0</v>
      </c>
      <c r="G13" s="8"/>
      <c r="H13" s="2297"/>
      <c r="I13" s="444"/>
      <c r="J13" s="1572"/>
      <c r="K13" s="1914" t="b">
        <f t="shared" si="0"/>
        <v>1</v>
      </c>
      <c r="L13" s="444" t="b">
        <f t="shared" si="1"/>
        <v>1</v>
      </c>
      <c r="M13" s="444"/>
      <c r="N13" s="3493" t="b">
        <f t="shared" si="2"/>
        <v>1</v>
      </c>
      <c r="O13" s="2308" t="b">
        <f t="shared" si="2"/>
        <v>1</v>
      </c>
      <c r="Q13" s="2830"/>
    </row>
    <row r="14" spans="1:20" ht="43.5">
      <c r="A14" s="1862" t="s">
        <v>1584</v>
      </c>
      <c r="C14" s="1270" t="s">
        <v>4964</v>
      </c>
      <c r="D14" s="1269">
        <v>1153</v>
      </c>
      <c r="E14" s="3579">
        <f>SUMIF('60_02'!C:C,"{251013} Расчеты с подрядчиками по капитальному строительству",'60_02'!L:L)+SUMIF('60_02'!C:C,"{251011} Расчеты с поставщиками ОС",'60_02'!L:L)+'60_02'!L11+SUMIF(ОСВ_авт!$N:$N,Баланс!D14,ОСВ_авт!$F:$F)+SUMIF('76'!C:C,"*{252071}*",'76'!R:R)+IF(V25&gt;0,V25,0)+IF(V27&gt;0,V27,0)+SUMIF('76'!C:C,"*{252079}*",'76'!V:V)+SUMIF('76'!C:C,"*{252079}*",'76'!T:T)+SUMIF('60_02'!C:C,"*{251018}*",'60_02'!L:L)+R15+S21</f>
        <v>0</v>
      </c>
      <c r="F14" s="3580">
        <f>SUMIF('60_02'!C:C,"{251013} Расчеты с подрядчиками по капитальному строительству",'60_02'!F:F)+SUMIF('60_02'!C:C,"{251011} Расчеты с поставщиками ОС",'60_02'!F:F)+'60_02'!F11+SUMIF(ОСВ_авт!$N:$N,Баланс!D14,ОСВ_авт!$E:$E)+SUMIF('76'!C:C,"*{252071}*",'76'!F:F)+IF(U25&gt;0,U25,0)+IF(U27&gt;0,U27,0)+SUMIF('76'!C:C,"*{252079}*",'76'!H:H)+SUMIF('76'!C:C,"*{252079}*",'76'!J:J)+SUMIF('60_02'!C:C,"*{251018}*",'60_02'!F:F)+S15+R21</f>
        <v>0</v>
      </c>
      <c r="G14" s="8"/>
      <c r="H14" s="2297"/>
      <c r="I14" s="444"/>
      <c r="K14" s="1914" t="b">
        <f>IF(ABS(E14-H14)&lt;=1,TRUE,FALSE)</f>
        <v>1</v>
      </c>
      <c r="L14" s="444" t="b">
        <f t="shared" si="1"/>
        <v>1</v>
      </c>
      <c r="M14" s="444"/>
      <c r="N14" s="3493" t="b">
        <f t="shared" si="2"/>
        <v>1</v>
      </c>
      <c r="O14" s="2308" t="b">
        <f t="shared" si="2"/>
        <v>1</v>
      </c>
      <c r="Q14" s="3582"/>
      <c r="R14" s="3583" t="s">
        <v>4960</v>
      </c>
      <c r="S14" s="3583" t="s">
        <v>4959</v>
      </c>
      <c r="T14" s="3582"/>
    </row>
    <row r="15" spans="1:20" s="2830" customFormat="1">
      <c r="A15" s="3448" t="str">
        <f>"R1=GR" &amp;D15</f>
        <v>R1=GR1154</v>
      </c>
      <c r="C15" s="3449" t="s">
        <v>14500</v>
      </c>
      <c r="D15" s="3450">
        <v>1154</v>
      </c>
      <c r="E15" s="3455">
        <f>SUMIF(ОСВ_авт!$N:$N,Баланс!D15,ОСВ_авт!$F:$F)</f>
        <v>0</v>
      </c>
      <c r="F15" s="3456">
        <f>SUMIF(ОСВ_авт!$N:$N,Баланс!D15,ОСВ_авт!$E:$E)</f>
        <v>0</v>
      </c>
      <c r="G15" s="3003"/>
      <c r="H15" s="2297"/>
      <c r="I15" s="444"/>
      <c r="J15" s="1562"/>
      <c r="K15" s="1914" t="b">
        <f>IF(ABS(E15-H15)&lt;=1,TRUE,FALSE)</f>
        <v>1</v>
      </c>
      <c r="L15" s="444" t="b">
        <f t="shared" ref="L15" si="3">IF(ABS(F15-I15)&lt;=1,TRUE,"Комментарий")</f>
        <v>1</v>
      </c>
      <c r="M15" s="444"/>
      <c r="N15" s="3493" t="b">
        <f t="shared" ref="N15:O15" si="4">IF(K15="Комментарий",IF(L15&gt;"",TRUE,FALSE),TRUE)</f>
        <v>1</v>
      </c>
      <c r="O15" s="3444" t="b">
        <f t="shared" si="4"/>
        <v>1</v>
      </c>
      <c r="Q15" s="3584">
        <v>1153</v>
      </c>
      <c r="R15" s="2830">
        <f>SUMIFS('76'!S45:S7000,'76'!C45:C7000,"*{252038}*",'76'!D45:D7000,"{12} Авансы выданные")</f>
        <v>0</v>
      </c>
      <c r="S15" s="2830">
        <f>SUMIFS('76'!G45:G7000,'76'!C45:C7000,"*{252038}*",'76'!D45:D7000,"{12} Авансы выданные")</f>
        <v>0</v>
      </c>
      <c r="T15" s="3582" t="s">
        <v>5444</v>
      </c>
    </row>
    <row r="16" spans="1:20" ht="36" customHeight="1">
      <c r="A16" s="1861" t="s">
        <v>1585</v>
      </c>
      <c r="C16" s="3447" t="s">
        <v>14499</v>
      </c>
      <c r="D16" s="1269">
        <v>1160</v>
      </c>
      <c r="E16" s="3454">
        <f>ОСВ_авт!F18+ОСВ_авт!F14+SUMIF('60_02'!C:C,"{251015} Расчеты с поставщиками по инвестиционной недвижимости",'60_02'!L:L)+SUMIF('08'!C:C,"{0080_~} Создание и приобретение инвестиционной недвижимости",'08'!X:X)-SUMIF('08'!C:C,"{0080_~} Создание и приобретение инвестиционной недвижимости",'08'!Y:Y)+'10_расш'!S10+'60_02'!L14+SUMIF(ОСВ_авт!$N:$N,Баланс!D16,ОСВ_авт!$F:$F)+E17</f>
        <v>0</v>
      </c>
      <c r="F16" s="3456">
        <f>ОСВ_авт!E18+ОСВ_авт!E14+SUMIF('60_02'!C:C,"{251015} Расчеты с поставщиками по инвестиционной недвижимости",'60_02'!F:F)+SUMIF('08'!C:C,"{0080_~} Создание и приобретение инвестиционной недвижимости",'08'!D:D)-SUMIF('08'!C:C,"{0080_~} Создание и приобретение инвестиционной недвижимости",'08'!E:E)+'10_расш'!J10+SUMIF(ОСВ_авт!$N:$N,Баланс!D16,ОСВ_авт!$E:$E)+'60_02'!F14+F17</f>
        <v>0</v>
      </c>
      <c r="G16" s="8"/>
      <c r="H16" s="2297"/>
      <c r="I16" s="444"/>
      <c r="K16" s="1914" t="b">
        <f>IF(ABS(E16-H16)&lt;=1,TRUE,FALSE)</f>
        <v>1</v>
      </c>
      <c r="L16" s="444" t="b">
        <f>IF(ABS(F16-I16)&lt;=1,TRUE,"Комментарий")</f>
        <v>1</v>
      </c>
      <c r="M16" s="444"/>
      <c r="N16" s="3493" t="b">
        <f t="shared" si="2"/>
        <v>1</v>
      </c>
      <c r="O16" s="2308" t="b">
        <f t="shared" si="2"/>
        <v>1</v>
      </c>
      <c r="Q16" s="3584">
        <v>1527</v>
      </c>
      <c r="R16" s="3582">
        <f>SUMIFS('76'!R45:R7000,'76'!C45:C7000,"*{252038}*",'76'!D45:D7000,"{12} Авансы выданные")</f>
        <v>0</v>
      </c>
      <c r="S16" s="3582">
        <f>SUMIFS('76'!F45:F7000,'76'!C45:C7000,"*{252038}*",'76'!D45:D7000,"{12} Авансы выданные")</f>
        <v>0</v>
      </c>
      <c r="T16" s="3582" t="s">
        <v>5444</v>
      </c>
    </row>
    <row r="17" spans="1:24" s="2830" customFormat="1" ht="36" customHeight="1">
      <c r="A17" s="3448" t="str">
        <f>"R1=GR" &amp;D17</f>
        <v>R1=GR1161</v>
      </c>
      <c r="C17" s="3451" t="s">
        <v>14501</v>
      </c>
      <c r="D17" s="3450">
        <v>1161</v>
      </c>
      <c r="E17" s="3455">
        <f>SUMIF(ОСВ_авт!$N:$N,Баланс!D17,ОСВ_авт!$F:$F)</f>
        <v>0</v>
      </c>
      <c r="F17" s="3456">
        <f>SUMIF(ОСВ_авт!$N:$N,Баланс!D17,ОСВ_авт!$E:$E)</f>
        <v>0</v>
      </c>
      <c r="G17" s="3003"/>
      <c r="H17" s="2297"/>
      <c r="I17" s="444"/>
      <c r="J17" s="1562"/>
      <c r="K17" s="1914" t="b">
        <f>IF(ABS(E17-H17)&lt;=1,TRUE,FALSE)</f>
        <v>1</v>
      </c>
      <c r="L17" s="444" t="b">
        <f>IF(ABS(F17-I17)&lt;=1,TRUE,"Комментарий")</f>
        <v>1</v>
      </c>
      <c r="M17" s="444"/>
      <c r="N17" s="3493" t="b">
        <f t="shared" ref="N17:O17" si="5">IF(K17="Комментарий",IF(L17&gt;"",TRUE,FALSE),TRUE)</f>
        <v>1</v>
      </c>
      <c r="O17" s="3444" t="b">
        <f t="shared" si="5"/>
        <v>1</v>
      </c>
      <c r="Q17" s="3584">
        <v>1527</v>
      </c>
      <c r="R17" s="3582">
        <f>SUMIFS('76'!R45:R7000,'76'!C45:C7000,"*{252038}*",'76'!D45:D7000,"{11} Кредиторская задолженность")+SUMIFS('76'!S45:S7000,'76'!C45:C7000,"*{252038}*",'76'!D45:D7000,"{11} Кредиторская задолженность")</f>
        <v>0</v>
      </c>
      <c r="S17" s="3582">
        <f>SUMIFS('76'!F45:F7000,'76'!C45:C7000,"*{252038}*",'76'!D45:D7000,"{11} Кредиторская задолженность")+SUMIFS('76'!G45:G7000,'76'!C45:C7000,"*{252038}*",'76'!D45:D7000,"{11} Кредиторская задолженность")</f>
        <v>0</v>
      </c>
      <c r="T17" s="3582" t="s">
        <v>5442</v>
      </c>
    </row>
    <row r="18" spans="1:24" ht="36" customHeight="1">
      <c r="A18" s="1861" t="s">
        <v>1586</v>
      </c>
      <c r="C18" s="1268" t="s">
        <v>4304</v>
      </c>
      <c r="D18" s="1269">
        <v>1170</v>
      </c>
      <c r="E18" s="1425">
        <f>ОСВ_авт!F96+('58_02'!X11-'58_02'!Y11+'59_02'!V10)+ОСВ_авт!F100+ОСВ_авт!F103+ОСВ_авт!F107+ОСВ_авт!F111-'58_01_2'!Z11+E19</f>
        <v>0</v>
      </c>
      <c r="F18" s="1426">
        <f>ОСВ_авт!E96+('58_02'!N11-'58_02'!O11+'59_02'!O10)+ОСВ_авт!E100+ОСВ_авт!E103+ОСВ_авт!E107+ОСВ_авт!E111-'58_01_2'!P11+F19</f>
        <v>0</v>
      </c>
      <c r="G18" s="8"/>
      <c r="H18" s="2297"/>
      <c r="I18" s="444"/>
      <c r="K18" s="1914" t="b">
        <f t="shared" si="0"/>
        <v>1</v>
      </c>
      <c r="L18" s="444" t="b">
        <f t="shared" si="1"/>
        <v>1</v>
      </c>
      <c r="M18" s="444"/>
      <c r="N18" s="3493" t="b">
        <f>IF(K18="Комментарий",IF(M18&gt;"",TRUE,FALSE),TRUE)</f>
        <v>1</v>
      </c>
      <c r="O18" s="2308" t="b">
        <f t="shared" si="2"/>
        <v>1</v>
      </c>
      <c r="Q18" s="3585" t="s">
        <v>14999</v>
      </c>
      <c r="R18" s="3582">
        <f>R17+R16</f>
        <v>0</v>
      </c>
      <c r="S18" s="3582">
        <f>S17+S16</f>
        <v>0</v>
      </c>
      <c r="T18" s="3582"/>
    </row>
    <row r="19" spans="1:24" s="2830" customFormat="1" ht="36" customHeight="1">
      <c r="A19" s="3448" t="str">
        <f>"R1=GR" &amp;D19</f>
        <v>R1=GR1171</v>
      </c>
      <c r="C19" s="3266" t="s">
        <v>10045</v>
      </c>
      <c r="D19" s="1269">
        <v>1171</v>
      </c>
      <c r="E19" s="1425">
        <f>SUMIF('76'!C:C,"{252077} Расчеты по купле долгосрочных финансовых вложений",'76'!R:R)</f>
        <v>0</v>
      </c>
      <c r="F19" s="1426">
        <f>SUMIF('76'!C:C,"{252077} Расчеты по купле долгосрочных финансовых вложений",'76'!F:F)</f>
        <v>0</v>
      </c>
      <c r="G19" s="3003"/>
      <c r="H19" s="2297"/>
      <c r="I19" s="444"/>
      <c r="J19" s="1562"/>
      <c r="K19" s="1914" t="b">
        <f t="shared" ref="K19" si="6">IF(ABS(E19-H19)&lt;=1,TRUE,FALSE)</f>
        <v>1</v>
      </c>
      <c r="L19" s="444" t="b">
        <f t="shared" ref="L19" si="7">IF(ABS(F19-I19)&lt;=1,TRUE,"Комментарий")</f>
        <v>1</v>
      </c>
      <c r="M19" s="444"/>
      <c r="N19" s="3493" t="b">
        <f t="shared" ref="N19:N22" si="8">IF(K19="Комментарий",IF(M19&gt;"",TRUE,FALSE),TRUE)</f>
        <v>1</v>
      </c>
      <c r="O19" s="3265" t="b">
        <f t="shared" ref="O19" si="9">IF(L19="Комментарий",IF(M19&gt;"",TRUE,FALSE),TRUE)</f>
        <v>1</v>
      </c>
      <c r="Q19" s="2830" t="s">
        <v>15002</v>
      </c>
      <c r="R19" s="1163"/>
      <c r="S19" s="1163"/>
      <c r="T19" s="1163"/>
    </row>
    <row r="20" spans="1:24" ht="36" customHeight="1">
      <c r="A20" s="1861" t="s">
        <v>1587</v>
      </c>
      <c r="C20" s="1268" t="s">
        <v>4882</v>
      </c>
      <c r="D20" s="1269">
        <v>1180</v>
      </c>
      <c r="E20" s="1425">
        <f>IF(ABS(ОСВ_авт!F41)&gt;=ABS(ОСВ_авт!F205),ОСВ_авт!F41+ОСВ_авт!F205,0)</f>
        <v>0</v>
      </c>
      <c r="F20" s="1426">
        <f>IF(ABS(ОСВ_авт!E41)&gt;=ABS(ОСВ_авт!E205),ОСВ_авт!E41+ОСВ_авт!E205,0)</f>
        <v>0</v>
      </c>
      <c r="G20" s="8"/>
      <c r="H20" s="2297"/>
      <c r="I20" s="444"/>
      <c r="K20" s="1914" t="b">
        <f t="shared" si="0"/>
        <v>1</v>
      </c>
      <c r="L20" s="444" t="b">
        <f t="shared" si="1"/>
        <v>1</v>
      </c>
      <c r="M20" s="444"/>
      <c r="N20" s="3493" t="b">
        <f t="shared" si="8"/>
        <v>1</v>
      </c>
      <c r="O20" s="2308" t="b">
        <f t="shared" si="2"/>
        <v>1</v>
      </c>
      <c r="Q20" s="3586"/>
      <c r="R20" s="3586" t="s">
        <v>15000</v>
      </c>
      <c r="S20" s="3586" t="s">
        <v>15001</v>
      </c>
      <c r="T20" s="3586"/>
      <c r="U20" s="1163">
        <v>1190</v>
      </c>
      <c r="V20" s="1163">
        <v>1450</v>
      </c>
    </row>
    <row r="21" spans="1:24" ht="36" customHeight="1">
      <c r="A21" s="1861" t="s">
        <v>5107</v>
      </c>
      <c r="C21" s="1884" t="s">
        <v>4965</v>
      </c>
      <c r="D21" s="1269">
        <v>1190</v>
      </c>
      <c r="E21" s="3564">
        <f>SUMIF(ОСВ_авт!$N:$N,Баланс!D21,ОСВ_авт!$F:$F)+SUM('08'!X18:X20)-SUM('08'!Y18:Y20)+SUMIF('60_02'!C:C,"{251014} Расчеты по НИОКР",'60_02'!L:L)+SUMIF('60_02'!C:C,"{251016} Расчеты с поставщиками по приобретению (созданию) поисковых активов",'60_02'!L:L)+'60_02'!L13+'10_расш'!T10+ОСВ_авт!F124+'60_02'!$M$9-SUM('60_02'!M11:M13)-SUMIF('60_02'!$C:$C,"{251011} Расчеты с поставщиками ОС",'60_02'!M:M)-SUMIF('60_02'!$C:$C,"{251013} Расчеты с подрядчиками по капитальному строительству",'60_02'!M:M)-SUMIF('60_02'!$C:$C,"{251012} Расчеты с поставщиками НМА",'60_02'!M:M)-SUMIF('60_02'!$C:$C,"{251014} Расчеты по НИОКР",'60_02'!M:M)+'73'!R9+('76'!T8-SUMIF('76'!C:C,"*{252027}*",'76'!T:T)-SUMIF('76'!C:C,"*{252028}*",'76'!T:T)-SUMIF('76'!C:C,"*{252031}*",'76'!T:T)-SUMIF('76'!C:C,"*{252032}*",'76'!T:T)-SUMIF('76'!C:C,"*{252033}*",'76'!T:T)-SUMIF('76'!C:C,"*{252034}*",'76'!T:T)-SUMIF('76'!C:C,"*{252035}*",'76'!T:T)-SUMIF('76'!C:C,"*{252025}*",'76'!T:T)-SUMIF('76'!C:C,"*{252029}*",'76'!T:T))-SUMIF('60_02'!$C:$C,"{251015} Расчеты с поставщиками по инвестиционной недвижимости",'60_02'!M:M)-'60_02'!M14-SUMIF('76'!C:C,"*{252071}*",'76'!T:T)-SUMIF('76'!C:C,"*{252072}*",'76'!T:T)-SUMIF('76'!C:C,"*{252073}*",'76'!T:T)-SUMIF('76'!C:C,"*{252077}*",'76'!T:T)-SUMIF('76'!C:C,"*{252074}*",'76'!T:T)-SUMIF('76'!C:C,"*{252002}*",'76'!T:T)-SUMIF('76'!C:C,"*{252006}*",'76'!T:T)-SUMIF('76'!C:C,"*{252048}*",'76'!T:T)+IF(SUMIF('76'!$C:$C,"*252048*",'76'!T:T)+SUMIF('76'!$C:$C,"*252048*",'76'!U:U)&gt;0,SUMIF('76'!$C:$C,"*252048*",'76'!T:T)+SUMIF('76'!$C:$C,"*252048*",'76'!U:U),0)+'68'!Z9+ОСВ_авт!F68+'46'!AB9+Свод_по_счетам!O19+(Свод_по_счетам!Q15+Свод_по_счетам!Q16)+Свод_по_счетам!O26+Свод_по_счетам!Q14+Свод_по_счетам!O23+Свод_по_счетам!O24+Свод_по_счетам!O20+Свод_по_счетам!Q12+Свод_по_счетам!Q13+'10_расш'!N10+Свод_по_счетам!Q11+IF(V21&gt;0,V21,0)-SUMIF('76'!C:C,"*{252080}*",'76'!T:T)-SUMIF('76'!C:C,"*{252081}*",'76'!T:T)-SUMIF('76'!C:C,"*{252038}*",'76'!T:T)-SUMIF('76'!C:C,"*{252079}*",'76'!T:T)-SUMIF('60_02'!$C:$C,"*{251018}*",'60_02'!M:M)</f>
        <v>0</v>
      </c>
      <c r="F21" s="3565">
        <f>SUMIF(ОСВ_авт!$N:$N,Баланс!D21,ОСВ_авт!$E:$E)+SUM('08'!D18:D20)-SUM('08'!E18:E20)+SUMIF('60_02'!C:C,"{251014} Расчеты по НИОКР",'60_02'!F:F)+SUMIF('60_02'!C:C,"{251016} Расчеты с поставщиками по приобретению (созданию) поисковых активов",'60_02'!F:F)+'60_02'!F13+'10_расш'!K10+ОСВ_авт!E124+'60_02'!$G$9-SUM('60_02'!G11:G13)-SUMIF('60_02'!$C:$C,"{251011} Расчеты с поставщиками ОС",'60_02'!G:G)-SUMIF('60_02'!$C:$C,"{251013} Расчеты с подрядчиками по капитальному строительству",'60_02'!G:G)-SUMIF('60_02'!$C:$C,"{251012} Расчеты с поставщиками НМА",'60_02'!G:G)-SUMIF('60_02'!$C:$C,"{251014} Расчеты по НИОКР",'60_02'!G:G)+'73'!E9+('76'!H8-SUMIF('76'!C:C,"*{252027}*",'76'!H:H)-SUMIF('76'!C:C,"*{252028}*",'76'!H:H)-SUMIF('76'!C:C,"*{252031}*",'76'!H:H)-SUMIF('76'!C:C,"*{252032}*",'76'!H:H)-SUMIF('76'!C:C,"*{252033}*",'76'!H:H)-SUMIF('76'!C:C,"*{252034}*",'76'!H:H)-SUMIF('76'!C:C,"*{252035}*",'76'!H:H)-SUMIF('76'!C:C,"*{252025}*",'76'!H:H)-SUMIF('76'!C:C,"*{252029}*",'76'!H:H))-SUMIF('60_02'!$C:$C,"{251015} Расчеты с поставщиками по инвестиционной недвижимости",'60_02'!G:G)-'60_02'!G14-SUMIF('76'!C:C,"*{252071}*",'76'!H:H)-SUMIF('76'!C:C,"*{252072}*",'76'!H:H)-SUMIF('76'!C:C,"*{252073}*",'76'!H:H)-SUMIF('76'!C:C,"*{252074}*",'76'!H:H)-SUMIF('76'!C:C,"*{252002}*",'76'!H:H)-SUMIF('76'!C:C,"*{252006}*",'76'!H:H)-SUMIF('76'!C:C,"*{252048}*",'76'!H:H)-SUMIF('76'!C:C,"*{252077}*",'76'!H:H)+IF(SUMIF('76'!$C:$C,"*252048*",'76'!H:H)+SUMIF('76'!$C:$C,"*252048*",'76'!I:I)&gt;0,SUMIF('76'!$C:$C,"*252048*",'76'!H:H)+SUMIF('76'!$C:$C,"*252048*",'76'!I:I),0)+'68'!K9+ОСВ_авт!E68+Свод_по_счетам!G19+Свод_по_счетам!G20+(Свод_по_счетам!I15+Свод_по_счетам!I16)+Свод_по_счетам!G26+Свод_по_счетам!I14+Свод_по_счетам!G23+Свод_по_счетам!G24+Свод_по_счетам!I12+Свод_по_счетам!I13+'10_расш'!G10+Свод_по_счетам!I11+'46'!M9+IF(U21&gt;0,U21,0)-SUMIF('76'!$C:$C,"*252080*",'76'!H:H)-SUMIF('76'!$C:$C,"*252081*",'76'!H:H)-SUMIF('76'!$C:$C,"*252038*",'76'!H:H)-SUMIF('76'!$C:$C,"*252079*",'76'!H:H)-SUMIF('60_02'!$C:$C,"*{251018}*",'60_02'!G:G)</f>
        <v>0</v>
      </c>
      <c r="G21" s="8"/>
      <c r="H21" s="2297"/>
      <c r="I21" s="444"/>
      <c r="K21" s="1914" t="b">
        <f t="shared" si="0"/>
        <v>1</v>
      </c>
      <c r="L21" s="444" t="b">
        <f t="shared" si="1"/>
        <v>1</v>
      </c>
      <c r="M21" s="444"/>
      <c r="N21" s="3493" t="b">
        <f t="shared" si="8"/>
        <v>1</v>
      </c>
      <c r="O21" s="2308" t="b">
        <f t="shared" si="2"/>
        <v>1</v>
      </c>
      <c r="Q21" s="3586">
        <v>1153</v>
      </c>
      <c r="R21" s="3582">
        <f>'76'!G41</f>
        <v>0</v>
      </c>
      <c r="S21" s="3582">
        <f>'76'!S41</f>
        <v>0</v>
      </c>
      <c r="T21" s="3586"/>
      <c r="U21" s="1163">
        <f>U33+U35+U37</f>
        <v>0</v>
      </c>
      <c r="V21" s="2830">
        <f>V33+V35+V37</f>
        <v>0</v>
      </c>
    </row>
    <row r="22" spans="1:24" ht="36" customHeight="1">
      <c r="A22" s="1861"/>
      <c r="C22" s="1271" t="s">
        <v>4966</v>
      </c>
      <c r="D22" s="1269">
        <v>1100</v>
      </c>
      <c r="E22" s="1425">
        <f>SUM(E7:E11,E16,E18,E20:E21)</f>
        <v>0</v>
      </c>
      <c r="F22" s="1426">
        <f>SUM(F7:F11,F16,F18,F20:F21)</f>
        <v>0</v>
      </c>
      <c r="G22" s="8"/>
      <c r="H22" s="2339">
        <f>SUM(H7:H11,H16,H18,H20:H21)</f>
        <v>0</v>
      </c>
      <c r="I22" s="2339">
        <f>SUM(I7:I11,I16,I18,I20:I21)</f>
        <v>0</v>
      </c>
      <c r="K22" s="1914" t="b">
        <f t="shared" si="0"/>
        <v>1</v>
      </c>
      <c r="L22" s="444" t="b">
        <f t="shared" si="1"/>
        <v>1</v>
      </c>
      <c r="M22" s="444"/>
      <c r="N22" s="3493" t="b">
        <f t="shared" si="8"/>
        <v>1</v>
      </c>
      <c r="O22" s="2308" t="b">
        <f t="shared" si="2"/>
        <v>1</v>
      </c>
      <c r="Q22" s="3586">
        <v>1527</v>
      </c>
      <c r="R22" s="3582">
        <f>'76'!F40+'76'!G43</f>
        <v>0</v>
      </c>
      <c r="S22" s="3582">
        <f>'76'!R40+'76'!S43</f>
        <v>0</v>
      </c>
      <c r="T22" s="3586" t="s">
        <v>15005</v>
      </c>
      <c r="U22" s="1163">
        <v>1235</v>
      </c>
      <c r="V22" s="1163">
        <v>1526</v>
      </c>
    </row>
    <row r="23" spans="1:24" ht="36" customHeight="1">
      <c r="A23" s="1861"/>
      <c r="C23" s="1271" t="s">
        <v>4967</v>
      </c>
      <c r="D23" s="1269"/>
      <c r="E23" s="3072" t="s">
        <v>4184</v>
      </c>
      <c r="F23" s="3073" t="s">
        <v>4184</v>
      </c>
      <c r="G23" s="8"/>
      <c r="H23" s="404" t="s">
        <v>4184</v>
      </c>
      <c r="I23" s="404" t="s">
        <v>4184</v>
      </c>
      <c r="K23" s="1913" t="s">
        <v>4184</v>
      </c>
      <c r="L23" s="404" t="s">
        <v>4184</v>
      </c>
      <c r="M23" s="404"/>
      <c r="U23" s="1163">
        <f>U32+U34+U36+U30</f>
        <v>0</v>
      </c>
      <c r="V23" s="2830">
        <f>V32+V34+V36+V30</f>
        <v>0</v>
      </c>
    </row>
    <row r="24" spans="1:24" ht="29.25" customHeight="1">
      <c r="A24" s="1861"/>
      <c r="C24" s="1268" t="s">
        <v>4867</v>
      </c>
      <c r="D24" s="1269">
        <v>1210</v>
      </c>
      <c r="E24" s="1425">
        <f>SUM(E25:E29)</f>
        <v>0</v>
      </c>
      <c r="F24" s="1426">
        <f>SUM(F25:F29)</f>
        <v>0</v>
      </c>
      <c r="G24" s="8"/>
      <c r="H24" s="2339">
        <f>SUM(H25:H29)</f>
        <v>0</v>
      </c>
      <c r="I24" s="2339">
        <f>SUM(I25:I29)</f>
        <v>0</v>
      </c>
      <c r="K24" s="1914" t="b">
        <f>IF(ABS(E24-H24)&lt;=1,TRUE,FALSE)</f>
        <v>1</v>
      </c>
      <c r="L24" s="444" t="b">
        <f>IF(ABS(F24-I24)&lt;=1,TRUE,"Комментарий")</f>
        <v>1</v>
      </c>
      <c r="M24" s="444"/>
      <c r="N24" s="3493" t="b">
        <f>IF(K24="Комментарий",IF(M24&gt;"",TRUE,FALSE),TRUE)</f>
        <v>1</v>
      </c>
      <c r="O24" s="2308" t="b">
        <f t="shared" si="2"/>
        <v>1</v>
      </c>
      <c r="U24" s="1163">
        <v>1153</v>
      </c>
      <c r="V24" s="2830">
        <v>1450</v>
      </c>
    </row>
    <row r="25" spans="1:24" ht="29">
      <c r="A25" s="1861" t="s">
        <v>1588</v>
      </c>
      <c r="C25" s="1272" t="s">
        <v>4968</v>
      </c>
      <c r="D25" s="1269">
        <v>1211</v>
      </c>
      <c r="E25" s="1425">
        <f>SUMIF(ОСВ_авт!$N:$N,Баланс!D25,ОСВ_авт!$F:$F)-SUM('10_расш'!Q10:T10)-'10_расш'!N10-Свод_по_счетам!Q11-SUMIF('10'!_xlnm.Print_Titles,"*1600*",'10'!$W:$W)</f>
        <v>0</v>
      </c>
      <c r="F25" s="1426">
        <f>SUMIF(ОСВ_авт!$N:$N,Баланс!D25,ОСВ_авт!$E:$E)-SUM('10_расш'!H10:K10)-'10_расш'!G10-Свод_по_счетам!I11-SUMIF('10'!_xlnm.Print_Titles,"*1600*",'10'!$D:$D)</f>
        <v>0</v>
      </c>
      <c r="G25" s="8"/>
      <c r="H25" s="2297"/>
      <c r="I25" s="444"/>
      <c r="K25" s="1914" t="b">
        <f t="shared" ref="K25:K77" si="10">IF(ABS(E25-H25)&lt;=1,TRUE,FALSE)</f>
        <v>1</v>
      </c>
      <c r="L25" s="444" t="b">
        <f t="shared" ref="L25:L39" si="11">IF(ABS(F25-I25)&lt;=1,TRUE,"Комментарий")</f>
        <v>1</v>
      </c>
      <c r="M25" s="444"/>
      <c r="N25" s="3493" t="b">
        <f t="shared" ref="N25:N41" si="12">IF(K25="Комментарий",IF(M25&gt;"",TRUE,FALSE),TRUE)</f>
        <v>1</v>
      </c>
      <c r="O25" s="2308" t="b">
        <f t="shared" si="2"/>
        <v>1</v>
      </c>
      <c r="R25" s="2830"/>
      <c r="S25" s="3487"/>
      <c r="U25" s="1163">
        <f>U39+U41+U43+U45</f>
        <v>0</v>
      </c>
      <c r="V25" s="2830">
        <f>V39+V41+V43+V45</f>
        <v>0</v>
      </c>
    </row>
    <row r="26" spans="1:24">
      <c r="A26" s="1861" t="s">
        <v>1589</v>
      </c>
      <c r="C26" s="1272" t="s">
        <v>4969</v>
      </c>
      <c r="D26" s="1269">
        <v>1212</v>
      </c>
      <c r="E26" s="1425">
        <f>ОСВ_авт!F70+ОСВ_авт!F49+ОСВ_авт!F50+ОСВ_авт!F79+ОСВ_авт!F69+ОСВ_авт!F71+ОСВ_авт!F72-Свод_по_счетам!O19-Свод_по_счетам!O20-(Свод_по_счетам!Q15+Свод_по_счетам!Q16)</f>
        <v>0</v>
      </c>
      <c r="F26" s="1426">
        <f>ОСВ_авт!E70+ОСВ_авт!E49+ОСВ_авт!E50+ОСВ_авт!E79+ОСВ_авт!E69+ОСВ_авт!E71+ОСВ_авт!E72-Свод_по_счетам!G19-Свод_по_счетам!G20-(Свод_по_счетам!I15+Свод_по_счетам!I16)</f>
        <v>0</v>
      </c>
      <c r="G26" s="8"/>
      <c r="H26" s="2297"/>
      <c r="I26" s="444"/>
      <c r="K26" s="1914" t="b">
        <f t="shared" si="10"/>
        <v>1</v>
      </c>
      <c r="L26" s="444" t="b">
        <f t="shared" si="11"/>
        <v>1</v>
      </c>
      <c r="M26" s="444"/>
      <c r="N26" s="3493" t="b">
        <f t="shared" si="12"/>
        <v>1</v>
      </c>
      <c r="O26" s="2308" t="b">
        <f t="shared" si="2"/>
        <v>1</v>
      </c>
      <c r="U26" s="1163">
        <v>1153</v>
      </c>
      <c r="V26" s="2830">
        <v>1527</v>
      </c>
    </row>
    <row r="27" spans="1:24">
      <c r="A27" s="1861" t="s">
        <v>1590</v>
      </c>
      <c r="C27" s="1272" t="s">
        <v>4970</v>
      </c>
      <c r="D27" s="1269">
        <v>1213</v>
      </c>
      <c r="E27" s="1425">
        <f>ОСВ_авт!F46+ОСВ_авт!F47+ОСВ_авт!F56+ОСВ_авт!F62+ОСВ_авт!F74+ОСВ_авт!F77+ОСВ_авт!F78+ОСВ_авт!F73-Свод_по_счетам!O23-Свод_по_счетам!O24-Свод_по_счетам!Q12-Свод_по_счетам!Q13</f>
        <v>0</v>
      </c>
      <c r="F27" s="1426">
        <f>ОСВ_авт!E46+ОСВ_авт!E47+ОСВ_авт!E56+ОСВ_авт!E62+ОСВ_авт!E74+ОСВ_авт!E77+ОСВ_авт!E78+ОСВ_авт!E73-Свод_по_счетам!G23-Свод_по_счетам!G24-Свод_по_счетам!I12-Свод_по_счетам!I13</f>
        <v>0</v>
      </c>
      <c r="G27" s="8"/>
      <c r="H27" s="2297"/>
      <c r="I27" s="444"/>
      <c r="K27" s="1914" t="b">
        <f t="shared" si="10"/>
        <v>1</v>
      </c>
      <c r="L27" s="444" t="b">
        <f t="shared" si="11"/>
        <v>1</v>
      </c>
      <c r="M27" s="444"/>
      <c r="N27" s="3493" t="b">
        <f t="shared" si="12"/>
        <v>1</v>
      </c>
      <c r="O27" s="2308" t="b">
        <f t="shared" si="2"/>
        <v>1</v>
      </c>
      <c r="U27" s="1163">
        <f>U38+U40+U46</f>
        <v>0</v>
      </c>
      <c r="V27" s="2830">
        <f>V38+V40+V46</f>
        <v>0</v>
      </c>
    </row>
    <row r="28" spans="1:24" ht="29.25" customHeight="1">
      <c r="A28" s="1861" t="s">
        <v>408</v>
      </c>
      <c r="C28" s="1272" t="s">
        <v>4971</v>
      </c>
      <c r="D28" s="1269">
        <v>1214</v>
      </c>
      <c r="E28" s="1425">
        <f>ОСВ_авт!F48+ОСВ_авт!F81+ОСВ_авт!F82+ОСВ_авт!F83+ОСВ_авт!F84-Свод_по_счетам!O26-Свод_по_счетам!Q14</f>
        <v>0</v>
      </c>
      <c r="F28" s="1426">
        <f>ОСВ_авт!E48+ОСВ_авт!E81+ОСВ_авт!E82+ОСВ_авт!E83+ОСВ_авт!E84-Свод_по_счетам!G26-Свод_по_счетам!I14</f>
        <v>0</v>
      </c>
      <c r="G28" s="8"/>
      <c r="H28" s="2297"/>
      <c r="I28" s="444"/>
      <c r="K28" s="1914" t="b">
        <f t="shared" si="10"/>
        <v>1</v>
      </c>
      <c r="L28" s="444" t="b">
        <f t="shared" si="11"/>
        <v>1</v>
      </c>
      <c r="M28" s="444"/>
      <c r="N28" s="3493" t="b">
        <f t="shared" si="12"/>
        <v>1</v>
      </c>
      <c r="O28" s="2308" t="b">
        <f t="shared" si="2"/>
        <v>1</v>
      </c>
      <c r="R28" s="2130"/>
      <c r="S28" s="2130"/>
    </row>
    <row r="29" spans="1:24">
      <c r="A29" s="1861" t="s">
        <v>1591</v>
      </c>
      <c r="C29" s="1272" t="s">
        <v>4973</v>
      </c>
      <c r="D29" s="1269">
        <v>1219</v>
      </c>
      <c r="E29" s="1425">
        <f>ОСВ_авт!F43</f>
        <v>0</v>
      </c>
      <c r="F29" s="1426">
        <f>ОСВ_авт!E43</f>
        <v>0</v>
      </c>
      <c r="G29" s="8"/>
      <c r="H29" s="2297"/>
      <c r="I29" s="444"/>
      <c r="K29" s="1914" t="b">
        <f t="shared" si="10"/>
        <v>1</v>
      </c>
      <c r="L29" s="444" t="b">
        <f t="shared" si="11"/>
        <v>1</v>
      </c>
      <c r="M29" s="444"/>
      <c r="N29" s="3493" t="b">
        <f t="shared" si="12"/>
        <v>1</v>
      </c>
      <c r="O29" s="2308" t="b">
        <f t="shared" si="2"/>
        <v>1</v>
      </c>
      <c r="R29" s="1163" t="s">
        <v>925</v>
      </c>
      <c r="S29"/>
    </row>
    <row r="30" spans="1:24" ht="36" customHeight="1">
      <c r="A30" s="1861" t="s">
        <v>5277</v>
      </c>
      <c r="C30" s="1268" t="s">
        <v>4974</v>
      </c>
      <c r="D30" s="1269">
        <v>1220</v>
      </c>
      <c r="E30" s="1425">
        <f>ОСВ_авт!F67</f>
        <v>0</v>
      </c>
      <c r="F30" s="1426">
        <f>ОСВ_авт!E67</f>
        <v>0</v>
      </c>
      <c r="G30" s="8"/>
      <c r="H30" s="2297"/>
      <c r="I30" s="444"/>
      <c r="K30" s="1914" t="b">
        <f t="shared" si="10"/>
        <v>1</v>
      </c>
      <c r="L30" s="444" t="b">
        <f t="shared" si="11"/>
        <v>1</v>
      </c>
      <c r="M30" s="444"/>
      <c r="N30" s="3493" t="b">
        <f t="shared" si="12"/>
        <v>1</v>
      </c>
      <c r="O30" s="2308" t="b">
        <f t="shared" si="2"/>
        <v>1</v>
      </c>
      <c r="R30" s="1735" t="s">
        <v>4164</v>
      </c>
      <c r="S30" s="1736" t="s">
        <v>4165</v>
      </c>
      <c r="U30" s="2830">
        <f>DSUM('76'!$C$7:$R$65558,"К8",$W$30:$X$31)</f>
        <v>0</v>
      </c>
      <c r="V30" s="2830">
        <f>DSUM('76'!$C$7:$V$65558,"К20",$W$30:$X$31)</f>
        <v>0</v>
      </c>
      <c r="W30" s="1735" t="s">
        <v>4164</v>
      </c>
      <c r="X30" s="1736" t="s">
        <v>4165</v>
      </c>
    </row>
    <row r="31" spans="1:24" ht="36" customHeight="1">
      <c r="A31" s="1861"/>
      <c r="C31" s="1268" t="s">
        <v>4975</v>
      </c>
      <c r="D31" s="1269">
        <v>1230</v>
      </c>
      <c r="E31" s="1425">
        <f>SUM(E32:E36)</f>
        <v>0</v>
      </c>
      <c r="F31" s="1426">
        <f>SUM(F32:F36)</f>
        <v>0</v>
      </c>
      <c r="G31" s="8"/>
      <c r="H31" s="2339">
        <f>SUM(H32:H36)</f>
        <v>0</v>
      </c>
      <c r="I31" s="2339">
        <f>SUM(I32:I36)</f>
        <v>0</v>
      </c>
      <c r="K31" s="1914" t="b">
        <f t="shared" si="10"/>
        <v>1</v>
      </c>
      <c r="L31" s="444" t="b">
        <f t="shared" si="11"/>
        <v>1</v>
      </c>
      <c r="M31" s="444"/>
      <c r="N31" s="3493" t="b">
        <f t="shared" si="12"/>
        <v>1</v>
      </c>
      <c r="O31" s="2308" t="b">
        <f t="shared" si="2"/>
        <v>1</v>
      </c>
      <c r="P31" s="792" t="s">
        <v>4959</v>
      </c>
      <c r="Q31" s="117" t="s">
        <v>4960</v>
      </c>
      <c r="R31" s="404" t="s">
        <v>4536</v>
      </c>
      <c r="S31" s="1954" t="s">
        <v>5443</v>
      </c>
      <c r="U31" s="2830">
        <f>DSUM('76'!$C$7:$R$65558,"К6",$W$30:$X$31)</f>
        <v>0</v>
      </c>
      <c r="V31" s="2830">
        <f>DSUM('76'!$C$7:$V$65558,"К18",$W$30:$X$31)</f>
        <v>0</v>
      </c>
      <c r="W31" s="403" t="s">
        <v>14615</v>
      </c>
      <c r="X31" s="1954" t="s">
        <v>5443</v>
      </c>
    </row>
    <row r="32" spans="1:24" ht="36" customHeight="1">
      <c r="A32" s="1861" t="s">
        <v>1592</v>
      </c>
      <c r="C32" s="1273" t="s">
        <v>4976</v>
      </c>
      <c r="D32" s="1269">
        <v>1231</v>
      </c>
      <c r="E32" s="1425">
        <f>ОСВ_авт!F123+Q32+Q38+SUMIF(ОСВ_авт!$N:$N,$D$32,ОСВ_авт!$F:$F)</f>
        <v>0</v>
      </c>
      <c r="F32" s="1426">
        <f>ОСВ_авт!E123+P32+P38+SUMIF(ОСВ_авт!$N:$N,$D$32,ОСВ_авт!$E:$E)</f>
        <v>0</v>
      </c>
      <c r="G32" s="8"/>
      <c r="H32" s="2297"/>
      <c r="I32" s="444"/>
      <c r="K32" s="1914" t="b">
        <f t="shared" si="10"/>
        <v>1</v>
      </c>
      <c r="L32" s="444" t="b">
        <f t="shared" si="11"/>
        <v>1</v>
      </c>
      <c r="M32" s="444"/>
      <c r="N32" s="3493" t="b">
        <f t="shared" si="12"/>
        <v>1</v>
      </c>
      <c r="O32" s="2308" t="b">
        <f t="shared" si="2"/>
        <v>1</v>
      </c>
      <c r="P32" s="1163">
        <f>DSUM('76'!$C$7:$W$65558,"К8",$R$30:$S$31)</f>
        <v>0</v>
      </c>
      <c r="Q32" s="1163">
        <f>DSUM('76'!$C$7:$V$65558,"К20",$R$30:$S$31)</f>
        <v>0</v>
      </c>
      <c r="R32" s="1163" t="s">
        <v>925</v>
      </c>
      <c r="S32"/>
      <c r="U32" s="2830">
        <f>DSUM('76'!$C$7:$R$65558,"К8",$W$32:$X$33)</f>
        <v>0</v>
      </c>
      <c r="V32" s="2830">
        <f>DSUM('76'!$C$7:$V$65558,"К20",$W$32:$X$33)</f>
        <v>0</v>
      </c>
      <c r="W32" s="1735" t="s">
        <v>4164</v>
      </c>
      <c r="X32" s="1736" t="s">
        <v>4165</v>
      </c>
    </row>
    <row r="33" spans="1:24" ht="36" customHeight="1">
      <c r="A33" s="1861" t="s">
        <v>1593</v>
      </c>
      <c r="C33" s="1273" t="s">
        <v>4977</v>
      </c>
      <c r="D33" s="1269">
        <v>1232</v>
      </c>
      <c r="E33" s="1425">
        <f>SUMIF(ОСВ_авт!$N:$N,Баланс!D33,ОСВ_авт!$F:$F)-SUMIF('60_02'!$C:$C,"{251011} Расчеты с поставщиками ОС",'60_02'!$N:$N)-SUMIF('60_02'!$C:$C,"{251013} Расчеты с подрядчиками по капитальному строительству",'60_02'!$N:$N)-SUMIF('60_02'!C:C,"{251012} Расчеты с поставщиками НМА",'60_02'!$N:$N)-SUMIF('60_02'!C:C,"{251014} Расчеты по НИОКР",'60_02'!$N:$N)-SUMIF('60_02'!C:C,"{251015} Расчеты с поставщиками по инвестиционной недвижимости",'60_02'!$N:$N)-SUMIF('60_02'!$C:$C,"{251016} Расчеты с поставщиками по приобретению (созданию) поисковых активов",'60_02'!$N:$N)-SUM('60_02'!$N$11:$N$13)+Q33+Q41-SUMIF('60_02'!$C:$C,"*{251018}*",'60_02'!$N:$N)</f>
        <v>0</v>
      </c>
      <c r="F33" s="1426">
        <f>SUMIF(ОСВ_авт!$N:$N,Баланс!D33,ОСВ_авт!$E:$E)-SUMIF('60_02'!$C:$C,"{251011} Расчеты с поставщиками ОС",'60_02'!$H:$H)-SUMIF('60_02'!$C:$C,"{251013} Расчеты с подрядчиками по капитальному строительству",'60_02'!$H:$H)-SUM('60_02'!$H$11:$H$13)-SUMIF('60_02'!C:C,"{251012} Расчеты с поставщиками НМА",'60_02'!$H:$H)-SUMIF('60_02'!C:C,"{251014} Расчеты по НИОКР",'60_02'!$H:$H)-SUMIF('60_02'!$C:$C,"{251016} Расчеты с поставщиками по приобретению (созданию) поисковых активов",'60_02'!$H:$H)-SUMIF('60_02'!C:C,"{251015} Расчеты с поставщиками по инвестиционной недвижимости",'60_02'!$H:$H)+P33+P41-SUMIF('60_02'!C:C,"*{251018}*",'60_02'!$H:$H)</f>
        <v>0</v>
      </c>
      <c r="G33" s="8"/>
      <c r="H33" s="2297"/>
      <c r="I33" s="444"/>
      <c r="J33" s="1572"/>
      <c r="K33" s="1914" t="b">
        <f t="shared" si="10"/>
        <v>1</v>
      </c>
      <c r="L33" s="444" t="b">
        <f t="shared" si="11"/>
        <v>1</v>
      </c>
      <c r="M33" s="444"/>
      <c r="N33" s="3493" t="b">
        <f t="shared" si="12"/>
        <v>1</v>
      </c>
      <c r="O33" s="2308" t="b">
        <f t="shared" si="2"/>
        <v>1</v>
      </c>
      <c r="P33" s="1163">
        <f>DSUM('76'!$C$7:$R$65558,"К8",$R$33:$S$34)</f>
        <v>0</v>
      </c>
      <c r="Q33" s="1163">
        <f>DSUM('76'!$C$7:$V$65558,"К20",$R$33:$S$34)</f>
        <v>0</v>
      </c>
      <c r="R33" s="1735" t="s">
        <v>4164</v>
      </c>
      <c r="S33" s="1736" t="s">
        <v>4165</v>
      </c>
      <c r="U33" s="2830">
        <f>DSUM('76'!$C$7:$R$65558,"К6",$W$32:$X$33)</f>
        <v>0</v>
      </c>
      <c r="V33" s="2830">
        <f>DSUM('76'!$C$7:$V$65558,"К18",$W$32:$X$33)</f>
        <v>0</v>
      </c>
      <c r="W33" s="403" t="s">
        <v>14612</v>
      </c>
      <c r="X33" s="1954" t="s">
        <v>5443</v>
      </c>
    </row>
    <row r="34" spans="1:24" ht="36" customHeight="1">
      <c r="A34" s="1861" t="s">
        <v>1594</v>
      </c>
      <c r="C34" s="1273" t="s">
        <v>4978</v>
      </c>
      <c r="D34" s="1269">
        <v>1233</v>
      </c>
      <c r="E34" s="3564">
        <f>'78'!N9+'69'!R10+Свод_по_счетам!M29+'73'!Q9-'73'!R9+Свод_по_счетам!M28+(ОСВ_авт!F200-SUMIF('76'!C:C,"*{252017}*",'76'!V:V)-SUMIF('76'!C:C,"*{252016}*",'76'!V:V)-SUMIF('76'!C:C,"*{252026}*",'76'!V:V)-SUMIF('76'!C:C,"*{252027}*",'76'!V:V)-SUMIF('76'!C:C,"*{252028}*",'76'!V:V)-SUMIF('76'!C:C,"*{252031}*",'76'!V:V)-SUMIF('76'!C:C,"*{252032}*",'76'!V:V)-SUMIF('76'!C:C,"*{252033}*",'76'!V:V)-SUMIF('76'!C:C,"*{252034}*",'76'!V:V)-SUMIF('76'!C:C,"*{252035}*",'76'!V:V)-SUMIF('76'!C:C,"*{252061}*",'76'!V:V)-SUMIF('76'!C:C,"*{252025}*",'76'!V:V)-SUMIF('76'!C:C,"*{252029}*",'76'!V:V))+'75_01'!Q9+'75_02'!S8-SUMIF('76'!C:C,"*{252071}*",'76'!V:V)-SUMIF('76'!C:C,"*{252077}*",'76'!V:V)-SUMIF('76'!C:C,"*{252072}*",'76'!V:V)-SUMIF('76'!C:C,"*{252073}*",'76'!V:V)-SUMIF('76'!C:C,"*{252013}*",'76'!V:V)+Q44-SUMIF('76'!C:C,"*{252014}*",'76'!V:V)-SUMIF('76'!C:C,"*{252048}*",'76'!V:V)+IF(SUMIF('76'!$C:$C,"*252048*",'76'!V:V)+SUMIF('76'!$C:$C,"*252048*",'76'!W:W)&gt;0,SUMIF('76'!$C:$C,"*252048*",'76'!V:V)+SUMIF('76'!$C:$C,"*252048*",'76'!W:W),0)+'68'!AA9+SUMIF(ОСВ_авт!$N:$N,$D$34,ОСВ_авт!$F:$F)+ОСВ_авт!F88-SUMIF('76'!$C:$C,"*252080*",'76'!V:V)-SUMIF('76'!$C:$C,"*252081*",'76'!V:V)-SUMIF('76'!$C:$C,"*252036*",'76'!V:V)-SUMIF('76'!$C:$C,"*252038*",'76'!V:V)-SUMIF('76'!$C:$C,"*252079*",'76'!V:V)</f>
        <v>0</v>
      </c>
      <c r="F34" s="3565">
        <f>'78'!D9+'69'!E10+Свод_по_счетам!E29+'73'!D9-'73'!E9+Свод_по_счетам!E28+(ОСВ_авт!E200-SUMIF('76'!C:C,"*{252017}*",'76'!J:J)-SUMIF('76'!C:C,"*{252016}*",'76'!J:J)-SUMIF('76'!C:C,"*{252026}*",'76'!J:J)-SUMIF('76'!C:C,"*{252027}*",'76'!J:J)-SUMIF('76'!C:C,"*{252028}*",'76'!J:J)-SUMIF('76'!C:C,"*{252031}*",'76'!J:J)-SUMIF('76'!C:C,"*{252032}*",'76'!J:J)-SUMIF('76'!C:C,"*{252033}*",'76'!J:J)-SUMIF('76'!C:C,"*{252034}*",'76'!J:J)-SUMIF('76'!C:C,"*{252035}*",'76'!J:J)-SUMIF('76'!C:C,"*{252061}*",'76'!J:J)-SUMIF('76'!C:C,"*{252025}*",'76'!J:J)-SUMIF('76'!C:C,"*{252029}*",'76'!J:J))+'75_01'!I9+'75_02'!J8-SUMIF('76'!C:C,"*{252071}*",'76'!J:J)-SUMIF('76'!C:C,"*{252072}*",'76'!J:J)-SUMIF('76'!C:C,"*{252077}*",'76'!J:J)-SUMIF('76'!C:C,"*{252073}*",'76'!J:J)-SUMIF('76'!C:C,"*{252013}*",'76'!J:J)+P44-SUMIF('76'!C:C,"*{252014}*",'76'!J:J)-SUMIF('76'!C:C,"*{252048}*",'76'!J:J)+IF(SUMIF('76'!$C:$C,"*252048*",'76'!J:J)+SUMIF('76'!$C:$C,"*252048*",'76'!K:K)&gt;0,SUMIF('76'!$C:$C,"*252048*",'76'!J:J)+SUMIF('76'!$C:$C,"*252048*",'76'!K:K),0)+'68'!L9+SUMIF(ОСВ_авт!$N:$N,$D$34,ОСВ_авт!$E:$E)+ОСВ_авт!E88-SUMIF('76'!$C:$C,"*252080*",'76'!J:J)-SUMIF('76'!$C:$C,"*252081*",'76'!J:J)-SUMIF('76'!$C:$C,"*252036*",'76'!J:J)-SUMIF('76'!$C:$C,"*252038*",'76'!J:J)-SUMIF('76'!$C:$C,"*252079*",'76'!J:J)</f>
        <v>0</v>
      </c>
      <c r="G34" s="8"/>
      <c r="H34" s="2297"/>
      <c r="I34" s="444"/>
      <c r="J34" s="1572"/>
      <c r="K34" s="1914" t="b">
        <f t="shared" si="10"/>
        <v>1</v>
      </c>
      <c r="L34" s="444" t="b">
        <f>IF(ABS(F34-I34)&lt;=1,TRUE,"Комментарий")</f>
        <v>1</v>
      </c>
      <c r="M34" s="444"/>
      <c r="N34" s="3493" t="b">
        <f t="shared" si="12"/>
        <v>1</v>
      </c>
      <c r="O34" s="2308" t="b">
        <f t="shared" si="2"/>
        <v>1</v>
      </c>
      <c r="R34" s="403" t="s">
        <v>4535</v>
      </c>
      <c r="S34" s="1954" t="s">
        <v>5444</v>
      </c>
      <c r="U34" s="2830">
        <f>DSUM('76'!$C$7:$R$65558,"К9",$W$34:$X$35)</f>
        <v>0</v>
      </c>
      <c r="V34" s="2830">
        <f>DSUM('76'!$C$7:$W$65558,"К21",$W$34:$X$35)</f>
        <v>0</v>
      </c>
      <c r="W34" s="1735" t="s">
        <v>4164</v>
      </c>
      <c r="X34" s="1736" t="s">
        <v>4165</v>
      </c>
    </row>
    <row r="35" spans="1:24" ht="36" customHeight="1">
      <c r="A35" s="1861" t="s">
        <v>409</v>
      </c>
      <c r="C35" s="1273" t="s">
        <v>4972</v>
      </c>
      <c r="D35" s="1269">
        <v>1234</v>
      </c>
      <c r="E35" s="1425">
        <f>'46'!AC9</f>
        <v>0</v>
      </c>
      <c r="F35" s="1426">
        <f>'46'!N9</f>
        <v>0</v>
      </c>
      <c r="G35" s="8"/>
      <c r="H35" s="2297"/>
      <c r="I35" s="444"/>
      <c r="J35" s="1572"/>
      <c r="K35" s="1914" t="b">
        <f t="shared" si="10"/>
        <v>1</v>
      </c>
      <c r="L35" s="444" t="b">
        <f t="shared" si="11"/>
        <v>1</v>
      </c>
      <c r="M35" s="444"/>
      <c r="N35" s="3493" t="b">
        <f t="shared" si="12"/>
        <v>1</v>
      </c>
      <c r="O35" s="2308" t="b">
        <f t="shared" si="2"/>
        <v>1</v>
      </c>
      <c r="S35" s="2264"/>
      <c r="U35" s="2830">
        <f>DSUM('76'!$C$7:$R$65558,"К7",$W$34:$X$35)</f>
        <v>0</v>
      </c>
      <c r="V35" s="2830">
        <f>DSUM('76'!$C$7:$W$65558,"К19",$W$34:$X$35)</f>
        <v>0</v>
      </c>
      <c r="W35" s="403" t="s">
        <v>14615</v>
      </c>
      <c r="X35" s="1954" t="s">
        <v>5445</v>
      </c>
    </row>
    <row r="36" spans="1:24" s="2830" customFormat="1" ht="36" customHeight="1">
      <c r="A36" s="3448" t="str">
        <f>"R1=GR" &amp;D36</f>
        <v>R1=GR1235</v>
      </c>
      <c r="C36" s="3452" t="s">
        <v>14502</v>
      </c>
      <c r="D36" s="3453">
        <v>1235</v>
      </c>
      <c r="E36" s="3455">
        <f>SUMIF(ОСВ_авт!$N:$N,Баланс!D36,ОСВ_авт!$F:$F)+IF(V23&gt;0,V23,0)</f>
        <v>0</v>
      </c>
      <c r="F36" s="3456">
        <f>SUMIF(ОСВ_авт!$N:$N,Баланс!D36,ОСВ_авт!$E:$E)+IF(U23&gt;0,U23,0)</f>
        <v>0</v>
      </c>
      <c r="G36" s="3003"/>
      <c r="H36" s="2297"/>
      <c r="I36" s="444"/>
      <c r="J36" s="1572"/>
      <c r="K36" s="1914" t="b">
        <f t="shared" ref="K36" si="13">IF(ABS(E36-H36)&lt;=1,TRUE,FALSE)</f>
        <v>1</v>
      </c>
      <c r="L36" s="444" t="b">
        <f t="shared" ref="L36" si="14">IF(ABS(F36-I36)&lt;=1,TRUE,"Комментарий")</f>
        <v>1</v>
      </c>
      <c r="M36" s="444"/>
      <c r="N36" s="3493" t="b">
        <f t="shared" si="12"/>
        <v>1</v>
      </c>
      <c r="O36" s="3444" t="b">
        <f t="shared" ref="O36" si="15">IF(L36="Комментарий",IF(M36&gt;"",TRUE,FALSE),TRUE)</f>
        <v>1</v>
      </c>
      <c r="R36" s="1163" t="s">
        <v>925</v>
      </c>
      <c r="S36" s="3444"/>
      <c r="U36" s="2830">
        <f>DSUM('76'!$C$7:$R$65558,"К8",$W$36:$X$37)</f>
        <v>0</v>
      </c>
      <c r="V36" s="2830">
        <f>DSUM('76'!$C$7:$V$65558,"К20",$W$36:$X$37)</f>
        <v>0</v>
      </c>
      <c r="W36" s="1735" t="s">
        <v>4164</v>
      </c>
      <c r="X36" s="1736" t="s">
        <v>4165</v>
      </c>
    </row>
    <row r="37" spans="1:24" ht="29">
      <c r="A37" s="1861" t="s">
        <v>1595</v>
      </c>
      <c r="C37" s="1268" t="s">
        <v>4979</v>
      </c>
      <c r="D37" s="1269">
        <v>1240</v>
      </c>
      <c r="E37" s="1425">
        <f>ОСВ_авт!F95+'58_02'!Y11+'59_02'!U10+ОСВ_авт!F99+ОСВ_авт!F102+ОСВ_авт!F106+ОСВ_авт!F110-SUMIF('58_04'!C:C,"{1} Со сроком до даты погашения (размещения) три и менее месяцев",'58_04'!V:V)-'58_01_1'!Z11</f>
        <v>0</v>
      </c>
      <c r="F37" s="1426">
        <f>ОСВ_авт!E95+'58_02'!O11+'59_02'!N10+ОСВ_авт!E99+ОСВ_авт!E102+ОСВ_авт!E106+ОСВ_авт!E110-SUMIF('58_04'!C:C,"{1} Со сроком до даты погашения (размещения) три и менее месяцев",'58_04'!N:N)-'58_01_1'!P11</f>
        <v>0</v>
      </c>
      <c r="G37" s="8"/>
      <c r="H37" s="2297"/>
      <c r="I37" s="444"/>
      <c r="K37" s="1914" t="b">
        <f t="shared" si="10"/>
        <v>1</v>
      </c>
      <c r="L37" s="444" t="b">
        <f t="shared" si="11"/>
        <v>1</v>
      </c>
      <c r="M37" s="444"/>
      <c r="N37" s="3493" t="b">
        <f t="shared" si="12"/>
        <v>1</v>
      </c>
      <c r="O37" s="2308" t="b">
        <f t="shared" si="2"/>
        <v>1</v>
      </c>
      <c r="R37" s="1735" t="s">
        <v>4164</v>
      </c>
      <c r="S37" s="1736" t="s">
        <v>4165</v>
      </c>
      <c r="U37" s="2830">
        <f>DSUM('76'!$C$7:$R$65558,"К6",$W$36:$X$37)</f>
        <v>0</v>
      </c>
      <c r="V37" s="2830">
        <f>DSUM('76'!$C$7:$V$65558,"К18",$W$36:$X$37)</f>
        <v>0</v>
      </c>
      <c r="W37" s="403" t="s">
        <v>14613</v>
      </c>
      <c r="X37" s="1954" t="s">
        <v>5444</v>
      </c>
    </row>
    <row r="38" spans="1:24" ht="36" customHeight="1">
      <c r="A38" s="1861" t="s">
        <v>1596</v>
      </c>
      <c r="C38" s="1268" t="s">
        <v>4980</v>
      </c>
      <c r="D38" s="1269">
        <v>1250</v>
      </c>
      <c r="E38" s="1425">
        <f>ОСВ_авт!F87+ОСВ_авт!F89+ОСВ_авт!F90+ОСВ_авт!F91+ОСВ_авт!F92+SUMIF('58_04'!C:C,"{1} Со сроком до даты погашения (размещения) три и менее месяцев",'58_04'!V:V)+'58_01_1'!Z11+'58_01_2'!Z11</f>
        <v>0</v>
      </c>
      <c r="F38" s="1426">
        <f>ОСВ_авт!E87+ОСВ_авт!E89+ОСВ_авт!E90+ОСВ_авт!E91+ОСВ_авт!E92+SUMIF('58_04'!C:C,"{1} Со сроком до даты погашения (размещения) три и менее месяцев",'58_04'!N:N)+'58_01_1'!P11+'58_01_2'!P11</f>
        <v>0</v>
      </c>
      <c r="G38" s="8"/>
      <c r="H38" s="2297"/>
      <c r="I38" s="444"/>
      <c r="K38" s="1914" t="b">
        <f t="shared" si="10"/>
        <v>1</v>
      </c>
      <c r="L38" s="444" t="b">
        <f t="shared" si="11"/>
        <v>1</v>
      </c>
      <c r="M38" s="444"/>
      <c r="N38" s="3493" t="b">
        <f t="shared" si="12"/>
        <v>1</v>
      </c>
      <c r="O38" s="2308" t="b">
        <f t="shared" si="2"/>
        <v>1</v>
      </c>
      <c r="P38" s="1163">
        <f>DSUM('76'!$C$7:$R$65558,"К8",$R$37:$S$38)</f>
        <v>0</v>
      </c>
      <c r="Q38" s="1163">
        <f>DSUM('76'!$C$7:$V$65558,"К20",$R$37:$S$38)</f>
        <v>0</v>
      </c>
      <c r="R38" s="404" t="s">
        <v>6110</v>
      </c>
      <c r="S38" s="1954" t="s">
        <v>5443</v>
      </c>
      <c r="U38" s="2830">
        <f>DSUM('76'!$C$7:$R$65558,"К9",$W$38:$X$39)</f>
        <v>0</v>
      </c>
      <c r="V38" s="2830">
        <f>DSUM('76'!$C$7:$W$65558,"К21",$W$38:$X$39)</f>
        <v>0</v>
      </c>
      <c r="W38" s="1735" t="s">
        <v>4164</v>
      </c>
      <c r="X38" s="1736" t="s">
        <v>4165</v>
      </c>
    </row>
    <row r="39" spans="1:24" ht="36" customHeight="1">
      <c r="A39" s="1861" t="s">
        <v>1597</v>
      </c>
      <c r="C39" s="1268" t="s">
        <v>4981</v>
      </c>
      <c r="D39" s="1269">
        <v>1260</v>
      </c>
      <c r="E39" s="1425">
        <f>((SUMIFS('96'!P50,'96'!P50,"&gt;0")+SUMIFS('96'!P53,'96'!P53,"&gt;0")+SUMIFS('96'!P56,'96'!P56,"&gt;0")+SUMIFS('96'!P59,'96'!P59,"&gt;0")+SUMIFS('96'!P62,'96'!P62,"&gt;0")))+SUMIF(ОСВ_авт!$N:$N,Баланс!D39,ОСВ_авт!$F:$F)+SUMIF('76'!C:C,"*{252026}*",'76'!V:V)+SUMIF('76'!C:C,"*{252027}*",'76'!V:V)+SUMIF('76'!C:C,"*{252061}*",'76'!V:V)+SUMIF('76'!C:C,"*{252028}*",'76'!V:V)</f>
        <v>0</v>
      </c>
      <c r="F39" s="1426">
        <f>((SUMIFS('96'!D50,'96'!D50,"&gt;0")+SUMIFS('96'!D53,'96'!D53,"&gt;0")+SUMIFS('96'!D56,'96'!D56,"&gt;0")+SUMIFS('96'!D59,'96'!D59,"&gt;0")+SUMIFS('96'!D62,'96'!D62,"&gt;0")))+SUMIF(ОСВ_авт!$N:$N,Баланс!D39,ОСВ_авт!$E:$E)+SUMIF('76'!C:C,"*{252026}*",'76'!J:J)+SUMIF('76'!C:C,"*{252027}*",'76'!J:J)+SUMIF('76'!C:C,"*{252061}*",'76'!J:J)+SUMIF('76'!C:C,"*{252028}*",'76'!J:J)</f>
        <v>0</v>
      </c>
      <c r="G39" s="8"/>
      <c r="H39" s="2297"/>
      <c r="I39" s="444"/>
      <c r="J39" s="1572"/>
      <c r="K39" s="1914" t="b">
        <f t="shared" si="10"/>
        <v>1</v>
      </c>
      <c r="L39" s="444" t="b">
        <f t="shared" si="11"/>
        <v>1</v>
      </c>
      <c r="M39" s="444"/>
      <c r="N39" s="3493" t="b">
        <f t="shared" si="12"/>
        <v>1</v>
      </c>
      <c r="O39" s="2308" t="b">
        <f t="shared" si="2"/>
        <v>1</v>
      </c>
      <c r="R39" s="1163" t="s">
        <v>925</v>
      </c>
      <c r="S39" s="2264"/>
      <c r="U39" s="2830">
        <f>DSUM('76'!$C$7:$R$65558,"К7",$W$38:$X$39)</f>
        <v>0</v>
      </c>
      <c r="V39" s="2830">
        <f>DSUM('76'!$C$7:$W$65558,"К19",$W$38:$X$39)</f>
        <v>0</v>
      </c>
      <c r="W39" s="403" t="s">
        <v>14614</v>
      </c>
      <c r="X39" s="1954" t="s">
        <v>5442</v>
      </c>
    </row>
    <row r="40" spans="1:24" ht="36" customHeight="1">
      <c r="A40" s="1861"/>
      <c r="C40" s="1271" t="s">
        <v>4982</v>
      </c>
      <c r="D40" s="1269">
        <v>1200</v>
      </c>
      <c r="E40" s="1425">
        <f>SUM(E39,E38,E37,E31,E30,E24)</f>
        <v>0</v>
      </c>
      <c r="F40" s="1426">
        <f>SUM(F39,F38,F37,F31,F30,F24)</f>
        <v>0</v>
      </c>
      <c r="G40" s="8"/>
      <c r="H40" s="2339">
        <f>SUM(H39,H38,H37,H31,H30,H24)</f>
        <v>0</v>
      </c>
      <c r="I40" s="2339">
        <f>SUM(I39,I38,I37,I31,I30,I24)</f>
        <v>0</v>
      </c>
      <c r="K40" s="1914" t="b">
        <f t="shared" si="10"/>
        <v>1</v>
      </c>
      <c r="L40" s="444" t="b">
        <f>IF(ABS(F40-I40)&lt;=1,TRUE,"Комментарий")</f>
        <v>1</v>
      </c>
      <c r="M40" s="444"/>
      <c r="N40" s="3493" t="b">
        <f t="shared" si="12"/>
        <v>1</v>
      </c>
      <c r="O40" s="2308" t="b">
        <f t="shared" si="2"/>
        <v>1</v>
      </c>
      <c r="R40" s="1735" t="s">
        <v>4164</v>
      </c>
      <c r="S40" s="1736" t="s">
        <v>4165</v>
      </c>
      <c r="U40" s="2830"/>
      <c r="V40" s="2830"/>
      <c r="W40" s="1735"/>
      <c r="X40" s="1736"/>
    </row>
    <row r="41" spans="1:24" ht="36" customHeight="1">
      <c r="A41" s="1861"/>
      <c r="C41" s="1274" t="s">
        <v>4983</v>
      </c>
      <c r="D41" s="1275">
        <v>1600</v>
      </c>
      <c r="E41" s="1425">
        <f>E40+E22</f>
        <v>0</v>
      </c>
      <c r="F41" s="1502">
        <f>F40+F22</f>
        <v>0</v>
      </c>
      <c r="G41" s="8"/>
      <c r="H41" s="2339">
        <f>H40+H22</f>
        <v>0</v>
      </c>
      <c r="I41" s="2339">
        <f>I40+I22</f>
        <v>0</v>
      </c>
      <c r="K41" s="1914" t="b">
        <f t="shared" si="10"/>
        <v>1</v>
      </c>
      <c r="L41" s="444" t="b">
        <f>IF(ABS(F41-I41)&lt;=1,TRUE,FALSE)</f>
        <v>1</v>
      </c>
      <c r="M41" s="444"/>
      <c r="N41" s="3493" t="b">
        <f t="shared" si="12"/>
        <v>1</v>
      </c>
      <c r="O41" s="2308" t="b">
        <f t="shared" si="2"/>
        <v>1</v>
      </c>
      <c r="P41" s="1163">
        <f>DSUM('76'!$C$7:$R$65558,"К8",$R$40:$S$41)</f>
        <v>0</v>
      </c>
      <c r="Q41" s="1163">
        <f>DSUM('76'!$C$7:$V$65558,"К20",$R$40:$S$41)</f>
        <v>0</v>
      </c>
      <c r="R41" s="2287" t="s">
        <v>6111</v>
      </c>
      <c r="S41" s="1954" t="s">
        <v>5444</v>
      </c>
      <c r="U41" s="2830"/>
      <c r="V41" s="2830"/>
      <c r="W41" s="403"/>
      <c r="X41" s="1954"/>
    </row>
    <row r="42" spans="1:24" ht="36" customHeight="1">
      <c r="A42" s="1861"/>
      <c r="C42" s="405" t="s">
        <v>4984</v>
      </c>
      <c r="D42" s="406" t="s">
        <v>5305</v>
      </c>
      <c r="E42" s="406" t="s">
        <v>4960</v>
      </c>
      <c r="F42" s="1241" t="s">
        <v>4959</v>
      </c>
      <c r="G42" s="400"/>
      <c r="H42" s="405" t="s">
        <v>4960</v>
      </c>
      <c r="I42" s="407" t="s">
        <v>4959</v>
      </c>
      <c r="K42" s="405" t="s">
        <v>4960</v>
      </c>
      <c r="L42" s="407" t="s">
        <v>4959</v>
      </c>
      <c r="M42" s="407"/>
      <c r="R42" s="2422" t="s">
        <v>925</v>
      </c>
      <c r="S42" s="2584"/>
      <c r="U42" s="2830"/>
      <c r="V42" s="2830"/>
      <c r="W42" s="1735" t="s">
        <v>4164</v>
      </c>
      <c r="X42" s="1736" t="s">
        <v>4165</v>
      </c>
    </row>
    <row r="43" spans="1:24" ht="36" customHeight="1">
      <c r="A43" s="1861"/>
      <c r="C43" s="1265" t="s">
        <v>4985</v>
      </c>
      <c r="D43" s="1266"/>
      <c r="E43" s="1427" t="s">
        <v>4184</v>
      </c>
      <c r="F43" s="1428" t="s">
        <v>4184</v>
      </c>
      <c r="G43" s="1204"/>
      <c r="H43" s="404" t="s">
        <v>4184</v>
      </c>
      <c r="I43" s="404" t="s">
        <v>4184</v>
      </c>
      <c r="K43" s="403" t="s">
        <v>4184</v>
      </c>
      <c r="L43" s="404" t="s">
        <v>4184</v>
      </c>
      <c r="M43" s="404"/>
      <c r="R43" s="1735" t="s">
        <v>4164</v>
      </c>
      <c r="S43" s="1736" t="s">
        <v>4165</v>
      </c>
      <c r="U43" s="2830"/>
      <c r="V43" s="2830"/>
      <c r="W43" s="3555"/>
      <c r="X43" s="3556"/>
    </row>
    <row r="44" spans="1:24" ht="36" customHeight="1">
      <c r="A44" s="1861" t="s">
        <v>5278</v>
      </c>
      <c r="C44" s="1268" t="s">
        <v>4586</v>
      </c>
      <c r="D44" s="1269">
        <v>1380</v>
      </c>
      <c r="E44" s="1425">
        <f>IF(Содержание!D3="0000000002",-ОСВ_авт!F219+ОСВ_авт!F222,0)</f>
        <v>0</v>
      </c>
      <c r="F44" s="2496">
        <f>IF(Содержание!D3="0000000002",-ОСВ_авт!E219+ОСВ_авт!E222,0)</f>
        <v>0</v>
      </c>
      <c r="G44" s="1204"/>
      <c r="H44" s="2297"/>
      <c r="I44" s="445"/>
      <c r="K44" s="1914" t="b">
        <f t="shared" si="10"/>
        <v>1</v>
      </c>
      <c r="L44" s="444" t="b">
        <f>IF(ABS(F44-I44)&lt;=1,TRUE,"Комментарий")</f>
        <v>1</v>
      </c>
      <c r="M44" s="445"/>
      <c r="N44" s="3493" t="b">
        <f>IF(K44="Комментарий",IF(M44&gt;"",TRUE,FALSE),TRUE)</f>
        <v>1</v>
      </c>
      <c r="O44" s="2308" t="b">
        <f t="shared" ref="O44:O77" si="16">IF(L44="Комментарий",IF(M44&gt;"",TRUE,FALSE),TRUE)</f>
        <v>1</v>
      </c>
      <c r="P44" s="2422">
        <f>DSUM('76'!$C$7:$R$65558,"К8",$R$43:$S$44)</f>
        <v>0</v>
      </c>
      <c r="Q44" s="2422">
        <f>DSUM('76'!$C$7:$V$65558,"К20",$R$43:$S$44)</f>
        <v>0</v>
      </c>
      <c r="R44" s="403" t="s">
        <v>4535</v>
      </c>
      <c r="S44" s="1954" t="s">
        <v>5443</v>
      </c>
      <c r="U44" s="2830"/>
      <c r="V44" s="2830"/>
      <c r="W44" s="1735" t="s">
        <v>4164</v>
      </c>
      <c r="X44" s="1736" t="s">
        <v>4165</v>
      </c>
    </row>
    <row r="45" spans="1:24" ht="29">
      <c r="A45" s="1861" t="s">
        <v>1598</v>
      </c>
      <c r="C45" s="1268" t="s">
        <v>4986</v>
      </c>
      <c r="D45" s="1269">
        <v>1310</v>
      </c>
      <c r="E45" s="1425">
        <f>-(ОСВ_авт!F207)</f>
        <v>0</v>
      </c>
      <c r="F45" s="2496">
        <f>-(ОСВ_авт!E207)</f>
        <v>0</v>
      </c>
      <c r="G45" s="1204"/>
      <c r="H45" s="2297"/>
      <c r="I45" s="445"/>
      <c r="K45" s="1914" t="b">
        <f t="shared" si="10"/>
        <v>1</v>
      </c>
      <c r="L45" s="444" t="b">
        <f t="shared" ref="L45:L54" si="17">IF(ABS(F45-I45)&lt;=1,TRUE,"Комментарий")</f>
        <v>1</v>
      </c>
      <c r="M45" s="445"/>
      <c r="N45" s="3493" t="b">
        <f t="shared" ref="N45:N54" si="18">IF(K45="Комментарий",IF(M45&gt;"",TRUE,FALSE),TRUE)</f>
        <v>1</v>
      </c>
      <c r="O45" s="2308" t="b">
        <f t="shared" si="16"/>
        <v>1</v>
      </c>
      <c r="R45" s="2422" t="s">
        <v>7503</v>
      </c>
      <c r="S45" s="2584"/>
      <c r="U45" s="2830"/>
      <c r="V45" s="2830"/>
      <c r="W45" s="3555"/>
      <c r="X45" s="3556"/>
    </row>
    <row r="46" spans="1:24">
      <c r="A46" s="1861" t="s">
        <v>1599</v>
      </c>
      <c r="C46" s="1268" t="s">
        <v>4987</v>
      </c>
      <c r="D46" s="1269">
        <v>1320</v>
      </c>
      <c r="E46" s="1425">
        <f>-(ОСВ_авт!F208)</f>
        <v>0</v>
      </c>
      <c r="F46" s="2496">
        <f>-(ОСВ_авт!E208)</f>
        <v>0</v>
      </c>
      <c r="G46" s="1204"/>
      <c r="H46" s="2297"/>
      <c r="I46" s="445"/>
      <c r="K46" s="1914" t="b">
        <f t="shared" si="10"/>
        <v>1</v>
      </c>
      <c r="L46" s="444" t="b">
        <f t="shared" si="17"/>
        <v>1</v>
      </c>
      <c r="M46" s="445"/>
      <c r="N46" s="3493" t="b">
        <f t="shared" si="18"/>
        <v>1</v>
      </c>
      <c r="O46" s="2308" t="b">
        <f t="shared" si="16"/>
        <v>1</v>
      </c>
      <c r="R46" s="1735" t="s">
        <v>4164</v>
      </c>
      <c r="S46" s="1736" t="s">
        <v>4165</v>
      </c>
      <c r="U46" s="2830"/>
      <c r="V46" s="2830"/>
      <c r="W46" s="1735" t="s">
        <v>4164</v>
      </c>
      <c r="X46" s="1736" t="s">
        <v>4165</v>
      </c>
    </row>
    <row r="47" spans="1:24" ht="66.75" customHeight="1">
      <c r="A47" s="1861" t="s">
        <v>8421</v>
      </c>
      <c r="C47" s="1268" t="s">
        <v>5854</v>
      </c>
      <c r="D47" s="1269">
        <v>1330</v>
      </c>
      <c r="E47" s="1425">
        <f>-('75_01'!R9+'75_01'!S9)</f>
        <v>0</v>
      </c>
      <c r="F47" s="2496">
        <f>-('75_01'!J9+'75_01'!K9)</f>
        <v>0</v>
      </c>
      <c r="G47" s="1204"/>
      <c r="H47" s="2297"/>
      <c r="I47" s="445"/>
      <c r="K47" s="1914" t="b">
        <f t="shared" si="10"/>
        <v>1</v>
      </c>
      <c r="L47" s="444" t="b">
        <f t="shared" si="17"/>
        <v>1</v>
      </c>
      <c r="M47" s="445"/>
      <c r="N47" s="3493" t="b">
        <f t="shared" si="18"/>
        <v>1</v>
      </c>
      <c r="O47" s="2308" t="b">
        <f t="shared" si="16"/>
        <v>1</v>
      </c>
      <c r="R47" s="403" t="s">
        <v>4535</v>
      </c>
      <c r="S47" s="1954" t="s">
        <v>5444</v>
      </c>
      <c r="U47" s="2830">
        <f>DSUM('76'!$C$7:$R$65558,"К7",$W$46:$X$47)</f>
        <v>0</v>
      </c>
      <c r="V47" s="2830">
        <f>DSUM('76'!$C$7:$V$65558,"К19",$W$46:$X$47)</f>
        <v>0</v>
      </c>
      <c r="W47" s="403"/>
      <c r="X47" s="1954"/>
    </row>
    <row r="48" spans="1:24">
      <c r="A48" s="1861" t="s">
        <v>651</v>
      </c>
      <c r="C48" s="1276" t="s">
        <v>4988</v>
      </c>
      <c r="D48" s="1277">
        <v>1340</v>
      </c>
      <c r="E48" s="1425">
        <f>-'83'!P11</f>
        <v>0</v>
      </c>
      <c r="F48" s="2496">
        <f>-'83'!D11</f>
        <v>0</v>
      </c>
      <c r="G48" s="1204"/>
      <c r="H48" s="2297"/>
      <c r="I48" s="445"/>
      <c r="K48" s="1914" t="b">
        <f t="shared" si="10"/>
        <v>1</v>
      </c>
      <c r="L48" s="444" t="b">
        <f t="shared" si="17"/>
        <v>1</v>
      </c>
      <c r="M48" s="445"/>
      <c r="N48" s="3493" t="b">
        <f t="shared" si="18"/>
        <v>1</v>
      </c>
      <c r="O48" s="2308" t="b">
        <f t="shared" si="16"/>
        <v>1</v>
      </c>
      <c r="R48" s="403" t="s">
        <v>4535</v>
      </c>
      <c r="S48" s="1954" t="s">
        <v>5443</v>
      </c>
      <c r="U48" s="2830">
        <f>DSUM('76'!$C$7:$R$65558,"К7",$W$48:$X$49)</f>
        <v>0</v>
      </c>
      <c r="V48" s="2830">
        <f>DSUM('76'!$C$7:$V$65558,"К19",$W$48:$X$97)</f>
        <v>0</v>
      </c>
      <c r="W48" s="1735" t="s">
        <v>4164</v>
      </c>
      <c r="X48" s="1736" t="s">
        <v>4165</v>
      </c>
    </row>
    <row r="49" spans="1:24" ht="36" customHeight="1">
      <c r="A49" s="1861" t="s">
        <v>652</v>
      </c>
      <c r="C49" s="1268" t="s">
        <v>4989</v>
      </c>
      <c r="D49" s="1269">
        <v>1350</v>
      </c>
      <c r="E49" s="1425">
        <f>-(ОСВ_авт!F212)-E48</f>
        <v>0</v>
      </c>
      <c r="F49" s="2496">
        <f>-(ОСВ_авт!E212)-F48</f>
        <v>0</v>
      </c>
      <c r="G49" s="1204"/>
      <c r="H49" s="2297"/>
      <c r="I49" s="445"/>
      <c r="K49" s="1914" t="b">
        <f t="shared" si="10"/>
        <v>1</v>
      </c>
      <c r="L49" s="444" t="b">
        <f t="shared" si="17"/>
        <v>1</v>
      </c>
      <c r="M49" s="445"/>
      <c r="N49" s="3493" t="b">
        <f t="shared" si="18"/>
        <v>1</v>
      </c>
      <c r="O49" s="2308" t="b">
        <f t="shared" si="16"/>
        <v>1</v>
      </c>
      <c r="U49" s="2830"/>
      <c r="V49" s="2830"/>
      <c r="W49" s="3555"/>
      <c r="X49" s="3556"/>
    </row>
    <row r="50" spans="1:24">
      <c r="A50" s="1861"/>
      <c r="C50" s="1268" t="s">
        <v>4569</v>
      </c>
      <c r="D50" s="1269">
        <v>1360</v>
      </c>
      <c r="E50" s="1425">
        <f>(SUM(E51:E52))</f>
        <v>0</v>
      </c>
      <c r="F50" s="2496">
        <f>(SUM(F51:F52))</f>
        <v>0</v>
      </c>
      <c r="G50" s="1204"/>
      <c r="H50" s="2339">
        <f>(SUM(H51:H52))</f>
        <v>0</v>
      </c>
      <c r="I50" s="2339">
        <f>(SUM(I51:I52))</f>
        <v>0</v>
      </c>
      <c r="K50" s="1914" t="b">
        <f t="shared" si="10"/>
        <v>1</v>
      </c>
      <c r="L50" s="444" t="b">
        <f t="shared" si="17"/>
        <v>1</v>
      </c>
      <c r="M50" s="445"/>
      <c r="N50" s="3493" t="b">
        <f t="shared" si="18"/>
        <v>1</v>
      </c>
      <c r="O50" s="2308" t="b">
        <f t="shared" si="16"/>
        <v>1</v>
      </c>
    </row>
    <row r="51" spans="1:24" ht="29">
      <c r="A51" s="1861" t="s">
        <v>653</v>
      </c>
      <c r="C51" s="1270" t="s">
        <v>4990</v>
      </c>
      <c r="D51" s="1269">
        <v>1361</v>
      </c>
      <c r="E51" s="1425">
        <f>-((SUMIFS('96'!P50,'96'!P50,"&lt;0")+SUMIFS('96'!P53,'96'!P53,"&lt;0")+SUMIFS('96'!P56,'96'!P56,"&lt;0")+SUMIFS('96'!P59,'96'!P59,"&lt;0")+SUMIFS('96'!P62,'96'!P62,"&lt;0")))+IF(Содержание!D3="0000000002",-ОСВ_авт!F222,0)-ОСВ_авт!F211</f>
        <v>0</v>
      </c>
      <c r="F51" s="2496">
        <f>-((SUMIFS('96'!D50,'96'!D50,"&lt;0")+SUMIFS('96'!D53,'96'!D53,"&lt;0")+SUMIFS('96'!D56,'96'!D56,"&lt;0")+SUMIFS('96'!D59,'96'!D59,"&lt;0")+SUMIFS('96'!D62,'96'!D62,"&lt;0")))+IF(Содержание!D3="0000000002",-ОСВ_авт!E222,0)-ОСВ_авт!E211</f>
        <v>0</v>
      </c>
      <c r="G51" s="1204"/>
      <c r="H51" s="2297"/>
      <c r="I51" s="445"/>
      <c r="K51" s="1914" t="b">
        <f t="shared" si="10"/>
        <v>1</v>
      </c>
      <c r="L51" s="444" t="b">
        <f t="shared" si="17"/>
        <v>1</v>
      </c>
      <c r="M51" s="445"/>
      <c r="N51" s="3493" t="b">
        <f t="shared" si="18"/>
        <v>1</v>
      </c>
      <c r="O51" s="2308" t="b">
        <f t="shared" si="16"/>
        <v>1</v>
      </c>
    </row>
    <row r="52" spans="1:24" ht="29">
      <c r="A52" s="1861" t="s">
        <v>654</v>
      </c>
      <c r="C52" s="1270" t="s">
        <v>4991</v>
      </c>
      <c r="D52" s="1269">
        <v>1362</v>
      </c>
      <c r="E52" s="1425">
        <f>-(ОСВ_авт!F210)</f>
        <v>0</v>
      </c>
      <c r="F52" s="2496">
        <f>-(ОСВ_авт!E210)</f>
        <v>0</v>
      </c>
      <c r="G52" s="1204"/>
      <c r="H52" s="2297"/>
      <c r="I52" s="445"/>
      <c r="K52" s="1914" t="b">
        <f t="shared" si="10"/>
        <v>1</v>
      </c>
      <c r="L52" s="444" t="b">
        <f t="shared" si="17"/>
        <v>1</v>
      </c>
      <c r="M52" s="445"/>
      <c r="N52" s="3493" t="b">
        <f t="shared" si="18"/>
        <v>1</v>
      </c>
      <c r="O52" s="2308" t="b">
        <f t="shared" si="16"/>
        <v>1</v>
      </c>
    </row>
    <row r="53" spans="1:24" ht="36" customHeight="1">
      <c r="A53" s="1861" t="s">
        <v>655</v>
      </c>
      <c r="C53" s="1268" t="s">
        <v>4992</v>
      </c>
      <c r="D53" s="1269">
        <v>1370</v>
      </c>
      <c r="E53" s="1425">
        <f>-ОСВ_авт!F216-ОСВ_авт!F266</f>
        <v>0</v>
      </c>
      <c r="F53" s="2496">
        <f>-ОСВ_авт!E216-ОСВ_авт!E266</f>
        <v>0</v>
      </c>
      <c r="G53" s="1204"/>
      <c r="H53" s="2297"/>
      <c r="I53" s="445"/>
      <c r="K53" s="1914" t="b">
        <f t="shared" si="10"/>
        <v>1</v>
      </c>
      <c r="L53" s="444" t="b">
        <f t="shared" si="17"/>
        <v>1</v>
      </c>
      <c r="M53" s="445"/>
      <c r="N53" s="3493" t="b">
        <f t="shared" si="18"/>
        <v>1</v>
      </c>
      <c r="O53" s="2308" t="b">
        <f t="shared" si="16"/>
        <v>1</v>
      </c>
    </row>
    <row r="54" spans="1:24" ht="36" customHeight="1">
      <c r="A54" s="1861"/>
      <c r="C54" s="1271" t="s">
        <v>4993</v>
      </c>
      <c r="D54" s="1269">
        <v>1300</v>
      </c>
      <c r="E54" s="1425">
        <f>(SUM(E53,E50,E47,E49,E48,E46,E45,E44,))</f>
        <v>0</v>
      </c>
      <c r="F54" s="2496">
        <f>(SUM(F53,F50,F47,F49,F48,F46,F45,F44,))</f>
        <v>0</v>
      </c>
      <c r="G54" s="1204"/>
      <c r="H54" s="2339">
        <f>(SUM(H53,H50,H47,H49,H48,H46,H45,H44,))</f>
        <v>0</v>
      </c>
      <c r="I54" s="2339">
        <f>(SUM(I53,I50,I47,I49,I48,I46,I45,I44,))</f>
        <v>0</v>
      </c>
      <c r="K54" s="1914" t="b">
        <f t="shared" si="10"/>
        <v>1</v>
      </c>
      <c r="L54" s="444" t="b">
        <f t="shared" si="17"/>
        <v>1</v>
      </c>
      <c r="M54" s="445"/>
      <c r="N54" s="3493" t="b">
        <f t="shared" si="18"/>
        <v>1</v>
      </c>
      <c r="O54" s="2308" t="b">
        <f t="shared" si="16"/>
        <v>1</v>
      </c>
    </row>
    <row r="55" spans="1:24" ht="36" customHeight="1">
      <c r="A55" s="1861"/>
      <c r="C55" s="1271" t="s">
        <v>4994</v>
      </c>
      <c r="D55" s="1278"/>
      <c r="E55" s="1429" t="s">
        <v>4184</v>
      </c>
      <c r="F55" s="1430" t="s">
        <v>4184</v>
      </c>
      <c r="G55" s="1204"/>
      <c r="H55" s="404" t="s">
        <v>4184</v>
      </c>
      <c r="I55" s="404" t="s">
        <v>4184</v>
      </c>
      <c r="K55" s="403" t="s">
        <v>4184</v>
      </c>
      <c r="L55" s="404" t="s">
        <v>4184</v>
      </c>
      <c r="M55" s="404"/>
    </row>
    <row r="56" spans="1:24" ht="36" customHeight="1">
      <c r="A56" s="1861" t="s">
        <v>656</v>
      </c>
      <c r="C56" s="1268" t="s">
        <v>4995</v>
      </c>
      <c r="D56" s="1269">
        <v>1410</v>
      </c>
      <c r="E56" s="1425">
        <f>-(ОСВ_авт!F146)</f>
        <v>0</v>
      </c>
      <c r="F56" s="2496">
        <f>-(ОСВ_авт!E146-ОСВ_авт!E148)</f>
        <v>0</v>
      </c>
      <c r="G56" s="1204"/>
      <c r="H56" s="2297"/>
      <c r="I56" s="445"/>
      <c r="K56" s="1914" t="b">
        <f t="shared" si="10"/>
        <v>1</v>
      </c>
      <c r="L56" s="444" t="b">
        <f>IF(ABS(F56-I56)&lt;=1,TRUE,"Комментарий")</f>
        <v>1</v>
      </c>
      <c r="M56" s="445"/>
      <c r="N56" s="3493" t="b">
        <f>IF(K56="Комментарий",IF(M56&gt;"",TRUE,FALSE),TRUE)</f>
        <v>1</v>
      </c>
      <c r="O56" s="2308" t="b">
        <f t="shared" si="16"/>
        <v>1</v>
      </c>
    </row>
    <row r="57" spans="1:24" ht="36" customHeight="1">
      <c r="A57" s="1861" t="s">
        <v>657</v>
      </c>
      <c r="C57" s="1268" t="s">
        <v>3694</v>
      </c>
      <c r="D57" s="1269">
        <v>1420</v>
      </c>
      <c r="E57" s="1425">
        <f>-IF(ABS(ОСВ_авт!F41)&gt;=ABS(ОСВ_авт!F205),0,ОСВ_авт!F41+ОСВ_авт!F205)</f>
        <v>0</v>
      </c>
      <c r="F57" s="2496">
        <f>-IF(ABS(ОСВ_авт!E41)&gt;=ABS(ОСВ_авт!E205),0,ОСВ_авт!E41+ОСВ_авт!E205)</f>
        <v>0</v>
      </c>
      <c r="G57" s="1204"/>
      <c r="H57" s="2297"/>
      <c r="I57" s="445"/>
      <c r="K57" s="1914" t="b">
        <f t="shared" si="10"/>
        <v>1</v>
      </c>
      <c r="L57" s="444" t="b">
        <f t="shared" ref="L57:L60" si="19">IF(ABS(F57-I57)&lt;=1,TRUE,"Комментарий")</f>
        <v>1</v>
      </c>
      <c r="M57" s="445"/>
      <c r="N57" s="3493" t="b">
        <f t="shared" ref="N57:N60" si="20">IF(K57="Комментарий",IF(M57&gt;"",TRUE,FALSE),TRUE)</f>
        <v>1</v>
      </c>
      <c r="O57" s="2308" t="b">
        <f t="shared" si="16"/>
        <v>1</v>
      </c>
    </row>
    <row r="58" spans="1:24">
      <c r="A58" s="1861" t="s">
        <v>658</v>
      </c>
      <c r="C58" s="1276" t="s">
        <v>4996</v>
      </c>
      <c r="D58" s="1277">
        <v>1430</v>
      </c>
      <c r="E58" s="1425">
        <f>-SUM('96'!R10,'96'!R36,'96'!R63)</f>
        <v>0</v>
      </c>
      <c r="F58" s="2496">
        <f>-SUM('96'!F10,'96'!F36,'96'!F63)</f>
        <v>0</v>
      </c>
      <c r="G58" s="1204"/>
      <c r="H58" s="2297"/>
      <c r="I58" s="445"/>
      <c r="K58" s="1914" t="b">
        <f t="shared" si="10"/>
        <v>1</v>
      </c>
      <c r="L58" s="444" t="b">
        <f t="shared" si="19"/>
        <v>1</v>
      </c>
      <c r="M58" s="445"/>
      <c r="N58" s="3493" t="b">
        <f t="shared" si="20"/>
        <v>1</v>
      </c>
      <c r="O58" s="2308" t="b">
        <f t="shared" si="16"/>
        <v>1</v>
      </c>
    </row>
    <row r="59" spans="1:24">
      <c r="A59" s="1861" t="s">
        <v>659</v>
      </c>
      <c r="C59" s="1268" t="s">
        <v>4997</v>
      </c>
      <c r="D59" s="1269">
        <v>1450</v>
      </c>
      <c r="E59" s="1425">
        <f>-(SUMIF(ОСВ_авт!$N:$N,Баланс!$D$59,ОСВ_авт!F:F))-'73'!U9-IF(Содержание!D3="0000000002",0,'86'!AE10)-SUMIF('76'!C:C,"*{252025}*",'76'!T:T)-SUMIF('76'!C:C,"*{252029}*",'76'!T:T)-SUMIF('76'!C:C,"*{252072}*",'76'!T:T)-SUMIF('76'!C:C,"*{252073}*",'76'!T:T)-SUMIF('76'!C:C,"*{252074}*",'76'!T:T)-SUMIF('76'!C:C,"*{252002}*",'76'!T:T)-SUMIF('76'!C:C,"*{252006}*",'76'!T:T)+SUMIF('76'!C:C,"*{252048}*",'76'!U:U)-IF(SUMIF('76'!$C:$C,"*252048*",'76'!T:T)+SUMIF('76'!$C:$C,"*252048*",'76'!U:U)&lt;0,SUMIF('76'!$C:$C,"*252048*",'76'!T:T)+SUMIF('76'!$C:$C,"*252048*",'76'!U:U),0)-(SUM(ОСВ_авт!F255,ОСВ_авт!F257,ОСВ_авт!F259,ОСВ_авт!F261,ОСВ_авт!F263,ОСВ_авт!F265))-'68'!AC9-IF(V21&lt;0,V21,0)-IF(V25&lt;0,V25,0)+SUMIF('76'!C:C,"*{252036}*",'76'!U:U)+SUMIF('76'!C:C,"*{252037}*",'76'!U:U)+SUMIF('76'!C:C,"*{252078}*",'76'!U:U)+SUMIF('76'!C:C,"*{252079}*",'76'!U:U)+SUMIF('76'!C:C,"*{252038}*",'76'!U:U)</f>
        <v>0</v>
      </c>
      <c r="F59" s="2496">
        <f>-(SUMIF(ОСВ_авт!$N:$N,Баланс!$D$59,ОСВ_авт!E:E))-'73'!H9-IF(Содержание!D3="0000000002",0,'86'!M10)-SUMIF('76'!C:C,"*{252025}*",'76'!H:H)-SUMIF('76'!C:C,"*{252029}*",'76'!H:H)-SUMIF('76'!C:C,"*{252072}*",'76'!H:H)-SUMIF('76'!C:C,"*{252073}*",'76'!H:H)-SUMIF('76'!C:C,"*{252074}*",'76'!H:H)-SUMIF('76'!C:C,"*{252002}*",'76'!H:H)-SUMIF('76'!C:C,"*{252006}*",'76'!H:H)+SUMIF('76'!C:C,"*{252048}*",'76'!I:I)-IF(SUMIF('76'!$C:$C,"*252048*",'76'!H:H)+SUMIF('76'!$C:$C,"*252048*",'76'!I:I)&lt;0,SUMIF('76'!$C:$C,"*252048*",'76'!H:H)+SUMIF('76'!$C:$C,"*252048*",'76'!I:I),0)-(SUM(ОСВ_авт!E255,ОСВ_авт!E257,ОСВ_авт!E259,ОСВ_авт!E261,ОСВ_авт!E263,ОСВ_авт!E265))-'68'!N9-IF(U21&lt;0,U21,0)-IF(U25&lt;0,U25,0)+SUMIF('76'!C:C,"*{252036}*",'76'!I:I)+SUMIF('76'!C:C,"*{252037}*",'76'!I:I)+SUMIF('76'!C:C,"*{252078}*",'76'!I:I)+SUMIF('76'!C:C,"*{252079}*",'76'!I:I)+SUMIF('76'!C:C,"*{252038}*",'76'!I:I)</f>
        <v>0</v>
      </c>
      <c r="G59" s="1204"/>
      <c r="H59" s="2297"/>
      <c r="I59" s="445"/>
      <c r="K59" s="1914" t="b">
        <f t="shared" si="10"/>
        <v>1</v>
      </c>
      <c r="L59" s="444" t="b">
        <f t="shared" si="19"/>
        <v>1</v>
      </c>
      <c r="M59" s="445"/>
      <c r="N59" s="3493" t="b">
        <f t="shared" si="20"/>
        <v>1</v>
      </c>
      <c r="O59" s="2308" t="b">
        <f t="shared" si="16"/>
        <v>1</v>
      </c>
    </row>
    <row r="60" spans="1:24">
      <c r="A60" s="1861"/>
      <c r="C60" s="1271" t="s">
        <v>4998</v>
      </c>
      <c r="D60" s="1269">
        <v>1400</v>
      </c>
      <c r="E60" s="1425">
        <f>(SUM(E59,E58,E57,E56))</f>
        <v>0</v>
      </c>
      <c r="F60" s="2496">
        <f>(SUM(F59,F58,F57,F56))</f>
        <v>0</v>
      </c>
      <c r="G60" s="1204"/>
      <c r="H60" s="2339">
        <f>(SUM(H59,H58,H57,H56))</f>
        <v>0</v>
      </c>
      <c r="I60" s="2339">
        <f>(SUM(I59,I58,I57,I56))</f>
        <v>0</v>
      </c>
      <c r="K60" s="1914" t="b">
        <f t="shared" si="10"/>
        <v>1</v>
      </c>
      <c r="L60" s="444" t="b">
        <f t="shared" si="19"/>
        <v>1</v>
      </c>
      <c r="M60" s="445"/>
      <c r="N60" s="3493" t="b">
        <f t="shared" si="20"/>
        <v>1</v>
      </c>
      <c r="O60" s="2308" t="b">
        <f t="shared" si="16"/>
        <v>1</v>
      </c>
    </row>
    <row r="61" spans="1:24">
      <c r="A61" s="1861"/>
      <c r="C61" s="1271" t="s">
        <v>4999</v>
      </c>
      <c r="D61" s="1269"/>
      <c r="E61" s="1429" t="s">
        <v>4184</v>
      </c>
      <c r="F61" s="1430" t="s">
        <v>4184</v>
      </c>
      <c r="G61" s="1204"/>
      <c r="H61" s="404" t="s">
        <v>4184</v>
      </c>
      <c r="I61" s="404" t="s">
        <v>4184</v>
      </c>
      <c r="K61" s="403" t="s">
        <v>4184</v>
      </c>
      <c r="L61" s="404" t="s">
        <v>4184</v>
      </c>
      <c r="M61" s="404"/>
    </row>
    <row r="62" spans="1:24">
      <c r="A62" s="1861" t="s">
        <v>660</v>
      </c>
      <c r="C62" s="1268" t="s">
        <v>4995</v>
      </c>
      <c r="D62" s="1269">
        <v>1510</v>
      </c>
      <c r="E62" s="1425">
        <f>-(ОСВ_авт!F142)</f>
        <v>0</v>
      </c>
      <c r="F62" s="2496">
        <f>-(ОСВ_авт!E142+ОСВ_авт!E148)</f>
        <v>0</v>
      </c>
      <c r="G62" s="1204"/>
      <c r="H62" s="2297"/>
      <c r="I62" s="445"/>
      <c r="K62" s="1914" t="b">
        <f t="shared" si="10"/>
        <v>1</v>
      </c>
      <c r="L62" s="445" t="b">
        <f>IF(ABS(F62-I62)&lt;=1,TRUE,"Комментарий")</f>
        <v>1</v>
      </c>
      <c r="M62" s="445"/>
      <c r="N62" s="3493" t="b">
        <f>IF(K62="Комментарий",IF(M62&gt;"",TRUE,FALSE),TRUE)</f>
        <v>1</v>
      </c>
      <c r="O62" s="2308" t="b">
        <f t="shared" si="16"/>
        <v>1</v>
      </c>
      <c r="R62" s="2422" t="s">
        <v>7688</v>
      </c>
      <c r="S62"/>
    </row>
    <row r="63" spans="1:24">
      <c r="A63" s="1861"/>
      <c r="C63" s="1268" t="s">
        <v>5000</v>
      </c>
      <c r="D63" s="1269">
        <v>1520</v>
      </c>
      <c r="E63" s="1425">
        <f>(SUM(E64:E70))</f>
        <v>0</v>
      </c>
      <c r="F63" s="1425">
        <f>(SUM(F64:F70))</f>
        <v>0</v>
      </c>
      <c r="G63" s="1204"/>
      <c r="H63" s="2339">
        <f>(SUM(H64:H70))</f>
        <v>0</v>
      </c>
      <c r="I63" s="2339">
        <f>(SUM(I64:I70))</f>
        <v>0</v>
      </c>
      <c r="K63" s="1914" t="b">
        <f t="shared" si="10"/>
        <v>1</v>
      </c>
      <c r="L63" s="445" t="b">
        <f t="shared" ref="L63:L76" si="21">IF(ABS(F63-I63)&lt;=1,TRUE,"Комментарий")</f>
        <v>1</v>
      </c>
      <c r="M63" s="445"/>
      <c r="N63" s="3493" t="b">
        <f t="shared" ref="N63:N77" si="22">IF(K63="Комментарий",IF(M63&gt;"",TRUE,FALSE),TRUE)</f>
        <v>1</v>
      </c>
      <c r="O63" s="2308" t="b">
        <f t="shared" si="16"/>
        <v>1</v>
      </c>
      <c r="P63" s="792" t="s">
        <v>4959</v>
      </c>
      <c r="Q63" s="117" t="s">
        <v>4960</v>
      </c>
      <c r="R63" s="1735" t="s">
        <v>4164</v>
      </c>
      <c r="S63" s="1736" t="s">
        <v>4165</v>
      </c>
    </row>
    <row r="64" spans="1:24">
      <c r="A64" s="1861" t="s">
        <v>661</v>
      </c>
      <c r="C64" s="1270" t="s">
        <v>5001</v>
      </c>
      <c r="D64" s="1269">
        <v>1521</v>
      </c>
      <c r="E64" s="1425">
        <f>-(ОСВ_авт!F114)+Q64+Q70+Q80</f>
        <v>0</v>
      </c>
      <c r="F64" s="2496">
        <f>-(ОСВ_авт!E114)+P64+P70+P80</f>
        <v>0</v>
      </c>
      <c r="G64" s="1204"/>
      <c r="H64" s="2297"/>
      <c r="I64" s="445"/>
      <c r="K64" s="1914" t="b">
        <f t="shared" si="10"/>
        <v>1</v>
      </c>
      <c r="L64" s="445" t="b">
        <f t="shared" si="21"/>
        <v>1</v>
      </c>
      <c r="M64" s="445"/>
      <c r="N64" s="3493" t="b">
        <f t="shared" si="22"/>
        <v>1</v>
      </c>
      <c r="O64" s="2308" t="b">
        <f t="shared" si="16"/>
        <v>1</v>
      </c>
      <c r="P64" s="1163">
        <f>-DSUM('76'!$C$7:$R$65558,"К9",$R$63:$S$64)</f>
        <v>0</v>
      </c>
      <c r="Q64" s="2422">
        <f>-DSUM('76'!$C$7:$W$65558,"К21",$R$63:$S$64)</f>
        <v>0</v>
      </c>
      <c r="R64" s="404" t="s">
        <v>4535</v>
      </c>
      <c r="S64" s="1954" t="s">
        <v>5442</v>
      </c>
    </row>
    <row r="65" spans="1:24">
      <c r="A65" s="1861" t="s">
        <v>662</v>
      </c>
      <c r="C65" s="1270" t="s">
        <v>5002</v>
      </c>
      <c r="D65" s="1269">
        <v>1522</v>
      </c>
      <c r="E65" s="1425">
        <f>-(ОСВ_авт!F126)+Q66+Q72</f>
        <v>0</v>
      </c>
      <c r="F65" s="2496">
        <f>-(ОСВ_авт!E126)+P66+P72</f>
        <v>0</v>
      </c>
      <c r="G65" s="1204"/>
      <c r="H65" s="2297"/>
      <c r="I65" s="445"/>
      <c r="K65" s="1914" t="b">
        <f t="shared" si="10"/>
        <v>1</v>
      </c>
      <c r="L65" s="445" t="b">
        <f t="shared" si="21"/>
        <v>1</v>
      </c>
      <c r="M65" s="445"/>
      <c r="N65" s="3493" t="b">
        <f t="shared" si="22"/>
        <v>1</v>
      </c>
      <c r="O65" s="2308" t="b">
        <f t="shared" si="16"/>
        <v>1</v>
      </c>
      <c r="P65" s="2422"/>
      <c r="Q65" s="2422"/>
      <c r="R65" s="1735" t="s">
        <v>4164</v>
      </c>
      <c r="S65" s="1736" t="s">
        <v>4165</v>
      </c>
    </row>
    <row r="66" spans="1:24">
      <c r="A66" s="1861" t="s">
        <v>663</v>
      </c>
      <c r="C66" s="1270" t="s">
        <v>5003</v>
      </c>
      <c r="D66" s="1269">
        <v>1523</v>
      </c>
      <c r="E66" s="1425">
        <f>-(Свод_по_счетам!N29+'73'!T9-'73'!U9+Свод_по_счетам!N28)</f>
        <v>0</v>
      </c>
      <c r="F66" s="2496">
        <f>-(Свод_по_счетам!F29+'73'!G9-'73'!H9+Свод_по_счетам!F28)</f>
        <v>0</v>
      </c>
      <c r="G66" s="1204"/>
      <c r="H66" s="2297"/>
      <c r="I66" s="445"/>
      <c r="K66" s="1914" t="b">
        <f t="shared" si="10"/>
        <v>1</v>
      </c>
      <c r="L66" s="445" t="b">
        <f t="shared" si="21"/>
        <v>1</v>
      </c>
      <c r="M66" s="445"/>
      <c r="N66" s="3493" t="b">
        <f t="shared" si="22"/>
        <v>1</v>
      </c>
      <c r="O66" s="2308" t="b">
        <f t="shared" si="16"/>
        <v>1</v>
      </c>
      <c r="P66" s="2643">
        <f>-DSUM('76'!$C$7:$R$65558,"К9",$R$65:$S$66)</f>
        <v>0</v>
      </c>
      <c r="Q66" s="2643">
        <f>-DSUM('76'!$C$7:$W$65558,"К21",$R$65:$S$66)</f>
        <v>0</v>
      </c>
      <c r="R66" s="404" t="s">
        <v>4536</v>
      </c>
      <c r="S66" s="2644" t="s">
        <v>5445</v>
      </c>
    </row>
    <row r="67" spans="1:24" ht="29">
      <c r="A67" s="1861" t="s">
        <v>401</v>
      </c>
      <c r="C67" s="1270" t="s">
        <v>5004</v>
      </c>
      <c r="D67" s="1269">
        <v>1524</v>
      </c>
      <c r="E67" s="1425">
        <f>-'69'!S10</f>
        <v>0</v>
      </c>
      <c r="F67" s="2496">
        <f>-'69'!F10</f>
        <v>0</v>
      </c>
      <c r="G67" s="1204"/>
      <c r="H67" s="2297"/>
      <c r="I67" s="445"/>
      <c r="K67" s="1914" t="b">
        <f t="shared" si="10"/>
        <v>1</v>
      </c>
      <c r="L67" s="445" t="b">
        <f t="shared" si="21"/>
        <v>1</v>
      </c>
      <c r="M67" s="445"/>
      <c r="N67" s="3493" t="b">
        <f t="shared" si="22"/>
        <v>1</v>
      </c>
      <c r="O67" s="2308" t="b">
        <f t="shared" si="16"/>
        <v>1</v>
      </c>
      <c r="Q67" s="2422"/>
      <c r="R67" s="1735" t="s">
        <v>4164</v>
      </c>
      <c r="S67" s="1736" t="s">
        <v>4165</v>
      </c>
    </row>
    <row r="68" spans="1:24">
      <c r="A68" s="1861" t="s">
        <v>664</v>
      </c>
      <c r="C68" s="1270" t="s">
        <v>5005</v>
      </c>
      <c r="D68" s="1269">
        <v>1525</v>
      </c>
      <c r="E68" s="1425">
        <f>-SUMIF('76'!C:C,"*{252028}*",'76'!W:W)-SUMIF('76'!C:C,"*{252031}*",'76'!W:W)-SUMIF('76'!C:C,"*{252032}*",'76'!W:W)-SUMIF('76'!C:C,"*{252033}*",'76'!W:W)-SUMIF('76'!C:C,"*{252034}*",'76'!W:W)-SUMIF('76'!C:C,"*{252035}*",'76'!W:W)-'68'!AD9</f>
        <v>0</v>
      </c>
      <c r="F68" s="2496">
        <f>-SUMIF('76'!C:C,"*{252028}*",'76'!K:K)-SUMIF('76'!C:C,"*{252031}*",'76'!K:K)-SUMIF('76'!C:C,"*{252032}*",'76'!K:K)-SUMIF('76'!C:C,"*{252033}*",'76'!K:K)-SUMIF('76'!C:C,"*{252034}*",'76'!K:K)-SUMIF('76'!C:C,"*{252035}*",'76'!K:K)-'68'!O9</f>
        <v>0</v>
      </c>
      <c r="G68" s="1204"/>
      <c r="H68" s="2297"/>
      <c r="I68" s="445"/>
      <c r="K68" s="1914" t="b">
        <f t="shared" si="10"/>
        <v>1</v>
      </c>
      <c r="L68" s="445" t="b">
        <f t="shared" si="21"/>
        <v>1</v>
      </c>
      <c r="M68" s="445"/>
      <c r="N68" s="3493" t="b">
        <f t="shared" si="22"/>
        <v>1</v>
      </c>
      <c r="O68" s="2308" t="b">
        <f t="shared" si="16"/>
        <v>1</v>
      </c>
      <c r="P68" s="2643">
        <f>-DSUM('76'!$C$7:$R$65558,"К9",$R$67:$S$68)</f>
        <v>0</v>
      </c>
      <c r="Q68" s="2643">
        <f>-DSUM('76'!$C$7:$W$65558,"К21",$R$67:$S$68)</f>
        <v>0</v>
      </c>
      <c r="R68" s="404" t="s">
        <v>6111</v>
      </c>
      <c r="S68" s="2644" t="s">
        <v>5445</v>
      </c>
    </row>
    <row r="69" spans="1:24">
      <c r="A69" s="1861" t="s">
        <v>410</v>
      </c>
      <c r="C69" s="1270" t="s">
        <v>5006</v>
      </c>
      <c r="D69" s="1269">
        <v>1526</v>
      </c>
      <c r="E69" s="1425">
        <f>-(ОСВ_авт!F201-SUMIF('76'!C:C,"*{252013}*",'76'!W:W)-SUMIF('76'!C:C,"*{252014}*",'76'!W:W)-SUMIF('76'!C:C,"*{252071}*",'76'!W:W)-SUMIF('76'!C:C,"*{252016}*",'76'!W:W)-SUMIF('76'!C:C,"*{252017}*",'76'!W:W)-SUMIF('76'!C:C,"*{252028}*",'76'!W:W)-SUMIF('76'!C:C,"*{252031}*",'76'!W:W)-SUMIF('76'!C:C,"*{252032}*",'76'!W:W)-SUMIF('76'!C:C,"*{252033}*",'76'!W:W)-SUMIF('76'!C:C,"*{252034}*",'76'!W:W)-SUMIF('76'!C:C,"*{252035}*",'76'!W:W)-SUMIF('76'!C:C,"*{252062}*",'76'!W:W))-'75_02'!T8-'78'!O9-SUMIF('76'!C:C,"*{252025}*",'76'!V:V)-SUMIF('76'!C:C,"*{252029}*",'76'!V:V)-SUMIF('76'!C:C,"*{252072}*",'76'!V:V)+SUMIF('76'!C:C,"*{252048}*",'76'!W:W)-IF(SUMIF('76'!$C:$C,"*252048*",'76'!V:V)+SUMIF('76'!$C:$C,"*252048*",'76'!W:W)&lt;0,SUMIF('76'!$C:$C,"*252048*",'76'!V:V)+SUMIF('76'!$C:$C,"*252048*",'76'!W:W),0)-IF(V23&lt;0,V23,0)+SUMIF('76'!$C:$C,"*252038*",'76'!W:W)+SUMIF('76'!$C:$C,"*252037*",'76'!W:W)+SUMIF('76'!$C:$C,"*252078*",'76'!W:W)+SUMIF('76'!$C:$C,"*252079*",'76'!W:W)+SUMIF('76'!$C:$C,"*252036*",'76'!W:W)</f>
        <v>0</v>
      </c>
      <c r="F69" s="2496">
        <f>-(ОСВ_авт!E201-SUMIF('76'!C:C,"*{252013}*",'76'!K:K)-SUMIF('76'!C:C,"*{252014}*",'76'!K:K)-SUMIF('76'!C:C,"*{252071}*",'76'!K:K)-SUMIF('76'!C:C,"*{252016}*",'76'!K:K)-SUMIF('76'!C:C,"*{252017}*",'76'!K:K)-SUMIF('76'!C:C,"*{252028}*",'76'!K:K)-SUMIF('76'!C:C,"*{252031}*",'76'!K:K)-SUMIF('76'!C:C,"*{252032}*",'76'!K:K)-SUMIF('76'!C:C,"*{252033}*",'76'!K:K)-SUMIF('76'!C:C,"*{252034}*",'76'!K:K)-SUMIF('76'!C:C,"*{252035}*",'76'!K:K)-SUMIF('76'!C:C,"*{252062}*",'76'!K:K))-'75_02'!K8-'78'!E9-SUMIF('76'!C:C,"*{252025}*",'76'!J:J)-SUMIF('76'!C:C,"*{252029}*",'76'!J:J)-SUMIF('76'!C:C,"*{252072}*",'76'!J:J)+SUMIF('76'!C:C,"*{252048}*",'76'!K:K)-IF(SUMIF('76'!$C:$C,"*252048*",'76'!J:J)+SUMIF('76'!$C:$C,"*252048*",'76'!K:K)&lt;0,SUMIF('76'!$C:$C,"*252048*",'76'!J:J)+SUMIF('76'!$C:$C,"*252048*",'76'!K:K),0)-IF(U23&lt;0,U23,0)+SUMIF('76'!$C:$C,"*252038*",'76'!K:K)+SUMIF('76'!$C:$C,"*252037*",'76'!K:K)+SUMIF('76'!$C:$C,"*252078*",'76'!K:K)+SUMIF('76'!$C:$C,"*252079*",'76'!K:K)+SUMIF('76'!$C:$C,"*252036*",'76'!K:K)</f>
        <v>0</v>
      </c>
      <c r="G69" s="1204"/>
      <c r="H69" s="2297"/>
      <c r="I69" s="445"/>
      <c r="K69" s="1914" t="b">
        <f t="shared" si="10"/>
        <v>1</v>
      </c>
      <c r="L69" s="445" t="b">
        <f t="shared" si="21"/>
        <v>1</v>
      </c>
      <c r="M69" s="445"/>
      <c r="N69" s="3493" t="b">
        <f t="shared" si="22"/>
        <v>1</v>
      </c>
      <c r="O69" s="2308" t="b">
        <f t="shared" si="16"/>
        <v>1</v>
      </c>
      <c r="P69" s="2422"/>
      <c r="Q69" s="2422"/>
      <c r="R69" s="1735" t="s">
        <v>4164</v>
      </c>
      <c r="S69" s="1736" t="s">
        <v>4165</v>
      </c>
    </row>
    <row r="70" spans="1:24">
      <c r="A70" s="1861" t="s">
        <v>666</v>
      </c>
      <c r="C70" s="3449" t="s">
        <v>14503</v>
      </c>
      <c r="D70" s="3450">
        <v>1527</v>
      </c>
      <c r="E70" s="3581">
        <f>-IF(V27&lt;0,V27,0)-SUMIF('76'!C:C,"*{252079}*",'76'!W:W)-SUMIF('76'!C:C,"*{252079}*",'76'!U:U)-R18-S22</f>
        <v>0</v>
      </c>
      <c r="F70" s="3580">
        <f>-IF(U27&lt;0,U27,0)-SUMIF('76'!C:C,"*{252079}*",'76'!K:K)-SUMIF('76'!C:C,"*{252079}*",'76'!I:I)-S18-R22</f>
        <v>0</v>
      </c>
      <c r="G70" s="3443"/>
      <c r="H70" s="2297"/>
      <c r="I70" s="445"/>
      <c r="K70" s="1914" t="b">
        <f t="shared" ref="K70" si="23">IF(ABS(E70-H70)&lt;=1,TRUE,FALSE)</f>
        <v>1</v>
      </c>
      <c r="L70" s="445" t="b">
        <f t="shared" ref="L70" si="24">IF(ABS(F70-I70)&lt;=1,TRUE,"Комментарий")</f>
        <v>1</v>
      </c>
      <c r="M70" s="445"/>
      <c r="N70" s="3493" t="b">
        <f t="shared" si="22"/>
        <v>1</v>
      </c>
      <c r="O70" s="3444" t="b">
        <f t="shared" ref="O70" si="25">IF(L70="Комментарий",IF(M70&gt;"",TRUE,FALSE),TRUE)</f>
        <v>1</v>
      </c>
      <c r="P70" s="2422">
        <f>-DSUM('76'!$C$7:$R$65558,"К9",$R$69:$S$70)</f>
        <v>0</v>
      </c>
      <c r="Q70" s="2422">
        <f>-DSUM('76'!$C$7:$W$65558,"К21",$R$69:$S$70)</f>
        <v>0</v>
      </c>
      <c r="R70" s="404" t="s">
        <v>6111</v>
      </c>
      <c r="S70" s="1954" t="s">
        <v>5442</v>
      </c>
    </row>
    <row r="71" spans="1:24">
      <c r="A71" s="1861" t="s">
        <v>667</v>
      </c>
      <c r="C71" s="1268" t="s">
        <v>4643</v>
      </c>
      <c r="D71" s="1269">
        <v>1530</v>
      </c>
      <c r="E71" s="1425">
        <f>-(SUM(ОСВ_авт!F254,ОСВ_авт!F256,ОСВ_авт!F258,ОСВ_авт!F260,ОСВ_авт!F262,ОСВ_авт!F264))</f>
        <v>0</v>
      </c>
      <c r="F71" s="2496">
        <f>-(SUM(ОСВ_авт!E254,ОСВ_авт!E256,ОСВ_авт!E258,ОСВ_авт!E260,ОСВ_авт!E262,ОСВ_авт!E264))</f>
        <v>0</v>
      </c>
      <c r="G71" s="1204"/>
      <c r="H71" s="2297"/>
      <c r="I71" s="445"/>
      <c r="K71" s="1914" t="b">
        <f t="shared" si="10"/>
        <v>1</v>
      </c>
      <c r="L71" s="445" t="b">
        <f t="shared" si="21"/>
        <v>1</v>
      </c>
      <c r="M71" s="445"/>
      <c r="N71" s="3493" t="b">
        <f t="shared" si="22"/>
        <v>1</v>
      </c>
      <c r="O71" s="2308" t="b">
        <f t="shared" si="16"/>
        <v>1</v>
      </c>
      <c r="Q71" s="2422"/>
      <c r="R71" s="1735" t="s">
        <v>4164</v>
      </c>
      <c r="S71" s="1736" t="s">
        <v>4165</v>
      </c>
    </row>
    <row r="72" spans="1:24" ht="36" customHeight="1">
      <c r="A72" s="1861" t="s">
        <v>402</v>
      </c>
      <c r="C72" s="1268" t="s">
        <v>4996</v>
      </c>
      <c r="D72" s="1269">
        <v>1540</v>
      </c>
      <c r="E72" s="1425">
        <f>-SUM('96'!S10,'96'!S36,'96'!S63,'96'!Q10)</f>
        <v>0</v>
      </c>
      <c r="F72" s="2496">
        <f>-SUM('96'!G10,'96'!G36,'96'!G63,'96'!E10)</f>
        <v>0</v>
      </c>
      <c r="G72" s="1204"/>
      <c r="H72" s="2297"/>
      <c r="I72" s="445"/>
      <c r="K72" s="1914" t="b">
        <f t="shared" si="10"/>
        <v>1</v>
      </c>
      <c r="L72" s="445" t="b">
        <f t="shared" si="21"/>
        <v>1</v>
      </c>
      <c r="M72" s="445"/>
      <c r="N72" s="3493" t="b">
        <f t="shared" si="22"/>
        <v>1</v>
      </c>
      <c r="O72" s="2308" t="b">
        <f t="shared" si="16"/>
        <v>1</v>
      </c>
      <c r="P72" s="2643">
        <f>-DSUM('76'!$C$7:$R$65558,"К9",$R$71:$S$72)</f>
        <v>0</v>
      </c>
      <c r="Q72" s="2643">
        <f>-DSUM('76'!$C$7:$W$65558,"К21",$R$71:$S$72)</f>
        <v>0</v>
      </c>
      <c r="R72" s="404" t="s">
        <v>6110</v>
      </c>
      <c r="S72" s="2644" t="s">
        <v>5445</v>
      </c>
    </row>
    <row r="73" spans="1:24" ht="36" customHeight="1">
      <c r="A73" s="1861" t="s">
        <v>5095</v>
      </c>
      <c r="C73" s="1268" t="s">
        <v>4586</v>
      </c>
      <c r="D73" s="1269">
        <v>1546</v>
      </c>
      <c r="E73" s="1425">
        <f>-(IF(Содержание!D3="0000000002",0,'86'!AD10))</f>
        <v>0</v>
      </c>
      <c r="F73" s="1503">
        <f>-(IF(Содержание!D3="0000000002",0,('86'!L10-'86'!M10)))</f>
        <v>0</v>
      </c>
      <c r="G73" s="1204"/>
      <c r="H73" s="2297"/>
      <c r="I73" s="445"/>
      <c r="K73" s="1914" t="b">
        <f t="shared" si="10"/>
        <v>1</v>
      </c>
      <c r="L73" s="445" t="b">
        <f t="shared" si="21"/>
        <v>1</v>
      </c>
      <c r="M73" s="445"/>
      <c r="N73" s="3493" t="b">
        <f t="shared" si="22"/>
        <v>1</v>
      </c>
      <c r="O73" s="2308" t="b">
        <f t="shared" si="16"/>
        <v>1</v>
      </c>
      <c r="Q73" s="2422"/>
      <c r="R73" s="1735" t="s">
        <v>4164</v>
      </c>
      <c r="S73" s="1736" t="s">
        <v>4165</v>
      </c>
    </row>
    <row r="74" spans="1:24" ht="36" customHeight="1">
      <c r="A74" s="1861" t="s">
        <v>665</v>
      </c>
      <c r="C74" s="1268" t="s">
        <v>912</v>
      </c>
      <c r="D74" s="1269">
        <v>1547</v>
      </c>
      <c r="E74" s="1425">
        <f>-'46'!$AA$9</f>
        <v>0</v>
      </c>
      <c r="F74" s="1503">
        <f>-'46'!$L$9</f>
        <v>0</v>
      </c>
      <c r="G74" s="1204"/>
      <c r="H74" s="2297"/>
      <c r="I74" s="445"/>
      <c r="K74" s="1914" t="b">
        <f t="shared" si="10"/>
        <v>1</v>
      </c>
      <c r="L74" s="445" t="b">
        <f t="shared" si="21"/>
        <v>1</v>
      </c>
      <c r="M74" s="445"/>
      <c r="N74" s="3493" t="b">
        <f t="shared" si="22"/>
        <v>1</v>
      </c>
      <c r="O74" s="2308" t="b">
        <f t="shared" si="16"/>
        <v>1</v>
      </c>
      <c r="P74" s="2643">
        <f>-DSUM('76'!$C$7:$R$65558,"К9",$R$73:$S$74)</f>
        <v>0</v>
      </c>
      <c r="Q74" s="2643">
        <f>-DSUM('76'!$C$7:$W$65558,"К21",$R$73:$S$74)</f>
        <v>0</v>
      </c>
      <c r="R74" s="404" t="s">
        <v>4535</v>
      </c>
      <c r="S74" s="2644" t="s">
        <v>5445</v>
      </c>
    </row>
    <row r="75" spans="1:24" ht="36" customHeight="1">
      <c r="A75" s="1861" t="s">
        <v>14895</v>
      </c>
      <c r="C75" s="1268" t="s">
        <v>4997</v>
      </c>
      <c r="D75" s="1269">
        <v>1550</v>
      </c>
      <c r="E75" s="1425">
        <f>-SUMIF('76'!C:C,"{252062} Производные финансовые инструменты, по которым ожидается уменьшение экономических выгод",'76'!W:W)</f>
        <v>0</v>
      </c>
      <c r="F75" s="1503">
        <f>-SUMIF('76'!C:C,"{252062} Производные финансовые инструменты, по которым ожидается уменьшение экономических выгод",'76'!K:K)</f>
        <v>0</v>
      </c>
      <c r="G75" s="1204"/>
      <c r="H75" s="2297"/>
      <c r="I75" s="445"/>
      <c r="K75" s="1914" t="b">
        <f t="shared" si="10"/>
        <v>1</v>
      </c>
      <c r="L75" s="445" t="b">
        <f t="shared" si="21"/>
        <v>1</v>
      </c>
      <c r="M75" s="445"/>
      <c r="N75" s="3493" t="b">
        <f t="shared" si="22"/>
        <v>1</v>
      </c>
      <c r="O75" s="2308" t="b">
        <f t="shared" si="16"/>
        <v>1</v>
      </c>
      <c r="Q75" s="2422"/>
      <c r="R75" s="1735" t="s">
        <v>4164</v>
      </c>
      <c r="S75" s="1736" t="s">
        <v>4165</v>
      </c>
    </row>
    <row r="76" spans="1:24" ht="36" customHeight="1">
      <c r="A76" s="1861"/>
      <c r="C76" s="1271" t="s">
        <v>5007</v>
      </c>
      <c r="D76" s="1269">
        <v>1500</v>
      </c>
      <c r="E76" s="1425">
        <f>SUM(E74,E73,E72,E71,E63,E62,E75)</f>
        <v>0</v>
      </c>
      <c r="F76" s="1503">
        <f>SUM(F74,F73,F72,F71,F63,F62,F75)</f>
        <v>0</v>
      </c>
      <c r="G76" s="1204"/>
      <c r="H76" s="2340">
        <f>SUM(H74,H73,H72,H71,H63,H62,H75)</f>
        <v>0</v>
      </c>
      <c r="I76" s="2339">
        <f>SUM(I74,I73,I72,I71,I63,I62,I75)</f>
        <v>0</v>
      </c>
      <c r="K76" s="1914" t="b">
        <f t="shared" si="10"/>
        <v>1</v>
      </c>
      <c r="L76" s="445" t="b">
        <f t="shared" si="21"/>
        <v>1</v>
      </c>
      <c r="M76" s="445"/>
      <c r="N76" s="3493" t="b">
        <f t="shared" si="22"/>
        <v>1</v>
      </c>
      <c r="O76" s="2308" t="b">
        <f t="shared" si="16"/>
        <v>1</v>
      </c>
      <c r="P76" s="2422">
        <f>-DSUM('76'!$C$7:$R$65558,"К9",$R$75:$S$76)</f>
        <v>0</v>
      </c>
      <c r="Q76" s="2422">
        <f>-DSUM('76'!$C$7:$W$65558,"К21",$R$75:$S$76)</f>
        <v>0</v>
      </c>
      <c r="R76" s="404" t="s">
        <v>4536</v>
      </c>
      <c r="S76" s="1954" t="s">
        <v>5442</v>
      </c>
    </row>
    <row r="77" spans="1:24" ht="36" customHeight="1" thickBot="1">
      <c r="A77" s="1861"/>
      <c r="C77" s="1279" t="s">
        <v>4983</v>
      </c>
      <c r="D77" s="1280">
        <v>1700</v>
      </c>
      <c r="E77" s="2497">
        <f>E76+E60+E54</f>
        <v>0</v>
      </c>
      <c r="F77" s="1504">
        <f>F76+F60+F54</f>
        <v>0</v>
      </c>
      <c r="G77" s="1204"/>
      <c r="H77" s="2342">
        <f>H76+H60+H54</f>
        <v>0</v>
      </c>
      <c r="I77" s="2341">
        <f>I76+I60+I54</f>
        <v>0</v>
      </c>
      <c r="K77" s="2295" t="b">
        <f t="shared" si="10"/>
        <v>1</v>
      </c>
      <c r="L77" s="445" t="b">
        <f>IF(ABS(F77-I77)&lt;=1,TRUE,FALSE)</f>
        <v>1</v>
      </c>
      <c r="M77" s="2296"/>
      <c r="N77" s="3493" t="b">
        <f t="shared" si="22"/>
        <v>1</v>
      </c>
      <c r="O77" s="2308" t="b">
        <f t="shared" si="16"/>
        <v>1</v>
      </c>
      <c r="R77" s="1735" t="s">
        <v>4164</v>
      </c>
      <c r="S77" s="1736" t="s">
        <v>4165</v>
      </c>
      <c r="U77" s="1569"/>
      <c r="V77" s="1569"/>
      <c r="W77" s="1569"/>
      <c r="X77" s="1569"/>
    </row>
    <row r="78" spans="1:24" s="1569" customFormat="1" ht="36" customHeight="1" thickBot="1">
      <c r="A78" s="1863"/>
      <c r="C78" s="8"/>
      <c r="D78" s="8"/>
      <c r="E78" s="8"/>
      <c r="F78" s="1236"/>
      <c r="G78" s="1204"/>
      <c r="H78" s="1236"/>
      <c r="I78" s="1236"/>
      <c r="J78" s="1562"/>
      <c r="K78" s="1236"/>
      <c r="L78" s="1236"/>
      <c r="M78" s="1236"/>
      <c r="N78" s="3493"/>
      <c r="O78"/>
      <c r="P78" s="2422">
        <f>-DSUM('76'!$C$7:$R$65558,"К9",$R$77:$S$78)</f>
        <v>0</v>
      </c>
      <c r="Q78" s="2422">
        <f>-DSUM('76'!$C$7:$W$65558,"К21",$R$77:$S$78)</f>
        <v>0</v>
      </c>
      <c r="R78" s="404" t="s">
        <v>6110</v>
      </c>
      <c r="S78" s="1954" t="s">
        <v>5442</v>
      </c>
      <c r="U78" s="1163"/>
      <c r="V78" s="1163"/>
      <c r="W78" s="1163"/>
      <c r="X78" s="1163"/>
    </row>
    <row r="79" spans="1:24" ht="15" thickBot="1">
      <c r="C79" s="408" t="s">
        <v>5008</v>
      </c>
      <c r="D79" s="1238"/>
      <c r="E79" s="2293" t="b">
        <f>IF(ABS(E41-E77)&lt;=10,TRUE,FALSE)</f>
        <v>1</v>
      </c>
      <c r="F79" s="1237" t="b">
        <f>IF(ABS(F41-F77)&lt;=10,TRUE,FALSE)</f>
        <v>1</v>
      </c>
      <c r="G79" s="327"/>
      <c r="H79" s="1239" t="b">
        <f>IF(ABS(H41-H77)&lt;=10,TRUE,FALSE)</f>
        <v>1</v>
      </c>
      <c r="I79" s="1240" t="b">
        <f>IF(ABS(I41-I77)&lt;=10,TRUE,FALSE)</f>
        <v>1</v>
      </c>
      <c r="K79" s="1239" t="b">
        <f>IF(ABS(K41-K77)&lt;=10,TRUE,FALSE)</f>
        <v>1</v>
      </c>
      <c r="L79" s="1240" t="b">
        <f>IF(ABS(L41-L77)&lt;=10,TRUE,FALSE)</f>
        <v>1</v>
      </c>
      <c r="M79" s="1240"/>
      <c r="N79" s="3493" t="b">
        <f>AND(N7:N78)</f>
        <v>1</v>
      </c>
      <c r="O79" t="b">
        <f>AND(O7:O78)</f>
        <v>1</v>
      </c>
      <c r="P79" s="2830"/>
      <c r="Q79" s="2830"/>
      <c r="R79" s="1735" t="s">
        <v>4164</v>
      </c>
      <c r="S79" s="1736" t="s">
        <v>4165</v>
      </c>
    </row>
    <row r="80" spans="1:24">
      <c r="P80" s="2830">
        <f>-DSUM('76'!$C$7:$R$65558,"К9",$R$79:$S$80)</f>
        <v>0</v>
      </c>
      <c r="Q80" s="2830">
        <f>-DSUM('76'!$C$7:$W$65558,"К21",$R$79:$S$80)</f>
        <v>0</v>
      </c>
      <c r="R80" s="404" t="s">
        <v>10210</v>
      </c>
      <c r="S80" s="1954" t="s">
        <v>5442</v>
      </c>
    </row>
    <row r="83" spans="6:6">
      <c r="F83" s="1573"/>
    </row>
    <row r="87" spans="6:6">
      <c r="F87" s="1573"/>
    </row>
  </sheetData>
  <sheetProtection algorithmName="SHA-512" hashValue="g7BXVQnILhAs3vKPYoleMMI5sMMGyenRwmiOSaDUMIcxwWc0CL50VKVHjcR1KN5Pf4dfSDLizS3ix+YrHBEfUg==" saltValue="jm7aiX+5bmFiPykf9ksTxQ==" spinCount="100000" sheet="1" objects="1" scenarios="1" formatColumns="0" formatRows="0" autoFilter="0"/>
  <autoFilter ref="C4:O77">
    <filterColumn colId="2" showButton="0"/>
    <filterColumn colId="5" showButton="0"/>
    <filterColumn colId="8" showButton="0"/>
  </autoFilter>
  <customSheetViews>
    <customSheetView guid="{3769259D-9653-4B34-A2F6-4FB6F9F4E533}" scale="85" showGridLines="0" hiddenRows="1" hiddenColumns="1" topLeftCell="B2">
      <pane xSplit="5" ySplit="7" topLeftCell="G59" activePane="bottomRight" state="frozen"/>
      <selection pane="bottomRight" activeCell="F67" sqref="F67"/>
      <pageMargins left="0.7" right="0.7" top="0.75" bottom="0.75" header="0.3" footer="0.3"/>
    </customSheetView>
    <customSheetView guid="{40D7A2BB-326C-4ED3-999C-17852F56D6F4}" scale="85" showGridLines="0" hiddenRows="1" hiddenColumns="1" topLeftCell="B2">
      <pane xSplit="5" ySplit="7" topLeftCell="G59" activePane="bottomRight" state="frozen"/>
      <selection pane="bottomRight" activeCell="F67" sqref="F67"/>
      <pageMargins left="0.7" right="0.7" top="0.75" bottom="0.75" header="0.3" footer="0.3"/>
    </customSheetView>
    <customSheetView guid="{5D121940-0CE8-4A0E-A493-67FAAA6E0FF8}" scale="70" showGridLines="0" hiddenRows="1" hiddenColumns="1" topLeftCell="B2">
      <pane xSplit="4" ySplit="6" topLeftCell="F11" activePane="bottomRight" state="frozen"/>
      <selection pane="bottomRight" activeCell="F14" sqref="F14"/>
      <pageMargins left="0.7" right="0.7" top="0.75" bottom="0.75" header="0.3" footer="0.3"/>
    </customSheetView>
    <customSheetView guid="{47AEACC4-6EA5-412C-AF39-A6C5357B313A}" scale="70" showGridLines="0" hiddenRows="1" hiddenColumns="1" topLeftCell="B2">
      <pane xSplit="4" ySplit="6" topLeftCell="F11" activePane="bottomRight" state="frozen"/>
      <selection pane="bottomRight" activeCell="Q15" sqref="Q15"/>
      <pageMargins left="0.7" right="0.7" top="0.75" bottom="0.75" header="0.3" footer="0.3"/>
    </customSheetView>
    <customSheetView guid="{4D957B38-5430-481E-B791-E0A66F913B50}" scale="70" topLeftCell="A43">
      <selection activeCell="I78" sqref="I78"/>
      <pageMargins left="0.7" right="0.7" top="0.75" bottom="0.75" header="0.3" footer="0.3"/>
    </customSheetView>
    <customSheetView guid="{C913A9E8-661B-40A4-A3C9-1BC5F2B2E9F0}" scale="70" showGridLines="0" hiddenRows="1" hiddenColumns="1" topLeftCell="B2">
      <pane xSplit="4" ySplit="6" topLeftCell="F11" activePane="bottomRight" state="frozen"/>
      <selection pane="bottomRight" activeCell="F14" sqref="F14"/>
      <pageMargins left="0.7" right="0.7" top="0.75" bottom="0.75" header="0.3" footer="0.3"/>
    </customSheetView>
  </customSheetViews>
  <mergeCells count="5">
    <mergeCell ref="C4:C5"/>
    <mergeCell ref="D4:D5"/>
    <mergeCell ref="E4:F4"/>
    <mergeCell ref="H4:I4"/>
    <mergeCell ref="K4:L4"/>
  </mergeCells>
  <phoneticPr fontId="0" type="noConversion"/>
  <dataValidations disablePrompts="1" count="2">
    <dataValidation operator="equal" allowBlank="1" showErrorMessage="1" errorTitle="Выбор элемента списка" error="Данного элемента нет в списке" sqref="S64 S66 S31 S34 S38 S70 S72 S44 S47:S48 S74 S68 S76 S78 S80 X33 X35 X37 X39 X41 X47 X31 X43 X45 X49"/>
    <dataValidation type="list" operator="equal" allowBlank="1" showErrorMessage="1" errorTitle="Выбор элемента списка" error="Данного элемента нет в списке" sqref="S41">
      <formula1>_2552</formula1>
    </dataValidation>
  </dataValidations>
  <hyperlinks>
    <hyperlink ref="F1" display="C1=F_O3;C2=YTD;C3=0104"/>
    <hyperlink ref="D2" location="Содержание!A1" display="Содержание"/>
  </hyperlinks>
  <pageMargins left="0.70866141732283472" right="0.70866141732283472" top="0.74803149606299213" bottom="0.35433070866141736" header="0.31496062992125984" footer="0.31496062992125984"/>
  <pageSetup paperSize="9" scale="39" fitToWidth="2" fitToHeight="2" orientation="landscape" horizontalDpi="4294967294" verticalDpi="4294967294" r:id="rId1"/>
  <rowBreaks count="1" manualBreakCount="1">
    <brk id="41" max="11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M36"/>
  <sheetViews>
    <sheetView topLeftCell="B2" zoomScale="57" zoomScaleNormal="57" workbookViewId="0">
      <selection activeCell="E32" sqref="E32"/>
    </sheetView>
  </sheetViews>
  <sheetFormatPr defaultColWidth="9.453125" defaultRowHeight="14.5" outlineLevelCol="1"/>
  <cols>
    <col min="1" max="1" width="32" style="1590" hidden="1" customWidth="1"/>
    <col min="2" max="2" width="2" style="1163" customWidth="1"/>
    <col min="3" max="3" width="39.453125" style="1569" customWidth="1"/>
    <col min="4" max="4" width="17.453125" style="1569" customWidth="1"/>
    <col min="5" max="5" width="22.54296875" style="1570" customWidth="1"/>
    <col min="6" max="6" width="14.453125" style="1163" customWidth="1"/>
    <col min="7" max="7" width="18.54296875" style="1163" customWidth="1"/>
    <col min="8" max="8" width="17.453125" style="1163" customWidth="1"/>
    <col min="9" max="11" width="14.453125" style="1163" customWidth="1"/>
    <col min="12" max="12" width="6.453125" style="1163" customWidth="1" outlineLevel="1"/>
    <col min="13" max="16384" width="9.453125" style="1163"/>
  </cols>
  <sheetData>
    <row r="1" spans="1:13" ht="29.25" hidden="1" customHeight="1">
      <c r="A1" s="1596" t="s">
        <v>905</v>
      </c>
      <c r="B1" s="1864"/>
      <c r="C1" s="1865"/>
      <c r="D1" s="1865"/>
      <c r="E1" s="2141" t="s">
        <v>8520</v>
      </c>
      <c r="F1" s="1864"/>
      <c r="G1" s="1865" t="s">
        <v>1580</v>
      </c>
      <c r="H1" s="1865"/>
      <c r="I1" s="1865"/>
      <c r="J1" s="1864"/>
      <c r="K1" s="1864"/>
      <c r="L1" s="1864"/>
      <c r="M1" s="1864"/>
    </row>
    <row r="2" spans="1:13" ht="26">
      <c r="A2" s="1866"/>
      <c r="C2" s="1230" t="s">
        <v>904</v>
      </c>
      <c r="D2" s="3044" t="s">
        <v>1436</v>
      </c>
      <c r="E2" s="1235"/>
      <c r="F2" s="8"/>
      <c r="G2" s="1897" t="s">
        <v>2067</v>
      </c>
      <c r="H2" s="1244">
        <f>Содержание!$D$2</f>
        <v>0</v>
      </c>
      <c r="I2"/>
      <c r="J2" s="8"/>
      <c r="K2" s="8"/>
    </row>
    <row r="3" spans="1:13">
      <c r="A3" s="1866"/>
      <c r="C3" s="394"/>
      <c r="D3" s="743"/>
      <c r="E3" s="585"/>
      <c r="F3" s="32"/>
      <c r="G3" s="1897" t="s">
        <v>2075</v>
      </c>
      <c r="H3" s="1244" t="str">
        <f>Содержание!$D$15</f>
        <v>2022 год</v>
      </c>
      <c r="I3" s="32"/>
      <c r="J3" s="32"/>
      <c r="K3" s="32"/>
    </row>
    <row r="4" spans="1:13" ht="49.5" customHeight="1">
      <c r="A4" s="1866"/>
      <c r="C4" s="3683" t="s">
        <v>5304</v>
      </c>
      <c r="D4" s="3687" t="s">
        <v>3400</v>
      </c>
      <c r="E4" s="3688"/>
      <c r="F4" s="32"/>
      <c r="G4" s="3685" t="s">
        <v>5303</v>
      </c>
      <c r="H4" s="3686"/>
      <c r="I4" s="3686"/>
      <c r="J4" s="3686"/>
      <c r="K4" s="3686"/>
    </row>
    <row r="5" spans="1:13" ht="52.5" thickBot="1">
      <c r="A5" s="1866"/>
      <c r="C5" s="3684"/>
      <c r="D5" s="410" t="s">
        <v>5305</v>
      </c>
      <c r="E5" s="410" t="s">
        <v>5306</v>
      </c>
      <c r="F5" s="32"/>
      <c r="G5" s="411" t="s">
        <v>5010</v>
      </c>
      <c r="H5" s="1205" t="s">
        <v>5308</v>
      </c>
      <c r="I5" s="1205" t="s">
        <v>5309</v>
      </c>
      <c r="J5" s="1205" t="s">
        <v>5011</v>
      </c>
      <c r="K5" s="1205" t="s">
        <v>5311</v>
      </c>
    </row>
    <row r="6" spans="1:13" s="1568" customFormat="1" ht="10.5">
      <c r="A6" s="1866"/>
      <c r="C6" s="1294" t="s">
        <v>4164</v>
      </c>
      <c r="D6" s="1295" t="s">
        <v>4165</v>
      </c>
      <c r="E6" s="1296" t="s">
        <v>4166</v>
      </c>
      <c r="F6" s="1297"/>
      <c r="G6" s="1298" t="s">
        <v>5500</v>
      </c>
      <c r="H6" s="1299" t="s">
        <v>4169</v>
      </c>
      <c r="I6" s="1299" t="s">
        <v>4168</v>
      </c>
      <c r="J6" s="1299" t="s">
        <v>4178</v>
      </c>
      <c r="K6" s="1300" t="s">
        <v>4179</v>
      </c>
    </row>
    <row r="7" spans="1:13" ht="26">
      <c r="A7" s="1866"/>
      <c r="C7" s="1231" t="s">
        <v>5012</v>
      </c>
      <c r="D7" s="1226"/>
      <c r="E7" s="2449" t="s">
        <v>3066</v>
      </c>
      <c r="F7" s="370"/>
      <c r="G7" s="126"/>
      <c r="H7" s="124"/>
      <c r="I7" s="402"/>
      <c r="J7" s="124"/>
      <c r="K7" s="125"/>
    </row>
    <row r="8" spans="1:13">
      <c r="A8" s="1866" t="str">
        <f>"R1=401010000;COM="&amp;K8</f>
        <v>R1=401010000;COM=</v>
      </c>
      <c r="C8" s="1232" t="s">
        <v>5013</v>
      </c>
      <c r="D8" s="1227">
        <v>2110</v>
      </c>
      <c r="E8" s="1505">
        <f>-'90'!I9-'90'!J9-Свод_по_счетам!K33-Свод_по_счетам!K34-'90'!L9</f>
        <v>0</v>
      </c>
      <c r="F8" s="1225"/>
      <c r="G8" s="137">
        <v>0</v>
      </c>
      <c r="H8" s="130" t="b">
        <f>IF(OR(ABS(E8-G8)&lt;=1,LEN(K8)&gt;5),TRUE)</f>
        <v>1</v>
      </c>
      <c r="I8" s="412">
        <f t="shared" ref="I8:I13" si="0">E8-G8</f>
        <v>0</v>
      </c>
      <c r="J8" s="19">
        <v>0</v>
      </c>
      <c r="K8" s="244"/>
    </row>
    <row r="9" spans="1:13">
      <c r="A9" s="1866" t="str">
        <f>"R1=R405010000;COM="&amp;K9</f>
        <v>R1=R405010000;COM=</v>
      </c>
      <c r="C9" s="1232" t="s">
        <v>4606</v>
      </c>
      <c r="D9" s="1227">
        <v>2120</v>
      </c>
      <c r="E9" s="1505">
        <f>-'90'!K9</f>
        <v>0</v>
      </c>
      <c r="F9" s="1225"/>
      <c r="G9" s="137">
        <v>0</v>
      </c>
      <c r="H9" s="130" t="b">
        <f t="shared" ref="H9:H13" si="1">IF(OR(ABS(E9-G9)&lt;=1,LEN(K9)&gt;5),TRUE)</f>
        <v>1</v>
      </c>
      <c r="I9" s="412">
        <f t="shared" si="0"/>
        <v>0</v>
      </c>
      <c r="J9" s="19">
        <v>0</v>
      </c>
      <c r="K9" s="244"/>
    </row>
    <row r="10" spans="1:13">
      <c r="A10" s="1866"/>
      <c r="C10" s="1233" t="s">
        <v>5014</v>
      </c>
      <c r="D10" s="1228">
        <v>2100</v>
      </c>
      <c r="E10" s="1506">
        <f>SUM(E8:E9)</f>
        <v>0</v>
      </c>
      <c r="F10" s="1225"/>
      <c r="G10" s="412">
        <f>SUM(G8:G9)</f>
        <v>0</v>
      </c>
      <c r="H10" s="130" t="b">
        <f t="shared" si="1"/>
        <v>1</v>
      </c>
      <c r="I10" s="412">
        <f t="shared" si="0"/>
        <v>0</v>
      </c>
      <c r="J10" s="412">
        <f>SUM(J8:J9)</f>
        <v>0</v>
      </c>
      <c r="K10" s="244"/>
    </row>
    <row r="11" spans="1:13">
      <c r="A11" s="1866" t="str">
        <f>"R1=R405020500;COM="&amp;K11</f>
        <v>R1=R405020500;COM=</v>
      </c>
      <c r="C11" s="1232" t="s">
        <v>4658</v>
      </c>
      <c r="D11" s="1227">
        <v>2210</v>
      </c>
      <c r="E11" s="1505">
        <f>-Свод_по_счетам!K35</f>
        <v>0</v>
      </c>
      <c r="F11" s="1225"/>
      <c r="G11" s="137">
        <v>0</v>
      </c>
      <c r="H11" s="130" t="b">
        <f t="shared" si="1"/>
        <v>1</v>
      </c>
      <c r="I11" s="412">
        <f t="shared" si="0"/>
        <v>0</v>
      </c>
      <c r="J11" s="19">
        <v>0</v>
      </c>
      <c r="K11" s="244"/>
    </row>
    <row r="12" spans="1:13">
      <c r="A12" s="1866" t="str">
        <f>"R1=R405030500;COM="&amp;K12</f>
        <v>R1=R405030500;COM=</v>
      </c>
      <c r="C12" s="1232" t="s">
        <v>4619</v>
      </c>
      <c r="D12" s="1227">
        <v>2220</v>
      </c>
      <c r="E12" s="1505">
        <f>-Свод_по_счетам!K36</f>
        <v>0</v>
      </c>
      <c r="F12" s="1225"/>
      <c r="G12" s="137">
        <v>0</v>
      </c>
      <c r="H12" s="130" t="b">
        <f t="shared" si="1"/>
        <v>1</v>
      </c>
      <c r="I12" s="412">
        <f t="shared" si="0"/>
        <v>0</v>
      </c>
      <c r="J12" s="19">
        <v>0</v>
      </c>
      <c r="K12" s="244"/>
    </row>
    <row r="13" spans="1:13">
      <c r="A13" s="1866"/>
      <c r="C13" s="1233" t="s">
        <v>5015</v>
      </c>
      <c r="D13" s="1228">
        <v>2200</v>
      </c>
      <c r="E13" s="1506">
        <f>SUM(E10:E12)</f>
        <v>0</v>
      </c>
      <c r="F13" s="1225"/>
      <c r="G13" s="412">
        <f>SUM(G10:G12)</f>
        <v>0</v>
      </c>
      <c r="H13" s="130" t="b">
        <f t="shared" si="1"/>
        <v>1</v>
      </c>
      <c r="I13" s="412">
        <f t="shared" si="0"/>
        <v>0</v>
      </c>
      <c r="J13" s="412">
        <f>SUM(J10:J12)</f>
        <v>0</v>
      </c>
      <c r="K13" s="244"/>
    </row>
    <row r="14" spans="1:13">
      <c r="A14" s="1866"/>
      <c r="C14" s="1232"/>
      <c r="D14" s="1227"/>
      <c r="E14" s="1505"/>
      <c r="F14" s="1225"/>
      <c r="G14" s="135"/>
      <c r="H14" s="124"/>
      <c r="I14" s="412"/>
      <c r="J14" s="48"/>
      <c r="K14" s="414"/>
    </row>
    <row r="15" spans="1:13">
      <c r="A15" s="1866"/>
      <c r="C15" s="1122" t="s">
        <v>5016</v>
      </c>
      <c r="D15" s="1227"/>
      <c r="E15" s="1505" t="s">
        <v>3066</v>
      </c>
      <c r="F15" s="1225"/>
      <c r="G15" s="135"/>
      <c r="H15" s="124"/>
      <c r="I15" s="412"/>
      <c r="J15" s="48"/>
      <c r="K15" s="414"/>
    </row>
    <row r="16" spans="1:13">
      <c r="A16" s="1866" t="str">
        <f>"R1=407110000;COM="&amp;K16</f>
        <v>R1=407110000;COM=</v>
      </c>
      <c r="C16" s="1232" t="s">
        <v>3714</v>
      </c>
      <c r="D16" s="1227">
        <v>2310</v>
      </c>
      <c r="E16" s="1505">
        <f>-(SUMIF('91_02'!C:C,"{2010000} Налог на доходы от долевого участия в деятельности организаций, признанные в текущем году",'91_02'!F:F)+'91_01'!H31+SUMIF('91_02_ВГО'!C:C,"{2010000} Налог на доходы от долевого участия в деятельности организаций, признанные в текущем году",'91_02_ВГО'!I:I))</f>
        <v>0</v>
      </c>
      <c r="F16" s="1225"/>
      <c r="G16" s="137">
        <v>0</v>
      </c>
      <c r="H16" s="130" t="b">
        <f t="shared" ref="H16:H27" si="2">IF(OR(ABS(E16-G16)&lt;=1,LEN(K16)&gt;5),TRUE)</f>
        <v>1</v>
      </c>
      <c r="I16" s="412">
        <f t="shared" ref="I16:I27" si="3">E16-G16</f>
        <v>0</v>
      </c>
      <c r="J16" s="19">
        <v>0</v>
      </c>
      <c r="K16" s="244"/>
    </row>
    <row r="17" spans="1:11">
      <c r="A17" s="1866" t="str">
        <f>"R1=407010000;COM="&amp;K17</f>
        <v>R1=407010000;COM=</v>
      </c>
      <c r="C17" s="1232" t="s">
        <v>5017</v>
      </c>
      <c r="D17" s="1227">
        <v>2320</v>
      </c>
      <c r="E17" s="1505">
        <f>-'91_01'!H30-SUMIF('91_02'!C:C,"{2181000}*",'91_02'!F:F)-SUMIF('91_02_ВГО'!C:C,"{2181000}*",'91_02_ВГО'!I:I)</f>
        <v>0</v>
      </c>
      <c r="F17" s="1225"/>
      <c r="G17" s="137">
        <v>0</v>
      </c>
      <c r="H17" s="130" t="b">
        <f t="shared" si="2"/>
        <v>1</v>
      </c>
      <c r="I17" s="412">
        <f t="shared" si="3"/>
        <v>0</v>
      </c>
      <c r="J17" s="19">
        <v>0</v>
      </c>
      <c r="K17" s="244"/>
    </row>
    <row r="18" spans="1:11">
      <c r="A18" s="1866" t="str">
        <f>"R1=409020000;COM="&amp;K18</f>
        <v>R1=409020000;COM=</v>
      </c>
      <c r="C18" s="1232" t="s">
        <v>5018</v>
      </c>
      <c r="D18" s="1227">
        <v>2330</v>
      </c>
      <c r="E18" s="1505">
        <f>-'91_02'!F41</f>
        <v>0</v>
      </c>
      <c r="F18" s="1225"/>
      <c r="G18" s="137">
        <v>0</v>
      </c>
      <c r="H18" s="130" t="b">
        <f t="shared" si="2"/>
        <v>1</v>
      </c>
      <c r="I18" s="412">
        <f t="shared" si="3"/>
        <v>0</v>
      </c>
      <c r="J18" s="19">
        <v>0</v>
      </c>
      <c r="K18" s="244"/>
    </row>
    <row r="19" spans="1:11">
      <c r="A19" s="1866" t="str">
        <f>"R1=R40305000;COM="&amp;K19</f>
        <v>R1=R40305000;COM=</v>
      </c>
      <c r="C19" s="1232" t="s">
        <v>4625</v>
      </c>
      <c r="D19" s="1227">
        <v>2340</v>
      </c>
      <c r="E19" s="1505">
        <f>-('91_01'!H33-'91_01'!$S$36+'91_01'!$T$36)</f>
        <v>0</v>
      </c>
      <c r="F19" s="1225"/>
      <c r="G19" s="137">
        <v>0</v>
      </c>
      <c r="H19" s="130" t="b">
        <f t="shared" si="2"/>
        <v>1</v>
      </c>
      <c r="I19" s="412">
        <f t="shared" si="3"/>
        <v>0</v>
      </c>
      <c r="J19" s="19">
        <v>0</v>
      </c>
      <c r="K19" s="244"/>
    </row>
    <row r="20" spans="1:11">
      <c r="A20" s="1866" t="str">
        <f>"R1=R40306000;COM="&amp;K20</f>
        <v>R1=R40306000;COM=</v>
      </c>
      <c r="C20" s="1232" t="s">
        <v>4627</v>
      </c>
      <c r="D20" s="1227">
        <v>2350</v>
      </c>
      <c r="E20" s="1505">
        <f>-('91_02'!F43-SUMIF('91_02'!C:C,"{2010000} Налог на доходы от долевого участия в деятельности организаций, признанные в текущем году",'91_02'!F:F)-SUMIF('91_02_ВГО'!C:C,"{2010000} Налог на доходы от долевого участия в деятельности организаций, признанные в текущем году",'91_02_ВГО'!I:I)-SUMIF('91_02'!C:C,"{2181000}*",'91_02'!F:F)-SUMIF('91_02_ВГО'!C:C,"{2181000}*",'91_02_ВГО'!I:I)-'91_01'!$S$37+'91_01'!$T$37)</f>
        <v>0</v>
      </c>
      <c r="F20" s="1225"/>
      <c r="G20" s="137">
        <v>0</v>
      </c>
      <c r="H20" s="130" t="b">
        <f t="shared" si="2"/>
        <v>1</v>
      </c>
      <c r="I20" s="412">
        <f t="shared" si="3"/>
        <v>0</v>
      </c>
      <c r="J20" s="19">
        <v>0</v>
      </c>
      <c r="K20" s="244"/>
    </row>
    <row r="21" spans="1:11">
      <c r="A21" s="1866"/>
      <c r="C21" s="1233" t="s">
        <v>5019</v>
      </c>
      <c r="D21" s="1228">
        <v>2300</v>
      </c>
      <c r="E21" s="1506">
        <f>SUM(E13:E20)</f>
        <v>0</v>
      </c>
      <c r="F21" s="1225"/>
      <c r="G21" s="412">
        <f>SUM(G13:G20)</f>
        <v>0</v>
      </c>
      <c r="H21" s="130" t="b">
        <f t="shared" si="2"/>
        <v>1</v>
      </c>
      <c r="I21" s="412">
        <f t="shared" si="3"/>
        <v>0</v>
      </c>
      <c r="J21" s="412">
        <f>SUM(J13:J20)</f>
        <v>0</v>
      </c>
      <c r="K21" s="244"/>
    </row>
    <row r="22" spans="1:11" s="2830" customFormat="1">
      <c r="A22" s="3124"/>
      <c r="C22" s="1233" t="s">
        <v>4388</v>
      </c>
      <c r="D22" s="1228">
        <v>2410</v>
      </c>
      <c r="E22" s="1506">
        <f>E23+E24</f>
        <v>0</v>
      </c>
      <c r="F22" s="1225"/>
      <c r="G22" s="412">
        <f>G23+G24</f>
        <v>0</v>
      </c>
      <c r="H22" s="130"/>
      <c r="I22" s="3125"/>
      <c r="J22" s="412">
        <f>J23+J24</f>
        <v>0</v>
      </c>
      <c r="K22" s="244"/>
    </row>
    <row r="23" spans="1:11">
      <c r="A23" s="1866" t="str">
        <f>"R1=413010000;COM="&amp;K23</f>
        <v>R1=413010000;COM=</v>
      </c>
      <c r="C23" s="1232" t="s">
        <v>5020</v>
      </c>
      <c r="D23" s="1227">
        <v>2411</v>
      </c>
      <c r="E23" s="1505">
        <f>-SUM('99'!F10:H10)-('09'!G8+'77'!G8)</f>
        <v>0</v>
      </c>
      <c r="F23" s="1225"/>
      <c r="G23" s="137">
        <v>0</v>
      </c>
      <c r="H23" s="130" t="b">
        <f t="shared" si="2"/>
        <v>1</v>
      </c>
      <c r="I23" s="412">
        <f t="shared" si="3"/>
        <v>0</v>
      </c>
      <c r="J23" s="19">
        <v>0</v>
      </c>
      <c r="K23" s="352"/>
    </row>
    <row r="24" spans="1:11">
      <c r="A24" s="1866" t="str">
        <f>"R1=413030000;COM="&amp;K24</f>
        <v>R1=413030000;COM=</v>
      </c>
      <c r="C24" s="1232" t="s">
        <v>9799</v>
      </c>
      <c r="D24" s="1227">
        <v>2412</v>
      </c>
      <c r="E24" s="1505">
        <f>'77'!G8+'09'!G8</f>
        <v>0</v>
      </c>
      <c r="F24" s="1225"/>
      <c r="G24" s="137">
        <v>0</v>
      </c>
      <c r="H24" s="130" t="b">
        <f t="shared" si="2"/>
        <v>1</v>
      </c>
      <c r="I24" s="412">
        <f t="shared" si="3"/>
        <v>0</v>
      </c>
      <c r="J24" s="19">
        <v>0</v>
      </c>
      <c r="K24" s="352"/>
    </row>
    <row r="25" spans="1:11">
      <c r="A25" s="1866" t="str">
        <f>"R1=R413060000;COM="&amp;K25</f>
        <v>R1=R413060000;COM=</v>
      </c>
      <c r="C25" s="1232" t="s">
        <v>3240</v>
      </c>
      <c r="D25" s="1227">
        <v>2460</v>
      </c>
      <c r="E25" s="1505">
        <f>-SUM('99'!I10:J10,'99'!L10:O10)</f>
        <v>0</v>
      </c>
      <c r="F25" s="1225"/>
      <c r="G25" s="137">
        <v>0</v>
      </c>
      <c r="H25" s="130" t="b">
        <f t="shared" si="2"/>
        <v>1</v>
      </c>
      <c r="I25" s="412">
        <f t="shared" si="3"/>
        <v>0</v>
      </c>
      <c r="J25" s="19">
        <v>0</v>
      </c>
      <c r="K25" s="352"/>
    </row>
    <row r="26" spans="1:11" ht="43.5">
      <c r="A26" s="1866" t="str">
        <f>"R1=R413050000;COM="&amp;K26</f>
        <v>R1=R413050000;COM=</v>
      </c>
      <c r="C26" s="1232" t="s">
        <v>5021</v>
      </c>
      <c r="D26" s="1227">
        <v>2465</v>
      </c>
      <c r="E26" s="1505">
        <f>-'99'!K9</f>
        <v>0</v>
      </c>
      <c r="F26" s="1225"/>
      <c r="G26" s="137">
        <v>0</v>
      </c>
      <c r="H26" s="130" t="b">
        <f t="shared" si="2"/>
        <v>1</v>
      </c>
      <c r="I26" s="412">
        <f t="shared" si="3"/>
        <v>0</v>
      </c>
      <c r="J26" s="19">
        <v>0</v>
      </c>
      <c r="K26" s="352"/>
    </row>
    <row r="27" spans="1:11">
      <c r="A27" s="1866"/>
      <c r="C27" s="1233" t="s">
        <v>5022</v>
      </c>
      <c r="D27" s="1228">
        <v>2400</v>
      </c>
      <c r="E27" s="1506">
        <f>SUM(E21:E22,E25:E26)</f>
        <v>0</v>
      </c>
      <c r="F27" s="1225"/>
      <c r="G27" s="412">
        <f>SUM(G21:G22,G25:G26)</f>
        <v>0</v>
      </c>
      <c r="H27" s="130" t="b">
        <f t="shared" si="2"/>
        <v>1</v>
      </c>
      <c r="I27" s="412">
        <f t="shared" si="3"/>
        <v>0</v>
      </c>
      <c r="J27" s="412">
        <f>SUM(J21:J22,J25:J26)</f>
        <v>0</v>
      </c>
      <c r="K27" s="352"/>
    </row>
    <row r="28" spans="1:11">
      <c r="A28" s="1866"/>
      <c r="C28" s="1232"/>
      <c r="D28" s="1227"/>
      <c r="E28" s="1505"/>
      <c r="F28" s="1225"/>
      <c r="G28" s="135"/>
      <c r="H28" s="124"/>
      <c r="I28" s="412"/>
      <c r="J28" s="412"/>
      <c r="K28" s="414"/>
    </row>
    <row r="29" spans="1:11">
      <c r="A29" s="1866"/>
      <c r="C29" s="1233" t="s">
        <v>5023</v>
      </c>
      <c r="D29" s="1227"/>
      <c r="E29" s="1505" t="s">
        <v>3066</v>
      </c>
      <c r="F29" s="1225"/>
      <c r="G29" s="135"/>
      <c r="H29" s="124"/>
      <c r="I29" s="412"/>
      <c r="J29" s="48"/>
      <c r="K29" s="414"/>
    </row>
    <row r="30" spans="1:11" ht="43.5">
      <c r="A30" s="1866" t="str">
        <f>"R1=209200000;COM="&amp;K30</f>
        <v>R1=209200000;COM=</v>
      </c>
      <c r="C30" s="1232" t="s">
        <v>5024</v>
      </c>
      <c r="D30" s="1227">
        <v>2510</v>
      </c>
      <c r="E30" s="1505">
        <f>-SUM('83'!$E$11:$H$11,'83'!$J$11:$O$11)</f>
        <v>0</v>
      </c>
      <c r="F30" s="1225"/>
      <c r="G30" s="137">
        <v>0</v>
      </c>
      <c r="H30" s="130" t="b">
        <f t="shared" ref="H30:H35" si="4">IF(OR(ABS(E30-G30)&lt;=1,LEN(K30)&gt;5),TRUE)</f>
        <v>1</v>
      </c>
      <c r="I30" s="412">
        <f>E30-G30</f>
        <v>0</v>
      </c>
      <c r="J30" s="19">
        <v>0</v>
      </c>
      <c r="K30" s="352"/>
    </row>
    <row r="31" spans="1:11" ht="43.5">
      <c r="A31" s="1866" t="str">
        <f>"R1=R204010000;COM="&amp;K31</f>
        <v>R1=R204010000;COM=</v>
      </c>
      <c r="C31" s="1232" t="s">
        <v>5025</v>
      </c>
      <c r="D31" s="1227">
        <v>2520</v>
      </c>
      <c r="E31" s="1505">
        <f>-(SUM('83'!$E$28:$O$28)+SUM('83'!$E$31:$O$31)+SUM('84'!$T$11))-E32</f>
        <v>0</v>
      </c>
      <c r="F31" s="1225"/>
      <c r="G31" s="137">
        <v>0</v>
      </c>
      <c r="H31" s="130" t="b">
        <f t="shared" si="4"/>
        <v>1</v>
      </c>
      <c r="I31" s="412">
        <f>E31-G31</f>
        <v>0</v>
      </c>
      <c r="J31" s="19">
        <v>0</v>
      </c>
      <c r="K31" s="352"/>
    </row>
    <row r="32" spans="1:11" s="2830" customFormat="1" ht="43.5">
      <c r="A32" s="1866" t="str">
        <f>"R1=T99;COM="&amp;K32</f>
        <v>R1=T99;COM=</v>
      </c>
      <c r="C32" s="1232" t="s">
        <v>9800</v>
      </c>
      <c r="D32" s="1227">
        <v>2530</v>
      </c>
      <c r="E32" s="1505">
        <f>'09'!I8+'77'!I8</f>
        <v>0</v>
      </c>
      <c r="F32" s="1225"/>
      <c r="G32" s="137">
        <v>0</v>
      </c>
      <c r="H32" s="130"/>
      <c r="I32" s="3125"/>
      <c r="J32" s="1431">
        <v>0</v>
      </c>
      <c r="K32" s="352"/>
    </row>
    <row r="33" spans="1:11" ht="29">
      <c r="A33" s="1866" t="str">
        <f t="shared" ref="A33" si="5">"R60=1;COM="&amp;K33</f>
        <v>R60=1;COM=</v>
      </c>
      <c r="C33" s="1232" t="s">
        <v>5026</v>
      </c>
      <c r="D33" s="1227">
        <v>2500</v>
      </c>
      <c r="E33" s="1505">
        <f>SUM(E27,E30:E32)</f>
        <v>0</v>
      </c>
      <c r="F33" s="1225"/>
      <c r="G33" s="137">
        <v>0</v>
      </c>
      <c r="H33" s="130" t="b">
        <f t="shared" si="4"/>
        <v>1</v>
      </c>
      <c r="I33" s="412">
        <f>E33-G33</f>
        <v>0</v>
      </c>
      <c r="J33" s="19">
        <v>0</v>
      </c>
      <c r="K33" s="352"/>
    </row>
    <row r="34" spans="1:11">
      <c r="A34" s="1866" t="str">
        <f>"R60=2;COM="&amp;K34</f>
        <v>R60=2;COM=</v>
      </c>
      <c r="C34" s="1232" t="s">
        <v>5027</v>
      </c>
      <c r="D34" s="1227">
        <v>2900</v>
      </c>
      <c r="E34" s="1505"/>
      <c r="F34" s="1225"/>
      <c r="G34" s="137">
        <v>0</v>
      </c>
      <c r="H34" s="130" t="b">
        <f t="shared" si="4"/>
        <v>1</v>
      </c>
      <c r="I34" s="412">
        <f>E34-G34</f>
        <v>0</v>
      </c>
      <c r="J34" s="19">
        <v>0</v>
      </c>
      <c r="K34" s="352"/>
    </row>
    <row r="35" spans="1:11" ht="15" thickBot="1">
      <c r="A35" s="1866" t="str">
        <f>"R60=3;COM="&amp;K35</f>
        <v>R60=3;COM=</v>
      </c>
      <c r="C35" s="1234" t="s">
        <v>5028</v>
      </c>
      <c r="D35" s="1229">
        <v>2910</v>
      </c>
      <c r="E35" s="1507"/>
      <c r="F35" s="1225"/>
      <c r="G35" s="143">
        <v>0</v>
      </c>
      <c r="H35" s="2001" t="b">
        <f t="shared" si="4"/>
        <v>1</v>
      </c>
      <c r="I35" s="413">
        <f>E35-G35</f>
        <v>0</v>
      </c>
      <c r="J35" s="102">
        <v>0</v>
      </c>
      <c r="K35" s="353"/>
    </row>
    <row r="36" spans="1:11">
      <c r="H36" s="1253" t="b">
        <f>AND(H8:H35)</f>
        <v>1</v>
      </c>
    </row>
  </sheetData>
  <sheetProtection algorithmName="SHA-512" hashValue="IlvmRks7iP8es4Bp0bBuh4FiTUDUJ7oMKmex3Bl1SQK8hCLxVXL5fcxP1KpUDBrcotrebp39SDtQMHwAzlUJ+w==" saltValue="tQ4STXeKgUGz79kzQIJ8Qw==" spinCount="100000" sheet="1" objects="1" scenarios="1" formatColumns="0" formatRows="0" autoFilter="0"/>
  <autoFilter ref="C6:K6"/>
  <customSheetViews>
    <customSheetView guid="{3769259D-9653-4B34-A2F6-4FB6F9F4E533}" scale="80" showGridLines="0" hiddenRows="1" hiddenColumns="1" topLeftCell="B2">
      <pane xSplit="3" ySplit="6" topLeftCell="E8" activePane="bottomRight" state="frozen"/>
      <selection pane="bottomRight" sqref="A1:IV1"/>
      <pageMargins left="0.7" right="0.7" top="0.75" bottom="0.75" header="0.3" footer="0.3"/>
      <pageSetup paperSize="9" orientation="portrait" r:id="rId1"/>
    </customSheetView>
    <customSheetView guid="{40D7A2BB-326C-4ED3-999C-17852F56D6F4}" scale="80" showGridLines="0" hiddenRows="1" hiddenColumns="1" topLeftCell="B2">
      <pane xSplit="3" ySplit="6" topLeftCell="E8" activePane="bottomRight" state="frozen"/>
      <selection pane="bottomRight" sqref="A1:IV1"/>
      <pageMargins left="0.7" right="0.7" top="0.75" bottom="0.75" header="0.3" footer="0.3"/>
      <pageSetup paperSize="9" orientation="portrait" r:id="rId2"/>
    </customSheetView>
    <customSheetView guid="{5D121940-0CE8-4A0E-A493-67FAAA6E0FF8}" scale="80" showGridLines="0" hiddenColumns="1" topLeftCell="B1">
      <pane xSplit="2" ySplit="6" topLeftCell="D7" activePane="bottomRight" state="frozen"/>
      <selection pane="bottomRight" activeCell="E20" sqref="E20"/>
      <pageMargins left="0.7" right="0.7" top="0.75" bottom="0.75" header="0.3" footer="0.3"/>
      <pageSetup paperSize="9" orientation="portrait" r:id="rId3"/>
    </customSheetView>
    <customSheetView guid="{47AEACC4-6EA5-412C-AF39-A6C5357B313A}" scale="80" showGridLines="0" hiddenColumns="1" topLeftCell="B1">
      <pane xSplit="2" ySplit="6" topLeftCell="D7" activePane="bottomRight" state="frozen"/>
      <selection pane="bottomRight" activeCell="G13" sqref="G13"/>
      <pageMargins left="0.7" right="0.7" top="0.75" bottom="0.75" header="0.3" footer="0.3"/>
      <pageSetup paperSize="9" orientation="portrait" r:id="rId4"/>
    </customSheetView>
    <customSheetView guid="{4D957B38-5430-481E-B791-E0A66F913B50}" scale="70">
      <pageMargins left="0.7" right="0.7" top="0.75" bottom="0.75" header="0.3" footer="0.3"/>
    </customSheetView>
    <customSheetView guid="{C913A9E8-661B-40A4-A3C9-1BC5F2B2E9F0}" scale="80" showGridLines="0" hiddenColumns="1" topLeftCell="B1">
      <pane xSplit="2" ySplit="6" topLeftCell="D7" activePane="bottomRight" state="frozen"/>
      <selection pane="bottomRight" activeCell="E20" sqref="E20"/>
      <pageMargins left="0.7" right="0.7" top="0.75" bottom="0.75" header="0.3" footer="0.3"/>
      <pageSetup paperSize="9" orientation="portrait" r:id="rId5"/>
    </customSheetView>
  </customSheetViews>
  <mergeCells count="3">
    <mergeCell ref="C4:C5"/>
    <mergeCell ref="G4:K4"/>
    <mergeCell ref="D4:E4"/>
  </mergeCells>
  <phoneticPr fontId="0" type="noConversion"/>
  <hyperlinks>
    <hyperlink ref="D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2" orientation="landscape"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Z76"/>
  <sheetViews>
    <sheetView topLeftCell="B29" zoomScale="73" zoomScaleNormal="73" workbookViewId="0">
      <selection activeCell="F17" sqref="F17"/>
    </sheetView>
  </sheetViews>
  <sheetFormatPr defaultColWidth="11.54296875" defaultRowHeight="14.5"/>
  <cols>
    <col min="1" max="1" width="26.54296875" style="116" hidden="1" customWidth="1"/>
    <col min="2" max="2" width="5.54296875" style="116" customWidth="1"/>
    <col min="3" max="3" width="74" style="32" customWidth="1"/>
    <col min="4" max="4" width="19.54296875" style="32" customWidth="1"/>
    <col min="5" max="5" width="31.453125" style="32" customWidth="1"/>
    <col min="6" max="7" width="14.453125" style="116" customWidth="1"/>
    <col min="8" max="8" width="5.453125" style="116" customWidth="1"/>
    <col min="9" max="9" width="17.453125" style="32" customWidth="1"/>
    <col min="10" max="10" width="11.54296875" style="32" customWidth="1"/>
    <col min="11" max="12" width="13.54296875" style="32" customWidth="1"/>
    <col min="13" max="13" width="10.453125" style="32" customWidth="1"/>
    <col min="14" max="15" width="11.54296875" style="116" customWidth="1"/>
    <col min="16" max="16" width="16.453125" style="116" customWidth="1"/>
    <col min="17" max="17" width="8.54296875" style="116" customWidth="1"/>
    <col min="18" max="20" width="9.54296875" style="116" customWidth="1"/>
    <col min="21" max="21" width="16.54296875" style="116" customWidth="1"/>
    <col min="22" max="22" width="11.453125" style="116" customWidth="1"/>
    <col min="23" max="23" width="11.54296875" style="116" customWidth="1"/>
    <col min="24" max="16384" width="11.54296875" style="116"/>
  </cols>
  <sheetData>
    <row r="1" spans="1:26" ht="27" hidden="1" customHeight="1">
      <c r="A1" s="116" t="s">
        <v>2092</v>
      </c>
      <c r="B1" s="114"/>
      <c r="C1" s="8"/>
      <c r="D1" s="8"/>
      <c r="E1" s="8" t="s">
        <v>8519</v>
      </c>
      <c r="F1" s="114"/>
      <c r="G1" s="114"/>
      <c r="H1" s="114"/>
      <c r="I1" s="8" t="s">
        <v>8523</v>
      </c>
      <c r="J1" s="8"/>
      <c r="K1" s="8"/>
      <c r="L1" s="8"/>
      <c r="M1" s="8"/>
      <c r="N1" s="114"/>
      <c r="O1" s="114"/>
    </row>
    <row r="2" spans="1:26" ht="26">
      <c r="B2" s="114"/>
      <c r="C2" s="115" t="s">
        <v>5302</v>
      </c>
      <c r="D2" s="1897" t="s">
        <v>2067</v>
      </c>
      <c r="E2" s="1244">
        <f>Содержание!$D$2</f>
        <v>0</v>
      </c>
      <c r="F2" s="114"/>
      <c r="G2" s="114"/>
      <c r="H2" s="114"/>
      <c r="I2" s="3044" t="s">
        <v>1436</v>
      </c>
      <c r="J2" s="8"/>
      <c r="K2" s="8"/>
      <c r="L2" s="8"/>
      <c r="M2" s="8"/>
      <c r="N2" s="114"/>
      <c r="O2" s="114"/>
    </row>
    <row r="3" spans="1:26" ht="15" thickBot="1">
      <c r="B3" s="114"/>
      <c r="C3" s="8"/>
      <c r="D3" s="1897" t="s">
        <v>2075</v>
      </c>
      <c r="E3" s="1244" t="str">
        <f>Содержание!$D$15</f>
        <v>2022 год</v>
      </c>
      <c r="I3" s="115"/>
      <c r="M3" s="8"/>
      <c r="N3" s="114"/>
      <c r="O3" s="114"/>
    </row>
    <row r="4" spans="1:26" ht="45" customHeight="1" thickBot="1">
      <c r="B4" s="114"/>
      <c r="C4" s="3683" t="s">
        <v>5304</v>
      </c>
      <c r="D4" s="3687" t="s">
        <v>3400</v>
      </c>
      <c r="E4" s="3688"/>
      <c r="I4" s="3689" t="s">
        <v>5303</v>
      </c>
      <c r="J4" s="3689"/>
      <c r="K4" s="3689"/>
      <c r="L4" s="3689"/>
      <c r="N4" s="114"/>
      <c r="O4" s="114"/>
    </row>
    <row r="5" spans="1:26" ht="52.5" thickBot="1">
      <c r="B5" s="114"/>
      <c r="C5" s="3684"/>
      <c r="D5" s="1292" t="s">
        <v>5305</v>
      </c>
      <c r="E5" s="25" t="s">
        <v>5306</v>
      </c>
      <c r="I5" s="118" t="s">
        <v>5307</v>
      </c>
      <c r="J5" s="119" t="s">
        <v>5308</v>
      </c>
      <c r="K5" s="119" t="s">
        <v>5309</v>
      </c>
      <c r="L5" s="119" t="s">
        <v>5310</v>
      </c>
      <c r="M5" s="120" t="s">
        <v>5311</v>
      </c>
      <c r="N5" s="114"/>
      <c r="O5" s="114"/>
    </row>
    <row r="6" spans="1:26">
      <c r="B6" s="114"/>
      <c r="C6" s="121" t="s">
        <v>4164</v>
      </c>
      <c r="D6" s="122" t="s">
        <v>4165</v>
      </c>
      <c r="E6" s="1293" t="s">
        <v>4166</v>
      </c>
      <c r="F6" s="114"/>
      <c r="G6" s="114"/>
      <c r="H6" s="114"/>
      <c r="I6" s="126" t="s">
        <v>5500</v>
      </c>
      <c r="J6" s="127" t="s">
        <v>4169</v>
      </c>
      <c r="K6" s="124" t="s">
        <v>4168</v>
      </c>
      <c r="L6" s="124" t="s">
        <v>4178</v>
      </c>
      <c r="M6" s="125" t="s">
        <v>4179</v>
      </c>
      <c r="N6" s="114"/>
      <c r="O6" s="114"/>
    </row>
    <row r="7" spans="1:26">
      <c r="B7" s="114"/>
      <c r="C7" s="123" t="s">
        <v>5312</v>
      </c>
      <c r="D7" s="124" t="s">
        <v>3066</v>
      </c>
      <c r="E7" s="125" t="s">
        <v>3066</v>
      </c>
      <c r="F7" s="114"/>
      <c r="G7" s="114"/>
      <c r="H7" s="114"/>
      <c r="I7" s="126" t="s">
        <v>3066</v>
      </c>
      <c r="J7" s="127" t="s">
        <v>3066</v>
      </c>
      <c r="K7" s="124" t="s">
        <v>3066</v>
      </c>
      <c r="L7" s="124" t="s">
        <v>3066</v>
      </c>
      <c r="M7" s="125" t="s">
        <v>3066</v>
      </c>
      <c r="N7" s="114"/>
      <c r="O7" s="114"/>
    </row>
    <row r="8" spans="1:26">
      <c r="B8" s="114"/>
      <c r="C8" s="1242" t="s">
        <v>5313</v>
      </c>
      <c r="D8" s="1243">
        <v>4110</v>
      </c>
      <c r="E8" s="1244">
        <f>SUM(E10:E13)</f>
        <v>0</v>
      </c>
      <c r="F8" s="164"/>
      <c r="G8" s="1245"/>
      <c r="H8" s="1245"/>
      <c r="I8" s="1246">
        <f>SUM(I10:I13)</f>
        <v>0</v>
      </c>
      <c r="J8" s="1247" t="b">
        <f>ABS(E8-I8)&lt;=1</f>
        <v>1</v>
      </c>
      <c r="K8" s="1248">
        <f>E8-I8</f>
        <v>0</v>
      </c>
      <c r="L8" s="1249">
        <f>SUM(L10:L13)</f>
        <v>0</v>
      </c>
      <c r="M8" s="1250"/>
      <c r="N8" s="114"/>
      <c r="O8" s="114"/>
    </row>
    <row r="9" spans="1:26">
      <c r="B9" s="114"/>
      <c r="C9" s="133" t="s">
        <v>5314</v>
      </c>
      <c r="D9" s="134"/>
      <c r="E9" s="45"/>
      <c r="F9" s="164"/>
      <c r="G9" s="1245"/>
      <c r="H9" s="164"/>
      <c r="I9" s="135"/>
      <c r="J9" s="127"/>
      <c r="K9" s="131"/>
      <c r="L9" s="48"/>
      <c r="M9" s="132"/>
      <c r="N9" s="114"/>
      <c r="O9" s="114"/>
    </row>
    <row r="10" spans="1:26">
      <c r="A10" s="116" t="str">
        <f>"R6=1110000;COM="&amp;M10</f>
        <v>R6=1110000;COM=</v>
      </c>
      <c r="B10" s="114"/>
      <c r="C10" s="136" t="s">
        <v>5315</v>
      </c>
      <c r="D10" s="129">
        <v>4111</v>
      </c>
      <c r="E10" s="45">
        <f>ДДС_приложение!E15+E63</f>
        <v>0</v>
      </c>
      <c r="F10" s="164"/>
      <c r="G10" s="1245"/>
      <c r="H10" s="164"/>
      <c r="I10" s="137"/>
      <c r="J10" s="130" t="b">
        <f>ABS(E10-I10)&lt;=1</f>
        <v>1</v>
      </c>
      <c r="K10" s="131">
        <f>E10-I10</f>
        <v>0</v>
      </c>
      <c r="L10" s="19">
        <v>0</v>
      </c>
      <c r="M10" s="26"/>
      <c r="N10" s="114"/>
      <c r="O10" s="114"/>
    </row>
    <row r="11" spans="1:26" ht="29">
      <c r="A11" s="116" t="str">
        <f>"R6=1120100;COM="&amp;M11</f>
        <v>R6=1120100;COM=</v>
      </c>
      <c r="B11" s="114"/>
      <c r="C11" s="136" t="s">
        <v>5316</v>
      </c>
      <c r="D11" s="138">
        <v>4112</v>
      </c>
      <c r="E11" s="45">
        <f>ДДС_приложение!E19+E64</f>
        <v>0</v>
      </c>
      <c r="F11" s="164"/>
      <c r="G11" s="1245"/>
      <c r="H11" s="164"/>
      <c r="I11" s="137"/>
      <c r="J11" s="130" t="b">
        <f>ABS(E11-I11)&lt;=1</f>
        <v>1</v>
      </c>
      <c r="K11" s="131">
        <f>E11-I11</f>
        <v>0</v>
      </c>
      <c r="L11" s="19">
        <v>0</v>
      </c>
      <c r="M11" s="26"/>
      <c r="N11" s="114"/>
      <c r="O11" s="114"/>
    </row>
    <row r="12" spans="1:26">
      <c r="A12" s="116" t="str">
        <f>"R6=2191400;COM="&amp;M12</f>
        <v>R6=2191400;COM=</v>
      </c>
      <c r="B12" s="114"/>
      <c r="C12" s="136" t="s">
        <v>5317</v>
      </c>
      <c r="D12" s="138">
        <v>4113</v>
      </c>
      <c r="E12" s="45">
        <f>IF(ABS((ДДС_приложение!E190))&gt;=ABS((ДДС_приложение!E213)),ДДС_приложение!E190+ДДС_приложение!E213,0)</f>
        <v>0</v>
      </c>
      <c r="F12" s="164"/>
      <c r="G12" s="1245"/>
      <c r="H12" s="164"/>
      <c r="I12" s="137"/>
      <c r="J12" s="130" t="b">
        <f>ABS(E12-I12)&lt;=1</f>
        <v>1</v>
      </c>
      <c r="K12" s="131">
        <f>E12-I12</f>
        <v>0</v>
      </c>
      <c r="L12" s="19">
        <v>0</v>
      </c>
      <c r="M12" s="26"/>
      <c r="N12" s="114"/>
      <c r="O12" s="114"/>
      <c r="P12" s="1257">
        <f>-(IF(ABS((ДДС_приложение!E153))&gt;=ABS((ДДС_приложение!E31)),ДДС_приложение!E153+ДДС_приложение!E31,0))</f>
        <v>0</v>
      </c>
      <c r="Q12" s="1258">
        <f>IF(ABS((ДДС_приложение!E167))&gt;=ABS((ДДС_приложение!E37)),-(ДДС_приложение!E167+ДДС_приложение!E37),0)</f>
        <v>0</v>
      </c>
      <c r="R12" s="1259">
        <f>IF(ABS((ДДС_приложение!E168))&gt;=ABS((ДДС_приложение!E38)),-(ДДС_приложение!E168+ДДС_приложение!E38),0)</f>
        <v>0</v>
      </c>
      <c r="S12" s="1259">
        <f>(IF(ABS((ДДС_приложение!E169))&gt;=ABS((ДДС_приложение!E39)),ABS(ДДС_приложение!E169)-ДДС_приложение!E39,0))</f>
        <v>0</v>
      </c>
      <c r="T12" s="1259">
        <f>(IF(ABS((ДДС_приложение!E170))&gt;=ABS((ДДС_приложение!E40)),-(ДДС_приложение!E170+ДДС_приложение!E40),0))</f>
        <v>0</v>
      </c>
      <c r="U12" s="1259">
        <f>IF(ABS((ДДС_приложение!E213))&gt;=ABS((ДДС_приложение!E190)),-(ДДС_приложение!E190+ДДС_приложение!E213),0)</f>
        <v>0</v>
      </c>
      <c r="V12" s="1259">
        <f>-(ДДС_приложение!E147-ДДС_приложение!E124-ДДС_приложение!E121-ДДС_приложение!E135-ДДС_приложение!E123-ДДС_приложение!E144)</f>
        <v>0</v>
      </c>
      <c r="W12" s="1259">
        <f>IF(ABS(ДДС_приложение!E171)&gt;=ABS(ДДС_приложение!E41),-ДДС_приложение!E41,ДДС_приложение!E171)</f>
        <v>0</v>
      </c>
      <c r="X12" s="1260">
        <f>IF(ABS(SUM(ДДС_приложение!E172))&gt;=ABS(ДДС_приложение!E42),-ДДС_приложение!E42,ДДС_приложение!E172)</f>
        <v>0</v>
      </c>
      <c r="Y12" s="1260">
        <f>IF((ДДС_приложение!E43+ДДС_приложение!E149)&lt;0,-(ДДС_приложение!E43+ДДС_приложение!E149),0)</f>
        <v>0</v>
      </c>
      <c r="Z12" s="1260">
        <f>IF((ДДС_приложение!E44+ДДС_приложение!E150)&lt;0,-(ДДС_приложение!E44+ДДС_приложение!E150),0)</f>
        <v>0</v>
      </c>
    </row>
    <row r="13" spans="1:26">
      <c r="A13" s="116" t="str">
        <f>"R6=1199999;COM="&amp;M13</f>
        <v>R6=1199999;COM=</v>
      </c>
      <c r="B13" s="114"/>
      <c r="C13" s="136" t="s">
        <v>5318</v>
      </c>
      <c r="D13" s="129">
        <v>4119</v>
      </c>
      <c r="E13" s="45">
        <f>ДДС_приложение!E47-ДДС_приложение!E37-ДДС_приложение!E32-ДДС_приложение!E31-ДДС_приложение!E38-ДДС_приложение!E39-ДДС_приложение!E40-ДДС_приложение!E43-ДДС_приложение!E44+SUM(P13:Z13)+E65-E61-E76+IF((ДДС_приложение!E45+ДДС_приложение!E148)&gt;0,ДДС_приложение!E148,-ДДС_приложение!E45)+IF((ДДС_приложение!E24+ДДС_приложение!E144)&gt;0,ДДС_приложение!E144,-ДДС_приложение!E24)</f>
        <v>0</v>
      </c>
      <c r="F13" s="164"/>
      <c r="G13" s="1245"/>
      <c r="H13" s="1245"/>
      <c r="I13" s="137"/>
      <c r="J13" s="130" t="b">
        <f>ABS(E13-I13)&lt;=1</f>
        <v>1</v>
      </c>
      <c r="K13" s="131">
        <f>E13-I13</f>
        <v>0</v>
      </c>
      <c r="L13" s="19">
        <v>0</v>
      </c>
      <c r="M13" s="26"/>
      <c r="N13" s="114"/>
      <c r="O13" s="114"/>
      <c r="P13" s="1508">
        <f>IF(ABS((ДДС_приложение!E31))&gt;=ABS((ДДС_приложение!E153)),ДДС_приложение!E31+ДДС_приложение!E153,0)+IF(ABS((ДДС_приложение!E37))&gt;=ABS((ДДС_приложение!E167)),ДДС_приложение!E37+ДДС_приложение!E167,0)</f>
        <v>0</v>
      </c>
      <c r="Q13" s="1261">
        <f>IF(ABS((ДДС_приложение!E38))&gt;=ABS((ДДС_приложение!E168)),ДДС_приложение!E38+ДДС_приложение!E168,0)+IF(ABS((ДДС_приложение!E39))&gt;=ABS((ДДС_приложение!E169)),ДДС_приложение!E39+ДДС_приложение!E169,0)</f>
        <v>0</v>
      </c>
      <c r="R13" s="1262"/>
      <c r="S13" s="1262">
        <f>(IF(ABS((SUM(ДДС_приложение!E41))&gt;=ABS(SUM(ДДС_приложение!E171))),SUM(ДДС_приложение!E171),-SUM(ДДС_приложение!E41)))</f>
        <v>0</v>
      </c>
      <c r="T13" s="1262"/>
      <c r="U13" s="1262">
        <f>IF(ABS((ДДС_приложение!E40))&gt;=ABS((ДДС_приложение!E170)),ДДС_приложение!E40+ДДС_приложение!E170,0)</f>
        <v>0</v>
      </c>
      <c r="V13" s="1262">
        <f>(IF(ABS((SUM(ДДС_приложение!E42))&gt;=ABS(SUM(ДДС_приложение!E172))),SUM(ДДС_приложение!E172),-SUM(ДДС_приложение!E42)))</f>
        <v>0</v>
      </c>
      <c r="W13" s="1262"/>
      <c r="X13" s="1263"/>
      <c r="Y13" s="1263">
        <f>IF((ДДС_приложение!E43+ДДС_приложение!E149)&gt;=0,(ДДС_приложение!E43+ДДС_приложение!E149),0)</f>
        <v>0</v>
      </c>
      <c r="Z13" s="1263">
        <f>IF((ДДС_приложение!E44+ДДС_приложение!E150)&gt;=0,(ДДС_приложение!E44+ДДС_приложение!E150),0)</f>
        <v>0</v>
      </c>
    </row>
    <row r="14" spans="1:26">
      <c r="B14" s="114"/>
      <c r="C14" s="1242" t="s">
        <v>5319</v>
      </c>
      <c r="D14" s="1243">
        <v>4120</v>
      </c>
      <c r="E14" s="1244">
        <f>SUM(E15:E20)</f>
        <v>0</v>
      </c>
      <c r="F14" s="164"/>
      <c r="G14" s="1245"/>
      <c r="H14" s="1245"/>
      <c r="I14" s="1246">
        <f>SUM(I15:I20)</f>
        <v>0</v>
      </c>
      <c r="J14" s="1247" t="b">
        <f>ABS(E14-I14)&lt;=1</f>
        <v>1</v>
      </c>
      <c r="K14" s="1248">
        <f>E14-I14</f>
        <v>0</v>
      </c>
      <c r="L14" s="1249">
        <f>SUM(L15:L20)</f>
        <v>0</v>
      </c>
      <c r="M14" s="1250"/>
      <c r="N14" s="114"/>
      <c r="O14" s="114"/>
    </row>
    <row r="15" spans="1:26">
      <c r="B15" s="114"/>
      <c r="C15" s="133" t="s">
        <v>5314</v>
      </c>
      <c r="D15" s="134"/>
      <c r="E15" s="45"/>
      <c r="F15" s="164"/>
      <c r="G15" s="1245"/>
      <c r="H15" s="164"/>
      <c r="I15" s="135"/>
      <c r="J15" s="127"/>
      <c r="K15" s="131"/>
      <c r="L15" s="48"/>
      <c r="M15" s="132"/>
      <c r="N15" s="114"/>
      <c r="O15" s="114"/>
    </row>
    <row r="16" spans="1:26">
      <c r="A16" s="116" t="str">
        <f>"R6=1219999;COM="&amp;M16</f>
        <v>R6=1219999;COM=</v>
      </c>
      <c r="B16" s="114"/>
      <c r="C16" s="136" t="s">
        <v>5320</v>
      </c>
      <c r="D16" s="129">
        <v>4121</v>
      </c>
      <c r="E16" s="45">
        <f>ДДС_приложение!E116+E66</f>
        <v>0</v>
      </c>
      <c r="F16" s="164"/>
      <c r="G16" s="1245"/>
      <c r="H16" s="1245"/>
      <c r="I16" s="137"/>
      <c r="J16" s="130" t="b">
        <f t="shared" ref="J16:J21" si="0">ABS(E16-I16)&lt;=1</f>
        <v>1</v>
      </c>
      <c r="K16" s="131">
        <f t="shared" ref="K16:K21" si="1">E16-I16</f>
        <v>0</v>
      </c>
      <c r="L16" s="19">
        <v>0</v>
      </c>
      <c r="M16" s="26"/>
      <c r="N16" s="114"/>
      <c r="O16" s="114"/>
      <c r="V16" s="1284"/>
    </row>
    <row r="17" spans="1:21">
      <c r="A17" s="116" t="str">
        <f>"R6=1220000;COM="&amp;M17</f>
        <v>R6=1220000;COM=</v>
      </c>
      <c r="B17" s="114"/>
      <c r="C17" s="136" t="s">
        <v>5321</v>
      </c>
      <c r="D17" s="129">
        <v>4122</v>
      </c>
      <c r="E17" s="45">
        <f>ДДС_приложение!E117+ДДС_приложение!E123+ДДС_приложение!E146</f>
        <v>0</v>
      </c>
      <c r="F17" s="164"/>
      <c r="G17" s="1245"/>
      <c r="H17" s="1245"/>
      <c r="I17" s="137"/>
      <c r="J17" s="130" t="b">
        <f t="shared" si="0"/>
        <v>1</v>
      </c>
      <c r="K17" s="131">
        <f t="shared" si="1"/>
        <v>0</v>
      </c>
      <c r="L17" s="19">
        <v>0</v>
      </c>
      <c r="M17" s="26"/>
      <c r="N17" s="114"/>
      <c r="O17" s="114"/>
    </row>
    <row r="18" spans="1:21">
      <c r="A18" s="116" t="str">
        <f>"R6=1230000;COM="&amp;M18</f>
        <v>R6=1230000;COM=</v>
      </c>
      <c r="B18" s="114"/>
      <c r="C18" s="136" t="s">
        <v>5322</v>
      </c>
      <c r="D18" s="129">
        <v>4123</v>
      </c>
      <c r="E18" s="45">
        <f>ДДС_приложение!E119</f>
        <v>0</v>
      </c>
      <c r="F18" s="164"/>
      <c r="G18" s="1245"/>
      <c r="H18" s="1245"/>
      <c r="I18" s="137"/>
      <c r="J18" s="130" t="b">
        <f t="shared" si="0"/>
        <v>1</v>
      </c>
      <c r="K18" s="131">
        <f t="shared" si="1"/>
        <v>0</v>
      </c>
      <c r="L18" s="19">
        <v>0</v>
      </c>
      <c r="M18" s="26"/>
      <c r="N18" s="114"/>
      <c r="O18" s="114"/>
    </row>
    <row r="19" spans="1:21">
      <c r="A19" s="116" t="str">
        <f>"R6=1241040;COM="&amp;M19</f>
        <v>R6=1241040;COM=</v>
      </c>
      <c r="B19" s="114"/>
      <c r="C19" s="136" t="s">
        <v>5323</v>
      </c>
      <c r="D19" s="129">
        <v>4124</v>
      </c>
      <c r="E19" s="49">
        <f>ДДС_приложение!E124+ДДС_приложение!E135+IF((ДДС_приложение!E24+ДДС_приложение!E144)&lt;0,(ДДС_приложение!E24+ДДС_приложение!E144),0)</f>
        <v>0</v>
      </c>
      <c r="F19" s="164"/>
      <c r="G19" s="1245"/>
      <c r="H19" s="1245"/>
      <c r="I19" s="137"/>
      <c r="J19" s="130" t="b">
        <f t="shared" si="0"/>
        <v>1</v>
      </c>
      <c r="K19" s="131">
        <f t="shared" si="1"/>
        <v>0</v>
      </c>
      <c r="L19" s="19">
        <v>0</v>
      </c>
      <c r="M19" s="26"/>
      <c r="N19" s="114"/>
      <c r="O19" s="114"/>
    </row>
    <row r="20" spans="1:21">
      <c r="A20" s="116" t="str">
        <f>"R6=1299999;COM="&amp;M20</f>
        <v>R6=1299999;COM=</v>
      </c>
      <c r="B20" s="114"/>
      <c r="C20" s="136" t="s">
        <v>5324</v>
      </c>
      <c r="D20" s="129">
        <v>4129</v>
      </c>
      <c r="E20" s="49">
        <f>ДДС_приложение!E174-ДДС_приложение!E161-ДДС_приложение!E167-ДДС_приложение!E153-ДДС_приложение!E168-ДДС_приложение!E169-ДДС_приложение!E170-ДДС_приложение!E146-SUM(P12:Z12)+ДДС_приложение!E121+E73-E62-E75+IF((ДДС_приложение!E45+ДДС_приложение!E148)&lt;0,(ДДС_приложение!E45+ДДС_приложение!E148),0)</f>
        <v>0</v>
      </c>
      <c r="F20" s="164"/>
      <c r="G20" s="1245"/>
      <c r="H20" s="1245"/>
      <c r="I20" s="137"/>
      <c r="J20" s="130" t="b">
        <f t="shared" si="0"/>
        <v>1</v>
      </c>
      <c r="K20" s="131">
        <f t="shared" si="1"/>
        <v>0</v>
      </c>
      <c r="L20" s="19">
        <v>0</v>
      </c>
      <c r="M20" s="26"/>
      <c r="N20" s="114"/>
      <c r="O20" s="114"/>
      <c r="U20" s="1264"/>
    </row>
    <row r="21" spans="1:21">
      <c r="B21" s="114"/>
      <c r="C21" s="1242" t="s">
        <v>5325</v>
      </c>
      <c r="D21" s="1243">
        <v>4100</v>
      </c>
      <c r="E21" s="1244">
        <f>E8+E14</f>
        <v>0</v>
      </c>
      <c r="F21" s="164"/>
      <c r="G21" s="1245"/>
      <c r="H21" s="1245"/>
      <c r="I21" s="1246">
        <f>I8+I14</f>
        <v>0</v>
      </c>
      <c r="J21" s="1247" t="b">
        <f t="shared" si="0"/>
        <v>1</v>
      </c>
      <c r="K21" s="1248">
        <f t="shared" si="1"/>
        <v>0</v>
      </c>
      <c r="L21" s="1249">
        <f>L8+L14</f>
        <v>0</v>
      </c>
      <c r="M21" s="1250"/>
      <c r="N21" s="114"/>
      <c r="O21" s="114"/>
    </row>
    <row r="22" spans="1:21">
      <c r="B22" s="114"/>
      <c r="C22" s="128" t="s">
        <v>5326</v>
      </c>
      <c r="D22" s="139"/>
      <c r="E22" s="45"/>
      <c r="F22" s="164"/>
      <c r="G22" s="1245"/>
      <c r="H22" s="1245"/>
      <c r="I22" s="135"/>
      <c r="J22" s="127"/>
      <c r="K22" s="131"/>
      <c r="L22" s="48"/>
      <c r="M22" s="132"/>
      <c r="N22" s="114"/>
      <c r="O22" s="114"/>
    </row>
    <row r="23" spans="1:21">
      <c r="B23" s="114"/>
      <c r="C23" s="128" t="s">
        <v>5313</v>
      </c>
      <c r="D23" s="129">
        <v>4210</v>
      </c>
      <c r="E23" s="45">
        <f>SUM(E24:E27,E28,E29)</f>
        <v>0</v>
      </c>
      <c r="F23" s="164"/>
      <c r="G23" s="1245"/>
      <c r="H23" s="1245"/>
      <c r="I23" s="2238">
        <f>SUM(I24:I27,I28,I29)</f>
        <v>0</v>
      </c>
      <c r="J23" s="130" t="b">
        <f>ABS(E23-I23)&lt;=1</f>
        <v>1</v>
      </c>
      <c r="K23" s="131">
        <f>E23-I23</f>
        <v>0</v>
      </c>
      <c r="L23" s="44">
        <f>SUM(L24:L29)</f>
        <v>0</v>
      </c>
      <c r="M23" s="132"/>
      <c r="N23" s="114"/>
      <c r="O23" s="114"/>
    </row>
    <row r="24" spans="1:21">
      <c r="B24" s="114"/>
      <c r="C24" s="133" t="s">
        <v>5314</v>
      </c>
      <c r="D24" s="134"/>
      <c r="E24" s="45"/>
      <c r="F24" s="164"/>
      <c r="G24" s="1245"/>
      <c r="H24" s="1245"/>
      <c r="I24" s="135"/>
      <c r="J24" s="127"/>
      <c r="K24" s="131"/>
      <c r="L24" s="48"/>
      <c r="M24" s="132"/>
      <c r="N24" s="114"/>
      <c r="O24" s="114"/>
    </row>
    <row r="25" spans="1:21">
      <c r="A25" s="116" t="str">
        <f>"R6=2111000;COM="&amp;M25</f>
        <v>R6=2111000;COM=</v>
      </c>
      <c r="B25" s="114"/>
      <c r="C25" s="136" t="s">
        <v>5327</v>
      </c>
      <c r="D25" s="138">
        <v>4211</v>
      </c>
      <c r="E25" s="45">
        <f>ДДС_приложение!E182+E67</f>
        <v>0</v>
      </c>
      <c r="F25" s="164"/>
      <c r="G25" s="1245"/>
      <c r="H25" s="1245"/>
      <c r="I25" s="137"/>
      <c r="J25" s="130" t="b">
        <f t="shared" ref="J25:J30" si="2">ABS(E25-I25)&lt;=1</f>
        <v>1</v>
      </c>
      <c r="K25" s="131">
        <f t="shared" ref="K25:K30" si="3">E25-I25</f>
        <v>0</v>
      </c>
      <c r="L25" s="19">
        <v>0</v>
      </c>
      <c r="M25" s="26"/>
      <c r="N25" s="114"/>
      <c r="O25" s="114"/>
    </row>
    <row r="26" spans="1:21">
      <c r="A26" s="116" t="str">
        <f>"R6=2191100;COM="&amp;M26</f>
        <v>R6=2191100;COM=</v>
      </c>
      <c r="B26" s="114"/>
      <c r="C26" s="136" t="s">
        <v>5328</v>
      </c>
      <c r="D26" s="138">
        <v>4212</v>
      </c>
      <c r="E26" s="45">
        <f>ДДС_приложение!E187+ДДС_приложение!E188</f>
        <v>0</v>
      </c>
      <c r="F26" s="164"/>
      <c r="G26" s="1245"/>
      <c r="H26" s="1245"/>
      <c r="I26" s="137"/>
      <c r="J26" s="130" t="b">
        <f t="shared" si="2"/>
        <v>1</v>
      </c>
      <c r="K26" s="131">
        <f t="shared" si="3"/>
        <v>0</v>
      </c>
      <c r="L26" s="19">
        <v>0</v>
      </c>
      <c r="M26" s="26"/>
      <c r="N26" s="114"/>
      <c r="O26" s="114"/>
    </row>
    <row r="27" spans="1:21" ht="29">
      <c r="A27" s="116" t="str">
        <f>"R6=2192000;COM="&amp;M27</f>
        <v>R6=2192000;COM=</v>
      </c>
      <c r="B27" s="114"/>
      <c r="C27" s="136" t="s">
        <v>3725</v>
      </c>
      <c r="D27" s="129">
        <v>4213</v>
      </c>
      <c r="E27" s="45">
        <f>ДДС_приложение!E189+ДДС_приложение!E193+ДДС_приложение!E194+ДДС_приложение!E191</f>
        <v>0</v>
      </c>
      <c r="F27" s="164"/>
      <c r="G27" s="1245"/>
      <c r="H27" s="1245"/>
      <c r="I27" s="137"/>
      <c r="J27" s="130" t="b">
        <f t="shared" si="2"/>
        <v>1</v>
      </c>
      <c r="K27" s="131">
        <f t="shared" si="3"/>
        <v>0</v>
      </c>
      <c r="L27" s="19">
        <v>0</v>
      </c>
      <c r="M27" s="26"/>
      <c r="N27" s="114"/>
      <c r="O27" s="114"/>
    </row>
    <row r="28" spans="1:21" ht="29">
      <c r="A28" s="116" t="str">
        <f>"R6=2121100;COM="&amp;M28</f>
        <v>R6=2121100;COM=</v>
      </c>
      <c r="B28" s="114"/>
      <c r="C28" s="136" t="s">
        <v>3726</v>
      </c>
      <c r="D28" s="129">
        <v>4214</v>
      </c>
      <c r="E28" s="45">
        <f>ДДС_приложение!E186</f>
        <v>0</v>
      </c>
      <c r="F28" s="164"/>
      <c r="G28" s="1245"/>
      <c r="H28" s="1245"/>
      <c r="I28" s="137"/>
      <c r="J28" s="130" t="b">
        <f t="shared" si="2"/>
        <v>1</v>
      </c>
      <c r="K28" s="131">
        <f t="shared" si="3"/>
        <v>0</v>
      </c>
      <c r="L28" s="19">
        <v>0</v>
      </c>
      <c r="M28" s="26"/>
      <c r="N28" s="114"/>
      <c r="O28" s="114"/>
    </row>
    <row r="29" spans="1:21">
      <c r="A29" s="116" t="str">
        <f>"R6=2199999;COM="&amp;M29</f>
        <v>R6=2199999;COM=</v>
      </c>
      <c r="B29" s="114"/>
      <c r="C29" s="136" t="s">
        <v>5318</v>
      </c>
      <c r="D29" s="129">
        <v>4219</v>
      </c>
      <c r="E29" s="45">
        <f>ДДС_приложение!E192+ДДС_приложение!E195+ДДС!E68</f>
        <v>0</v>
      </c>
      <c r="F29" s="164"/>
      <c r="G29" s="1245"/>
      <c r="H29" s="1245"/>
      <c r="I29" s="137"/>
      <c r="J29" s="130" t="b">
        <f t="shared" si="2"/>
        <v>1</v>
      </c>
      <c r="K29" s="131">
        <f t="shared" si="3"/>
        <v>0</v>
      </c>
      <c r="L29" s="19">
        <v>0</v>
      </c>
      <c r="M29" s="26"/>
      <c r="N29" s="114"/>
      <c r="O29" s="114"/>
    </row>
    <row r="30" spans="1:21">
      <c r="B30" s="114"/>
      <c r="C30" s="1242" t="s">
        <v>5319</v>
      </c>
      <c r="D30" s="1243">
        <v>4220</v>
      </c>
      <c r="E30" s="1244">
        <f>SUM(E31:E34,E35,E36)</f>
        <v>0</v>
      </c>
      <c r="F30" s="164"/>
      <c r="G30" s="1245"/>
      <c r="H30" s="1245"/>
      <c r="I30" s="1244">
        <f>SUM(I31:I34,I35,I36)</f>
        <v>0</v>
      </c>
      <c r="J30" s="1247" t="b">
        <f t="shared" si="2"/>
        <v>1</v>
      </c>
      <c r="K30" s="1248">
        <f t="shared" si="3"/>
        <v>0</v>
      </c>
      <c r="L30" s="1249">
        <f>SUM(L31:L36)</f>
        <v>0</v>
      </c>
      <c r="M30" s="1250"/>
      <c r="N30" s="114"/>
      <c r="O30" s="114"/>
    </row>
    <row r="31" spans="1:21">
      <c r="B31" s="114"/>
      <c r="C31" s="133" t="s">
        <v>5314</v>
      </c>
      <c r="D31" s="134"/>
      <c r="E31" s="45"/>
      <c r="F31" s="164"/>
      <c r="G31" s="1245"/>
      <c r="H31" s="164"/>
      <c r="I31" s="135"/>
      <c r="J31" s="127"/>
      <c r="K31" s="131"/>
      <c r="L31" s="48"/>
      <c r="M31" s="132"/>
      <c r="N31" s="114"/>
      <c r="O31" s="114"/>
    </row>
    <row r="32" spans="1:21" ht="29">
      <c r="A32" s="116" t="str">
        <f>"R6=2211060;COM="&amp;M32</f>
        <v>R6=2211060;COM=</v>
      </c>
      <c r="B32" s="114"/>
      <c r="C32" s="136" t="s">
        <v>3727</v>
      </c>
      <c r="D32" s="138">
        <v>4221</v>
      </c>
      <c r="E32" s="45">
        <f>ДДС_приложение!E206+SUM(ДДС_приложение!E217:E221)+ДДС!E70+ДДС!E71+ДДС!E69</f>
        <v>0</v>
      </c>
      <c r="F32" s="164"/>
      <c r="G32" s="1245"/>
      <c r="H32" s="1245"/>
      <c r="I32" s="137"/>
      <c r="J32" s="130" t="b">
        <f t="shared" ref="J32:J37" si="4">ABS(E32-I32)&lt;=1</f>
        <v>1</v>
      </c>
      <c r="K32" s="131">
        <f t="shared" ref="K32:K37" si="5">E32-I32</f>
        <v>0</v>
      </c>
      <c r="L32" s="19">
        <v>0</v>
      </c>
      <c r="M32" s="26"/>
      <c r="N32" s="114"/>
      <c r="O32" s="114"/>
    </row>
    <row r="33" spans="1:15">
      <c r="A33" s="116" t="str">
        <f>"R6=2223100;COM="&amp;M33</f>
        <v>R6=2223100;COM=</v>
      </c>
      <c r="B33" s="114"/>
      <c r="C33" s="136" t="s">
        <v>3728</v>
      </c>
      <c r="D33" s="138">
        <v>4222</v>
      </c>
      <c r="E33" s="45">
        <f>ДДС_приложение!E211</f>
        <v>0</v>
      </c>
      <c r="F33" s="164"/>
      <c r="G33" s="1245"/>
      <c r="H33" s="164"/>
      <c r="I33" s="137"/>
      <c r="J33" s="130" t="b">
        <f t="shared" si="4"/>
        <v>1</v>
      </c>
      <c r="K33" s="131">
        <f t="shared" si="5"/>
        <v>0</v>
      </c>
      <c r="L33" s="19">
        <v>0</v>
      </c>
      <c r="M33" s="26"/>
      <c r="N33" s="114"/>
      <c r="O33" s="114"/>
    </row>
    <row r="34" spans="1:15" ht="29">
      <c r="A34" s="116" t="str">
        <f>"R6=2221000;COM="&amp;M34</f>
        <v>R6=2221000;COM=</v>
      </c>
      <c r="B34" s="114"/>
      <c r="C34" s="136" t="s">
        <v>3729</v>
      </c>
      <c r="D34" s="129">
        <v>4223</v>
      </c>
      <c r="E34" s="45">
        <f>ДДС_приложение!E212+ДДС_приложение!E207+ДДС_приложение!E208+ДДС_приложение!E214</f>
        <v>0</v>
      </c>
      <c r="F34" s="164"/>
      <c r="G34" s="1245"/>
      <c r="H34" s="1245"/>
      <c r="I34" s="137"/>
      <c r="J34" s="130" t="b">
        <f t="shared" si="4"/>
        <v>1</v>
      </c>
      <c r="K34" s="131">
        <f t="shared" si="5"/>
        <v>0</v>
      </c>
      <c r="L34" s="19">
        <v>0</v>
      </c>
      <c r="M34" s="26"/>
      <c r="N34" s="114"/>
      <c r="O34" s="114"/>
    </row>
    <row r="35" spans="1:15" ht="29">
      <c r="A35" s="116" t="str">
        <f>"R6=2293000;COM="&amp;M35</f>
        <v>R6=2293000;COM=</v>
      </c>
      <c r="B35" s="114"/>
      <c r="C35" s="136" t="s">
        <v>3730</v>
      </c>
      <c r="D35" s="129">
        <v>4224</v>
      </c>
      <c r="E35" s="45">
        <f>ДДС_приложение!E222</f>
        <v>0</v>
      </c>
      <c r="F35" s="164"/>
      <c r="G35" s="1245"/>
      <c r="H35" s="1245"/>
      <c r="I35" s="137"/>
      <c r="J35" s="130" t="b">
        <f t="shared" si="4"/>
        <v>1</v>
      </c>
      <c r="K35" s="131">
        <f t="shared" si="5"/>
        <v>0</v>
      </c>
      <c r="L35" s="19">
        <v>0</v>
      </c>
      <c r="M35" s="26"/>
      <c r="N35" s="114"/>
      <c r="O35" s="114"/>
    </row>
    <row r="36" spans="1:15">
      <c r="A36" s="116" t="str">
        <f>"R6=2299999;COM="&amp;M36</f>
        <v>R6=2299999;COM=</v>
      </c>
      <c r="B36" s="114"/>
      <c r="C36" s="136" t="s">
        <v>5324</v>
      </c>
      <c r="D36" s="129">
        <v>4229</v>
      </c>
      <c r="E36" s="45">
        <f>ДДС_приложение!E215+ДДС_приложение!E225+ДДС_приложение!E223+ДДС_приложение!E224+ДДС!E72</f>
        <v>0</v>
      </c>
      <c r="F36" s="164"/>
      <c r="G36" s="1245"/>
      <c r="H36" s="1245"/>
      <c r="I36" s="137"/>
      <c r="J36" s="130" t="b">
        <f t="shared" si="4"/>
        <v>1</v>
      </c>
      <c r="K36" s="131">
        <f t="shared" si="5"/>
        <v>0</v>
      </c>
      <c r="L36" s="19">
        <v>0</v>
      </c>
      <c r="M36" s="26"/>
      <c r="N36" s="114"/>
      <c r="O36" s="114"/>
    </row>
    <row r="37" spans="1:15">
      <c r="B37" s="114"/>
      <c r="C37" s="1242" t="s">
        <v>3731</v>
      </c>
      <c r="D37" s="1251">
        <v>4200</v>
      </c>
      <c r="E37" s="1244">
        <f>E23+E30</f>
        <v>0</v>
      </c>
      <c r="F37" s="164"/>
      <c r="G37" s="1245"/>
      <c r="H37" s="1245"/>
      <c r="I37" s="1246">
        <f>I23+I30</f>
        <v>0</v>
      </c>
      <c r="J37" s="1247" t="b">
        <f t="shared" si="4"/>
        <v>1</v>
      </c>
      <c r="K37" s="1248">
        <f t="shared" si="5"/>
        <v>0</v>
      </c>
      <c r="L37" s="1249">
        <f>L23+L30</f>
        <v>0</v>
      </c>
      <c r="M37" s="1250"/>
      <c r="N37" s="114"/>
      <c r="O37" s="114"/>
    </row>
    <row r="38" spans="1:15">
      <c r="B38" s="114"/>
      <c r="C38" s="128" t="s">
        <v>3732</v>
      </c>
      <c r="D38" s="139"/>
      <c r="E38" s="45"/>
      <c r="F38" s="164"/>
      <c r="G38" s="1245"/>
      <c r="H38" s="164"/>
      <c r="I38" s="135"/>
      <c r="J38" s="127"/>
      <c r="K38" s="131"/>
      <c r="L38" s="48"/>
      <c r="M38" s="132"/>
      <c r="N38" s="114"/>
      <c r="O38" s="114"/>
    </row>
    <row r="39" spans="1:15">
      <c r="B39" s="114"/>
      <c r="C39" s="128" t="s">
        <v>5313</v>
      </c>
      <c r="D39" s="129">
        <v>4310</v>
      </c>
      <c r="E39" s="45">
        <f>SUM(E41:E45,E46)</f>
        <v>0</v>
      </c>
      <c r="F39" s="164"/>
      <c r="G39" s="1245"/>
      <c r="H39" s="164"/>
      <c r="I39" s="43">
        <f>SUM(I41:I45,I46)</f>
        <v>0</v>
      </c>
      <c r="J39" s="130" t="b">
        <f>ABS(E39-I39)&lt;=1</f>
        <v>1</v>
      </c>
      <c r="K39" s="131">
        <f>E39-I39</f>
        <v>0</v>
      </c>
      <c r="L39" s="44">
        <f>SUM(L41:L46)</f>
        <v>0</v>
      </c>
      <c r="M39" s="132"/>
      <c r="N39" s="114"/>
      <c r="O39" s="114"/>
    </row>
    <row r="40" spans="1:15">
      <c r="B40" s="114"/>
      <c r="C40" s="133" t="s">
        <v>5314</v>
      </c>
      <c r="D40" s="134"/>
      <c r="E40" s="45"/>
      <c r="F40" s="164"/>
      <c r="G40" s="1245"/>
      <c r="H40" s="164"/>
      <c r="I40" s="135"/>
      <c r="J40" s="127"/>
      <c r="K40" s="131"/>
      <c r="L40" s="48"/>
      <c r="M40" s="132"/>
      <c r="N40" s="114"/>
      <c r="O40" s="114"/>
    </row>
    <row r="41" spans="1:15">
      <c r="A41" s="116" t="str">
        <f>"R6=3112400;COM="&amp;M41</f>
        <v>R6=3112400;COM=</v>
      </c>
      <c r="B41" s="114"/>
      <c r="C41" s="136" t="s">
        <v>3733</v>
      </c>
      <c r="D41" s="129">
        <v>4311</v>
      </c>
      <c r="E41" s="49">
        <f>ДДС_приложение!E230+ДДС_приложение!E231+ДДС_приложение!E232+ДДС_приложение!E233+IF((ДДС_приложение!E234+ДДС_приложение!E260)&gt;0,(ДДС_приложение!E234+ДДС_приложение!E260),0)</f>
        <v>0</v>
      </c>
      <c r="F41" s="164"/>
      <c r="G41" s="1245"/>
      <c r="H41" s="164"/>
      <c r="I41" s="137"/>
      <c r="J41" s="130" t="b">
        <f t="shared" ref="J41:J47" si="6">ABS(E41-I41)&lt;=1</f>
        <v>1</v>
      </c>
      <c r="K41" s="131">
        <f t="shared" ref="K41:K47" si="7">E41-I41</f>
        <v>0</v>
      </c>
      <c r="L41" s="19">
        <v>0</v>
      </c>
      <c r="M41" s="26"/>
      <c r="N41" s="114"/>
      <c r="O41" s="114"/>
    </row>
    <row r="42" spans="1:15">
      <c r="A42" s="116" t="str">
        <f>"R6=3191000;COM="&amp;M42</f>
        <v>R6=3191000;COM=</v>
      </c>
      <c r="B42" s="114"/>
      <c r="C42" s="136" t="s">
        <v>3734</v>
      </c>
      <c r="D42" s="138">
        <v>4312</v>
      </c>
      <c r="E42" s="45">
        <f>ДДС_приложение!E251</f>
        <v>0</v>
      </c>
      <c r="F42" s="164"/>
      <c r="G42" s="1245"/>
      <c r="H42" s="164"/>
      <c r="I42" s="137"/>
      <c r="J42" s="130" t="b">
        <f t="shared" si="6"/>
        <v>1</v>
      </c>
      <c r="K42" s="131">
        <f t="shared" si="7"/>
        <v>0</v>
      </c>
      <c r="L42" s="19">
        <v>0</v>
      </c>
      <c r="M42" s="26"/>
      <c r="N42" s="114"/>
      <c r="O42" s="114"/>
    </row>
    <row r="43" spans="1:15">
      <c r="A43" s="116" t="str">
        <f>"R6=3130000;COM="&amp;M43</f>
        <v>R6=3130000;COM=</v>
      </c>
      <c r="B43" s="114"/>
      <c r="C43" s="136" t="s">
        <v>3735</v>
      </c>
      <c r="D43" s="129">
        <v>4313</v>
      </c>
      <c r="E43" s="45">
        <f>ДДС_приложение!E249</f>
        <v>0</v>
      </c>
      <c r="F43" s="164"/>
      <c r="G43" s="1245"/>
      <c r="H43" s="164"/>
      <c r="I43" s="137"/>
      <c r="J43" s="130" t="b">
        <f t="shared" si="6"/>
        <v>1</v>
      </c>
      <c r="K43" s="131">
        <f t="shared" si="7"/>
        <v>0</v>
      </c>
      <c r="L43" s="19">
        <v>0</v>
      </c>
      <c r="M43" s="26"/>
      <c r="N43" s="114"/>
      <c r="O43" s="114"/>
    </row>
    <row r="44" spans="1:15">
      <c r="A44" s="116" t="str">
        <f>"R6=3111000;COM="&amp;M44</f>
        <v>R6=3111000;COM=</v>
      </c>
      <c r="B44" s="114"/>
      <c r="C44" s="136" t="s">
        <v>3736</v>
      </c>
      <c r="D44" s="129">
        <v>4314</v>
      </c>
      <c r="E44" s="45">
        <f>ДДС_приложение!E229</f>
        <v>0</v>
      </c>
      <c r="F44" s="164"/>
      <c r="G44" s="1245"/>
      <c r="H44" s="164"/>
      <c r="I44" s="137"/>
      <c r="J44" s="130" t="b">
        <f t="shared" si="6"/>
        <v>1</v>
      </c>
      <c r="K44" s="131">
        <f t="shared" si="7"/>
        <v>0</v>
      </c>
      <c r="L44" s="19">
        <v>0</v>
      </c>
      <c r="M44" s="26"/>
      <c r="N44" s="114"/>
      <c r="O44" s="114"/>
    </row>
    <row r="45" spans="1:15">
      <c r="A45" s="116" t="str">
        <f>"R6=3125000;COM="&amp;M45</f>
        <v>R6=3125000;COM=</v>
      </c>
      <c r="B45" s="114"/>
      <c r="C45" s="136" t="s">
        <v>3737</v>
      </c>
      <c r="D45" s="129">
        <v>4315</v>
      </c>
      <c r="E45" s="45">
        <f>ДДС_приложение!E248</f>
        <v>0</v>
      </c>
      <c r="F45" s="164"/>
      <c r="G45" s="1245"/>
      <c r="H45" s="164"/>
      <c r="I45" s="137"/>
      <c r="J45" s="130" t="b">
        <f t="shared" si="6"/>
        <v>1</v>
      </c>
      <c r="K45" s="131">
        <f t="shared" si="7"/>
        <v>0</v>
      </c>
      <c r="L45" s="19"/>
      <c r="M45" s="26"/>
      <c r="N45" s="114"/>
      <c r="O45" s="114"/>
    </row>
    <row r="46" spans="1:15">
      <c r="A46" s="116" t="str">
        <f>"R6=3199999;COM="&amp;M46</f>
        <v>R6=3199999;COM=</v>
      </c>
      <c r="B46" s="114"/>
      <c r="C46" s="136" t="s">
        <v>5318</v>
      </c>
      <c r="D46" s="129">
        <v>4319</v>
      </c>
      <c r="E46" s="45">
        <f>ДДС_приложение!E252</f>
        <v>0</v>
      </c>
      <c r="F46" s="164"/>
      <c r="G46" s="1245"/>
      <c r="H46" s="164"/>
      <c r="I46" s="137"/>
      <c r="J46" s="130" t="b">
        <f t="shared" si="6"/>
        <v>1</v>
      </c>
      <c r="K46" s="131">
        <f t="shared" si="7"/>
        <v>0</v>
      </c>
      <c r="L46" s="19">
        <v>0</v>
      </c>
      <c r="M46" s="26"/>
      <c r="N46" s="114"/>
      <c r="O46" s="114"/>
    </row>
    <row r="47" spans="1:15">
      <c r="B47" s="114"/>
      <c r="C47" s="1242" t="s">
        <v>5319</v>
      </c>
      <c r="D47" s="1243">
        <v>4320</v>
      </c>
      <c r="E47" s="1244">
        <f>SUM(E49:E52)</f>
        <v>0</v>
      </c>
      <c r="F47" s="164"/>
      <c r="G47" s="1245"/>
      <c r="H47" s="1245"/>
      <c r="I47" s="1246">
        <f>SUM(I49:I52)</f>
        <v>0</v>
      </c>
      <c r="J47" s="1247" t="b">
        <f t="shared" si="6"/>
        <v>1</v>
      </c>
      <c r="K47" s="1248">
        <f t="shared" si="7"/>
        <v>0</v>
      </c>
      <c r="L47" s="1249">
        <f>SUM(L49:L52)</f>
        <v>0</v>
      </c>
      <c r="M47" s="1250"/>
      <c r="N47" s="114"/>
      <c r="O47" s="114"/>
    </row>
    <row r="48" spans="1:15">
      <c r="B48" s="114"/>
      <c r="C48" s="133" t="s">
        <v>5314</v>
      </c>
      <c r="D48" s="134"/>
      <c r="E48" s="45"/>
      <c r="F48" s="164"/>
      <c r="G48" s="1245"/>
      <c r="H48" s="164"/>
      <c r="I48" s="135"/>
      <c r="J48" s="127"/>
      <c r="K48" s="131"/>
      <c r="L48" s="48"/>
      <c r="M48" s="132"/>
      <c r="N48" s="114"/>
      <c r="O48" s="114"/>
    </row>
    <row r="49" spans="1:15" ht="29">
      <c r="A49" s="116" t="str">
        <f>"R6=3292000;COM="&amp;M49</f>
        <v>R6=3292000;COM=</v>
      </c>
      <c r="B49" s="114"/>
      <c r="C49" s="136" t="s">
        <v>3738</v>
      </c>
      <c r="D49" s="129">
        <v>4321</v>
      </c>
      <c r="E49" s="45">
        <f>ДДС_приложение!E266</f>
        <v>0</v>
      </c>
      <c r="F49" s="164"/>
      <c r="G49" s="1245"/>
      <c r="H49" s="164"/>
      <c r="I49" s="137"/>
      <c r="J49" s="130" t="b">
        <f t="shared" ref="J49:J57" si="8">ABS(E49-I49)&lt;=1</f>
        <v>1</v>
      </c>
      <c r="K49" s="131">
        <f t="shared" ref="K49:K57" si="9">E49-I49</f>
        <v>0</v>
      </c>
      <c r="L49" s="19">
        <v>0</v>
      </c>
      <c r="M49" s="26"/>
      <c r="N49" s="114"/>
      <c r="O49" s="114"/>
    </row>
    <row r="50" spans="1:15" ht="29">
      <c r="A50" s="116" t="str">
        <f>"R6=3221000;COM="&amp;M50</f>
        <v>R6=3221000;COM=</v>
      </c>
      <c r="B50" s="114"/>
      <c r="C50" s="136" t="s">
        <v>3739</v>
      </c>
      <c r="D50" s="129">
        <v>4322</v>
      </c>
      <c r="E50" s="45">
        <f>ДДС_приложение!E264</f>
        <v>0</v>
      </c>
      <c r="F50" s="164"/>
      <c r="G50" s="1245"/>
      <c r="H50" s="164"/>
      <c r="I50" s="137"/>
      <c r="J50" s="130" t="b">
        <f>ABS(E50-I50)&lt;=1</f>
        <v>1</v>
      </c>
      <c r="K50" s="131">
        <f t="shared" si="9"/>
        <v>0</v>
      </c>
      <c r="L50" s="19">
        <v>0</v>
      </c>
      <c r="M50" s="26"/>
      <c r="N50" s="114"/>
      <c r="O50" s="114"/>
    </row>
    <row r="51" spans="1:15" ht="29">
      <c r="A51" s="116" t="str">
        <f>"R6=3211000;COM="&amp;M51</f>
        <v>R6=3211000;COM=</v>
      </c>
      <c r="B51" s="114"/>
      <c r="C51" s="136" t="s">
        <v>3740</v>
      </c>
      <c r="D51" s="129">
        <v>4323</v>
      </c>
      <c r="E51" s="49">
        <f>ДДС_приложение!E261+IF((ДДС_приложение!E234+ДДС_приложение!E260)&lt;0,ДДС_приложение!E234,-ДДС_приложение!E260)</f>
        <v>0</v>
      </c>
      <c r="F51" s="164"/>
      <c r="G51" s="1245"/>
      <c r="H51" s="1245"/>
      <c r="I51" s="137"/>
      <c r="J51" s="130" t="b">
        <f t="shared" si="8"/>
        <v>1</v>
      </c>
      <c r="K51" s="131">
        <f t="shared" si="9"/>
        <v>0</v>
      </c>
      <c r="L51" s="19">
        <v>0</v>
      </c>
      <c r="M51" s="26"/>
      <c r="N51" s="114"/>
      <c r="O51" s="114"/>
    </row>
    <row r="52" spans="1:15">
      <c r="A52" s="116" t="str">
        <f>"R6=3299999;COM="&amp;M52</f>
        <v>R6=3299999;COM=</v>
      </c>
      <c r="B52" s="114"/>
      <c r="C52" s="136" t="s">
        <v>5324</v>
      </c>
      <c r="D52" s="129">
        <v>4329</v>
      </c>
      <c r="E52" s="45">
        <f>ДДС_приложение!E265+ДДС_приложение!E267+E74</f>
        <v>0</v>
      </c>
      <c r="F52" s="164"/>
      <c r="G52" s="1245"/>
      <c r="H52" s="164"/>
      <c r="I52" s="137"/>
      <c r="J52" s="130" t="b">
        <f t="shared" si="8"/>
        <v>1</v>
      </c>
      <c r="K52" s="131">
        <f t="shared" si="9"/>
        <v>0</v>
      </c>
      <c r="L52" s="19">
        <v>0</v>
      </c>
      <c r="M52" s="26"/>
      <c r="N52" s="114"/>
      <c r="O52" s="114"/>
    </row>
    <row r="53" spans="1:15">
      <c r="B53" s="114"/>
      <c r="C53" s="1242" t="s">
        <v>3741</v>
      </c>
      <c r="D53" s="1251">
        <v>4300</v>
      </c>
      <c r="E53" s="1244">
        <f>E39+E47</f>
        <v>0</v>
      </c>
      <c r="F53" s="164"/>
      <c r="G53" s="1245"/>
      <c r="H53" s="1245"/>
      <c r="I53" s="1246">
        <f>I39+I47</f>
        <v>0</v>
      </c>
      <c r="J53" s="1247" t="b">
        <f t="shared" si="8"/>
        <v>1</v>
      </c>
      <c r="K53" s="1248">
        <f>E53-I53</f>
        <v>0</v>
      </c>
      <c r="L53" s="1249">
        <f>L39+L47</f>
        <v>0</v>
      </c>
      <c r="M53" s="1250"/>
      <c r="N53" s="114"/>
      <c r="O53" s="114"/>
    </row>
    <row r="54" spans="1:15">
      <c r="B54" s="114"/>
      <c r="C54" s="1242" t="s">
        <v>3742</v>
      </c>
      <c r="D54" s="1252">
        <v>4400</v>
      </c>
      <c r="E54" s="1244">
        <f>SUM(E21,E37,E53)</f>
        <v>0</v>
      </c>
      <c r="F54" s="164"/>
      <c r="G54" s="1245"/>
      <c r="H54" s="1245"/>
      <c r="I54" s="1246">
        <f>SUM(I21,I37,I53)</f>
        <v>0</v>
      </c>
      <c r="J54" s="1247" t="b">
        <f t="shared" si="8"/>
        <v>1</v>
      </c>
      <c r="K54" s="1248">
        <f t="shared" si="9"/>
        <v>0</v>
      </c>
      <c r="L54" s="1249">
        <f>SUM(L21,L37,L53)</f>
        <v>0</v>
      </c>
      <c r="M54" s="1250"/>
      <c r="N54" s="114"/>
      <c r="O54" s="114"/>
    </row>
    <row r="55" spans="1:15" ht="26.5">
      <c r="A55" s="116" t="str">
        <f>"R6=9990000;COM="&amp;M55</f>
        <v>R6=9990000;COM=</v>
      </c>
      <c r="B55" s="114"/>
      <c r="C55" s="128" t="s">
        <v>3743</v>
      </c>
      <c r="D55" s="140">
        <v>4450</v>
      </c>
      <c r="E55" s="49">
        <f>'50'!E7+'51'!F7+'52'!G7+'55'!H7+'57'!G7+SUMIF('58_04'!C:C,"{1} Со сроком до даты погашения (размещения) три и менее месяцев",'58_04'!L:L)-SUMIF('50'!C:C,"{03} Денежные документы",'50'!E:E)+'58_01_1'!P11+'58_01_2'!P11</f>
        <v>0</v>
      </c>
      <c r="F55" s="164"/>
      <c r="G55" s="1245"/>
      <c r="H55" s="1245"/>
      <c r="I55" s="137"/>
      <c r="J55" s="130" t="b">
        <f t="shared" si="8"/>
        <v>1</v>
      </c>
      <c r="K55" s="131">
        <f t="shared" si="9"/>
        <v>0</v>
      </c>
      <c r="L55" s="19">
        <v>0</v>
      </c>
      <c r="M55" s="26"/>
      <c r="N55" s="114"/>
      <c r="O55" s="114"/>
    </row>
    <row r="56" spans="1:15" ht="26.5">
      <c r="B56" s="114"/>
      <c r="C56" s="1242" t="s">
        <v>3744</v>
      </c>
      <c r="D56" s="1252">
        <v>4500</v>
      </c>
      <c r="E56" s="1244">
        <f>SUM(E54:E55,E57)</f>
        <v>0</v>
      </c>
      <c r="F56" s="164"/>
      <c r="G56" s="1245"/>
      <c r="H56" s="1245"/>
      <c r="I56" s="1246">
        <f>SUM(I54:I55,I57)</f>
        <v>0</v>
      </c>
      <c r="J56" s="1247" t="b">
        <f t="shared" si="8"/>
        <v>1</v>
      </c>
      <c r="K56" s="1248">
        <f t="shared" si="9"/>
        <v>0</v>
      </c>
      <c r="L56" s="1249">
        <f>SUM(L54:L55,L57)</f>
        <v>0</v>
      </c>
      <c r="M56" s="1250"/>
      <c r="N56" s="114"/>
      <c r="O56" s="114"/>
    </row>
    <row r="57" spans="1:15" ht="15" thickBot="1">
      <c r="A57" s="116" t="str">
        <f>"R6=4000000;COM="&amp;M57</f>
        <v>R6=4000000;COM=</v>
      </c>
      <c r="B57" s="114"/>
      <c r="C57" s="141" t="s">
        <v>3745</v>
      </c>
      <c r="D57" s="142">
        <v>4490</v>
      </c>
      <c r="E57" s="165">
        <f>ДДС_приложение!E272+SUMIF('58_04'!C:C,"{1} Со сроком до даты погашения (размещения) три и менее месяцев",'58_04'!S:S)</f>
        <v>0</v>
      </c>
      <c r="F57" s="164"/>
      <c r="G57" s="1245"/>
      <c r="H57" s="114"/>
      <c r="I57" s="143"/>
      <c r="J57" s="144" t="b">
        <f t="shared" si="8"/>
        <v>1</v>
      </c>
      <c r="K57" s="145">
        <f t="shared" si="9"/>
        <v>0</v>
      </c>
      <c r="L57" s="102">
        <v>0</v>
      </c>
      <c r="M57" s="103"/>
      <c r="N57" s="114"/>
      <c r="O57" s="114"/>
    </row>
    <row r="58" spans="1:15">
      <c r="B58" s="114"/>
      <c r="C58" s="8"/>
      <c r="D58" s="8"/>
      <c r="E58" s="8"/>
      <c r="F58" s="114"/>
      <c r="G58" s="114"/>
      <c r="H58" s="114"/>
      <c r="I58" s="8"/>
      <c r="J58" s="370" t="b">
        <f>AND(J8:J57)</f>
        <v>1</v>
      </c>
      <c r="K58" s="8"/>
      <c r="L58" s="8"/>
      <c r="M58" s="8"/>
      <c r="N58" s="114"/>
      <c r="O58" s="114"/>
    </row>
    <row r="59" spans="1:15">
      <c r="E59" s="1253" t="s">
        <v>3746</v>
      </c>
      <c r="I59" s="370"/>
    </row>
    <row r="60" spans="1:15" ht="43.5">
      <c r="E60" s="2877" t="s">
        <v>1638</v>
      </c>
    </row>
    <row r="61" spans="1:15" ht="30" customHeight="1">
      <c r="A61" s="116" t="str">
        <f>"R6="&amp;MID(D61,1,7)&amp;";R10=0102"</f>
        <v>R6=5301000;R10=0102</v>
      </c>
      <c r="C61" s="1283" t="s">
        <v>1450</v>
      </c>
      <c r="D61" s="1254">
        <v>5301000</v>
      </c>
      <c r="E61" s="2459">
        <f>IF(ABS((E63+E64+E65+E67+E68-E76))&gt;ABS((E66+E69+E70+E71+E72+E73+E74-E75)),((E63+E64+E65+E67+E68-E76)+(E66+E69+E70+E71+E72+E73+E74-E75)),0)</f>
        <v>0</v>
      </c>
      <c r="G61" s="32"/>
      <c r="H61" s="1285"/>
      <c r="I61" s="116"/>
      <c r="J61" s="116"/>
      <c r="K61" s="116"/>
      <c r="L61" s="116"/>
      <c r="M61" s="116"/>
    </row>
    <row r="62" spans="1:15" ht="29">
      <c r="A62" s="116" t="str">
        <f t="shared" ref="A62:A74" si="10">"R6="&amp;MID(D62,1,7)&amp;";R10=0102"</f>
        <v>R6=5302000;R10=0102</v>
      </c>
      <c r="C62" s="1283" t="s">
        <v>1451</v>
      </c>
      <c r="D62" s="1254">
        <v>5302000</v>
      </c>
      <c r="E62" s="2459">
        <f>IF(ABS((E63+E64+E65+E67+E68-E76))&gt;ABS((E66+E69+E70+E71+E72+E73+E74-E75)),0,((E63+E64+E65+E67+E68-E76)+(E66+E69+E70+E71+E72+E73+E74-E75)))</f>
        <v>0</v>
      </c>
      <c r="G62" s="32"/>
      <c r="H62" s="32"/>
      <c r="I62" s="3029" t="s">
        <v>9615</v>
      </c>
      <c r="J62" s="3028" t="b">
        <f>AND(J63:J74)</f>
        <v>0</v>
      </c>
      <c r="K62" s="116"/>
      <c r="L62" s="116"/>
      <c r="M62" s="116"/>
    </row>
    <row r="63" spans="1:15" ht="29">
      <c r="A63" s="116" t="str">
        <f t="shared" si="10"/>
        <v>R6=5303000;R10=0102</v>
      </c>
      <c r="C63" s="1283" t="s">
        <v>1452</v>
      </c>
      <c r="D63" s="1254">
        <v>5303000</v>
      </c>
      <c r="E63" s="2452"/>
      <c r="G63" s="32"/>
      <c r="H63" s="32"/>
      <c r="I63" s="3030"/>
      <c r="J63" s="3027" t="b">
        <f>OR(E63&lt;&gt;"",I63="Да")</f>
        <v>0</v>
      </c>
      <c r="K63" s="116"/>
      <c r="L63" s="116"/>
      <c r="M63" s="116"/>
    </row>
    <row r="64" spans="1:15" ht="29">
      <c r="A64" s="116" t="str">
        <f t="shared" si="10"/>
        <v>R6=5304000;R10=0102</v>
      </c>
      <c r="C64" s="1283" t="s">
        <v>1453</v>
      </c>
      <c r="D64" s="1254">
        <v>5304000</v>
      </c>
      <c r="E64" s="1255"/>
      <c r="G64" s="32"/>
      <c r="H64" s="1163" t="s">
        <v>2903</v>
      </c>
      <c r="I64" s="3030"/>
      <c r="J64" s="3027" t="b">
        <f t="shared" ref="J64:J74" si="11">OR(E64&lt;&gt;"",I64="Да")</f>
        <v>0</v>
      </c>
      <c r="K64" s="116"/>
      <c r="L64" s="116"/>
      <c r="M64" s="116"/>
    </row>
    <row r="65" spans="1:13">
      <c r="A65" s="116" t="str">
        <f t="shared" si="10"/>
        <v>R6=5305000;R10=0102</v>
      </c>
      <c r="C65" s="1283" t="s">
        <v>1454</v>
      </c>
      <c r="D65" s="1254">
        <v>5305000</v>
      </c>
      <c r="E65" s="1255"/>
      <c r="G65" s="32"/>
      <c r="H65" s="32"/>
      <c r="I65" s="3030"/>
      <c r="J65" s="3027" t="b">
        <f t="shared" si="11"/>
        <v>0</v>
      </c>
      <c r="K65" s="116"/>
      <c r="L65" s="116"/>
      <c r="M65" s="116"/>
    </row>
    <row r="66" spans="1:13" ht="29">
      <c r="A66" s="116" t="str">
        <f t="shared" si="10"/>
        <v>R6=5306000;R10=0102</v>
      </c>
      <c r="C66" s="1283" t="s">
        <v>1455</v>
      </c>
      <c r="D66" s="1254">
        <v>5306000</v>
      </c>
      <c r="E66" s="1286"/>
      <c r="G66" s="32"/>
      <c r="H66" s="32"/>
      <c r="I66" s="3030"/>
      <c r="J66" s="3027" t="b">
        <f t="shared" si="11"/>
        <v>0</v>
      </c>
      <c r="K66" s="116"/>
      <c r="L66" s="116"/>
      <c r="M66" s="116"/>
    </row>
    <row r="67" spans="1:13" ht="29">
      <c r="A67" s="116" t="str">
        <f t="shared" si="10"/>
        <v>R6=5307000;R10=0102</v>
      </c>
      <c r="C67" s="1283" t="s">
        <v>1456</v>
      </c>
      <c r="D67" s="1254">
        <v>5307000</v>
      </c>
      <c r="E67" s="1255"/>
      <c r="G67" s="32"/>
      <c r="H67" s="32"/>
      <c r="I67" s="3030"/>
      <c r="J67" s="3027" t="b">
        <f t="shared" si="11"/>
        <v>0</v>
      </c>
      <c r="K67" s="116"/>
      <c r="L67" s="116"/>
      <c r="M67" s="116"/>
    </row>
    <row r="68" spans="1:13" ht="29">
      <c r="A68" s="116" t="str">
        <f t="shared" si="10"/>
        <v>R6=5308000;R10=0102</v>
      </c>
      <c r="C68" s="1283" t="s">
        <v>1457</v>
      </c>
      <c r="D68" s="1254">
        <v>5308000</v>
      </c>
      <c r="E68" s="1255"/>
      <c r="G68" s="32"/>
      <c r="H68" s="32"/>
      <c r="I68" s="3030"/>
      <c r="J68" s="3027" t="b">
        <f t="shared" si="11"/>
        <v>0</v>
      </c>
      <c r="K68" s="116"/>
      <c r="L68" s="116"/>
      <c r="M68" s="116"/>
    </row>
    <row r="69" spans="1:13" ht="29">
      <c r="A69" s="116" t="str">
        <f t="shared" si="10"/>
        <v>R6=5309000;R10=0102</v>
      </c>
      <c r="C69" s="1283" t="s">
        <v>1458</v>
      </c>
      <c r="D69" s="1254">
        <v>5309000</v>
      </c>
      <c r="E69" s="1286"/>
      <c r="G69" s="32"/>
      <c r="H69" s="32"/>
      <c r="I69" s="3030"/>
      <c r="J69" s="3027" t="b">
        <f t="shared" si="11"/>
        <v>0</v>
      </c>
      <c r="K69" s="116"/>
      <c r="L69" s="116"/>
      <c r="M69" s="116"/>
    </row>
    <row r="70" spans="1:13" ht="29">
      <c r="A70" s="116" t="str">
        <f t="shared" si="10"/>
        <v>R6=5310000;R10=0102</v>
      </c>
      <c r="C70" s="1283" t="s">
        <v>1459</v>
      </c>
      <c r="D70" s="1254">
        <v>5310000</v>
      </c>
      <c r="E70" s="1286"/>
      <c r="G70" s="32"/>
      <c r="H70" s="32"/>
      <c r="I70" s="3030"/>
      <c r="J70" s="3027" t="b">
        <f t="shared" si="11"/>
        <v>0</v>
      </c>
      <c r="K70" s="116"/>
      <c r="L70" s="116"/>
      <c r="M70" s="116"/>
    </row>
    <row r="71" spans="1:13">
      <c r="A71" s="116" t="str">
        <f t="shared" si="10"/>
        <v>R6=5311000;R10=0102</v>
      </c>
      <c r="C71" s="1283" t="s">
        <v>1460</v>
      </c>
      <c r="D71" s="1254">
        <v>5311000</v>
      </c>
      <c r="E71" s="1286"/>
      <c r="G71" s="32"/>
      <c r="H71" s="32"/>
      <c r="I71" s="3030"/>
      <c r="J71" s="3027" t="b">
        <f t="shared" si="11"/>
        <v>0</v>
      </c>
      <c r="K71" s="116"/>
      <c r="L71" s="116"/>
      <c r="M71" s="116"/>
    </row>
    <row r="72" spans="1:13">
      <c r="A72" s="116" t="str">
        <f t="shared" si="10"/>
        <v>R6=5312000;R10=0102</v>
      </c>
      <c r="C72" s="1283" t="s">
        <v>1635</v>
      </c>
      <c r="D72" s="1254">
        <v>5312000</v>
      </c>
      <c r="E72" s="1286"/>
      <c r="G72" s="32"/>
      <c r="H72" s="32"/>
      <c r="I72" s="3030"/>
      <c r="J72" s="3027" t="b">
        <f t="shared" si="11"/>
        <v>0</v>
      </c>
      <c r="K72" s="116"/>
      <c r="L72" s="116"/>
      <c r="M72" s="116"/>
    </row>
    <row r="73" spans="1:13" ht="29">
      <c r="A73" s="116" t="str">
        <f t="shared" si="10"/>
        <v>R6=5313000;R10=0102</v>
      </c>
      <c r="C73" s="1283" t="s">
        <v>1636</v>
      </c>
      <c r="D73" s="1254">
        <v>5313000</v>
      </c>
      <c r="E73" s="1286"/>
      <c r="G73" s="32"/>
      <c r="H73" s="32"/>
      <c r="I73" s="3030"/>
      <c r="J73" s="3027" t="b">
        <f t="shared" si="11"/>
        <v>0</v>
      </c>
      <c r="K73" s="116"/>
      <c r="L73" s="116"/>
      <c r="M73" s="116"/>
    </row>
    <row r="74" spans="1:13" ht="29">
      <c r="A74" s="116" t="str">
        <f t="shared" si="10"/>
        <v>R6=5314000;R10=0102</v>
      </c>
      <c r="C74" s="1283" t="s">
        <v>1637</v>
      </c>
      <c r="D74" s="1254">
        <v>5314000</v>
      </c>
      <c r="E74" s="1286"/>
      <c r="G74" s="32"/>
      <c r="H74" s="32"/>
      <c r="I74" s="3030"/>
      <c r="J74" s="3027" t="b">
        <f t="shared" si="11"/>
        <v>0</v>
      </c>
      <c r="K74" s="116"/>
      <c r="L74" s="116"/>
      <c r="M74" s="116"/>
    </row>
    <row r="75" spans="1:13">
      <c r="C75" s="1283" t="s">
        <v>6790</v>
      </c>
      <c r="D75" s="1254" t="s">
        <v>6789</v>
      </c>
      <c r="E75" s="2459">
        <f>ДДС_приложение!E121</f>
        <v>0</v>
      </c>
      <c r="G75" s="32"/>
      <c r="H75" s="32"/>
      <c r="J75" s="116"/>
      <c r="K75" s="116"/>
      <c r="L75" s="116"/>
      <c r="M75" s="116"/>
    </row>
    <row r="76" spans="1:13">
      <c r="C76" s="2460" t="s">
        <v>6791</v>
      </c>
      <c r="D76" s="2461" t="s">
        <v>6792</v>
      </c>
      <c r="E76" s="2459">
        <f>ДДС_приложение!E20</f>
        <v>0</v>
      </c>
      <c r="G76" s="32"/>
      <c r="H76" s="32"/>
      <c r="K76" s="116"/>
      <c r="L76" s="116"/>
      <c r="M76" s="116"/>
    </row>
  </sheetData>
  <sheetProtection algorithmName="SHA-512" hashValue="MO2eVLB/MHn72lF/2IhjfOBfeMRllVLx95vj5GRU+uaYBn35gERxrIR/s/VB7OYb6z3u+tQQ0dMn0N2O6Lw0Dw==" saltValue="+URHJf1ifjh2Y0wfEpDBVQ==" spinCount="100000" sheet="1" objects="1" scenarios="1" formatColumns="0" formatRows="0" autoFilter="0"/>
  <autoFilter ref="C6:M6"/>
  <customSheetViews>
    <customSheetView guid="{3769259D-9653-4B34-A2F6-4FB6F9F4E533}" scale="70" showGridLines="0">
      <selection sqref="A1:A65536"/>
      <pageMargins left="0.7" right="0.7" top="0.75" bottom="0.75" header="0.3" footer="0.3"/>
      <pageSetup paperSize="9" orientation="portrait" r:id="rId1"/>
    </customSheetView>
    <customSheetView guid="{40D7A2BB-326C-4ED3-999C-17852F56D6F4}" scale="70" showGridLines="0">
      <selection sqref="A1:A65536"/>
      <pageMargins left="0.7" right="0.7" top="0.75" bottom="0.75" header="0.3" footer="0.3"/>
      <pageSetup paperSize="9" orientation="portrait" r:id="rId2"/>
    </customSheetView>
    <customSheetView guid="{5D121940-0CE8-4A0E-A493-67FAAA6E0FF8}" scale="70" showGridLines="0" hiddenRows="1" hiddenColumns="1" topLeftCell="B3">
      <selection activeCell="E21" sqref="E21"/>
      <pageMargins left="0.7" right="0.7" top="0.75" bottom="0.75" header="0.3" footer="0.3"/>
      <pageSetup paperSize="9" orientation="portrait" r:id="rId3"/>
    </customSheetView>
    <customSheetView guid="{47AEACC4-6EA5-412C-AF39-A6C5357B313A}" scale="70" showGridLines="0" hiddenRows="1" hiddenColumns="1" topLeftCell="B3">
      <selection activeCell="E21" sqref="E21"/>
      <pageMargins left="0.7" right="0.7" top="0.75" bottom="0.75" header="0.3" footer="0.3"/>
      <pageSetup paperSize="9" orientation="portrait" r:id="rId4"/>
    </customSheetView>
    <customSheetView guid="{4D957B38-5430-481E-B791-E0A66F913B50}" scale="70">
      <selection activeCell="C9" sqref="C9:C10"/>
      <pageMargins left="0.7" right="0.7" top="0.75" bottom="0.75" header="0.3" footer="0.3"/>
    </customSheetView>
    <customSheetView guid="{D03DFE91-19D2-43BA-897C-B86D033537EB}" scale="70">
      <selection activeCell="C8" sqref="C8"/>
      <pageMargins left="0.7" right="0.7" top="0.75" bottom="0.75" header="0.3" footer="0.3"/>
    </customSheetView>
    <customSheetView guid="{1C36793E-2B7E-411E-AA99-985D5D59B75A}" scale="70">
      <selection activeCell="A25" sqref="A25"/>
      <pageMargins left="0.7" right="0.7" top="0.75" bottom="0.75" header="0.3" footer="0.3"/>
    </customSheetView>
    <customSheetView guid="{C913A9E8-661B-40A4-A3C9-1BC5F2B2E9F0}" scale="70" showGridLines="0" hiddenRows="1" hiddenColumns="1" topLeftCell="B3">
      <selection activeCell="E21" sqref="E21"/>
      <pageMargins left="0.7" right="0.7" top="0.75" bottom="0.75" header="0.3" footer="0.3"/>
      <pageSetup paperSize="9" orientation="portrait" r:id="rId5"/>
    </customSheetView>
  </customSheetViews>
  <mergeCells count="3">
    <mergeCell ref="C4:C5"/>
    <mergeCell ref="I4:L4"/>
    <mergeCell ref="D4:E4"/>
  </mergeCells>
  <phoneticPr fontId="0" type="noConversion"/>
  <dataValidations disablePrompts="1" count="1">
    <dataValidation type="list" allowBlank="1" showInputMessage="1" showErrorMessage="1" sqref="I63:I74">
      <formula1>"Да,Нет"</formula1>
    </dataValidation>
  </dataValidations>
  <hyperlinks>
    <hyperlink ref="D1"/>
    <hyperlink ref="I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8" orientation="portrait" r:id="rId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B1:N274"/>
  <sheetViews>
    <sheetView topLeftCell="F116" zoomScale="69" zoomScaleNormal="69" workbookViewId="0">
      <selection activeCell="J131" sqref="J131"/>
    </sheetView>
  </sheetViews>
  <sheetFormatPr defaultColWidth="9.453125" defaultRowHeight="14.5"/>
  <cols>
    <col min="1" max="1" width="8.54296875" style="32" customWidth="1"/>
    <col min="2" max="2" width="3.453125" style="116" customWidth="1"/>
    <col min="3" max="3" width="63.453125" style="652" customWidth="1"/>
    <col min="4" max="4" width="24.453125" style="667" customWidth="1"/>
    <col min="5" max="5" width="63.54296875" style="585" customWidth="1"/>
    <col min="6" max="6" width="28.54296875" style="2137" customWidth="1"/>
    <col min="7" max="7" width="24.453125" style="32" customWidth="1"/>
    <col min="8" max="8" width="28.453125" style="32" customWidth="1"/>
    <col min="9" max="9" width="38.453125" style="32" customWidth="1"/>
    <col min="10" max="10" width="46.54296875" style="1225" customWidth="1"/>
    <col min="11" max="11" width="33.453125" style="1225" customWidth="1"/>
    <col min="12" max="12" width="15.54296875" style="1225" customWidth="1"/>
    <col min="13" max="13" width="12" style="32" customWidth="1"/>
    <col min="14" max="16384" width="9.453125" style="32"/>
  </cols>
  <sheetData>
    <row r="1" spans="2:13">
      <c r="B1" s="114"/>
      <c r="C1" s="654"/>
      <c r="D1" s="327"/>
      <c r="E1" s="1235"/>
      <c r="F1" s="3128"/>
      <c r="G1" s="8"/>
    </row>
    <row r="2" spans="2:13">
      <c r="B2" s="114"/>
      <c r="C2" s="655" t="s">
        <v>4683</v>
      </c>
      <c r="D2" s="1897" t="s">
        <v>2067</v>
      </c>
      <c r="E2" s="1244">
        <f>Содержание!$D$2</f>
        <v>0</v>
      </c>
      <c r="F2" s="3129"/>
      <c r="G2" s="3044" t="s">
        <v>1436</v>
      </c>
    </row>
    <row r="3" spans="2:13" ht="15" thickBot="1">
      <c r="B3" s="114"/>
      <c r="C3"/>
      <c r="D3" s="1897" t="s">
        <v>2075</v>
      </c>
      <c r="E3" s="1244" t="str">
        <f>Содержание!$D$15</f>
        <v>2022 год</v>
      </c>
      <c r="G3" s="370" t="b">
        <f>AND(G5:G272)</f>
        <v>1</v>
      </c>
      <c r="L3" s="2488" t="str">
        <f>IF(ISNA(VLOOKUP(E2,Список_компаний!A:K,11,0))=FALSE,"Компания КГН","")</f>
        <v/>
      </c>
    </row>
    <row r="4" spans="2:13" ht="52">
      <c r="B4" s="114"/>
      <c r="C4" s="1077" t="s">
        <v>4684</v>
      </c>
      <c r="D4" s="355" t="s">
        <v>5305</v>
      </c>
      <c r="E4" s="791" t="s">
        <v>5031</v>
      </c>
      <c r="F4" s="3128"/>
      <c r="G4" s="1881" t="s">
        <v>1446</v>
      </c>
      <c r="I4" s="2486" t="s">
        <v>6914</v>
      </c>
      <c r="J4" s="1881"/>
      <c r="K4" s="1881"/>
      <c r="M4" s="2476" t="b">
        <f>IF(L3="",AND(M20:M22,M121:M129,M131:M134,M145:M146),AND(M20:M22,M121:M123,M125:M129,M131:M134,M145:M146))</f>
        <v>1</v>
      </c>
    </row>
    <row r="5" spans="2:13" ht="37.5">
      <c r="B5" s="114"/>
      <c r="C5" s="656" t="s">
        <v>6738</v>
      </c>
      <c r="D5" s="662">
        <v>4111</v>
      </c>
      <c r="E5" s="2552">
        <f>SUMIF('50_51_52_55_57_движ'!$C:$C,C5,'50_51_52_55_57_движ'!$J:$J)</f>
        <v>0</v>
      </c>
      <c r="F5" s="3130" t="s">
        <v>1444</v>
      </c>
      <c r="G5" s="1281" t="b">
        <f>IF(OR(AND(E5&lt;0,F5="Приход"),AND(E5&gt;0,F5="Расход")),FALSE,TRUE)</f>
        <v>1</v>
      </c>
      <c r="K5" s="2477"/>
    </row>
    <row r="6" spans="2:13" ht="37.5">
      <c r="B6" s="114"/>
      <c r="C6" s="657" t="s">
        <v>6739</v>
      </c>
      <c r="D6" s="663">
        <v>4111</v>
      </c>
      <c r="E6" s="2552">
        <f>SUMIF('50_51_52_55_57_движ'!$C:$C,C6,'50_51_52_55_57_движ'!$J:$J)</f>
        <v>0</v>
      </c>
      <c r="F6" s="3130" t="s">
        <v>1444</v>
      </c>
      <c r="G6" s="1281" t="b">
        <f>IF(OR(AND(E6&lt;0,F6="Приход"),AND(E6&gt;0,F6="Расход")),FALSE,TRUE)</f>
        <v>1</v>
      </c>
      <c r="K6" s="2477"/>
    </row>
    <row r="7" spans="2:13" ht="37.5">
      <c r="B7" s="114"/>
      <c r="C7" s="657" t="s">
        <v>6740</v>
      </c>
      <c r="D7" s="663">
        <v>4111</v>
      </c>
      <c r="E7" s="2552">
        <f>SUMIF('50_51_52_55_57_движ'!$C:$C,C7,'50_51_52_55_57_движ'!$J:$J)</f>
        <v>0</v>
      </c>
      <c r="F7" s="3130" t="s">
        <v>1444</v>
      </c>
      <c r="G7" s="1281" t="b">
        <f t="shared" ref="G7:G14" si="0">IF(OR(AND(E7&lt;0,F7="Приход"),AND(E7&gt;0,F7="Расход")),FALSE,TRUE)</f>
        <v>1</v>
      </c>
      <c r="K7" s="2477"/>
    </row>
    <row r="8" spans="2:13" ht="25">
      <c r="B8" s="114"/>
      <c r="C8" s="657" t="s">
        <v>6741</v>
      </c>
      <c r="D8" s="663">
        <v>4111</v>
      </c>
      <c r="E8" s="2552">
        <f>SUMIF('50_51_52_55_57_движ'!$C:$C,C8,'50_51_52_55_57_движ'!$J:$J)</f>
        <v>0</v>
      </c>
      <c r="F8" s="3130" t="s">
        <v>1444</v>
      </c>
      <c r="G8" s="1281" t="b">
        <f>IF(OR(AND(E8&lt;0,F8="Приход"),AND(E8&gt;0,F8="Расход")),FALSE,TRUE)</f>
        <v>1</v>
      </c>
      <c r="K8" s="2477"/>
    </row>
    <row r="9" spans="2:13" ht="25">
      <c r="B9" s="114"/>
      <c r="C9" s="2051" t="s">
        <v>5716</v>
      </c>
      <c r="D9" s="663">
        <v>4111</v>
      </c>
      <c r="E9" s="2552">
        <f>SUMIF('50_51_52_55_57_движ'!$C:$C,C9,'50_51_52_55_57_движ'!$J:$J)</f>
        <v>0</v>
      </c>
      <c r="F9" s="3130" t="s">
        <v>1444</v>
      </c>
      <c r="G9" s="1281" t="b">
        <f t="shared" si="0"/>
        <v>1</v>
      </c>
      <c r="K9" s="2477"/>
    </row>
    <row r="10" spans="2:13" ht="25">
      <c r="B10" s="114"/>
      <c r="C10" s="657" t="s">
        <v>6742</v>
      </c>
      <c r="D10" s="663">
        <v>4111</v>
      </c>
      <c r="E10" s="2552">
        <f>SUMIF('50_51_52_55_57_движ'!$C:$C,C10,'50_51_52_55_57_движ'!$J:$J)</f>
        <v>0</v>
      </c>
      <c r="F10" s="3130" t="s">
        <v>1444</v>
      </c>
      <c r="G10" s="1281" t="b">
        <f t="shared" si="0"/>
        <v>1</v>
      </c>
      <c r="K10" s="2477"/>
    </row>
    <row r="11" spans="2:13" ht="25">
      <c r="B11" s="114"/>
      <c r="C11" s="657" t="s">
        <v>6249</v>
      </c>
      <c r="D11" s="663">
        <v>4111</v>
      </c>
      <c r="E11" s="2552">
        <f>SUMIF('50_51_52_55_57_движ'!$C:$C,C11,'50_51_52_55_57_движ'!$J:$J)</f>
        <v>0</v>
      </c>
      <c r="F11" s="3130" t="s">
        <v>1444</v>
      </c>
      <c r="G11" s="1281" t="b">
        <f t="shared" si="0"/>
        <v>1</v>
      </c>
      <c r="K11" s="2477"/>
    </row>
    <row r="12" spans="2:13" ht="25">
      <c r="B12" s="114"/>
      <c r="C12" s="657" t="s">
        <v>6250</v>
      </c>
      <c r="D12" s="663">
        <v>4111</v>
      </c>
      <c r="E12" s="2552">
        <f>SUMIF('50_51_52_55_57_движ'!$C:$C,C12,'50_51_52_55_57_движ'!$J:$J)</f>
        <v>0</v>
      </c>
      <c r="F12" s="3130" t="s">
        <v>1444</v>
      </c>
      <c r="G12" s="1281" t="b">
        <f t="shared" si="0"/>
        <v>1</v>
      </c>
      <c r="K12" s="2477"/>
    </row>
    <row r="13" spans="2:13" ht="37.5">
      <c r="B13" s="114"/>
      <c r="C13" s="657" t="s">
        <v>4739</v>
      </c>
      <c r="D13" s="663">
        <v>4111</v>
      </c>
      <c r="E13" s="2552">
        <f>SUMIF('50_51_52_55_57_движ'!$C:$C,C13,'50_51_52_55_57_движ'!$J:$J)</f>
        <v>0</v>
      </c>
      <c r="F13" s="3130" t="s">
        <v>1444</v>
      </c>
      <c r="G13" s="1281" t="b">
        <f t="shared" si="0"/>
        <v>1</v>
      </c>
      <c r="K13" s="2477"/>
    </row>
    <row r="14" spans="2:13" ht="25">
      <c r="B14" s="114"/>
      <c r="C14" s="657" t="s">
        <v>4740</v>
      </c>
      <c r="D14" s="663">
        <v>4111</v>
      </c>
      <c r="E14" s="2552">
        <f>SUMIF('50_51_52_55_57_движ'!$C:$C,C14,'50_51_52_55_57_движ'!$J:$J)</f>
        <v>0</v>
      </c>
      <c r="F14" s="3130" t="s">
        <v>1444</v>
      </c>
      <c r="G14" s="1281" t="b">
        <f t="shared" si="0"/>
        <v>1</v>
      </c>
      <c r="K14" s="2477"/>
    </row>
    <row r="15" spans="2:13" s="1253" customFormat="1" ht="26">
      <c r="B15" s="114"/>
      <c r="C15" s="658" t="s">
        <v>4741</v>
      </c>
      <c r="D15" s="664" t="s">
        <v>4742</v>
      </c>
      <c r="E15" s="2553">
        <f>SUM(E5:E14)</f>
        <v>0</v>
      </c>
      <c r="F15" s="3130" t="s">
        <v>1444</v>
      </c>
      <c r="G15" s="1281" t="s">
        <v>4184</v>
      </c>
      <c r="H15" s="32"/>
      <c r="J15" s="2478"/>
      <c r="K15" s="2477"/>
      <c r="L15" s="1225"/>
    </row>
    <row r="16" spans="2:13" s="1253" customFormat="1" ht="25">
      <c r="B16" s="114"/>
      <c r="C16" s="657" t="s">
        <v>4743</v>
      </c>
      <c r="D16" s="663">
        <v>4112</v>
      </c>
      <c r="E16" s="2552">
        <f>SUMIF('50_51_52_55_57_движ'!$C:$C,C16,'50_51_52_55_57_движ'!$J:$J)</f>
        <v>0</v>
      </c>
      <c r="F16" s="3130" t="s">
        <v>1444</v>
      </c>
      <c r="G16" s="1281" t="b">
        <f>IF(OR(AND(E16&lt;0,F16="Приход"),AND(E16&gt;0,F16="Расход")),FALSE,TRUE)</f>
        <v>1</v>
      </c>
      <c r="H16" s="32"/>
      <c r="J16" s="2478"/>
      <c r="K16" s="2477"/>
      <c r="L16" s="2478"/>
    </row>
    <row r="17" spans="2:13" ht="25">
      <c r="B17" s="114"/>
      <c r="C17" s="657" t="s">
        <v>4744</v>
      </c>
      <c r="D17" s="663">
        <v>4112</v>
      </c>
      <c r="E17" s="2552">
        <f>SUMIF('50_51_52_55_57_движ'!$C:$C,C17,'50_51_52_55_57_движ'!$J:$J)</f>
        <v>0</v>
      </c>
      <c r="F17" s="3130" t="s">
        <v>1444</v>
      </c>
      <c r="G17" s="1281" t="b">
        <f>IF(OR(AND(E17&lt;0,F17="Приход"),AND(E17&gt;0,F17="Расход")),FALSE,TRUE)</f>
        <v>1</v>
      </c>
      <c r="I17" s="1253"/>
      <c r="K17" s="2477"/>
      <c r="L17" s="2478"/>
    </row>
    <row r="18" spans="2:13">
      <c r="B18" s="114"/>
      <c r="C18" s="657" t="s">
        <v>4745</v>
      </c>
      <c r="D18" s="663">
        <v>4112</v>
      </c>
      <c r="E18" s="2552">
        <f>SUMIF('50_51_52_55_57_движ'!$C:$C,C18,'50_51_52_55_57_движ'!$J:$J)</f>
        <v>0</v>
      </c>
      <c r="F18" s="3130" t="s">
        <v>1444</v>
      </c>
      <c r="G18" s="1281" t="b">
        <f>IF(OR(AND(E18&lt;0,F18="Приход"),AND(E18&gt;0,F18="Расход")),FALSE,TRUE)</f>
        <v>1</v>
      </c>
      <c r="I18" s="1253"/>
      <c r="K18" s="2477"/>
    </row>
    <row r="19" spans="2:13" s="1253" customFormat="1" ht="26">
      <c r="B19" s="114"/>
      <c r="C19" s="658" t="s">
        <v>4746</v>
      </c>
      <c r="D19" s="664" t="s">
        <v>4747</v>
      </c>
      <c r="E19" s="2553">
        <f>SUM(E16:E18)</f>
        <v>0</v>
      </c>
      <c r="F19" s="3130" t="s">
        <v>1444</v>
      </c>
      <c r="G19" s="1281" t="s">
        <v>4184</v>
      </c>
      <c r="H19" s="32"/>
      <c r="I19" s="1881" t="s">
        <v>6895</v>
      </c>
      <c r="J19" s="1881"/>
      <c r="K19" s="1881"/>
      <c r="L19" s="1881"/>
    </row>
    <row r="20" spans="2:13">
      <c r="B20" s="114"/>
      <c r="C20" s="657" t="s">
        <v>4748</v>
      </c>
      <c r="D20" s="663">
        <v>4113</v>
      </c>
      <c r="E20" s="2552">
        <f>SUMIF('50_51_52_55_57_движ'!$C:$C,C20,'50_51_52_55_57_движ'!$J:$J)</f>
        <v>0</v>
      </c>
      <c r="F20" s="3130" t="s">
        <v>1444</v>
      </c>
      <c r="G20" s="1281" t="b">
        <f t="shared" ref="G20:G47" si="1">IF(OR(AND(E20&lt;0,F20="Приход"),AND(E20&gt;0,F20="Расход")),FALSE,TRUE)</f>
        <v>1</v>
      </c>
      <c r="I20" s="2618" t="s">
        <v>4930</v>
      </c>
      <c r="J20" s="2709" t="s">
        <v>6913</v>
      </c>
      <c r="K20" s="2491">
        <f>SUMIF('68'!C:C,"{02} НДС",'68'!W:W)+SUMIF('68'!C:C,"{03} Акцизы",'68'!W:W)</f>
        <v>0</v>
      </c>
      <c r="L20" s="2492">
        <f>E20+K20</f>
        <v>0</v>
      </c>
      <c r="M20" s="2130" t="b">
        <f>IF(ABS(L20)&gt;3,FALSE,TRUE)</f>
        <v>1</v>
      </c>
    </row>
    <row r="21" spans="2:13" ht="37.5">
      <c r="B21" s="114"/>
      <c r="C21" s="657" t="s">
        <v>4749</v>
      </c>
      <c r="D21" s="663">
        <v>4113</v>
      </c>
      <c r="E21" s="2552">
        <f>SUMIF('50_51_52_55_57_движ'!$C:$C,C21,'50_51_52_55_57_движ'!$J:$J)</f>
        <v>0</v>
      </c>
      <c r="F21" s="3130" t="s">
        <v>1444</v>
      </c>
      <c r="G21" s="1281" t="b">
        <f t="shared" si="1"/>
        <v>1</v>
      </c>
      <c r="I21" s="2618" t="s">
        <v>7668</v>
      </c>
      <c r="J21" s="2710" t="s">
        <v>3389</v>
      </c>
      <c r="K21" s="2491">
        <f>('68'!W9-K23)-K20</f>
        <v>0</v>
      </c>
      <c r="L21" s="2492">
        <f t="shared" ref="L21" si="2">E21+K21</f>
        <v>0</v>
      </c>
      <c r="M21" s="2130" t="b">
        <f t="shared" ref="M21:M24" si="3">IF(ABS(L21)&gt;3,FALSE,TRUE)</f>
        <v>1</v>
      </c>
    </row>
    <row r="22" spans="2:13" ht="25">
      <c r="B22" s="114"/>
      <c r="C22" s="657" t="s">
        <v>4750</v>
      </c>
      <c r="D22" s="663">
        <v>4113</v>
      </c>
      <c r="E22" s="2552">
        <f>SUMIF('50_51_52_55_57_движ'!$C:$C,C22,'50_51_52_55_57_движ'!$J:$J)</f>
        <v>0</v>
      </c>
      <c r="F22" s="3130" t="s">
        <v>1444</v>
      </c>
      <c r="G22" s="1281" t="b">
        <f t="shared" si="1"/>
        <v>1</v>
      </c>
      <c r="I22" s="2618" t="s">
        <v>3670</v>
      </c>
      <c r="J22" s="2710" t="s">
        <v>3389</v>
      </c>
      <c r="K22" s="2491">
        <f>'69'!P10</f>
        <v>0</v>
      </c>
      <c r="L22" s="2492">
        <f>E22+K22</f>
        <v>0</v>
      </c>
      <c r="M22" s="2130" t="b">
        <f t="shared" si="3"/>
        <v>1</v>
      </c>
    </row>
    <row r="23" spans="2:13" ht="25">
      <c r="B23" s="114"/>
      <c r="C23" s="657" t="s">
        <v>5724</v>
      </c>
      <c r="D23" s="2024">
        <v>4119</v>
      </c>
      <c r="E23" s="2552">
        <f>SUMIF('50_51_52_55_57_движ'!$C:$C,C23,'50_51_52_55_57_движ'!$J:$J)</f>
        <v>0</v>
      </c>
      <c r="F23" s="3130" t="s">
        <v>1444</v>
      </c>
      <c r="G23" s="1281" t="b">
        <f t="shared" si="1"/>
        <v>1</v>
      </c>
      <c r="I23" s="2619" t="s">
        <v>6896</v>
      </c>
      <c r="J23" s="2711" t="s">
        <v>4911</v>
      </c>
      <c r="K23" s="2491">
        <f>IF($E$2="АЭПК",SUMIF('68'!C:C,$J23,'68'!W:W),0)</f>
        <v>0</v>
      </c>
      <c r="L23" s="2492">
        <f>E23+K23</f>
        <v>0</v>
      </c>
      <c r="M23" s="2130" t="b">
        <f t="shared" si="3"/>
        <v>1</v>
      </c>
    </row>
    <row r="24" spans="2:13" ht="25">
      <c r="B24" s="114"/>
      <c r="C24" s="657" t="s">
        <v>7423</v>
      </c>
      <c r="D24" s="2024" t="s">
        <v>6197</v>
      </c>
      <c r="E24" s="2552">
        <f>SUMIF('50_51_52_55_57_движ'!$C:$C,C24,'50_51_52_55_57_движ'!$J:$J)</f>
        <v>0</v>
      </c>
      <c r="F24" s="3130" t="s">
        <v>1444</v>
      </c>
      <c r="G24" s="1281" t="b">
        <f t="shared" si="1"/>
        <v>1</v>
      </c>
      <c r="I24" s="2619" t="s">
        <v>3679</v>
      </c>
      <c r="J24" s="2480" t="s">
        <v>3389</v>
      </c>
      <c r="K24" s="2481"/>
      <c r="L24" s="2482"/>
      <c r="M24" s="2130" t="b">
        <f t="shared" si="3"/>
        <v>1</v>
      </c>
    </row>
    <row r="25" spans="2:13" ht="25">
      <c r="B25" s="114"/>
      <c r="C25" s="657" t="s">
        <v>5725</v>
      </c>
      <c r="D25" s="663">
        <v>4113</v>
      </c>
      <c r="E25" s="2552">
        <f>SUMIF('50_51_52_55_57_движ'!$C:$C,C25,'50_51_52_55_57_движ'!$J:$J)</f>
        <v>0</v>
      </c>
      <c r="F25" s="3130" t="s">
        <v>1444</v>
      </c>
      <c r="G25" s="1281" t="b">
        <f t="shared" si="1"/>
        <v>1</v>
      </c>
      <c r="I25" s="1253"/>
      <c r="K25" s="2477"/>
    </row>
    <row r="26" spans="2:13" ht="25">
      <c r="B26" s="114"/>
      <c r="C26" s="657" t="s">
        <v>5726</v>
      </c>
      <c r="D26" s="663">
        <v>4113</v>
      </c>
      <c r="E26" s="2552">
        <f>SUMIF('50_51_52_55_57_движ'!$C:$C,C26,'50_51_52_55_57_движ'!$J:$J)</f>
        <v>0</v>
      </c>
      <c r="F26" s="3130" t="s">
        <v>1444</v>
      </c>
      <c r="G26" s="1281" t="b">
        <f t="shared" si="1"/>
        <v>1</v>
      </c>
      <c r="I26" s="1253"/>
      <c r="K26" s="2477"/>
    </row>
    <row r="27" spans="2:13">
      <c r="B27" s="114"/>
      <c r="C27" s="657" t="s">
        <v>5727</v>
      </c>
      <c r="D27" s="2024">
        <v>4113</v>
      </c>
      <c r="E27" s="2552">
        <f>SUMIF('50_51_52_55_57_движ'!$C:$C,C27,'50_51_52_55_57_движ'!$J:$J)</f>
        <v>0</v>
      </c>
      <c r="F27" s="3130" t="s">
        <v>1444</v>
      </c>
      <c r="G27" s="1281" t="b">
        <f t="shared" si="1"/>
        <v>1</v>
      </c>
      <c r="I27" s="1253"/>
      <c r="K27" s="2477"/>
    </row>
    <row r="28" spans="2:13">
      <c r="B28" s="114"/>
      <c r="C28" s="657" t="s">
        <v>5728</v>
      </c>
      <c r="D28" s="2024">
        <v>4113</v>
      </c>
      <c r="E28" s="2552">
        <f>SUMIF('50_51_52_55_57_движ'!$C:$C,C28,'50_51_52_55_57_движ'!$J:$J)</f>
        <v>0</v>
      </c>
      <c r="F28" s="3130" t="s">
        <v>1444</v>
      </c>
      <c r="G28" s="1281" t="b">
        <f t="shared" si="1"/>
        <v>1</v>
      </c>
      <c r="I28" s="1253"/>
      <c r="K28" s="2477"/>
    </row>
    <row r="29" spans="2:13" ht="25">
      <c r="B29" s="114"/>
      <c r="C29" s="657" t="s">
        <v>5729</v>
      </c>
      <c r="D29" s="2024">
        <v>4119</v>
      </c>
      <c r="E29" s="2552">
        <f>SUMIF('50_51_52_55_57_движ'!$C:$C,C29,'50_51_52_55_57_движ'!$J:$J)</f>
        <v>0</v>
      </c>
      <c r="F29" s="3130" t="s">
        <v>1444</v>
      </c>
      <c r="G29" s="1281" t="b">
        <f t="shared" si="1"/>
        <v>1</v>
      </c>
      <c r="I29" s="1253"/>
      <c r="K29" s="2477"/>
    </row>
    <row r="30" spans="2:13" ht="25">
      <c r="B30" s="114"/>
      <c r="C30" s="657" t="s">
        <v>5730</v>
      </c>
      <c r="D30" s="2024">
        <v>4119</v>
      </c>
      <c r="E30" s="2552">
        <f>SUMIF('50_51_52_55_57_движ'!$C:$C,C30,'50_51_52_55_57_движ'!$J:$J)</f>
        <v>0</v>
      </c>
      <c r="F30" s="3130" t="s">
        <v>1444</v>
      </c>
      <c r="G30" s="1281" t="b">
        <f t="shared" si="1"/>
        <v>1</v>
      </c>
      <c r="I30" s="1253"/>
      <c r="K30" s="2477"/>
    </row>
    <row r="31" spans="2:13" ht="25">
      <c r="B31" s="114"/>
      <c r="C31" s="657" t="s">
        <v>5731</v>
      </c>
      <c r="D31" s="2024">
        <v>4119</v>
      </c>
      <c r="E31" s="2552">
        <f>SUMIF('50_51_52_55_57_движ'!$C:$C,C31,'50_51_52_55_57_движ'!$J:$J)</f>
        <v>0</v>
      </c>
      <c r="F31" s="3130" t="s">
        <v>1444</v>
      </c>
      <c r="G31" s="1281" t="b">
        <f t="shared" si="1"/>
        <v>1</v>
      </c>
      <c r="I31" s="1253"/>
      <c r="K31" s="2477"/>
    </row>
    <row r="32" spans="2:13">
      <c r="B32" s="114"/>
      <c r="C32" s="657" t="s">
        <v>5732</v>
      </c>
      <c r="D32" s="2024">
        <v>4119</v>
      </c>
      <c r="E32" s="2552">
        <f>SUMIF('50_51_52_55_57_движ'!$C:$C,C32,'50_51_52_55_57_движ'!$J:$J)</f>
        <v>0</v>
      </c>
      <c r="F32" s="3130" t="s">
        <v>1444</v>
      </c>
      <c r="G32" s="1281" t="b">
        <f t="shared" si="1"/>
        <v>1</v>
      </c>
      <c r="I32" s="1253"/>
      <c r="K32" s="2477"/>
    </row>
    <row r="33" spans="2:12">
      <c r="B33" s="114"/>
      <c r="C33" s="657" t="s">
        <v>5733</v>
      </c>
      <c r="D33" s="2024">
        <v>4119</v>
      </c>
      <c r="E33" s="2552">
        <f>SUMIF('50_51_52_55_57_движ'!$C:$C,C33,'50_51_52_55_57_движ'!$J:$J)</f>
        <v>0</v>
      </c>
      <c r="F33" s="3130" t="s">
        <v>1444</v>
      </c>
      <c r="G33" s="1281" t="b">
        <f t="shared" si="1"/>
        <v>1</v>
      </c>
      <c r="I33" s="1253"/>
      <c r="K33" s="2477"/>
    </row>
    <row r="34" spans="2:12">
      <c r="B34" s="114"/>
      <c r="C34" s="657" t="s">
        <v>5734</v>
      </c>
      <c r="D34" s="2024">
        <v>4119</v>
      </c>
      <c r="E34" s="2552">
        <f>SUMIF('50_51_52_55_57_движ'!$C:$C,C34,'50_51_52_55_57_движ'!$J:$J)</f>
        <v>0</v>
      </c>
      <c r="F34" s="3130" t="s">
        <v>1444</v>
      </c>
      <c r="G34" s="1281" t="b">
        <f t="shared" si="1"/>
        <v>1</v>
      </c>
      <c r="I34" s="1253"/>
      <c r="K34" s="2477"/>
    </row>
    <row r="35" spans="2:12">
      <c r="B35" s="114"/>
      <c r="C35" s="657" t="s">
        <v>5735</v>
      </c>
      <c r="D35" s="2024">
        <v>4119</v>
      </c>
      <c r="E35" s="2552">
        <f>SUMIF('50_51_52_55_57_движ'!$C:$C,C35,'50_51_52_55_57_движ'!$J:$J)</f>
        <v>0</v>
      </c>
      <c r="F35" s="3130" t="s">
        <v>1444</v>
      </c>
      <c r="G35" s="1281" t="b">
        <f t="shared" si="1"/>
        <v>1</v>
      </c>
      <c r="I35" s="1253"/>
      <c r="K35" s="2477"/>
    </row>
    <row r="36" spans="2:12" ht="25">
      <c r="B36" s="114"/>
      <c r="C36" s="657" t="s">
        <v>6863</v>
      </c>
      <c r="D36" s="2024">
        <v>4119</v>
      </c>
      <c r="E36" s="2552">
        <f>SUMIF('50_51_52_55_57_движ'!$C:$C,C36,'50_51_52_55_57_движ'!$J:$J)</f>
        <v>0</v>
      </c>
      <c r="F36" s="3130" t="s">
        <v>1444</v>
      </c>
      <c r="G36" s="1281" t="b">
        <f t="shared" si="1"/>
        <v>1</v>
      </c>
      <c r="I36" s="1253"/>
      <c r="K36" s="2477"/>
    </row>
    <row r="37" spans="2:12" ht="37.5">
      <c r="B37" s="114"/>
      <c r="C37" s="657" t="s">
        <v>5736</v>
      </c>
      <c r="D37" s="2024">
        <v>4119</v>
      </c>
      <c r="E37" s="2552">
        <f>SUMIF('50_51_52_55_57_движ'!$C:$C,C37,'50_51_52_55_57_движ'!$J:$J)</f>
        <v>0</v>
      </c>
      <c r="F37" s="3130" t="s">
        <v>1444</v>
      </c>
      <c r="G37" s="1281" t="b">
        <f t="shared" si="1"/>
        <v>1</v>
      </c>
      <c r="I37" s="1253"/>
      <c r="K37" s="2477"/>
    </row>
    <row r="38" spans="2:12" ht="25">
      <c r="B38" s="114"/>
      <c r="C38" s="657" t="s">
        <v>5737</v>
      </c>
      <c r="D38" s="2024">
        <v>4119</v>
      </c>
      <c r="E38" s="2552">
        <f>SUMIF('50_51_52_55_57_движ'!$C:$C,C38,'50_51_52_55_57_движ'!$J:$J)</f>
        <v>0</v>
      </c>
      <c r="F38" s="3130" t="s">
        <v>1444</v>
      </c>
      <c r="G38" s="1281" t="b">
        <f t="shared" si="1"/>
        <v>1</v>
      </c>
      <c r="I38" s="1253"/>
      <c r="K38" s="2477"/>
    </row>
    <row r="39" spans="2:12" ht="25">
      <c r="B39" s="114"/>
      <c r="C39" s="657" t="s">
        <v>5738</v>
      </c>
      <c r="D39" s="2024">
        <v>4119</v>
      </c>
      <c r="E39" s="2552">
        <f>SUMIF('50_51_52_55_57_движ'!$C:$C,C39,'50_51_52_55_57_движ'!$J:$J)</f>
        <v>0</v>
      </c>
      <c r="F39" s="3130" t="s">
        <v>1444</v>
      </c>
      <c r="G39" s="1281" t="b">
        <f t="shared" si="1"/>
        <v>1</v>
      </c>
      <c r="I39" s="1253"/>
      <c r="K39" s="2477"/>
    </row>
    <row r="40" spans="2:12" ht="25">
      <c r="B40" s="114"/>
      <c r="C40" s="657" t="s">
        <v>5739</v>
      </c>
      <c r="D40" s="2024">
        <v>4119</v>
      </c>
      <c r="E40" s="2552">
        <f>SUMIF('50_51_52_55_57_движ'!$C:$C,C40,'50_51_52_55_57_движ'!$J:$J)</f>
        <v>0</v>
      </c>
      <c r="F40" s="3130" t="s">
        <v>1444</v>
      </c>
      <c r="G40" s="1281" t="b">
        <f t="shared" si="1"/>
        <v>1</v>
      </c>
      <c r="I40" s="1253"/>
      <c r="K40" s="2477"/>
    </row>
    <row r="41" spans="2:12" ht="37.5">
      <c r="B41" s="114"/>
      <c r="C41" s="657" t="s">
        <v>5740</v>
      </c>
      <c r="D41" s="2024">
        <v>4113</v>
      </c>
      <c r="E41" s="2552">
        <f>SUMIF('50_51_52_55_57_движ'!$C:$C,C41,'50_51_52_55_57_движ'!$J:$J)</f>
        <v>0</v>
      </c>
      <c r="F41" s="3130" t="s">
        <v>1444</v>
      </c>
      <c r="G41" s="1281" t="b">
        <f t="shared" si="1"/>
        <v>1</v>
      </c>
      <c r="I41" s="1253"/>
      <c r="K41" s="2477"/>
    </row>
    <row r="42" spans="2:12" ht="37.5">
      <c r="B42" s="114"/>
      <c r="C42" s="657" t="s">
        <v>5741</v>
      </c>
      <c r="D42" s="2024">
        <v>4113</v>
      </c>
      <c r="E42" s="2552">
        <f>SUMIF('50_51_52_55_57_движ'!$C:$C,C42,'50_51_52_55_57_движ'!$J:$J)</f>
        <v>0</v>
      </c>
      <c r="F42" s="3130" t="s">
        <v>1444</v>
      </c>
      <c r="G42" s="1281" t="b">
        <f t="shared" si="1"/>
        <v>1</v>
      </c>
      <c r="I42" s="1253"/>
      <c r="K42" s="2477"/>
    </row>
    <row r="43" spans="2:12" ht="25">
      <c r="B43" s="114"/>
      <c r="C43" s="657" t="s">
        <v>5948</v>
      </c>
      <c r="D43" s="2024">
        <v>4119</v>
      </c>
      <c r="E43" s="2552">
        <f>SUMIF('50_51_52_55_57_движ'!$C:$C,C43,'50_51_52_55_57_движ'!$J:$J)</f>
        <v>0</v>
      </c>
      <c r="F43" s="3130" t="s">
        <v>1444</v>
      </c>
      <c r="G43" s="1281" t="b">
        <f t="shared" si="1"/>
        <v>1</v>
      </c>
      <c r="I43" s="1253"/>
      <c r="K43" s="2477"/>
    </row>
    <row r="44" spans="2:12" ht="25">
      <c r="B44" s="114"/>
      <c r="C44" s="657" t="s">
        <v>5947</v>
      </c>
      <c r="D44" s="2024">
        <v>4119</v>
      </c>
      <c r="E44" s="2552">
        <f>SUMIF('50_51_52_55_57_движ'!$C:$C,C44,'50_51_52_55_57_движ'!$J:$J)</f>
        <v>0</v>
      </c>
      <c r="F44" s="3130"/>
      <c r="G44" s="1281" t="b">
        <f t="shared" si="1"/>
        <v>1</v>
      </c>
      <c r="I44" s="1253"/>
      <c r="J44" s="2478"/>
      <c r="K44" s="2477"/>
    </row>
    <row r="45" spans="2:12" ht="25">
      <c r="B45" s="114"/>
      <c r="C45" s="657" t="s">
        <v>7425</v>
      </c>
      <c r="D45" s="2024" t="s">
        <v>8047</v>
      </c>
      <c r="E45" s="2552">
        <f>SUMIF('50_51_52_55_57_движ'!$C:$C,C45,'50_51_52_55_57_движ'!$J:$J)</f>
        <v>0</v>
      </c>
      <c r="F45" s="3130"/>
      <c r="G45" s="1281" t="b">
        <f t="shared" si="1"/>
        <v>1</v>
      </c>
      <c r="I45" s="1253"/>
      <c r="J45" s="2478"/>
      <c r="K45" s="2477"/>
    </row>
    <row r="46" spans="2:12" s="1253" customFormat="1">
      <c r="B46" s="114"/>
      <c r="C46" s="657" t="s">
        <v>5742</v>
      </c>
      <c r="D46" s="2024">
        <v>4113</v>
      </c>
      <c r="E46" s="2552">
        <f>SUMIF('50_51_52_55_57_движ'!$C:$C,C46,'50_51_52_55_57_движ'!$J:$J)</f>
        <v>0</v>
      </c>
      <c r="F46" s="3130" t="s">
        <v>1444</v>
      </c>
      <c r="G46" s="1281" t="b">
        <f t="shared" si="1"/>
        <v>1</v>
      </c>
      <c r="H46" s="32"/>
      <c r="J46" s="1225"/>
      <c r="K46" s="2477"/>
      <c r="L46" s="2478"/>
    </row>
    <row r="47" spans="2:12">
      <c r="B47" s="114"/>
      <c r="C47" s="658" t="s">
        <v>5743</v>
      </c>
      <c r="D47" s="3077" t="s">
        <v>6196</v>
      </c>
      <c r="E47" s="2553">
        <f>SUM(E20:E46)</f>
        <v>0</v>
      </c>
      <c r="F47" s="3130" t="s">
        <v>1444</v>
      </c>
      <c r="G47" s="1281" t="b">
        <f t="shared" si="1"/>
        <v>1</v>
      </c>
      <c r="I47" s="1253"/>
      <c r="K47" s="2477"/>
    </row>
    <row r="48" spans="2:12" ht="26">
      <c r="B48" s="1256"/>
      <c r="C48" s="659" t="s">
        <v>5744</v>
      </c>
      <c r="D48" s="665" t="s">
        <v>5745</v>
      </c>
      <c r="E48" s="2554">
        <f>SUM(E47,E19,E15)</f>
        <v>0</v>
      </c>
      <c r="F48" s="3130"/>
      <c r="G48" s="1281" t="s">
        <v>4184</v>
      </c>
      <c r="I48" s="1253"/>
      <c r="K48" s="2477"/>
    </row>
    <row r="49" spans="2:11" ht="25">
      <c r="B49" s="114"/>
      <c r="C49" s="657" t="s">
        <v>274</v>
      </c>
      <c r="D49" s="663">
        <v>4121</v>
      </c>
      <c r="E49" s="2552">
        <f>SUMIF('50_51_52_55_57_движ'!C:C,ДДС_приложение!C49,'50_51_52_55_57_движ'!J:J)</f>
        <v>0</v>
      </c>
      <c r="F49" s="3130" t="s">
        <v>1445</v>
      </c>
      <c r="G49" s="1281" t="b">
        <f t="shared" ref="G49:G80" si="4">IF(OR(AND(E49&lt;0,F49="Приход"),AND(E49&gt;0,F49="Расход")),FALSE,TRUE)</f>
        <v>1</v>
      </c>
      <c r="I49" s="1253"/>
      <c r="K49" s="2477"/>
    </row>
    <row r="50" spans="2:11" ht="25">
      <c r="B50" s="114"/>
      <c r="C50" s="657" t="s">
        <v>275</v>
      </c>
      <c r="D50" s="663">
        <v>4121</v>
      </c>
      <c r="E50" s="2552">
        <f>SUMIF('50_51_52_55_57_движ'!C:C,ДДС_приложение!C50,'50_51_52_55_57_движ'!J:J)</f>
        <v>0</v>
      </c>
      <c r="F50" s="3130" t="s">
        <v>1445</v>
      </c>
      <c r="G50" s="1281" t="b">
        <f t="shared" si="4"/>
        <v>1</v>
      </c>
      <c r="I50" s="1253"/>
      <c r="K50" s="2477"/>
    </row>
    <row r="51" spans="2:11" ht="25">
      <c r="B51" s="114"/>
      <c r="C51" s="657" t="s">
        <v>276</v>
      </c>
      <c r="D51" s="663">
        <v>4121</v>
      </c>
      <c r="E51" s="2552">
        <f>SUMIF('50_51_52_55_57_движ'!C:C,ДДС_приложение!C51,'50_51_52_55_57_движ'!J:J)</f>
        <v>0</v>
      </c>
      <c r="F51" s="3130" t="s">
        <v>1445</v>
      </c>
      <c r="G51" s="1281" t="b">
        <f t="shared" si="4"/>
        <v>1</v>
      </c>
      <c r="I51" s="1253"/>
      <c r="K51" s="2477"/>
    </row>
    <row r="52" spans="2:11">
      <c r="B52" s="114"/>
      <c r="C52" s="657" t="s">
        <v>5746</v>
      </c>
      <c r="D52" s="663">
        <v>4121</v>
      </c>
      <c r="E52" s="2552">
        <f>SUMIF('50_51_52_55_57_движ'!C:C,ДДС_приложение!C52,'50_51_52_55_57_движ'!J:J)</f>
        <v>0</v>
      </c>
      <c r="F52" s="3130" t="s">
        <v>1445</v>
      </c>
      <c r="G52" s="1281" t="b">
        <f t="shared" si="4"/>
        <v>1</v>
      </c>
      <c r="I52" s="1253"/>
      <c r="K52" s="2477"/>
    </row>
    <row r="53" spans="2:11">
      <c r="B53" s="114"/>
      <c r="C53" s="657" t="s">
        <v>5747</v>
      </c>
      <c r="D53" s="663">
        <v>4121</v>
      </c>
      <c r="E53" s="2552">
        <f>SUMIF('50_51_52_55_57_движ'!C:C,ДДС_приложение!C53,'50_51_52_55_57_движ'!J:J)</f>
        <v>0</v>
      </c>
      <c r="F53" s="3130" t="s">
        <v>1445</v>
      </c>
      <c r="G53" s="1281" t="b">
        <f t="shared" si="4"/>
        <v>1</v>
      </c>
      <c r="I53" s="1253"/>
      <c r="K53" s="2477"/>
    </row>
    <row r="54" spans="2:11">
      <c r="B54" s="114"/>
      <c r="C54" s="657" t="s">
        <v>5748</v>
      </c>
      <c r="D54" s="663">
        <v>4121</v>
      </c>
      <c r="E54" s="2552">
        <f>SUMIF('50_51_52_55_57_движ'!C:C,ДДС_приложение!C54,'50_51_52_55_57_движ'!J:J)</f>
        <v>0</v>
      </c>
      <c r="F54" s="3130" t="s">
        <v>1445</v>
      </c>
      <c r="G54" s="1281" t="b">
        <f t="shared" si="4"/>
        <v>1</v>
      </c>
      <c r="I54" s="1253"/>
      <c r="K54" s="2477"/>
    </row>
    <row r="55" spans="2:11">
      <c r="B55" s="114"/>
      <c r="C55" s="657" t="s">
        <v>5749</v>
      </c>
      <c r="D55" s="663">
        <v>4121</v>
      </c>
      <c r="E55" s="2552">
        <f>SUMIF('50_51_52_55_57_движ'!$C:$C,C55,'50_51_52_55_57_движ'!$J:$J)</f>
        <v>0</v>
      </c>
      <c r="F55" s="3130" t="s">
        <v>1445</v>
      </c>
      <c r="G55" s="1281" t="b">
        <f t="shared" si="4"/>
        <v>1</v>
      </c>
      <c r="I55" s="1253"/>
      <c r="K55" s="2477"/>
    </row>
    <row r="56" spans="2:11">
      <c r="B56" s="114"/>
      <c r="C56" s="657" t="s">
        <v>5750</v>
      </c>
      <c r="D56" s="663">
        <v>4121</v>
      </c>
      <c r="E56" s="2552">
        <f>SUMIF('50_51_52_55_57_движ'!C:C,ДДС_приложение!C56,'50_51_52_55_57_движ'!J:J)</f>
        <v>0</v>
      </c>
      <c r="F56" s="3130" t="s">
        <v>1445</v>
      </c>
      <c r="G56" s="1281" t="b">
        <f t="shared" si="4"/>
        <v>1</v>
      </c>
      <c r="I56" s="1253"/>
      <c r="K56" s="2477"/>
    </row>
    <row r="57" spans="2:11">
      <c r="B57" s="114"/>
      <c r="C57" s="657" t="s">
        <v>5751</v>
      </c>
      <c r="D57" s="663">
        <v>4121</v>
      </c>
      <c r="E57" s="2552">
        <f>SUMIF('50_51_52_55_57_движ'!$C:$C,C57,'50_51_52_55_57_движ'!$J:$J)</f>
        <v>0</v>
      </c>
      <c r="F57" s="3130" t="s">
        <v>1445</v>
      </c>
      <c r="G57" s="1281" t="b">
        <f t="shared" si="4"/>
        <v>1</v>
      </c>
      <c r="I57" s="1253"/>
      <c r="K57" s="2477"/>
    </row>
    <row r="58" spans="2:11">
      <c r="B58" s="114"/>
      <c r="C58" s="657" t="s">
        <v>5752</v>
      </c>
      <c r="D58" s="663">
        <v>4121</v>
      </c>
      <c r="E58" s="2552">
        <f>SUMIF('50_51_52_55_57_движ'!$C:$C,C58,'50_51_52_55_57_движ'!$J:$J)</f>
        <v>0</v>
      </c>
      <c r="F58" s="3130" t="s">
        <v>1445</v>
      </c>
      <c r="G58" s="1281" t="b">
        <f t="shared" si="4"/>
        <v>1</v>
      </c>
      <c r="I58" s="1253"/>
      <c r="K58" s="2477"/>
    </row>
    <row r="59" spans="2:11">
      <c r="B59" s="114"/>
      <c r="C59" s="657" t="s">
        <v>5753</v>
      </c>
      <c r="D59" s="663">
        <v>4121</v>
      </c>
      <c r="E59" s="2552">
        <f>SUMIF('50_51_52_55_57_движ'!C:C,ДДС_приложение!C59,'50_51_52_55_57_движ'!J:J)</f>
        <v>0</v>
      </c>
      <c r="F59" s="3130" t="s">
        <v>1445</v>
      </c>
      <c r="G59" s="1281" t="b">
        <f t="shared" si="4"/>
        <v>1</v>
      </c>
      <c r="I59" s="1253"/>
      <c r="K59" s="2477"/>
    </row>
    <row r="60" spans="2:11">
      <c r="B60" s="114"/>
      <c r="C60" s="657" t="s">
        <v>5754</v>
      </c>
      <c r="D60" s="663">
        <v>4121</v>
      </c>
      <c r="E60" s="2552">
        <f>SUMIF('50_51_52_55_57_движ'!C:C,ДДС_приложение!C60,'50_51_52_55_57_движ'!J:J)</f>
        <v>0</v>
      </c>
      <c r="F60" s="3130" t="s">
        <v>1445</v>
      </c>
      <c r="G60" s="1281" t="b">
        <f t="shared" si="4"/>
        <v>1</v>
      </c>
      <c r="I60" s="1253"/>
      <c r="K60" s="2477"/>
    </row>
    <row r="61" spans="2:11" ht="25">
      <c r="B61" s="114"/>
      <c r="C61" s="657" t="s">
        <v>5755</v>
      </c>
      <c r="D61" s="663">
        <v>4121</v>
      </c>
      <c r="E61" s="2552">
        <f>SUMIF('50_51_52_55_57_движ'!C:C,ДДС_приложение!C61,'50_51_52_55_57_движ'!J:J)</f>
        <v>0</v>
      </c>
      <c r="F61" s="3130" t="s">
        <v>1445</v>
      </c>
      <c r="G61" s="1281" t="b">
        <f t="shared" si="4"/>
        <v>1</v>
      </c>
      <c r="I61" s="1253"/>
      <c r="K61" s="2477"/>
    </row>
    <row r="62" spans="2:11" ht="25">
      <c r="B62" s="114"/>
      <c r="C62" s="657" t="s">
        <v>5756</v>
      </c>
      <c r="D62" s="663">
        <v>4121</v>
      </c>
      <c r="E62" s="2552">
        <f>SUMIF('50_51_52_55_57_движ'!C:C,ДДС_приложение!C62,'50_51_52_55_57_движ'!J:J)</f>
        <v>0</v>
      </c>
      <c r="F62" s="3130" t="s">
        <v>1445</v>
      </c>
      <c r="G62" s="1281" t="b">
        <f t="shared" si="4"/>
        <v>1</v>
      </c>
      <c r="I62" s="1253"/>
      <c r="K62" s="2477"/>
    </row>
    <row r="63" spans="2:11" ht="25">
      <c r="B63" s="114"/>
      <c r="C63" s="657" t="s">
        <v>5757</v>
      </c>
      <c r="D63" s="663">
        <v>4121</v>
      </c>
      <c r="E63" s="2552">
        <f>SUMIF('50_51_52_55_57_движ'!C:C,ДДС_приложение!C63,'50_51_52_55_57_движ'!J:J)</f>
        <v>0</v>
      </c>
      <c r="F63" s="3130" t="s">
        <v>1445</v>
      </c>
      <c r="G63" s="1281" t="b">
        <f t="shared" si="4"/>
        <v>1</v>
      </c>
      <c r="I63" s="1253"/>
      <c r="K63" s="2477"/>
    </row>
    <row r="64" spans="2:11">
      <c r="B64" s="114"/>
      <c r="C64" s="657" t="s">
        <v>5758</v>
      </c>
      <c r="D64" s="663">
        <v>4121</v>
      </c>
      <c r="E64" s="2552">
        <f>SUMIF('50_51_52_55_57_движ'!C:C,ДДС_приложение!C64,'50_51_52_55_57_движ'!J:J)</f>
        <v>0</v>
      </c>
      <c r="F64" s="3130" t="s">
        <v>1445</v>
      </c>
      <c r="G64" s="1281" t="b">
        <f t="shared" si="4"/>
        <v>1</v>
      </c>
      <c r="I64" s="1253"/>
      <c r="K64" s="2477"/>
    </row>
    <row r="65" spans="2:12" ht="25">
      <c r="B65" s="114"/>
      <c r="C65" s="657" t="s">
        <v>5759</v>
      </c>
      <c r="D65" s="663">
        <v>4121</v>
      </c>
      <c r="E65" s="2552">
        <f>SUMIF('50_51_52_55_57_движ'!C:C,ДДС_приложение!C65,'50_51_52_55_57_движ'!J:J)</f>
        <v>0</v>
      </c>
      <c r="F65" s="3130" t="s">
        <v>1445</v>
      </c>
      <c r="G65" s="1281" t="b">
        <f t="shared" si="4"/>
        <v>1</v>
      </c>
      <c r="I65" s="1253"/>
      <c r="K65" s="2477"/>
    </row>
    <row r="66" spans="2:12">
      <c r="B66" s="114"/>
      <c r="C66" s="657" t="s">
        <v>5760</v>
      </c>
      <c r="D66" s="663">
        <v>4121</v>
      </c>
      <c r="E66" s="2552">
        <f>SUMIF('50_51_52_55_57_движ'!C:C,ДДС_приложение!C66,'50_51_52_55_57_движ'!J:J)</f>
        <v>0</v>
      </c>
      <c r="F66" s="3130" t="s">
        <v>1445</v>
      </c>
      <c r="G66" s="1281" t="b">
        <f t="shared" si="4"/>
        <v>1</v>
      </c>
      <c r="I66" s="1253"/>
      <c r="K66" s="2477"/>
    </row>
    <row r="67" spans="2:12">
      <c r="B67" s="114"/>
      <c r="C67" s="657" t="s">
        <v>5761</v>
      </c>
      <c r="D67" s="663">
        <v>4121</v>
      </c>
      <c r="E67" s="2552">
        <f>SUMIF('50_51_52_55_57_движ'!C:C,ДДС_приложение!C67,'50_51_52_55_57_движ'!J:J)</f>
        <v>0</v>
      </c>
      <c r="F67" s="3130" t="s">
        <v>1445</v>
      </c>
      <c r="G67" s="1281" t="b">
        <f t="shared" si="4"/>
        <v>1</v>
      </c>
      <c r="I67" s="1253"/>
      <c r="K67" s="2477"/>
    </row>
    <row r="68" spans="2:12">
      <c r="B68" s="114"/>
      <c r="C68" s="657" t="s">
        <v>5762</v>
      </c>
      <c r="D68" s="663">
        <v>4121</v>
      </c>
      <c r="E68" s="2552">
        <f>SUMIF('50_51_52_55_57_движ'!C:C,ДДС_приложение!C68,'50_51_52_55_57_движ'!J:J)</f>
        <v>0</v>
      </c>
      <c r="F68" s="3130" t="s">
        <v>1445</v>
      </c>
      <c r="G68" s="1281" t="b">
        <f t="shared" si="4"/>
        <v>1</v>
      </c>
      <c r="I68" s="1253"/>
      <c r="K68" s="2477"/>
    </row>
    <row r="69" spans="2:12">
      <c r="B69" s="114"/>
      <c r="C69" s="657" t="s">
        <v>5763</v>
      </c>
      <c r="D69" s="663">
        <v>4121</v>
      </c>
      <c r="E69" s="2552">
        <f>SUMIF('50_51_52_55_57_движ'!C:C,ДДС_приложение!C69,'50_51_52_55_57_движ'!J:J)</f>
        <v>0</v>
      </c>
      <c r="F69" s="3130" t="s">
        <v>1445</v>
      </c>
      <c r="G69" s="1281" t="b">
        <f t="shared" si="4"/>
        <v>1</v>
      </c>
      <c r="I69" s="1253"/>
      <c r="K69" s="2477"/>
    </row>
    <row r="70" spans="2:12">
      <c r="B70" s="114"/>
      <c r="C70" s="657" t="s">
        <v>5764</v>
      </c>
      <c r="D70" s="663">
        <v>4121</v>
      </c>
      <c r="E70" s="2552">
        <f>SUMIF('50_51_52_55_57_движ'!C:C,ДДС_приложение!C70,'50_51_52_55_57_движ'!J:J)</f>
        <v>0</v>
      </c>
      <c r="F70" s="3130" t="s">
        <v>1445</v>
      </c>
      <c r="G70" s="1281" t="b">
        <f t="shared" si="4"/>
        <v>1</v>
      </c>
      <c r="I70" s="1253"/>
      <c r="K70" s="2477"/>
    </row>
    <row r="71" spans="2:12">
      <c r="B71" s="114"/>
      <c r="C71" s="657" t="s">
        <v>5765</v>
      </c>
      <c r="D71" s="663">
        <v>4121</v>
      </c>
      <c r="E71" s="2552">
        <f>SUMIF('50_51_52_55_57_движ'!$C:$C,C71,'50_51_52_55_57_движ'!$J:$J)</f>
        <v>0</v>
      </c>
      <c r="F71" s="3130" t="s">
        <v>1445</v>
      </c>
      <c r="G71" s="1281" t="b">
        <f t="shared" si="4"/>
        <v>1</v>
      </c>
      <c r="I71" s="1253"/>
      <c r="K71" s="2477"/>
    </row>
    <row r="72" spans="2:12" ht="25">
      <c r="B72" s="114"/>
      <c r="C72" s="657" t="s">
        <v>5766</v>
      </c>
      <c r="D72" s="663">
        <v>4121</v>
      </c>
      <c r="E72" s="2552">
        <f>SUMIF('50_51_52_55_57_движ'!$C:$C,C72,'50_51_52_55_57_движ'!$J:$J)</f>
        <v>0</v>
      </c>
      <c r="F72" s="3130" t="s">
        <v>1445</v>
      </c>
      <c r="G72" s="1281" t="b">
        <f t="shared" si="4"/>
        <v>1</v>
      </c>
      <c r="I72" s="1253"/>
      <c r="K72" s="2477"/>
    </row>
    <row r="73" spans="2:12">
      <c r="B73" s="114"/>
      <c r="C73" s="657" t="s">
        <v>5767</v>
      </c>
      <c r="D73" s="663">
        <v>4121</v>
      </c>
      <c r="E73" s="2552">
        <f>SUMIF('50_51_52_55_57_движ'!$C:$C,C73,'50_51_52_55_57_движ'!$J:$J)</f>
        <v>0</v>
      </c>
      <c r="F73" s="3130" t="s">
        <v>1445</v>
      </c>
      <c r="G73" s="1281" t="b">
        <f t="shared" si="4"/>
        <v>1</v>
      </c>
      <c r="I73" s="1253"/>
      <c r="J73" s="2478"/>
      <c r="K73" s="2477"/>
    </row>
    <row r="74" spans="2:12" s="1253" customFormat="1">
      <c r="B74" s="114"/>
      <c r="C74" s="657" t="s">
        <v>5768</v>
      </c>
      <c r="D74" s="663">
        <v>4121</v>
      </c>
      <c r="E74" s="2552">
        <f>SUMIF('50_51_52_55_57_движ'!C:C,ДДС_приложение!C74,'50_51_52_55_57_движ'!J:J)</f>
        <v>0</v>
      </c>
      <c r="F74" s="3130" t="s">
        <v>1445</v>
      </c>
      <c r="G74" s="1281" t="b">
        <f t="shared" si="4"/>
        <v>1</v>
      </c>
      <c r="H74" s="32"/>
      <c r="J74" s="1225"/>
      <c r="K74" s="2477"/>
      <c r="L74" s="2478"/>
    </row>
    <row r="75" spans="2:12">
      <c r="B75" s="114"/>
      <c r="C75" s="657" t="s">
        <v>5769</v>
      </c>
      <c r="D75" s="663">
        <v>4121</v>
      </c>
      <c r="E75" s="2552">
        <f>SUMIF('50_51_52_55_57_движ'!C:C,ДДС_приложение!C75,'50_51_52_55_57_движ'!J:J)</f>
        <v>0</v>
      </c>
      <c r="F75" s="3130" t="s">
        <v>1445</v>
      </c>
      <c r="G75" s="1281" t="b">
        <f t="shared" si="4"/>
        <v>1</v>
      </c>
      <c r="I75" s="1253"/>
      <c r="K75" s="2477"/>
    </row>
    <row r="76" spans="2:12" ht="25">
      <c r="B76" s="114"/>
      <c r="C76" s="2051" t="s">
        <v>5691</v>
      </c>
      <c r="D76" s="663">
        <v>4121</v>
      </c>
      <c r="E76" s="2552">
        <f>SUMIF('50_51_52_55_57_движ'!C:C,ДДС_приложение!C76,'50_51_52_55_57_движ'!J:J)</f>
        <v>0</v>
      </c>
      <c r="F76" s="3130" t="s">
        <v>1445</v>
      </c>
      <c r="G76" s="1281" t="b">
        <f t="shared" si="4"/>
        <v>1</v>
      </c>
      <c r="I76" s="1253"/>
      <c r="K76" s="2477"/>
    </row>
    <row r="77" spans="2:12">
      <c r="B77" s="114"/>
      <c r="C77" s="2051" t="s">
        <v>5692</v>
      </c>
      <c r="D77" s="663">
        <v>4121</v>
      </c>
      <c r="E77" s="2552">
        <f>SUMIF('50_51_52_55_57_движ'!C:C,ДДС_приложение!C77,'50_51_52_55_57_движ'!J:J)</f>
        <v>0</v>
      </c>
      <c r="F77" s="3130" t="s">
        <v>1445</v>
      </c>
      <c r="G77" s="1281" t="b">
        <f t="shared" si="4"/>
        <v>1</v>
      </c>
      <c r="I77" s="1253"/>
      <c r="K77" s="2477"/>
    </row>
    <row r="78" spans="2:12">
      <c r="B78" s="114"/>
      <c r="C78" s="2051" t="s">
        <v>5693</v>
      </c>
      <c r="D78" s="663">
        <v>4121</v>
      </c>
      <c r="E78" s="2552">
        <f>SUMIF('50_51_52_55_57_движ'!C:C,ДДС_приложение!C78,'50_51_52_55_57_движ'!J:J)</f>
        <v>0</v>
      </c>
      <c r="F78" s="3130" t="s">
        <v>1445</v>
      </c>
      <c r="G78" s="1281" t="b">
        <f t="shared" si="4"/>
        <v>1</v>
      </c>
      <c r="I78" s="1253"/>
      <c r="J78" s="2478"/>
      <c r="K78" s="2477"/>
    </row>
    <row r="79" spans="2:12" s="1253" customFormat="1">
      <c r="B79" s="114"/>
      <c r="C79" s="657" t="s">
        <v>5770</v>
      </c>
      <c r="D79" s="663">
        <v>4121</v>
      </c>
      <c r="E79" s="2552">
        <f>SUMIF('50_51_52_55_57_движ'!C:C,ДДС_приложение!C79,'50_51_52_55_57_движ'!J:J)</f>
        <v>0</v>
      </c>
      <c r="F79" s="3130" t="s">
        <v>1445</v>
      </c>
      <c r="G79" s="1281" t="b">
        <f t="shared" si="4"/>
        <v>1</v>
      </c>
      <c r="H79" s="32"/>
      <c r="J79" s="1225"/>
      <c r="K79" s="2477"/>
      <c r="L79" s="2478"/>
    </row>
    <row r="80" spans="2:12">
      <c r="B80" s="114"/>
      <c r="C80" s="657" t="s">
        <v>5771</v>
      </c>
      <c r="D80" s="663">
        <v>4121</v>
      </c>
      <c r="E80" s="2552">
        <f>SUMIF('50_51_52_55_57_движ'!C:C,ДДС_приложение!C80,'50_51_52_55_57_движ'!J:J)</f>
        <v>0</v>
      </c>
      <c r="F80" s="3130" t="s">
        <v>1445</v>
      </c>
      <c r="G80" s="1281" t="b">
        <f t="shared" si="4"/>
        <v>1</v>
      </c>
      <c r="I80" s="1253"/>
      <c r="K80" s="2477"/>
    </row>
    <row r="81" spans="2:12">
      <c r="B81" s="114"/>
      <c r="C81" s="657" t="s">
        <v>5772</v>
      </c>
      <c r="D81" s="663">
        <v>4121</v>
      </c>
      <c r="E81" s="2552">
        <f>SUMIF('50_51_52_55_57_движ'!C:C,ДДС_приложение!C81,'50_51_52_55_57_движ'!J:J)</f>
        <v>0</v>
      </c>
      <c r="F81" s="3130" t="s">
        <v>1445</v>
      </c>
      <c r="G81" s="1281" t="b">
        <f t="shared" ref="G81:G112" si="5">IF(OR(AND(E81&lt;0,F81="Приход"),AND(E81&gt;0,F81="Расход")),FALSE,TRUE)</f>
        <v>1</v>
      </c>
      <c r="I81" s="1253"/>
      <c r="K81" s="2477"/>
    </row>
    <row r="82" spans="2:12">
      <c r="B82" s="114"/>
      <c r="C82" s="2051" t="s">
        <v>5694</v>
      </c>
      <c r="D82" s="663">
        <v>4121</v>
      </c>
      <c r="E82" s="2552">
        <f>SUMIF('50_51_52_55_57_движ'!C:C,ДДС_приложение!C82,'50_51_52_55_57_движ'!J:J)</f>
        <v>0</v>
      </c>
      <c r="F82" s="3130" t="s">
        <v>1445</v>
      </c>
      <c r="G82" s="1281" t="b">
        <f t="shared" si="5"/>
        <v>1</v>
      </c>
      <c r="I82" s="1253"/>
      <c r="K82" s="2477"/>
    </row>
    <row r="83" spans="2:12" ht="25">
      <c r="B83" s="114"/>
      <c r="C83" s="2051" t="s">
        <v>5695</v>
      </c>
      <c r="D83" s="663">
        <v>4121</v>
      </c>
      <c r="E83" s="2552">
        <f>SUMIF('50_51_52_55_57_движ'!C:C,ДДС_приложение!C83,'50_51_52_55_57_движ'!J:J)</f>
        <v>0</v>
      </c>
      <c r="F83" s="3130" t="s">
        <v>1445</v>
      </c>
      <c r="G83" s="1281" t="b">
        <f t="shared" si="5"/>
        <v>1</v>
      </c>
      <c r="I83" s="1253"/>
      <c r="K83" s="2477"/>
    </row>
    <row r="84" spans="2:12" ht="25">
      <c r="B84" s="114"/>
      <c r="C84" s="2051" t="s">
        <v>5696</v>
      </c>
      <c r="D84" s="663">
        <v>4121</v>
      </c>
      <c r="E84" s="2552">
        <f>SUMIF('50_51_52_55_57_движ'!C:C,ДДС_приложение!C84,'50_51_52_55_57_движ'!J:J)</f>
        <v>0</v>
      </c>
      <c r="F84" s="3130" t="s">
        <v>1445</v>
      </c>
      <c r="G84" s="1281" t="b">
        <f t="shared" si="5"/>
        <v>1</v>
      </c>
      <c r="I84" s="1253"/>
      <c r="K84" s="2477"/>
    </row>
    <row r="85" spans="2:12" ht="25">
      <c r="B85" s="114"/>
      <c r="C85" s="2051" t="s">
        <v>5697</v>
      </c>
      <c r="D85" s="663">
        <v>4121</v>
      </c>
      <c r="E85" s="2552">
        <f>SUMIF('50_51_52_55_57_движ'!C:C,ДДС_приложение!C85,'50_51_52_55_57_движ'!J:J)</f>
        <v>0</v>
      </c>
      <c r="F85" s="3130" t="s">
        <v>1445</v>
      </c>
      <c r="G85" s="1281" t="b">
        <f t="shared" si="5"/>
        <v>1</v>
      </c>
      <c r="I85" s="1253"/>
      <c r="K85" s="2477"/>
    </row>
    <row r="86" spans="2:12" ht="25">
      <c r="B86" s="114"/>
      <c r="C86" s="2051" t="s">
        <v>5698</v>
      </c>
      <c r="D86" s="663">
        <v>4121</v>
      </c>
      <c r="E86" s="2552">
        <f>SUMIF('50_51_52_55_57_движ'!C:C,ДДС_приложение!C86,'50_51_52_55_57_движ'!J:J)</f>
        <v>0</v>
      </c>
      <c r="F86" s="3130" t="s">
        <v>1445</v>
      </c>
      <c r="G86" s="1281" t="b">
        <f t="shared" si="5"/>
        <v>1</v>
      </c>
      <c r="I86" s="1253"/>
      <c r="K86" s="2477"/>
    </row>
    <row r="87" spans="2:12" ht="25">
      <c r="B87" s="114"/>
      <c r="C87" s="2051" t="s">
        <v>5699</v>
      </c>
      <c r="D87" s="663">
        <v>4121</v>
      </c>
      <c r="E87" s="2552">
        <f>SUMIF('50_51_52_55_57_движ'!C:C,ДДС_приложение!C87,'50_51_52_55_57_движ'!J:J)</f>
        <v>0</v>
      </c>
      <c r="F87" s="3130" t="s">
        <v>1445</v>
      </c>
      <c r="G87" s="1281" t="b">
        <f t="shared" si="5"/>
        <v>1</v>
      </c>
      <c r="I87" s="1253"/>
      <c r="K87" s="2477"/>
    </row>
    <row r="88" spans="2:12" ht="25">
      <c r="B88" s="114"/>
      <c r="C88" s="2051" t="s">
        <v>5700</v>
      </c>
      <c r="D88" s="663">
        <v>4121</v>
      </c>
      <c r="E88" s="2552">
        <f>SUMIF('50_51_52_55_57_движ'!C:C,ДДС_приложение!C88,'50_51_52_55_57_движ'!J:J)</f>
        <v>0</v>
      </c>
      <c r="F88" s="3130" t="s">
        <v>1445</v>
      </c>
      <c r="G88" s="1281" t="b">
        <f t="shared" si="5"/>
        <v>1</v>
      </c>
      <c r="I88" s="1253"/>
      <c r="K88" s="2477"/>
    </row>
    <row r="89" spans="2:12" ht="37.5">
      <c r="B89" s="114"/>
      <c r="C89" s="2051" t="s">
        <v>5701</v>
      </c>
      <c r="D89" s="663">
        <v>4121</v>
      </c>
      <c r="E89" s="2552">
        <f>SUMIF('50_51_52_55_57_движ'!C:C,ДДС_приложение!C89,'50_51_52_55_57_движ'!J:J)</f>
        <v>0</v>
      </c>
      <c r="F89" s="3130" t="s">
        <v>1445</v>
      </c>
      <c r="G89" s="1281" t="b">
        <f t="shared" si="5"/>
        <v>1</v>
      </c>
      <c r="I89" s="1253"/>
      <c r="K89" s="2477"/>
    </row>
    <row r="90" spans="2:12">
      <c r="B90" s="114"/>
      <c r="C90" s="2051" t="s">
        <v>5773</v>
      </c>
      <c r="D90" s="663">
        <v>4121</v>
      </c>
      <c r="E90" s="2552">
        <f>SUMIF('50_51_52_55_57_движ'!C:C,ДДС_приложение!C90,'50_51_52_55_57_движ'!J:J)</f>
        <v>0</v>
      </c>
      <c r="F90" s="3130" t="s">
        <v>1445</v>
      </c>
      <c r="G90" s="1281" t="b">
        <f t="shared" si="5"/>
        <v>1</v>
      </c>
      <c r="I90" s="1253"/>
      <c r="K90" s="2477"/>
    </row>
    <row r="91" spans="2:12">
      <c r="B91" s="114"/>
      <c r="C91" s="2051" t="s">
        <v>5774</v>
      </c>
      <c r="D91" s="663">
        <v>4121</v>
      </c>
      <c r="E91" s="2552">
        <f>SUMIF('50_51_52_55_57_движ'!C:C,ДДС_приложение!C91,'50_51_52_55_57_движ'!J:J)</f>
        <v>0</v>
      </c>
      <c r="F91" s="3130" t="s">
        <v>1445</v>
      </c>
      <c r="G91" s="1281" t="b">
        <f t="shared" si="5"/>
        <v>1</v>
      </c>
      <c r="I91" s="1253"/>
      <c r="J91" s="2478"/>
      <c r="K91" s="2477"/>
    </row>
    <row r="92" spans="2:12" s="1253" customFormat="1">
      <c r="B92" s="114"/>
      <c r="C92" s="2051" t="s">
        <v>5775</v>
      </c>
      <c r="D92" s="663">
        <v>4121</v>
      </c>
      <c r="E92" s="2552">
        <f>SUMIF('50_51_52_55_57_движ'!C:C,ДДС_приложение!C92,'50_51_52_55_57_движ'!J:J)</f>
        <v>0</v>
      </c>
      <c r="F92" s="3130" t="s">
        <v>1445</v>
      </c>
      <c r="G92" s="1281" t="b">
        <f t="shared" si="5"/>
        <v>1</v>
      </c>
      <c r="H92" s="32"/>
      <c r="J92" s="1225"/>
      <c r="K92" s="2477"/>
      <c r="L92" s="2478"/>
    </row>
    <row r="93" spans="2:12">
      <c r="B93" s="114"/>
      <c r="C93" s="2051" t="s">
        <v>5702</v>
      </c>
      <c r="D93" s="663">
        <v>4121</v>
      </c>
      <c r="E93" s="2552">
        <f>SUMIF('50_51_52_55_57_движ'!C:C,ДДС_приложение!C93,'50_51_52_55_57_движ'!J:J)</f>
        <v>0</v>
      </c>
      <c r="F93" s="3130" t="s">
        <v>1445</v>
      </c>
      <c r="G93" s="1281" t="b">
        <f t="shared" si="5"/>
        <v>1</v>
      </c>
      <c r="I93" s="1253"/>
      <c r="K93" s="2477"/>
    </row>
    <row r="94" spans="2:12">
      <c r="B94" s="114"/>
      <c r="C94" s="2051" t="s">
        <v>5703</v>
      </c>
      <c r="D94" s="663">
        <v>4121</v>
      </c>
      <c r="E94" s="2552">
        <f>SUMIF('50_51_52_55_57_движ'!C:C,ДДС_приложение!C94,'50_51_52_55_57_движ'!J:J)</f>
        <v>0</v>
      </c>
      <c r="F94" s="3130" t="s">
        <v>1445</v>
      </c>
      <c r="G94" s="1281" t="b">
        <f t="shared" si="5"/>
        <v>1</v>
      </c>
      <c r="I94" s="1253"/>
      <c r="K94" s="2477"/>
    </row>
    <row r="95" spans="2:12">
      <c r="B95" s="114"/>
      <c r="C95" s="2051" t="s">
        <v>236</v>
      </c>
      <c r="D95" s="663">
        <v>4121</v>
      </c>
      <c r="E95" s="2552">
        <f>SUMIF('50_51_52_55_57_движ'!C:C,ДДС_приложение!C95,'50_51_52_55_57_движ'!J:J)</f>
        <v>0</v>
      </c>
      <c r="F95" s="3130" t="s">
        <v>1445</v>
      </c>
      <c r="G95" s="1281" t="b">
        <f t="shared" si="5"/>
        <v>1</v>
      </c>
      <c r="I95" s="1253"/>
      <c r="K95" s="2477"/>
    </row>
    <row r="96" spans="2:12">
      <c r="B96" s="114"/>
      <c r="C96" s="657" t="s">
        <v>5776</v>
      </c>
      <c r="D96" s="663">
        <v>4121</v>
      </c>
      <c r="E96" s="2552">
        <f>SUMIF('50_51_52_55_57_движ'!C:C,ДДС_приложение!C96,'50_51_52_55_57_движ'!J:J)</f>
        <v>0</v>
      </c>
      <c r="F96" s="3130" t="s">
        <v>1445</v>
      </c>
      <c r="G96" s="1281" t="b">
        <f t="shared" si="5"/>
        <v>1</v>
      </c>
      <c r="I96" s="1253"/>
      <c r="K96" s="2477"/>
    </row>
    <row r="97" spans="2:11">
      <c r="B97" s="114"/>
      <c r="C97" s="657" t="s">
        <v>5777</v>
      </c>
      <c r="D97" s="663">
        <v>4121</v>
      </c>
      <c r="E97" s="2552">
        <f>SUMIF('50_51_52_55_57_движ'!C:C,ДДС_приложение!C97,'50_51_52_55_57_движ'!J:J)</f>
        <v>0</v>
      </c>
      <c r="F97" s="3130" t="s">
        <v>1445</v>
      </c>
      <c r="G97" s="1281" t="b">
        <f t="shared" si="5"/>
        <v>1</v>
      </c>
      <c r="I97" s="1253"/>
      <c r="K97" s="2477"/>
    </row>
    <row r="98" spans="2:11">
      <c r="B98" s="114"/>
      <c r="C98" s="657" t="s">
        <v>5778</v>
      </c>
      <c r="D98" s="663">
        <v>4121</v>
      </c>
      <c r="E98" s="2552">
        <f>SUMIF('50_51_52_55_57_движ'!C:C,ДДС_приложение!C98,'50_51_52_55_57_движ'!J:J)</f>
        <v>0</v>
      </c>
      <c r="F98" s="3130" t="s">
        <v>1445</v>
      </c>
      <c r="G98" s="1281" t="b">
        <f t="shared" si="5"/>
        <v>1</v>
      </c>
      <c r="I98" s="1253"/>
      <c r="K98" s="2477"/>
    </row>
    <row r="99" spans="2:11">
      <c r="B99" s="114"/>
      <c r="C99" s="657" t="s">
        <v>5779</v>
      </c>
      <c r="D99" s="663">
        <v>4121</v>
      </c>
      <c r="E99" s="2552">
        <f>SUMIF('50_51_52_55_57_движ'!C:C,ДДС_приложение!C99,'50_51_52_55_57_движ'!J:J)</f>
        <v>0</v>
      </c>
      <c r="F99" s="3130" t="s">
        <v>1445</v>
      </c>
      <c r="G99" s="1281" t="b">
        <f t="shared" si="5"/>
        <v>1</v>
      </c>
      <c r="I99" s="1253"/>
      <c r="K99" s="2477"/>
    </row>
    <row r="100" spans="2:11">
      <c r="B100" s="114"/>
      <c r="C100" s="657" t="s">
        <v>5780</v>
      </c>
      <c r="D100" s="663">
        <v>4121</v>
      </c>
      <c r="E100" s="2552">
        <f>SUMIF('50_51_52_55_57_движ'!$C:$C,C100,'50_51_52_55_57_движ'!$J:$J)</f>
        <v>0</v>
      </c>
      <c r="F100" s="3130" t="s">
        <v>1445</v>
      </c>
      <c r="G100" s="1281" t="b">
        <f t="shared" si="5"/>
        <v>1</v>
      </c>
      <c r="I100" s="1253"/>
      <c r="K100" s="2477"/>
    </row>
    <row r="101" spans="2:11">
      <c r="B101" s="114"/>
      <c r="C101" s="657" t="s">
        <v>5781</v>
      </c>
      <c r="D101" s="663">
        <v>4121</v>
      </c>
      <c r="E101" s="2552">
        <f>SUMIF('50_51_52_55_57_движ'!C:C,ДДС_приложение!C101,'50_51_52_55_57_движ'!J:J)</f>
        <v>0</v>
      </c>
      <c r="F101" s="3130" t="s">
        <v>1445</v>
      </c>
      <c r="G101" s="1281" t="b">
        <f t="shared" si="5"/>
        <v>1</v>
      </c>
      <c r="I101" s="1253"/>
      <c r="K101" s="2477"/>
    </row>
    <row r="102" spans="2:11">
      <c r="B102" s="114"/>
      <c r="C102" s="657" t="s">
        <v>5782</v>
      </c>
      <c r="D102" s="663">
        <v>4121</v>
      </c>
      <c r="E102" s="2552">
        <f>SUMIF('50_51_52_55_57_движ'!C:C,ДДС_приложение!C102,'50_51_52_55_57_движ'!J:J)</f>
        <v>0</v>
      </c>
      <c r="F102" s="3130" t="s">
        <v>1445</v>
      </c>
      <c r="G102" s="1281" t="b">
        <f t="shared" si="5"/>
        <v>1</v>
      </c>
      <c r="I102" s="1253"/>
      <c r="K102" s="2477"/>
    </row>
    <row r="103" spans="2:11">
      <c r="B103" s="114"/>
      <c r="C103" s="657" t="s">
        <v>5783</v>
      </c>
      <c r="D103" s="663">
        <v>4121</v>
      </c>
      <c r="E103" s="2552">
        <f>SUMIF('50_51_52_55_57_движ'!C:C,ДДС_приложение!C103,'50_51_52_55_57_движ'!J:J)</f>
        <v>0</v>
      </c>
      <c r="F103" s="3130" t="s">
        <v>1445</v>
      </c>
      <c r="G103" s="1281" t="b">
        <f t="shared" si="5"/>
        <v>1</v>
      </c>
      <c r="I103" s="1253"/>
      <c r="K103" s="2477"/>
    </row>
    <row r="104" spans="2:11">
      <c r="B104" s="114"/>
      <c r="C104" s="657" t="s">
        <v>5784</v>
      </c>
      <c r="D104" s="663">
        <v>4121</v>
      </c>
      <c r="E104" s="2552">
        <f>SUMIF('50_51_52_55_57_движ'!C:C,ДДС_приложение!C104,'50_51_52_55_57_движ'!J:J)</f>
        <v>0</v>
      </c>
      <c r="F104" s="3130" t="s">
        <v>1445</v>
      </c>
      <c r="G104" s="1281" t="b">
        <f t="shared" si="5"/>
        <v>1</v>
      </c>
      <c r="I104" s="1253"/>
      <c r="K104" s="2477"/>
    </row>
    <row r="105" spans="2:11" ht="25">
      <c r="B105" s="114"/>
      <c r="C105" s="657" t="s">
        <v>5785</v>
      </c>
      <c r="D105" s="663">
        <v>4121</v>
      </c>
      <c r="E105" s="2552">
        <f>SUMIF('50_51_52_55_57_движ'!C:C,ДДС_приложение!C105,'50_51_52_55_57_движ'!J:J)</f>
        <v>0</v>
      </c>
      <c r="F105" s="3130" t="s">
        <v>1445</v>
      </c>
      <c r="G105" s="1281" t="b">
        <f t="shared" si="5"/>
        <v>1</v>
      </c>
      <c r="I105" s="1253"/>
      <c r="K105" s="2477"/>
    </row>
    <row r="106" spans="2:11">
      <c r="B106" s="114"/>
      <c r="C106" s="657" t="s">
        <v>5786</v>
      </c>
      <c r="D106" s="663">
        <v>4121</v>
      </c>
      <c r="E106" s="2552">
        <f>SUMIF('50_51_52_55_57_движ'!C:C,ДДС_приложение!C106,'50_51_52_55_57_движ'!J:J)</f>
        <v>0</v>
      </c>
      <c r="F106" s="3130" t="s">
        <v>1445</v>
      </c>
      <c r="G106" s="1281" t="b">
        <f t="shared" si="5"/>
        <v>1</v>
      </c>
      <c r="I106" s="1253"/>
      <c r="K106" s="2477"/>
    </row>
    <row r="107" spans="2:11" ht="25">
      <c r="B107" s="114"/>
      <c r="C107" s="657" t="s">
        <v>5787</v>
      </c>
      <c r="D107" s="663">
        <v>4121</v>
      </c>
      <c r="E107" s="2552">
        <f>SUMIF('50_51_52_55_57_движ'!C:C,ДДС_приложение!C107,'50_51_52_55_57_движ'!J:J)</f>
        <v>0</v>
      </c>
      <c r="F107" s="3130" t="s">
        <v>1445</v>
      </c>
      <c r="G107" s="1281" t="b">
        <f t="shared" si="5"/>
        <v>1</v>
      </c>
      <c r="I107" s="1253"/>
      <c r="K107" s="2477"/>
    </row>
    <row r="108" spans="2:11">
      <c r="B108" s="114"/>
      <c r="C108" s="657" t="s">
        <v>5788</v>
      </c>
      <c r="D108" s="663">
        <v>4121</v>
      </c>
      <c r="E108" s="2552">
        <f>SUMIF('50_51_52_55_57_движ'!C:C,ДДС_приложение!C108,'50_51_52_55_57_движ'!J:J)</f>
        <v>0</v>
      </c>
      <c r="F108" s="3130" t="s">
        <v>1445</v>
      </c>
      <c r="G108" s="1281" t="b">
        <f t="shared" si="5"/>
        <v>1</v>
      </c>
      <c r="I108" s="1253"/>
      <c r="K108" s="2477"/>
    </row>
    <row r="109" spans="2:11">
      <c r="B109" s="114"/>
      <c r="C109" s="657" t="s">
        <v>5789</v>
      </c>
      <c r="D109" s="663">
        <v>4121</v>
      </c>
      <c r="E109" s="2552">
        <f>SUMIF('50_51_52_55_57_движ'!C:C,ДДС_приложение!C109,'50_51_52_55_57_движ'!J:J)</f>
        <v>0</v>
      </c>
      <c r="F109" s="3130" t="s">
        <v>1445</v>
      </c>
      <c r="G109" s="1281" t="b">
        <f t="shared" si="5"/>
        <v>1</v>
      </c>
      <c r="I109" s="1253"/>
      <c r="K109" s="2477"/>
    </row>
    <row r="110" spans="2:11">
      <c r="B110" s="114"/>
      <c r="C110" s="657" t="s">
        <v>5790</v>
      </c>
      <c r="D110" s="663">
        <v>4121</v>
      </c>
      <c r="E110" s="2552">
        <f>SUMIF('50_51_52_55_57_движ'!C:C,ДДС_приложение!C110,'50_51_52_55_57_движ'!J:J)</f>
        <v>0</v>
      </c>
      <c r="F110" s="3130" t="s">
        <v>1445</v>
      </c>
      <c r="G110" s="1281" t="b">
        <f t="shared" si="5"/>
        <v>1</v>
      </c>
      <c r="I110" s="1253"/>
      <c r="K110" s="2477"/>
    </row>
    <row r="111" spans="2:11">
      <c r="B111" s="114"/>
      <c r="C111" s="657" t="s">
        <v>5791</v>
      </c>
      <c r="D111" s="663">
        <v>4121</v>
      </c>
      <c r="E111" s="2552">
        <f>SUMIF('50_51_52_55_57_движ'!$C:$C,C111,'50_51_52_55_57_движ'!$J:$J)</f>
        <v>0</v>
      </c>
      <c r="F111" s="3130" t="s">
        <v>1445</v>
      </c>
      <c r="G111" s="1281" t="b">
        <f t="shared" si="5"/>
        <v>1</v>
      </c>
      <c r="I111" s="1253"/>
      <c r="K111" s="2477"/>
    </row>
    <row r="112" spans="2:11">
      <c r="B112" s="114"/>
      <c r="C112" s="657" t="s">
        <v>1489</v>
      </c>
      <c r="D112" s="663">
        <v>4121</v>
      </c>
      <c r="E112" s="2552">
        <f>SUMIF('50_51_52_55_57_движ'!$C:$C,C112,'50_51_52_55_57_движ'!$J:$J)</f>
        <v>0</v>
      </c>
      <c r="F112" s="3130"/>
      <c r="G112" s="1281" t="b">
        <f t="shared" si="5"/>
        <v>1</v>
      </c>
      <c r="I112" s="1253"/>
      <c r="J112" s="2483"/>
      <c r="K112" s="2477"/>
    </row>
    <row r="113" spans="2:14" ht="25">
      <c r="B113" s="114"/>
      <c r="C113" s="657" t="s">
        <v>5792</v>
      </c>
      <c r="D113" s="663">
        <v>4121</v>
      </c>
      <c r="E113" s="2552">
        <f>SUMIF('50_51_52_55_57_движ'!C:C,ДДС_приложение!C113,'50_51_52_55_57_движ'!J:J)</f>
        <v>0</v>
      </c>
      <c r="F113" s="3130" t="s">
        <v>1445</v>
      </c>
      <c r="G113" s="1281" t="b">
        <f t="shared" ref="G113:G115" si="6">IF(OR(AND(E113&lt;0,F113="Приход"),AND(E113&gt;0,F113="Расход")),FALSE,TRUE)</f>
        <v>1</v>
      </c>
      <c r="I113" s="1253"/>
      <c r="J113" s="2483"/>
      <c r="K113" s="2477"/>
    </row>
    <row r="114" spans="2:14" ht="25">
      <c r="B114" s="114"/>
      <c r="C114" s="657" t="s">
        <v>5704</v>
      </c>
      <c r="D114" s="663">
        <v>4121</v>
      </c>
      <c r="E114" s="2552">
        <f>SUMIF('50_51_52_55_57_движ'!C:C,ДДС_приложение!C114,'50_51_52_55_57_движ'!J:J)</f>
        <v>0</v>
      </c>
      <c r="F114" s="3130" t="s">
        <v>1445</v>
      </c>
      <c r="G114" s="1281" t="b">
        <f t="shared" si="6"/>
        <v>1</v>
      </c>
      <c r="I114" s="1253"/>
      <c r="J114" s="2483"/>
      <c r="K114" s="2477"/>
    </row>
    <row r="115" spans="2:14" ht="25">
      <c r="B115" s="114"/>
      <c r="C115" s="657" t="s">
        <v>5705</v>
      </c>
      <c r="D115" s="663">
        <v>4121</v>
      </c>
      <c r="E115" s="2552">
        <f>SUMIF('50_51_52_55_57_движ'!C:C,ДДС_приложение!C115,'50_51_52_55_57_движ'!J:J)</f>
        <v>0</v>
      </c>
      <c r="F115" s="3130"/>
      <c r="G115" s="1281" t="b">
        <f t="shared" si="6"/>
        <v>1</v>
      </c>
      <c r="I115" s="1253"/>
      <c r="J115" s="2484"/>
      <c r="K115" s="2477"/>
    </row>
    <row r="116" spans="2:14" s="1253" customFormat="1" ht="26">
      <c r="B116" s="114"/>
      <c r="C116" s="658" t="s">
        <v>5793</v>
      </c>
      <c r="D116" s="3077" t="s">
        <v>5794</v>
      </c>
      <c r="E116" s="2553">
        <f>SUM(E49:E115)</f>
        <v>0</v>
      </c>
      <c r="F116" s="3130" t="s">
        <v>1445</v>
      </c>
      <c r="G116" s="1281" t="s">
        <v>4184</v>
      </c>
      <c r="H116" s="32"/>
      <c r="J116" s="2483"/>
      <c r="K116" s="2477"/>
      <c r="L116" s="2478"/>
    </row>
    <row r="117" spans="2:14" ht="25">
      <c r="B117" s="114"/>
      <c r="C117" s="657" t="s">
        <v>5795</v>
      </c>
      <c r="D117" s="2024">
        <v>4122</v>
      </c>
      <c r="E117" s="2552">
        <f>SUMIF('50_51_52_55_57_движ'!C:C,ДДС_приложение!C117,'50_51_52_55_57_движ'!J:J)</f>
        <v>0</v>
      </c>
      <c r="F117" s="3130" t="s">
        <v>1445</v>
      </c>
      <c r="G117" s="1281" t="b">
        <f>IF(OR(AND(E117&lt;0,F117="Приход"),AND(E117&gt;0,F117="Расход")),FALSE,TRUE)</f>
        <v>1</v>
      </c>
      <c r="I117" s="1253"/>
      <c r="J117" s="2484"/>
      <c r="K117" s="2477"/>
    </row>
    <row r="118" spans="2:14" s="1253" customFormat="1" ht="26">
      <c r="B118" s="114"/>
      <c r="C118" s="658" t="s">
        <v>5795</v>
      </c>
      <c r="D118" s="3077" t="s">
        <v>5796</v>
      </c>
      <c r="E118" s="2553">
        <f>SUMIF('50_51_52_55_57_движ'!C:C,ДДС_приложение!C118,'50_51_52_55_57_движ'!J:J)</f>
        <v>0</v>
      </c>
      <c r="F118" s="3130" t="s">
        <v>1445</v>
      </c>
      <c r="G118" s="1281" t="s">
        <v>4184</v>
      </c>
      <c r="H118" s="32"/>
      <c r="J118" s="2484"/>
      <c r="K118" s="2477"/>
      <c r="L118" s="1225"/>
    </row>
    <row r="119" spans="2:14">
      <c r="B119" s="114"/>
      <c r="C119" s="657" t="s">
        <v>5797</v>
      </c>
      <c r="D119" s="2024">
        <v>4123</v>
      </c>
      <c r="E119" s="2552">
        <f>SUMIF('50_51_52_55_57_движ'!C:C,ДДС_приложение!C119,'50_51_52_55_57_движ'!J:J)</f>
        <v>0</v>
      </c>
      <c r="F119" s="3130" t="s">
        <v>1445</v>
      </c>
      <c r="G119" s="1281" t="b">
        <f t="shared" ref="G119:G146" si="7">IF(OR(AND(E119&lt;0,F119="Приход"),AND(E119&gt;0,F119="Расход")),FALSE,TRUE)</f>
        <v>1</v>
      </c>
      <c r="I119" s="1253"/>
      <c r="J119" s="2483"/>
      <c r="K119" s="2477"/>
      <c r="L119" s="2478"/>
    </row>
    <row r="120" spans="2:14" ht="26">
      <c r="B120" s="114"/>
      <c r="C120" s="658" t="s">
        <v>5797</v>
      </c>
      <c r="D120" s="3077" t="s">
        <v>5798</v>
      </c>
      <c r="E120" s="2553">
        <f>SUMIF('50_51_52_55_57_движ'!C:C,ДДС_приложение!C120,'50_51_52_55_57_движ'!J:J)</f>
        <v>0</v>
      </c>
      <c r="F120" s="3130" t="s">
        <v>1445</v>
      </c>
      <c r="G120" s="1281" t="b">
        <f t="shared" si="7"/>
        <v>1</v>
      </c>
      <c r="I120" s="1881" t="s">
        <v>6897</v>
      </c>
      <c r="J120" s="1881"/>
      <c r="K120" s="1881"/>
      <c r="L120" s="1881"/>
      <c r="M120" s="2130"/>
    </row>
    <row r="121" spans="2:14">
      <c r="B121" s="114"/>
      <c r="C121" s="657" t="s">
        <v>5799</v>
      </c>
      <c r="D121" s="2024">
        <v>4129</v>
      </c>
      <c r="E121" s="2552">
        <f>SUMIF('50_51_52_55_57_движ'!C:C,ДДС_приложение!C121,'50_51_52_55_57_движ'!J:J)</f>
        <v>0</v>
      </c>
      <c r="F121" s="3130" t="s">
        <v>1445</v>
      </c>
      <c r="G121" s="1281" t="b">
        <f t="shared" si="7"/>
        <v>1</v>
      </c>
      <c r="I121" s="2618" t="s">
        <v>4930</v>
      </c>
      <c r="J121" s="2711" t="s">
        <v>4913</v>
      </c>
      <c r="K121" s="2491">
        <f>SUMIF('68'!C:C,$J121,'68'!P:P)</f>
        <v>0</v>
      </c>
      <c r="L121" s="2492">
        <f t="shared" ref="L121:L128" si="8">E121+K121</f>
        <v>0</v>
      </c>
      <c r="M121" s="2168" t="b">
        <f t="shared" ref="M121:M128" si="9">IF(ABS(L121)&gt;3,FALSE,TRUE)</f>
        <v>1</v>
      </c>
    </row>
    <row r="122" spans="2:14">
      <c r="B122" s="114"/>
      <c r="C122" s="657" t="s">
        <v>5800</v>
      </c>
      <c r="D122" s="2024">
        <v>4129</v>
      </c>
      <c r="E122" s="2552">
        <f>SUMIF('50_51_52_55_57_движ'!C:C,ДДС_приложение!C122,'50_51_52_55_57_движ'!J:J)</f>
        <v>0</v>
      </c>
      <c r="F122" s="3130" t="s">
        <v>1445</v>
      </c>
      <c r="G122" s="1281" t="b">
        <f t="shared" si="7"/>
        <v>1</v>
      </c>
      <c r="I122" s="2618" t="s">
        <v>4930</v>
      </c>
      <c r="J122" s="2711" t="s">
        <v>4912</v>
      </c>
      <c r="K122" s="2491">
        <f>SUMIF('68'!C:C,$J122,'68'!P:P)</f>
        <v>0</v>
      </c>
      <c r="L122" s="2492">
        <f t="shared" si="8"/>
        <v>0</v>
      </c>
      <c r="M122" s="2168" t="b">
        <f t="shared" si="9"/>
        <v>1</v>
      </c>
    </row>
    <row r="123" spans="2:14">
      <c r="B123" s="114"/>
      <c r="C123" s="657" t="s">
        <v>4813</v>
      </c>
      <c r="D123" s="2024">
        <v>4122</v>
      </c>
      <c r="E123" s="2552">
        <f>SUMIF('50_51_52_55_57_движ'!C:C,ДДС_приложение!C123,'50_51_52_55_57_движ'!J:J)</f>
        <v>0</v>
      </c>
      <c r="F123" s="3130" t="s">
        <v>1445</v>
      </c>
      <c r="G123" s="1281" t="b">
        <f t="shared" si="7"/>
        <v>1</v>
      </c>
      <c r="I123" s="2618" t="s">
        <v>4930</v>
      </c>
      <c r="J123" s="2711" t="s">
        <v>4914</v>
      </c>
      <c r="K123" s="2491">
        <f>SUMIF('68'!C:C,$J123,'68'!P:P)</f>
        <v>0</v>
      </c>
      <c r="L123" s="2492">
        <f t="shared" si="8"/>
        <v>0</v>
      </c>
      <c r="M123" s="2168" t="b">
        <f t="shared" si="9"/>
        <v>1</v>
      </c>
    </row>
    <row r="124" spans="2:14">
      <c r="B124" s="114"/>
      <c r="C124" s="657" t="s">
        <v>4814</v>
      </c>
      <c r="D124" s="2024">
        <v>4124</v>
      </c>
      <c r="E124" s="2552">
        <f>SUMIF('50_51_52_55_57_движ'!C:C,ДДС_приложение!C124,'50_51_52_55_57_движ'!J:J)</f>
        <v>0</v>
      </c>
      <c r="F124" s="3130" t="s">
        <v>1445</v>
      </c>
      <c r="G124" s="1281" t="b">
        <f t="shared" si="7"/>
        <v>1</v>
      </c>
      <c r="I124" s="2619" t="s">
        <v>4930</v>
      </c>
      <c r="J124" s="2712" t="s">
        <v>4911</v>
      </c>
      <c r="K124" s="2481">
        <f>IF($E$2&lt;&gt;"АЭПК",SUMIF('68'!C:C,$J124,'68'!P:P),0)</f>
        <v>0</v>
      </c>
      <c r="L124" s="2482">
        <f t="shared" si="8"/>
        <v>0</v>
      </c>
      <c r="M124" s="2624" t="b">
        <f>IF(AND(ABS(L124)&gt;3,L3=""),FALSE,TRUE)</f>
        <v>1</v>
      </c>
    </row>
    <row r="125" spans="2:14" ht="37.5">
      <c r="B125" s="114"/>
      <c r="C125" s="657" t="s">
        <v>3785</v>
      </c>
      <c r="D125" s="2024">
        <v>4129</v>
      </c>
      <c r="E125" s="2552">
        <f>SUMIF('50_51_52_55_57_движ'!C:C,ДДС_приложение!C125,'50_51_52_55_57_движ'!J:J)</f>
        <v>0</v>
      </c>
      <c r="F125" s="3130" t="s">
        <v>1445</v>
      </c>
      <c r="G125" s="1281" t="b">
        <f t="shared" si="7"/>
        <v>1</v>
      </c>
      <c r="I125" s="2618" t="s">
        <v>4930</v>
      </c>
      <c r="J125" s="2711" t="s">
        <v>4904</v>
      </c>
      <c r="K125" s="2491">
        <f>SUMIF('68'!C:C,$J125,'68'!P:P)</f>
        <v>0</v>
      </c>
      <c r="L125" s="2492">
        <f t="shared" si="8"/>
        <v>0</v>
      </c>
      <c r="M125" s="2168" t="b">
        <f t="shared" si="9"/>
        <v>1</v>
      </c>
      <c r="N125" s="2130"/>
    </row>
    <row r="126" spans="2:14">
      <c r="B126" s="114"/>
      <c r="C126" s="657" t="s">
        <v>3786</v>
      </c>
      <c r="D126" s="2024">
        <v>4129</v>
      </c>
      <c r="E126" s="2552">
        <f>SUMIF('50_51_52_55_57_движ'!C:C,ДДС_приложение!C126,'50_51_52_55_57_движ'!J:J)</f>
        <v>0</v>
      </c>
      <c r="F126" s="3130" t="s">
        <v>1445</v>
      </c>
      <c r="G126" s="1281" t="b">
        <f t="shared" si="7"/>
        <v>1</v>
      </c>
      <c r="I126" s="2618" t="s">
        <v>4930</v>
      </c>
      <c r="J126" s="114" t="s">
        <v>4905</v>
      </c>
      <c r="K126" s="2491">
        <f>SUMIF('68'!C:C,$J126,'68'!P:P)</f>
        <v>0</v>
      </c>
      <c r="L126" s="2492">
        <f t="shared" si="8"/>
        <v>0</v>
      </c>
      <c r="M126" s="2168" t="b">
        <f t="shared" si="9"/>
        <v>1</v>
      </c>
      <c r="N126" s="2130"/>
    </row>
    <row r="127" spans="2:14">
      <c r="B127" s="114"/>
      <c r="C127" s="657" t="s">
        <v>3787</v>
      </c>
      <c r="D127" s="2024">
        <v>4129</v>
      </c>
      <c r="E127" s="2552">
        <f>SUMIF('50_51_52_55_57_движ'!C:C,ДДС_приложение!C127,'50_51_52_55_57_движ'!J:J)</f>
        <v>0</v>
      </c>
      <c r="F127" s="3130" t="s">
        <v>1445</v>
      </c>
      <c r="G127" s="1281" t="b">
        <f t="shared" si="7"/>
        <v>1</v>
      </c>
      <c r="I127" s="2618" t="s">
        <v>4930</v>
      </c>
      <c r="J127" s="2711" t="s">
        <v>3370</v>
      </c>
      <c r="K127" s="2491">
        <f>SUMIF('68'!C:C,$J127,'68'!P:P)</f>
        <v>0</v>
      </c>
      <c r="L127" s="2492">
        <f t="shared" si="8"/>
        <v>0</v>
      </c>
      <c r="M127" s="2168" t="b">
        <f t="shared" si="9"/>
        <v>1</v>
      </c>
      <c r="N127" s="2130"/>
    </row>
    <row r="128" spans="2:14">
      <c r="B128" s="114"/>
      <c r="C128" s="657" t="s">
        <v>3788</v>
      </c>
      <c r="D128" s="2024">
        <v>4129</v>
      </c>
      <c r="E128" s="2552">
        <f>SUMIF('50_51_52_55_57_движ'!C:C,ДДС_приложение!C128,'50_51_52_55_57_движ'!J:J)</f>
        <v>0</v>
      </c>
      <c r="F128" s="3130" t="s">
        <v>1445</v>
      </c>
      <c r="G128" s="1281" t="b">
        <f t="shared" si="7"/>
        <v>1</v>
      </c>
      <c r="I128" s="2618" t="s">
        <v>4930</v>
      </c>
      <c r="J128" s="2711" t="s">
        <v>4910</v>
      </c>
      <c r="K128" s="2491">
        <f>SUMIF('68'!C:C,$J128,'68'!P:P)</f>
        <v>0</v>
      </c>
      <c r="L128" s="2492">
        <f t="shared" si="8"/>
        <v>0</v>
      </c>
      <c r="M128" s="2168" t="b">
        <f t="shared" si="9"/>
        <v>1</v>
      </c>
      <c r="N128" s="2130"/>
    </row>
    <row r="129" spans="2:14">
      <c r="B129" s="114"/>
      <c r="C129" s="657" t="s">
        <v>3789</v>
      </c>
      <c r="D129" s="2024">
        <v>4129</v>
      </c>
      <c r="E129" s="2552">
        <f>SUMIF('50_51_52_55_57_движ'!C:C,ДДС_приложение!C129,'50_51_52_55_57_движ'!J:J)</f>
        <v>0</v>
      </c>
      <c r="F129" s="3130" t="s">
        <v>1445</v>
      </c>
      <c r="G129" s="1281" t="b">
        <f t="shared" si="7"/>
        <v>1</v>
      </c>
      <c r="I129" s="2619"/>
      <c r="J129" s="2620"/>
      <c r="K129" s="2481">
        <f>SUMIF('68'!C:C,$J129,'68'!P:P)</f>
        <v>0</v>
      </c>
      <c r="L129" s="2482"/>
      <c r="M129" s="2168"/>
      <c r="N129" s="2130"/>
    </row>
    <row r="130" spans="2:14">
      <c r="B130" s="114"/>
      <c r="C130" s="657" t="s">
        <v>3790</v>
      </c>
      <c r="D130" s="2024">
        <v>4129</v>
      </c>
      <c r="E130" s="2552">
        <f>SUMIF('50_51_52_55_57_движ'!C:C,ДДС_приложение!C130,'50_51_52_55_57_движ'!J:J)</f>
        <v>0</v>
      </c>
      <c r="F130" s="3130" t="s">
        <v>1445</v>
      </c>
      <c r="G130" s="1281" t="b">
        <f t="shared" si="7"/>
        <v>1</v>
      </c>
      <c r="I130" s="2619"/>
      <c r="J130" s="2620"/>
      <c r="K130" s="2481">
        <f>SUMIF('68'!C:C,$J130,'68'!P:P)</f>
        <v>0</v>
      </c>
      <c r="L130" s="2482"/>
      <c r="M130" s="743"/>
    </row>
    <row r="131" spans="2:14">
      <c r="B131" s="114"/>
      <c r="C131" s="657" t="s">
        <v>3791</v>
      </c>
      <c r="D131" s="2024">
        <v>4129</v>
      </c>
      <c r="E131" s="2552">
        <f>SUMIF('50_51_52_55_57_движ'!C:C,ДДС_приложение!C131,'50_51_52_55_57_движ'!J:J)</f>
        <v>0</v>
      </c>
      <c r="F131" s="3130" t="s">
        <v>1445</v>
      </c>
      <c r="G131" s="1281" t="b">
        <f t="shared" si="7"/>
        <v>1</v>
      </c>
      <c r="I131" s="2618" t="s">
        <v>4930</v>
      </c>
      <c r="J131" s="2711" t="s">
        <v>4907</v>
      </c>
      <c r="K131" s="2491">
        <f>SUMIF('68'!C:C,$J131,'68'!P:P)</f>
        <v>0</v>
      </c>
      <c r="L131" s="2492">
        <f>E131+K131</f>
        <v>0</v>
      </c>
      <c r="M131" s="2168" t="b">
        <f t="shared" ref="M131:M135" si="10">IF(ABS(L131)&gt;3,FALSE,TRUE)</f>
        <v>1</v>
      </c>
      <c r="N131" s="2130"/>
    </row>
    <row r="132" spans="2:14">
      <c r="B132" s="114"/>
      <c r="C132" s="657" t="s">
        <v>3792</v>
      </c>
      <c r="D132" s="2024">
        <v>4129</v>
      </c>
      <c r="E132" s="2552">
        <f>SUMIF('50_51_52_55_57_движ'!C:C,ДДС_приложение!C132,'50_51_52_55_57_движ'!J:J)</f>
        <v>0</v>
      </c>
      <c r="F132" s="3130" t="s">
        <v>1445</v>
      </c>
      <c r="G132" s="1281" t="b">
        <f t="shared" si="7"/>
        <v>1</v>
      </c>
      <c r="I132" s="2618" t="s">
        <v>4930</v>
      </c>
      <c r="J132" s="2711" t="s">
        <v>4909</v>
      </c>
      <c r="K132" s="2491">
        <f>SUMIF('68'!C:C,$J132,'68'!P:P)</f>
        <v>0</v>
      </c>
      <c r="L132" s="2492">
        <f>E132+K132</f>
        <v>0</v>
      </c>
      <c r="M132" s="2168" t="b">
        <f t="shared" si="10"/>
        <v>1</v>
      </c>
      <c r="N132" s="2130"/>
    </row>
    <row r="133" spans="2:14">
      <c r="B133" s="114"/>
      <c r="C133" s="657" t="s">
        <v>3793</v>
      </c>
      <c r="D133" s="2024">
        <v>4129</v>
      </c>
      <c r="E133" s="2552">
        <f>SUMIF('50_51_52_55_57_движ'!C:C,ДДС_приложение!C133,'50_51_52_55_57_движ'!J:J)</f>
        <v>0</v>
      </c>
      <c r="F133" s="3130" t="s">
        <v>1445</v>
      </c>
      <c r="G133" s="1281" t="b">
        <f t="shared" si="7"/>
        <v>1</v>
      </c>
      <c r="I133" s="2618" t="s">
        <v>4930</v>
      </c>
      <c r="J133" s="2711" t="s">
        <v>4908</v>
      </c>
      <c r="K133" s="2491">
        <f>SUMIF('68'!C:C,$J133,'68'!P:P)</f>
        <v>0</v>
      </c>
      <c r="L133" s="2492">
        <f>E133+K133</f>
        <v>0</v>
      </c>
      <c r="M133" s="2168" t="b">
        <f t="shared" si="10"/>
        <v>1</v>
      </c>
      <c r="N133" s="2130"/>
    </row>
    <row r="134" spans="2:14">
      <c r="B134" s="114"/>
      <c r="C134" s="657" t="s">
        <v>3794</v>
      </c>
      <c r="D134" s="2024">
        <v>4129</v>
      </c>
      <c r="E134" s="2552">
        <f>SUMIF('50_51_52_55_57_движ'!C:C,ДДС_приложение!C134,'50_51_52_55_57_движ'!J:J)</f>
        <v>0</v>
      </c>
      <c r="F134" s="3130" t="s">
        <v>1445</v>
      </c>
      <c r="G134" s="1281" t="b">
        <f t="shared" si="7"/>
        <v>1</v>
      </c>
      <c r="I134" s="2618" t="s">
        <v>4930</v>
      </c>
      <c r="J134" s="2711" t="s">
        <v>4906</v>
      </c>
      <c r="K134" s="2491">
        <f>SUMIF('68'!C:C,$J134,'68'!P:P)</f>
        <v>0</v>
      </c>
      <c r="L134" s="2492">
        <f>E134+K134</f>
        <v>0</v>
      </c>
      <c r="M134" s="2168" t="b">
        <f t="shared" si="10"/>
        <v>1</v>
      </c>
      <c r="N134" s="2130"/>
    </row>
    <row r="135" spans="2:14" ht="25">
      <c r="B135" s="114"/>
      <c r="C135" s="657" t="s">
        <v>3795</v>
      </c>
      <c r="D135" s="2024">
        <v>4124</v>
      </c>
      <c r="E135" s="2552">
        <f>SUMIF('50_51_52_55_57_движ'!C:C,ДДС_приложение!C135,'50_51_52_55_57_движ'!J:J)</f>
        <v>0</v>
      </c>
      <c r="F135" s="3130" t="s">
        <v>1445</v>
      </c>
      <c r="G135" s="1281" t="b">
        <f t="shared" si="7"/>
        <v>1</v>
      </c>
      <c r="I135" s="2619" t="s">
        <v>6896</v>
      </c>
      <c r="J135" s="2711" t="s">
        <v>4911</v>
      </c>
      <c r="K135" s="2491">
        <f>IF($E$2="АЭПК",SUMIF('68'!C:C,$J135,'68'!P:P),0)</f>
        <v>0</v>
      </c>
      <c r="L135" s="2479">
        <f>E135+K135</f>
        <v>0</v>
      </c>
      <c r="M135" s="2168" t="b">
        <f t="shared" si="10"/>
        <v>1</v>
      </c>
      <c r="N135" s="2130"/>
    </row>
    <row r="136" spans="2:14" ht="25">
      <c r="B136" s="114"/>
      <c r="C136" s="3074" t="s">
        <v>6743</v>
      </c>
      <c r="D136" s="2024">
        <v>4124</v>
      </c>
      <c r="E136" s="2552">
        <f>SUMIF('50_51_52_55_57_движ'!C:C,ДДС_приложение!C136,'50_51_52_55_57_движ'!J:J)</f>
        <v>0</v>
      </c>
      <c r="F136" s="3130" t="s">
        <v>1445</v>
      </c>
      <c r="G136" s="1281" t="b">
        <f t="shared" si="7"/>
        <v>1</v>
      </c>
      <c r="I136" s="2619"/>
      <c r="J136" s="2620"/>
      <c r="K136" s="2481"/>
      <c r="L136" s="2482"/>
      <c r="M136" s="743"/>
    </row>
    <row r="137" spans="2:14" ht="25">
      <c r="B137" s="114"/>
      <c r="C137" s="3074" t="s">
        <v>6744</v>
      </c>
      <c r="D137" s="2024">
        <v>4124</v>
      </c>
      <c r="E137" s="2552">
        <f>SUMIF('50_51_52_55_57_движ'!C:C,ДДС_приложение!C137,'50_51_52_55_57_движ'!J:J)</f>
        <v>0</v>
      </c>
      <c r="F137" s="3130" t="s">
        <v>1445</v>
      </c>
      <c r="G137" s="1281" t="b">
        <f t="shared" si="7"/>
        <v>1</v>
      </c>
      <c r="I137" s="2619"/>
      <c r="J137" s="2620"/>
      <c r="K137" s="2481"/>
      <c r="L137" s="2482"/>
      <c r="M137" s="743"/>
    </row>
    <row r="138" spans="2:14" ht="25">
      <c r="B138" s="114"/>
      <c r="C138" s="3074" t="s">
        <v>6745</v>
      </c>
      <c r="D138" s="2024">
        <v>4124</v>
      </c>
      <c r="E138" s="2552">
        <f>SUMIF('50_51_52_55_57_движ'!C:C,ДДС_приложение!C138,'50_51_52_55_57_движ'!J:J)</f>
        <v>0</v>
      </c>
      <c r="F138" s="3130" t="s">
        <v>1445</v>
      </c>
      <c r="G138" s="1281" t="b">
        <f t="shared" si="7"/>
        <v>1</v>
      </c>
      <c r="I138" s="2619"/>
      <c r="J138" s="2620"/>
      <c r="K138" s="2481"/>
      <c r="L138" s="2482"/>
      <c r="M138" s="743"/>
    </row>
    <row r="139" spans="2:14" ht="25">
      <c r="B139" s="114"/>
      <c r="C139" s="3074" t="s">
        <v>6746</v>
      </c>
      <c r="D139" s="2024">
        <v>4124</v>
      </c>
      <c r="E139" s="2552">
        <f>SUMIF('50_51_52_55_57_движ'!C:C,ДДС_приложение!C139,'50_51_52_55_57_движ'!J:J)</f>
        <v>0</v>
      </c>
      <c r="F139" s="3130" t="s">
        <v>1445</v>
      </c>
      <c r="G139" s="1281" t="b">
        <f t="shared" si="7"/>
        <v>1</v>
      </c>
      <c r="I139" s="2619"/>
      <c r="J139" s="2620"/>
      <c r="K139" s="2481"/>
      <c r="L139" s="2482"/>
      <c r="M139" s="743"/>
    </row>
    <row r="140" spans="2:14" ht="25">
      <c r="B140" s="114"/>
      <c r="C140" s="3074" t="s">
        <v>6747</v>
      </c>
      <c r="D140" s="2024">
        <v>4124</v>
      </c>
      <c r="E140" s="2552">
        <f>SUMIF('50_51_52_55_57_движ'!C:C,ДДС_приложение!C140,'50_51_52_55_57_движ'!J:J)</f>
        <v>0</v>
      </c>
      <c r="F140" s="3130" t="s">
        <v>1445</v>
      </c>
      <c r="G140" s="1281" t="b">
        <f t="shared" si="7"/>
        <v>1</v>
      </c>
      <c r="I140" s="2619"/>
      <c r="J140" s="2620"/>
      <c r="K140" s="2481"/>
      <c r="L140" s="2482"/>
      <c r="M140" s="743"/>
    </row>
    <row r="141" spans="2:14" ht="25">
      <c r="B141" s="114"/>
      <c r="C141" s="3074" t="s">
        <v>6748</v>
      </c>
      <c r="D141" s="2024">
        <v>4124</v>
      </c>
      <c r="E141" s="2552">
        <f>SUMIF('50_51_52_55_57_движ'!C:C,ДДС_приложение!C141,'50_51_52_55_57_движ'!J:J)</f>
        <v>0</v>
      </c>
      <c r="F141" s="3130" t="s">
        <v>1445</v>
      </c>
      <c r="G141" s="1281" t="b">
        <f t="shared" si="7"/>
        <v>1</v>
      </c>
      <c r="I141" s="2619"/>
      <c r="J141" s="2620"/>
      <c r="K141" s="2481"/>
      <c r="L141" s="2482"/>
      <c r="M141" s="743"/>
    </row>
    <row r="142" spans="2:14" ht="25">
      <c r="B142" s="114"/>
      <c r="C142" s="3074" t="s">
        <v>6749</v>
      </c>
      <c r="D142" s="2024">
        <v>4124</v>
      </c>
      <c r="E142" s="2552">
        <f>SUMIF('50_51_52_55_57_движ'!C:C,ДДС_приложение!C142,'50_51_52_55_57_движ'!J:J)</f>
        <v>0</v>
      </c>
      <c r="F142" s="3130" t="s">
        <v>1445</v>
      </c>
      <c r="G142" s="1281" t="b">
        <f t="shared" si="7"/>
        <v>1</v>
      </c>
      <c r="I142" s="2619"/>
      <c r="J142" s="2620"/>
      <c r="K142" s="2481"/>
      <c r="L142" s="2482"/>
      <c r="M142" s="743"/>
    </row>
    <row r="143" spans="2:14" ht="25">
      <c r="B143" s="114"/>
      <c r="C143" s="3074" t="s">
        <v>6750</v>
      </c>
      <c r="D143" s="2024">
        <v>4124</v>
      </c>
      <c r="E143" s="2552">
        <f>SUMIF('50_51_52_55_57_движ'!C:C,ДДС_приложение!C143,'50_51_52_55_57_движ'!J:J)</f>
        <v>0</v>
      </c>
      <c r="F143" s="3130" t="s">
        <v>1445</v>
      </c>
      <c r="G143" s="1281" t="b">
        <f t="shared" si="7"/>
        <v>1</v>
      </c>
      <c r="I143" s="2619"/>
      <c r="J143" s="2620"/>
      <c r="K143" s="2481"/>
      <c r="L143" s="2482"/>
      <c r="M143" s="743"/>
    </row>
    <row r="144" spans="2:14" ht="25">
      <c r="B144" s="114"/>
      <c r="C144" s="3075" t="s">
        <v>7422</v>
      </c>
      <c r="D144" s="2024" t="s">
        <v>6197</v>
      </c>
      <c r="E144" s="2552">
        <f>SUMIF('50_51_52_55_57_движ'!$C:$C,C144,'50_51_52_55_57_движ'!$J:$J)</f>
        <v>0</v>
      </c>
      <c r="F144" s="3130" t="s">
        <v>1445</v>
      </c>
      <c r="G144" s="1281" t="b">
        <f t="shared" si="7"/>
        <v>1</v>
      </c>
      <c r="I144" s="2619"/>
      <c r="J144" s="2480"/>
      <c r="K144" s="2481"/>
      <c r="L144" s="2482"/>
      <c r="M144" s="2168"/>
    </row>
    <row r="145" spans="2:13" ht="75">
      <c r="B145" s="114"/>
      <c r="C145" s="2051" t="s">
        <v>3796</v>
      </c>
      <c r="D145" s="2024">
        <v>4129</v>
      </c>
      <c r="E145" s="2552">
        <f>SUMIF('50_51_52_55_57_движ'!C:C,ДДС_приложение!C145,'50_51_52_55_57_движ'!J:J)</f>
        <v>0</v>
      </c>
      <c r="F145" s="3130" t="s">
        <v>1445</v>
      </c>
      <c r="G145" s="1281" t="b">
        <f t="shared" si="7"/>
        <v>1</v>
      </c>
      <c r="I145" s="2618" t="s">
        <v>7668</v>
      </c>
      <c r="J145" s="2485" t="s">
        <v>8373</v>
      </c>
      <c r="K145" s="2491">
        <f>SUMIF('68'!C:C,"{89} Налоги, удержанные и уплаченные в бюджет другими организациями (кроме налога на прибыль)",'68'!P:P)+SUMIF('68'!C:C,"{99} Прочие",'68'!P:P)+'69'!G25</f>
        <v>0</v>
      </c>
      <c r="L145" s="2479">
        <f>E145+K145</f>
        <v>0</v>
      </c>
      <c r="M145" s="2168" t="b">
        <f t="shared" ref="M145:M146" si="11">IF(ABS(L145)&gt;3,FALSE,TRUE)</f>
        <v>1</v>
      </c>
    </row>
    <row r="146" spans="2:13" ht="80.25" customHeight="1">
      <c r="B146" s="114"/>
      <c r="C146" s="2051" t="s">
        <v>279</v>
      </c>
      <c r="D146" s="2024" t="s">
        <v>8046</v>
      </c>
      <c r="E146" s="2552">
        <f>SUMIF('50_51_52_55_57_движ'!C:C,ДДС_приложение!C146,'50_51_52_55_57_движ'!J:J)</f>
        <v>0</v>
      </c>
      <c r="F146" s="3130" t="s">
        <v>1445</v>
      </c>
      <c r="G146" s="1281" t="b">
        <f t="shared" si="7"/>
        <v>1</v>
      </c>
      <c r="I146" s="2485" t="s">
        <v>7668</v>
      </c>
      <c r="J146" s="2820" t="s">
        <v>8374</v>
      </c>
      <c r="K146" s="2477">
        <f>SUMIF('68'!C:C,"{21} Налоги и сборы социального характера в иностранный бюджет",'68'!P:P)+'69'!G10-'69'!G25-'69'!G16</f>
        <v>0</v>
      </c>
      <c r="L146" s="2479">
        <f>E146+K146</f>
        <v>0</v>
      </c>
      <c r="M146" s="2168" t="b">
        <f t="shared" si="11"/>
        <v>1</v>
      </c>
    </row>
    <row r="147" spans="2:13">
      <c r="B147" s="114"/>
      <c r="C147" s="3076" t="s">
        <v>3797</v>
      </c>
      <c r="D147" s="3077" t="s">
        <v>3798</v>
      </c>
      <c r="E147" s="2553">
        <f>SUM(E121:E146)</f>
        <v>0</v>
      </c>
      <c r="F147" s="3130" t="s">
        <v>1445</v>
      </c>
      <c r="G147" s="1281" t="s">
        <v>4184</v>
      </c>
      <c r="I147" s="2621"/>
      <c r="J147" s="2622"/>
      <c r="K147" s="2477"/>
      <c r="L147" s="2623"/>
      <c r="M147" s="743"/>
    </row>
    <row r="148" spans="2:13" ht="25">
      <c r="B148" s="114"/>
      <c r="C148" s="2051" t="s">
        <v>7424</v>
      </c>
      <c r="D148" s="2024" t="s">
        <v>8047</v>
      </c>
      <c r="E148" s="2552">
        <f>SUMIF('50_51_52_55_57_движ'!C:C,ДДС_приложение!C148,'50_51_52_55_57_движ'!J:J)</f>
        <v>0</v>
      </c>
      <c r="F148" s="3130" t="s">
        <v>1445</v>
      </c>
      <c r="G148" s="1281" t="b">
        <f>IF(OR(AND(E148&lt;0,F148="Приход"),AND(E148&gt;0,F148="Расход")),FALSE,TRUE)</f>
        <v>1</v>
      </c>
      <c r="I148" s="2619" t="s">
        <v>3679</v>
      </c>
      <c r="J148" s="2480" t="s">
        <v>3389</v>
      </c>
      <c r="K148" s="2481"/>
      <c r="L148" s="2482"/>
      <c r="M148" s="2168" t="b">
        <f>IF(ABS(L148)&gt;3,FALSE,TRUE)</f>
        <v>1</v>
      </c>
    </row>
    <row r="149" spans="2:13" ht="29.25" customHeight="1">
      <c r="B149" s="114"/>
      <c r="C149" s="2310" t="s">
        <v>5950</v>
      </c>
      <c r="D149" s="2024">
        <v>4129</v>
      </c>
      <c r="E149" s="2552">
        <f>SUMIF('50_51_52_55_57_движ'!C:C,ДДС_приложение!C149,'50_51_52_55_57_движ'!J:J)</f>
        <v>0</v>
      </c>
      <c r="F149" s="3130" t="s">
        <v>1445</v>
      </c>
      <c r="G149" s="1281" t="b">
        <f>IF(OR(AND(E149&lt;0,F149="Приход"),AND(E149&gt;0,F149="Расход")),FALSE,TRUE)</f>
        <v>1</v>
      </c>
      <c r="I149" s="1253"/>
      <c r="J149" s="2483"/>
      <c r="K149" s="2477"/>
    </row>
    <row r="150" spans="2:13" ht="27" customHeight="1">
      <c r="B150" s="114"/>
      <c r="C150" s="2310" t="s">
        <v>5949</v>
      </c>
      <c r="D150" s="2024">
        <v>4129</v>
      </c>
      <c r="E150" s="2552">
        <f>SUMIF('50_51_52_55_57_движ'!C:C,ДДС_приложение!C150,'50_51_52_55_57_движ'!J:J)</f>
        <v>0</v>
      </c>
      <c r="F150" s="3130" t="s">
        <v>1445</v>
      </c>
      <c r="G150" s="1281" t="b">
        <f>IF(OR(AND(E150&lt;0,F150="Приход"),AND(E150&gt;0,F150="Расход")),FALSE,TRUE)</f>
        <v>1</v>
      </c>
      <c r="I150" s="1253"/>
      <c r="K150" s="2477"/>
    </row>
    <row r="151" spans="2:13">
      <c r="B151" s="114"/>
      <c r="C151" s="3076" t="s">
        <v>6020</v>
      </c>
      <c r="D151" s="3077" t="s">
        <v>6019</v>
      </c>
      <c r="E151" s="2553">
        <f>SUM(E148:E150)</f>
        <v>0</v>
      </c>
      <c r="F151" s="3130" t="s">
        <v>1445</v>
      </c>
      <c r="G151" s="1281" t="s">
        <v>4184</v>
      </c>
      <c r="I151" s="1253"/>
      <c r="K151" s="2477"/>
    </row>
    <row r="152" spans="2:13" ht="25">
      <c r="B152" s="114"/>
      <c r="C152" s="2051" t="s">
        <v>3799</v>
      </c>
      <c r="D152" s="2024">
        <v>4129</v>
      </c>
      <c r="E152" s="2552">
        <f>SUMIF('50_51_52_55_57_движ'!C:C,ДДС_приложение!C152,'50_51_52_55_57_движ'!J:J)</f>
        <v>0</v>
      </c>
      <c r="F152" s="3130" t="s">
        <v>1445</v>
      </c>
      <c r="G152" s="1281" t="b">
        <f t="shared" ref="G152:G173" si="12">IF(OR(AND(E152&lt;0,F152="Приход"),AND(E152&gt;0,F152="Расход")),FALSE,TRUE)</f>
        <v>1</v>
      </c>
      <c r="I152" s="1253"/>
      <c r="K152" s="2477"/>
    </row>
    <row r="153" spans="2:13" ht="25">
      <c r="B153" s="114"/>
      <c r="C153" s="2051" t="s">
        <v>3800</v>
      </c>
      <c r="D153" s="2024">
        <v>4129</v>
      </c>
      <c r="E153" s="2552">
        <f>SUMIF('50_51_52_55_57_движ'!C:C,ДДС_приложение!C153,'50_51_52_55_57_движ'!J:J)</f>
        <v>0</v>
      </c>
      <c r="F153" s="3130" t="s">
        <v>1445</v>
      </c>
      <c r="G153" s="1281" t="b">
        <f t="shared" si="12"/>
        <v>1</v>
      </c>
      <c r="I153" s="1253"/>
      <c r="K153" s="2477"/>
    </row>
    <row r="154" spans="2:13">
      <c r="B154" s="114"/>
      <c r="C154" s="2051" t="s">
        <v>3801</v>
      </c>
      <c r="D154" s="2024">
        <v>4129</v>
      </c>
      <c r="E154" s="2552">
        <f>SUMIF('50_51_52_55_57_движ'!C:C,ДДС_приложение!C154,'50_51_52_55_57_движ'!J:J)</f>
        <v>0</v>
      </c>
      <c r="F154" s="3130" t="s">
        <v>1445</v>
      </c>
      <c r="G154" s="1281" t="b">
        <f t="shared" si="12"/>
        <v>1</v>
      </c>
      <c r="I154" s="1253"/>
      <c r="K154" s="2477"/>
    </row>
    <row r="155" spans="2:13">
      <c r="B155" s="114"/>
      <c r="C155" s="2051" t="s">
        <v>3802</v>
      </c>
      <c r="D155" s="2024">
        <v>4129</v>
      </c>
      <c r="E155" s="2552">
        <f>SUMIF('50_51_52_55_57_движ'!C:C,ДДС_приложение!C155,'50_51_52_55_57_движ'!J:J)</f>
        <v>0</v>
      </c>
      <c r="F155" s="3130" t="s">
        <v>1445</v>
      </c>
      <c r="G155" s="1281" t="b">
        <f t="shared" si="12"/>
        <v>1</v>
      </c>
      <c r="I155" s="1253"/>
      <c r="K155" s="2477"/>
    </row>
    <row r="156" spans="2:13" ht="25">
      <c r="B156" s="114"/>
      <c r="C156" s="2051" t="s">
        <v>3803</v>
      </c>
      <c r="D156" s="2024">
        <v>4129</v>
      </c>
      <c r="E156" s="2552">
        <f>SUMIF('50_51_52_55_57_движ'!C:C,ДДС_приложение!C156,'50_51_52_55_57_движ'!J:J)</f>
        <v>0</v>
      </c>
      <c r="F156" s="3130" t="s">
        <v>1445</v>
      </c>
      <c r="G156" s="1281" t="b">
        <f t="shared" si="12"/>
        <v>1</v>
      </c>
      <c r="I156" s="1253"/>
      <c r="K156" s="2477"/>
    </row>
    <row r="157" spans="2:13" ht="25">
      <c r="B157" s="114"/>
      <c r="C157" s="2051" t="s">
        <v>3804</v>
      </c>
      <c r="D157" s="2024">
        <v>4129</v>
      </c>
      <c r="E157" s="2552">
        <f>SUMIF('50_51_52_55_57_движ'!C:C,ДДС_приложение!C157,'50_51_52_55_57_движ'!J:J)</f>
        <v>0</v>
      </c>
      <c r="F157" s="3130" t="s">
        <v>1445</v>
      </c>
      <c r="G157" s="1281" t="b">
        <f t="shared" si="12"/>
        <v>1</v>
      </c>
      <c r="I157" s="1253"/>
      <c r="K157" s="2477"/>
    </row>
    <row r="158" spans="2:13">
      <c r="B158" s="114"/>
      <c r="C158" s="2051" t="s">
        <v>3805</v>
      </c>
      <c r="D158" s="2024">
        <v>4129</v>
      </c>
      <c r="E158" s="2552">
        <f>SUMIF('50_51_52_55_57_движ'!C:C,ДДС_приложение!C158,'50_51_52_55_57_движ'!J:J)</f>
        <v>0</v>
      </c>
      <c r="F158" s="3130" t="s">
        <v>1445</v>
      </c>
      <c r="G158" s="1281" t="b">
        <f t="shared" si="12"/>
        <v>1</v>
      </c>
      <c r="I158" s="1253"/>
      <c r="K158" s="2477"/>
    </row>
    <row r="159" spans="2:13">
      <c r="B159" s="114"/>
      <c r="C159" s="2051" t="s">
        <v>3806</v>
      </c>
      <c r="D159" s="2024">
        <v>4129</v>
      </c>
      <c r="E159" s="2552">
        <f>SUMIF('50_51_52_55_57_движ'!C:C,ДДС_приложение!C159,'50_51_52_55_57_движ'!J:J)</f>
        <v>0</v>
      </c>
      <c r="F159" s="3130" t="s">
        <v>1445</v>
      </c>
      <c r="G159" s="1281" t="b">
        <f t="shared" si="12"/>
        <v>1</v>
      </c>
      <c r="I159" s="1253"/>
      <c r="K159" s="2477"/>
    </row>
    <row r="160" spans="2:13">
      <c r="B160" s="114"/>
      <c r="C160" s="2051" t="s">
        <v>3807</v>
      </c>
      <c r="D160" s="2024">
        <v>4129</v>
      </c>
      <c r="E160" s="2552">
        <f>SUMIF('50_51_52_55_57_движ'!C:C,ДДС_приложение!C160,'50_51_52_55_57_движ'!J:J)</f>
        <v>0</v>
      </c>
      <c r="F160" s="3130" t="s">
        <v>1445</v>
      </c>
      <c r="G160" s="1281" t="b">
        <f t="shared" si="12"/>
        <v>1</v>
      </c>
      <c r="I160" s="1253"/>
      <c r="K160" s="2477"/>
    </row>
    <row r="161" spans="2:12">
      <c r="B161" s="114"/>
      <c r="C161" s="2051" t="s">
        <v>3808</v>
      </c>
      <c r="D161" s="2024">
        <v>4129</v>
      </c>
      <c r="E161" s="2552">
        <f>SUMIF('50_51_52_55_57_движ'!C:C,ДДС_приложение!C161,'50_51_52_55_57_движ'!J:J)</f>
        <v>0</v>
      </c>
      <c r="F161" s="3130" t="s">
        <v>1445</v>
      </c>
      <c r="G161" s="1281" t="b">
        <f t="shared" si="12"/>
        <v>1</v>
      </c>
      <c r="I161" s="1253"/>
      <c r="K161" s="2477"/>
    </row>
    <row r="162" spans="2:12" ht="25">
      <c r="B162" s="114"/>
      <c r="C162" s="2051" t="s">
        <v>3809</v>
      </c>
      <c r="D162" s="2024">
        <v>4129</v>
      </c>
      <c r="E162" s="2552">
        <f>SUMIF('50_51_52_55_57_движ'!C:C,ДДС_приложение!C162,'50_51_52_55_57_движ'!J:J)</f>
        <v>0</v>
      </c>
      <c r="F162" s="3130" t="s">
        <v>1445</v>
      </c>
      <c r="G162" s="1281" t="b">
        <f t="shared" si="12"/>
        <v>1</v>
      </c>
      <c r="I162" s="1253"/>
      <c r="K162" s="2477"/>
    </row>
    <row r="163" spans="2:12">
      <c r="B163" s="114"/>
      <c r="C163" s="2051" t="s">
        <v>3810</v>
      </c>
      <c r="D163" s="2024">
        <v>4129</v>
      </c>
      <c r="E163" s="2552">
        <f>SUMIF('50_51_52_55_57_движ'!C:C,ДДС_приложение!C163,'50_51_52_55_57_движ'!J:J)</f>
        <v>0</v>
      </c>
      <c r="F163" s="3130" t="s">
        <v>1445</v>
      </c>
      <c r="G163" s="1281" t="b">
        <f t="shared" si="12"/>
        <v>1</v>
      </c>
      <c r="I163" s="1253"/>
      <c r="K163" s="2477"/>
    </row>
    <row r="164" spans="2:12">
      <c r="B164" s="114"/>
      <c r="C164" s="2051" t="s">
        <v>3811</v>
      </c>
      <c r="D164" s="2024">
        <v>4129</v>
      </c>
      <c r="E164" s="2552">
        <f>SUMIF('50_51_52_55_57_движ'!C:C,ДДС_приложение!C164,'50_51_52_55_57_движ'!J:J)</f>
        <v>0</v>
      </c>
      <c r="F164" s="3130" t="s">
        <v>1445</v>
      </c>
      <c r="G164" s="1281" t="b">
        <f t="shared" si="12"/>
        <v>1</v>
      </c>
      <c r="I164" s="1253"/>
      <c r="K164" s="2477"/>
    </row>
    <row r="165" spans="2:12">
      <c r="B165" s="114"/>
      <c r="C165" s="2051" t="s">
        <v>3812</v>
      </c>
      <c r="D165" s="2024">
        <v>4125</v>
      </c>
      <c r="E165" s="2552">
        <f>SUMIF('50_51_52_55_57_движ'!C:C,ДДС_приложение!C165,'50_51_52_55_57_движ'!J:J)</f>
        <v>0</v>
      </c>
      <c r="F165" s="3130" t="s">
        <v>1445</v>
      </c>
      <c r="G165" s="1281" t="b">
        <f t="shared" si="12"/>
        <v>1</v>
      </c>
      <c r="I165" s="1253"/>
      <c r="K165" s="2477"/>
    </row>
    <row r="166" spans="2:12" ht="25">
      <c r="B166" s="114"/>
      <c r="C166" s="2051" t="s">
        <v>6751</v>
      </c>
      <c r="D166" s="2024">
        <v>4125</v>
      </c>
      <c r="E166" s="2552">
        <f>SUMIF('50_51_52_55_57_движ'!C:C,ДДС_приложение!C166,'50_51_52_55_57_движ'!J:J)</f>
        <v>0</v>
      </c>
      <c r="F166" s="3130" t="s">
        <v>1445</v>
      </c>
      <c r="G166" s="1281" t="b">
        <f t="shared" si="12"/>
        <v>1</v>
      </c>
      <c r="I166" s="1253"/>
      <c r="K166" s="2477"/>
    </row>
    <row r="167" spans="2:12" ht="25">
      <c r="B167" s="114"/>
      <c r="C167" s="2051" t="s">
        <v>5109</v>
      </c>
      <c r="D167" s="2024">
        <v>4129</v>
      </c>
      <c r="E167" s="2552">
        <f>SUMIF('50_51_52_55_57_движ'!C:C,ДДС_приложение!C167,'50_51_52_55_57_движ'!J:J)</f>
        <v>0</v>
      </c>
      <c r="F167" s="3130" t="s">
        <v>1445</v>
      </c>
      <c r="G167" s="1281" t="b">
        <f t="shared" si="12"/>
        <v>1</v>
      </c>
      <c r="I167" s="1253"/>
      <c r="K167" s="2477"/>
    </row>
    <row r="168" spans="2:12" ht="25">
      <c r="B168" s="114"/>
      <c r="C168" s="2051" t="s">
        <v>5110</v>
      </c>
      <c r="D168" s="2024">
        <v>4129</v>
      </c>
      <c r="E168" s="2552">
        <f>SUMIF('50_51_52_55_57_движ'!C:C,ДДС_приложение!C168,'50_51_52_55_57_движ'!J:J)</f>
        <v>0</v>
      </c>
      <c r="F168" s="3130" t="s">
        <v>1445</v>
      </c>
      <c r="G168" s="1281" t="b">
        <f t="shared" si="12"/>
        <v>1</v>
      </c>
      <c r="I168" s="1253"/>
      <c r="K168" s="2477"/>
    </row>
    <row r="169" spans="2:12" ht="25">
      <c r="B169" s="114"/>
      <c r="C169" s="2051" t="s">
        <v>5111</v>
      </c>
      <c r="D169" s="2024">
        <v>4129</v>
      </c>
      <c r="E169" s="2552">
        <f>SUMIF('50_51_52_55_57_движ'!C:C,ДДС_приложение!C169,'50_51_52_55_57_движ'!J:J)</f>
        <v>0</v>
      </c>
      <c r="F169" s="3130" t="s">
        <v>1445</v>
      </c>
      <c r="G169" s="1281" t="b">
        <f t="shared" si="12"/>
        <v>1</v>
      </c>
      <c r="I169" s="1253"/>
      <c r="K169" s="2477"/>
    </row>
    <row r="170" spans="2:12" ht="25">
      <c r="B170" s="114"/>
      <c r="C170" s="2051" t="s">
        <v>5112</v>
      </c>
      <c r="D170" s="2024">
        <v>4129</v>
      </c>
      <c r="E170" s="2552">
        <f>SUMIF('50_51_52_55_57_движ'!C:C,ДДС_приложение!C170,'50_51_52_55_57_движ'!J:J)</f>
        <v>0</v>
      </c>
      <c r="F170" s="3130" t="s">
        <v>1445</v>
      </c>
      <c r="G170" s="1281" t="b">
        <f t="shared" si="12"/>
        <v>1</v>
      </c>
      <c r="I170" s="1253"/>
      <c r="K170" s="2477"/>
    </row>
    <row r="171" spans="2:12" ht="25">
      <c r="B171" s="114"/>
      <c r="C171" s="2051" t="s">
        <v>5113</v>
      </c>
      <c r="D171" s="2024">
        <v>4125</v>
      </c>
      <c r="E171" s="2552">
        <f>SUMIF('50_51_52_55_57_движ'!C:C,ДДС_приложение!C171,'50_51_52_55_57_движ'!J:J)</f>
        <v>0</v>
      </c>
      <c r="F171" s="3130" t="s">
        <v>1445</v>
      </c>
      <c r="G171" s="1281" t="b">
        <f t="shared" si="12"/>
        <v>1</v>
      </c>
      <c r="I171" s="1253"/>
      <c r="K171" s="2477"/>
    </row>
    <row r="172" spans="2:12" ht="25">
      <c r="B172" s="114"/>
      <c r="C172" s="2051" t="s">
        <v>5114</v>
      </c>
      <c r="D172" s="2024">
        <v>4125</v>
      </c>
      <c r="E172" s="2552">
        <f>SUMIF('50_51_52_55_57_движ'!C:C,ДДС_приложение!C172,'50_51_52_55_57_движ'!J:J)</f>
        <v>0</v>
      </c>
      <c r="F172" s="3130" t="s">
        <v>1445</v>
      </c>
      <c r="G172" s="1281" t="b">
        <f t="shared" si="12"/>
        <v>1</v>
      </c>
      <c r="I172" s="1253"/>
      <c r="K172" s="2477"/>
    </row>
    <row r="173" spans="2:12">
      <c r="B173" s="114"/>
      <c r="C173" s="2051" t="s">
        <v>5115</v>
      </c>
      <c r="D173" s="2024">
        <v>4125</v>
      </c>
      <c r="E173" s="2552">
        <f>SUMIF('50_51_52_55_57_движ'!C:C,ДДС_приложение!C173,'50_51_52_55_57_движ'!J:J)</f>
        <v>0</v>
      </c>
      <c r="F173" s="3130" t="s">
        <v>1445</v>
      </c>
      <c r="G173" s="1281" t="b">
        <f t="shared" si="12"/>
        <v>1</v>
      </c>
      <c r="I173" s="1253"/>
      <c r="K173" s="2477"/>
    </row>
    <row r="174" spans="2:12" s="1253" customFormat="1" ht="26">
      <c r="B174" s="114"/>
      <c r="C174" s="3076" t="s">
        <v>5116</v>
      </c>
      <c r="D174" s="3077" t="s">
        <v>6019</v>
      </c>
      <c r="E174" s="2553">
        <f>SUM(E152:E173)</f>
        <v>0</v>
      </c>
      <c r="F174" s="3130" t="s">
        <v>1445</v>
      </c>
      <c r="G174" s="1281" t="s">
        <v>4184</v>
      </c>
      <c r="H174" s="32"/>
      <c r="J174" s="2478"/>
      <c r="K174" s="2477"/>
      <c r="L174" s="1225"/>
    </row>
    <row r="175" spans="2:12">
      <c r="B175" s="114"/>
      <c r="C175" s="659" t="s">
        <v>5117</v>
      </c>
      <c r="D175" s="665" t="s">
        <v>5118</v>
      </c>
      <c r="E175" s="2554">
        <f>SUM(E174,E147,E116,E118,E120,E151)</f>
        <v>0</v>
      </c>
      <c r="F175" s="3130" t="s">
        <v>1445</v>
      </c>
      <c r="G175" s="1281" t="s">
        <v>4184</v>
      </c>
      <c r="I175" s="1253"/>
      <c r="K175" s="2477"/>
      <c r="L175" s="2478"/>
    </row>
    <row r="176" spans="2:12" ht="26">
      <c r="B176" s="114"/>
      <c r="C176" s="659" t="s">
        <v>5119</v>
      </c>
      <c r="D176" s="665" t="s">
        <v>5120</v>
      </c>
      <c r="E176" s="2554">
        <f>E48+E175</f>
        <v>0</v>
      </c>
      <c r="F176" s="3130" t="s">
        <v>1444</v>
      </c>
      <c r="G176" s="1281" t="s">
        <v>4184</v>
      </c>
      <c r="I176" s="1253"/>
      <c r="K176" s="2477"/>
    </row>
    <row r="177" spans="2:11">
      <c r="B177" s="114"/>
      <c r="C177" s="657" t="s">
        <v>5121</v>
      </c>
      <c r="D177" s="663">
        <v>4211</v>
      </c>
      <c r="E177" s="2552">
        <f>SUMIF('50_51_52_55_57_движ'!$C:$C,C177,'50_51_52_55_57_движ'!$J:$J)</f>
        <v>0</v>
      </c>
      <c r="F177" s="3130" t="s">
        <v>1444</v>
      </c>
      <c r="G177" s="1281" t="b">
        <f>IF(OR(AND(E177&lt;0,F177="Приход"),AND(E177&gt;0,F177="Расход")),FALSE,TRUE)</f>
        <v>1</v>
      </c>
      <c r="I177" s="1253"/>
      <c r="K177" s="2477"/>
    </row>
    <row r="178" spans="2:11">
      <c r="B178" s="114"/>
      <c r="C178" s="657" t="s">
        <v>4681</v>
      </c>
      <c r="D178" s="663">
        <v>4211</v>
      </c>
      <c r="E178" s="2552">
        <f>SUMIF('50_51_52_55_57_движ'!$C:$C,C178,'50_51_52_55_57_движ'!$J:$J)</f>
        <v>0</v>
      </c>
      <c r="F178" s="3130" t="s">
        <v>1444</v>
      </c>
      <c r="G178" s="1281" t="b">
        <f>IF(OR(AND(E178&lt;0,F178="Приход"),AND(E178&gt;0,F178="Расход")),FALSE,TRUE)</f>
        <v>1</v>
      </c>
      <c r="I178" s="1253"/>
      <c r="K178" s="2477"/>
    </row>
    <row r="179" spans="2:11" ht="25">
      <c r="B179" s="114"/>
      <c r="C179" s="657" t="s">
        <v>4682</v>
      </c>
      <c r="D179" s="663">
        <v>4211</v>
      </c>
      <c r="E179" s="2552">
        <f>SUMIF('50_51_52_55_57_движ'!$C:$C,C179,'50_51_52_55_57_движ'!$J:$J)</f>
        <v>0</v>
      </c>
      <c r="F179" s="3130" t="s">
        <v>1444</v>
      </c>
      <c r="G179" s="1281" t="b">
        <f>IF(OR(AND(E179&lt;0,F179="Приход"),AND(E179&gt;0,F179="Расход")),FALSE,TRUE)</f>
        <v>1</v>
      </c>
      <c r="I179" s="1253"/>
      <c r="K179" s="2477"/>
    </row>
    <row r="180" spans="2:11">
      <c r="B180" s="114"/>
      <c r="C180" s="657" t="s">
        <v>5122</v>
      </c>
      <c r="D180" s="663">
        <v>4211</v>
      </c>
      <c r="E180" s="2552">
        <f>SUMIF('50_51_52_55_57_движ'!$C:$C,C180,'50_51_52_55_57_движ'!$J:$J)</f>
        <v>0</v>
      </c>
      <c r="F180" s="3130" t="s">
        <v>1444</v>
      </c>
      <c r="G180" s="1281" t="b">
        <f>IF(OR(AND(E180&lt;0,F180="Приход"),AND(E180&gt;0,F180="Расход")),FALSE,TRUE)</f>
        <v>1</v>
      </c>
      <c r="I180" s="1253"/>
      <c r="K180" s="2477"/>
    </row>
    <row r="181" spans="2:11" ht="25">
      <c r="B181" s="114"/>
      <c r="C181" s="657" t="s">
        <v>8503</v>
      </c>
      <c r="D181" s="663">
        <v>4211</v>
      </c>
      <c r="E181" s="2552">
        <f>SUMIF('50_51_52_55_57_движ'!$C:$C,C181,'50_51_52_55_57_движ'!$J:$J)</f>
        <v>0</v>
      </c>
      <c r="F181" s="3130" t="s">
        <v>1444</v>
      </c>
      <c r="G181" s="1281" t="b">
        <f>IF(OR(AND(E181&lt;0,F181="Приход"),AND(E181&gt;0,F181="Расход")),FALSE,TRUE)</f>
        <v>1</v>
      </c>
      <c r="I181" s="1253"/>
      <c r="K181" s="2477"/>
    </row>
    <row r="182" spans="2:11" ht="26">
      <c r="B182" s="114"/>
      <c r="C182" s="3076" t="s">
        <v>5123</v>
      </c>
      <c r="D182" s="3077" t="s">
        <v>5124</v>
      </c>
      <c r="E182" s="2553">
        <f>SUM(E177:E181)</f>
        <v>0</v>
      </c>
      <c r="F182" s="3130" t="s">
        <v>1444</v>
      </c>
      <c r="G182" s="1281" t="s">
        <v>4184</v>
      </c>
      <c r="I182" s="1253"/>
      <c r="K182" s="2477"/>
    </row>
    <row r="183" spans="2:11" ht="25">
      <c r="B183" s="114"/>
      <c r="C183" s="2051" t="s">
        <v>5125</v>
      </c>
      <c r="D183" s="2024">
        <v>4212</v>
      </c>
      <c r="E183" s="2552">
        <f>SUMIF('50_51_52_55_57_движ'!$C:$C,C183,'50_51_52_55_57_движ'!$J:$J)</f>
        <v>0</v>
      </c>
      <c r="F183" s="3130" t="s">
        <v>1444</v>
      </c>
      <c r="G183" s="1281" t="b">
        <f>IF(OR(AND(E183&lt;0,F183="Приход"),AND(E183&gt;0,F183="Расход")),FALSE,TRUE)</f>
        <v>1</v>
      </c>
      <c r="I183" s="1253"/>
      <c r="K183" s="2477"/>
    </row>
    <row r="184" spans="2:11" ht="25">
      <c r="B184" s="114"/>
      <c r="C184" s="2051" t="s">
        <v>5126</v>
      </c>
      <c r="D184" s="2024">
        <v>4212</v>
      </c>
      <c r="E184" s="2552">
        <f>SUMIF('50_51_52_55_57_движ'!$C:$C,C184,'50_51_52_55_57_движ'!$J:$J)</f>
        <v>0</v>
      </c>
      <c r="F184" s="3130" t="s">
        <v>1444</v>
      </c>
      <c r="G184" s="1281" t="b">
        <f>IF(OR(AND(E184&lt;0,F184="Приход"),AND(E184&gt;0,F184="Расход")),FALSE,TRUE)</f>
        <v>1</v>
      </c>
      <c r="I184" s="1253"/>
      <c r="K184" s="2477"/>
    </row>
    <row r="185" spans="2:11">
      <c r="B185" s="114"/>
      <c r="C185" s="2051" t="s">
        <v>5127</v>
      </c>
      <c r="D185" s="2024">
        <v>4212</v>
      </c>
      <c r="E185" s="2552">
        <f>SUMIF('50_51_52_55_57_движ'!$C:$C,C185,'50_51_52_55_57_движ'!$J:$J)</f>
        <v>0</v>
      </c>
      <c r="F185" s="3130" t="s">
        <v>1444</v>
      </c>
      <c r="G185" s="1281" t="b">
        <f>IF(OR(AND(E185&lt;0,F185="Приход"),AND(E185&gt;0,F185="Расход")),FALSE,TRUE)</f>
        <v>1</v>
      </c>
      <c r="I185" s="1253"/>
      <c r="K185" s="2477"/>
    </row>
    <row r="186" spans="2:11" ht="26">
      <c r="B186" s="114"/>
      <c r="C186" s="3076" t="s">
        <v>5128</v>
      </c>
      <c r="D186" s="3077" t="s">
        <v>6198</v>
      </c>
      <c r="E186" s="2553">
        <f>SUM(E183:E185)</f>
        <v>0</v>
      </c>
      <c r="F186" s="3130" t="s">
        <v>1444</v>
      </c>
      <c r="G186" s="1281" t="s">
        <v>4184</v>
      </c>
      <c r="I186" s="1253"/>
      <c r="K186" s="2477"/>
    </row>
    <row r="187" spans="2:11">
      <c r="B187" s="114"/>
      <c r="C187" s="2051" t="s">
        <v>5129</v>
      </c>
      <c r="D187" s="2024">
        <v>4212</v>
      </c>
      <c r="E187" s="2552">
        <f>SUMIF('50_51_52_55_57_движ'!$C:$C,C187,'50_51_52_55_57_движ'!$J:$J)</f>
        <v>0</v>
      </c>
      <c r="F187" s="3130" t="s">
        <v>1444</v>
      </c>
      <c r="G187" s="1281" t="b">
        <f t="shared" ref="G187:G195" si="13">IF(OR(AND(E187&lt;0,F187="Приход"),AND(E187&gt;0,F187="Расход")),FALSE,TRUE)</f>
        <v>1</v>
      </c>
      <c r="I187" s="1253"/>
      <c r="K187" s="2477"/>
    </row>
    <row r="188" spans="2:11" ht="29">
      <c r="B188" s="114"/>
      <c r="C188" s="2739" t="s">
        <v>8504</v>
      </c>
      <c r="D188" s="2024">
        <v>4212</v>
      </c>
      <c r="E188" s="2552">
        <f>SUMIF('50_51_52_55_57_движ'!$C:$C,C188,'50_51_52_55_57_движ'!$J:$J)</f>
        <v>0</v>
      </c>
      <c r="F188" s="3130" t="s">
        <v>1444</v>
      </c>
      <c r="G188" s="1281" t="b">
        <f t="shared" si="13"/>
        <v>1</v>
      </c>
      <c r="I188" s="1253"/>
      <c r="K188" s="2477"/>
    </row>
    <row r="189" spans="2:11" ht="25">
      <c r="B189" s="114"/>
      <c r="C189" s="2051" t="s">
        <v>5130</v>
      </c>
      <c r="D189" s="2024">
        <v>4213</v>
      </c>
      <c r="E189" s="2552">
        <f>SUMIF('50_51_52_55_57_движ'!$C:$C,C189,'50_51_52_55_57_движ'!$J:$J)</f>
        <v>0</v>
      </c>
      <c r="F189" s="3130" t="s">
        <v>1444</v>
      </c>
      <c r="G189" s="1281" t="b">
        <f t="shared" si="13"/>
        <v>1</v>
      </c>
      <c r="I189" s="1253"/>
      <c r="K189" s="2477"/>
    </row>
    <row r="190" spans="2:11" ht="37.5">
      <c r="B190" s="114"/>
      <c r="C190" s="2051" t="s">
        <v>5131</v>
      </c>
      <c r="D190" s="2024">
        <v>4113</v>
      </c>
      <c r="E190" s="2552">
        <f>SUMIF('50_51_52_55_57_движ'!$C:$C,C190,'50_51_52_55_57_движ'!$J:$J)</f>
        <v>0</v>
      </c>
      <c r="F190" s="3130" t="s">
        <v>1444</v>
      </c>
      <c r="G190" s="1281" t="b">
        <f t="shared" si="13"/>
        <v>1</v>
      </c>
      <c r="I190" s="1253"/>
      <c r="K190" s="2477"/>
    </row>
    <row r="191" spans="2:11" ht="29">
      <c r="B191" s="114"/>
      <c r="C191" s="2739" t="s">
        <v>8505</v>
      </c>
      <c r="D191" s="2024">
        <v>4113</v>
      </c>
      <c r="E191" s="2552">
        <f>SUMIF('50_51_52_55_57_движ'!$C:$C,C191,'50_51_52_55_57_движ'!$J:$J)</f>
        <v>0</v>
      </c>
      <c r="F191" s="3130" t="s">
        <v>1444</v>
      </c>
      <c r="G191" s="1281" t="b">
        <f t="shared" si="13"/>
        <v>1</v>
      </c>
      <c r="I191" s="1253"/>
      <c r="K191" s="2477"/>
    </row>
    <row r="192" spans="2:11" ht="25">
      <c r="B192" s="114"/>
      <c r="C192" s="2051" t="s">
        <v>5132</v>
      </c>
      <c r="D192" s="2024">
        <v>4219</v>
      </c>
      <c r="E192" s="2552">
        <f>SUMIF('50_51_52_55_57_движ'!$C:$C,C192,'50_51_52_55_57_движ'!$J:$J)</f>
        <v>0</v>
      </c>
      <c r="F192" s="3130" t="s">
        <v>1444</v>
      </c>
      <c r="G192" s="1281" t="b">
        <f t="shared" si="13"/>
        <v>1</v>
      </c>
      <c r="I192" s="1253"/>
      <c r="K192" s="2477"/>
    </row>
    <row r="193" spans="2:12" ht="25">
      <c r="B193" s="114"/>
      <c r="C193" s="2051" t="s">
        <v>5133</v>
      </c>
      <c r="D193" s="2024">
        <v>4213</v>
      </c>
      <c r="E193" s="2552">
        <f>SUMIF('50_51_52_55_57_движ'!$C:$C,C193,'50_51_52_55_57_движ'!$J:$J)</f>
        <v>0</v>
      </c>
      <c r="F193" s="3130" t="s">
        <v>1444</v>
      </c>
      <c r="G193" s="1281" t="b">
        <f t="shared" si="13"/>
        <v>1</v>
      </c>
      <c r="I193" s="1253"/>
      <c r="K193" s="2477"/>
    </row>
    <row r="194" spans="2:12" ht="25">
      <c r="B194" s="114"/>
      <c r="C194" s="2051" t="s">
        <v>5134</v>
      </c>
      <c r="D194" s="2024">
        <v>4213</v>
      </c>
      <c r="E194" s="2552">
        <f>SUMIF('50_51_52_55_57_движ'!$C:$C,C194,'50_51_52_55_57_движ'!$J:$J)</f>
        <v>0</v>
      </c>
      <c r="F194" s="3130" t="s">
        <v>1444</v>
      </c>
      <c r="G194" s="1281" t="b">
        <f t="shared" si="13"/>
        <v>1</v>
      </c>
      <c r="I194" s="1253"/>
      <c r="K194" s="2477"/>
    </row>
    <row r="195" spans="2:12">
      <c r="B195" s="114"/>
      <c r="C195" s="2051" t="s">
        <v>5135</v>
      </c>
      <c r="D195" s="2024">
        <v>4219</v>
      </c>
      <c r="E195" s="2552">
        <f>SUMIF('50_51_52_55_57_движ'!$C:$C,C195,'50_51_52_55_57_движ'!$J:$J)</f>
        <v>0</v>
      </c>
      <c r="F195" s="3130" t="s">
        <v>1444</v>
      </c>
      <c r="G195" s="1281" t="b">
        <f t="shared" si="13"/>
        <v>1</v>
      </c>
      <c r="I195" s="1253"/>
      <c r="K195" s="2477"/>
    </row>
    <row r="196" spans="2:12">
      <c r="B196" s="114"/>
      <c r="C196" s="660" t="s">
        <v>5136</v>
      </c>
      <c r="D196" s="664" t="s">
        <v>5137</v>
      </c>
      <c r="E196" s="2555">
        <f>SUM(E187:E195)</f>
        <v>0</v>
      </c>
      <c r="F196" s="3130" t="s">
        <v>1444</v>
      </c>
      <c r="G196" s="1281" t="s">
        <v>4184</v>
      </c>
      <c r="I196" s="1253"/>
      <c r="K196" s="2477"/>
    </row>
    <row r="197" spans="2:12" ht="26">
      <c r="B197" s="114"/>
      <c r="C197" s="659" t="s">
        <v>5138</v>
      </c>
      <c r="D197" s="665" t="s">
        <v>5139</v>
      </c>
      <c r="E197" s="2554">
        <f>SUM(E196,E186,E182)</f>
        <v>0</v>
      </c>
      <c r="F197" s="3130" t="s">
        <v>1444</v>
      </c>
      <c r="G197" s="1281" t="s">
        <v>4184</v>
      </c>
      <c r="I197" s="1253"/>
      <c r="K197" s="2477"/>
    </row>
    <row r="198" spans="2:12">
      <c r="B198" s="114"/>
      <c r="C198" s="2051" t="s">
        <v>5706</v>
      </c>
      <c r="D198" s="663">
        <v>4221</v>
      </c>
      <c r="E198" s="2552">
        <f>SUMIF('50_51_52_55_57_движ'!C:C,ДДС_приложение!C198,'50_51_52_55_57_движ'!J:J)</f>
        <v>0</v>
      </c>
      <c r="F198" s="3130" t="s">
        <v>1445</v>
      </c>
      <c r="G198" s="1281" t="b">
        <f t="shared" ref="G198:G205" si="14">IF(OR(AND(E198&lt;0,F198="Приход"),AND(E198&gt;0,F198="Расход")),FALSE,TRUE)</f>
        <v>1</v>
      </c>
      <c r="I198" s="1253"/>
      <c r="K198" s="2477"/>
    </row>
    <row r="199" spans="2:12">
      <c r="B199" s="114"/>
      <c r="C199" s="2051" t="s">
        <v>5707</v>
      </c>
      <c r="D199" s="663">
        <v>4221</v>
      </c>
      <c r="E199" s="2552">
        <f>SUMIF('50_51_52_55_57_движ'!C:C,ДДС_приложение!C199,'50_51_52_55_57_движ'!J:J)</f>
        <v>0</v>
      </c>
      <c r="F199" s="3130" t="s">
        <v>1445</v>
      </c>
      <c r="G199" s="1281" t="b">
        <f t="shared" si="14"/>
        <v>1</v>
      </c>
      <c r="I199" s="1253"/>
      <c r="K199" s="2477"/>
    </row>
    <row r="200" spans="2:12">
      <c r="B200" s="114"/>
      <c r="C200" s="2051" t="s">
        <v>5708</v>
      </c>
      <c r="D200" s="663">
        <v>4221</v>
      </c>
      <c r="E200" s="2552">
        <f>SUMIF('50_51_52_55_57_движ'!C:C,ДДС_приложение!C200,'50_51_52_55_57_движ'!J:J)</f>
        <v>0</v>
      </c>
      <c r="F200" s="3130" t="s">
        <v>1445</v>
      </c>
      <c r="G200" s="1281" t="b">
        <f t="shared" si="14"/>
        <v>1</v>
      </c>
      <c r="I200" s="1253"/>
      <c r="K200" s="2477"/>
    </row>
    <row r="201" spans="2:12">
      <c r="B201" s="114"/>
      <c r="C201" s="2051" t="s">
        <v>5709</v>
      </c>
      <c r="D201" s="663">
        <v>4221</v>
      </c>
      <c r="E201" s="2552">
        <f>SUMIF('50_51_52_55_57_движ'!C:C,ДДС_приложение!C201,'50_51_52_55_57_движ'!J:J)</f>
        <v>0</v>
      </c>
      <c r="F201" s="3130" t="s">
        <v>1445</v>
      </c>
      <c r="G201" s="1281" t="b">
        <f t="shared" si="14"/>
        <v>1</v>
      </c>
      <c r="I201" s="1253"/>
      <c r="K201" s="2477"/>
    </row>
    <row r="202" spans="2:12">
      <c r="B202" s="114"/>
      <c r="C202" s="2051" t="s">
        <v>5710</v>
      </c>
      <c r="D202" s="663">
        <v>4221</v>
      </c>
      <c r="E202" s="2552">
        <f>SUMIF('50_51_52_55_57_движ'!C:C,ДДС_приложение!C202,'50_51_52_55_57_движ'!J:J)</f>
        <v>0</v>
      </c>
      <c r="F202" s="3130" t="s">
        <v>1445</v>
      </c>
      <c r="G202" s="1281" t="b">
        <f t="shared" si="14"/>
        <v>1</v>
      </c>
      <c r="I202" s="1253"/>
      <c r="K202" s="2477"/>
    </row>
    <row r="203" spans="2:12">
      <c r="B203" s="114"/>
      <c r="C203" s="2051" t="s">
        <v>5711</v>
      </c>
      <c r="D203" s="663">
        <v>4221</v>
      </c>
      <c r="E203" s="2552">
        <f>SUMIF('50_51_52_55_57_движ'!C:C,ДДС_приложение!C203,'50_51_52_55_57_движ'!J:J)</f>
        <v>0</v>
      </c>
      <c r="F203" s="3130" t="s">
        <v>1445</v>
      </c>
      <c r="G203" s="1281" t="b">
        <f t="shared" si="14"/>
        <v>1</v>
      </c>
      <c r="I203" s="1253"/>
      <c r="K203" s="2477"/>
    </row>
    <row r="204" spans="2:12">
      <c r="B204" s="114"/>
      <c r="C204" s="657" t="s">
        <v>5140</v>
      </c>
      <c r="D204" s="663">
        <v>4221</v>
      </c>
      <c r="E204" s="2552">
        <f>SUMIF('50_51_52_55_57_движ'!C:C,ДДС_приложение!C204,'50_51_52_55_57_движ'!J:J)</f>
        <v>0</v>
      </c>
      <c r="F204" s="3130" t="s">
        <v>1445</v>
      </c>
      <c r="G204" s="1281" t="b">
        <f t="shared" si="14"/>
        <v>1</v>
      </c>
      <c r="I204" s="1253"/>
      <c r="K204" s="2477"/>
    </row>
    <row r="205" spans="2:12" ht="25">
      <c r="B205" s="114"/>
      <c r="C205" s="657" t="s">
        <v>5141</v>
      </c>
      <c r="D205" s="663">
        <v>4221</v>
      </c>
      <c r="E205" s="2552">
        <f>SUMIF('50_51_52_55_57_движ'!$C:$C,C205,'50_51_52_55_57_движ'!$J:$J)</f>
        <v>0</v>
      </c>
      <c r="F205" s="3130" t="s">
        <v>1445</v>
      </c>
      <c r="G205" s="1281" t="b">
        <f t="shared" si="14"/>
        <v>1</v>
      </c>
      <c r="I205" s="1253"/>
      <c r="K205" s="2477"/>
    </row>
    <row r="206" spans="2:12" s="1253" customFormat="1" ht="39">
      <c r="B206" s="114"/>
      <c r="C206" s="658" t="s">
        <v>5142</v>
      </c>
      <c r="D206" s="3077" t="s">
        <v>5143</v>
      </c>
      <c r="E206" s="2553">
        <f>SUM(E198:E205)</f>
        <v>0</v>
      </c>
      <c r="F206" s="3130" t="s">
        <v>1445</v>
      </c>
      <c r="G206" s="1281" t="s">
        <v>4184</v>
      </c>
      <c r="H206" s="32"/>
      <c r="J206" s="2478"/>
      <c r="K206" s="2477"/>
      <c r="L206" s="1225"/>
    </row>
    <row r="207" spans="2:12" ht="25">
      <c r="B207" s="114"/>
      <c r="C207" s="657" t="s">
        <v>5144</v>
      </c>
      <c r="D207" s="2024">
        <v>4223</v>
      </c>
      <c r="E207" s="2552">
        <f>SUMIF('50_51_52_55_57_движ'!C:C,ДДС_приложение!C207,'50_51_52_55_57_движ'!J:J)</f>
        <v>0</v>
      </c>
      <c r="F207" s="3130" t="s">
        <v>1445</v>
      </c>
      <c r="G207" s="1281" t="b">
        <f t="shared" ref="G207:G213" si="15">IF(OR(AND(E207&lt;0,F207="Приход"),AND(E207&gt;0,F207="Расход")),FALSE,TRUE)</f>
        <v>1</v>
      </c>
      <c r="I207" s="1253"/>
      <c r="K207" s="2477"/>
      <c r="L207" s="2478"/>
    </row>
    <row r="208" spans="2:12" ht="25">
      <c r="B208" s="114"/>
      <c r="C208" s="657" t="s">
        <v>5145</v>
      </c>
      <c r="D208" s="2024">
        <v>4223</v>
      </c>
      <c r="E208" s="2552">
        <f>SUMIF('50_51_52_55_57_движ'!$C:$C,C208,'50_51_52_55_57_движ'!$J:$J)</f>
        <v>0</v>
      </c>
      <c r="F208" s="3130" t="s">
        <v>1445</v>
      </c>
      <c r="G208" s="1281" t="b">
        <f t="shared" si="15"/>
        <v>1</v>
      </c>
      <c r="I208" s="1253"/>
      <c r="K208" s="2477"/>
    </row>
    <row r="209" spans="2:12" ht="25">
      <c r="B209" s="114"/>
      <c r="C209" s="657" t="s">
        <v>5146</v>
      </c>
      <c r="D209" s="2024">
        <v>4222</v>
      </c>
      <c r="E209" s="2552">
        <f>SUMIF('50_51_52_55_57_движ'!$C:$C,C209,'50_51_52_55_57_движ'!$J:$J)</f>
        <v>0</v>
      </c>
      <c r="F209" s="3130" t="s">
        <v>1444</v>
      </c>
      <c r="G209" s="1281" t="b">
        <f t="shared" si="15"/>
        <v>1</v>
      </c>
      <c r="I209" s="1253"/>
      <c r="K209" s="2477"/>
    </row>
    <row r="210" spans="2:12" ht="25">
      <c r="B210" s="114"/>
      <c r="C210" s="657" t="s">
        <v>5147</v>
      </c>
      <c r="D210" s="2024">
        <v>4222</v>
      </c>
      <c r="E210" s="2552">
        <f>SUMIF('50_51_52_55_57_движ'!$C:$C,C210,'50_51_52_55_57_движ'!$J:$J)</f>
        <v>0</v>
      </c>
      <c r="F210" s="3130" t="s">
        <v>1445</v>
      </c>
      <c r="G210" s="1281" t="b">
        <f t="shared" si="15"/>
        <v>1</v>
      </c>
      <c r="I210" s="1253"/>
      <c r="K210" s="2477"/>
    </row>
    <row r="211" spans="2:12" ht="25">
      <c r="B211" s="114"/>
      <c r="C211" s="657" t="s">
        <v>5148</v>
      </c>
      <c r="D211" s="2024">
        <v>4222</v>
      </c>
      <c r="E211" s="2552">
        <f>SUMIF('50_51_52_55_57_движ'!$C:$C,C211,'50_51_52_55_57_движ'!$J:$J)</f>
        <v>0</v>
      </c>
      <c r="F211" s="3130" t="s">
        <v>1445</v>
      </c>
      <c r="G211" s="1281" t="b">
        <f t="shared" si="15"/>
        <v>1</v>
      </c>
      <c r="I211" s="1253"/>
      <c r="K211" s="2477"/>
    </row>
    <row r="212" spans="2:12" ht="25">
      <c r="B212" s="114"/>
      <c r="C212" s="657" t="s">
        <v>5149</v>
      </c>
      <c r="D212" s="2024">
        <v>4223</v>
      </c>
      <c r="E212" s="2552">
        <f>SUMIF('50_51_52_55_57_движ'!$C:$C,C212,'50_51_52_55_57_движ'!$J:$J)</f>
        <v>0</v>
      </c>
      <c r="F212" s="3130" t="s">
        <v>1445</v>
      </c>
      <c r="G212" s="1281" t="b">
        <f t="shared" si="15"/>
        <v>1</v>
      </c>
      <c r="I212" s="1253"/>
      <c r="K212" s="2477"/>
    </row>
    <row r="213" spans="2:12" ht="37.5">
      <c r="B213" s="114"/>
      <c r="C213" s="657" t="s">
        <v>5150</v>
      </c>
      <c r="D213" s="2024">
        <v>4113</v>
      </c>
      <c r="E213" s="2552">
        <f>SUMIF('50_51_52_55_57_движ'!$C:$C,C213,'50_51_52_55_57_движ'!$J:$J)</f>
        <v>0</v>
      </c>
      <c r="F213" s="3130" t="s">
        <v>1445</v>
      </c>
      <c r="G213" s="1281" t="b">
        <f t="shared" si="15"/>
        <v>1</v>
      </c>
      <c r="I213" s="1253"/>
      <c r="K213" s="2477"/>
    </row>
    <row r="214" spans="2:12" ht="25">
      <c r="B214" s="114"/>
      <c r="C214" s="657" t="s">
        <v>8502</v>
      </c>
      <c r="D214" s="2024">
        <v>4223</v>
      </c>
      <c r="E214" s="2552">
        <f>SUMIF('50_51_52_55_57_движ'!$C:$C,C214,'50_51_52_55_57_движ'!$J:$J)</f>
        <v>0</v>
      </c>
      <c r="F214" s="3130" t="s">
        <v>1445</v>
      </c>
      <c r="G214" s="1281"/>
      <c r="I214" s="1253"/>
      <c r="K214" s="2477"/>
    </row>
    <row r="215" spans="2:12">
      <c r="B215" s="114"/>
      <c r="C215" s="657" t="s">
        <v>5151</v>
      </c>
      <c r="D215" s="2024">
        <v>4229</v>
      </c>
      <c r="E215" s="2552">
        <f>SUMIF('50_51_52_55_57_движ'!C:C,ДДС_приложение!C215,'50_51_52_55_57_движ'!J:J)</f>
        <v>0</v>
      </c>
      <c r="F215" s="3130" t="s">
        <v>1445</v>
      </c>
      <c r="G215" s="1281" t="b">
        <f>IF(OR(AND(E215&lt;0,F215="Приход"),AND(E215&gt;0,F215="Расход")),FALSE,TRUE)</f>
        <v>1</v>
      </c>
      <c r="I215" s="1253"/>
      <c r="K215" s="2477"/>
    </row>
    <row r="216" spans="2:12" s="1253" customFormat="1">
      <c r="B216" s="114"/>
      <c r="C216" s="658" t="s">
        <v>5152</v>
      </c>
      <c r="D216" s="3077" t="s">
        <v>5153</v>
      </c>
      <c r="E216" s="2553">
        <f>SUM(E207:E215)</f>
        <v>0</v>
      </c>
      <c r="F216" s="3130" t="s">
        <v>1445</v>
      </c>
      <c r="G216" s="1281" t="s">
        <v>4184</v>
      </c>
      <c r="H216" s="32"/>
      <c r="J216" s="2478"/>
      <c r="K216" s="2477"/>
      <c r="L216" s="1225"/>
    </row>
    <row r="217" spans="2:12">
      <c r="B217" s="114"/>
      <c r="C217" s="2051" t="s">
        <v>5712</v>
      </c>
      <c r="D217" s="2024">
        <v>4221</v>
      </c>
      <c r="E217" s="2552">
        <f>SUMIF('50_51_52_55_57_движ'!C:C,ДДС_приложение!C217,'50_51_52_55_57_движ'!J:J)</f>
        <v>0</v>
      </c>
      <c r="F217" s="3130" t="s">
        <v>1445</v>
      </c>
      <c r="G217" s="1281" t="b">
        <f t="shared" ref="G217:G225" si="16">IF(OR(AND(E217&lt;0,F217="Приход"),AND(E217&gt;0,F217="Расход")),FALSE,TRUE)</f>
        <v>1</v>
      </c>
      <c r="I217" s="1253"/>
      <c r="K217" s="2477"/>
      <c r="L217" s="2478"/>
    </row>
    <row r="218" spans="2:12">
      <c r="B218" s="114"/>
      <c r="C218" s="2051" t="s">
        <v>5713</v>
      </c>
      <c r="D218" s="2024">
        <v>4221</v>
      </c>
      <c r="E218" s="2552">
        <f>SUMIF('50_51_52_55_57_движ'!C:C,ДДС_приложение!C218,'50_51_52_55_57_движ'!J:J)</f>
        <v>0</v>
      </c>
      <c r="F218" s="3130" t="s">
        <v>1445</v>
      </c>
      <c r="G218" s="1281" t="b">
        <f t="shared" si="16"/>
        <v>1</v>
      </c>
      <c r="I218" s="1253"/>
      <c r="K218" s="2477"/>
    </row>
    <row r="219" spans="2:12" ht="25">
      <c r="B219" s="114"/>
      <c r="C219" s="2051" t="s">
        <v>5714</v>
      </c>
      <c r="D219" s="2024">
        <v>4221</v>
      </c>
      <c r="E219" s="2552">
        <f>SUMIF('50_51_52_55_57_движ'!C:C,ДДС_приложение!C219,'50_51_52_55_57_движ'!J:J)</f>
        <v>0</v>
      </c>
      <c r="F219" s="3130" t="s">
        <v>1445</v>
      </c>
      <c r="G219" s="1281" t="b">
        <f t="shared" si="16"/>
        <v>1</v>
      </c>
      <c r="I219" s="1253"/>
      <c r="K219" s="2477"/>
    </row>
    <row r="220" spans="2:12">
      <c r="B220" s="114"/>
      <c r="C220" s="2051" t="s">
        <v>5715</v>
      </c>
      <c r="D220" s="2024">
        <v>4221</v>
      </c>
      <c r="E220" s="2552">
        <f>SUMIF('50_51_52_55_57_движ'!C:C,ДДС_приложение!C220,'50_51_52_55_57_движ'!J:J)</f>
        <v>0</v>
      </c>
      <c r="F220" s="3130" t="s">
        <v>1445</v>
      </c>
      <c r="G220" s="1281" t="b">
        <f t="shared" si="16"/>
        <v>1</v>
      </c>
      <c r="I220" s="1253"/>
      <c r="K220" s="2477"/>
    </row>
    <row r="221" spans="2:12">
      <c r="B221" s="114"/>
      <c r="C221" s="657" t="s">
        <v>5154</v>
      </c>
      <c r="D221" s="2024">
        <v>4221</v>
      </c>
      <c r="E221" s="2552">
        <f>SUMIF('50_51_52_55_57_движ'!C:C,ДДС_приложение!C221,'50_51_52_55_57_движ'!J:J)</f>
        <v>0</v>
      </c>
      <c r="F221" s="3130" t="s">
        <v>1445</v>
      </c>
      <c r="G221" s="1281" t="b">
        <f t="shared" si="16"/>
        <v>1</v>
      </c>
      <c r="I221" s="1253"/>
      <c r="K221" s="2477"/>
    </row>
    <row r="222" spans="2:12" ht="25">
      <c r="B222" s="114"/>
      <c r="C222" s="657" t="s">
        <v>5155</v>
      </c>
      <c r="D222" s="2024">
        <v>4224</v>
      </c>
      <c r="E222" s="2552">
        <f>SUMIF('50_51_52_55_57_движ'!C:C,ДДС_приложение!C222,'50_51_52_55_57_движ'!J:J)</f>
        <v>0</v>
      </c>
      <c r="F222" s="3130" t="s">
        <v>1445</v>
      </c>
      <c r="G222" s="1281" t="b">
        <f t="shared" si="16"/>
        <v>1</v>
      </c>
      <c r="I222" s="1253"/>
      <c r="K222" s="2477"/>
    </row>
    <row r="223" spans="2:12" ht="25">
      <c r="B223" s="114"/>
      <c r="C223" s="657" t="s">
        <v>5156</v>
      </c>
      <c r="D223" s="2024">
        <v>4229</v>
      </c>
      <c r="E223" s="2552">
        <f>SUMIF('50_51_52_55_57_движ'!C:C,ДДС_приложение!C223,'50_51_52_55_57_движ'!J:J)</f>
        <v>0</v>
      </c>
      <c r="F223" s="3130" t="s">
        <v>1445</v>
      </c>
      <c r="G223" s="1281" t="b">
        <f t="shared" si="16"/>
        <v>1</v>
      </c>
      <c r="I223" s="1253"/>
      <c r="K223" s="2477"/>
    </row>
    <row r="224" spans="2:12">
      <c r="B224" s="114"/>
      <c r="C224" s="657" t="s">
        <v>5157</v>
      </c>
      <c r="D224" s="2024">
        <v>4229</v>
      </c>
      <c r="E224" s="2552">
        <f>SUMIF('50_51_52_55_57_движ'!C:C,ДДС_приложение!C224,'50_51_52_55_57_движ'!J:J)</f>
        <v>0</v>
      </c>
      <c r="F224" s="3130" t="s">
        <v>1445</v>
      </c>
      <c r="G224" s="1281" t="b">
        <f t="shared" si="16"/>
        <v>1</v>
      </c>
      <c r="I224" s="1253"/>
      <c r="K224" s="2477"/>
    </row>
    <row r="225" spans="2:13">
      <c r="B225" s="114"/>
      <c r="C225" s="657" t="s">
        <v>5158</v>
      </c>
      <c r="D225" s="2024">
        <v>4229</v>
      </c>
      <c r="E225" s="2552">
        <f>SUMIF('50_51_52_55_57_движ'!C:C,ДДС_приложение!C225,'50_51_52_55_57_движ'!J:J)</f>
        <v>0</v>
      </c>
      <c r="F225" s="3130" t="s">
        <v>1445</v>
      </c>
      <c r="G225" s="1281" t="b">
        <f t="shared" si="16"/>
        <v>1</v>
      </c>
      <c r="I225" s="1253"/>
      <c r="K225" s="2477"/>
    </row>
    <row r="226" spans="2:13" s="1253" customFormat="1" ht="26">
      <c r="B226" s="114"/>
      <c r="C226" s="658" t="s">
        <v>4003</v>
      </c>
      <c r="D226" s="664" t="s">
        <v>4004</v>
      </c>
      <c r="E226" s="2553">
        <f>SUM(E217:E225)</f>
        <v>0</v>
      </c>
      <c r="F226" s="3130" t="s">
        <v>1445</v>
      </c>
      <c r="G226" s="1281" t="s">
        <v>4184</v>
      </c>
      <c r="H226" s="32"/>
      <c r="J226" s="2478"/>
      <c r="K226" s="2477"/>
      <c r="L226" s="1225"/>
    </row>
    <row r="227" spans="2:13" ht="26">
      <c r="B227" s="114"/>
      <c r="C227" s="659" t="s">
        <v>4005</v>
      </c>
      <c r="D227" s="665" t="s">
        <v>4006</v>
      </c>
      <c r="E227" s="2554">
        <f>SUM(E226,E216,E206)</f>
        <v>0</v>
      </c>
      <c r="F227" s="3130" t="s">
        <v>1445</v>
      </c>
      <c r="G227" s="1281" t="s">
        <v>4184</v>
      </c>
      <c r="I227" s="1253"/>
      <c r="K227" s="2477"/>
      <c r="L227" s="2478"/>
    </row>
    <row r="228" spans="2:13" ht="26">
      <c r="B228" s="114"/>
      <c r="C228" s="659" t="s">
        <v>4007</v>
      </c>
      <c r="D228" s="665" t="s">
        <v>4008</v>
      </c>
      <c r="E228" s="2554">
        <f>E197+E227</f>
        <v>0</v>
      </c>
      <c r="F228" s="3130" t="s">
        <v>1444</v>
      </c>
      <c r="G228" s="1281" t="s">
        <v>4184</v>
      </c>
      <c r="I228" s="1253"/>
      <c r="K228" s="2477"/>
    </row>
    <row r="229" spans="2:13" ht="25">
      <c r="B229" s="114"/>
      <c r="C229" s="2051" t="s">
        <v>4009</v>
      </c>
      <c r="D229" s="2024">
        <v>4314</v>
      </c>
      <c r="E229" s="2552">
        <f>SUMIF('50_51_52_55_57_движ'!$C:$C,C229,'50_51_52_55_57_движ'!$J:$J)</f>
        <v>0</v>
      </c>
      <c r="F229" s="3130" t="s">
        <v>1444</v>
      </c>
      <c r="G229" s="1281" t="b">
        <f t="shared" ref="G229:G234" si="17">IF(OR(AND(E229&lt;0,F229="Приход"),AND(E229&gt;0,F229="Расход")),FALSE,TRUE)</f>
        <v>1</v>
      </c>
      <c r="I229" s="1253"/>
      <c r="K229" s="2477"/>
    </row>
    <row r="230" spans="2:13">
      <c r="B230" s="114"/>
      <c r="C230" s="2051" t="s">
        <v>4010</v>
      </c>
      <c r="D230" s="2024">
        <v>4311</v>
      </c>
      <c r="E230" s="2552">
        <f>SUMIF('50_51_52_55_57_движ'!$C:$C,C230,'50_51_52_55_57_движ'!$J:$J)</f>
        <v>0</v>
      </c>
      <c r="F230" s="3130" t="s">
        <v>1444</v>
      </c>
      <c r="G230" s="1281" t="b">
        <f t="shared" si="17"/>
        <v>1</v>
      </c>
      <c r="I230" s="1253"/>
      <c r="K230" s="2477"/>
    </row>
    <row r="231" spans="2:13" ht="25">
      <c r="B231" s="114"/>
      <c r="C231" s="2051" t="s">
        <v>4011</v>
      </c>
      <c r="D231" s="2024">
        <v>4311</v>
      </c>
      <c r="E231" s="2552">
        <f>SUMIF('50_51_52_55_57_движ'!$C:$C,C231,'50_51_52_55_57_движ'!$J:$J)</f>
        <v>0</v>
      </c>
      <c r="F231" s="3130" t="s">
        <v>1444</v>
      </c>
      <c r="G231" s="1281" t="b">
        <f t="shared" si="17"/>
        <v>1</v>
      </c>
      <c r="I231" s="1253"/>
      <c r="K231" s="2477"/>
    </row>
    <row r="232" spans="2:13">
      <c r="B232" s="114"/>
      <c r="C232" s="2051" t="s">
        <v>4012</v>
      </c>
      <c r="D232" s="2024">
        <v>4311</v>
      </c>
      <c r="E232" s="2552">
        <f>SUMIF('50_51_52_55_57_движ'!$C:$C,C232,'50_51_52_55_57_движ'!$J:$J)</f>
        <v>0</v>
      </c>
      <c r="F232" s="3130" t="s">
        <v>1444</v>
      </c>
      <c r="G232" s="1281" t="b">
        <f t="shared" si="17"/>
        <v>1</v>
      </c>
      <c r="I232" s="1253"/>
      <c r="K232" s="2477"/>
    </row>
    <row r="233" spans="2:13">
      <c r="B233" s="114"/>
      <c r="C233" s="2051" t="s">
        <v>4013</v>
      </c>
      <c r="D233" s="2024">
        <v>4311</v>
      </c>
      <c r="E233" s="2552">
        <f>SUMIF('50_51_52_55_57_движ'!$C:$C,C233,'50_51_52_55_57_движ'!$J:$J)</f>
        <v>0</v>
      </c>
      <c r="F233" s="3130" t="s">
        <v>1444</v>
      </c>
      <c r="G233" s="1281" t="b">
        <f t="shared" si="17"/>
        <v>1</v>
      </c>
      <c r="I233" s="1253"/>
      <c r="K233" s="2477"/>
    </row>
    <row r="234" spans="2:13" ht="25">
      <c r="B234" s="114"/>
      <c r="C234" s="2051" t="s">
        <v>7869</v>
      </c>
      <c r="D234" s="2024" t="s">
        <v>8048</v>
      </c>
      <c r="E234" s="2552">
        <f>SUMIF('50_51_52_55_57_движ'!$C:$C,C234,'50_51_52_55_57_движ'!$J:$J)</f>
        <v>0</v>
      </c>
      <c r="F234" s="3130" t="s">
        <v>1444</v>
      </c>
      <c r="G234" s="1281" t="b">
        <f t="shared" si="17"/>
        <v>1</v>
      </c>
      <c r="I234" s="1253"/>
      <c r="K234" s="2477"/>
    </row>
    <row r="235" spans="2:13" ht="26">
      <c r="B235" s="114"/>
      <c r="C235" s="658" t="s">
        <v>4014</v>
      </c>
      <c r="D235" s="664" t="s">
        <v>4015</v>
      </c>
      <c r="E235" s="2553">
        <f>SUM(E229:E234)</f>
        <v>0</v>
      </c>
      <c r="F235" s="3130" t="s">
        <v>1444</v>
      </c>
      <c r="G235" s="1281" t="s">
        <v>4184</v>
      </c>
      <c r="I235" s="1881" t="s">
        <v>6915</v>
      </c>
      <c r="J235" s="1881"/>
      <c r="K235" s="1881"/>
      <c r="L235" s="1881"/>
      <c r="M235" s="2130" t="b">
        <f>AND(M236:M247,M249,M262)</f>
        <v>1</v>
      </c>
    </row>
    <row r="236" spans="2:13" ht="25">
      <c r="B236" s="114"/>
      <c r="C236" s="657" t="s">
        <v>6752</v>
      </c>
      <c r="D236" s="663">
        <v>4312</v>
      </c>
      <c r="E236" s="2552">
        <f>SUMIF('50_51_52_55_57_движ'!$C:$C,C236,'50_51_52_55_57_движ'!$J:$J)</f>
        <v>0</v>
      </c>
      <c r="F236" s="3130" t="s">
        <v>1444</v>
      </c>
      <c r="G236" s="1281" t="b">
        <f t="shared" ref="G236:G247" si="18">IF(OR(AND(E236&lt;0,F236="Приход"),AND(E236&gt;0,F236="Расход")),FALSE,TRUE)</f>
        <v>1</v>
      </c>
      <c r="I236" s="1659" t="s">
        <v>5258</v>
      </c>
      <c r="J236" s="2490" t="s">
        <v>6174</v>
      </c>
      <c r="K236" s="2491">
        <f>SUMIFS('86'!Z:Z,'86'!I:I,I236,'86'!J:J,J236)</f>
        <v>0</v>
      </c>
      <c r="L236" s="2492">
        <f t="shared" ref="L236:L247" si="19">E236+K236</f>
        <v>0</v>
      </c>
      <c r="M236" s="2129" t="b">
        <f t="shared" ref="M236:M247" si="20">IF(K236=0,TRUE,IF(ABS(L236)&gt;3,FALSE,TRUE))</f>
        <v>1</v>
      </c>
    </row>
    <row r="237" spans="2:13" ht="25">
      <c r="B237" s="114"/>
      <c r="C237" s="657" t="s">
        <v>6753</v>
      </c>
      <c r="D237" s="663">
        <v>4312</v>
      </c>
      <c r="E237" s="2552">
        <f>SUMIF('50_51_52_55_57_движ'!$C:$C,C237,'50_51_52_55_57_движ'!$J:$J)</f>
        <v>0</v>
      </c>
      <c r="F237" s="3130" t="s">
        <v>1444</v>
      </c>
      <c r="G237" s="1281" t="b">
        <f t="shared" si="18"/>
        <v>1</v>
      </c>
      <c r="I237" s="1659" t="s">
        <v>5258</v>
      </c>
      <c r="J237" s="2490" t="s">
        <v>6175</v>
      </c>
      <c r="K237" s="2491">
        <f>SUMIFS('86'!Z:Z,'86'!I:I,I237,'86'!J:J,J237)</f>
        <v>0</v>
      </c>
      <c r="L237" s="2492">
        <f t="shared" si="19"/>
        <v>0</v>
      </c>
      <c r="M237" s="2129" t="b">
        <f t="shared" si="20"/>
        <v>1</v>
      </c>
    </row>
    <row r="238" spans="2:13" ht="25">
      <c r="B238" s="114"/>
      <c r="C238" s="657" t="s">
        <v>6754</v>
      </c>
      <c r="D238" s="663">
        <v>4312</v>
      </c>
      <c r="E238" s="2552">
        <f>SUMIF('50_51_52_55_57_движ'!$C:$C,C238,'50_51_52_55_57_движ'!$J:$J)</f>
        <v>0</v>
      </c>
      <c r="F238" s="3130" t="s">
        <v>1444</v>
      </c>
      <c r="G238" s="1281" t="b">
        <f t="shared" si="18"/>
        <v>1</v>
      </c>
      <c r="I238" s="1659" t="s">
        <v>5258</v>
      </c>
      <c r="J238" s="2490" t="s">
        <v>6176</v>
      </c>
      <c r="K238" s="2491">
        <f>SUMIFS('86'!Z:Z,'86'!I:I,I238,'86'!J:J,J238)</f>
        <v>0</v>
      </c>
      <c r="L238" s="2492">
        <f t="shared" si="19"/>
        <v>0</v>
      </c>
      <c r="M238" s="2129" t="b">
        <f t="shared" si="20"/>
        <v>1</v>
      </c>
    </row>
    <row r="239" spans="2:13" ht="25">
      <c r="B239" s="114"/>
      <c r="C239" s="657" t="s">
        <v>6755</v>
      </c>
      <c r="D239" s="663">
        <v>4312</v>
      </c>
      <c r="E239" s="2552">
        <f>SUMIF('50_51_52_55_57_движ'!$C:$C,C239,'50_51_52_55_57_движ'!$J:$J)</f>
        <v>0</v>
      </c>
      <c r="F239" s="3130" t="s">
        <v>1444</v>
      </c>
      <c r="G239" s="1281" t="b">
        <f t="shared" si="18"/>
        <v>1</v>
      </c>
      <c r="I239" s="1659" t="s">
        <v>5258</v>
      </c>
      <c r="J239" s="2490" t="s">
        <v>6177</v>
      </c>
      <c r="K239" s="2491">
        <f>SUMIFS('86'!Z:Z,'86'!I:I,I239,'86'!J:J,J239)</f>
        <v>0</v>
      </c>
      <c r="L239" s="2492">
        <f t="shared" si="19"/>
        <v>0</v>
      </c>
      <c r="M239" s="2129" t="b">
        <f t="shared" si="20"/>
        <v>1</v>
      </c>
    </row>
    <row r="240" spans="2:13" ht="25">
      <c r="B240" s="114"/>
      <c r="C240" s="2051" t="s">
        <v>5717</v>
      </c>
      <c r="D240" s="663">
        <v>4312</v>
      </c>
      <c r="E240" s="2552">
        <f>SUMIF('50_51_52_55_57_движ'!$C:$C,C240,'50_51_52_55_57_движ'!$J:$J)</f>
        <v>0</v>
      </c>
      <c r="F240" s="3130" t="s">
        <v>1444</v>
      </c>
      <c r="G240" s="1281" t="b">
        <f t="shared" si="18"/>
        <v>1</v>
      </c>
      <c r="I240" s="1659" t="s">
        <v>5258</v>
      </c>
      <c r="J240" s="2490" t="s">
        <v>6916</v>
      </c>
      <c r="K240" s="2491">
        <f>(SUMIFS('86'!Z:Z,'86'!I:I,I240)+SUM(K236:K239))</f>
        <v>0</v>
      </c>
      <c r="L240" s="2492">
        <f t="shared" si="19"/>
        <v>0</v>
      </c>
      <c r="M240" s="2129" t="b">
        <f t="shared" si="20"/>
        <v>1</v>
      </c>
    </row>
    <row r="241" spans="2:13">
      <c r="B241" s="114"/>
      <c r="C241" s="657" t="s">
        <v>4016</v>
      </c>
      <c r="D241" s="663">
        <v>4312</v>
      </c>
      <c r="E241" s="2552">
        <f>SUMIF('50_51_52_55_57_движ'!$C:$C,C241,'50_51_52_55_57_движ'!$J:$J)</f>
        <v>0</v>
      </c>
      <c r="F241" s="3130" t="s">
        <v>1444</v>
      </c>
      <c r="G241" s="1281" t="b">
        <f t="shared" si="18"/>
        <v>1</v>
      </c>
      <c r="I241" s="116" t="s">
        <v>5259</v>
      </c>
      <c r="J241" s="2490" t="s">
        <v>6917</v>
      </c>
      <c r="K241" s="2491">
        <f>SUMIFS('86'!Z:Z,'86'!I:I,I241)</f>
        <v>0</v>
      </c>
      <c r="L241" s="2492">
        <f t="shared" si="19"/>
        <v>0</v>
      </c>
      <c r="M241" s="2129" t="b">
        <f t="shared" si="20"/>
        <v>1</v>
      </c>
    </row>
    <row r="242" spans="2:13">
      <c r="B242" s="114"/>
      <c r="C242" s="657" t="s">
        <v>4017</v>
      </c>
      <c r="D242" s="663">
        <v>4312</v>
      </c>
      <c r="E242" s="2552">
        <f>SUMIF('50_51_52_55_57_движ'!$C:$C,C242,'50_51_52_55_57_движ'!$J:$J)</f>
        <v>0</v>
      </c>
      <c r="F242" s="3130" t="s">
        <v>1444</v>
      </c>
      <c r="G242" s="1281" t="b">
        <f t="shared" si="18"/>
        <v>1</v>
      </c>
      <c r="I242" s="1659" t="s">
        <v>5329</v>
      </c>
      <c r="J242" s="2490" t="s">
        <v>6917</v>
      </c>
      <c r="K242" s="2491">
        <f>SUMIFS('86'!Z:Z,'86'!I:I,I242)</f>
        <v>0</v>
      </c>
      <c r="L242" s="2492">
        <f t="shared" si="19"/>
        <v>0</v>
      </c>
      <c r="M242" s="2129" t="b">
        <f t="shared" si="20"/>
        <v>1</v>
      </c>
    </row>
    <row r="243" spans="2:13">
      <c r="B243" s="114"/>
      <c r="C243" s="657" t="s">
        <v>4018</v>
      </c>
      <c r="D243" s="663">
        <v>4312</v>
      </c>
      <c r="E243" s="2552">
        <f>SUMIF('50_51_52_55_57_движ'!$C:$C,C243,'50_51_52_55_57_движ'!$J:$J)</f>
        <v>0</v>
      </c>
      <c r="F243" s="3130" t="s">
        <v>1444</v>
      </c>
      <c r="G243" s="1281" t="b">
        <f t="shared" si="18"/>
        <v>1</v>
      </c>
      <c r="I243" s="1659" t="s">
        <v>5334</v>
      </c>
      <c r="J243" s="2490" t="s">
        <v>6917</v>
      </c>
      <c r="K243" s="2491">
        <f>SUMIFS('86'!Z:Z,'86'!I:I,I243)</f>
        <v>0</v>
      </c>
      <c r="L243" s="2492">
        <f t="shared" si="19"/>
        <v>0</v>
      </c>
      <c r="M243" s="2129" t="b">
        <f t="shared" si="20"/>
        <v>1</v>
      </c>
    </row>
    <row r="244" spans="2:13">
      <c r="B244" s="114"/>
      <c r="C244" s="657" t="s">
        <v>4019</v>
      </c>
      <c r="D244" s="663">
        <v>4312</v>
      </c>
      <c r="E244" s="2552">
        <f>SUMIF('50_51_52_55_57_движ'!$C:$C,C244,'50_51_52_55_57_движ'!$J:$J)</f>
        <v>0</v>
      </c>
      <c r="F244" s="3130" t="s">
        <v>1444</v>
      </c>
      <c r="G244" s="1281" t="b">
        <f t="shared" si="18"/>
        <v>1</v>
      </c>
      <c r="I244" s="1659" t="s">
        <v>6918</v>
      </c>
      <c r="J244" s="2490" t="s">
        <v>6919</v>
      </c>
      <c r="K244" s="2491">
        <f>SUMIFS('86'!Z:Z,'86'!I:I,"*резерв*")</f>
        <v>0</v>
      </c>
      <c r="L244" s="2492">
        <f t="shared" si="19"/>
        <v>0</v>
      </c>
      <c r="M244" s="2129" t="b">
        <f t="shared" si="20"/>
        <v>1</v>
      </c>
    </row>
    <row r="245" spans="2:13">
      <c r="B245" s="114"/>
      <c r="C245" s="657" t="s">
        <v>4020</v>
      </c>
      <c r="D245" s="663">
        <v>4312</v>
      </c>
      <c r="E245" s="2552">
        <f>SUMIF('50_51_52_55_57_движ'!$C:$C,C245,'50_51_52_55_57_движ'!$J:$J)</f>
        <v>0</v>
      </c>
      <c r="F245" s="3130" t="s">
        <v>1444</v>
      </c>
      <c r="G245" s="1281" t="b">
        <f t="shared" si="18"/>
        <v>1</v>
      </c>
      <c r="I245" s="1659" t="s">
        <v>5333</v>
      </c>
      <c r="J245" s="2490" t="s">
        <v>6917</v>
      </c>
      <c r="K245" s="2491">
        <f>SUMIFS('86'!Z:Z,'86'!I:I,I245)</f>
        <v>0</v>
      </c>
      <c r="L245" s="2492">
        <f t="shared" si="19"/>
        <v>0</v>
      </c>
      <c r="M245" s="2129" t="b">
        <f t="shared" si="20"/>
        <v>1</v>
      </c>
    </row>
    <row r="246" spans="2:13">
      <c r="B246" s="114"/>
      <c r="C246" s="657" t="s">
        <v>4021</v>
      </c>
      <c r="D246" s="663">
        <v>4312</v>
      </c>
      <c r="E246" s="2552">
        <f>SUMIF('50_51_52_55_57_движ'!$C:$C,C246,'50_51_52_55_57_движ'!$J:$J)</f>
        <v>0</v>
      </c>
      <c r="F246" s="3130" t="s">
        <v>1444</v>
      </c>
      <c r="G246" s="1281" t="b">
        <f t="shared" si="18"/>
        <v>1</v>
      </c>
      <c r="I246" s="1659" t="s">
        <v>5342</v>
      </c>
      <c r="J246" s="2490" t="s">
        <v>6917</v>
      </c>
      <c r="K246" s="2491">
        <f>SUMIFS('86'!Z:Z,'86'!I:I,I246)</f>
        <v>0</v>
      </c>
      <c r="L246" s="2492">
        <f t="shared" si="19"/>
        <v>0</v>
      </c>
      <c r="M246" s="2129" t="b">
        <f t="shared" si="20"/>
        <v>1</v>
      </c>
    </row>
    <row r="247" spans="2:13">
      <c r="B247" s="114"/>
      <c r="C247" s="657" t="s">
        <v>4022</v>
      </c>
      <c r="D247" s="2024">
        <v>4312</v>
      </c>
      <c r="E247" s="2552">
        <f>SUMIF('50_51_52_55_57_движ'!$C:$C,C247,'50_51_52_55_57_движ'!$J:$J)</f>
        <v>0</v>
      </c>
      <c r="F247" s="3130" t="s">
        <v>1444</v>
      </c>
      <c r="G247" s="1281" t="b">
        <f t="shared" si="18"/>
        <v>1</v>
      </c>
      <c r="I247" s="1659" t="s">
        <v>5341</v>
      </c>
      <c r="J247" s="2490" t="s">
        <v>6917</v>
      </c>
      <c r="K247" s="2491">
        <f>SUMIFS('86'!Z:Z,'86'!I:I,I247)</f>
        <v>0</v>
      </c>
      <c r="L247" s="2492">
        <f t="shared" si="19"/>
        <v>0</v>
      </c>
      <c r="M247" s="2129" t="b">
        <f t="shared" si="20"/>
        <v>1</v>
      </c>
    </row>
    <row r="248" spans="2:13" ht="26">
      <c r="B248" s="114"/>
      <c r="C248" s="658" t="s">
        <v>4023</v>
      </c>
      <c r="D248" s="3077" t="s">
        <v>6199</v>
      </c>
      <c r="E248" s="2553">
        <f>SUM(E236:E247)</f>
        <v>0</v>
      </c>
      <c r="F248" s="3130" t="s">
        <v>1444</v>
      </c>
      <c r="G248" s="1281" t="s">
        <v>4184</v>
      </c>
      <c r="I248" s="1659"/>
      <c r="J248" s="2490"/>
      <c r="K248" s="2491"/>
      <c r="L248" s="2492"/>
      <c r="M248" s="2129"/>
    </row>
    <row r="249" spans="2:13">
      <c r="B249" s="114"/>
      <c r="C249" s="657" t="s">
        <v>4024</v>
      </c>
      <c r="D249" s="2024">
        <v>4313</v>
      </c>
      <c r="E249" s="2552">
        <f>SUMIF('50_51_52_55_57_движ'!$C:$C,C249,'50_51_52_55_57_движ'!$J:$J)</f>
        <v>0</v>
      </c>
      <c r="F249" s="3130" t="s">
        <v>1444</v>
      </c>
      <c r="G249" s="1281" t="b">
        <f>IF(OR(AND(E249&lt;0,F249="Приход"),AND(E249&gt;0,F249="Расход")),FALSE,TRUE)</f>
        <v>1</v>
      </c>
      <c r="I249" s="116" t="s">
        <v>4207</v>
      </c>
      <c r="J249" s="1659"/>
      <c r="K249" s="2491">
        <f>SUMIFS('75_01'!N:N,'75_01'!G:G,I249)</f>
        <v>0</v>
      </c>
      <c r="L249" s="2492">
        <f>E249+K249+E251</f>
        <v>0</v>
      </c>
      <c r="M249" s="2129" t="b">
        <f>IF(K249=0,TRUE,IF(ABS(L249)&gt;3,FALSE,TRUE))</f>
        <v>1</v>
      </c>
    </row>
    <row r="250" spans="2:13" ht="26">
      <c r="B250" s="114"/>
      <c r="C250" s="658" t="s">
        <v>4024</v>
      </c>
      <c r="D250" s="3077" t="s">
        <v>4025</v>
      </c>
      <c r="E250" s="2555">
        <f>E249</f>
        <v>0</v>
      </c>
      <c r="F250" s="3130" t="s">
        <v>1444</v>
      </c>
      <c r="G250" s="1281" t="s">
        <v>4184</v>
      </c>
      <c r="I250" s="1659"/>
      <c r="J250" s="2490"/>
      <c r="K250" s="2491"/>
      <c r="L250" s="2490"/>
      <c r="M250" s="116"/>
    </row>
    <row r="251" spans="2:13" ht="25">
      <c r="B251" s="114"/>
      <c r="C251" s="657" t="s">
        <v>4026</v>
      </c>
      <c r="D251" s="2024">
        <v>4312</v>
      </c>
      <c r="E251" s="2552">
        <f>SUMIF('50_51_52_55_57_движ'!$C:$C,C251,'50_51_52_55_57_движ'!$J:$J)</f>
        <v>0</v>
      </c>
      <c r="F251" s="3130" t="s">
        <v>1444</v>
      </c>
      <c r="G251" s="1281" t="b">
        <f>IF(OR(AND(E251&lt;0,F251="Приход"),AND(E251&gt;0,F251="Расход")),FALSE,TRUE)</f>
        <v>1</v>
      </c>
      <c r="I251" s="1659"/>
      <c r="J251" s="2490"/>
      <c r="K251" s="2491"/>
      <c r="L251" s="2490"/>
      <c r="M251" s="116"/>
    </row>
    <row r="252" spans="2:13">
      <c r="B252" s="114"/>
      <c r="C252" s="657" t="s">
        <v>4027</v>
      </c>
      <c r="D252" s="2024">
        <v>4319</v>
      </c>
      <c r="E252" s="2552">
        <f>SUMIF('50_51_52_55_57_движ'!$C:$C,C252,'50_51_52_55_57_движ'!$J:$J)</f>
        <v>0</v>
      </c>
      <c r="F252" s="3130" t="s">
        <v>1444</v>
      </c>
      <c r="G252" s="1281" t="b">
        <f>IF(OR(AND(E252&lt;0,F252="Приход"),AND(E252&gt;0,F252="Расход")),FALSE,TRUE)</f>
        <v>1</v>
      </c>
      <c r="I252" s="1659"/>
      <c r="J252" s="2490"/>
      <c r="K252" s="2491"/>
      <c r="L252" s="2490"/>
      <c r="M252" s="116"/>
    </row>
    <row r="253" spans="2:13">
      <c r="B253" s="114"/>
      <c r="C253" s="658" t="s">
        <v>4028</v>
      </c>
      <c r="D253" s="664" t="s">
        <v>4029</v>
      </c>
      <c r="E253" s="2553">
        <f>SUM(E251:E252)</f>
        <v>0</v>
      </c>
      <c r="F253" s="3130" t="s">
        <v>1444</v>
      </c>
      <c r="G253" s="1281" t="s">
        <v>4184</v>
      </c>
      <c r="I253" s="1659"/>
      <c r="J253" s="2490"/>
      <c r="K253" s="2491"/>
      <c r="L253" s="2490"/>
      <c r="M253" s="116"/>
    </row>
    <row r="254" spans="2:13" ht="26">
      <c r="B254" s="114"/>
      <c r="C254" s="659" t="s">
        <v>4030</v>
      </c>
      <c r="D254" s="665" t="s">
        <v>4031</v>
      </c>
      <c r="E254" s="2554">
        <f>SUM(E253,E248,E250,E235)</f>
        <v>0</v>
      </c>
      <c r="F254" s="3130" t="s">
        <v>1444</v>
      </c>
      <c r="G254" s="1281" t="s">
        <v>4184</v>
      </c>
      <c r="I254" s="1659"/>
      <c r="J254" s="2490"/>
      <c r="K254" s="2491"/>
      <c r="L254" s="2490"/>
      <c r="M254" s="116"/>
    </row>
    <row r="255" spans="2:13">
      <c r="B255" s="114"/>
      <c r="C255" s="657" t="s">
        <v>4032</v>
      </c>
      <c r="D255" s="663">
        <v>4323</v>
      </c>
      <c r="E255" s="2552">
        <f>SUMIF('50_51_52_55_57_движ'!$C:$C,C255,'50_51_52_55_57_движ'!$J:$J)</f>
        <v>0</v>
      </c>
      <c r="F255" s="3130" t="s">
        <v>1445</v>
      </c>
      <c r="G255" s="1281" t="b">
        <f t="shared" ref="G255:G260" si="21">IF(OR(AND(E255&lt;0,F255="Приход"),AND(E255&gt;0,F255="Расход")),FALSE,TRUE)</f>
        <v>1</v>
      </c>
      <c r="I255" s="1659"/>
      <c r="J255" s="2490"/>
      <c r="K255" s="2491"/>
      <c r="L255" s="2490"/>
      <c r="M255" s="116"/>
    </row>
    <row r="256" spans="2:13">
      <c r="B256" s="114"/>
      <c r="C256" s="657" t="s">
        <v>4033</v>
      </c>
      <c r="D256" s="663">
        <v>4323</v>
      </c>
      <c r="E256" s="2552">
        <f>SUMIF('50_51_52_55_57_движ'!C:C,ДДС_приложение!C256,'50_51_52_55_57_движ'!J:J)</f>
        <v>0</v>
      </c>
      <c r="F256" s="3130" t="s">
        <v>1445</v>
      </c>
      <c r="G256" s="1281" t="b">
        <f t="shared" si="21"/>
        <v>1</v>
      </c>
      <c r="I256" s="1659"/>
      <c r="J256" s="2490"/>
      <c r="K256" s="2491"/>
      <c r="L256" s="2490"/>
      <c r="M256" s="116"/>
    </row>
    <row r="257" spans="2:13" ht="25">
      <c r="B257" s="114"/>
      <c r="C257" s="657" t="s">
        <v>4034</v>
      </c>
      <c r="D257" s="663">
        <v>4323</v>
      </c>
      <c r="E257" s="2552">
        <f>SUMIF('50_51_52_55_57_движ'!C:C,ДДС_приложение!C257,'50_51_52_55_57_движ'!J:J)</f>
        <v>0</v>
      </c>
      <c r="F257" s="3130" t="s">
        <v>1445</v>
      </c>
      <c r="G257" s="1281" t="b">
        <f t="shared" si="21"/>
        <v>1</v>
      </c>
      <c r="I257" s="1659"/>
      <c r="J257" s="2490"/>
      <c r="K257" s="2491"/>
      <c r="L257" s="2490"/>
      <c r="M257" s="116"/>
    </row>
    <row r="258" spans="2:13">
      <c r="B258" s="114"/>
      <c r="C258" s="657" t="s">
        <v>4035</v>
      </c>
      <c r="D258" s="663">
        <v>4323</v>
      </c>
      <c r="E258" s="2552">
        <f>SUMIF('50_51_52_55_57_движ'!$C:$C,C258,'50_51_52_55_57_движ'!$J:$J)</f>
        <v>0</v>
      </c>
      <c r="F258" s="3130" t="s">
        <v>1445</v>
      </c>
      <c r="G258" s="1281" t="b">
        <f t="shared" si="21"/>
        <v>1</v>
      </c>
      <c r="I258" s="1659"/>
      <c r="J258" s="2490"/>
      <c r="K258" s="2491"/>
      <c r="L258" s="2490"/>
      <c r="M258" s="116"/>
    </row>
    <row r="259" spans="2:13">
      <c r="B259" s="114"/>
      <c r="C259" s="2051" t="s">
        <v>4036</v>
      </c>
      <c r="D259" s="2024">
        <v>4323</v>
      </c>
      <c r="E259" s="2552">
        <f>SUMIF('50_51_52_55_57_движ'!$C:$C,C259,'50_51_52_55_57_движ'!$J:$J)</f>
        <v>0</v>
      </c>
      <c r="F259" s="3130" t="s">
        <v>1445</v>
      </c>
      <c r="G259" s="1281" t="b">
        <f t="shared" si="21"/>
        <v>1</v>
      </c>
      <c r="I259" s="1659"/>
      <c r="J259" s="2490"/>
      <c r="K259" s="2491"/>
      <c r="L259" s="2490"/>
      <c r="M259" s="116"/>
    </row>
    <row r="260" spans="2:13" ht="25">
      <c r="B260" s="114"/>
      <c r="C260" s="2051" t="s">
        <v>7153</v>
      </c>
      <c r="D260" s="2024" t="s">
        <v>8048</v>
      </c>
      <c r="E260" s="2552">
        <f>SUMIF('50_51_52_55_57_движ'!$C:$C,C260,'50_51_52_55_57_движ'!$J:$J)</f>
        <v>0</v>
      </c>
      <c r="F260" s="3130" t="s">
        <v>1445</v>
      </c>
      <c r="G260" s="1281" t="b">
        <f t="shared" si="21"/>
        <v>1</v>
      </c>
      <c r="I260" s="1659"/>
      <c r="J260" s="2490"/>
      <c r="K260" s="2491"/>
      <c r="L260" s="2490"/>
      <c r="M260" s="116"/>
    </row>
    <row r="261" spans="2:13" s="1253" customFormat="1">
      <c r="B261" s="114"/>
      <c r="C261" s="3076" t="s">
        <v>4037</v>
      </c>
      <c r="D261" s="3077" t="s">
        <v>5295</v>
      </c>
      <c r="E261" s="2553">
        <f>SUM(E255:E260)</f>
        <v>0</v>
      </c>
      <c r="F261" s="3130" t="s">
        <v>1445</v>
      </c>
      <c r="G261" s="1281" t="s">
        <v>4184</v>
      </c>
      <c r="H261" s="32"/>
      <c r="J261" s="2478"/>
      <c r="K261" s="2477"/>
      <c r="L261" s="1225"/>
    </row>
    <row r="262" spans="2:13">
      <c r="B262" s="114"/>
      <c r="C262" s="2051" t="s">
        <v>4038</v>
      </c>
      <c r="D262" s="2024">
        <v>4322</v>
      </c>
      <c r="E262" s="2552">
        <f>SUMIF('50_51_52_55_57_движ'!$C:$C,C262,'50_51_52_55_57_движ'!$J:$J)</f>
        <v>0</v>
      </c>
      <c r="F262" s="3130" t="s">
        <v>1445</v>
      </c>
      <c r="G262" s="1281" t="b">
        <f>IF(OR(AND(E262&lt;0,F262="Приход"),AND(E262&gt;0,F262="Расход")),FALSE,TRUE)</f>
        <v>1</v>
      </c>
      <c r="I262" s="1253"/>
      <c r="K262" s="2477"/>
      <c r="L262" s="2479"/>
      <c r="M262" s="2130"/>
    </row>
    <row r="263" spans="2:13" ht="25">
      <c r="B263" s="114"/>
      <c r="C263" s="2051" t="s">
        <v>5288</v>
      </c>
      <c r="D263" s="2024">
        <v>4322</v>
      </c>
      <c r="E263" s="2552">
        <f>SUMIF('50_51_52_55_57_движ'!$C:$C,C263,'50_51_52_55_57_движ'!$J:$J)</f>
        <v>0</v>
      </c>
      <c r="F263" s="3130" t="s">
        <v>1445</v>
      </c>
      <c r="G263" s="1281" t="b">
        <f>IF(OR(AND(E263&lt;0,F263="Приход"),AND(E263&gt;0,F263="Расход")),FALSE,TRUE)</f>
        <v>1</v>
      </c>
      <c r="I263" s="1253"/>
      <c r="K263" s="2477"/>
    </row>
    <row r="264" spans="2:13" s="1253" customFormat="1">
      <c r="B264" s="114"/>
      <c r="C264" s="3076" t="s">
        <v>5289</v>
      </c>
      <c r="D264" s="3077" t="s">
        <v>5290</v>
      </c>
      <c r="E264" s="2553">
        <f>SUM(E262:E263)</f>
        <v>0</v>
      </c>
      <c r="F264" s="3130" t="s">
        <v>1445</v>
      </c>
      <c r="G264" s="1281" t="s">
        <v>4184</v>
      </c>
      <c r="H264" s="32"/>
      <c r="J264" s="2478"/>
      <c r="K264" s="2477"/>
      <c r="L264" s="1225"/>
    </row>
    <row r="265" spans="2:13">
      <c r="B265" s="114"/>
      <c r="C265" s="2051" t="s">
        <v>5291</v>
      </c>
      <c r="D265" s="2024">
        <v>4329</v>
      </c>
      <c r="E265" s="2552">
        <f>SUMIF('50_51_52_55_57_движ'!$C:$C,C265,'50_51_52_55_57_движ'!$J:$J)</f>
        <v>0</v>
      </c>
      <c r="F265" s="3130" t="s">
        <v>1445</v>
      </c>
      <c r="G265" s="1281" t="b">
        <f>IF(OR(AND(E265&lt;0,F265="Приход"),AND(E265&gt;0,F265="Расход")),FALSE,TRUE)</f>
        <v>1</v>
      </c>
      <c r="I265" s="1253"/>
      <c r="K265" s="2477"/>
      <c r="L265" s="2478"/>
    </row>
    <row r="266" spans="2:13">
      <c r="B266" s="114"/>
      <c r="C266" s="2051" t="s">
        <v>5292</v>
      </c>
      <c r="D266" s="2024">
        <v>4321</v>
      </c>
      <c r="E266" s="2552">
        <f>SUMIF('50_51_52_55_57_движ'!$C:$C,C266,'50_51_52_55_57_движ'!$J:$J)</f>
        <v>0</v>
      </c>
      <c r="F266" s="3130" t="s">
        <v>1445</v>
      </c>
      <c r="G266" s="1281" t="b">
        <f>IF(OR(AND(E266&lt;0,F266="Приход"),AND(E266&gt;0,F266="Расход")),FALSE,TRUE)</f>
        <v>1</v>
      </c>
      <c r="I266" s="1253"/>
      <c r="K266" s="2477"/>
    </row>
    <row r="267" spans="2:13">
      <c r="B267" s="114"/>
      <c r="C267" s="2051" t="s">
        <v>5293</v>
      </c>
      <c r="D267" s="2024">
        <v>4329</v>
      </c>
      <c r="E267" s="2552">
        <f>SUMIF('50_51_52_55_57_движ'!$C:$C,C267,'50_51_52_55_57_движ'!$J:$J)</f>
        <v>0</v>
      </c>
      <c r="F267" s="3130" t="s">
        <v>1445</v>
      </c>
      <c r="G267" s="1281" t="b">
        <f>IF(OR(AND(E267&lt;0,F267="Приход"),AND(E267&gt;0,F267="Расход")),FALSE,TRUE)</f>
        <v>1</v>
      </c>
      <c r="I267" s="1253"/>
      <c r="K267" s="2477"/>
    </row>
    <row r="268" spans="2:13" s="1253" customFormat="1">
      <c r="B268" s="114"/>
      <c r="C268" s="658" t="s">
        <v>5294</v>
      </c>
      <c r="D268" s="664" t="s">
        <v>5295</v>
      </c>
      <c r="E268" s="2553">
        <f>SUM(E265:E267)</f>
        <v>0</v>
      </c>
      <c r="F268" s="3130" t="s">
        <v>1445</v>
      </c>
      <c r="G268" s="1281" t="s">
        <v>4184</v>
      </c>
      <c r="H268" s="32"/>
      <c r="J268" s="2478"/>
      <c r="K268" s="2477"/>
      <c r="L268" s="1225"/>
    </row>
    <row r="269" spans="2:13" s="1253" customFormat="1" ht="26">
      <c r="B269" s="114"/>
      <c r="C269" s="659" t="s">
        <v>5296</v>
      </c>
      <c r="D269" s="665" t="s">
        <v>5297</v>
      </c>
      <c r="E269" s="2554">
        <f>SUM(E268,E264,E261)</f>
        <v>0</v>
      </c>
      <c r="F269" s="3130" t="s">
        <v>1445</v>
      </c>
      <c r="G269" s="1281" t="s">
        <v>4184</v>
      </c>
      <c r="H269" s="32"/>
      <c r="J269" s="2478"/>
      <c r="K269" s="2477"/>
      <c r="L269" s="2478"/>
    </row>
    <row r="270" spans="2:13" s="1253" customFormat="1" ht="26">
      <c r="B270" s="114"/>
      <c r="C270" s="659" t="s">
        <v>5298</v>
      </c>
      <c r="D270" s="665" t="s">
        <v>5299</v>
      </c>
      <c r="E270" s="2554">
        <f>E254+E269</f>
        <v>0</v>
      </c>
      <c r="F270" s="3130" t="s">
        <v>1445</v>
      </c>
      <c r="G270" s="1281" t="s">
        <v>4184</v>
      </c>
      <c r="H270" s="32"/>
      <c r="J270" s="2478"/>
      <c r="K270" s="2477"/>
      <c r="L270" s="2478"/>
    </row>
    <row r="271" spans="2:13" s="1253" customFormat="1">
      <c r="B271" s="114"/>
      <c r="C271" s="657" t="s">
        <v>5379</v>
      </c>
      <c r="D271" s="663">
        <v>4490</v>
      </c>
      <c r="E271" s="2556">
        <f>SUMIF('50_51_52_55_57_движ'!$C:$C,"{4000000_~~_~~_~~}*",'50_51_52_55_57_движ'!$J:$J)</f>
        <v>0</v>
      </c>
      <c r="F271" s="3130" t="s">
        <v>1445</v>
      </c>
      <c r="G271" s="1281" t="s">
        <v>4184</v>
      </c>
      <c r="H271" s="32"/>
      <c r="J271" s="2478"/>
      <c r="K271" s="2477"/>
      <c r="L271" s="2478"/>
    </row>
    <row r="272" spans="2:13" ht="26.5" thickBot="1">
      <c r="B272" s="114"/>
      <c r="C272" s="661" t="s">
        <v>5300</v>
      </c>
      <c r="D272" s="666" t="s">
        <v>5301</v>
      </c>
      <c r="E272" s="2557">
        <f>E271</f>
        <v>0</v>
      </c>
      <c r="F272" s="3130" t="s">
        <v>1445</v>
      </c>
      <c r="G272" s="1282" t="s">
        <v>4184</v>
      </c>
      <c r="I272" s="1253"/>
      <c r="K272" s="2477"/>
      <c r="L272" s="2478"/>
    </row>
    <row r="273" spans="2:8">
      <c r="B273" s="114"/>
      <c r="C273" s="654"/>
      <c r="D273" s="327"/>
      <c r="E273" s="1235"/>
      <c r="F273" s="3128"/>
      <c r="G273" s="8"/>
      <c r="H273" s="1253"/>
    </row>
    <row r="274" spans="2:8">
      <c r="B274" s="114"/>
      <c r="C274" s="654"/>
      <c r="D274" s="327"/>
      <c r="E274" s="1235"/>
      <c r="F274" s="3128"/>
      <c r="G274" s="8"/>
    </row>
  </sheetData>
  <sheetProtection algorithmName="SHA-512" hashValue="Ifq5p3zX+TwuOPze4fFvMxyGu736P6WelkoS27858Sgwr+DvW0fsB+oJeSGm7c9pVkNJt7tJAxV1iy7WEiCvsg==" saltValue="BCRdXVp5NpeOCrJIffelcQ==" spinCount="100000" sheet="1" objects="1" scenarios="1" formatColumns="0" formatRows="0" autoFilter="0"/>
  <autoFilter ref="C4:M272"/>
  <customSheetViews>
    <customSheetView guid="{3769259D-9653-4B34-A2F6-4FB6F9F4E533}" showGridLines="0">
      <pageMargins left="0.7" right="0.7" top="0.75" bottom="0.75" header="0.3" footer="0.3"/>
    </customSheetView>
    <customSheetView guid="{40D7A2BB-326C-4ED3-999C-17852F56D6F4}" showGridLines="0">
      <pageMargins left="0.7" right="0.7" top="0.75" bottom="0.75" header="0.3" footer="0.3"/>
    </customSheetView>
    <customSheetView guid="{5D121940-0CE8-4A0E-A493-67FAAA6E0FF8}" showGridLines="0" hiddenRows="1" hiddenColumns="1" topLeftCell="B3">
      <selection activeCell="E64" sqref="E64"/>
      <pageMargins left="0.7" right="0.7" top="0.75" bottom="0.75" header="0.3" footer="0.3"/>
    </customSheetView>
    <customSheetView guid="{47AEACC4-6EA5-412C-AF39-A6C5357B313A}" showGridLines="0" hiddenRows="1" hiddenColumns="1" topLeftCell="B60">
      <selection activeCell="E64" sqref="E64"/>
      <pageMargins left="0.7" right="0.7" top="0.75" bottom="0.75" header="0.3" footer="0.3"/>
    </customSheetView>
    <customSheetView guid="{4D957B38-5430-481E-B791-E0A66F913B50}" scale="70">
      <pageMargins left="0.7" right="0.7" top="0.75" bottom="0.75" header="0.3" footer="0.3"/>
    </customSheetView>
    <customSheetView guid="{D03DFE91-19D2-43BA-897C-B86D033537EB}" scale="70" hiddenColumns="1">
      <selection activeCell="C36" sqref="C36"/>
      <pageMargins left="0.7" right="0.7" top="0.75" bottom="0.75" header="0.3" footer="0.3"/>
    </customSheetView>
    <customSheetView guid="{1C36793E-2B7E-411E-AA99-985D5D59B75A}" scale="70">
      <selection activeCell="A6" sqref="A6"/>
      <pageMargins left="0.7" right="0.7" top="0.75" bottom="0.75" header="0.3" footer="0.3"/>
    </customSheetView>
    <customSheetView guid="{C913A9E8-661B-40A4-A3C9-1BC5F2B2E9F0}" showGridLines="0" hiddenRows="1" hiddenColumns="1" topLeftCell="B2">
      <selection activeCell="E64" sqref="E64"/>
      <pageMargins left="0.7" right="0.7" top="0.75" bottom="0.75" header="0.3" footer="0.3"/>
    </customSheetView>
  </customSheetViews>
  <phoneticPr fontId="0" type="noConversion"/>
  <conditionalFormatting sqref="G149:G150 G182:G272 G5:G147 G152:G180">
    <cfRule type="containsText" dxfId="66" priority="11" operator="containsText" text="ИСТИНА">
      <formula>NOT(ISERROR(SEARCH("ИСТИНА",G5)))</formula>
    </cfRule>
    <cfRule type="containsText" dxfId="65" priority="12" operator="containsText" text="ЛОЖЬ">
      <formula>NOT(ISERROR(SEARCH("ЛОЖЬ",G5)))</formula>
    </cfRule>
  </conditionalFormatting>
  <conditionalFormatting sqref="G151">
    <cfRule type="containsText" dxfId="64" priority="5" operator="containsText" text="ИСТИНА">
      <formula>NOT(ISERROR(SEARCH("ИСТИНА",G151)))</formula>
    </cfRule>
    <cfRule type="containsText" dxfId="63" priority="6" operator="containsText" text="ЛОЖЬ">
      <formula>NOT(ISERROR(SEARCH("ЛОЖЬ",G151)))</formula>
    </cfRule>
  </conditionalFormatting>
  <conditionalFormatting sqref="G181">
    <cfRule type="containsText" dxfId="62" priority="3" operator="containsText" text="ИСТИНА">
      <formula>NOT(ISERROR(SEARCH("ИСТИНА",G181)))</formula>
    </cfRule>
    <cfRule type="containsText" dxfId="61" priority="4" operator="containsText" text="ЛОЖЬ">
      <formula>NOT(ISERROR(SEARCH("ЛОЖЬ",G181)))</formula>
    </cfRule>
  </conditionalFormatting>
  <conditionalFormatting sqref="G148">
    <cfRule type="containsText" dxfId="60" priority="1" operator="containsText" text="ИСТИНА">
      <formula>NOT(ISERROR(SEARCH("ИСТИНА",G148)))</formula>
    </cfRule>
    <cfRule type="containsText" dxfId="59" priority="2" operator="containsText" text="ЛОЖЬ">
      <formula>NOT(ISERROR(SEARCH("ЛОЖЬ",G148)))</formula>
    </cfRule>
  </conditionalFormatting>
  <hyperlinks>
    <hyperlink ref="D1"/>
    <hyperlink ref="G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5" fitToHeight="3" orientation="portrait" horizontalDpi="4294967294" verticalDpi="429496729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  <pageSetUpPr fitToPage="1"/>
  </sheetPr>
  <dimension ref="A1:O288"/>
  <sheetViews>
    <sheetView topLeftCell="B153" zoomScale="70" zoomScaleNormal="70" workbookViewId="0">
      <selection activeCell="G165" sqref="G165"/>
    </sheetView>
  </sheetViews>
  <sheetFormatPr defaultColWidth="9.453125" defaultRowHeight="14.5" outlineLevelRow="1" outlineLevelCol="1"/>
  <cols>
    <col min="1" max="1" width="18.453125" style="1163" hidden="1" customWidth="1"/>
    <col min="2" max="2" width="4.54296875" style="1563" customWidth="1"/>
    <col min="3" max="3" width="12" style="1163" bestFit="1" customWidth="1"/>
    <col min="4" max="4" width="74" style="1564" customWidth="1"/>
    <col min="5" max="5" width="38.453125" style="1563" customWidth="1"/>
    <col min="6" max="6" width="38.453125" style="1163" customWidth="1"/>
    <col min="7" max="7" width="31.54296875" style="1163" customWidth="1"/>
    <col min="8" max="8" width="10.453125" style="1562" customWidth="1"/>
    <col min="9" max="9" width="10.453125" style="1563" customWidth="1"/>
    <col min="10" max="13" width="10.453125" style="1563" customWidth="1" outlineLevel="1"/>
    <col min="14" max="14" width="10.453125" style="2188" customWidth="1" outlineLevel="1"/>
    <col min="15" max="15" width="10.453125" style="1563" customWidth="1"/>
    <col min="16" max="16384" width="9.453125" style="1563"/>
  </cols>
  <sheetData>
    <row r="1" spans="1:15" ht="17.25" hidden="1" customHeight="1">
      <c r="A1" s="1561" t="s">
        <v>1223</v>
      </c>
      <c r="B1" s="1224"/>
      <c r="C1" s="5"/>
      <c r="D1" s="547"/>
      <c r="E1" s="6" t="s">
        <v>1224</v>
      </c>
      <c r="F1" s="6" t="s">
        <v>1225</v>
      </c>
      <c r="G1" s="6"/>
    </row>
    <row r="2" spans="1:15">
      <c r="A2" s="7"/>
      <c r="E2" s="1163"/>
      <c r="F2" s="3044" t="s">
        <v>1436</v>
      </c>
      <c r="G2" s="8"/>
      <c r="H2" s="1917"/>
      <c r="I2" s="1918"/>
      <c r="J2" s="1918"/>
      <c r="K2" s="1918"/>
      <c r="L2" s="1918"/>
      <c r="M2" s="1918"/>
      <c r="O2" s="1918"/>
    </row>
    <row r="3" spans="1:15">
      <c r="A3" s="9"/>
      <c r="C3" s="3690" t="s">
        <v>3399</v>
      </c>
      <c r="D3" s="3690"/>
      <c r="E3" s="3690"/>
      <c r="F3" s="1897" t="s">
        <v>2067</v>
      </c>
      <c r="G3" s="1244">
        <f>Содержание!$D$2</f>
        <v>0</v>
      </c>
      <c r="H3"/>
    </row>
    <row r="4" spans="1:15" ht="15" thickBot="1">
      <c r="A4" s="9"/>
      <c r="C4" s="8"/>
      <c r="D4" s="535"/>
      <c r="E4"/>
      <c r="F4" s="1897" t="s">
        <v>2075</v>
      </c>
      <c r="G4" s="1244" t="str">
        <f>Содержание!$D$15</f>
        <v>2022 год</v>
      </c>
      <c r="H4" s="32"/>
    </row>
    <row r="5" spans="1:15">
      <c r="A5" s="9"/>
      <c r="C5" s="3694" t="s">
        <v>3402</v>
      </c>
      <c r="D5" s="3691" t="s">
        <v>3381</v>
      </c>
      <c r="E5" s="3691" t="s">
        <v>3400</v>
      </c>
      <c r="F5" s="3691"/>
      <c r="G5" s="3692" t="s">
        <v>3401</v>
      </c>
    </row>
    <row r="6" spans="1:15">
      <c r="A6" s="9"/>
      <c r="C6" s="3695"/>
      <c r="D6" s="3696"/>
      <c r="E6" s="802" t="s">
        <v>1358</v>
      </c>
      <c r="F6" s="802" t="s">
        <v>1359</v>
      </c>
      <c r="G6" s="3693"/>
    </row>
    <row r="7" spans="1:15">
      <c r="A7" s="9"/>
      <c r="C7" s="71"/>
      <c r="D7" s="15"/>
      <c r="E7" s="16" t="s">
        <v>668</v>
      </c>
      <c r="F7" s="15" t="s">
        <v>669</v>
      </c>
      <c r="G7" s="27"/>
    </row>
    <row r="8" spans="1:15" s="1565" customFormat="1" ht="10">
      <c r="A8" s="632"/>
      <c r="C8" s="633" t="s">
        <v>4164</v>
      </c>
      <c r="D8" s="634" t="s">
        <v>4165</v>
      </c>
      <c r="E8" s="1207" t="s">
        <v>4166</v>
      </c>
      <c r="F8" s="733" t="s">
        <v>5500</v>
      </c>
      <c r="G8" s="1566" t="s">
        <v>4169</v>
      </c>
      <c r="N8" s="2189"/>
    </row>
    <row r="9" spans="1:15">
      <c r="A9" s="2427" t="str">
        <f>"R8="&amp;C9&amp;IF(ISERR(SEARCH("(активы для продажи)",D9)),IF(ISERR(SEARCH("(права пользования активами)",D9)),"",".ПА"),".П")</f>
        <v>R8=01</v>
      </c>
      <c r="B9" s="1567" t="s">
        <v>5536</v>
      </c>
      <c r="C9" s="1208" t="s">
        <v>3405</v>
      </c>
      <c r="D9" s="1209" t="s">
        <v>3406</v>
      </c>
      <c r="E9" s="1210">
        <f>SUM('01'!H8)-E10-E11</f>
        <v>0</v>
      </c>
      <c r="F9" s="1211">
        <f>SUM('01'!V8)-F10-F11</f>
        <v>0</v>
      </c>
      <c r="G9" s="1212"/>
      <c r="N9" s="2190">
        <v>1151</v>
      </c>
    </row>
    <row r="10" spans="1:15" outlineLevel="1">
      <c r="A10" s="2427" t="str">
        <f t="shared" ref="A10:A73" si="0">"R8="&amp;C10&amp;IF(ISERR(SEARCH("(активы для продажи)",D10)),IF(ISERR(SEARCH("(права пользования активами)",D10)),"",".ПА"),".П")</f>
        <v>R8=01.П</v>
      </c>
      <c r="B10" s="1567" t="s">
        <v>5536</v>
      </c>
      <c r="C10" s="3306" t="s">
        <v>3405</v>
      </c>
      <c r="D10" s="3305" t="s">
        <v>10127</v>
      </c>
      <c r="E10" s="1159">
        <f>SUM('01'!I8:I8)</f>
        <v>0</v>
      </c>
      <c r="F10" s="40">
        <f>SUM('01'!W8:W8)</f>
        <v>0</v>
      </c>
      <c r="G10" s="500"/>
      <c r="N10" s="2188">
        <v>1260</v>
      </c>
    </row>
    <row r="11" spans="1:15" outlineLevel="1">
      <c r="A11" s="2427" t="str">
        <f t="shared" si="0"/>
        <v>R8=01.ПА</v>
      </c>
      <c r="B11" s="1567"/>
      <c r="C11" s="3306" t="s">
        <v>3405</v>
      </c>
      <c r="D11" s="3305" t="s">
        <v>14554</v>
      </c>
      <c r="E11" s="1210">
        <f>SUMIF('01'!$D:$D,"{3*",'01'!$H:$H)</f>
        <v>0</v>
      </c>
      <c r="F11" s="1211">
        <f>SUMIF('01'!$D:$D,"{3*",'01'!$V:$V)</f>
        <v>0</v>
      </c>
      <c r="G11" s="500"/>
      <c r="I11" s="2830"/>
      <c r="N11" s="2188">
        <v>1154</v>
      </c>
    </row>
    <row r="12" spans="1:15">
      <c r="A12" s="2427" t="str">
        <f t="shared" si="0"/>
        <v>R8=02</v>
      </c>
      <c r="B12" s="1567" t="s">
        <v>5536</v>
      </c>
      <c r="C12" s="1213" t="s">
        <v>3407</v>
      </c>
      <c r="D12" s="1214" t="s">
        <v>3710</v>
      </c>
      <c r="E12" s="1210">
        <f>SUM(E13:E16)</f>
        <v>0</v>
      </c>
      <c r="F12" s="1211">
        <f>SUM(F13:F16)</f>
        <v>0</v>
      </c>
      <c r="G12" s="1215"/>
      <c r="I12" s="2830"/>
      <c r="N12" s="2190"/>
    </row>
    <row r="13" spans="1:15" outlineLevel="1">
      <c r="A13" s="2427" t="str">
        <f t="shared" si="0"/>
        <v>R8=02.01</v>
      </c>
      <c r="B13" s="1567" t="s">
        <v>5536</v>
      </c>
      <c r="C13" s="47" t="s">
        <v>3409</v>
      </c>
      <c r="D13" s="42" t="s">
        <v>3410</v>
      </c>
      <c r="E13" s="1159">
        <f>SUMIF('02'!$D:$D,"{1*",'02'!$H:$H)+SUMIF('02'!$D:$D,"{4*",'02'!$H:$H)-SUMIF('02'!$D:$D,"{1*",'02'!$I:$I)-SUMIF('02'!$D:$D,"{4*",'02'!$I:$I)</f>
        <v>0</v>
      </c>
      <c r="F13" s="40">
        <f>SUMIF('02'!$D:$D,"{1*",'02'!$S:$S)+SUMIF('02'!$D:$D,"{4*",'02'!$S:$S)-SUMIF('02'!$D:$D,"{1*",'02'!$T:$T)-SUMIF('02'!$D:$D,"{4*",'02'!$T:$T)</f>
        <v>0</v>
      </c>
      <c r="G13" s="46"/>
      <c r="N13" s="2190">
        <v>1151</v>
      </c>
    </row>
    <row r="14" spans="1:15" ht="14.9" customHeight="1" outlineLevel="1">
      <c r="A14" s="2427" t="str">
        <f t="shared" si="0"/>
        <v>R8=02.02</v>
      </c>
      <c r="B14" s="1567" t="s">
        <v>5536</v>
      </c>
      <c r="C14" s="47" t="s">
        <v>3411</v>
      </c>
      <c r="D14" s="42" t="s">
        <v>3412</v>
      </c>
      <c r="E14" s="1159">
        <f>SUMIF('02'!$D:$D,"{2*",'02'!$H:$H)+SUMIF('02'!$D:$D,"{5*",'02'!$H:$H)-SUMIF('02'!$D:$D,"{2*",'02'!$I:$I)-SUMIF('02'!$D:$D,"{5*",'02'!$I:$I)</f>
        <v>0</v>
      </c>
      <c r="F14" s="40">
        <f>SUMIF('02'!$D:$D,"{2*",'02'!$S:$S)+SUMIF('02'!$D:$D,"{5*",'02'!$S:$S)-SUMIF('02'!$D:$D,"{2*",'02'!$T:$T)-SUMIF('02'!$D:$D,"{5*",'02'!$T:$T)</f>
        <v>0</v>
      </c>
      <c r="G14" s="46"/>
    </row>
    <row r="15" spans="1:15" ht="14.9" customHeight="1" outlineLevel="1">
      <c r="A15" s="2427" t="str">
        <f t="shared" si="0"/>
        <v>R8=02.03</v>
      </c>
      <c r="B15" s="1567"/>
      <c r="C15" s="47" t="s">
        <v>14594</v>
      </c>
      <c r="D15" s="42" t="s">
        <v>14596</v>
      </c>
      <c r="E15" s="1159">
        <f>SUMIF('02'!$D:$D,"{3*",'02'!$H:$H)+SUMIF('02'!$D:$D,"{6*",'02'!$H:$H)</f>
        <v>0</v>
      </c>
      <c r="F15" s="40">
        <f>SUMIF('02'!$D:$D,"{3*",'02'!$S:$S)+SUMIF('02'!$D:$D,"{6*",'02'!$S:$S)</f>
        <v>0</v>
      </c>
      <c r="G15" s="46"/>
      <c r="N15" s="2190">
        <v>1154</v>
      </c>
    </row>
    <row r="16" spans="1:15" ht="14.9" customHeight="1" outlineLevel="1">
      <c r="A16" s="2427" t="str">
        <f t="shared" si="0"/>
        <v>R8=02.04</v>
      </c>
      <c r="B16" s="1567"/>
      <c r="C16" s="47" t="s">
        <v>14597</v>
      </c>
      <c r="D16" s="42" t="s">
        <v>14598</v>
      </c>
      <c r="E16" s="1159">
        <f>SUMIF('02'!$D:$D,"{7*",'02'!$H:$H)+SUMIF('02'!$D:$D,"{8*",'02'!$H:$H)</f>
        <v>0</v>
      </c>
      <c r="F16" s="40">
        <f>+SUMIF('02'!$D:$D,"{7*",'02'!$S:$S)+SUMIF('02'!$D:$D,"{8*",'02'!$S:$S)</f>
        <v>0</v>
      </c>
      <c r="G16" s="46"/>
      <c r="N16" s="2190">
        <v>1161</v>
      </c>
    </row>
    <row r="17" spans="1:14" outlineLevel="1">
      <c r="A17" s="2427" t="str">
        <f t="shared" si="0"/>
        <v>R8=02.П</v>
      </c>
      <c r="B17" s="1567"/>
      <c r="C17" s="1219" t="s">
        <v>3407</v>
      </c>
      <c r="D17" s="1220" t="s">
        <v>10128</v>
      </c>
      <c r="E17" s="1210">
        <f>'02'!I8</f>
        <v>0</v>
      </c>
      <c r="F17" s="1211">
        <f>'02'!T8</f>
        <v>0</v>
      </c>
      <c r="G17" s="1215"/>
      <c r="N17" s="2188">
        <v>1260</v>
      </c>
    </row>
    <row r="18" spans="1:14">
      <c r="A18" s="2427" t="str">
        <f t="shared" si="0"/>
        <v>R8=03</v>
      </c>
      <c r="B18" s="1567" t="s">
        <v>5536</v>
      </c>
      <c r="C18" s="1213" t="s">
        <v>3413</v>
      </c>
      <c r="D18" s="1214" t="s">
        <v>3414</v>
      </c>
      <c r="E18" s="1210">
        <f>SUM(E19:E19)-E20-E21</f>
        <v>0</v>
      </c>
      <c r="F18" s="1211">
        <f>SUM(F19:F19)-F20-F21</f>
        <v>0</v>
      </c>
      <c r="G18" s="1215"/>
    </row>
    <row r="19" spans="1:14" outlineLevel="1">
      <c r="A19" s="2427" t="str">
        <f t="shared" si="0"/>
        <v>R8=03.01</v>
      </c>
      <c r="B19" s="1567" t="s">
        <v>5536</v>
      </c>
      <c r="C19" s="1786" t="s">
        <v>1357</v>
      </c>
      <c r="D19" s="42" t="s">
        <v>3414</v>
      </c>
      <c r="E19" s="1159">
        <f>'03'!H9</f>
        <v>0</v>
      </c>
      <c r="F19" s="40">
        <f>'03'!U9</f>
        <v>0</v>
      </c>
      <c r="G19" s="3045" t="s">
        <v>5536</v>
      </c>
    </row>
    <row r="20" spans="1:14" outlineLevel="1">
      <c r="A20" s="2427" t="str">
        <f t="shared" si="0"/>
        <v>R8=03.П</v>
      </c>
      <c r="B20" s="1567"/>
      <c r="C20" s="1219" t="s">
        <v>3413</v>
      </c>
      <c r="D20" s="1220" t="s">
        <v>10129</v>
      </c>
      <c r="E20" s="1210">
        <f>'03'!I9</f>
        <v>0</v>
      </c>
      <c r="F20" s="1211">
        <f>'03'!V9</f>
        <v>0</v>
      </c>
      <c r="G20" s="1215"/>
      <c r="N20" s="2188">
        <v>1260</v>
      </c>
    </row>
    <row r="21" spans="1:14" outlineLevel="1">
      <c r="A21" s="2427" t="str">
        <f t="shared" si="0"/>
        <v>R8=03.ПА</v>
      </c>
      <c r="B21" s="1567"/>
      <c r="C21" s="1219" t="s">
        <v>3413</v>
      </c>
      <c r="D21" s="1220" t="s">
        <v>14590</v>
      </c>
      <c r="E21" s="1210">
        <f>SUMIF('03'!$D:$D,"{3*",'03'!$H:$H)</f>
        <v>0</v>
      </c>
      <c r="F21" s="1211">
        <f>SUMIF('03'!$D:$D,"{3*",'03'!$U:$U)</f>
        <v>0</v>
      </c>
      <c r="G21" s="1215"/>
      <c r="N21" s="2188">
        <v>1161</v>
      </c>
    </row>
    <row r="22" spans="1:14">
      <c r="A22" s="2427" t="str">
        <f t="shared" si="0"/>
        <v>R8=04</v>
      </c>
      <c r="B22" s="1567" t="s">
        <v>5536</v>
      </c>
      <c r="C22" s="1213" t="s">
        <v>3415</v>
      </c>
      <c r="D22" s="1214" t="s">
        <v>3416</v>
      </c>
      <c r="E22" s="1210">
        <f>SUM(E23:E25)</f>
        <v>0</v>
      </c>
      <c r="F22" s="1211">
        <f>SUM(F23:F25)</f>
        <v>0</v>
      </c>
      <c r="G22" s="1215"/>
      <c r="N22" s="2190"/>
    </row>
    <row r="23" spans="1:14" outlineLevel="1">
      <c r="A23" s="2427" t="str">
        <f t="shared" si="0"/>
        <v>R8=04.01</v>
      </c>
      <c r="B23" s="1567" t="s">
        <v>5536</v>
      </c>
      <c r="C23" s="47" t="s">
        <v>3417</v>
      </c>
      <c r="D23" s="42" t="s">
        <v>3416</v>
      </c>
      <c r="E23" s="1216">
        <f>('04'!D9-'04'!D21-'04'!D32-'04'!D16)-('04'!E9-'04'!E21-'04'!E32-'04'!E16)</f>
        <v>0</v>
      </c>
      <c r="F23" s="40">
        <f>('04'!P9-'04'!P21-'04'!P32-'04'!P16)-('04'!Q9-'04'!Q21-'04'!Q32-'04'!Q16)</f>
        <v>0</v>
      </c>
      <c r="G23" s="46"/>
      <c r="N23" s="2190">
        <v>1110</v>
      </c>
    </row>
    <row r="24" spans="1:14" outlineLevel="1">
      <c r="A24" s="2427" t="str">
        <f t="shared" si="0"/>
        <v>R8=04.02</v>
      </c>
      <c r="B24" s="1567" t="s">
        <v>5536</v>
      </c>
      <c r="C24" s="47" t="s">
        <v>3418</v>
      </c>
      <c r="D24" s="42" t="s">
        <v>3419</v>
      </c>
      <c r="E24" s="1216">
        <f>('04'!D21+'04'!D32)-('04'!E21+'04'!E32)</f>
        <v>0</v>
      </c>
      <c r="F24" s="40">
        <f>('04'!P21+'04'!P32)-('04'!Q21+'04'!Q32)</f>
        <v>0</v>
      </c>
      <c r="G24" s="46"/>
      <c r="N24" s="2190">
        <v>1120</v>
      </c>
    </row>
    <row r="25" spans="1:14" outlineLevel="1">
      <c r="A25" s="2427" t="str">
        <f t="shared" si="0"/>
        <v>R8=04.03</v>
      </c>
      <c r="B25" s="1567" t="s">
        <v>5536</v>
      </c>
      <c r="C25" s="47" t="s">
        <v>3420</v>
      </c>
      <c r="D25" s="42" t="s">
        <v>3421</v>
      </c>
      <c r="E25" s="1216">
        <f>'04'!D16-'04'!E16</f>
        <v>0</v>
      </c>
      <c r="F25" s="40">
        <f>'04'!P16-'04'!Q16</f>
        <v>0</v>
      </c>
      <c r="G25" s="46"/>
      <c r="N25" s="2190">
        <v>1110</v>
      </c>
    </row>
    <row r="26" spans="1:14" outlineLevel="1">
      <c r="A26" s="2427" t="str">
        <f t="shared" si="0"/>
        <v>R8=04.П</v>
      </c>
      <c r="B26" s="1567"/>
      <c r="C26" s="1219" t="s">
        <v>3415</v>
      </c>
      <c r="D26" s="1220" t="s">
        <v>10130</v>
      </c>
      <c r="E26" s="1210">
        <f>'04'!E9</f>
        <v>0</v>
      </c>
      <c r="F26" s="1211">
        <f>'04'!Q9</f>
        <v>0</v>
      </c>
      <c r="G26" s="1215"/>
      <c r="N26" s="2190">
        <v>1260</v>
      </c>
    </row>
    <row r="27" spans="1:14">
      <c r="A27" s="2427" t="str">
        <f t="shared" si="0"/>
        <v>R8=05</v>
      </c>
      <c r="B27" s="1567" t="s">
        <v>5536</v>
      </c>
      <c r="C27" s="1213" t="s">
        <v>3422</v>
      </c>
      <c r="D27" s="1214" t="s">
        <v>3423</v>
      </c>
      <c r="E27" s="1210">
        <f>SUM(E28:E30)</f>
        <v>0</v>
      </c>
      <c r="F27" s="1211">
        <f>SUM(F28:F30)</f>
        <v>0</v>
      </c>
      <c r="G27" s="1215"/>
      <c r="N27" s="2190"/>
    </row>
    <row r="28" spans="1:14" outlineLevel="1">
      <c r="A28" s="2427" t="str">
        <f t="shared" si="0"/>
        <v>R8=05.01</v>
      </c>
      <c r="B28" s="1567" t="s">
        <v>5536</v>
      </c>
      <c r="C28" s="47" t="s">
        <v>3424</v>
      </c>
      <c r="D28" s="42" t="s">
        <v>3423</v>
      </c>
      <c r="E28" s="1216">
        <f>('05'!D8-'05'!D20-'05'!D31-'05'!D15)-('05'!E8-'05'!E20-'05'!E31-'05'!E15)</f>
        <v>0</v>
      </c>
      <c r="F28" s="40">
        <f>('05'!M8-'05'!M20-'05'!M31-'05'!M15)-('05'!N8-'05'!N20-'05'!N31-'05'!N15)</f>
        <v>0</v>
      </c>
      <c r="G28" s="46"/>
      <c r="N28" s="2190">
        <v>1110</v>
      </c>
    </row>
    <row r="29" spans="1:14" outlineLevel="1">
      <c r="A29" s="2427" t="str">
        <f t="shared" si="0"/>
        <v>R8=05.02</v>
      </c>
      <c r="B29" s="1567" t="s">
        <v>5536</v>
      </c>
      <c r="C29" s="47" t="s">
        <v>3425</v>
      </c>
      <c r="D29" s="42" t="s">
        <v>3426</v>
      </c>
      <c r="E29" s="1216">
        <f>('05'!D20+'05'!D31)-('05'!E20+'05'!E31)</f>
        <v>0</v>
      </c>
      <c r="F29" s="40">
        <f>('05'!M20+'05'!M31)-('05'!N20+'05'!N31)</f>
        <v>0</v>
      </c>
      <c r="G29" s="46"/>
      <c r="N29" s="2190">
        <v>1120</v>
      </c>
    </row>
    <row r="30" spans="1:14" outlineLevel="1">
      <c r="A30" s="2427" t="str">
        <f t="shared" si="0"/>
        <v>R8=05.03</v>
      </c>
      <c r="B30" s="1567" t="s">
        <v>5536</v>
      </c>
      <c r="C30" s="47" t="s">
        <v>3427</v>
      </c>
      <c r="D30" s="42" t="s">
        <v>3421</v>
      </c>
      <c r="E30" s="1216">
        <f>'05'!D15-'05'!E15</f>
        <v>0</v>
      </c>
      <c r="F30" s="40">
        <f>'05'!M15-'05'!N15</f>
        <v>0</v>
      </c>
      <c r="G30" s="46"/>
      <c r="N30" s="2190">
        <v>1110</v>
      </c>
    </row>
    <row r="31" spans="1:14" outlineLevel="1">
      <c r="A31" s="2427" t="str">
        <f t="shared" si="0"/>
        <v>R8=05.П</v>
      </c>
      <c r="B31" s="1567"/>
      <c r="C31" s="1219" t="s">
        <v>3422</v>
      </c>
      <c r="D31" s="1220" t="s">
        <v>10131</v>
      </c>
      <c r="E31" s="1210">
        <f>'05'!E8</f>
        <v>0</v>
      </c>
      <c r="F31" s="1211">
        <f>'05'!N8</f>
        <v>0</v>
      </c>
      <c r="G31" s="1215"/>
      <c r="N31" s="2188">
        <v>1260</v>
      </c>
    </row>
    <row r="32" spans="1:14">
      <c r="A32" s="2427" t="str">
        <f t="shared" si="0"/>
        <v>R8=07</v>
      </c>
      <c r="B32" s="1567" t="s">
        <v>5536</v>
      </c>
      <c r="C32" s="1213" t="s">
        <v>3428</v>
      </c>
      <c r="D32" s="1214" t="s">
        <v>3429</v>
      </c>
      <c r="E32" s="1210">
        <f>'07'!C9</f>
        <v>0</v>
      </c>
      <c r="F32" s="1211">
        <f>'07'!R9</f>
        <v>0</v>
      </c>
      <c r="G32" s="1215"/>
      <c r="N32" s="2190">
        <v>1152</v>
      </c>
    </row>
    <row r="33" spans="1:14">
      <c r="A33" s="2427" t="str">
        <f t="shared" si="0"/>
        <v>R8=08</v>
      </c>
      <c r="B33" s="1567" t="s">
        <v>5536</v>
      </c>
      <c r="C33" s="1213" t="s">
        <v>3430</v>
      </c>
      <c r="D33" s="1214" t="s">
        <v>3431</v>
      </c>
      <c r="E33" s="1210">
        <f>'08'!D8-'08'!E8</f>
        <v>0</v>
      </c>
      <c r="F33" s="1211">
        <f>'08'!X8-'08'!Y8</f>
        <v>0</v>
      </c>
      <c r="G33" s="1215"/>
      <c r="N33" s="2190">
        <v>1152</v>
      </c>
    </row>
    <row r="34" spans="1:14" outlineLevel="1">
      <c r="A34" s="2427" t="str">
        <f t="shared" si="0"/>
        <v>R8=08.01</v>
      </c>
      <c r="B34" s="1567" t="s">
        <v>5536</v>
      </c>
      <c r="C34" s="1784" t="s">
        <v>1351</v>
      </c>
      <c r="D34" s="42" t="s">
        <v>2223</v>
      </c>
      <c r="E34" s="1159">
        <f>('08'!D8-SUM('08'!D18:D23)-'08'!D14-'08'!D15)-('08'!E8-SUM('08'!E18:E23)-'08'!E14-'08'!E15)</f>
        <v>0</v>
      </c>
      <c r="F34" s="1160">
        <f>('08'!X8-SUM('08'!X18:X23)-'08'!X14-'08'!X15)-('08'!Y8-SUM('08'!Y18:Y23)-'08'!Y14-'08'!Y15)</f>
        <v>0</v>
      </c>
      <c r="G34" s="46"/>
      <c r="N34" s="2190"/>
    </row>
    <row r="35" spans="1:14" ht="29" outlineLevel="1">
      <c r="A35" s="2427" t="str">
        <f t="shared" si="0"/>
        <v>R8=08.02</v>
      </c>
      <c r="B35" s="1567" t="s">
        <v>5536</v>
      </c>
      <c r="C35" s="1785" t="s">
        <v>1352</v>
      </c>
      <c r="D35" s="42" t="s">
        <v>2224</v>
      </c>
      <c r="E35" s="1159">
        <f>'08'!D21-'08'!E21</f>
        <v>0</v>
      </c>
      <c r="F35" s="1160">
        <f>'08'!X21-'08'!E21</f>
        <v>0</v>
      </c>
      <c r="G35" s="46"/>
    </row>
    <row r="36" spans="1:14" outlineLevel="1">
      <c r="A36" s="2427" t="str">
        <f t="shared" si="0"/>
        <v>R8=08.03</v>
      </c>
      <c r="B36" s="1567" t="s">
        <v>5536</v>
      </c>
      <c r="C36" s="1784" t="s">
        <v>1353</v>
      </c>
      <c r="D36" s="42" t="s">
        <v>2227</v>
      </c>
      <c r="E36" s="1159">
        <f>SUM('08'!D14:D15)-SUM('08'!E14:E15)</f>
        <v>0</v>
      </c>
      <c r="F36" s="1160">
        <f>SUM('08'!X14:X15)-SUM('08'!Y14:Y15)</f>
        <v>0</v>
      </c>
      <c r="G36" s="46"/>
    </row>
    <row r="37" spans="1:14" outlineLevel="1">
      <c r="A37" s="2427" t="str">
        <f t="shared" si="0"/>
        <v>R8=08.04</v>
      </c>
      <c r="B37" s="1567" t="s">
        <v>5536</v>
      </c>
      <c r="C37" s="1784" t="s">
        <v>1354</v>
      </c>
      <c r="D37" s="42" t="s">
        <v>2225</v>
      </c>
      <c r="E37" s="1159">
        <f>'08'!D23-'08'!E23</f>
        <v>0</v>
      </c>
      <c r="F37" s="1160">
        <f>'08'!X23-'08'!Y23</f>
        <v>0</v>
      </c>
      <c r="G37" s="46"/>
    </row>
    <row r="38" spans="1:14" outlineLevel="1">
      <c r="A38" s="2427" t="str">
        <f t="shared" si="0"/>
        <v>R8=08.05</v>
      </c>
      <c r="B38" s="1567" t="s">
        <v>5536</v>
      </c>
      <c r="C38" s="1784" t="s">
        <v>1355</v>
      </c>
      <c r="D38" s="42" t="s">
        <v>2226</v>
      </c>
      <c r="E38" s="1159">
        <f>'08'!D22-'08'!E22</f>
        <v>0</v>
      </c>
      <c r="F38" s="1160">
        <f>'08'!X22-'08'!Y22</f>
        <v>0</v>
      </c>
      <c r="G38" s="46"/>
      <c r="N38" s="2190"/>
    </row>
    <row r="39" spans="1:14" ht="29" outlineLevel="1">
      <c r="A39" s="2427" t="str">
        <f t="shared" si="0"/>
        <v>R8=08.06</v>
      </c>
      <c r="B39" s="1567"/>
      <c r="C39" s="1784" t="s">
        <v>1356</v>
      </c>
      <c r="D39" s="1134" t="s">
        <v>72</v>
      </c>
      <c r="E39" s="1159">
        <f>SUM('08'!D18:D20)-SUM('08'!E18:E20)</f>
        <v>0</v>
      </c>
      <c r="F39" s="1160">
        <f>SUM('08'!X18:X20)-SUM('08'!Y18:Y20)</f>
        <v>0</v>
      </c>
      <c r="G39" s="46"/>
    </row>
    <row r="40" spans="1:14" outlineLevel="1">
      <c r="A40" s="2427" t="str">
        <f t="shared" si="0"/>
        <v>R8=08.П</v>
      </c>
      <c r="B40" s="1567"/>
      <c r="C40" s="1213" t="s">
        <v>3430</v>
      </c>
      <c r="D40" s="1220" t="s">
        <v>10132</v>
      </c>
      <c r="E40" s="1210">
        <f>'08'!E8</f>
        <v>0</v>
      </c>
      <c r="F40" s="1211">
        <f>'08'!Y8</f>
        <v>0</v>
      </c>
      <c r="G40" s="1215"/>
      <c r="N40" s="2190">
        <v>1260</v>
      </c>
    </row>
    <row r="41" spans="1:14">
      <c r="A41" s="2427" t="str">
        <f t="shared" si="0"/>
        <v>R8=09</v>
      </c>
      <c r="B41" s="1567" t="s">
        <v>5536</v>
      </c>
      <c r="C41" s="1213" t="s">
        <v>3432</v>
      </c>
      <c r="D41" s="1214" t="s">
        <v>3433</v>
      </c>
      <c r="E41" s="1210">
        <f>'09'!D8</f>
        <v>0</v>
      </c>
      <c r="F41" s="1211">
        <f>'09'!K8</f>
        <v>0</v>
      </c>
      <c r="G41" s="1215"/>
      <c r="N41" s="2190">
        <v>1420</v>
      </c>
    </row>
    <row r="42" spans="1:14">
      <c r="A42" s="2427" t="str">
        <f t="shared" si="0"/>
        <v>R8=10</v>
      </c>
      <c r="B42" s="1567" t="s">
        <v>5536</v>
      </c>
      <c r="C42" s="1213" t="s">
        <v>3387</v>
      </c>
      <c r="D42" s="1214" t="s">
        <v>3434</v>
      </c>
      <c r="E42" s="1210">
        <f>'10'!D9</f>
        <v>0</v>
      </c>
      <c r="F42" s="1211">
        <f>'10'!W9</f>
        <v>0</v>
      </c>
      <c r="G42" s="1215"/>
      <c r="N42" s="2190">
        <v>1211</v>
      </c>
    </row>
    <row r="43" spans="1:14">
      <c r="A43" s="2427" t="str">
        <f t="shared" si="0"/>
        <v>R8=11</v>
      </c>
      <c r="B43" s="1567" t="s">
        <v>5536</v>
      </c>
      <c r="C43" s="1213" t="s">
        <v>3435</v>
      </c>
      <c r="D43" s="1214" t="s">
        <v>3436</v>
      </c>
      <c r="E43" s="1210">
        <f>Свод_по_счетам!E9</f>
        <v>0</v>
      </c>
      <c r="F43" s="1211">
        <f>Свод_по_счетам!M9</f>
        <v>0</v>
      </c>
      <c r="G43" s="1215"/>
    </row>
    <row r="44" spans="1:14">
      <c r="A44" s="2427" t="str">
        <f t="shared" si="0"/>
        <v>R8=14</v>
      </c>
      <c r="B44" s="1567" t="s">
        <v>5536</v>
      </c>
      <c r="C44" s="1213" t="s">
        <v>3437</v>
      </c>
      <c r="D44" s="1214" t="s">
        <v>3438</v>
      </c>
      <c r="E44" s="1210">
        <f>SUM(E45:E53)</f>
        <v>0</v>
      </c>
      <c r="F44" s="1211">
        <f>SUM(F45:F53)</f>
        <v>0</v>
      </c>
      <c r="G44" s="1215"/>
    </row>
    <row r="45" spans="1:14" outlineLevel="1">
      <c r="A45" s="2427" t="str">
        <f t="shared" si="0"/>
        <v>R8=14.01</v>
      </c>
      <c r="B45" s="1567" t="s">
        <v>5536</v>
      </c>
      <c r="C45" s="47" t="s">
        <v>3439</v>
      </c>
      <c r="D45" s="42" t="s">
        <v>3440</v>
      </c>
      <c r="E45" s="1159">
        <f>'14'!E8</f>
        <v>0</v>
      </c>
      <c r="F45" s="40">
        <f>'14'!J8</f>
        <v>0</v>
      </c>
      <c r="G45" s="46"/>
      <c r="N45" s="2190">
        <v>1211</v>
      </c>
    </row>
    <row r="46" spans="1:14" outlineLevel="1">
      <c r="A46" s="2427" t="str">
        <f t="shared" si="0"/>
        <v>R8=14.02</v>
      </c>
      <c r="B46" s="1567" t="s">
        <v>5536</v>
      </c>
      <c r="C46" s="47" t="s">
        <v>3441</v>
      </c>
      <c r="D46" s="42" t="s">
        <v>3442</v>
      </c>
      <c r="E46" s="1159">
        <f>'14'!E70</f>
        <v>0</v>
      </c>
      <c r="F46" s="40">
        <f>'14'!J70</f>
        <v>0</v>
      </c>
      <c r="G46" s="46"/>
    </row>
    <row r="47" spans="1:14" outlineLevel="1">
      <c r="A47" s="2427" t="str">
        <f t="shared" si="0"/>
        <v>R8=14.03</v>
      </c>
      <c r="B47" s="1567" t="s">
        <v>5536</v>
      </c>
      <c r="C47" s="47" t="s">
        <v>3443</v>
      </c>
      <c r="D47" s="42" t="s">
        <v>3444</v>
      </c>
      <c r="E47" s="1159">
        <f>'14'!E71</f>
        <v>0</v>
      </c>
      <c r="F47" s="40">
        <f>'14'!J71</f>
        <v>0</v>
      </c>
      <c r="G47" s="46"/>
    </row>
    <row r="48" spans="1:14" outlineLevel="1">
      <c r="A48" s="2427" t="str">
        <f t="shared" si="0"/>
        <v>R8=14.04</v>
      </c>
      <c r="B48" s="1567" t="s">
        <v>5536</v>
      </c>
      <c r="C48" s="47" t="s">
        <v>3445</v>
      </c>
      <c r="D48" s="42" t="s">
        <v>3446</v>
      </c>
      <c r="E48" s="1159">
        <f>+'14'!E72</f>
        <v>0</v>
      </c>
      <c r="F48" s="40">
        <f>+'14'!J72</f>
        <v>0</v>
      </c>
      <c r="G48" s="46"/>
    </row>
    <row r="49" spans="1:14" outlineLevel="1">
      <c r="A49" s="2427" t="str">
        <f t="shared" si="0"/>
        <v>R8=14.05</v>
      </c>
      <c r="B49" s="1567" t="s">
        <v>5536</v>
      </c>
      <c r="C49" s="47" t="s">
        <v>3447</v>
      </c>
      <c r="D49" s="42" t="s">
        <v>3448</v>
      </c>
      <c r="E49" s="1159">
        <f>'14'!E68</f>
        <v>0</v>
      </c>
      <c r="F49" s="40">
        <f>+'14'!J68</f>
        <v>0</v>
      </c>
      <c r="G49" s="46"/>
    </row>
    <row r="50" spans="1:14" ht="29" outlineLevel="1">
      <c r="A50" s="2427" t="str">
        <f t="shared" si="0"/>
        <v>R8=14.06</v>
      </c>
      <c r="B50" s="1567" t="s">
        <v>5536</v>
      </c>
      <c r="C50" s="47" t="s">
        <v>3449</v>
      </c>
      <c r="D50" s="42" t="s">
        <v>3450</v>
      </c>
      <c r="E50" s="1159">
        <f>'14'!E69</f>
        <v>0</v>
      </c>
      <c r="F50" s="40">
        <f>+'14'!J69</f>
        <v>0</v>
      </c>
      <c r="G50" s="46"/>
    </row>
    <row r="51" spans="1:14" outlineLevel="1">
      <c r="A51" s="2427" t="str">
        <f t="shared" si="0"/>
        <v>R8=14.07</v>
      </c>
      <c r="B51" s="1567"/>
      <c r="C51" s="47" t="s">
        <v>7096</v>
      </c>
      <c r="D51" s="42" t="s">
        <v>3429</v>
      </c>
      <c r="E51" s="1159">
        <f>'14'!E65</f>
        <v>0</v>
      </c>
      <c r="F51" s="40">
        <f>+'14'!J65</f>
        <v>0</v>
      </c>
      <c r="G51" s="46"/>
      <c r="N51" s="2190">
        <v>1152</v>
      </c>
    </row>
    <row r="52" spans="1:14" outlineLevel="1">
      <c r="A52" s="2427" t="str">
        <f t="shared" si="0"/>
        <v>R8=14.08</v>
      </c>
      <c r="B52" s="1567"/>
      <c r="C52" s="47" t="s">
        <v>7097</v>
      </c>
      <c r="D52" s="42" t="s">
        <v>780</v>
      </c>
      <c r="E52" s="1159">
        <f>'14'!E66</f>
        <v>0</v>
      </c>
      <c r="F52" s="40">
        <f>+'14'!J66</f>
        <v>0</v>
      </c>
      <c r="G52" s="46"/>
      <c r="N52" s="2190">
        <v>1152</v>
      </c>
    </row>
    <row r="53" spans="1:14" outlineLevel="1">
      <c r="A53" s="2427" t="str">
        <f t="shared" si="0"/>
        <v>R8=14.37</v>
      </c>
      <c r="B53" s="1567"/>
      <c r="C53" s="47" t="s">
        <v>10201</v>
      </c>
      <c r="D53" s="42" t="s">
        <v>10200</v>
      </c>
      <c r="E53" s="1159">
        <f>'14'!E67</f>
        <v>0</v>
      </c>
      <c r="F53" s="40">
        <f>+'14'!J67</f>
        <v>0</v>
      </c>
      <c r="G53" s="46"/>
      <c r="N53" s="2190">
        <v>1260</v>
      </c>
    </row>
    <row r="54" spans="1:14">
      <c r="A54" s="2427" t="str">
        <f t="shared" si="0"/>
        <v>R8=15</v>
      </c>
      <c r="B54" s="1567" t="s">
        <v>5536</v>
      </c>
      <c r="C54" s="1213" t="s">
        <v>3451</v>
      </c>
      <c r="D54" s="1214" t="s">
        <v>3452</v>
      </c>
      <c r="E54" s="1210">
        <f>SUM(E55:E59)</f>
        <v>0</v>
      </c>
      <c r="F54" s="1211">
        <f>SUM(F55:F59)</f>
        <v>0</v>
      </c>
      <c r="G54" s="1215"/>
    </row>
    <row r="55" spans="1:14" outlineLevel="1">
      <c r="A55" s="2427" t="str">
        <f t="shared" si="0"/>
        <v>R8=15.01</v>
      </c>
      <c r="B55" s="1567" t="s">
        <v>5536</v>
      </c>
      <c r="C55" s="47" t="s">
        <v>3453</v>
      </c>
      <c r="D55" s="42" t="s">
        <v>3454</v>
      </c>
      <c r="E55" s="1159">
        <f>'15'!D12-('15'!D40+'15'!D68)</f>
        <v>0</v>
      </c>
      <c r="F55" s="40">
        <f>'15'!O12-('15'!O40+'15'!O68)</f>
        <v>0</v>
      </c>
      <c r="G55" s="46"/>
      <c r="N55" s="2190">
        <v>1211</v>
      </c>
    </row>
    <row r="56" spans="1:14" outlineLevel="1">
      <c r="A56" s="2427" t="str">
        <f t="shared" si="0"/>
        <v>R8=15.02</v>
      </c>
      <c r="B56" s="1567" t="s">
        <v>5536</v>
      </c>
      <c r="C56" s="47" t="s">
        <v>3455</v>
      </c>
      <c r="D56" s="42" t="s">
        <v>3456</v>
      </c>
      <c r="E56" s="1159">
        <f>'15'!D69</f>
        <v>0</v>
      </c>
      <c r="F56" s="40">
        <f>'15'!O69</f>
        <v>0</v>
      </c>
      <c r="G56" s="46"/>
    </row>
    <row r="57" spans="1:14" outlineLevel="1">
      <c r="A57" s="2427" t="str">
        <f t="shared" si="0"/>
        <v>R8=15.03</v>
      </c>
      <c r="B57" s="1567" t="s">
        <v>5536</v>
      </c>
      <c r="C57" s="47" t="s">
        <v>3457</v>
      </c>
      <c r="D57" s="42" t="s">
        <v>3458</v>
      </c>
      <c r="E57" s="1159">
        <f>'15'!D9</f>
        <v>0</v>
      </c>
      <c r="F57" s="40">
        <f>'15'!O9</f>
        <v>0</v>
      </c>
      <c r="G57" s="46"/>
      <c r="N57" s="2190">
        <v>1152</v>
      </c>
    </row>
    <row r="58" spans="1:14" outlineLevel="1">
      <c r="A58" s="2427" t="str">
        <f t="shared" si="0"/>
        <v>R8=15.04</v>
      </c>
      <c r="B58" s="1567" t="s">
        <v>5536</v>
      </c>
      <c r="C58" s="47" t="s">
        <v>3459</v>
      </c>
      <c r="D58" s="42" t="s">
        <v>4243</v>
      </c>
      <c r="E58" s="1159">
        <f>'15'!D10+('15'!D40+'15'!D68)</f>
        <v>0</v>
      </c>
      <c r="F58" s="40">
        <f>'15'!O10+('15'!O40+'15'!O68)</f>
        <v>0</v>
      </c>
      <c r="G58" s="46"/>
      <c r="N58" s="2190">
        <v>1152</v>
      </c>
    </row>
    <row r="59" spans="1:14" outlineLevel="1">
      <c r="A59" s="2427" t="str">
        <f t="shared" si="0"/>
        <v>R8=15.05</v>
      </c>
      <c r="B59" s="1567" t="s">
        <v>5536</v>
      </c>
      <c r="C59" s="47" t="s">
        <v>4244</v>
      </c>
      <c r="D59" s="42" t="s">
        <v>4245</v>
      </c>
      <c r="E59" s="1159">
        <f>'15'!D11</f>
        <v>0</v>
      </c>
      <c r="F59" s="40">
        <f>'15'!O11</f>
        <v>0</v>
      </c>
      <c r="G59" s="46"/>
      <c r="N59" s="2190">
        <v>1110</v>
      </c>
    </row>
    <row r="60" spans="1:14">
      <c r="A60" s="2427" t="str">
        <f t="shared" si="0"/>
        <v>R8=16</v>
      </c>
      <c r="B60" s="1567" t="s">
        <v>5536</v>
      </c>
      <c r="C60" s="1213" t="s">
        <v>4246</v>
      </c>
      <c r="D60" s="1214" t="s">
        <v>4247</v>
      </c>
      <c r="E60" s="1210">
        <f>SUM(E61:E65)</f>
        <v>0</v>
      </c>
      <c r="F60" s="1211">
        <f>SUM(F61:F65)</f>
        <v>0</v>
      </c>
      <c r="G60" s="1215"/>
    </row>
    <row r="61" spans="1:14" outlineLevel="1">
      <c r="A61" s="2427" t="str">
        <f t="shared" si="0"/>
        <v>R8=16.01</v>
      </c>
      <c r="B61" s="1567" t="s">
        <v>5536</v>
      </c>
      <c r="C61" s="47" t="s">
        <v>4248</v>
      </c>
      <c r="D61" s="42" t="s">
        <v>4249</v>
      </c>
      <c r="E61" s="1159">
        <f>'16'!D12-('16'!D40+'16'!D68)</f>
        <v>0</v>
      </c>
      <c r="F61" s="40">
        <f>'16'!M12-('16'!M40+'16'!M68)</f>
        <v>0</v>
      </c>
      <c r="G61" s="46"/>
      <c r="N61" s="2190">
        <v>1211</v>
      </c>
    </row>
    <row r="62" spans="1:14" outlineLevel="1">
      <c r="A62" s="2427" t="str">
        <f t="shared" si="0"/>
        <v>R8=16.02</v>
      </c>
      <c r="B62" s="1567" t="s">
        <v>5536</v>
      </c>
      <c r="C62" s="47" t="s">
        <v>4250</v>
      </c>
      <c r="D62" s="42" t="s">
        <v>4251</v>
      </c>
      <c r="E62" s="1159">
        <f>'16'!D69</f>
        <v>0</v>
      </c>
      <c r="F62" s="40">
        <f>'16'!M69</f>
        <v>0</v>
      </c>
      <c r="G62" s="46"/>
    </row>
    <row r="63" spans="1:14" outlineLevel="1">
      <c r="A63" s="2427" t="str">
        <f t="shared" si="0"/>
        <v>R8=16.03</v>
      </c>
      <c r="B63" s="1567" t="s">
        <v>5536</v>
      </c>
      <c r="C63" s="47" t="s">
        <v>4252</v>
      </c>
      <c r="D63" s="42" t="s">
        <v>4253</v>
      </c>
      <c r="E63" s="1159">
        <f>'16'!D9</f>
        <v>0</v>
      </c>
      <c r="F63" s="40">
        <f>'16'!M9</f>
        <v>0</v>
      </c>
      <c r="G63" s="46"/>
      <c r="N63" s="2190">
        <v>1152</v>
      </c>
    </row>
    <row r="64" spans="1:14" outlineLevel="1">
      <c r="A64" s="2427" t="str">
        <f t="shared" si="0"/>
        <v>R8=16.04</v>
      </c>
      <c r="B64" s="1567" t="s">
        <v>5536</v>
      </c>
      <c r="C64" s="47" t="s">
        <v>4254</v>
      </c>
      <c r="D64" s="42" t="s">
        <v>4255</v>
      </c>
      <c r="E64" s="1159">
        <f>'16'!D10+('16'!D40+'16'!D68)</f>
        <v>0</v>
      </c>
      <c r="F64" s="40">
        <f>'16'!M10+('16'!M40+'16'!M68)</f>
        <v>0</v>
      </c>
      <c r="G64" s="46"/>
      <c r="N64" s="2190">
        <v>1152</v>
      </c>
    </row>
    <row r="65" spans="1:14" outlineLevel="1">
      <c r="A65" s="2427" t="str">
        <f t="shared" si="0"/>
        <v>R8=16.05</v>
      </c>
      <c r="B65" s="1567" t="s">
        <v>5536</v>
      </c>
      <c r="C65" s="47" t="s">
        <v>4256</v>
      </c>
      <c r="D65" s="42" t="s">
        <v>4257</v>
      </c>
      <c r="E65" s="1159">
        <f>'16'!D11</f>
        <v>0</v>
      </c>
      <c r="F65" s="40">
        <f>'16'!M11</f>
        <v>0</v>
      </c>
      <c r="G65" s="46"/>
      <c r="N65" s="2190">
        <v>1110</v>
      </c>
    </row>
    <row r="66" spans="1:14">
      <c r="A66" s="2427" t="str">
        <f t="shared" si="0"/>
        <v>R8=19</v>
      </c>
      <c r="B66" s="1567" t="s">
        <v>5536</v>
      </c>
      <c r="C66" s="1213">
        <v>19</v>
      </c>
      <c r="D66" s="1214" t="s">
        <v>4258</v>
      </c>
      <c r="E66" s="1210">
        <f>SUM(E67:E68)</f>
        <v>0</v>
      </c>
      <c r="F66" s="1211">
        <f>SUM(F67:F68)</f>
        <v>0</v>
      </c>
      <c r="G66" s="1215"/>
    </row>
    <row r="67" spans="1:14">
      <c r="A67" s="2427" t="str">
        <f t="shared" si="0"/>
        <v>R8=19.01</v>
      </c>
      <c r="B67" s="1567"/>
      <c r="C67" s="2673" t="s">
        <v>7700</v>
      </c>
      <c r="D67" s="42" t="s">
        <v>7702</v>
      </c>
      <c r="E67" s="1159">
        <f>'19'!F8</f>
        <v>0</v>
      </c>
      <c r="F67" s="1160">
        <f>'19'!Q8</f>
        <v>0</v>
      </c>
      <c r="G67" s="46"/>
    </row>
    <row r="68" spans="1:14">
      <c r="A68" s="2427" t="str">
        <f t="shared" si="0"/>
        <v>R8=19.02</v>
      </c>
      <c r="B68" s="1567"/>
      <c r="C68" s="2673" t="s">
        <v>7701</v>
      </c>
      <c r="D68" s="42" t="s">
        <v>7703</v>
      </c>
      <c r="E68" s="1159">
        <f>'19'!E8</f>
        <v>0</v>
      </c>
      <c r="F68" s="1160">
        <f>'19'!P8</f>
        <v>0</v>
      </c>
      <c r="G68" s="46"/>
    </row>
    <row r="69" spans="1:14">
      <c r="A69" s="2427" t="str">
        <f t="shared" si="0"/>
        <v>R8=20, 23, 25, 29</v>
      </c>
      <c r="B69" s="1567" t="s">
        <v>5536</v>
      </c>
      <c r="C69" s="1217" t="s">
        <v>1004</v>
      </c>
      <c r="D69" s="1218" t="s">
        <v>3391</v>
      </c>
      <c r="E69" s="1210">
        <f>Свод_по_счетам!E19</f>
        <v>0</v>
      </c>
      <c r="F69" s="1211">
        <f>Свод_по_счетам!M19</f>
        <v>0</v>
      </c>
      <c r="G69" s="1215"/>
    </row>
    <row r="70" spans="1:14">
      <c r="A70" s="2427" t="str">
        <f t="shared" si="0"/>
        <v>R8=21</v>
      </c>
      <c r="B70" s="1567" t="s">
        <v>5536</v>
      </c>
      <c r="C70" s="1213" t="s">
        <v>4260</v>
      </c>
      <c r="D70" s="1214" t="s">
        <v>4261</v>
      </c>
      <c r="E70" s="1210">
        <f>'21'!D10</f>
        <v>0</v>
      </c>
      <c r="F70" s="1211">
        <f>'21'!M10</f>
        <v>0</v>
      </c>
      <c r="G70" s="1215"/>
    </row>
    <row r="71" spans="1:14">
      <c r="A71" s="2427" t="str">
        <f t="shared" si="0"/>
        <v>R8=26</v>
      </c>
      <c r="B71" s="1567" t="s">
        <v>5536</v>
      </c>
      <c r="C71" s="1213" t="s">
        <v>4266</v>
      </c>
      <c r="D71" s="1214" t="s">
        <v>3392</v>
      </c>
      <c r="E71" s="1210">
        <f>Свод_по_счетам!E21</f>
        <v>0</v>
      </c>
      <c r="F71" s="1211">
        <f>Свод_по_счетам!M21</f>
        <v>0</v>
      </c>
      <c r="G71" s="1215"/>
    </row>
    <row r="72" spans="1:14">
      <c r="A72" s="2427" t="str">
        <f t="shared" si="0"/>
        <v>R8=28</v>
      </c>
      <c r="B72" s="1567"/>
      <c r="C72" s="1213" t="s">
        <v>4267</v>
      </c>
      <c r="D72" s="1218" t="s">
        <v>4268</v>
      </c>
      <c r="E72" s="1210">
        <f>Свод_по_счетам!E22</f>
        <v>0</v>
      </c>
      <c r="F72" s="1211">
        <f>Свод_по_счетам!M22</f>
        <v>0</v>
      </c>
      <c r="G72" s="1215"/>
    </row>
    <row r="73" spans="1:14">
      <c r="A73" s="2427" t="str">
        <f t="shared" si="0"/>
        <v>R8=40</v>
      </c>
      <c r="B73" s="1567" t="s">
        <v>5536</v>
      </c>
      <c r="C73" s="1213" t="s">
        <v>4271</v>
      </c>
      <c r="D73" s="1214" t="s">
        <v>4272</v>
      </c>
      <c r="E73" s="1210"/>
      <c r="F73" s="1211"/>
      <c r="G73" s="1215"/>
    </row>
    <row r="74" spans="1:14">
      <c r="A74" s="2427" t="str">
        <f t="shared" ref="A74:A133" si="1">"R8="&amp;C74&amp;IF(ISERR(SEARCH("(активы для продажи)",D74)),IF(ISERR(SEARCH("(права пользования активами)",D74)),"",".ПА"),".П")</f>
        <v>R8=41</v>
      </c>
      <c r="B74" s="1567" t="s">
        <v>5536</v>
      </c>
      <c r="C74" s="1213" t="s">
        <v>4273</v>
      </c>
      <c r="D74" s="1214" t="s">
        <v>4274</v>
      </c>
      <c r="E74" s="1210">
        <f>SUM(E75:E76)</f>
        <v>0</v>
      </c>
      <c r="F74" s="1211">
        <f>SUM(F75:F76)</f>
        <v>0</v>
      </c>
      <c r="G74" s="1215"/>
    </row>
    <row r="75" spans="1:14" outlineLevel="1">
      <c r="A75" s="2427" t="str">
        <f t="shared" si="1"/>
        <v>R8=41.01</v>
      </c>
      <c r="B75" s="1567" t="s">
        <v>5536</v>
      </c>
      <c r="C75" s="47" t="s">
        <v>4275</v>
      </c>
      <c r="D75" s="42" t="s">
        <v>4276</v>
      </c>
      <c r="E75" s="1159">
        <f>'41_01'!E10</f>
        <v>0</v>
      </c>
      <c r="F75" s="40">
        <f>'41_01'!U10</f>
        <v>0</v>
      </c>
      <c r="G75" s="46"/>
    </row>
    <row r="76" spans="1:14" outlineLevel="1">
      <c r="A76" s="2427" t="str">
        <f t="shared" si="1"/>
        <v>R8=41.02</v>
      </c>
      <c r="B76" s="1567" t="s">
        <v>5536</v>
      </c>
      <c r="C76" s="47" t="s">
        <v>4277</v>
      </c>
      <c r="D76" s="42" t="s">
        <v>4278</v>
      </c>
      <c r="E76" s="1159">
        <f>'41_02'!E13</f>
        <v>0</v>
      </c>
      <c r="F76" s="40">
        <f>'41_02'!O13</f>
        <v>0</v>
      </c>
      <c r="G76" s="46"/>
    </row>
    <row r="77" spans="1:14">
      <c r="A77" s="2427" t="str">
        <f t="shared" si="1"/>
        <v>R8=42</v>
      </c>
      <c r="B77" s="1567" t="s">
        <v>5536</v>
      </c>
      <c r="C77" s="1213" t="s">
        <v>4279</v>
      </c>
      <c r="D77" s="1214" t="s">
        <v>4280</v>
      </c>
      <c r="E77" s="1210">
        <f>Свод_по_счетам!F27</f>
        <v>0</v>
      </c>
      <c r="F77" s="1211">
        <f>Свод_по_счетам!N27</f>
        <v>0</v>
      </c>
      <c r="G77" s="1215"/>
    </row>
    <row r="78" spans="1:14">
      <c r="A78" s="2427" t="str">
        <f t="shared" si="1"/>
        <v>R8=43</v>
      </c>
      <c r="B78" s="1567" t="s">
        <v>5536</v>
      </c>
      <c r="C78" s="1213" t="s">
        <v>4281</v>
      </c>
      <c r="D78" s="1214" t="s">
        <v>4282</v>
      </c>
      <c r="E78" s="1210">
        <f>'43'!D8</f>
        <v>0</v>
      </c>
      <c r="F78" s="1211">
        <f>'43'!M8</f>
        <v>0</v>
      </c>
      <c r="G78" s="1215"/>
    </row>
    <row r="79" spans="1:14">
      <c r="A79" s="2427" t="str">
        <f t="shared" si="1"/>
        <v>R8=44</v>
      </c>
      <c r="B79" s="1567" t="s">
        <v>5536</v>
      </c>
      <c r="C79" s="1213" t="s">
        <v>4283</v>
      </c>
      <c r="D79" s="1214" t="s">
        <v>3393</v>
      </c>
      <c r="E79" s="1210">
        <f>Свод_по_счетам!E25</f>
        <v>0</v>
      </c>
      <c r="F79" s="1211">
        <f>Свод_по_счетам!M25</f>
        <v>0</v>
      </c>
      <c r="G79" s="1215"/>
      <c r="N79" s="2188">
        <v>1212</v>
      </c>
    </row>
    <row r="80" spans="1:14">
      <c r="A80" s="2427" t="str">
        <f t="shared" si="1"/>
        <v>R8=45</v>
      </c>
      <c r="B80" s="1567" t="s">
        <v>5536</v>
      </c>
      <c r="C80" s="1213" t="s">
        <v>4284</v>
      </c>
      <c r="D80" s="1214" t="s">
        <v>4285</v>
      </c>
      <c r="E80" s="1210">
        <f>'45'!E8</f>
        <v>0</v>
      </c>
      <c r="F80" s="1211">
        <f>'45'!R8</f>
        <v>0</v>
      </c>
      <c r="G80" s="1215"/>
    </row>
    <row r="81" spans="1:14" outlineLevel="1">
      <c r="A81" s="2427" t="str">
        <f t="shared" si="1"/>
        <v>R8=45.01</v>
      </c>
      <c r="B81" s="1567" t="s">
        <v>5536</v>
      </c>
      <c r="C81" s="2941" t="s">
        <v>4286</v>
      </c>
      <c r="D81" s="2942" t="s">
        <v>8671</v>
      </c>
      <c r="E81" s="1159">
        <f>SUMIF('45'!$C:$C,"{01} Основные средства",'45'!$E:$E)</f>
        <v>0</v>
      </c>
      <c r="F81" s="40">
        <f>SUMIF('45'!$C:$C,"{01} Основные средства",'45'!$R:$R)</f>
        <v>0</v>
      </c>
      <c r="G81" s="46"/>
    </row>
    <row r="82" spans="1:14" outlineLevel="1">
      <c r="A82" s="2427" t="str">
        <f t="shared" si="1"/>
        <v>R8=45.10</v>
      </c>
      <c r="B82" s="1567" t="s">
        <v>5536</v>
      </c>
      <c r="C82" s="2943" t="s">
        <v>8673</v>
      </c>
      <c r="D82" s="2942" t="s">
        <v>8674</v>
      </c>
      <c r="E82" s="1159">
        <f>SUMIF('45'!$C:$C,"{10} Материалы",'45'!$E:$E)</f>
        <v>0</v>
      </c>
      <c r="F82" s="40">
        <f>SUMIF('45'!$C:$C,"{10} Материалы",'45'!$R:$R)</f>
        <v>0</v>
      </c>
      <c r="G82" s="46"/>
    </row>
    <row r="83" spans="1:14" outlineLevel="1">
      <c r="A83" s="2427" t="str">
        <f t="shared" si="1"/>
        <v>R8=45.41</v>
      </c>
      <c r="B83" s="1567"/>
      <c r="C83" s="2941" t="s">
        <v>8670</v>
      </c>
      <c r="D83" s="2942" t="s">
        <v>4288</v>
      </c>
      <c r="E83" s="1159">
        <f>SUMIF('45'!$C:$C,"{41} Товары",'45'!$E:$E)</f>
        <v>0</v>
      </c>
      <c r="F83" s="40">
        <f>SUMIF('45'!$C:$C,"{41} Товары",'45'!$R:$R)</f>
        <v>0</v>
      </c>
      <c r="G83" s="46"/>
    </row>
    <row r="84" spans="1:14" outlineLevel="1">
      <c r="A84" s="2427" t="str">
        <f t="shared" si="1"/>
        <v>R8=45.43</v>
      </c>
      <c r="B84" s="1567"/>
      <c r="C84" s="2943" t="s">
        <v>8675</v>
      </c>
      <c r="D84" s="3078" t="s">
        <v>4287</v>
      </c>
      <c r="E84" s="1159">
        <f>SUMIF('45'!$C:$C,"{43} Готовая продукция",'45'!$E:$E)</f>
        <v>0</v>
      </c>
      <c r="F84" s="40">
        <f>SUMIF('45'!$C:$C,"{43} Готовая продукция",'45'!$R:$R)</f>
        <v>0</v>
      </c>
      <c r="G84" s="46"/>
    </row>
    <row r="85" spans="1:14">
      <c r="A85" s="2427" t="str">
        <f t="shared" si="1"/>
        <v>R8=46</v>
      </c>
      <c r="B85" s="1567" t="s">
        <v>5536</v>
      </c>
      <c r="C85" s="1213" t="s">
        <v>4289</v>
      </c>
      <c r="D85" s="1214" t="s">
        <v>4290</v>
      </c>
      <c r="E85" s="1210">
        <f>'46'!K9+'46'!L9</f>
        <v>0</v>
      </c>
      <c r="F85" s="1211">
        <f>'46'!Z9+'46'!AA9</f>
        <v>0</v>
      </c>
      <c r="G85" s="1215"/>
    </row>
    <row r="86" spans="1:14">
      <c r="A86" s="2427" t="str">
        <f t="shared" si="1"/>
        <v>R8=50</v>
      </c>
      <c r="B86" s="1567" t="s">
        <v>5536</v>
      </c>
      <c r="C86" s="1213" t="s">
        <v>4291</v>
      </c>
      <c r="D86" s="1214" t="s">
        <v>4292</v>
      </c>
      <c r="E86" s="1210">
        <f>'50'!E7</f>
        <v>0</v>
      </c>
      <c r="F86" s="1211">
        <f>'50'!F7</f>
        <v>0</v>
      </c>
      <c r="G86" s="1215"/>
    </row>
    <row r="87" spans="1:14" outlineLevel="1">
      <c r="A87" s="2427" t="str">
        <f t="shared" si="1"/>
        <v>R8=50.01</v>
      </c>
      <c r="B87" s="1567" t="s">
        <v>5536</v>
      </c>
      <c r="C87" s="47" t="s">
        <v>4293</v>
      </c>
      <c r="D87" s="42" t="s">
        <v>4292</v>
      </c>
      <c r="E87" s="1159">
        <f>E86-E88</f>
        <v>0</v>
      </c>
      <c r="F87" s="40">
        <f>F86-F88</f>
        <v>0</v>
      </c>
      <c r="G87" s="46"/>
    </row>
    <row r="88" spans="1:14" outlineLevel="1">
      <c r="A88" s="2427" t="str">
        <f t="shared" si="1"/>
        <v>R8=50.02</v>
      </c>
      <c r="B88" s="1567" t="s">
        <v>5536</v>
      </c>
      <c r="C88" s="47" t="s">
        <v>4294</v>
      </c>
      <c r="D88" s="42" t="s">
        <v>4295</v>
      </c>
      <c r="E88" s="1159">
        <f>SUMIF('50'!$C:$C,"{03} Денежные документы",'50'!$E:$E)</f>
        <v>0</v>
      </c>
      <c r="F88" s="40">
        <f>SUMIF('50'!$C:$C,"{03} Денежные документы",'50'!$F:$F)</f>
        <v>0</v>
      </c>
      <c r="G88" s="46"/>
    </row>
    <row r="89" spans="1:14">
      <c r="A89" s="2427" t="str">
        <f t="shared" si="1"/>
        <v>R8=51</v>
      </c>
      <c r="B89" s="1567" t="s">
        <v>5536</v>
      </c>
      <c r="C89" s="1213" t="s">
        <v>4296</v>
      </c>
      <c r="D89" s="1214" t="s">
        <v>4297</v>
      </c>
      <c r="E89" s="1210">
        <f>'51'!F7</f>
        <v>0</v>
      </c>
      <c r="F89" s="1211">
        <f>'51'!G7</f>
        <v>0</v>
      </c>
      <c r="G89" s="1215"/>
    </row>
    <row r="90" spans="1:14">
      <c r="A90" s="2427" t="str">
        <f t="shared" si="1"/>
        <v>R8=52</v>
      </c>
      <c r="B90" s="1567" t="s">
        <v>5536</v>
      </c>
      <c r="C90" s="1213" t="s">
        <v>4298</v>
      </c>
      <c r="D90" s="1214" t="s">
        <v>4299</v>
      </c>
      <c r="E90" s="1210">
        <f>'52'!G7</f>
        <v>0</v>
      </c>
      <c r="F90" s="1211">
        <f>'52'!H7</f>
        <v>0</v>
      </c>
      <c r="G90" s="1215"/>
    </row>
    <row r="91" spans="1:14">
      <c r="A91" s="2427" t="str">
        <f t="shared" si="1"/>
        <v>R8=55</v>
      </c>
      <c r="B91" s="1567" t="s">
        <v>5536</v>
      </c>
      <c r="C91" s="1213" t="s">
        <v>4300</v>
      </c>
      <c r="D91" s="1214" t="s">
        <v>4301</v>
      </c>
      <c r="E91" s="1210">
        <f>'55'!H7</f>
        <v>0</v>
      </c>
      <c r="F91" s="1211">
        <f>'55'!I7</f>
        <v>0</v>
      </c>
      <c r="G91" s="1215"/>
    </row>
    <row r="92" spans="1:14">
      <c r="A92" s="2427" t="str">
        <f t="shared" si="1"/>
        <v>R8=57</v>
      </c>
      <c r="B92" s="1567" t="s">
        <v>5536</v>
      </c>
      <c r="C92" s="1213" t="s">
        <v>4302</v>
      </c>
      <c r="D92" s="1214" t="s">
        <v>4303</v>
      </c>
      <c r="E92" s="1210">
        <f>'57'!G7</f>
        <v>0</v>
      </c>
      <c r="F92" s="1211">
        <f>'57'!H7</f>
        <v>0</v>
      </c>
      <c r="G92" s="1215"/>
    </row>
    <row r="93" spans="1:14">
      <c r="A93" s="2427" t="str">
        <f t="shared" si="1"/>
        <v>R8=58</v>
      </c>
      <c r="B93" s="1567" t="s">
        <v>5536</v>
      </c>
      <c r="C93" s="1213">
        <v>58</v>
      </c>
      <c r="D93" s="1214" t="s">
        <v>4304</v>
      </c>
      <c r="E93" s="1210">
        <f>SUM(E94,E97,E98,E101)</f>
        <v>0</v>
      </c>
      <c r="F93" s="1211">
        <f>SUM(F94,F97,F98,F101)</f>
        <v>0</v>
      </c>
      <c r="G93" s="1215"/>
    </row>
    <row r="94" spans="1:14" outlineLevel="1">
      <c r="A94" s="2427" t="str">
        <f t="shared" si="1"/>
        <v>R8=58.01</v>
      </c>
      <c r="B94" s="1567" t="s">
        <v>5536</v>
      </c>
      <c r="C94" s="47" t="s">
        <v>4305</v>
      </c>
      <c r="D94" s="42" t="s">
        <v>4306</v>
      </c>
      <c r="E94" s="1159">
        <f>SUM(E95:E96)</f>
        <v>0</v>
      </c>
      <c r="F94" s="1160">
        <f>SUM(F95:F96)</f>
        <v>0</v>
      </c>
      <c r="G94" s="46"/>
    </row>
    <row r="95" spans="1:14" outlineLevel="1">
      <c r="A95" s="2427" t="str">
        <f t="shared" si="1"/>
        <v>R8=58.01.1</v>
      </c>
      <c r="B95" s="1567" t="s">
        <v>5536</v>
      </c>
      <c r="C95" s="41" t="s">
        <v>4307</v>
      </c>
      <c r="D95" s="42" t="s">
        <v>4308</v>
      </c>
      <c r="E95" s="1159">
        <f>'58_01_1'!P9</f>
        <v>0</v>
      </c>
      <c r="F95" s="1160">
        <f>'58_01_1'!Z9</f>
        <v>0</v>
      </c>
      <c r="G95" s="46"/>
    </row>
    <row r="96" spans="1:14" outlineLevel="1">
      <c r="A96" s="2427" t="str">
        <f t="shared" si="1"/>
        <v>R8=58.01.2</v>
      </c>
      <c r="B96" s="1567" t="s">
        <v>5536</v>
      </c>
      <c r="C96" s="41" t="s">
        <v>4309</v>
      </c>
      <c r="D96" s="42" t="s">
        <v>4310</v>
      </c>
      <c r="E96" s="1159">
        <f>'58_01_2'!P9</f>
        <v>0</v>
      </c>
      <c r="F96" s="1160">
        <f>'58_01_2'!Z9</f>
        <v>0</v>
      </c>
      <c r="G96" s="46"/>
      <c r="N96" s="2190">
        <v>1170</v>
      </c>
    </row>
    <row r="97" spans="1:14" outlineLevel="1">
      <c r="A97" s="2427" t="str">
        <f t="shared" si="1"/>
        <v>R8=58.02</v>
      </c>
      <c r="B97" s="1567" t="s">
        <v>5536</v>
      </c>
      <c r="C97" s="47" t="s">
        <v>4311</v>
      </c>
      <c r="D97" s="42" t="s">
        <v>4312</v>
      </c>
      <c r="E97" s="1159">
        <f>'58_02'!N11</f>
        <v>0</v>
      </c>
      <c r="F97" s="1160">
        <f>'58_02'!X11</f>
        <v>0</v>
      </c>
      <c r="G97" s="46"/>
      <c r="N97" s="2190">
        <v>1170</v>
      </c>
    </row>
    <row r="98" spans="1:14" outlineLevel="1">
      <c r="A98" s="2427" t="str">
        <f t="shared" si="1"/>
        <v>R8=58.03</v>
      </c>
      <c r="B98" s="1567" t="s">
        <v>5536</v>
      </c>
      <c r="C98" s="47" t="s">
        <v>4313</v>
      </c>
      <c r="D98" s="42" t="s">
        <v>4314</v>
      </c>
      <c r="E98" s="1159">
        <f>SUM(E99:E100)</f>
        <v>0</v>
      </c>
      <c r="F98" s="1160">
        <f>SUM(F99:F100)</f>
        <v>0</v>
      </c>
      <c r="G98" s="46"/>
    </row>
    <row r="99" spans="1:14" outlineLevel="1">
      <c r="A99" s="2427" t="str">
        <f t="shared" si="1"/>
        <v>R8=58.03.1</v>
      </c>
      <c r="B99" s="1567" t="s">
        <v>5536</v>
      </c>
      <c r="C99" s="41" t="s">
        <v>4315</v>
      </c>
      <c r="D99" s="42" t="s">
        <v>4316</v>
      </c>
      <c r="E99" s="1159">
        <f>'58_03_1'!Q10</f>
        <v>0</v>
      </c>
      <c r="F99" s="1160">
        <f>'58_03_1'!AD10</f>
        <v>0</v>
      </c>
      <c r="G99" s="46"/>
    </row>
    <row r="100" spans="1:14" outlineLevel="1">
      <c r="A100" s="2427" t="str">
        <f t="shared" si="1"/>
        <v>R8=58.03.2</v>
      </c>
      <c r="B100" s="1567" t="s">
        <v>5536</v>
      </c>
      <c r="C100" s="41" t="s">
        <v>4317</v>
      </c>
      <c r="D100" s="42" t="s">
        <v>4318</v>
      </c>
      <c r="E100" s="1159">
        <f>'58_03_2'!Q10</f>
        <v>0</v>
      </c>
      <c r="F100" s="1160">
        <f>'58_03_2'!AD10</f>
        <v>0</v>
      </c>
      <c r="G100" s="46"/>
      <c r="N100" s="2190">
        <v>1170</v>
      </c>
    </row>
    <row r="101" spans="1:14" outlineLevel="1">
      <c r="A101" s="2427" t="str">
        <f t="shared" si="1"/>
        <v>R8=58.04</v>
      </c>
      <c r="B101" s="1567" t="s">
        <v>5536</v>
      </c>
      <c r="C101" s="47" t="s">
        <v>4319</v>
      </c>
      <c r="D101" s="42" t="s">
        <v>4320</v>
      </c>
      <c r="E101" s="1159">
        <f>'58_04'!L11</f>
        <v>0</v>
      </c>
      <c r="F101" s="1160">
        <f>'58_04'!T11</f>
        <v>0</v>
      </c>
      <c r="G101" s="46"/>
    </row>
    <row r="102" spans="1:14" outlineLevel="1">
      <c r="A102" s="2427" t="str">
        <f t="shared" si="1"/>
        <v>R8=58.04.1</v>
      </c>
      <c r="B102" s="1567" t="s">
        <v>5536</v>
      </c>
      <c r="C102" s="41" t="s">
        <v>4321</v>
      </c>
      <c r="D102" s="42" t="s">
        <v>4322</v>
      </c>
      <c r="E102" s="1159">
        <f>'58_04'!N11</f>
        <v>0</v>
      </c>
      <c r="F102" s="1160">
        <f>'58_04'!V11</f>
        <v>0</v>
      </c>
      <c r="G102" s="46"/>
    </row>
    <row r="103" spans="1:14" outlineLevel="1">
      <c r="A103" s="2427" t="str">
        <f t="shared" si="1"/>
        <v>R8=58.04.2</v>
      </c>
      <c r="B103" s="1567" t="s">
        <v>5536</v>
      </c>
      <c r="C103" s="41" t="s">
        <v>4323</v>
      </c>
      <c r="D103" s="42" t="s">
        <v>4324</v>
      </c>
      <c r="E103" s="1159">
        <f>'58_04'!M11</f>
        <v>0</v>
      </c>
      <c r="F103" s="1160">
        <f>'58_04'!U11</f>
        <v>0</v>
      </c>
      <c r="G103" s="46"/>
      <c r="N103" s="2190">
        <v>1170</v>
      </c>
    </row>
    <row r="104" spans="1:14">
      <c r="A104" s="2427" t="str">
        <f t="shared" si="1"/>
        <v>R8=59</v>
      </c>
      <c r="B104" s="1567" t="s">
        <v>5536</v>
      </c>
      <c r="C104" s="1213">
        <v>59</v>
      </c>
      <c r="D104" s="1214" t="s">
        <v>4325</v>
      </c>
      <c r="E104" s="1210">
        <f>(E105+E108+E109)</f>
        <v>0</v>
      </c>
      <c r="F104" s="1211">
        <f>(F105+F108+F109)</f>
        <v>0</v>
      </c>
      <c r="G104" s="1215"/>
    </row>
    <row r="105" spans="1:14" outlineLevel="1">
      <c r="A105" s="2427" t="str">
        <f t="shared" si="1"/>
        <v>R8=59.01</v>
      </c>
      <c r="B105" s="1567" t="s">
        <v>5536</v>
      </c>
      <c r="C105" s="47" t="s">
        <v>4326</v>
      </c>
      <c r="D105" s="42" t="s">
        <v>4327</v>
      </c>
      <c r="E105" s="1159">
        <f>'59_01'!K10</f>
        <v>0</v>
      </c>
      <c r="F105" s="40">
        <f>'59_01'!P10</f>
        <v>0</v>
      </c>
      <c r="G105" s="46"/>
    </row>
    <row r="106" spans="1:14" outlineLevel="1">
      <c r="A106" s="2427" t="str">
        <f t="shared" si="1"/>
        <v>R8=59.01.1</v>
      </c>
      <c r="B106" s="1567" t="s">
        <v>5536</v>
      </c>
      <c r="C106" s="41" t="s">
        <v>4328</v>
      </c>
      <c r="D106" s="42" t="s">
        <v>4329</v>
      </c>
      <c r="E106" s="1159">
        <f>SUMIF('59_01'!$H$11:$H$65536,"{20} Краткосрочная",'59_01'!$K$11:$K$65536)</f>
        <v>0</v>
      </c>
      <c r="F106" s="1160">
        <f>SUMIF('59_01'!$H$11:$H$65536,"{20} Краткосрочная",'59_01'!$P$11:$P$65536)</f>
        <v>0</v>
      </c>
      <c r="G106" s="46"/>
      <c r="N106" s="2190"/>
    </row>
    <row r="107" spans="1:14" outlineLevel="1">
      <c r="A107" s="2427" t="str">
        <f t="shared" si="1"/>
        <v>R8=59.01.2</v>
      </c>
      <c r="B107" s="1567" t="s">
        <v>5536</v>
      </c>
      <c r="C107" s="41" t="s">
        <v>4330</v>
      </c>
      <c r="D107" s="42" t="s">
        <v>4331</v>
      </c>
      <c r="E107" s="1159">
        <f>SUMIF('59_01'!$H$11:$H$65536,"{10} Долгосрочная",'59_01'!$K$11:$K$65536)</f>
        <v>0</v>
      </c>
      <c r="F107" s="1160">
        <f>SUMIF('59_01'!$H$11:$H$65536,"{10} Долгосрочная",'59_01'!$P$11:$P$65536)</f>
        <v>0</v>
      </c>
      <c r="G107" s="46"/>
      <c r="N107" s="2190">
        <v>1170</v>
      </c>
    </row>
    <row r="108" spans="1:14" outlineLevel="1">
      <c r="A108" s="2427" t="str">
        <f t="shared" si="1"/>
        <v>R8=59.02</v>
      </c>
      <c r="B108" s="1567" t="s">
        <v>5536</v>
      </c>
      <c r="C108" s="47" t="s">
        <v>4332</v>
      </c>
      <c r="D108" s="42" t="s">
        <v>4333</v>
      </c>
      <c r="E108" s="1159">
        <f>'59_02'!M10</f>
        <v>0</v>
      </c>
      <c r="F108" s="1160">
        <f>'59_02'!T10</f>
        <v>0</v>
      </c>
      <c r="G108" s="46"/>
      <c r="N108" s="2190">
        <v>1170</v>
      </c>
    </row>
    <row r="109" spans="1:14" outlineLevel="1">
      <c r="A109" s="2427" t="str">
        <f t="shared" si="1"/>
        <v>R8=59.03</v>
      </c>
      <c r="B109" s="1567" t="s">
        <v>5536</v>
      </c>
      <c r="C109" s="47" t="s">
        <v>4334</v>
      </c>
      <c r="D109" s="42" t="s">
        <v>4335</v>
      </c>
      <c r="E109" s="1159">
        <f>'59_03'!M10</f>
        <v>0</v>
      </c>
      <c r="F109" s="1160">
        <f>'59_03'!R10</f>
        <v>0</v>
      </c>
      <c r="G109" s="46"/>
    </row>
    <row r="110" spans="1:14" outlineLevel="1">
      <c r="A110" s="2427" t="str">
        <f t="shared" si="1"/>
        <v>R8=59.03.1</v>
      </c>
      <c r="B110" s="1567" t="s">
        <v>5536</v>
      </c>
      <c r="C110" s="41" t="s">
        <v>4336</v>
      </c>
      <c r="D110" s="42" t="s">
        <v>4337</v>
      </c>
      <c r="E110" s="1159">
        <f>SUMIF('59_03'!$H:$H,"{20} Краткосрочная",'59_03'!$M:$M)</f>
        <v>0</v>
      </c>
      <c r="F110" s="1160">
        <f>SUMIF('59_03'!$H:$H,"{20} Краткосрочная",'59_03'!$R:$R)</f>
        <v>0</v>
      </c>
      <c r="G110" s="46"/>
      <c r="N110" s="2190"/>
    </row>
    <row r="111" spans="1:14" outlineLevel="1">
      <c r="A111" s="2427" t="str">
        <f t="shared" si="1"/>
        <v>R8=59.03.2</v>
      </c>
      <c r="B111" s="1567" t="s">
        <v>5536</v>
      </c>
      <c r="C111" s="41" t="s">
        <v>4338</v>
      </c>
      <c r="D111" s="42" t="s">
        <v>4339</v>
      </c>
      <c r="E111" s="1159">
        <f>SUMIF('59_03'!$H:$H,"{10} Долгосрочная",'59_03'!$M:$M)</f>
        <v>0</v>
      </c>
      <c r="F111" s="1160">
        <f>SUMIF('59_03'!$H:$H,"{10} Долгосрочная",'59_03'!$R:$R)</f>
        <v>0</v>
      </c>
      <c r="G111" s="46"/>
      <c r="N111" s="2190">
        <v>1170</v>
      </c>
    </row>
    <row r="112" spans="1:14">
      <c r="A112" s="2427" t="str">
        <f t="shared" si="1"/>
        <v>R8=60</v>
      </c>
      <c r="B112" s="1567" t="s">
        <v>5536</v>
      </c>
      <c r="C112" s="1213">
        <v>60</v>
      </c>
      <c r="D112" s="1214" t="s">
        <v>4340</v>
      </c>
      <c r="E112" s="1210">
        <f>'60_01'!E9+'60_02'!F9</f>
        <v>0</v>
      </c>
      <c r="F112" s="1211">
        <f>'60_01'!Q9+'60_02'!L9</f>
        <v>0</v>
      </c>
      <c r="G112" s="1215"/>
    </row>
    <row r="113" spans="1:14" outlineLevel="1">
      <c r="A113" s="2427" t="str">
        <f t="shared" si="1"/>
        <v>R8=60.1</v>
      </c>
      <c r="B113" s="1567" t="s">
        <v>5536</v>
      </c>
      <c r="C113" s="47" t="s">
        <v>4341</v>
      </c>
      <c r="D113" s="42" t="s">
        <v>4340</v>
      </c>
      <c r="E113" s="1159">
        <f>SUM(E114:E115)</f>
        <v>0</v>
      </c>
      <c r="F113" s="40">
        <f>SUM(F114:F115)</f>
        <v>0</v>
      </c>
      <c r="G113" s="46"/>
    </row>
    <row r="114" spans="1:14" outlineLevel="1">
      <c r="A114" s="2427" t="str">
        <f t="shared" si="1"/>
        <v>R8=60.01.1</v>
      </c>
      <c r="B114" s="1567" t="s">
        <v>5536</v>
      </c>
      <c r="C114" s="41" t="s">
        <v>4342</v>
      </c>
      <c r="D114" s="42" t="s">
        <v>4343</v>
      </c>
      <c r="E114" s="1159">
        <f>'60_01'!G9</f>
        <v>0</v>
      </c>
      <c r="F114" s="40">
        <f>'60_01'!S9</f>
        <v>0</v>
      </c>
      <c r="G114" s="46"/>
    </row>
    <row r="115" spans="1:14" outlineLevel="1">
      <c r="A115" s="2427" t="str">
        <f t="shared" si="1"/>
        <v>R8=60.01.2</v>
      </c>
      <c r="B115" s="1567" t="s">
        <v>5536</v>
      </c>
      <c r="C115" s="41" t="s">
        <v>4344</v>
      </c>
      <c r="D115" s="1134" t="s">
        <v>4345</v>
      </c>
      <c r="E115" s="1159">
        <f>'60_01'!F9</f>
        <v>0</v>
      </c>
      <c r="F115" s="40">
        <f>'60_01'!R9</f>
        <v>0</v>
      </c>
      <c r="G115" s="46"/>
      <c r="N115" s="2190">
        <v>1450</v>
      </c>
    </row>
    <row r="116" spans="1:14" outlineLevel="1">
      <c r="A116" s="2427" t="str">
        <f t="shared" si="1"/>
        <v>R8=60.01.2.1</v>
      </c>
      <c r="B116" s="1567"/>
      <c r="C116" s="1161" t="s">
        <v>73</v>
      </c>
      <c r="D116" s="1134" t="s">
        <v>83</v>
      </c>
      <c r="E116" s="1159">
        <f>SUMIF('60_01'!$C:$C,"{251014} Расчеты по НИОКР",'60_01'!F:F)</f>
        <v>0</v>
      </c>
      <c r="F116" s="40">
        <f>SUMIF('60_01'!$C:$C,"{251014} Расчеты по НИОКР",'60_01'!R:R)</f>
        <v>0</v>
      </c>
      <c r="G116" s="46"/>
    </row>
    <row r="117" spans="1:14" ht="29" outlineLevel="1">
      <c r="A117" s="2427" t="str">
        <f t="shared" si="1"/>
        <v>R8=60.01.2.2</v>
      </c>
      <c r="B117" s="1567"/>
      <c r="C117" s="1161" t="s">
        <v>74</v>
      </c>
      <c r="D117" s="1134" t="s">
        <v>84</v>
      </c>
      <c r="E117" s="1159">
        <f>SUMIF('60_01'!$C:$C,"{251016} Расчеты с поставщиками по приобретению (созданию) поисковых активов",'60_01'!F:F)</f>
        <v>0</v>
      </c>
      <c r="F117" s="40">
        <f>SUMIF('60_01'!$C:$C,"{251016} Расчеты с поставщиками по приобретению (созданию) поисковых активов",'60_01'!R:R)</f>
        <v>0</v>
      </c>
      <c r="G117" s="46"/>
    </row>
    <row r="118" spans="1:14" outlineLevel="1">
      <c r="A118" s="2427" t="str">
        <f t="shared" si="1"/>
        <v>R8=60.2</v>
      </c>
      <c r="B118" s="1567" t="s">
        <v>5536</v>
      </c>
      <c r="C118" s="41" t="s">
        <v>4346</v>
      </c>
      <c r="D118" s="42" t="s">
        <v>4347</v>
      </c>
      <c r="E118" s="1159">
        <f>SUM(E119:E120)</f>
        <v>0</v>
      </c>
      <c r="F118" s="40">
        <f>SUM(F119:F120)</f>
        <v>0</v>
      </c>
      <c r="G118" s="46"/>
      <c r="N118" s="2190"/>
    </row>
    <row r="119" spans="1:14" outlineLevel="1">
      <c r="A119" s="2427" t="str">
        <f t="shared" si="1"/>
        <v>R8=60.02.1</v>
      </c>
      <c r="B119" s="1567" t="s">
        <v>5536</v>
      </c>
      <c r="C119" s="41" t="s">
        <v>4348</v>
      </c>
      <c r="D119" s="42" t="s">
        <v>4349</v>
      </c>
      <c r="E119" s="1159">
        <f>'60_02'!H9</f>
        <v>0</v>
      </c>
      <c r="F119" s="40">
        <f>'60_02'!N9</f>
        <v>0</v>
      </c>
      <c r="G119" s="46"/>
      <c r="N119" s="2190">
        <v>1232</v>
      </c>
    </row>
    <row r="120" spans="1:14" outlineLevel="1">
      <c r="A120" s="2427" t="str">
        <f t="shared" si="1"/>
        <v>R8=60.02.2</v>
      </c>
      <c r="B120" s="1567" t="s">
        <v>5536</v>
      </c>
      <c r="C120" s="41" t="s">
        <v>4350</v>
      </c>
      <c r="D120" s="42" t="s">
        <v>4351</v>
      </c>
      <c r="E120" s="1159">
        <f>'60_02'!G9</f>
        <v>0</v>
      </c>
      <c r="F120" s="40">
        <f>'60_02'!M9</f>
        <v>0</v>
      </c>
      <c r="G120" s="46"/>
    </row>
    <row r="121" spans="1:14">
      <c r="A121" s="2427" t="str">
        <f t="shared" si="1"/>
        <v>R8=62</v>
      </c>
      <c r="B121" s="1567" t="s">
        <v>5536</v>
      </c>
      <c r="C121" s="1213">
        <v>62</v>
      </c>
      <c r="D121" s="1214" t="s">
        <v>4352</v>
      </c>
      <c r="E121" s="1210">
        <f>E122+E125</f>
        <v>0</v>
      </c>
      <c r="F121" s="1211">
        <f>F122+F125</f>
        <v>0</v>
      </c>
      <c r="G121" s="1215"/>
    </row>
    <row r="122" spans="1:14" outlineLevel="1">
      <c r="A122" s="2427" t="str">
        <f t="shared" si="1"/>
        <v>R8=62.01</v>
      </c>
      <c r="B122" s="1567" t="s">
        <v>5536</v>
      </c>
      <c r="C122" s="41" t="s">
        <v>4353</v>
      </c>
      <c r="D122" s="42" t="s">
        <v>4352</v>
      </c>
      <c r="E122" s="1159">
        <f>SUM(E123:E124)</f>
        <v>0</v>
      </c>
      <c r="F122" s="40">
        <f>SUM(F123:F124)</f>
        <v>0</v>
      </c>
      <c r="G122" s="46"/>
    </row>
    <row r="123" spans="1:14" outlineLevel="1">
      <c r="A123" s="2427" t="str">
        <f t="shared" si="1"/>
        <v>R8=62.01.1</v>
      </c>
      <c r="B123" s="1567" t="s">
        <v>5536</v>
      </c>
      <c r="C123" s="41" t="s">
        <v>4354</v>
      </c>
      <c r="D123" s="42" t="s">
        <v>4343</v>
      </c>
      <c r="E123" s="1159">
        <f>'62_01'!G9</f>
        <v>0</v>
      </c>
      <c r="F123" s="40">
        <f>'62_01'!R9</f>
        <v>0</v>
      </c>
      <c r="G123" s="46"/>
    </row>
    <row r="124" spans="1:14" outlineLevel="1">
      <c r="A124" s="2427" t="str">
        <f t="shared" si="1"/>
        <v>R8=62.01.2</v>
      </c>
      <c r="B124" s="1567" t="s">
        <v>5536</v>
      </c>
      <c r="C124" s="41" t="s">
        <v>4355</v>
      </c>
      <c r="D124" s="42" t="s">
        <v>4345</v>
      </c>
      <c r="E124" s="1159">
        <f>'62_01'!F9</f>
        <v>0</v>
      </c>
      <c r="F124" s="40">
        <f>'62_01'!Q9</f>
        <v>0</v>
      </c>
      <c r="G124" s="46"/>
    </row>
    <row r="125" spans="1:14" outlineLevel="1">
      <c r="A125" s="2427" t="str">
        <f t="shared" si="1"/>
        <v>R8=62.02</v>
      </c>
      <c r="B125" s="1567" t="s">
        <v>5536</v>
      </c>
      <c r="C125" s="41" t="s">
        <v>4356</v>
      </c>
      <c r="D125" s="42" t="s">
        <v>4357</v>
      </c>
      <c r="E125" s="1159">
        <f>SUM(E126:E127)</f>
        <v>0</v>
      </c>
      <c r="F125" s="40">
        <f>SUM(F126:F127)</f>
        <v>0</v>
      </c>
      <c r="G125" s="46"/>
    </row>
    <row r="126" spans="1:14" outlineLevel="1">
      <c r="A126" s="2427" t="str">
        <f t="shared" si="1"/>
        <v>R8=62.02.1</v>
      </c>
      <c r="B126" s="1567" t="s">
        <v>5536</v>
      </c>
      <c r="C126" s="41" t="s">
        <v>4358</v>
      </c>
      <c r="D126" s="42" t="s">
        <v>4359</v>
      </c>
      <c r="E126" s="1159">
        <f>'62_02'!G9</f>
        <v>0</v>
      </c>
      <c r="F126" s="40">
        <f>'62_02'!M9</f>
        <v>0</v>
      </c>
      <c r="G126" s="46"/>
    </row>
    <row r="127" spans="1:14" outlineLevel="1">
      <c r="A127" s="2427" t="str">
        <f t="shared" si="1"/>
        <v>R8=62.02.2</v>
      </c>
      <c r="B127" s="1567" t="s">
        <v>5536</v>
      </c>
      <c r="C127" s="41" t="s">
        <v>4360</v>
      </c>
      <c r="D127" s="42" t="s">
        <v>4361</v>
      </c>
      <c r="E127" s="1159">
        <f>'62_02'!F9</f>
        <v>0</v>
      </c>
      <c r="F127" s="40">
        <f>'62_02'!L9</f>
        <v>0</v>
      </c>
      <c r="G127" s="46"/>
      <c r="N127" s="2190">
        <v>1450</v>
      </c>
    </row>
    <row r="128" spans="1:14">
      <c r="A128" s="2427" t="str">
        <f>"R8="&amp;C128&amp;IF(ISERR(SEARCH("(активы для продажи)",D128)),IF(ISERR(SEARCH("(права пользования активами)",D128)),"",".ПА"),".П")</f>
        <v>R8=63</v>
      </c>
      <c r="B128" s="1567" t="s">
        <v>5536</v>
      </c>
      <c r="C128" s="1213">
        <v>63</v>
      </c>
      <c r="D128" s="1214" t="s">
        <v>4362</v>
      </c>
      <c r="E128" s="1210">
        <f>'60,62,63,76_контр'!$AC$10</f>
        <v>0</v>
      </c>
      <c r="F128" s="1210">
        <f>'60,62,63,76_контр'!$AI$10</f>
        <v>0</v>
      </c>
      <c r="G128" s="1215"/>
      <c r="N128" s="1563"/>
    </row>
    <row r="129" spans="1:15" outlineLevel="1">
      <c r="A129" s="2427" t="str">
        <f t="shared" si="1"/>
        <v>R8=63</v>
      </c>
      <c r="B129" s="1567"/>
      <c r="C129" s="41">
        <v>63</v>
      </c>
      <c r="D129" s="42" t="s">
        <v>1397</v>
      </c>
      <c r="E129" s="1159">
        <f>SUMIFS('60,62,63,76_контр'!$AC$14:$AC$25000,'60,62,63,76_контр'!$J$14:$J$25000,"*251011*")+SUMIFS('60,62,63,76_контр'!$AC$14:$AC$25000,'60,62,63,76_контр'!$J$14:$J$25000,"*251013*")</f>
        <v>0</v>
      </c>
      <c r="F129" s="1159">
        <f>SUMIFS('60,62,63,76_контр'!$AI$14:$AI$25000,'60,62,63,76_контр'!$J$14:$J$25000,"*251011*")+SUMIFS('60,62,63,76_контр'!$AI$14:$AI$25000,'60,62,63,76_контр'!$J$14:$J$25000,"*251013*")</f>
        <v>0</v>
      </c>
      <c r="G129" s="46"/>
      <c r="N129" s="2190">
        <v>1153</v>
      </c>
      <c r="O129" s="2190"/>
    </row>
    <row r="130" spans="1:15" outlineLevel="1">
      <c r="A130" s="2427" t="str">
        <f t="shared" si="1"/>
        <v>R8=63</v>
      </c>
      <c r="B130" s="1567"/>
      <c r="C130" s="41">
        <v>63</v>
      </c>
      <c r="D130" s="42" t="s">
        <v>1400</v>
      </c>
      <c r="E130" s="1159">
        <f>SUMIFS('60,62,63,76_контр'!$AC$14:$AC$25000,'60,62,63,76_контр'!$J$14:$J$25000,"*251015*")</f>
        <v>0</v>
      </c>
      <c r="F130" s="1159">
        <f>SUMIFS('60,62,63,76_контр'!$AI$14:$AI$25000,'60,62,63,76_контр'!$J$14:$J$25000,"*251015*")</f>
        <v>0</v>
      </c>
      <c r="G130" s="46"/>
      <c r="N130" s="2188">
        <v>1160</v>
      </c>
      <c r="O130" s="2190"/>
    </row>
    <row r="131" spans="1:15" outlineLevel="1">
      <c r="A131" s="2427" t="str">
        <f t="shared" si="1"/>
        <v>R8=63</v>
      </c>
      <c r="B131" s="1567"/>
      <c r="C131" s="41">
        <v>63</v>
      </c>
      <c r="D131" s="42" t="s">
        <v>1398</v>
      </c>
      <c r="E131" s="1159">
        <f>SUMIFS('60,62,63,76_контр'!$AC$14:$AC$25000,'60,62,63,76_контр'!$J$14:$J$25000,"*251012*")</f>
        <v>0</v>
      </c>
      <c r="F131" s="1159">
        <f>SUMIFS('60,62,63,76_контр'!$AI$14:$AI$25000,'60,62,63,76_контр'!$J$14:$J$25000,"*251012*")</f>
        <v>0</v>
      </c>
      <c r="G131" s="46"/>
      <c r="N131" s="2190">
        <v>1110</v>
      </c>
      <c r="O131" s="2190"/>
    </row>
    <row r="132" spans="1:15" outlineLevel="1">
      <c r="A132" s="2427" t="str">
        <f t="shared" si="1"/>
        <v>R8=63</v>
      </c>
      <c r="B132" s="1567"/>
      <c r="C132" s="41">
        <v>63</v>
      </c>
      <c r="D132" s="42" t="s">
        <v>1399</v>
      </c>
      <c r="E132" s="1159">
        <f>SUMIFS('60,62,63,76_контр'!$AC$14:$AC$25000,'60,62,63,76_контр'!$J$14:$J$25000,"*251014*")+SUMIFS('60,62,63,76_контр'!$AC$14:$AC$25000,'60,62,63,76_контр'!$J$14:$J$25000,"*251016*")</f>
        <v>0</v>
      </c>
      <c r="F132" s="1159">
        <f>SUMIFS('60,62,63,76_контр'!$AI$14:$AI$25000,'60,62,63,76_контр'!$J$14:$J$25000,"*251014*")+SUMIFS('60,62,63,76_контр'!$AI$14:$AI$25000,'60,62,63,76_контр'!$J$14:$J$25000,"*251016*")</f>
        <v>0</v>
      </c>
      <c r="G132" s="46"/>
      <c r="N132" s="2190">
        <v>1190</v>
      </c>
      <c r="O132" s="2190"/>
    </row>
    <row r="133" spans="1:15" outlineLevel="1">
      <c r="A133" s="2427" t="str">
        <f t="shared" si="1"/>
        <v>R8=63</v>
      </c>
      <c r="B133" s="1567"/>
      <c r="C133" s="41">
        <v>63</v>
      </c>
      <c r="D133" s="3488" t="s">
        <v>14616</v>
      </c>
      <c r="E133" s="1159">
        <f>SUMIFS('60,62,63,76_контр'!$AC$14:$AC$25000,'60,62,63,76_контр'!$J$14:$J$25000,"*252038*")</f>
        <v>0</v>
      </c>
      <c r="F133" s="1159">
        <f>SUMIFS('60,62,63,76_контр'!$AI$14:$AI$25000,'60,62,63,76_контр'!$J$14:$J$25000,"*252038*")</f>
        <v>0</v>
      </c>
      <c r="G133" s="46"/>
      <c r="N133" s="2190">
        <v>1153</v>
      </c>
      <c r="O133" s="2190"/>
    </row>
    <row r="134" spans="1:15" outlineLevel="1">
      <c r="A134" s="2427" t="str">
        <f t="shared" ref="A134:A146" si="2">"R8="&amp;C134&amp;IFERROR(IF(SEARCH("(активы для продажи)",D134)&gt;0,".П",""),"")</f>
        <v>R8=63</v>
      </c>
      <c r="B134" s="1567"/>
      <c r="C134" s="41">
        <v>63</v>
      </c>
      <c r="D134" s="42" t="s">
        <v>8383</v>
      </c>
      <c r="E134" s="1159">
        <f>SUMIFS('60,62,63,76_контр'!$AC$14:$AC$25000,'60,62,63,76_контр'!$N$14:$N$25000,"*10*",'60,62,63,76_контр'!$J$14:$J$25000,"*25102*")+SUMIFS('60,62,63,76_контр'!$AC$14:$AC$25000,'60,62,63,76_контр'!$N$14:$N$25000,"*10*",'60,62,63,76_контр'!$J$14:$J$25000,"*25103*")+SUMIFS('60,62,63,76_контр'!$AC$14:$AC$25000,'60,62,63,76_контр'!$N$14:$N$25000,"*10*",'60,62,63,76_контр'!$J$14:$J$25000,"*25104*")</f>
        <v>0</v>
      </c>
      <c r="F134" s="1159">
        <f>SUMIFS('60,62,63,76_контр'!$AI$14:$AI$25000,'60,62,63,76_контр'!$N$14:$N$25000,"*10*",'60,62,63,76_контр'!$J$14:$J$25000,"*25102*")+SUMIFS('60,62,63,76_контр'!$AI$14:$AI$25000,'60,62,63,76_контр'!$N$14:$N$25000,"*10*",'60,62,63,76_контр'!$J$14:$J$25000,"*25103*")+SUMIFS('60,62,63,76_контр'!$AI$14:$AI$25000,'60,62,63,76_контр'!$N$14:$N$25000,"*10*",'60,62,63,76_контр'!$J$14:$J$25000,"*25104*")</f>
        <v>0</v>
      </c>
      <c r="G134" s="46"/>
      <c r="N134" s="2190">
        <v>1190</v>
      </c>
      <c r="O134" s="2190"/>
    </row>
    <row r="135" spans="1:15" outlineLevel="1">
      <c r="A135" s="2427" t="str">
        <f t="shared" si="2"/>
        <v>R8=63</v>
      </c>
      <c r="B135" s="1567"/>
      <c r="C135" s="41">
        <v>63</v>
      </c>
      <c r="D135" s="42" t="s">
        <v>8384</v>
      </c>
      <c r="E135" s="1159">
        <f>SUMIFS('60,62,63,76_контр'!$AC$14:$AC$25000,'60,62,63,76_контр'!$N$14:$N$25000,"*20*",'60,62,63,76_контр'!$J$14:$J$25000,"*25102*")+SUMIFS('60,62,63,76_контр'!$AC$14:$AC$25000,'60,62,63,76_контр'!$N$14:$N$25000,"*20*",'60,62,63,76_контр'!$J$14:$J$25000,"*25103*")+SUMIFS('60,62,63,76_контр'!$AC$14:$AC$25000,'60,62,63,76_контр'!$N$14:$N$25000,"*20*",'60,62,63,76_контр'!$J$14:$J$25000,"*25104*")</f>
        <v>0</v>
      </c>
      <c r="F135" s="1159">
        <f>SUMIFS('60,62,63,76_контр'!$AI$14:$AI$25000,'60,62,63,76_контр'!$N$14:$N$25000,"*20*",'60,62,63,76_контр'!$J$14:$J$25000,"*25102*")+SUMIFS('60,62,63,76_контр'!$AI$14:$AI$25000,'60,62,63,76_контр'!$N$14:$N$25000,"*20*",'60,62,63,76_контр'!$J$14:$J$25000,"*25103*")+SUMIFS('60,62,63,76_контр'!$AI$14:$AI$25000,'60,62,63,76_контр'!$N$14:$N$25000,"*20*",'60,62,63,76_контр'!$J$14:$J$25000,"*25104*")</f>
        <v>0</v>
      </c>
      <c r="G135" s="46"/>
      <c r="N135" s="2190">
        <v>1232</v>
      </c>
      <c r="O135" s="2190"/>
    </row>
    <row r="136" spans="1:15" outlineLevel="1">
      <c r="A136" s="2427" t="str">
        <f t="shared" si="2"/>
        <v>R8=63</v>
      </c>
      <c r="B136" s="1567"/>
      <c r="C136" s="41">
        <v>63</v>
      </c>
      <c r="D136" s="42" t="s">
        <v>8385</v>
      </c>
      <c r="E136" s="1159">
        <f>SUMIFS('60,62,63,76_контр'!$AC$14:$AC$25000,'60,62,63,76_контр'!$N$14:$N$25000,"*10*",'60,62,63,76_контр'!$J$14:$J$25000,"*25111*")+SUMIFS('60,62,63,76_контр'!$AC$14:$AC$25000,'60,62,63,76_контр'!$N$14:$N$25000,"*10*",'60,62,63,76_контр'!$J$14:$J$25000,"*25112*")</f>
        <v>0</v>
      </c>
      <c r="F136" s="1159">
        <f>SUMIFS('60,62,63,76_контр'!$AI$14:$AI$25000,'60,62,63,76_контр'!$N$14:$N$25000,"*10*",'60,62,63,76_контр'!$J$14:$J$25000,"*25111*")+SUMIFS('60,62,63,76_контр'!$AI$14:$AI$25000,'60,62,63,76_контр'!$N$14:$N$25000,"*10*",'60,62,63,76_контр'!$J$14:$J$25000,"*25112*")</f>
        <v>0</v>
      </c>
      <c r="G136" s="46"/>
      <c r="N136" s="2190">
        <v>1190</v>
      </c>
      <c r="O136" s="2190"/>
    </row>
    <row r="137" spans="1:15" outlineLevel="1">
      <c r="A137" s="2427" t="str">
        <f t="shared" si="2"/>
        <v>R8=63</v>
      </c>
      <c r="B137" s="1567"/>
      <c r="C137" s="41">
        <v>63</v>
      </c>
      <c r="D137" s="42" t="s">
        <v>8386</v>
      </c>
      <c r="E137" s="1159">
        <f>SUMIFS('60,62,63,76_контр'!$AC$14:$AC$25000,'60,62,63,76_контр'!$N$14:$N$25000,"*20*",'60,62,63,76_контр'!$J$14:$J$25000,"*25111*")+SUMIFS('60,62,63,76_контр'!$AC$14:$AC$25000,'60,62,63,76_контр'!$N$14:$N$25000,"*20*",'60,62,63,76_контр'!$J$14:$J$25000,"*25112*")+SUMIFS('60,62,63,76_контр'!$AC$14:$AC$25000,'60,62,63,76_контр'!$N$14:$N$25000,"*20*",'60,62,63,76_контр'!$J$14:$J$25000,"*252016*")+SUMIFS('60,62,63,76_контр'!$AC$14:$AC$25000,'60,62,63,76_контр'!$N$14:$N$25000,"*20*",'60,62,63,76_контр'!$J$14:$J$25000,"*252017*")</f>
        <v>0</v>
      </c>
      <c r="F137" s="1159">
        <f>SUMIFS('60,62,63,76_контр'!$AI$14:$AI$25000,'60,62,63,76_контр'!$N$14:$N$25000,"*20*",'60,62,63,76_контр'!$J$14:$J$25000,"*25111*")+SUMIFS('60,62,63,76_контр'!$AI$14:$AI$25000,'60,62,63,76_контр'!$N$14:$N$25000,"*20*",'60,62,63,76_контр'!$J$14:$J$25000,"*25112*")+SUMIFS('60,62,63,76_контр'!$AI$14:$AI$25000,'60,62,63,76_контр'!$N$14:$N$25000,"*20*",'60,62,63,76_контр'!$J$14:$J$25000,"*252016*")+SUMIFS('60,62,63,76_контр'!$AI$14:$AI$25000,'60,62,63,76_контр'!$N$14:$N$25000,"*20*",'60,62,63,76_контр'!$J$14:$J$25000,"*252017*")</f>
        <v>0</v>
      </c>
      <c r="G137" s="46"/>
      <c r="N137" s="2190">
        <v>1231</v>
      </c>
      <c r="O137" s="2190"/>
    </row>
    <row r="138" spans="1:15" outlineLevel="1">
      <c r="A138" s="2427" t="str">
        <f t="shared" si="2"/>
        <v>R8=63</v>
      </c>
      <c r="B138" s="1567"/>
      <c r="C138" s="41">
        <v>63</v>
      </c>
      <c r="D138" s="3488" t="s">
        <v>14617</v>
      </c>
      <c r="E138" s="1159">
        <f>SUMIFS('60,62,63,76_контр'!$AC$14:$AC$25000,'60,62,63,76_контр'!$N$14:$N$25000,"*10*",'60,62,63,76_контр'!$J$14:$J$25000,"*252080*")</f>
        <v>0</v>
      </c>
      <c r="F138" s="1159">
        <f>SUMIFS('60,62,63,76_контр'!$AI$14:$AI$25000,'60,62,63,76_контр'!$N$14:$N$25000,"*10*",'60,62,63,76_контр'!$J$14:$J$25000,"*252080*")</f>
        <v>0</v>
      </c>
      <c r="G138" s="46"/>
      <c r="N138" s="2190">
        <v>1190</v>
      </c>
      <c r="O138" s="2190"/>
    </row>
    <row r="139" spans="1:15" outlineLevel="1">
      <c r="A139" s="2427" t="str">
        <f t="shared" si="2"/>
        <v>R8=63</v>
      </c>
      <c r="B139" s="1567"/>
      <c r="C139" s="41">
        <v>63</v>
      </c>
      <c r="D139" s="3488" t="s">
        <v>14618</v>
      </c>
      <c r="E139" s="3605">
        <f>SUMIFS('60,62,63,76_контр'!$AC$14:$AC$25000,'60,62,63,76_контр'!$N$14:$N$25000,"*20*",'60,62,63,76_контр'!$J$14:$J$25000,"*252080*")+SUMIFS('60,62,63,76_контр'!$AC$14:$AC$25000,'60,62,63,76_контр'!$N$14:$N$25000,"*20*",'60,62,63,76_контр'!$J$14:$J$25000,"*252036*")</f>
        <v>0</v>
      </c>
      <c r="F139" s="3605">
        <f>SUMIFS('60,62,63,76_контр'!$AI$14:$AI$25000,'60,62,63,76_контр'!$N$14:$N$25000,"*20*",'60,62,63,76_контр'!$J$14:$J$25000,"*252080*")+SUMIFS('60,62,63,76_контр'!$AI$14:$AI$25000,'60,62,63,76_контр'!$N$14:$N$25000,"*20*",'60,62,63,76_контр'!$J$14:$J$25000,"*252036*")</f>
        <v>0</v>
      </c>
      <c r="G139" s="46"/>
      <c r="N139" s="2190">
        <v>1235</v>
      </c>
      <c r="O139" s="2190"/>
    </row>
    <row r="140" spans="1:15" outlineLevel="1">
      <c r="A140" s="2427" t="str">
        <f t="shared" si="2"/>
        <v>R8=63</v>
      </c>
      <c r="B140" s="1567" t="s">
        <v>5536</v>
      </c>
      <c r="C140" s="41">
        <v>63</v>
      </c>
      <c r="D140" s="42" t="s">
        <v>8387</v>
      </c>
      <c r="E140" s="1159">
        <f>SUMIFS('60,62,63,76_контр'!$AC$14:$AC$25000,'60,62,63,76_контр'!$N$14:$N$25000,"*10*",'60,62,63,76_контр'!$J$14:$J$25000,"*2520*")-E138-SUMIFS('60,62,63,76_контр'!$AC$14:$AC$25000,'60,62,63,76_контр'!$J$14:$J$25000,"*252038*",'60,62,63,76_контр'!$N$14:$N$25000,"*10*")</f>
        <v>0</v>
      </c>
      <c r="F140" s="1159">
        <f>SUMIFS('60,62,63,76_контр'!$AI$14:$AI$25000,'60,62,63,76_контр'!$N$14:$N$25000,"*10*",'60,62,63,76_контр'!$J$14:$J$25000,"*2520*")-F138-SUMIFS('60,62,63,76_контр'!$AI$14:$AI$25000,'60,62,63,76_контр'!$J$14:$J$25000,"*252038*",'60,62,63,76_контр'!$N$14:$N$25000,"*10*")</f>
        <v>0</v>
      </c>
      <c r="G140" s="46"/>
      <c r="N140" s="2190">
        <v>1190</v>
      </c>
      <c r="O140" s="2190"/>
    </row>
    <row r="141" spans="1:15" outlineLevel="1">
      <c r="A141" s="2427" t="str">
        <f t="shared" si="2"/>
        <v>R8=63</v>
      </c>
      <c r="B141" s="1567"/>
      <c r="C141" s="41">
        <v>63</v>
      </c>
      <c r="D141" s="42" t="s">
        <v>8388</v>
      </c>
      <c r="E141" s="1159">
        <f>SUMIFS('60,62,63,76_контр'!$AC$14:$AC$25000,'60,62,63,76_контр'!$N$14:$N$25000,"*20*",'60,62,63,76_контр'!$J$14:$J$25000,"*2520*")+'60,62,63,76_контр'!$AC$14-SUMIFS('60,62,63,76_контр'!$AC$14:$AC$25000,'60,62,63,76_контр'!$N$14:$N$25000,"*20*",'60,62,63,76_контр'!$J$14:$J$25000,"*252016*")-SUMIFS('60,62,63,76_контр'!$AC$14:$AC$25000,'60,62,63,76_контр'!$N$14:$N$25000,"*20*",'60,62,63,76_контр'!$J$14:$J$25000,"*252017*")-SUMIFS('60,62,63,76_контр'!$AC$14:$AC$25000,'60,62,63,76_контр'!$J$14:$J$25000,"*252038*",'60,62,63,76_контр'!$N$14:$N$25000,"*20*")-E139</f>
        <v>0</v>
      </c>
      <c r="F141" s="1159">
        <f>SUMIFS('60,62,63,76_контр'!$AI$14:$AI$25000,'60,62,63,76_контр'!$N$14:$N$25000,"*20*",'60,62,63,76_контр'!$J$14:$J$25000,"*2520*")+'60,62,63,76_контр'!$AI$14-SUMIFS('60,62,63,76_контр'!$AI$14:$AI$25000,'60,62,63,76_контр'!$N$14:$N$25000,"*20*",'60,62,63,76_контр'!$J$14:$J$25000,"*252016*")-SUMIFS('60,62,63,76_контр'!$AI$14:$AI$25000,'60,62,63,76_контр'!$N$14:$N$25000,"*20*",'60,62,63,76_контр'!$J$14:$J$25000,"*252017*")-SUMIFS('60,62,63,76_контр'!$AI$14:$AI$25000,'60,62,63,76_контр'!$J$14:$J$25000,"*252038*",'60,62,63,76_контр'!$N$14:$N$25000,"*20*")-F139</f>
        <v>0</v>
      </c>
      <c r="G141" s="46"/>
      <c r="N141" s="2190">
        <v>1233</v>
      </c>
      <c r="O141" s="2190"/>
    </row>
    <row r="142" spans="1:15">
      <c r="A142" s="2427" t="str">
        <f t="shared" si="2"/>
        <v>R8=66</v>
      </c>
      <c r="B142" s="1567" t="s">
        <v>5536</v>
      </c>
      <c r="C142" s="1219" t="s">
        <v>4363</v>
      </c>
      <c r="D142" s="1220" t="s">
        <v>4364</v>
      </c>
      <c r="E142" s="1210">
        <f>SUM(E143:E145)</f>
        <v>0</v>
      </c>
      <c r="F142" s="1211">
        <f>SUM(F143:F145)</f>
        <v>0</v>
      </c>
      <c r="G142" s="1215"/>
    </row>
    <row r="143" spans="1:15" outlineLevel="1">
      <c r="A143" s="2427" t="str">
        <f t="shared" si="2"/>
        <v>R8=66.1</v>
      </c>
      <c r="B143" s="1567" t="s">
        <v>5536</v>
      </c>
      <c r="C143" s="559" t="s">
        <v>4365</v>
      </c>
      <c r="D143" s="560" t="s">
        <v>4366</v>
      </c>
      <c r="E143" s="1159">
        <f>'66'!L11</f>
        <v>0</v>
      </c>
      <c r="F143" s="40">
        <f>'66'!V11</f>
        <v>0</v>
      </c>
      <c r="G143" s="46"/>
    </row>
    <row r="144" spans="1:15" outlineLevel="1">
      <c r="A144" s="2427" t="str">
        <f t="shared" si="2"/>
        <v>R8=66.2</v>
      </c>
      <c r="B144" s="1567" t="s">
        <v>5536</v>
      </c>
      <c r="C144" s="559" t="s">
        <v>4367</v>
      </c>
      <c r="D144" s="560" t="s">
        <v>4368</v>
      </c>
      <c r="E144" s="1159">
        <f>'66'!Y11</f>
        <v>0</v>
      </c>
      <c r="F144" s="40">
        <f>'66'!AD11</f>
        <v>0</v>
      </c>
      <c r="G144" s="46"/>
    </row>
    <row r="145" spans="1:14" outlineLevel="1">
      <c r="A145" s="2427" t="str">
        <f t="shared" si="2"/>
        <v>R8=66.3</v>
      </c>
      <c r="B145" s="1567" t="s">
        <v>5536</v>
      </c>
      <c r="C145" s="559" t="s">
        <v>4369</v>
      </c>
      <c r="D145" s="560" t="s">
        <v>4370</v>
      </c>
      <c r="E145" s="1159">
        <f>'66'!AE11</f>
        <v>0</v>
      </c>
      <c r="F145" s="40">
        <f>'66'!AL11</f>
        <v>0</v>
      </c>
      <c r="G145" s="46"/>
    </row>
    <row r="146" spans="1:14">
      <c r="A146" s="2427" t="str">
        <f t="shared" si="2"/>
        <v>R8=67</v>
      </c>
      <c r="B146" s="1567" t="s">
        <v>5536</v>
      </c>
      <c r="C146" s="1219">
        <v>67</v>
      </c>
      <c r="D146" s="1220" t="s">
        <v>4371</v>
      </c>
      <c r="E146" s="1210">
        <f>SUM(E147:E149)</f>
        <v>0</v>
      </c>
      <c r="F146" s="1211">
        <f>SUM(F147:F149)</f>
        <v>0</v>
      </c>
      <c r="G146" s="1215"/>
    </row>
    <row r="147" spans="1:14" outlineLevel="1">
      <c r="A147" s="2427" t="str">
        <f t="shared" ref="A147:A210" si="3">"R8="&amp;C147&amp;IFERROR(IF(SEARCH("(активы для продажи)",D147)&gt;0,".П",""),"")</f>
        <v>R8=67.1</v>
      </c>
      <c r="B147" s="1567" t="s">
        <v>5536</v>
      </c>
      <c r="C147" s="559" t="s">
        <v>4372</v>
      </c>
      <c r="D147" s="560" t="s">
        <v>4373</v>
      </c>
      <c r="E147" s="1159">
        <f>'67'!L11</f>
        <v>0</v>
      </c>
      <c r="F147" s="40">
        <f>'67'!V11</f>
        <v>0</v>
      </c>
      <c r="G147" s="46"/>
    </row>
    <row r="148" spans="1:14" outlineLevel="1">
      <c r="A148" s="2427" t="str">
        <f t="shared" si="3"/>
        <v>R8=67.2</v>
      </c>
      <c r="B148" s="1567" t="s">
        <v>5536</v>
      </c>
      <c r="C148" s="559" t="s">
        <v>4374</v>
      </c>
      <c r="D148" s="560" t="s">
        <v>4375</v>
      </c>
      <c r="E148" s="1159">
        <f>'67'!Z11</f>
        <v>0</v>
      </c>
      <c r="F148" s="40">
        <f>'67'!AE11</f>
        <v>0</v>
      </c>
      <c r="G148" s="46"/>
    </row>
    <row r="149" spans="1:14" outlineLevel="1">
      <c r="A149" s="2427" t="str">
        <f t="shared" si="3"/>
        <v>R8=67.3</v>
      </c>
      <c r="B149" s="1567" t="s">
        <v>5536</v>
      </c>
      <c r="C149" s="559" t="s">
        <v>4376</v>
      </c>
      <c r="D149" s="560" t="s">
        <v>4377</v>
      </c>
      <c r="E149" s="1159">
        <f>'67'!AF11</f>
        <v>0</v>
      </c>
      <c r="F149" s="40">
        <f>'67'!AM11</f>
        <v>0</v>
      </c>
      <c r="G149" s="46"/>
    </row>
    <row r="150" spans="1:14">
      <c r="A150" s="2427" t="str">
        <f t="shared" si="3"/>
        <v>R8=68</v>
      </c>
      <c r="B150" s="1567" t="s">
        <v>5536</v>
      </c>
      <c r="C150" s="1219">
        <v>68</v>
      </c>
      <c r="D150" s="1220" t="s">
        <v>4378</v>
      </c>
      <c r="E150" s="1210">
        <f>E151+E168</f>
        <v>0</v>
      </c>
      <c r="F150" s="1211">
        <f>F151+F168</f>
        <v>0</v>
      </c>
      <c r="G150" s="1215"/>
    </row>
    <row r="151" spans="1:14" outlineLevel="1">
      <c r="A151" s="2427" t="str">
        <f t="shared" si="3"/>
        <v>R8=68.01</v>
      </c>
      <c r="B151" s="1567" t="s">
        <v>5536</v>
      </c>
      <c r="C151" s="559" t="s">
        <v>4379</v>
      </c>
      <c r="D151" s="560" t="s">
        <v>4380</v>
      </c>
      <c r="E151" s="1159">
        <f>SUM(E152:E167)</f>
        <v>0</v>
      </c>
      <c r="F151" s="40">
        <f>SUM(F152:F167)</f>
        <v>0</v>
      </c>
      <c r="G151" s="46"/>
      <c r="N151" s="2190"/>
    </row>
    <row r="152" spans="1:14" outlineLevel="1">
      <c r="A152" s="2427" t="str">
        <f t="shared" si="3"/>
        <v>R8=68.01.1</v>
      </c>
      <c r="B152" s="1567" t="s">
        <v>5536</v>
      </c>
      <c r="C152" s="559" t="s">
        <v>4381</v>
      </c>
      <c r="D152" s="560" t="s">
        <v>4382</v>
      </c>
      <c r="E152" s="1159">
        <f>SUMIF('68'!C:C,$H152,'68'!L:L)+SUMIF('68'!C:C,$H152,'68'!O:O)</f>
        <v>0</v>
      </c>
      <c r="F152" s="40">
        <f>SUMIF('68'!C:C,$H152,'68'!AA:AA)+SUMIF('68'!C:C,$H152,'68'!AD:AD)</f>
        <v>0</v>
      </c>
      <c r="G152" s="46"/>
      <c r="H152" s="1562" t="s">
        <v>4914</v>
      </c>
      <c r="N152" s="2190"/>
    </row>
    <row r="153" spans="1:14" outlineLevel="1">
      <c r="A153" s="2427" t="str">
        <f t="shared" si="3"/>
        <v>R8=68.01.2</v>
      </c>
      <c r="B153" s="1567" t="s">
        <v>5536</v>
      </c>
      <c r="C153" s="559" t="s">
        <v>4383</v>
      </c>
      <c r="D153" s="560" t="s">
        <v>7487</v>
      </c>
      <c r="E153" s="1159">
        <f>SUMIF('68'!C:C,$H153,'68'!L:L)+SUMIF('68'!C:C,$H153,'68'!O:O)</f>
        <v>0</v>
      </c>
      <c r="F153" s="40">
        <f>SUMIF('68'!C:C,$H153,'68'!AA:AA)+SUMIF('68'!C:C,$H153,'68'!AD:AD)</f>
        <v>0</v>
      </c>
      <c r="G153" s="46"/>
      <c r="H153" s="1562" t="s">
        <v>4913</v>
      </c>
      <c r="N153" s="2190"/>
    </row>
    <row r="154" spans="1:14" outlineLevel="1">
      <c r="A154" s="2427" t="str">
        <f t="shared" si="3"/>
        <v>R8=68.01.3</v>
      </c>
      <c r="B154" s="1567" t="s">
        <v>5536</v>
      </c>
      <c r="C154" s="559" t="s">
        <v>4385</v>
      </c>
      <c r="D154" s="560" t="s">
        <v>4386</v>
      </c>
      <c r="E154" s="1159">
        <f>SUMIF('68'!C:C,$H154,'68'!L:L)+SUMIF('68'!C:C,$H154,'68'!O:O)</f>
        <v>0</v>
      </c>
      <c r="F154" s="40">
        <f>SUMIF('68'!C:C,$H154,'68'!AA:AA)+SUMIF('68'!C:C,$H154,'68'!AD:AD)</f>
        <v>0</v>
      </c>
      <c r="G154" s="46"/>
      <c r="H154" s="1562" t="s">
        <v>4912</v>
      </c>
      <c r="N154" s="2190"/>
    </row>
    <row r="155" spans="1:14" outlineLevel="1">
      <c r="A155" s="2427" t="str">
        <f t="shared" si="3"/>
        <v>R8=68.01.4</v>
      </c>
      <c r="B155" s="1567" t="s">
        <v>5536</v>
      </c>
      <c r="C155" s="559" t="s">
        <v>4387</v>
      </c>
      <c r="D155" s="560" t="s">
        <v>4388</v>
      </c>
      <c r="E155" s="1159">
        <f>SUMIF('68'!C:C,$H155,'68'!L:L)+SUMIF('68'!C:C,$H155,'68'!O:O)</f>
        <v>0</v>
      </c>
      <c r="F155" s="40">
        <f>SUMIF('68'!C:C,$H155,'68'!AA:AA)+SUMIF('68'!C:C,$H155,'68'!AD:AD)</f>
        <v>0</v>
      </c>
      <c r="G155" s="46"/>
      <c r="H155" s="1562" t="s">
        <v>4911</v>
      </c>
      <c r="N155" s="2190"/>
    </row>
    <row r="156" spans="1:14" outlineLevel="1">
      <c r="A156" s="2427" t="str">
        <f t="shared" si="3"/>
        <v>R8=68.01.5</v>
      </c>
      <c r="B156" s="1567" t="s">
        <v>5536</v>
      </c>
      <c r="C156" s="559" t="s">
        <v>4389</v>
      </c>
      <c r="D156" s="560" t="s">
        <v>7476</v>
      </c>
      <c r="E156" s="1159">
        <f>SUMIF('68'!C:C,$H156,'68'!L:L)+SUMIF('68'!C:C,$H156,'68'!O:O)</f>
        <v>0</v>
      </c>
      <c r="F156" s="40">
        <f>SUMIF('68'!C:C,$H156,'68'!AA:AA)+SUMIF('68'!C:C,$H156,'68'!AD:AD)</f>
        <v>0</v>
      </c>
      <c r="G156" s="46"/>
      <c r="H156" s="1562" t="s">
        <v>4910</v>
      </c>
      <c r="N156" s="2190"/>
    </row>
    <row r="157" spans="1:14" outlineLevel="1">
      <c r="A157" s="2427" t="str">
        <f t="shared" si="3"/>
        <v>R8=68.01.6</v>
      </c>
      <c r="B157" s="1567" t="s">
        <v>5536</v>
      </c>
      <c r="C157" s="559" t="s">
        <v>4390</v>
      </c>
      <c r="D157" s="560" t="s">
        <v>4398</v>
      </c>
      <c r="E157" s="1159">
        <f>SUMIF('68'!C:C,$H157,'68'!L:L)+SUMIF('68'!C:C,$H157,'68'!O:O)</f>
        <v>0</v>
      </c>
      <c r="F157" s="40">
        <f>SUMIF('68'!C:C,$H157,'68'!AA:AA)+SUMIF('68'!C:C,$H157,'68'!AD:AD)</f>
        <v>0</v>
      </c>
      <c r="G157" s="46"/>
      <c r="H157" s="1562" t="s">
        <v>4905</v>
      </c>
      <c r="N157" s="2190"/>
    </row>
    <row r="158" spans="1:14" outlineLevel="1">
      <c r="A158" s="2427" t="str">
        <f t="shared" si="3"/>
        <v>R8=68.01.7</v>
      </c>
      <c r="B158" s="1567" t="s">
        <v>5536</v>
      </c>
      <c r="C158" s="559" t="s">
        <v>4392</v>
      </c>
      <c r="D158" s="560" t="s">
        <v>4391</v>
      </c>
      <c r="E158" s="1159">
        <f>SUMIF('68'!C:C,$H158,'68'!L:L)+SUMIF('68'!C:C,$H158,'68'!O:O)</f>
        <v>0</v>
      </c>
      <c r="F158" s="40">
        <f>SUMIF('68'!C:C,$H158,'68'!AA:AA)+SUMIF('68'!C:C,$H158,'68'!AD:AD)</f>
        <v>0</v>
      </c>
      <c r="G158" s="46"/>
      <c r="H158" s="1562" t="s">
        <v>4909</v>
      </c>
      <c r="N158" s="2190"/>
    </row>
    <row r="159" spans="1:14" outlineLevel="1">
      <c r="A159" s="2427" t="str">
        <f t="shared" si="3"/>
        <v>R8=68.01.8</v>
      </c>
      <c r="B159" s="1567" t="s">
        <v>5536</v>
      </c>
      <c r="C159" s="559" t="s">
        <v>4394</v>
      </c>
      <c r="D159" s="560" t="s">
        <v>4393</v>
      </c>
      <c r="E159" s="1159">
        <f>SUMIF('68'!C:C,$H159,'68'!L:L)+SUMIF('68'!C:C,$H159,'68'!O:O)</f>
        <v>0</v>
      </c>
      <c r="F159" s="40">
        <f>SUMIF('68'!C:C,$H159,'68'!AA:AA)+SUMIF('68'!C:C,$H159,'68'!AD:AD)</f>
        <v>0</v>
      </c>
      <c r="G159" s="46"/>
      <c r="H159" s="1562" t="s">
        <v>4908</v>
      </c>
      <c r="N159" s="2190"/>
    </row>
    <row r="160" spans="1:14" outlineLevel="1">
      <c r="A160" s="2427" t="str">
        <f t="shared" si="3"/>
        <v>R8=68.01.11</v>
      </c>
      <c r="B160" s="1567" t="s">
        <v>5536</v>
      </c>
      <c r="C160" s="559" t="s">
        <v>4397</v>
      </c>
      <c r="D160" s="560" t="s">
        <v>4395</v>
      </c>
      <c r="E160" s="1159">
        <f>SUMIF('68'!C:C,$H160,'68'!L:L)+SUMIF('68'!C:C,$H160,'68'!O:O)</f>
        <v>0</v>
      </c>
      <c r="F160" s="40">
        <f>SUMIF('68'!C:C,$H160,'68'!AA:AA)+SUMIF('68'!C:C,$H160,'68'!AD:AD)</f>
        <v>0</v>
      </c>
      <c r="G160" s="46"/>
      <c r="H160" s="1562" t="s">
        <v>4907</v>
      </c>
      <c r="N160" s="2190"/>
    </row>
    <row r="161" spans="1:14" outlineLevel="1">
      <c r="A161" s="2427" t="str">
        <f t="shared" si="3"/>
        <v>R8=68.01.13</v>
      </c>
      <c r="B161" s="1567" t="s">
        <v>5536</v>
      </c>
      <c r="C161" s="559" t="s">
        <v>4400</v>
      </c>
      <c r="D161" s="560" t="s">
        <v>4396</v>
      </c>
      <c r="E161" s="1159">
        <f>SUMIF('68'!C:C,$H161,'68'!L:L)+SUMIF('68'!C:C,$H161,'68'!O:O)</f>
        <v>0</v>
      </c>
      <c r="F161" s="40">
        <f>SUMIF('68'!C:C,$H161,'68'!AA:AA)+SUMIF('68'!C:C,$H161,'68'!AD:AD)</f>
        <v>0</v>
      </c>
      <c r="G161" s="46"/>
      <c r="H161" s="1562" t="s">
        <v>4906</v>
      </c>
      <c r="N161" s="2190"/>
    </row>
    <row r="162" spans="1:14" outlineLevel="1">
      <c r="A162" s="2427" t="str">
        <f t="shared" si="3"/>
        <v>R8=68.01.14</v>
      </c>
      <c r="B162" s="1567" t="s">
        <v>5536</v>
      </c>
      <c r="C162" s="559" t="s">
        <v>4402</v>
      </c>
      <c r="D162" s="560" t="s">
        <v>7477</v>
      </c>
      <c r="E162" s="1159">
        <f>SUMIF('68'!C:C,$H162,'68'!L:L)+SUMIF('68'!C:C,$H162,'68'!O:O)</f>
        <v>0</v>
      </c>
      <c r="F162" s="40">
        <f>SUMIF('68'!C:C,$H162,'68'!AA:AA)+SUMIF('68'!C:C,$H162,'68'!AD:AD)</f>
        <v>0</v>
      </c>
      <c r="G162" s="46"/>
      <c r="H162" s="1562" t="s">
        <v>3370</v>
      </c>
      <c r="N162" s="2190"/>
    </row>
    <row r="163" spans="1:14" ht="29" outlineLevel="1">
      <c r="A163" s="2427" t="str">
        <f t="shared" si="3"/>
        <v>R8=68.01.15</v>
      </c>
      <c r="B163" s="1567" t="s">
        <v>5536</v>
      </c>
      <c r="C163" s="559" t="s">
        <v>7478</v>
      </c>
      <c r="D163" s="560" t="s">
        <v>4399</v>
      </c>
      <c r="E163" s="1159">
        <f>SUMIF('68'!C:C,$H163,'68'!L:L)+SUMIF('68'!C:C,$H163,'68'!O:O)</f>
        <v>0</v>
      </c>
      <c r="F163" s="40">
        <f>SUMIF('68'!C:C,$H163,'68'!AA:AA)+SUMIF('68'!C:C,$H163,'68'!AD:AD)</f>
        <v>0</v>
      </c>
      <c r="G163" s="46"/>
      <c r="H163" s="1562" t="s">
        <v>4904</v>
      </c>
      <c r="N163" s="2190"/>
    </row>
    <row r="164" spans="1:14" outlineLevel="1">
      <c r="A164" s="2427" t="str">
        <f t="shared" si="3"/>
        <v>R8=68.01.16</v>
      </c>
      <c r="B164" s="1567" t="s">
        <v>5536</v>
      </c>
      <c r="C164" s="559" t="s">
        <v>7479</v>
      </c>
      <c r="D164" s="560" t="s">
        <v>4401</v>
      </c>
      <c r="E164" s="1159">
        <f>SUMIF('68'!C:C,$H164,'68'!L:L)+SUMIF('68'!C:C,$H164,'68'!O:O)</f>
        <v>0</v>
      </c>
      <c r="F164" s="40">
        <f>SUMIF('68'!C:C,$H164,'68'!AA:AA)+SUMIF('68'!C:C,$H164,'68'!AD:AD)</f>
        <v>0</v>
      </c>
      <c r="G164" s="46"/>
      <c r="H164" s="1562" t="s">
        <v>8466</v>
      </c>
      <c r="N164" s="2190"/>
    </row>
    <row r="165" spans="1:14" outlineLevel="1">
      <c r="A165" s="2427" t="str">
        <f t="shared" si="3"/>
        <v>R8=68.01.21</v>
      </c>
      <c r="B165" s="1567"/>
      <c r="C165" s="559" t="s">
        <v>8044</v>
      </c>
      <c r="D165" s="560" t="s">
        <v>8042</v>
      </c>
      <c r="E165" s="1159">
        <f>SUMIF('68'!C:C,$H165,'68'!L:L)+SUMIF('68'!C:C,$H165,'68'!O:O)</f>
        <v>0</v>
      </c>
      <c r="F165" s="40">
        <f>SUMIF('68'!C:C,$H165,'68'!AA:AA)+SUMIF('68'!C:C,$H165,'68'!AD:AD)</f>
        <v>0</v>
      </c>
      <c r="G165" s="46"/>
      <c r="H165" s="1562" t="s">
        <v>7150</v>
      </c>
      <c r="N165" s="2190"/>
    </row>
    <row r="166" spans="1:14" ht="29" outlineLevel="1">
      <c r="A166" s="2427" t="str">
        <f t="shared" si="3"/>
        <v>R8=68.01.89</v>
      </c>
      <c r="B166" s="1567" t="s">
        <v>5536</v>
      </c>
      <c r="C166" s="559" t="s">
        <v>7480</v>
      </c>
      <c r="D166" s="560" t="s">
        <v>7481</v>
      </c>
      <c r="E166" s="1159">
        <f>SUMIF('68'!C:C,$H166,'68'!L:L)+SUMIF('68'!C:C,$H166,'68'!O:O)</f>
        <v>0</v>
      </c>
      <c r="F166" s="40">
        <f>SUMIF('68'!C:C,$H166,'68'!AA:AA)+SUMIF('68'!C:C,$H166,'68'!AD:AD)</f>
        <v>0</v>
      </c>
      <c r="G166" s="46"/>
      <c r="H166" s="1562" t="s">
        <v>7151</v>
      </c>
      <c r="N166" s="2190"/>
    </row>
    <row r="167" spans="1:14" outlineLevel="1">
      <c r="A167" s="2427" t="str">
        <f t="shared" si="3"/>
        <v>R8=68.01.99</v>
      </c>
      <c r="B167" s="1567"/>
      <c r="C167" s="559" t="s">
        <v>7482</v>
      </c>
      <c r="D167" s="560" t="s">
        <v>4659</v>
      </c>
      <c r="E167" s="1159">
        <f>SUMIF('68'!C:C,$H167,'68'!L:L)+SUMIF('68'!C:C,$H167,'68'!O:O)</f>
        <v>0</v>
      </c>
      <c r="F167" s="40">
        <f>SUMIF('68'!C:C,$H167,'68'!AA:AA)+SUMIF('68'!C:C,$H167,'68'!AD:AD)</f>
        <v>0</v>
      </c>
      <c r="G167" s="46"/>
      <c r="H167" s="1562" t="s">
        <v>4903</v>
      </c>
      <c r="N167" s="2190"/>
    </row>
    <row r="168" spans="1:14" outlineLevel="1">
      <c r="A168" s="2427" t="str">
        <f t="shared" si="3"/>
        <v>R8=68.02</v>
      </c>
      <c r="B168" s="1567" t="s">
        <v>5536</v>
      </c>
      <c r="C168" s="559" t="s">
        <v>4403</v>
      </c>
      <c r="D168" s="560" t="s">
        <v>4404</v>
      </c>
      <c r="E168" s="1159">
        <f>SUM(E169:E184)</f>
        <v>0</v>
      </c>
      <c r="F168" s="40">
        <f>SUM(F169:F184)</f>
        <v>0</v>
      </c>
      <c r="G168" s="46"/>
    </row>
    <row r="169" spans="1:14" outlineLevel="1">
      <c r="A169" s="2427" t="str">
        <f t="shared" si="3"/>
        <v>R8=68.02.1</v>
      </c>
      <c r="B169" s="1567" t="s">
        <v>5536</v>
      </c>
      <c r="C169" s="559" t="s">
        <v>4537</v>
      </c>
      <c r="D169" s="560" t="s">
        <v>4382</v>
      </c>
      <c r="E169" s="1159">
        <f>SUMIF('68'!C:C,$H169,'68'!K:K)+SUMIF('68'!C:C,$H169,'68'!N:N)</f>
        <v>0</v>
      </c>
      <c r="F169" s="40">
        <f>SUMIF('68'!C:C,$H169,'68'!Z:Z)+SUMIF('68'!C:C,$H169,'68'!AC:AC)</f>
        <v>0</v>
      </c>
      <c r="G169" s="46"/>
      <c r="H169" s="1562" t="s">
        <v>4914</v>
      </c>
      <c r="N169" s="2190"/>
    </row>
    <row r="170" spans="1:14" outlineLevel="1">
      <c r="A170" s="2427" t="str">
        <f t="shared" si="3"/>
        <v>R8=68.02.2</v>
      </c>
      <c r="B170" s="1567" t="s">
        <v>5536</v>
      </c>
      <c r="C170" s="559" t="s">
        <v>4538</v>
      </c>
      <c r="D170" s="560" t="s">
        <v>7487</v>
      </c>
      <c r="E170" s="1159">
        <f>SUMIF('68'!C:C,$H170,'68'!K:K)+SUMIF('68'!C:C,$H170,'68'!N:N)</f>
        <v>0</v>
      </c>
      <c r="F170" s="40">
        <f>SUMIF('68'!C:C,$H170,'68'!Z:Z)+SUMIF('68'!C:C,$H170,'68'!AC:AC)</f>
        <v>0</v>
      </c>
      <c r="G170" s="46"/>
      <c r="H170" s="1562" t="s">
        <v>4913</v>
      </c>
      <c r="N170" s="2190"/>
    </row>
    <row r="171" spans="1:14" outlineLevel="1">
      <c r="A171" s="2427" t="str">
        <f t="shared" si="3"/>
        <v>R8=68.02.3</v>
      </c>
      <c r="B171" s="1567" t="s">
        <v>5536</v>
      </c>
      <c r="C171" s="559" t="s">
        <v>4539</v>
      </c>
      <c r="D171" s="560" t="s">
        <v>4386</v>
      </c>
      <c r="E171" s="1159">
        <f>SUMIF('68'!C:C,$H171,'68'!K:K)+SUMIF('68'!C:C,$H171,'68'!N:N)</f>
        <v>0</v>
      </c>
      <c r="F171" s="40">
        <f>SUMIF('68'!C:C,$H171,'68'!Z:Z)+SUMIF('68'!C:C,$H171,'68'!AC:AC)</f>
        <v>0</v>
      </c>
      <c r="G171" s="46"/>
      <c r="H171" s="1562" t="s">
        <v>4912</v>
      </c>
      <c r="N171" s="2190"/>
    </row>
    <row r="172" spans="1:14" outlineLevel="1">
      <c r="A172" s="2427" t="str">
        <f t="shared" si="3"/>
        <v>R8=68.02.4</v>
      </c>
      <c r="B172" s="1567" t="s">
        <v>5536</v>
      </c>
      <c r="C172" s="559" t="s">
        <v>4540</v>
      </c>
      <c r="D172" s="560" t="s">
        <v>4388</v>
      </c>
      <c r="E172" s="1159">
        <f>SUMIF('68'!C:C,$H172,'68'!K:K)+SUMIF('68'!C:C,$H172,'68'!N:N)</f>
        <v>0</v>
      </c>
      <c r="F172" s="40">
        <f>SUMIF('68'!C:C,$H172,'68'!Z:Z)+SUMIF('68'!C:C,$H172,'68'!AC:AC)</f>
        <v>0</v>
      </c>
      <c r="G172" s="46"/>
      <c r="H172" s="1562" t="s">
        <v>4911</v>
      </c>
      <c r="N172" s="2190"/>
    </row>
    <row r="173" spans="1:14" outlineLevel="1">
      <c r="A173" s="2427" t="str">
        <f t="shared" si="3"/>
        <v>R8=68.02.5</v>
      </c>
      <c r="B173" s="1567" t="s">
        <v>5536</v>
      </c>
      <c r="C173" s="559" t="s">
        <v>4541</v>
      </c>
      <c r="D173" s="560" t="s">
        <v>7476</v>
      </c>
      <c r="E173" s="1159">
        <f>SUMIF('68'!C:C,$H173,'68'!K:K)+SUMIF('68'!C:C,$H173,'68'!N:N)</f>
        <v>0</v>
      </c>
      <c r="F173" s="40">
        <f>SUMIF('68'!C:C,$H173,'68'!Z:Z)+SUMIF('68'!C:C,$H173,'68'!AC:AC)</f>
        <v>0</v>
      </c>
      <c r="G173" s="46"/>
      <c r="H173" s="1562" t="s">
        <v>4910</v>
      </c>
      <c r="N173" s="2190"/>
    </row>
    <row r="174" spans="1:14" outlineLevel="1">
      <c r="A174" s="2427" t="str">
        <f t="shared" si="3"/>
        <v>R8=68.02.6</v>
      </c>
      <c r="B174" s="1567" t="s">
        <v>5536</v>
      </c>
      <c r="C174" s="559" t="s">
        <v>4542</v>
      </c>
      <c r="D174" s="560" t="s">
        <v>4398</v>
      </c>
      <c r="E174" s="1159">
        <f>SUMIF('68'!C:C,$H174,'68'!K:K)+SUMIF('68'!C:C,$H174,'68'!N:N)</f>
        <v>0</v>
      </c>
      <c r="F174" s="40">
        <f>SUMIF('68'!C:C,$H174,'68'!Z:Z)+SUMIF('68'!C:C,$H174,'68'!AC:AC)</f>
        <v>0</v>
      </c>
      <c r="G174" s="46"/>
      <c r="H174" s="1562" t="s">
        <v>4905</v>
      </c>
      <c r="N174" s="2190"/>
    </row>
    <row r="175" spans="1:14" outlineLevel="1">
      <c r="A175" s="2427" t="str">
        <f t="shared" si="3"/>
        <v>R8=68.02.7</v>
      </c>
      <c r="B175" s="1567" t="s">
        <v>5536</v>
      </c>
      <c r="C175" s="559" t="s">
        <v>4543</v>
      </c>
      <c r="D175" s="560" t="s">
        <v>4391</v>
      </c>
      <c r="E175" s="1159">
        <f>SUMIF('68'!C:C,$H175,'68'!K:K)+SUMIF('68'!C:C,$H175,'68'!N:N)</f>
        <v>0</v>
      </c>
      <c r="F175" s="40">
        <f>SUMIF('68'!C:C,$H175,'68'!Z:Z)+SUMIF('68'!C:C,$H175,'68'!AC:AC)</f>
        <v>0</v>
      </c>
      <c r="G175" s="46"/>
      <c r="H175" s="1562" t="s">
        <v>4909</v>
      </c>
      <c r="N175" s="2190"/>
    </row>
    <row r="176" spans="1:14" outlineLevel="1">
      <c r="A176" s="2427" t="str">
        <f t="shared" si="3"/>
        <v>R8=68.02.8</v>
      </c>
      <c r="B176" s="1567" t="s">
        <v>5536</v>
      </c>
      <c r="C176" s="559" t="s">
        <v>4544</v>
      </c>
      <c r="D176" s="560" t="s">
        <v>4393</v>
      </c>
      <c r="E176" s="1159">
        <f>SUMIF('68'!C:C,$H176,'68'!K:K)+SUMIF('68'!C:C,$H176,'68'!N:N)</f>
        <v>0</v>
      </c>
      <c r="F176" s="40">
        <f>SUMIF('68'!C:C,$H176,'68'!Z:Z)+SUMIF('68'!C:C,$H176,'68'!AC:AC)</f>
        <v>0</v>
      </c>
      <c r="G176" s="46"/>
      <c r="H176" s="1562" t="s">
        <v>4908</v>
      </c>
      <c r="N176" s="2190"/>
    </row>
    <row r="177" spans="1:14" outlineLevel="1">
      <c r="A177" s="2427" t="str">
        <f t="shared" si="3"/>
        <v>R8=68.02.11</v>
      </c>
      <c r="B177" s="1567" t="s">
        <v>5536</v>
      </c>
      <c r="C177" s="559" t="s">
        <v>4545</v>
      </c>
      <c r="D177" s="560" t="s">
        <v>4395</v>
      </c>
      <c r="E177" s="1159">
        <f>SUMIF('68'!C:C,$H177,'68'!K:K)+SUMIF('68'!C:C,$H177,'68'!N:N)</f>
        <v>0</v>
      </c>
      <c r="F177" s="40">
        <f>SUMIF('68'!C:C,$H177,'68'!Z:Z)+SUMIF('68'!C:C,$H177,'68'!AC:AC)</f>
        <v>0</v>
      </c>
      <c r="G177" s="46"/>
      <c r="H177" s="1562" t="s">
        <v>4907</v>
      </c>
      <c r="N177" s="2190"/>
    </row>
    <row r="178" spans="1:14" outlineLevel="1">
      <c r="A178" s="2427" t="str">
        <f t="shared" si="3"/>
        <v>R8=68.02.13</v>
      </c>
      <c r="B178" s="1567" t="s">
        <v>5536</v>
      </c>
      <c r="C178" s="559" t="s">
        <v>4546</v>
      </c>
      <c r="D178" s="560" t="s">
        <v>4396</v>
      </c>
      <c r="E178" s="1159">
        <f>SUMIF('68'!C:C,$H178,'68'!K:K)+SUMIF('68'!C:C,$H178,'68'!N:N)</f>
        <v>0</v>
      </c>
      <c r="F178" s="40">
        <f>SUMIF('68'!C:C,$H178,'68'!Z:Z)+SUMIF('68'!C:C,$H178,'68'!AC:AC)</f>
        <v>0</v>
      </c>
      <c r="G178" s="46"/>
      <c r="H178" s="1562" t="s">
        <v>4906</v>
      </c>
      <c r="N178" s="2190"/>
    </row>
    <row r="179" spans="1:14" outlineLevel="1">
      <c r="A179" s="2427" t="str">
        <f t="shared" si="3"/>
        <v>R8=68.02.14</v>
      </c>
      <c r="B179" s="1567" t="s">
        <v>5536</v>
      </c>
      <c r="C179" s="559" t="s">
        <v>4547</v>
      </c>
      <c r="D179" s="560" t="s">
        <v>7477</v>
      </c>
      <c r="E179" s="1159">
        <f>SUMIF('68'!C:C,$H179,'68'!K:K)+SUMIF('68'!C:C,$H179,'68'!N:N)</f>
        <v>0</v>
      </c>
      <c r="F179" s="40">
        <f>SUMIF('68'!C:C,$H179,'68'!Z:Z)+SUMIF('68'!C:C,$H179,'68'!AC:AC)</f>
        <v>0</v>
      </c>
      <c r="G179" s="46"/>
      <c r="H179" s="1562" t="s">
        <v>3370</v>
      </c>
      <c r="N179" s="2190"/>
    </row>
    <row r="180" spans="1:14" ht="29" outlineLevel="1">
      <c r="A180" s="2427" t="str">
        <f t="shared" si="3"/>
        <v>R8=68.02.15</v>
      </c>
      <c r="B180" s="1567" t="s">
        <v>5536</v>
      </c>
      <c r="C180" s="559" t="s">
        <v>7483</v>
      </c>
      <c r="D180" s="560" t="s">
        <v>4399</v>
      </c>
      <c r="E180" s="1159">
        <f>SUMIF('68'!C:C,$H180,'68'!K:K)+SUMIF('68'!C:C,$H180,'68'!N:N)</f>
        <v>0</v>
      </c>
      <c r="F180" s="40">
        <f>SUMIF('68'!C:C,$H180,'68'!Z:Z)+SUMIF('68'!C:C,$H180,'68'!AC:AC)</f>
        <v>0</v>
      </c>
      <c r="G180" s="46"/>
      <c r="H180" s="1562" t="s">
        <v>4904</v>
      </c>
      <c r="N180" s="2190"/>
    </row>
    <row r="181" spans="1:14" outlineLevel="1">
      <c r="A181" s="2427" t="str">
        <f t="shared" si="3"/>
        <v>R8=68.02.16</v>
      </c>
      <c r="B181" s="1567" t="s">
        <v>5536</v>
      </c>
      <c r="C181" s="559" t="s">
        <v>7484</v>
      </c>
      <c r="D181" s="560" t="s">
        <v>4401</v>
      </c>
      <c r="E181" s="1159">
        <f>SUMIF('68'!C:C,$H181,'68'!K:K)+SUMIF('68'!C:C,$H181,'68'!N:N)</f>
        <v>0</v>
      </c>
      <c r="F181" s="40">
        <f>SUMIF('68'!C:C,$H181,'68'!Z:Z)+SUMIF('68'!C:C,$H181,'68'!AC:AC)</f>
        <v>0</v>
      </c>
      <c r="G181" s="46"/>
      <c r="H181" s="1562" t="s">
        <v>8466</v>
      </c>
      <c r="N181" s="2190"/>
    </row>
    <row r="182" spans="1:14" outlineLevel="1">
      <c r="A182" s="2427" t="str">
        <f t="shared" si="3"/>
        <v>R8=68.02.21</v>
      </c>
      <c r="B182" s="1567"/>
      <c r="C182" s="559" t="s">
        <v>8043</v>
      </c>
      <c r="D182" s="560" t="s">
        <v>8042</v>
      </c>
      <c r="E182" s="1159">
        <f>SUMIF('68'!C:C,$H182,'68'!K:K)+SUMIF('68'!C:C,$H182,'68'!N:N)</f>
        <v>0</v>
      </c>
      <c r="F182" s="40">
        <f>SUMIF('68'!C:C,$H182,'68'!Z:Z)+SUMIF('68'!C:C,$H182,'68'!AC:AC)</f>
        <v>0</v>
      </c>
      <c r="G182" s="46"/>
      <c r="H182" s="1562" t="s">
        <v>7150</v>
      </c>
      <c r="N182" s="2190"/>
    </row>
    <row r="183" spans="1:14" ht="29" outlineLevel="1">
      <c r="A183" s="2427" t="str">
        <f t="shared" si="3"/>
        <v>R8=68.02.89</v>
      </c>
      <c r="B183" s="1567" t="s">
        <v>5536</v>
      </c>
      <c r="C183" s="559" t="s">
        <v>7485</v>
      </c>
      <c r="D183" s="560" t="s">
        <v>7481</v>
      </c>
      <c r="E183" s="1159">
        <f>SUMIF('68'!C:C,$H183,'68'!K:K)+SUMIF('68'!C:C,$H183,'68'!N:N)</f>
        <v>0</v>
      </c>
      <c r="F183" s="40">
        <f>SUMIF('68'!C:C,$H183,'68'!Z:Z)+SUMIF('68'!C:C,$H183,'68'!AC:AC)</f>
        <v>0</v>
      </c>
      <c r="G183" s="46"/>
      <c r="H183" s="1562" t="s">
        <v>7151</v>
      </c>
      <c r="N183" s="2190"/>
    </row>
    <row r="184" spans="1:14" outlineLevel="1">
      <c r="A184" s="2427" t="str">
        <f t="shared" si="3"/>
        <v>R8=68.02.99</v>
      </c>
      <c r="B184" s="1567"/>
      <c r="C184" s="559" t="s">
        <v>7486</v>
      </c>
      <c r="D184" s="560" t="s">
        <v>4659</v>
      </c>
      <c r="E184" s="1159">
        <f>SUMIF('68'!C:C,$H184,'68'!K:K)+SUMIF('68'!C:C,$H184,'68'!N:N)</f>
        <v>0</v>
      </c>
      <c r="F184" s="40">
        <f>SUMIF('68'!C:C,$H184,'68'!Z:Z)+SUMIF('68'!C:C,$H184,'68'!AC:AC)</f>
        <v>0</v>
      </c>
      <c r="G184" s="46"/>
      <c r="H184" s="1562" t="s">
        <v>4903</v>
      </c>
      <c r="N184" s="2190"/>
    </row>
    <row r="185" spans="1:14">
      <c r="A185" s="2427" t="str">
        <f t="shared" si="3"/>
        <v>R8=69</v>
      </c>
      <c r="B185" s="1567" t="s">
        <v>5536</v>
      </c>
      <c r="C185" s="1219">
        <v>69</v>
      </c>
      <c r="D185" s="1220" t="s">
        <v>4548</v>
      </c>
      <c r="E185" s="1210">
        <f>'69'!D10</f>
        <v>0</v>
      </c>
      <c r="F185" s="1211">
        <f>'69'!Q10</f>
        <v>0</v>
      </c>
      <c r="G185" s="1215"/>
      <c r="N185" s="2190"/>
    </row>
    <row r="186" spans="1:14">
      <c r="A186" s="2427" t="str">
        <f t="shared" si="3"/>
        <v>R8=70</v>
      </c>
      <c r="B186" s="1567" t="s">
        <v>5536</v>
      </c>
      <c r="C186" s="1219">
        <v>70</v>
      </c>
      <c r="D186" s="1220" t="s">
        <v>4549</v>
      </c>
      <c r="E186" s="1210">
        <f>Свод_по_счетам!E28+Свод_по_счетам!F28</f>
        <v>0</v>
      </c>
      <c r="F186" s="1211">
        <f>Свод_по_счетам!M28+Свод_по_счетам!N28</f>
        <v>0</v>
      </c>
      <c r="G186" s="1215"/>
      <c r="N186" s="2190"/>
    </row>
    <row r="187" spans="1:14" outlineLevel="1">
      <c r="A187" s="2427" t="str">
        <f t="shared" si="3"/>
        <v>R8=70,01</v>
      </c>
      <c r="B187" s="1567"/>
      <c r="C187" s="559">
        <v>70.010000000000005</v>
      </c>
      <c r="D187" s="560" t="s">
        <v>416</v>
      </c>
      <c r="E187" s="1159">
        <f>Свод_по_счетам!E28+Свод_по_счетам!F28</f>
        <v>0</v>
      </c>
      <c r="F187" s="40">
        <f>Свод_по_счетам!M28+Свод_по_счетам!N28</f>
        <v>0</v>
      </c>
      <c r="G187" s="46"/>
    </row>
    <row r="188" spans="1:14">
      <c r="A188" s="2427" t="str">
        <f t="shared" si="3"/>
        <v>R8=71</v>
      </c>
      <c r="B188" s="1567" t="s">
        <v>5536</v>
      </c>
      <c r="C188" s="1219">
        <v>71</v>
      </c>
      <c r="D188" s="1220" t="s">
        <v>4550</v>
      </c>
      <c r="E188" s="1210">
        <f>Свод_по_счетам!E29+Свод_по_счетам!F29</f>
        <v>0</v>
      </c>
      <c r="F188" s="1211">
        <f>Свод_по_счетам!M29+Свод_по_счетам!N29</f>
        <v>0</v>
      </c>
      <c r="G188" s="1215"/>
      <c r="N188" s="2190"/>
    </row>
    <row r="189" spans="1:14">
      <c r="A189" s="2427" t="str">
        <f t="shared" si="3"/>
        <v>R8=73</v>
      </c>
      <c r="B189" s="1567" t="s">
        <v>5536</v>
      </c>
      <c r="C189" s="1219">
        <v>73</v>
      </c>
      <c r="D189" s="1220" t="s">
        <v>4551</v>
      </c>
      <c r="E189" s="1210">
        <f>'73'!D9+'73'!G9</f>
        <v>0</v>
      </c>
      <c r="F189" s="1211">
        <f>'73'!Q9+'73'!T9</f>
        <v>0</v>
      </c>
      <c r="G189" s="1215"/>
      <c r="N189" s="2190"/>
    </row>
    <row r="190" spans="1:14" outlineLevel="1">
      <c r="A190" s="2427" t="str">
        <f t="shared" si="3"/>
        <v>R8=73.01</v>
      </c>
      <c r="B190" s="1567" t="s">
        <v>5536</v>
      </c>
      <c r="C190" s="559" t="s">
        <v>4552</v>
      </c>
      <c r="D190" s="560" t="s">
        <v>4553</v>
      </c>
      <c r="E190" s="1159">
        <f>'73'!D9+'73'!G9-'73'!E9-'73'!H9</f>
        <v>0</v>
      </c>
      <c r="F190" s="40">
        <f>'73'!Q9+'73'!T9-'73'!U9-'73'!R9</f>
        <v>0</v>
      </c>
      <c r="G190" s="46"/>
      <c r="N190" s="2190"/>
    </row>
    <row r="191" spans="1:14" outlineLevel="1">
      <c r="A191" s="2427" t="str">
        <f t="shared" si="3"/>
        <v>R8=73.02</v>
      </c>
      <c r="B191" s="1567" t="s">
        <v>5536</v>
      </c>
      <c r="C191" s="559" t="s">
        <v>4554</v>
      </c>
      <c r="D191" s="560" t="s">
        <v>4555</v>
      </c>
      <c r="E191" s="1159">
        <f>'73'!E9+'73'!H9</f>
        <v>0</v>
      </c>
      <c r="F191" s="40">
        <f>'73'!R9+'73'!U9</f>
        <v>0</v>
      </c>
      <c r="G191" s="46"/>
      <c r="N191" s="2190"/>
    </row>
    <row r="192" spans="1:14">
      <c r="A192" s="2427" t="str">
        <f t="shared" si="3"/>
        <v>R8=75</v>
      </c>
      <c r="B192" s="1567" t="s">
        <v>5536</v>
      </c>
      <c r="C192" s="1219">
        <v>75</v>
      </c>
      <c r="D192" s="1220" t="s">
        <v>4556</v>
      </c>
      <c r="E192" s="1210">
        <f>SUM(E193:E194)</f>
        <v>0</v>
      </c>
      <c r="F192" s="1211">
        <f>SUM(F193:F194)</f>
        <v>0</v>
      </c>
      <c r="G192" s="1215"/>
    </row>
    <row r="193" spans="1:14" outlineLevel="1">
      <c r="A193" s="2427" t="str">
        <f t="shared" si="3"/>
        <v>R8=75.01</v>
      </c>
      <c r="B193" s="1567" t="s">
        <v>5536</v>
      </c>
      <c r="C193" s="559" t="s">
        <v>4557</v>
      </c>
      <c r="D193" s="560" t="s">
        <v>4558</v>
      </c>
      <c r="E193" s="1159">
        <f>'75_01'!H9</f>
        <v>0</v>
      </c>
      <c r="F193" s="40">
        <f>'75_01'!P9</f>
        <v>0</v>
      </c>
      <c r="G193" s="46"/>
    </row>
    <row r="194" spans="1:14" outlineLevel="1">
      <c r="A194" s="2427" t="str">
        <f t="shared" si="3"/>
        <v>R8=75.02</v>
      </c>
      <c r="B194" s="1567" t="s">
        <v>5536</v>
      </c>
      <c r="C194" s="559" t="s">
        <v>4559</v>
      </c>
      <c r="D194" s="560" t="s">
        <v>4560</v>
      </c>
      <c r="E194" s="1159">
        <f>'75_02'!I8</f>
        <v>0</v>
      </c>
      <c r="F194" s="40">
        <f>'75_02'!R8</f>
        <v>0</v>
      </c>
      <c r="G194" s="46"/>
    </row>
    <row r="195" spans="1:14" outlineLevel="1">
      <c r="A195" s="2427" t="str">
        <f t="shared" si="3"/>
        <v>R8=75.01.1</v>
      </c>
      <c r="B195" s="1567"/>
      <c r="C195" s="559" t="s">
        <v>1005</v>
      </c>
      <c r="D195" s="560" t="s">
        <v>95</v>
      </c>
      <c r="E195" s="1159">
        <f>'75_01'!K9+'75_01'!I9</f>
        <v>0</v>
      </c>
      <c r="F195" s="40">
        <f>'75_01'!Q9+'75_01'!S9</f>
        <v>0</v>
      </c>
      <c r="G195" s="46"/>
    </row>
    <row r="196" spans="1:14" outlineLevel="1">
      <c r="A196" s="2427" t="str">
        <f t="shared" si="3"/>
        <v>R8=75.01.2</v>
      </c>
      <c r="B196" s="1567"/>
      <c r="C196" s="559" t="s">
        <v>1006</v>
      </c>
      <c r="D196" s="560" t="s">
        <v>96</v>
      </c>
      <c r="E196" s="1159">
        <f>'75_01'!J9</f>
        <v>0</v>
      </c>
      <c r="F196" s="40">
        <f>'75_01'!R9</f>
        <v>0</v>
      </c>
      <c r="G196" s="46"/>
    </row>
    <row r="197" spans="1:14">
      <c r="A197" s="2427" t="str">
        <f t="shared" si="3"/>
        <v>R8=76</v>
      </c>
      <c r="B197" s="1567" t="s">
        <v>5536</v>
      </c>
      <c r="C197" s="1219">
        <v>76</v>
      </c>
      <c r="D197" s="1220" t="s">
        <v>4561</v>
      </c>
      <c r="E197" s="1210">
        <f>'76'!F8+'76'!G8</f>
        <v>0</v>
      </c>
      <c r="F197" s="1211">
        <f>'76'!R8+'76'!S8</f>
        <v>0</v>
      </c>
      <c r="G197" s="1215"/>
    </row>
    <row r="198" spans="1:14" ht="14.25" customHeight="1" outlineLevel="1">
      <c r="A198" s="2427" t="str">
        <f t="shared" si="3"/>
        <v>R8=76.01</v>
      </c>
      <c r="B198" s="1567" t="s">
        <v>5536</v>
      </c>
      <c r="C198" s="559" t="s">
        <v>4562</v>
      </c>
      <c r="D198" s="560" t="s">
        <v>2064</v>
      </c>
      <c r="E198" s="1159">
        <f>E199+E202</f>
        <v>0</v>
      </c>
      <c r="F198" s="40">
        <f>F199+F202</f>
        <v>0</v>
      </c>
      <c r="G198" s="46"/>
      <c r="N198" s="2190"/>
    </row>
    <row r="199" spans="1:14" outlineLevel="1">
      <c r="A199" s="2427" t="str">
        <f t="shared" si="3"/>
        <v>R8=76.01.01</v>
      </c>
      <c r="B199" s="1567"/>
      <c r="C199" s="1162" t="s">
        <v>75</v>
      </c>
      <c r="D199" s="560" t="s">
        <v>77</v>
      </c>
      <c r="E199" s="1159">
        <f>SUM(E200:E201)</f>
        <v>0</v>
      </c>
      <c r="F199" s="40">
        <f>SUM(F200:F201)</f>
        <v>0</v>
      </c>
      <c r="G199" s="46"/>
    </row>
    <row r="200" spans="1:14" ht="29" outlineLevel="1">
      <c r="A200" s="2427" t="str">
        <f t="shared" si="3"/>
        <v>R8=76.01.01.1</v>
      </c>
      <c r="B200" s="1567"/>
      <c r="C200" s="1162" t="s">
        <v>85</v>
      </c>
      <c r="D200" s="560" t="s">
        <v>79</v>
      </c>
      <c r="E200" s="1159">
        <f>'76'!F8-'76'!H8</f>
        <v>0</v>
      </c>
      <c r="F200" s="40">
        <f>'76'!R8-'76'!T8</f>
        <v>0</v>
      </c>
      <c r="G200" s="46"/>
    </row>
    <row r="201" spans="1:14" ht="29" outlineLevel="1">
      <c r="A201" s="2427" t="str">
        <f t="shared" si="3"/>
        <v>R8=76.01.01.2</v>
      </c>
      <c r="B201" s="1567"/>
      <c r="C201" s="1162" t="s">
        <v>86</v>
      </c>
      <c r="D201" s="560" t="s">
        <v>80</v>
      </c>
      <c r="E201" s="1159">
        <f>'76'!G8-'76'!I8</f>
        <v>0</v>
      </c>
      <c r="F201" s="40">
        <f>'76'!S8-'76'!U8</f>
        <v>0</v>
      </c>
      <c r="G201" s="46"/>
    </row>
    <row r="202" spans="1:14" outlineLevel="1">
      <c r="A202" s="2427" t="str">
        <f t="shared" si="3"/>
        <v>R8=76.01.02</v>
      </c>
      <c r="B202" s="1567"/>
      <c r="C202" s="559" t="s">
        <v>76</v>
      </c>
      <c r="D202" s="560" t="s">
        <v>78</v>
      </c>
      <c r="E202" s="1159">
        <f>SUM(E203:E204)</f>
        <v>0</v>
      </c>
      <c r="F202" s="40">
        <f>SUM(F203:F204)</f>
        <v>0</v>
      </c>
      <c r="G202" s="46"/>
    </row>
    <row r="203" spans="1:14" outlineLevel="1">
      <c r="A203" s="2427" t="str">
        <f t="shared" si="3"/>
        <v>R8=76.01.02.1</v>
      </c>
      <c r="B203" s="1567"/>
      <c r="C203" s="559" t="s">
        <v>87</v>
      </c>
      <c r="D203" s="560" t="s">
        <v>81</v>
      </c>
      <c r="E203" s="1216">
        <f>'76'!H8</f>
        <v>0</v>
      </c>
      <c r="F203" s="1893">
        <f>'76'!T8</f>
        <v>0</v>
      </c>
      <c r="G203" s="46"/>
      <c r="N203" s="2190"/>
    </row>
    <row r="204" spans="1:14" outlineLevel="1">
      <c r="A204" s="2427" t="str">
        <f t="shared" si="3"/>
        <v>R8=76.01.02.2</v>
      </c>
      <c r="B204" s="1567"/>
      <c r="C204" s="559" t="s">
        <v>88</v>
      </c>
      <c r="D204" s="560" t="s">
        <v>82</v>
      </c>
      <c r="E204" s="1216">
        <f>'76'!I8</f>
        <v>0</v>
      </c>
      <c r="F204" s="1893">
        <f>'76'!U8</f>
        <v>0</v>
      </c>
      <c r="G204" s="46"/>
      <c r="N204" s="2191">
        <v>1450</v>
      </c>
    </row>
    <row r="205" spans="1:14">
      <c r="A205" s="2427" t="str">
        <f t="shared" si="3"/>
        <v>R8=77</v>
      </c>
      <c r="B205" s="1567" t="s">
        <v>5536</v>
      </c>
      <c r="C205" s="1219" t="s">
        <v>4563</v>
      </c>
      <c r="D205" s="1220" t="s">
        <v>4564</v>
      </c>
      <c r="E205" s="1210">
        <f>'77'!D8</f>
        <v>0</v>
      </c>
      <c r="F205" s="1211">
        <f>'77'!K8</f>
        <v>0</v>
      </c>
      <c r="G205" s="1215"/>
      <c r="N205" s="2190">
        <v>1420</v>
      </c>
    </row>
    <row r="206" spans="1:14">
      <c r="A206" s="2427" t="str">
        <f t="shared" si="3"/>
        <v>R8=78</v>
      </c>
      <c r="B206" s="1567" t="s">
        <v>5536</v>
      </c>
      <c r="C206" s="1219" t="s">
        <v>4565</v>
      </c>
      <c r="D206" s="1221" t="s">
        <v>4566</v>
      </c>
      <c r="E206" s="1210">
        <f>'78'!D9+'78'!E9</f>
        <v>0</v>
      </c>
      <c r="F206" s="1211">
        <f>'78'!M9</f>
        <v>0</v>
      </c>
      <c r="G206" s="1215"/>
      <c r="N206" s="2190"/>
    </row>
    <row r="207" spans="1:14">
      <c r="A207" s="2427" t="str">
        <f t="shared" si="3"/>
        <v>R8=80</v>
      </c>
      <c r="B207" s="1567" t="s">
        <v>5536</v>
      </c>
      <c r="C207" s="1219">
        <v>80</v>
      </c>
      <c r="D207" s="1220" t="s">
        <v>4567</v>
      </c>
      <c r="E207" s="1210">
        <f>'80'!D11</f>
        <v>0</v>
      </c>
      <c r="F207" s="1211">
        <f>'80'!Z11</f>
        <v>0</v>
      </c>
      <c r="G207" s="1215"/>
    </row>
    <row r="208" spans="1:14">
      <c r="A208" s="2427" t="str">
        <f t="shared" si="3"/>
        <v>R8=81</v>
      </c>
      <c r="B208" s="1567" t="s">
        <v>5536</v>
      </c>
      <c r="C208" s="1219">
        <v>81</v>
      </c>
      <c r="D208" s="1220" t="s">
        <v>4568</v>
      </c>
      <c r="E208" s="1210">
        <f>Свод_по_счетам!E30</f>
        <v>0</v>
      </c>
      <c r="F208" s="1211">
        <f>Свод_по_счетам!M30</f>
        <v>0</v>
      </c>
      <c r="G208" s="1215"/>
    </row>
    <row r="209" spans="1:7">
      <c r="A209" s="2427" t="str">
        <f t="shared" si="3"/>
        <v>R8=82</v>
      </c>
      <c r="B209" s="1567" t="s">
        <v>5536</v>
      </c>
      <c r="C209" s="1219">
        <v>82</v>
      </c>
      <c r="D209" s="1220" t="s">
        <v>4569</v>
      </c>
      <c r="E209" s="1210">
        <f>SUM(E210:E211)</f>
        <v>0</v>
      </c>
      <c r="F209" s="1211">
        <f>SUM(F210:F211)</f>
        <v>0</v>
      </c>
      <c r="G209" s="1215"/>
    </row>
    <row r="210" spans="1:7" outlineLevel="1">
      <c r="A210" s="2427" t="str">
        <f t="shared" si="3"/>
        <v>R8=82.01</v>
      </c>
      <c r="B210" s="1567" t="s">
        <v>5536</v>
      </c>
      <c r="C210" s="559" t="s">
        <v>4570</v>
      </c>
      <c r="D210" s="560" t="s">
        <v>4573</v>
      </c>
      <c r="E210" s="1159">
        <f>Свод_по_счетам!F31</f>
        <v>0</v>
      </c>
      <c r="F210" s="40">
        <f>Свод_по_счетам!N31</f>
        <v>0</v>
      </c>
      <c r="G210" s="46"/>
    </row>
    <row r="211" spans="1:7" outlineLevel="1">
      <c r="A211" s="2427" t="str">
        <f t="shared" ref="A211:A268" si="4">"R8="&amp;C211&amp;IFERROR(IF(SEARCH("(активы для продажи)",D211)&gt;0,".П",""),"")</f>
        <v>R8=82.02</v>
      </c>
      <c r="B211" s="1567" t="s">
        <v>5536</v>
      </c>
      <c r="C211" s="559" t="s">
        <v>4572</v>
      </c>
      <c r="D211" s="560" t="s">
        <v>4571</v>
      </c>
      <c r="E211" s="1159">
        <f>Свод_по_счетам!F32</f>
        <v>0</v>
      </c>
      <c r="F211" s="40">
        <f>Свод_по_счетам!N32</f>
        <v>0</v>
      </c>
      <c r="G211" s="46"/>
    </row>
    <row r="212" spans="1:7">
      <c r="A212" s="2427" t="str">
        <f t="shared" si="4"/>
        <v>R8=83</v>
      </c>
      <c r="B212" s="1567" t="s">
        <v>5536</v>
      </c>
      <c r="C212" s="1219">
        <v>83</v>
      </c>
      <c r="D212" s="1220" t="s">
        <v>4574</v>
      </c>
      <c r="E212" s="1210">
        <f>SUM(E213:E215)</f>
        <v>0</v>
      </c>
      <c r="F212" s="1211">
        <f>SUM(F213:F215)</f>
        <v>0</v>
      </c>
      <c r="G212" s="1215"/>
    </row>
    <row r="213" spans="1:7" outlineLevel="1">
      <c r="A213" s="2427" t="str">
        <f t="shared" si="4"/>
        <v>R8=83.01</v>
      </c>
      <c r="B213" s="1567" t="s">
        <v>5536</v>
      </c>
      <c r="C213" s="559" t="s">
        <v>4575</v>
      </c>
      <c r="D213" s="560" t="s">
        <v>4576</v>
      </c>
      <c r="E213" s="1159">
        <f>'83'!D12</f>
        <v>0</v>
      </c>
      <c r="F213" s="40">
        <f>'83'!P12</f>
        <v>0</v>
      </c>
      <c r="G213" s="46"/>
    </row>
    <row r="214" spans="1:7" outlineLevel="1">
      <c r="A214" s="2427" t="str">
        <f t="shared" si="4"/>
        <v>R8=83.02</v>
      </c>
      <c r="B214" s="1567" t="s">
        <v>5536</v>
      </c>
      <c r="C214" s="559" t="s">
        <v>4577</v>
      </c>
      <c r="D214" s="560" t="s">
        <v>4578</v>
      </c>
      <c r="E214" s="1159">
        <f>'83'!D15+'83'!D26+'83'!D27+'83'!D28+'83'!D29+'83'!D30+'83'!D31</f>
        <v>0</v>
      </c>
      <c r="F214" s="40">
        <f>'83'!P15+'83'!P26+'83'!P27+'83'!P28+'83'!P29+'83'!P30+'83'!P31</f>
        <v>0</v>
      </c>
      <c r="G214" s="46"/>
    </row>
    <row r="215" spans="1:7" outlineLevel="1">
      <c r="A215" s="2427" t="str">
        <f t="shared" si="4"/>
        <v>R8=83.03</v>
      </c>
      <c r="B215" s="1567"/>
      <c r="C215" s="559" t="s">
        <v>97</v>
      </c>
      <c r="D215" s="560" t="s">
        <v>98</v>
      </c>
      <c r="E215" s="1159">
        <f>'83'!D11</f>
        <v>0</v>
      </c>
      <c r="F215" s="40">
        <f>'83'!P11</f>
        <v>0</v>
      </c>
      <c r="G215" s="46"/>
    </row>
    <row r="216" spans="1:7">
      <c r="A216" s="2427" t="str">
        <f t="shared" si="4"/>
        <v>R8=84</v>
      </c>
      <c r="B216" s="1567" t="s">
        <v>5536</v>
      </c>
      <c r="C216" s="1219" t="s">
        <v>4579</v>
      </c>
      <c r="D216" s="1220" t="s">
        <v>4580</v>
      </c>
      <c r="E216" s="1210">
        <f>SUM(E217:E218)</f>
        <v>0</v>
      </c>
      <c r="F216" s="1211">
        <f>SUM(F217:F218)</f>
        <v>0</v>
      </c>
      <c r="G216" s="1215"/>
    </row>
    <row r="217" spans="1:7" outlineLevel="1">
      <c r="A217" s="2427" t="str">
        <f t="shared" si="4"/>
        <v>R8=84.01</v>
      </c>
      <c r="B217" s="1567" t="s">
        <v>5536</v>
      </c>
      <c r="C217" s="559" t="s">
        <v>4581</v>
      </c>
      <c r="D217" s="560" t="s">
        <v>4582</v>
      </c>
      <c r="E217" s="1159">
        <f>'84'!D12</f>
        <v>0</v>
      </c>
      <c r="F217" s="40">
        <f>'84'!V12</f>
        <v>0</v>
      </c>
      <c r="G217" s="46"/>
    </row>
    <row r="218" spans="1:7" outlineLevel="1">
      <c r="A218" s="2427" t="str">
        <f t="shared" si="4"/>
        <v>R8=84.02</v>
      </c>
      <c r="B218" s="1567" t="s">
        <v>5536</v>
      </c>
      <c r="C218" s="559" t="s">
        <v>4583</v>
      </c>
      <c r="D218" s="560" t="s">
        <v>4584</v>
      </c>
      <c r="E218" s="1159">
        <f>'84'!D13</f>
        <v>0</v>
      </c>
      <c r="F218" s="40">
        <f>'84'!V13</f>
        <v>0</v>
      </c>
      <c r="G218" s="46"/>
    </row>
    <row r="219" spans="1:7">
      <c r="A219" s="2427" t="str">
        <f t="shared" si="4"/>
        <v>R8=86</v>
      </c>
      <c r="B219" s="1567" t="s">
        <v>5536</v>
      </c>
      <c r="C219" s="1219" t="s">
        <v>4585</v>
      </c>
      <c r="D219" s="1220" t="s">
        <v>4586</v>
      </c>
      <c r="E219" s="1210">
        <f>'86'!L10</f>
        <v>0</v>
      </c>
      <c r="F219" s="1211">
        <f>'86'!AC10</f>
        <v>0</v>
      </c>
      <c r="G219" s="1215"/>
    </row>
    <row r="220" spans="1:7" outlineLevel="1">
      <c r="A220" s="2427" t="str">
        <f t="shared" si="4"/>
        <v>R8=86.01</v>
      </c>
      <c r="B220" s="1567" t="s">
        <v>5536</v>
      </c>
      <c r="C220" s="559" t="s">
        <v>4587</v>
      </c>
      <c r="D220" s="560" t="s">
        <v>4588</v>
      </c>
      <c r="E220" s="1159">
        <f>'86'!L11</f>
        <v>0</v>
      </c>
      <c r="F220" s="40">
        <f>'86'!AC11</f>
        <v>0</v>
      </c>
      <c r="G220" s="46"/>
    </row>
    <row r="221" spans="1:7" outlineLevel="1">
      <c r="A221" s="2427" t="str">
        <f t="shared" si="4"/>
        <v>R8=86.02</v>
      </c>
      <c r="B221" s="1567" t="s">
        <v>5536</v>
      </c>
      <c r="C221" s="559" t="s">
        <v>4589</v>
      </c>
      <c r="D221" s="560" t="s">
        <v>4590</v>
      </c>
      <c r="E221" s="1159">
        <f>'86'!L12</f>
        <v>0</v>
      </c>
      <c r="F221" s="40">
        <f>'86'!AC12</f>
        <v>0</v>
      </c>
      <c r="G221" s="46"/>
    </row>
    <row r="222" spans="1:7" outlineLevel="1">
      <c r="A222" s="2427" t="str">
        <f t="shared" si="4"/>
        <v>R8=86.03</v>
      </c>
      <c r="B222" s="1567" t="s">
        <v>5536</v>
      </c>
      <c r="C222" s="559" t="s">
        <v>4591</v>
      </c>
      <c r="D222" s="560" t="s">
        <v>4592</v>
      </c>
      <c r="E222" s="1159">
        <f>'86'!L13</f>
        <v>0</v>
      </c>
      <c r="F222" s="40">
        <f>'86'!AC13</f>
        <v>0</v>
      </c>
      <c r="G222" s="46"/>
    </row>
    <row r="223" spans="1:7" outlineLevel="1">
      <c r="A223" s="2427" t="str">
        <f t="shared" si="4"/>
        <v>R8=86.04</v>
      </c>
      <c r="B223" s="1567" t="s">
        <v>5536</v>
      </c>
      <c r="C223" s="559" t="s">
        <v>4593</v>
      </c>
      <c r="D223" s="560" t="s">
        <v>4594</v>
      </c>
      <c r="E223" s="1159">
        <f>'86'!L14</f>
        <v>0</v>
      </c>
      <c r="F223" s="40">
        <f>'86'!AC14</f>
        <v>0</v>
      </c>
      <c r="G223" s="46"/>
    </row>
    <row r="224" spans="1:7">
      <c r="A224" s="2427" t="str">
        <f t="shared" si="4"/>
        <v>R8=90</v>
      </c>
      <c r="B224" s="1567" t="s">
        <v>5536</v>
      </c>
      <c r="C224" s="559" t="s">
        <v>4595</v>
      </c>
      <c r="D224" s="560" t="s">
        <v>4596</v>
      </c>
      <c r="E224" s="1159"/>
      <c r="F224" s="1160"/>
      <c r="G224" s="46"/>
    </row>
    <row r="225" spans="1:7" outlineLevel="1">
      <c r="A225" s="2427" t="str">
        <f t="shared" si="4"/>
        <v>R8=90.01</v>
      </c>
      <c r="B225" s="1567" t="s">
        <v>5536</v>
      </c>
      <c r="C225" s="559" t="s">
        <v>4597</v>
      </c>
      <c r="D225" s="560" t="s">
        <v>4598</v>
      </c>
      <c r="E225" s="1159"/>
      <c r="F225" s="1160"/>
      <c r="G225" s="46"/>
    </row>
    <row r="226" spans="1:7" outlineLevel="1">
      <c r="A226" s="2427" t="str">
        <f t="shared" si="4"/>
        <v>R8=90.01.1</v>
      </c>
      <c r="B226" s="1567" t="s">
        <v>5536</v>
      </c>
      <c r="C226" s="559" t="s">
        <v>4599</v>
      </c>
      <c r="D226" s="560" t="s">
        <v>4600</v>
      </c>
      <c r="E226" s="1159"/>
      <c r="F226" s="1160"/>
      <c r="G226" s="46"/>
    </row>
    <row r="227" spans="1:7" outlineLevel="1">
      <c r="A227" s="2427" t="str">
        <f t="shared" si="4"/>
        <v>R8=90.01.2</v>
      </c>
      <c r="B227" s="1567" t="s">
        <v>5536</v>
      </c>
      <c r="C227" s="559" t="s">
        <v>4601</v>
      </c>
      <c r="D227" s="560" t="s">
        <v>4602</v>
      </c>
      <c r="E227" s="1159"/>
      <c r="F227" s="1160"/>
      <c r="G227" s="46"/>
    </row>
    <row r="228" spans="1:7" outlineLevel="1">
      <c r="A228" s="2427" t="str">
        <f t="shared" si="4"/>
        <v>R8=90.01.3</v>
      </c>
      <c r="B228" s="1567" t="s">
        <v>5536</v>
      </c>
      <c r="C228" s="559" t="s">
        <v>4603</v>
      </c>
      <c r="D228" s="560" t="s">
        <v>4604</v>
      </c>
      <c r="E228" s="1159"/>
      <c r="F228" s="1160"/>
      <c r="G228" s="46"/>
    </row>
    <row r="229" spans="1:7" outlineLevel="1">
      <c r="A229" s="2427" t="str">
        <f t="shared" si="4"/>
        <v>R8=90.02</v>
      </c>
      <c r="B229" s="1567" t="s">
        <v>5536</v>
      </c>
      <c r="C229" s="559" t="s">
        <v>4605</v>
      </c>
      <c r="D229" s="560" t="s">
        <v>4606</v>
      </c>
      <c r="E229" s="1159"/>
      <c r="F229" s="1160"/>
      <c r="G229" s="46"/>
    </row>
    <row r="230" spans="1:7" outlineLevel="1">
      <c r="A230" s="2427" t="str">
        <f t="shared" si="4"/>
        <v>R8=90.02.1</v>
      </c>
      <c r="B230" s="1567" t="s">
        <v>5536</v>
      </c>
      <c r="C230" s="559" t="s">
        <v>4607</v>
      </c>
      <c r="D230" s="560" t="s">
        <v>4608</v>
      </c>
      <c r="E230" s="1159"/>
      <c r="F230" s="40"/>
      <c r="G230" s="46"/>
    </row>
    <row r="231" spans="1:7" outlineLevel="1">
      <c r="A231" s="2427" t="str">
        <f t="shared" si="4"/>
        <v>R8=90.02.2</v>
      </c>
      <c r="B231" s="1567" t="s">
        <v>5536</v>
      </c>
      <c r="C231" s="559" t="s">
        <v>4609</v>
      </c>
      <c r="D231" s="560" t="s">
        <v>4610</v>
      </c>
      <c r="E231" s="1159"/>
      <c r="F231" s="40"/>
      <c r="G231" s="46"/>
    </row>
    <row r="232" spans="1:7" outlineLevel="1">
      <c r="A232" s="2427" t="str">
        <f t="shared" si="4"/>
        <v>R8=90.02.3</v>
      </c>
      <c r="B232" s="1567" t="s">
        <v>5536</v>
      </c>
      <c r="C232" s="559" t="s">
        <v>4611</v>
      </c>
      <c r="D232" s="560" t="s">
        <v>4612</v>
      </c>
      <c r="E232" s="1159"/>
      <c r="F232" s="40"/>
      <c r="G232" s="46"/>
    </row>
    <row r="233" spans="1:7" outlineLevel="1">
      <c r="A233" s="2427" t="str">
        <f t="shared" si="4"/>
        <v>R8=90.03</v>
      </c>
      <c r="B233" s="1567" t="s">
        <v>5536</v>
      </c>
      <c r="C233" s="561" t="s">
        <v>4613</v>
      </c>
      <c r="D233" s="560" t="s">
        <v>4384</v>
      </c>
      <c r="E233" s="1159"/>
      <c r="F233" s="40"/>
      <c r="G233" s="46"/>
    </row>
    <row r="234" spans="1:7" outlineLevel="1">
      <c r="A234" s="2427" t="str">
        <f t="shared" si="4"/>
        <v>R8=90.04</v>
      </c>
      <c r="B234" s="1567" t="s">
        <v>5536</v>
      </c>
      <c r="C234" s="559" t="s">
        <v>4614</v>
      </c>
      <c r="D234" s="560" t="s">
        <v>4386</v>
      </c>
      <c r="E234" s="1159"/>
      <c r="F234" s="40"/>
      <c r="G234" s="46"/>
    </row>
    <row r="235" spans="1:7" outlineLevel="1">
      <c r="A235" s="2427" t="str">
        <f t="shared" si="4"/>
        <v>R8=90.05</v>
      </c>
      <c r="B235" s="1567" t="s">
        <v>5536</v>
      </c>
      <c r="C235" s="559" t="s">
        <v>4615</v>
      </c>
      <c r="D235" s="560" t="s">
        <v>4616</v>
      </c>
      <c r="E235" s="1159"/>
      <c r="F235" s="40"/>
      <c r="G235" s="46"/>
    </row>
    <row r="236" spans="1:7" outlineLevel="1">
      <c r="A236" s="2427" t="str">
        <f t="shared" si="4"/>
        <v>R8=90.07</v>
      </c>
      <c r="B236" s="1567" t="s">
        <v>5536</v>
      </c>
      <c r="C236" s="559" t="s">
        <v>4617</v>
      </c>
      <c r="D236" s="560" t="s">
        <v>3393</v>
      </c>
      <c r="E236" s="1159"/>
      <c r="F236" s="40"/>
      <c r="G236" s="46"/>
    </row>
    <row r="237" spans="1:7" outlineLevel="1">
      <c r="A237" s="2427" t="str">
        <f t="shared" si="4"/>
        <v>R8=90.08</v>
      </c>
      <c r="B237" s="1567" t="s">
        <v>5536</v>
      </c>
      <c r="C237" s="559" t="s">
        <v>4618</v>
      </c>
      <c r="D237" s="560" t="s">
        <v>4619</v>
      </c>
      <c r="E237" s="1159"/>
      <c r="F237" s="40"/>
      <c r="G237" s="46"/>
    </row>
    <row r="238" spans="1:7" outlineLevel="1">
      <c r="A238" s="2427" t="str">
        <f t="shared" si="4"/>
        <v>R8=90.09</v>
      </c>
      <c r="B238" s="1567" t="s">
        <v>5536</v>
      </c>
      <c r="C238" s="559" t="s">
        <v>4620</v>
      </c>
      <c r="D238" s="560" t="s">
        <v>4621</v>
      </c>
      <c r="E238" s="1159"/>
      <c r="F238" s="40"/>
      <c r="G238" s="46"/>
    </row>
    <row r="239" spans="1:7">
      <c r="A239" s="2427" t="str">
        <f t="shared" si="4"/>
        <v>R8=91</v>
      </c>
      <c r="B239" s="1567" t="s">
        <v>5536</v>
      </c>
      <c r="C239" s="559" t="s">
        <v>4622</v>
      </c>
      <c r="D239" s="560" t="s">
        <v>4623</v>
      </c>
      <c r="E239" s="1159"/>
      <c r="F239" s="40"/>
      <c r="G239" s="46"/>
    </row>
    <row r="240" spans="1:7" outlineLevel="1">
      <c r="A240" s="2427" t="str">
        <f t="shared" si="4"/>
        <v>R8=91.01</v>
      </c>
      <c r="B240" s="1567" t="s">
        <v>5536</v>
      </c>
      <c r="C240" s="559" t="s">
        <v>4624</v>
      </c>
      <c r="D240" s="560" t="s">
        <v>4625</v>
      </c>
      <c r="E240" s="1159"/>
      <c r="F240" s="40"/>
      <c r="G240" s="46"/>
    </row>
    <row r="241" spans="1:14" outlineLevel="1">
      <c r="A241" s="2427" t="str">
        <f t="shared" si="4"/>
        <v>R8=91.02</v>
      </c>
      <c r="B241" s="1567" t="s">
        <v>5536</v>
      </c>
      <c r="C241" s="559" t="s">
        <v>4626</v>
      </c>
      <c r="D241" s="560" t="s">
        <v>4627</v>
      </c>
      <c r="E241" s="1159"/>
      <c r="F241" s="40"/>
      <c r="G241" s="46"/>
    </row>
    <row r="242" spans="1:14" outlineLevel="1">
      <c r="A242" s="2427" t="str">
        <f t="shared" si="4"/>
        <v>R8=91.09</v>
      </c>
      <c r="B242" s="1567" t="s">
        <v>5536</v>
      </c>
      <c r="C242" s="559" t="s">
        <v>4628</v>
      </c>
      <c r="D242" s="560" t="s">
        <v>4629</v>
      </c>
      <c r="E242" s="1159"/>
      <c r="F242" s="40"/>
      <c r="G242" s="46"/>
    </row>
    <row r="243" spans="1:14">
      <c r="A243" s="2427" t="str">
        <f t="shared" si="4"/>
        <v>R8=94</v>
      </c>
      <c r="B243" s="1567" t="s">
        <v>5536</v>
      </c>
      <c r="C243" s="1219" t="s">
        <v>4630</v>
      </c>
      <c r="D243" s="1220" t="s">
        <v>4631</v>
      </c>
      <c r="E243" s="1210">
        <f>Свод_по_счетам!E37</f>
        <v>0</v>
      </c>
      <c r="F243" s="1211">
        <f>Свод_по_счетам!M37</f>
        <v>0</v>
      </c>
      <c r="G243" s="1215"/>
      <c r="N243" s="2190">
        <v>1260</v>
      </c>
    </row>
    <row r="244" spans="1:14">
      <c r="A244" s="2427" t="str">
        <f t="shared" si="4"/>
        <v>R8=96</v>
      </c>
      <c r="B244" s="1567" t="s">
        <v>5536</v>
      </c>
      <c r="C244" s="1219">
        <v>96</v>
      </c>
      <c r="D244" s="1220" t="s">
        <v>4632</v>
      </c>
      <c r="E244" s="1210">
        <f>SUM(E245:E248)</f>
        <v>0</v>
      </c>
      <c r="F244" s="1211">
        <f>SUM(F245:F248)</f>
        <v>0</v>
      </c>
      <c r="G244" s="1215"/>
    </row>
    <row r="245" spans="1:14" outlineLevel="1">
      <c r="A245" s="2427" t="str">
        <f t="shared" si="4"/>
        <v>R8=96.01</v>
      </c>
      <c r="B245" s="1567" t="s">
        <v>5536</v>
      </c>
      <c r="C245" s="559" t="s">
        <v>4633</v>
      </c>
      <c r="D245" s="560" t="s">
        <v>6247</v>
      </c>
      <c r="E245" s="1159">
        <f>'96'!D10</f>
        <v>0</v>
      </c>
      <c r="F245" s="40">
        <f>'96'!P10</f>
        <v>0</v>
      </c>
      <c r="G245" s="46"/>
    </row>
    <row r="246" spans="1:14" outlineLevel="1">
      <c r="A246" s="2427" t="str">
        <f t="shared" si="4"/>
        <v>R8=96.02</v>
      </c>
      <c r="B246" s="1567" t="s">
        <v>5536</v>
      </c>
      <c r="C246" s="559" t="s">
        <v>4634</v>
      </c>
      <c r="D246" s="560" t="s">
        <v>6248</v>
      </c>
      <c r="E246" s="1159">
        <f>'96'!D36</f>
        <v>0</v>
      </c>
      <c r="F246" s="40">
        <f>'96'!P36</f>
        <v>0</v>
      </c>
      <c r="G246" s="46"/>
    </row>
    <row r="247" spans="1:14" outlineLevel="1">
      <c r="A247" s="2427" t="str">
        <f t="shared" si="4"/>
        <v>R8=96.03</v>
      </c>
      <c r="B247" s="1567" t="s">
        <v>5536</v>
      </c>
      <c r="C247" s="559" t="s">
        <v>4635</v>
      </c>
      <c r="D247" s="560" t="s">
        <v>4636</v>
      </c>
      <c r="E247" s="1159">
        <f>'96'!D49</f>
        <v>0</v>
      </c>
      <c r="F247" s="40">
        <f>'96'!P49</f>
        <v>0</v>
      </c>
      <c r="G247" s="46"/>
    </row>
    <row r="248" spans="1:14" outlineLevel="1">
      <c r="A248" s="2427" t="str">
        <f t="shared" si="4"/>
        <v>R8=96.04</v>
      </c>
      <c r="B248" s="1567" t="s">
        <v>5536</v>
      </c>
      <c r="C248" s="559" t="s">
        <v>8862</v>
      </c>
      <c r="D248" s="560" t="s">
        <v>8863</v>
      </c>
      <c r="E248" s="1159">
        <f>'96'!D63</f>
        <v>0</v>
      </c>
      <c r="F248" s="40">
        <f>'96'!P63</f>
        <v>0</v>
      </c>
      <c r="G248" s="46"/>
    </row>
    <row r="249" spans="1:14">
      <c r="A249" s="2427" t="str">
        <f t="shared" si="4"/>
        <v>R8=97</v>
      </c>
      <c r="B249" s="1567" t="s">
        <v>5536</v>
      </c>
      <c r="C249" s="1219">
        <v>97</v>
      </c>
      <c r="D249" s="1220" t="s">
        <v>4637</v>
      </c>
      <c r="E249" s="1210">
        <f>'97'!D9</f>
        <v>0</v>
      </c>
      <c r="F249" s="1211">
        <f>'97'!R9</f>
        <v>0</v>
      </c>
      <c r="G249" s="1215"/>
    </row>
    <row r="250" spans="1:14" outlineLevel="1">
      <c r="A250" s="2427" t="str">
        <f t="shared" si="4"/>
        <v>R8=97.01</v>
      </c>
      <c r="B250" s="1567" t="s">
        <v>5536</v>
      </c>
      <c r="C250" s="559" t="s">
        <v>4638</v>
      </c>
      <c r="D250" s="560" t="s">
        <v>4639</v>
      </c>
      <c r="E250" s="1159">
        <f>'97'!D9-'97'!E9</f>
        <v>0</v>
      </c>
      <c r="F250" s="40">
        <f>'97'!T9</f>
        <v>0</v>
      </c>
      <c r="G250" s="46"/>
      <c r="N250" s="2190">
        <v>1260</v>
      </c>
    </row>
    <row r="251" spans="1:14" outlineLevel="1">
      <c r="A251" s="2427" t="str">
        <f t="shared" si="4"/>
        <v>R8=97.02</v>
      </c>
      <c r="B251" s="1567" t="s">
        <v>5536</v>
      </c>
      <c r="C251" s="559" t="s">
        <v>4640</v>
      </c>
      <c r="D251" s="560" t="s">
        <v>4641</v>
      </c>
      <c r="E251" s="1159">
        <f>'97'!E9</f>
        <v>0</v>
      </c>
      <c r="F251" s="40">
        <f>'97'!S9</f>
        <v>0</v>
      </c>
      <c r="G251" s="46"/>
      <c r="N251" s="2192">
        <v>1190</v>
      </c>
    </row>
    <row r="252" spans="1:14">
      <c r="A252" s="2427" t="str">
        <f t="shared" si="4"/>
        <v>R8=98</v>
      </c>
      <c r="B252" s="1567" t="s">
        <v>5536</v>
      </c>
      <c r="C252" s="1219" t="s">
        <v>4642</v>
      </c>
      <c r="D252" s="1220" t="s">
        <v>4643</v>
      </c>
      <c r="E252" s="1210">
        <f>SUM(E253,E263,E262,E265,E264)</f>
        <v>0</v>
      </c>
      <c r="F252" s="1211">
        <f>SUM(F253,F263,F262,F265,F264)</f>
        <v>0</v>
      </c>
      <c r="G252" s="1215"/>
    </row>
    <row r="253" spans="1:14" outlineLevel="1">
      <c r="A253" s="2427" t="str">
        <f t="shared" si="4"/>
        <v>R8=98.01</v>
      </c>
      <c r="B253" s="1567" t="s">
        <v>5536</v>
      </c>
      <c r="C253" s="41" t="s">
        <v>4644</v>
      </c>
      <c r="D253" s="42" t="s">
        <v>4586</v>
      </c>
      <c r="E253" s="1159">
        <f>SUM(E254:E261)</f>
        <v>0</v>
      </c>
      <c r="F253" s="40">
        <f>SUM(F254:F261)</f>
        <v>0</v>
      </c>
      <c r="G253" s="46"/>
    </row>
    <row r="254" spans="1:14" outlineLevel="1">
      <c r="A254" s="2427" t="str">
        <f t="shared" si="4"/>
        <v>R8=98.01.1.1</v>
      </c>
      <c r="B254" s="1567" t="s">
        <v>5536</v>
      </c>
      <c r="C254" s="41" t="s">
        <v>7891</v>
      </c>
      <c r="D254" s="42" t="s">
        <v>7892</v>
      </c>
      <c r="E254" s="1159">
        <f>'98_01'!I11</f>
        <v>0</v>
      </c>
      <c r="F254" s="40">
        <f>'98_01'!X11</f>
        <v>0</v>
      </c>
      <c r="G254" s="46"/>
    </row>
    <row r="255" spans="1:14" outlineLevel="1">
      <c r="A255" s="2427" t="str">
        <f t="shared" si="4"/>
        <v>R8=98.01.1.2</v>
      </c>
      <c r="B255" s="1567"/>
      <c r="C255" s="41" t="s">
        <v>7893</v>
      </c>
      <c r="D255" s="42" t="s">
        <v>7894</v>
      </c>
      <c r="E255" s="1159">
        <f>'98_01'!J11</f>
        <v>0</v>
      </c>
      <c r="F255" s="40">
        <f>'98_01'!Y11</f>
        <v>0</v>
      </c>
      <c r="G255" s="46"/>
    </row>
    <row r="256" spans="1:14" outlineLevel="1">
      <c r="A256" s="2427" t="str">
        <f t="shared" si="4"/>
        <v>R8=98.01.2.1</v>
      </c>
      <c r="B256" s="1567" t="s">
        <v>5536</v>
      </c>
      <c r="C256" s="41" t="s">
        <v>7895</v>
      </c>
      <c r="D256" s="42" t="s">
        <v>7896</v>
      </c>
      <c r="E256" s="1159">
        <f>'98_01'!I12</f>
        <v>0</v>
      </c>
      <c r="F256" s="40">
        <f>'98_01'!X12</f>
        <v>0</v>
      </c>
      <c r="G256" s="46"/>
      <c r="N256" s="2190">
        <v>1530</v>
      </c>
    </row>
    <row r="257" spans="1:14" outlineLevel="1">
      <c r="A257" s="2427" t="str">
        <f t="shared" si="4"/>
        <v>R8=98.01.2.2</v>
      </c>
      <c r="B257" s="1567"/>
      <c r="C257" s="41" t="s">
        <v>7897</v>
      </c>
      <c r="D257" s="42" t="s">
        <v>7898</v>
      </c>
      <c r="E257" s="1159">
        <f>'98_01'!J12</f>
        <v>0</v>
      </c>
      <c r="F257" s="40">
        <f>'98_01'!Y12</f>
        <v>0</v>
      </c>
      <c r="G257" s="46"/>
      <c r="N257" s="2190"/>
    </row>
    <row r="258" spans="1:14" outlineLevel="1">
      <c r="A258" s="2427" t="str">
        <f t="shared" si="4"/>
        <v>R8=98.01.3.1</v>
      </c>
      <c r="B258" s="1567" t="s">
        <v>5536</v>
      </c>
      <c r="C258" s="41" t="s">
        <v>7899</v>
      </c>
      <c r="D258" s="42" t="s">
        <v>7900</v>
      </c>
      <c r="E258" s="1159">
        <f>'98_01'!I13</f>
        <v>0</v>
      </c>
      <c r="F258" s="40">
        <f>'98_01'!X13</f>
        <v>0</v>
      </c>
      <c r="G258" s="46"/>
      <c r="N258" s="2190"/>
    </row>
    <row r="259" spans="1:14" outlineLevel="1">
      <c r="A259" s="2427" t="str">
        <f t="shared" si="4"/>
        <v>R8=98.01.3.2</v>
      </c>
      <c r="B259" s="1567"/>
      <c r="C259" s="41" t="s">
        <v>7915</v>
      </c>
      <c r="D259" s="42" t="s">
        <v>7901</v>
      </c>
      <c r="E259" s="1159">
        <f>'98_01'!J13</f>
        <v>0</v>
      </c>
      <c r="F259" s="40">
        <f>'98_01'!Y13</f>
        <v>0</v>
      </c>
      <c r="G259" s="46"/>
      <c r="N259" s="2190"/>
    </row>
    <row r="260" spans="1:14" outlineLevel="1">
      <c r="A260" s="2427" t="str">
        <f t="shared" si="4"/>
        <v>R8=98.01.4.1</v>
      </c>
      <c r="B260" s="1567" t="s">
        <v>5536</v>
      </c>
      <c r="C260" s="41" t="s">
        <v>7902</v>
      </c>
      <c r="D260" s="42" t="s">
        <v>7903</v>
      </c>
      <c r="E260" s="1159">
        <f>'98_01'!I14</f>
        <v>0</v>
      </c>
      <c r="F260" s="40">
        <f>'98_01'!X14</f>
        <v>0</v>
      </c>
      <c r="G260" s="46"/>
      <c r="N260" s="2190">
        <v>1530</v>
      </c>
    </row>
    <row r="261" spans="1:14" outlineLevel="1">
      <c r="A261" s="2427" t="str">
        <f t="shared" si="4"/>
        <v>R8=98.01.4.2</v>
      </c>
      <c r="B261" s="1567"/>
      <c r="C261" s="41" t="s">
        <v>7904</v>
      </c>
      <c r="D261" s="42" t="s">
        <v>7905</v>
      </c>
      <c r="E261" s="1159">
        <f>'98_01'!J14</f>
        <v>0</v>
      </c>
      <c r="F261" s="40">
        <f>'98_01'!Y14</f>
        <v>0</v>
      </c>
      <c r="G261" s="46"/>
      <c r="N261" s="2190"/>
    </row>
    <row r="262" spans="1:14" outlineLevel="1">
      <c r="A262" s="2427" t="str">
        <f t="shared" si="4"/>
        <v>R8=98.02.1</v>
      </c>
      <c r="B262" s="1567" t="s">
        <v>5536</v>
      </c>
      <c r="C262" s="41" t="s">
        <v>7906</v>
      </c>
      <c r="D262" s="42" t="s">
        <v>7907</v>
      </c>
      <c r="E262" s="1159">
        <f>'98_02'!I10</f>
        <v>0</v>
      </c>
      <c r="F262" s="40">
        <f>'98_02'!R10</f>
        <v>0</v>
      </c>
      <c r="G262" s="46"/>
      <c r="N262" s="2190">
        <v>1530</v>
      </c>
    </row>
    <row r="263" spans="1:14" outlineLevel="1">
      <c r="A263" s="2427" t="str">
        <f t="shared" si="4"/>
        <v>R8=98.02.2</v>
      </c>
      <c r="B263" s="1567"/>
      <c r="C263" s="41" t="s">
        <v>7908</v>
      </c>
      <c r="D263" s="42" t="s">
        <v>7909</v>
      </c>
      <c r="E263" s="1159">
        <f>'98_02'!J10</f>
        <v>0</v>
      </c>
      <c r="F263" s="40">
        <f>'98_02'!S10</f>
        <v>0</v>
      </c>
      <c r="G263" s="46"/>
      <c r="N263" s="2190"/>
    </row>
    <row r="264" spans="1:14" outlineLevel="1">
      <c r="A264" s="2427" t="str">
        <f t="shared" si="4"/>
        <v>R8=98.04.1</v>
      </c>
      <c r="B264" s="1567" t="s">
        <v>5536</v>
      </c>
      <c r="C264" s="41" t="s">
        <v>7910</v>
      </c>
      <c r="D264" s="42" t="s">
        <v>7911</v>
      </c>
      <c r="E264" s="1159">
        <f>'98_04'!H10</f>
        <v>0</v>
      </c>
      <c r="F264" s="40">
        <f>'98_04'!O10</f>
        <v>0</v>
      </c>
      <c r="G264" s="46"/>
    </row>
    <row r="265" spans="1:14" outlineLevel="1">
      <c r="A265" s="2427" t="str">
        <f t="shared" si="4"/>
        <v>R8=98.04.2</v>
      </c>
      <c r="B265" s="1567"/>
      <c r="C265" s="41" t="s">
        <v>7912</v>
      </c>
      <c r="D265" s="42" t="s">
        <v>7913</v>
      </c>
      <c r="E265" s="1159">
        <f>'98_04'!I10</f>
        <v>0</v>
      </c>
      <c r="F265" s="40">
        <f>'98_04'!P10</f>
        <v>0</v>
      </c>
      <c r="G265" s="46"/>
    </row>
    <row r="266" spans="1:14">
      <c r="A266" s="2427" t="str">
        <f t="shared" si="4"/>
        <v>R8=99</v>
      </c>
      <c r="B266" s="1567" t="s">
        <v>5536</v>
      </c>
      <c r="C266" s="1213" t="s">
        <v>4645</v>
      </c>
      <c r="D266" s="1214" t="s">
        <v>4646</v>
      </c>
      <c r="E266" s="1210">
        <f>SUM(E267:E268)</f>
        <v>0</v>
      </c>
      <c r="F266" s="1211">
        <f>SUM(F267:F268)</f>
        <v>0</v>
      </c>
      <c r="G266" s="1215"/>
    </row>
    <row r="267" spans="1:14" outlineLevel="1">
      <c r="A267" s="2427" t="str">
        <f t="shared" si="4"/>
        <v>R8=99.01</v>
      </c>
      <c r="B267" s="1567" t="s">
        <v>5536</v>
      </c>
      <c r="C267" s="41" t="s">
        <v>4647</v>
      </c>
      <c r="D267" s="42" t="s">
        <v>4648</v>
      </c>
      <c r="E267" s="1159">
        <f>'99'!C9</f>
        <v>0</v>
      </c>
      <c r="F267" s="40">
        <f>'99'!P9</f>
        <v>0</v>
      </c>
      <c r="G267" s="46"/>
    </row>
    <row r="268" spans="1:14" ht="15" outlineLevel="1" thickBot="1">
      <c r="A268" s="2427" t="str">
        <f t="shared" si="4"/>
        <v>R8=99.02</v>
      </c>
      <c r="B268" s="1567" t="s">
        <v>5536</v>
      </c>
      <c r="C268" s="50" t="s">
        <v>4649</v>
      </c>
      <c r="D268" s="51" t="s">
        <v>4650</v>
      </c>
      <c r="E268" s="1222"/>
      <c r="F268" s="1223"/>
      <c r="G268" s="52"/>
    </row>
    <row r="269" spans="1:14">
      <c r="A269" s="1563"/>
      <c r="B269" s="1163"/>
      <c r="C269" s="1564"/>
      <c r="D269" s="2195" t="s">
        <v>14985</v>
      </c>
      <c r="E269" s="3567" t="b">
        <f>ABS(SUM(E266+E252+E249+E244+E243+E219+E216+E212+E209+E208+E207+E206+E205+E197+E192+E189+E188+E186+E185+E150+E146+E142+E128+E121+E112+E104+E93+E92+E91+E90+E89+E86+E85+E80+E79+E78+E77+E74+E73+E72+E71+E70+E69+E66+E60+E54+E44+E43+E42+E41+E40+E33+E32+E31+E27+E26+E22+E21+E20+E18+E17+E12+E11+E10+E9))&lt;=2</f>
        <v>1</v>
      </c>
      <c r="F269" s="3567" t="b">
        <f>ABS(SUM(F266+F252+F249+F244+F243+F219+F216+F212+F209+F208+F207+F206+F205+F197+F192+F189+F188+F186+F185+F150+F146+F142+F128+F121+F112+F104+F93+F92+F91+F90+F89+F86+F85+F80+F79+F78+F77+F74+F73+F72+F71+F70+F69+F66+F60+F54+F44+F43+F42+F41+F40+F33+F32+F31+F27+F26+F22+F21+F20+F18+F17+F12+F11+F10+F9))&lt;=2</f>
        <v>1</v>
      </c>
      <c r="G269" s="1562"/>
      <c r="H269" s="1563"/>
      <c r="M269" s="1574"/>
      <c r="N269" s="2129"/>
    </row>
    <row r="270" spans="1:14">
      <c r="A270" s="1563"/>
      <c r="B270" s="1163"/>
      <c r="C270" s="1564"/>
      <c r="D270" s="2195"/>
      <c r="E270" s="1163"/>
      <c r="G270" s="1562"/>
      <c r="H270" s="1563"/>
      <c r="M270" s="1574"/>
      <c r="N270" s="2129"/>
    </row>
    <row r="271" spans="1:14">
      <c r="A271" s="1563"/>
      <c r="B271" s="1163"/>
      <c r="C271" s="1564"/>
      <c r="D271" s="1563"/>
      <c r="E271" s="1163"/>
      <c r="G271" s="1562"/>
      <c r="H271" s="1563"/>
      <c r="M271" s="1574"/>
      <c r="N271" s="2129"/>
    </row>
    <row r="272" spans="1:14">
      <c r="A272" s="1563"/>
      <c r="B272" s="1163"/>
      <c r="C272" s="1564"/>
      <c r="D272" s="1563"/>
      <c r="E272" s="1163"/>
      <c r="G272" s="1562"/>
      <c r="H272" s="1563"/>
      <c r="M272" s="1574"/>
      <c r="N272" s="2129"/>
    </row>
    <row r="273" spans="1:14">
      <c r="A273" s="1563"/>
      <c r="B273" s="1163"/>
      <c r="C273" s="1564"/>
      <c r="D273" s="3533"/>
      <c r="E273" s="3533"/>
      <c r="F273" s="3533"/>
      <c r="G273" s="1562"/>
      <c r="H273" s="1563"/>
      <c r="M273" s="1574"/>
      <c r="N273" s="2129"/>
    </row>
    <row r="274" spans="1:14">
      <c r="A274" s="1563"/>
      <c r="B274" s="1163"/>
      <c r="C274" s="1564"/>
      <c r="D274" s="1563"/>
      <c r="E274" s="1163"/>
      <c r="G274" s="1562"/>
      <c r="H274" s="1563"/>
      <c r="M274" s="1574"/>
      <c r="N274" s="2129"/>
    </row>
    <row r="275" spans="1:14">
      <c r="A275" s="1563"/>
      <c r="B275" s="1163"/>
      <c r="C275" s="1564"/>
      <c r="D275" s="1563"/>
      <c r="E275" s="1163"/>
      <c r="G275" s="1562"/>
      <c r="H275" s="1563"/>
      <c r="M275" s="1574"/>
      <c r="N275" s="2129"/>
    </row>
    <row r="276" spans="1:14">
      <c r="A276" s="1563"/>
      <c r="B276" s="1163"/>
      <c r="C276" s="1564"/>
      <c r="D276" s="1563"/>
      <c r="E276" s="1163"/>
      <c r="G276" s="1562"/>
      <c r="H276" s="1563"/>
      <c r="M276" s="1574"/>
      <c r="N276" s="2129"/>
    </row>
    <row r="277" spans="1:14">
      <c r="A277" s="1563"/>
      <c r="B277" s="1163"/>
      <c r="C277" s="1564"/>
      <c r="D277" s="1563"/>
      <c r="E277" s="1163"/>
      <c r="G277" s="1562"/>
      <c r="H277" s="1563"/>
      <c r="M277" s="1574"/>
      <c r="N277" s="2129"/>
    </row>
    <row r="278" spans="1:14">
      <c r="A278" s="1563"/>
      <c r="B278" s="1163"/>
      <c r="C278" s="1564"/>
      <c r="D278" s="1563"/>
      <c r="E278" s="1163"/>
      <c r="G278" s="1562"/>
      <c r="H278" s="1563"/>
      <c r="M278" s="1574"/>
      <c r="N278" s="2129"/>
    </row>
    <row r="279" spans="1:14">
      <c r="A279" s="1563"/>
      <c r="B279" s="1163"/>
      <c r="C279" s="1564"/>
      <c r="D279" s="1563"/>
      <c r="E279" s="1163"/>
      <c r="G279" s="1562"/>
      <c r="H279" s="1563"/>
      <c r="M279" s="1574"/>
      <c r="N279" s="2129"/>
    </row>
    <row r="280" spans="1:14">
      <c r="A280" s="1563"/>
      <c r="B280" s="1163"/>
      <c r="C280" s="1564"/>
      <c r="D280" s="1563"/>
      <c r="E280" s="1163"/>
      <c r="G280" s="1562"/>
      <c r="H280" s="1563"/>
      <c r="M280" s="1574"/>
      <c r="N280" s="2129"/>
    </row>
    <row r="281" spans="1:14">
      <c r="A281" s="1563"/>
      <c r="B281" s="1163"/>
      <c r="C281" s="1564"/>
      <c r="D281" s="1563"/>
      <c r="E281" s="1163"/>
      <c r="G281" s="1562"/>
      <c r="H281" s="1563"/>
      <c r="M281" s="1574"/>
      <c r="N281" s="2129"/>
    </row>
    <row r="282" spans="1:14">
      <c r="A282" s="1563"/>
      <c r="B282" s="1163"/>
      <c r="C282" s="1564"/>
      <c r="D282" s="1563"/>
      <c r="E282" s="1163"/>
      <c r="G282" s="1562"/>
      <c r="H282" s="1563"/>
      <c r="M282" s="1574"/>
      <c r="N282" s="2129"/>
    </row>
    <row r="283" spans="1:14">
      <c r="A283" s="1563"/>
      <c r="B283" s="1163"/>
      <c r="C283" s="1564"/>
      <c r="D283" s="1563"/>
      <c r="E283" s="1163"/>
      <c r="G283" s="1562"/>
      <c r="H283" s="1563"/>
      <c r="M283" s="1574"/>
      <c r="N283" s="2129"/>
    </row>
    <row r="284" spans="1:14">
      <c r="A284" s="1563"/>
      <c r="B284" s="1163"/>
      <c r="C284" s="1564"/>
      <c r="D284" s="1563"/>
      <c r="E284" s="1163"/>
      <c r="G284" s="1562"/>
      <c r="H284" s="1563"/>
      <c r="M284" s="1574"/>
      <c r="N284" s="2129"/>
    </row>
    <row r="285" spans="1:14">
      <c r="A285" s="1563"/>
      <c r="B285" s="1163"/>
      <c r="C285" s="1564"/>
      <c r="D285" s="1563"/>
      <c r="E285" s="1163"/>
      <c r="G285" s="1562"/>
      <c r="H285" s="1563"/>
      <c r="M285" s="1574"/>
      <c r="N285" s="2129"/>
    </row>
    <row r="286" spans="1:14">
      <c r="A286" s="1563"/>
      <c r="B286" s="1163"/>
      <c r="C286" s="1564"/>
      <c r="D286" s="1563"/>
      <c r="E286" s="1163"/>
      <c r="G286" s="1562"/>
      <c r="H286" s="1563"/>
      <c r="M286" s="1574"/>
      <c r="N286" s="2129"/>
    </row>
    <row r="287" spans="1:14">
      <c r="A287" s="1563"/>
      <c r="B287" s="1163"/>
      <c r="C287" s="1564"/>
      <c r="D287" s="1563"/>
      <c r="E287" s="1163"/>
      <c r="G287" s="1562"/>
      <c r="H287" s="1563"/>
      <c r="M287" s="1574"/>
      <c r="N287" s="2129"/>
    </row>
    <row r="288" spans="1:14">
      <c r="A288" s="1563"/>
      <c r="B288" s="1163"/>
      <c r="C288" s="1564"/>
      <c r="D288" s="1563"/>
      <c r="E288" s="1163"/>
      <c r="G288" s="1562"/>
      <c r="H288" s="1563"/>
      <c r="M288" s="1574"/>
      <c r="N288" s="2129"/>
    </row>
  </sheetData>
  <sheetProtection algorithmName="SHA-512" hashValue="jeLSCUf1l8l+Bmhlkmv6uUaL9DzTNEbPevI5pa7frgmlyO2P2u5fNbQrLEc1LhPKKZf6zHcWrpBBvAbPqSQ/8g==" saltValue="P6CDeI9khy7bpuBd0M215g==" spinCount="100000" sheet="1" objects="1" scenarios="1" formatColumns="0" formatRows="0" autoFilter="0"/>
  <autoFilter ref="A8:N269"/>
  <customSheetViews>
    <customSheetView guid="{3769259D-9653-4B34-A2F6-4FB6F9F4E533}" scale="85" showGridLines="0" showAutoFilter="1" hiddenRows="1" hiddenColumns="1" topLeftCell="B221">
      <selection activeCell="B255" sqref="A255:IV255"/>
      <pageMargins left="0.7" right="0.7" top="0.75" bottom="0.75" header="0.3" footer="0.3"/>
      <pageSetup paperSize="9" orientation="portrait" r:id="rId1"/>
      <autoFilter ref="B1:O1"/>
    </customSheetView>
    <customSheetView guid="{40D7A2BB-326C-4ED3-999C-17852F56D6F4}" scale="85" showGridLines="0" showAutoFilter="1" hiddenRows="1" hiddenColumns="1" topLeftCell="B221">
      <selection activeCell="B255" sqref="A255:IV255"/>
      <pageMargins left="0.7" right="0.7" top="0.75" bottom="0.75" header="0.3" footer="0.3"/>
      <pageSetup paperSize="9" orientation="portrait" r:id="rId2"/>
      <autoFilter ref="B1:O1"/>
    </customSheetView>
    <customSheetView guid="{5D121940-0CE8-4A0E-A493-67FAAA6E0FF8}" scale="70" showGridLines="0" showAutoFilter="1" hiddenRows="1" hiddenColumns="1" topLeftCell="B90">
      <selection activeCell="D98" sqref="D98"/>
      <pageMargins left="0.7" right="0.7" top="0.75" bottom="0.75" header="0.3" footer="0.3"/>
      <pageSetup paperSize="9" orientation="portrait" r:id="rId3"/>
      <autoFilter ref="B1:O1"/>
    </customSheetView>
    <customSheetView guid="{47AEACC4-6EA5-412C-AF39-A6C5357B313A}" scale="70" showGridLines="0" showAutoFilter="1" hiddenRows="1" hiddenColumns="1" topLeftCell="B3">
      <selection activeCell="B2" sqref="A1:IV65536"/>
      <pageMargins left="0.7" right="0.7" top="0.75" bottom="0.75" header="0.3" footer="0.3"/>
      <pageSetup paperSize="9" orientation="portrait" r:id="rId4"/>
      <autoFilter ref="B1:O1"/>
    </customSheetView>
    <customSheetView guid="{4D957B38-5430-481E-B791-E0A66F913B50}" scale="70">
      <selection activeCell="A39" sqref="A39:A230"/>
      <pageMargins left="0.7" right="0.7" top="0.75" bottom="0.75" header="0.3" footer="0.3"/>
      <pageSetup paperSize="9" orientation="portrait" r:id="rId5"/>
    </customSheetView>
    <customSheetView guid="{D03DFE91-19D2-43BA-897C-B86D033537EB}" scale="70" topLeftCell="A58">
      <selection activeCell="E76" sqref="E76"/>
      <pageMargins left="0.7" right="0.7" top="0.75" bottom="0.75" header="0.3" footer="0.3"/>
      <pageSetup paperSize="9" orientation="portrait" r:id="rId6"/>
    </customSheetView>
    <customSheetView guid="{1C36793E-2B7E-411E-AA99-985D5D59B75A}" scale="85" topLeftCell="B45">
      <selection activeCell="F64" sqref="F64"/>
      <pageMargins left="0.7" right="0.7" top="0.75" bottom="0.75" header="0.3" footer="0.3"/>
      <pageSetup paperSize="9" orientation="portrait" r:id="rId7"/>
    </customSheetView>
    <customSheetView guid="{C913A9E8-661B-40A4-A3C9-1BC5F2B2E9F0}" scale="70" showGridLines="0" showAutoFilter="1" hiddenRows="1" hiddenColumns="1" topLeftCell="B90">
      <selection activeCell="D98" sqref="D98"/>
      <pageMargins left="0.7" right="0.7" top="0.75" bottom="0.75" header="0.3" footer="0.3"/>
      <pageSetup paperSize="9" orientation="portrait" r:id="rId8"/>
      <autoFilter ref="B1:O1"/>
    </customSheetView>
  </customSheetViews>
  <mergeCells count="5">
    <mergeCell ref="C3:E3"/>
    <mergeCell ref="E5:F5"/>
    <mergeCell ref="G5:G6"/>
    <mergeCell ref="C5:C6"/>
    <mergeCell ref="D5:D6"/>
  </mergeCells>
  <phoneticPr fontId="0" type="noConversion"/>
  <dataValidations disablePrompts="1" count="1">
    <dataValidation operator="equal" allowBlank="1" showErrorMessage="1" errorTitle="Выбор элемента списка" error="Данного элемента нет в списке" sqref="H164:H165 H181:H182"/>
  </dataValidations>
  <hyperlinks>
    <hyperlink ref="F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0" fitToHeight="2" orientation="portrait" r:id="rId9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D66"/>
  <sheetViews>
    <sheetView topLeftCell="B2" zoomScale="58" zoomScaleNormal="58" workbookViewId="0">
      <selection activeCell="E18" sqref="E18"/>
    </sheetView>
  </sheetViews>
  <sheetFormatPr defaultColWidth="9.453125" defaultRowHeight="14.5"/>
  <cols>
    <col min="1" max="1" width="7" style="1163" hidden="1" customWidth="1"/>
    <col min="2" max="2" width="5.54296875" style="1163" customWidth="1"/>
    <col min="3" max="3" width="7.54296875" style="1163" customWidth="1"/>
    <col min="4" max="4" width="51.453125" style="1163" customWidth="1"/>
    <col min="5" max="10" width="16.453125" style="1163" customWidth="1"/>
    <col min="11" max="11" width="9.453125" style="1163"/>
    <col min="12" max="12" width="19" style="1163" customWidth="1"/>
    <col min="13" max="13" width="18.453125" style="1163" bestFit="1" customWidth="1"/>
    <col min="14" max="14" width="4" style="1163" customWidth="1"/>
    <col min="15" max="16" width="15.54296875" style="1163" customWidth="1"/>
    <col min="17" max="17" width="4" style="1163" customWidth="1"/>
    <col min="18" max="18" width="28.54296875" style="1163" customWidth="1"/>
    <col min="19" max="19" width="18.453125" style="1163" customWidth="1"/>
    <col min="20" max="16384" width="9.453125" style="1163"/>
  </cols>
  <sheetData>
    <row r="1" spans="1:30" ht="23.25" hidden="1" customHeight="1">
      <c r="A1" s="1163" t="s">
        <v>742</v>
      </c>
      <c r="E1" s="1163" t="s">
        <v>670</v>
      </c>
      <c r="I1" s="1163" t="s">
        <v>1010</v>
      </c>
      <c r="Y1" s="1163" t="s">
        <v>671</v>
      </c>
      <c r="AD1" s="1163" t="s">
        <v>720</v>
      </c>
    </row>
    <row r="2" spans="1:30" ht="26.5" thickBot="1">
      <c r="B2" s="113"/>
      <c r="C2" s="113"/>
      <c r="D2"/>
      <c r="E2" s="1897" t="s">
        <v>2067</v>
      </c>
      <c r="F2" s="1244">
        <f>Содержание!$D$2</f>
        <v>0</v>
      </c>
      <c r="G2" s="1897" t="s">
        <v>2075</v>
      </c>
      <c r="H2" s="1244" t="str">
        <f>Содержание!$D$15</f>
        <v>2022 год</v>
      </c>
      <c r="I2" s="3044" t="s">
        <v>1436</v>
      </c>
      <c r="R2" s="1163" t="b">
        <f>AND(R5:R66)</f>
        <v>1</v>
      </c>
      <c r="S2" s="1163" t="b">
        <f>AND(S5:S66)</f>
        <v>1</v>
      </c>
    </row>
    <row r="3" spans="1:30" ht="31.4" customHeight="1" thickBot="1">
      <c r="B3" s="113"/>
      <c r="C3" s="3694" t="s">
        <v>3402</v>
      </c>
      <c r="D3" s="3691" t="s">
        <v>3381</v>
      </c>
      <c r="E3" s="3698" t="s">
        <v>4652</v>
      </c>
      <c r="F3" s="3698"/>
      <c r="G3" s="3698"/>
      <c r="H3" s="3698"/>
      <c r="I3" s="3698"/>
      <c r="J3" s="3699"/>
      <c r="L3" s="1791" t="s">
        <v>3403</v>
      </c>
      <c r="M3" s="1792" t="s">
        <v>3404</v>
      </c>
      <c r="O3" s="3689" t="s">
        <v>3400</v>
      </c>
      <c r="P3" s="3692"/>
      <c r="R3" s="3691" t="s">
        <v>4957</v>
      </c>
      <c r="S3" s="3674" t="s">
        <v>1360</v>
      </c>
    </row>
    <row r="4" spans="1:30" ht="26">
      <c r="B4" s="113"/>
      <c r="C4" s="3697"/>
      <c r="D4" s="3700"/>
      <c r="E4" s="3700" t="s">
        <v>3403</v>
      </c>
      <c r="F4" s="3700"/>
      <c r="G4" s="396" t="s">
        <v>4955</v>
      </c>
      <c r="H4" s="396" t="s">
        <v>4956</v>
      </c>
      <c r="I4" s="3700" t="s">
        <v>3404</v>
      </c>
      <c r="J4" s="3701"/>
      <c r="L4" s="1793" t="s">
        <v>5234</v>
      </c>
      <c r="M4" s="1794" t="s">
        <v>4163</v>
      </c>
      <c r="O4" s="333" t="s">
        <v>3403</v>
      </c>
      <c r="P4" s="334" t="s">
        <v>4653</v>
      </c>
      <c r="R4" s="3700"/>
      <c r="S4" s="3702"/>
    </row>
    <row r="5" spans="1:30">
      <c r="B5" s="113"/>
      <c r="C5" s="335" t="s">
        <v>3405</v>
      </c>
      <c r="D5" s="53" t="s">
        <v>3406</v>
      </c>
      <c r="E5" s="55"/>
      <c r="F5" s="56"/>
      <c r="G5" s="56"/>
      <c r="H5" s="56"/>
      <c r="I5" s="56"/>
      <c r="J5" s="57"/>
      <c r="L5" s="329">
        <f>E5-F5</f>
        <v>0</v>
      </c>
      <c r="M5" s="330">
        <f>I5-J5</f>
        <v>0</v>
      </c>
      <c r="O5" s="329">
        <f>SUMIF(ОСВ_авт!$C$9:$C$268,ОСВ_система!$C$5,ОСВ_авт!$E$9:$E$268)</f>
        <v>0</v>
      </c>
      <c r="P5" s="330">
        <f>SUMIF(ОСВ_авт!$C$9:$C$268,ОСВ_система!$C$5,ОСВ_авт!$F$9:$F$268)</f>
        <v>0</v>
      </c>
      <c r="R5" s="329" t="b">
        <f>IF(AND(ABS(L5-O5)&lt;=1,ABS(M5-P5)&lt;=1),TRUE,FALSE)</f>
        <v>1</v>
      </c>
      <c r="S5" s="330" t="b">
        <f>ABS(L5+G5-H5-M5)&lt;=1</f>
        <v>1</v>
      </c>
    </row>
    <row r="6" spans="1:30">
      <c r="B6" s="113"/>
      <c r="C6" s="335" t="s">
        <v>3407</v>
      </c>
      <c r="D6" s="53" t="s">
        <v>3408</v>
      </c>
      <c r="E6" s="55"/>
      <c r="F6" s="56"/>
      <c r="G6" s="56"/>
      <c r="H6" s="56"/>
      <c r="I6" s="56"/>
      <c r="J6" s="57"/>
      <c r="L6" s="329">
        <f>E6-F6</f>
        <v>0</v>
      </c>
      <c r="M6" s="330">
        <f t="shared" ref="M6:M66" si="0">I6-J6</f>
        <v>0</v>
      </c>
      <c r="O6" s="329">
        <f>VLOOKUP($C6,ОСВ_авт!$C$9:$F$268,3,0)+VLOOKUP($C6,ОСВ_авт!$C$17:$F$268,3,0)</f>
        <v>0</v>
      </c>
      <c r="P6" s="330">
        <f>VLOOKUP($C6,ОСВ_авт!$C$9:$F$268,4,0)+VLOOKUP($C6,ОСВ_авт!$C$17:$F$268,4,0)</f>
        <v>0</v>
      </c>
      <c r="R6" s="329" t="b">
        <f t="shared" ref="R6:R20" si="1">IF(AND(ABS(L6-O6)&lt;=1,ABS(M6-P6)&lt;=1),TRUE,FALSE)</f>
        <v>1</v>
      </c>
      <c r="S6" s="330" t="b">
        <f t="shared" ref="S6:S66" si="2">ABS(L6+G6-H6-M6)&lt;=1</f>
        <v>1</v>
      </c>
    </row>
    <row r="7" spans="1:30">
      <c r="B7" s="113"/>
      <c r="C7" s="335" t="s">
        <v>3413</v>
      </c>
      <c r="D7" s="53" t="s">
        <v>3414</v>
      </c>
      <c r="E7" s="55"/>
      <c r="F7" s="56"/>
      <c r="G7" s="56"/>
      <c r="H7" s="56"/>
      <c r="I7" s="57"/>
      <c r="J7" s="57"/>
      <c r="L7" s="329">
        <f t="shared" ref="L7:L66" si="3">E7-F7</f>
        <v>0</v>
      </c>
      <c r="M7" s="330">
        <f t="shared" si="0"/>
        <v>0</v>
      </c>
      <c r="O7" s="3598">
        <f>VLOOKUP($C7,ОСВ_авт!$C$9:$F$268,3,0)+VLOOKUP($C7,ОСВ_авт!$C$20:$F$268,3,0)+VLOOKUP($C7,ОСВ_авт!$C$21:$F$268,3,0)</f>
        <v>0</v>
      </c>
      <c r="P7" s="3599">
        <f>VLOOKUP($C7,ОСВ_авт!$C$9:$F$268,4,0)+VLOOKUP($C7,ОСВ_авт!$C$20:$F$268,4,0)+VLOOKUP($C7,ОСВ_авт!$C$21:$F$268,4,0)</f>
        <v>0</v>
      </c>
      <c r="R7" s="329" t="b">
        <f t="shared" si="1"/>
        <v>1</v>
      </c>
      <c r="S7" s="330" t="b">
        <f t="shared" si="2"/>
        <v>1</v>
      </c>
    </row>
    <row r="8" spans="1:30">
      <c r="B8" s="113"/>
      <c r="C8" s="335" t="s">
        <v>3415</v>
      </c>
      <c r="D8" s="53" t="s">
        <v>3416</v>
      </c>
      <c r="E8" s="55"/>
      <c r="F8" s="56"/>
      <c r="G8" s="56"/>
      <c r="H8" s="56"/>
      <c r="I8" s="56"/>
      <c r="J8" s="57"/>
      <c r="L8" s="329">
        <f t="shared" si="3"/>
        <v>0</v>
      </c>
      <c r="M8" s="330">
        <f t="shared" si="0"/>
        <v>0</v>
      </c>
      <c r="O8" s="329">
        <f>VLOOKUP($C8,ОСВ_авт!$C$9:$F$268,3,0)+VLOOKUP($C8,ОСВ_авт!$C$26:$F$268,3,0)</f>
        <v>0</v>
      </c>
      <c r="P8" s="330">
        <f>VLOOKUP($C8,ОСВ_авт!$C$9:$F$268,4,0)+VLOOKUP($C8,ОСВ_авт!$C$26:$F$268,4,0)</f>
        <v>0</v>
      </c>
      <c r="R8" s="329" t="b">
        <f t="shared" si="1"/>
        <v>1</v>
      </c>
      <c r="S8" s="330" t="b">
        <f t="shared" si="2"/>
        <v>1</v>
      </c>
    </row>
    <row r="9" spans="1:30">
      <c r="B9" s="113"/>
      <c r="C9" s="335" t="s">
        <v>3422</v>
      </c>
      <c r="D9" s="53" t="s">
        <v>3423</v>
      </c>
      <c r="E9" s="55"/>
      <c r="F9" s="56"/>
      <c r="G9" s="56"/>
      <c r="H9" s="56"/>
      <c r="I9" s="56"/>
      <c r="J9" s="57"/>
      <c r="L9" s="329">
        <f t="shared" si="3"/>
        <v>0</v>
      </c>
      <c r="M9" s="330">
        <f t="shared" si="0"/>
        <v>0</v>
      </c>
      <c r="O9" s="329">
        <f>VLOOKUP($C9,ОСВ_авт!$C$9:$F$268,3,0)+VLOOKUP($C9,ОСВ_авт!$C$31:$F$268,3,0)</f>
        <v>0</v>
      </c>
      <c r="P9" s="330">
        <f>VLOOKUP($C9,ОСВ_авт!$C$9:$F$268,4,0)+VLOOKUP($C9,ОСВ_авт!$C$31:$F$268,4,0)</f>
        <v>0</v>
      </c>
      <c r="R9" s="329" t="b">
        <f t="shared" si="1"/>
        <v>1</v>
      </c>
      <c r="S9" s="330" t="b">
        <f t="shared" si="2"/>
        <v>1</v>
      </c>
    </row>
    <row r="10" spans="1:30">
      <c r="B10" s="113"/>
      <c r="C10" s="335" t="s">
        <v>3428</v>
      </c>
      <c r="D10" s="53" t="s">
        <v>3429</v>
      </c>
      <c r="E10" s="55"/>
      <c r="F10" s="56"/>
      <c r="G10" s="56"/>
      <c r="H10" s="56"/>
      <c r="I10" s="56"/>
      <c r="J10" s="57"/>
      <c r="L10" s="329">
        <f t="shared" si="3"/>
        <v>0</v>
      </c>
      <c r="M10" s="330">
        <f t="shared" si="0"/>
        <v>0</v>
      </c>
      <c r="O10" s="329">
        <f>VLOOKUP($C10,ОСВ_авт!$C$9:$F$268,3,0)</f>
        <v>0</v>
      </c>
      <c r="P10" s="330">
        <f>VLOOKUP($C10,ОСВ_авт!$C$9:$F$268,4,0)</f>
        <v>0</v>
      </c>
      <c r="R10" s="329" t="b">
        <f t="shared" si="1"/>
        <v>1</v>
      </c>
      <c r="S10" s="330" t="b">
        <f t="shared" si="2"/>
        <v>1</v>
      </c>
    </row>
    <row r="11" spans="1:30">
      <c r="B11" s="113"/>
      <c r="C11" s="335" t="s">
        <v>3430</v>
      </c>
      <c r="D11" s="53" t="s">
        <v>3431</v>
      </c>
      <c r="E11" s="55"/>
      <c r="F11" s="56"/>
      <c r="G11" s="56"/>
      <c r="H11" s="56"/>
      <c r="I11" s="56"/>
      <c r="J11" s="57"/>
      <c r="L11" s="329">
        <f t="shared" si="3"/>
        <v>0</v>
      </c>
      <c r="M11" s="330">
        <f t="shared" si="0"/>
        <v>0</v>
      </c>
      <c r="O11" s="329">
        <f>VLOOKUP($C11,ОСВ_авт!$C$9:$F$268,3,0)+VLOOKUP($C11,ОСВ_авт!$C$40:$F$268,3,0)</f>
        <v>0</v>
      </c>
      <c r="P11" s="330">
        <f>VLOOKUP($C11,ОСВ_авт!$C$9:$F$268,4,0)+VLOOKUP($C11,ОСВ_авт!$C$40:$F$268,4,0)</f>
        <v>0</v>
      </c>
      <c r="R11" s="329" t="b">
        <f t="shared" si="1"/>
        <v>1</v>
      </c>
      <c r="S11" s="330" t="b">
        <f t="shared" si="2"/>
        <v>1</v>
      </c>
    </row>
    <row r="12" spans="1:30">
      <c r="B12" s="113"/>
      <c r="C12" s="335" t="s">
        <v>3432</v>
      </c>
      <c r="D12" s="53" t="s">
        <v>3433</v>
      </c>
      <c r="E12" s="55"/>
      <c r="F12" s="56"/>
      <c r="G12" s="56"/>
      <c r="H12" s="56"/>
      <c r="I12" s="56"/>
      <c r="J12" s="57"/>
      <c r="L12" s="329">
        <f t="shared" si="3"/>
        <v>0</v>
      </c>
      <c r="M12" s="330">
        <f t="shared" si="0"/>
        <v>0</v>
      </c>
      <c r="O12" s="329">
        <f>VLOOKUP($C12,ОСВ_авт!$C$9:$F$268,3,0)</f>
        <v>0</v>
      </c>
      <c r="P12" s="330">
        <f>VLOOKUP($C12,ОСВ_авт!$C$9:$F$268,4,0)</f>
        <v>0</v>
      </c>
      <c r="R12" s="329" t="b">
        <f t="shared" si="1"/>
        <v>1</v>
      </c>
      <c r="S12" s="330" t="b">
        <f t="shared" si="2"/>
        <v>1</v>
      </c>
    </row>
    <row r="13" spans="1:30">
      <c r="B13" s="113"/>
      <c r="C13" s="335" t="s">
        <v>3387</v>
      </c>
      <c r="D13" s="53" t="s">
        <v>3434</v>
      </c>
      <c r="E13" s="55"/>
      <c r="F13" s="56"/>
      <c r="G13" s="56"/>
      <c r="H13" s="56"/>
      <c r="I13" s="56"/>
      <c r="J13" s="57"/>
      <c r="L13" s="329">
        <f t="shared" si="3"/>
        <v>0</v>
      </c>
      <c r="M13" s="330">
        <f t="shared" si="0"/>
        <v>0</v>
      </c>
      <c r="O13" s="329">
        <f>VLOOKUP($C13,ОСВ_авт!$C$9:$F$268,3,0)</f>
        <v>0</v>
      </c>
      <c r="P13" s="330">
        <f>VLOOKUP($C13,ОСВ_авт!$C$9:$F$268,4,0)</f>
        <v>0</v>
      </c>
      <c r="R13" s="329" t="b">
        <f t="shared" si="1"/>
        <v>1</v>
      </c>
      <c r="S13" s="330" t="b">
        <f t="shared" si="2"/>
        <v>1</v>
      </c>
    </row>
    <row r="14" spans="1:30">
      <c r="B14" s="113"/>
      <c r="C14" s="335" t="s">
        <v>3435</v>
      </c>
      <c r="D14" s="53" t="s">
        <v>3436</v>
      </c>
      <c r="E14" s="55"/>
      <c r="F14" s="56"/>
      <c r="G14" s="56"/>
      <c r="H14" s="56"/>
      <c r="I14" s="56"/>
      <c r="J14" s="57"/>
      <c r="L14" s="329">
        <f t="shared" si="3"/>
        <v>0</v>
      </c>
      <c r="M14" s="330">
        <f t="shared" si="0"/>
        <v>0</v>
      </c>
      <c r="O14" s="329">
        <f>VLOOKUP($C14,ОСВ_авт!$C$9:$F$268,3,0)</f>
        <v>0</v>
      </c>
      <c r="P14" s="330">
        <f>VLOOKUP($C14,ОСВ_авт!$C$9:$F$268,4,0)</f>
        <v>0</v>
      </c>
      <c r="R14" s="329" t="b">
        <f t="shared" si="1"/>
        <v>1</v>
      </c>
      <c r="S14" s="330" t="b">
        <f t="shared" si="2"/>
        <v>1</v>
      </c>
    </row>
    <row r="15" spans="1:30" ht="29">
      <c r="B15" s="113"/>
      <c r="C15" s="335" t="s">
        <v>3437</v>
      </c>
      <c r="D15" s="53" t="s">
        <v>3438</v>
      </c>
      <c r="E15" s="55"/>
      <c r="F15" s="56"/>
      <c r="G15" s="56"/>
      <c r="H15" s="56"/>
      <c r="I15" s="56"/>
      <c r="J15" s="57"/>
      <c r="L15" s="329">
        <f t="shared" si="3"/>
        <v>0</v>
      </c>
      <c r="M15" s="330">
        <f t="shared" si="0"/>
        <v>0</v>
      </c>
      <c r="O15" s="329">
        <f>VLOOKUP($C15,ОСВ_авт!$C$9:$F$268,3,0)</f>
        <v>0</v>
      </c>
      <c r="P15" s="330">
        <f>VLOOKUP($C15,ОСВ_авт!$C$9:$F$268,4,0)</f>
        <v>0</v>
      </c>
      <c r="R15" s="329" t="b">
        <f t="shared" si="1"/>
        <v>1</v>
      </c>
      <c r="S15" s="330" t="b">
        <f t="shared" si="2"/>
        <v>1</v>
      </c>
    </row>
    <row r="16" spans="1:30">
      <c r="B16" s="113"/>
      <c r="C16" s="335" t="s">
        <v>3451</v>
      </c>
      <c r="D16" s="53" t="s">
        <v>3452</v>
      </c>
      <c r="E16" s="55"/>
      <c r="F16" s="56"/>
      <c r="G16" s="56"/>
      <c r="H16" s="56"/>
      <c r="I16" s="56"/>
      <c r="J16" s="57"/>
      <c r="L16" s="329">
        <f t="shared" si="3"/>
        <v>0</v>
      </c>
      <c r="M16" s="330">
        <f t="shared" si="0"/>
        <v>0</v>
      </c>
      <c r="O16" s="329">
        <f>VLOOKUP($C16,ОСВ_авт!$C$9:$F$268,3,0)</f>
        <v>0</v>
      </c>
      <c r="P16" s="330">
        <f>VLOOKUP($C16,ОСВ_авт!$C$9:$F$268,4,0)</f>
        <v>0</v>
      </c>
      <c r="R16" s="329" t="b">
        <f t="shared" si="1"/>
        <v>1</v>
      </c>
      <c r="S16" s="330" t="b">
        <f t="shared" si="2"/>
        <v>1</v>
      </c>
    </row>
    <row r="17" spans="1:19">
      <c r="B17" s="113"/>
      <c r="C17" s="335" t="s">
        <v>4246</v>
      </c>
      <c r="D17" s="53" t="s">
        <v>4247</v>
      </c>
      <c r="E17" s="55"/>
      <c r="F17" s="56"/>
      <c r="G17" s="56"/>
      <c r="H17" s="56"/>
      <c r="I17" s="56"/>
      <c r="J17" s="57"/>
      <c r="L17" s="329">
        <f t="shared" si="3"/>
        <v>0</v>
      </c>
      <c r="M17" s="330">
        <f t="shared" si="0"/>
        <v>0</v>
      </c>
      <c r="O17" s="329">
        <f>VLOOKUP($C17,ОСВ_авт!$C$9:$F$268,3,0)</f>
        <v>0</v>
      </c>
      <c r="P17" s="330">
        <f>VLOOKUP($C17,ОСВ_авт!$C$9:$F$268,4,0)</f>
        <v>0</v>
      </c>
      <c r="R17" s="329" t="b">
        <f t="shared" si="1"/>
        <v>1</v>
      </c>
      <c r="S17" s="330" t="b">
        <f t="shared" si="2"/>
        <v>1</v>
      </c>
    </row>
    <row r="18" spans="1:19">
      <c r="B18" s="113"/>
      <c r="C18" s="335">
        <v>19</v>
      </c>
      <c r="D18" s="53" t="s">
        <v>4258</v>
      </c>
      <c r="E18" s="55"/>
      <c r="F18" s="56"/>
      <c r="G18" s="56"/>
      <c r="H18" s="56"/>
      <c r="I18" s="56"/>
      <c r="J18" s="57"/>
      <c r="L18" s="329">
        <f t="shared" si="3"/>
        <v>0</v>
      </c>
      <c r="M18" s="330">
        <f t="shared" si="0"/>
        <v>0</v>
      </c>
      <c r="O18" s="329">
        <f>VLOOKUP($C18,ОСВ_авт!$C$9:$F$268,3,0)</f>
        <v>0</v>
      </c>
      <c r="P18" s="330">
        <f>VLOOKUP($C18,ОСВ_авт!$C$9:$F$268,4,0)</f>
        <v>0</v>
      </c>
      <c r="R18" s="329" t="b">
        <f t="shared" si="1"/>
        <v>1</v>
      </c>
      <c r="S18" s="330" t="b">
        <f t="shared" si="2"/>
        <v>1</v>
      </c>
    </row>
    <row r="19" spans="1:19">
      <c r="A19" t="s">
        <v>671</v>
      </c>
      <c r="B19" s="113"/>
      <c r="C19" s="335" t="s">
        <v>3388</v>
      </c>
      <c r="D19" s="53" t="s">
        <v>4259</v>
      </c>
      <c r="E19" s="55"/>
      <c r="F19" s="56"/>
      <c r="G19" s="56"/>
      <c r="H19" s="56"/>
      <c r="I19" s="56"/>
      <c r="J19" s="57"/>
      <c r="L19" s="329">
        <f t="shared" si="3"/>
        <v>0</v>
      </c>
      <c r="M19" s="330">
        <f t="shared" si="0"/>
        <v>0</v>
      </c>
      <c r="O19" s="329">
        <f>ОСВ_авт!E69</f>
        <v>0</v>
      </c>
      <c r="P19" s="330">
        <f>ОСВ_авт!F69</f>
        <v>0</v>
      </c>
      <c r="R19" s="329" t="b">
        <f>IF(AND(ABS(L19+L21+L22+L25-O19)&lt;=1,ABS(M19+M21+M22+M25-P19)&lt;=1),TRUE,FALSE)</f>
        <v>1</v>
      </c>
      <c r="S19" s="330" t="b">
        <f t="shared" si="2"/>
        <v>1</v>
      </c>
    </row>
    <row r="20" spans="1:19">
      <c r="A20"/>
      <c r="B20" s="113"/>
      <c r="C20" s="335" t="s">
        <v>4260</v>
      </c>
      <c r="D20" s="53" t="s">
        <v>4261</v>
      </c>
      <c r="E20" s="55"/>
      <c r="F20" s="56"/>
      <c r="G20" s="56"/>
      <c r="H20" s="56"/>
      <c r="I20" s="56"/>
      <c r="J20" s="57"/>
      <c r="L20" s="329">
        <f t="shared" si="3"/>
        <v>0</v>
      </c>
      <c r="M20" s="330">
        <f t="shared" si="0"/>
        <v>0</v>
      </c>
      <c r="O20" s="329">
        <f>VLOOKUP($C20,ОСВ_авт!$C$9:$F$268,3,0)</f>
        <v>0</v>
      </c>
      <c r="P20" s="330">
        <f>VLOOKUP($C20,ОСВ_авт!$C$9:$F$268,4,0)</f>
        <v>0</v>
      </c>
      <c r="R20" s="329" t="b">
        <f t="shared" si="1"/>
        <v>1</v>
      </c>
      <c r="S20" s="330" t="b">
        <f t="shared" si="2"/>
        <v>1</v>
      </c>
    </row>
    <row r="21" spans="1:19">
      <c r="A21" t="s">
        <v>671</v>
      </c>
      <c r="B21" s="113"/>
      <c r="C21" s="335" t="s">
        <v>4262</v>
      </c>
      <c r="D21" s="53" t="s">
        <v>4263</v>
      </c>
      <c r="E21" s="55"/>
      <c r="F21" s="56"/>
      <c r="G21" s="56"/>
      <c r="H21" s="56"/>
      <c r="I21" s="56"/>
      <c r="J21" s="57"/>
      <c r="L21" s="329">
        <f t="shared" si="3"/>
        <v>0</v>
      </c>
      <c r="M21" s="330">
        <f t="shared" si="0"/>
        <v>0</v>
      </c>
      <c r="O21" s="1789" t="s">
        <v>4184</v>
      </c>
      <c r="P21" s="1790" t="s">
        <v>4184</v>
      </c>
      <c r="R21" s="1789" t="s">
        <v>4184</v>
      </c>
      <c r="S21" s="330" t="b">
        <f t="shared" si="2"/>
        <v>1</v>
      </c>
    </row>
    <row r="22" spans="1:19">
      <c r="A22" t="s">
        <v>671</v>
      </c>
      <c r="B22" s="113"/>
      <c r="C22" s="335" t="s">
        <v>4264</v>
      </c>
      <c r="D22" s="53" t="s">
        <v>4265</v>
      </c>
      <c r="E22" s="55"/>
      <c r="F22" s="56"/>
      <c r="G22" s="56"/>
      <c r="H22" s="56"/>
      <c r="I22" s="56"/>
      <c r="J22" s="57"/>
      <c r="L22" s="329">
        <f t="shared" si="3"/>
        <v>0</v>
      </c>
      <c r="M22" s="330">
        <f t="shared" si="0"/>
        <v>0</v>
      </c>
      <c r="O22" s="1789" t="s">
        <v>4184</v>
      </c>
      <c r="P22" s="1790" t="s">
        <v>4184</v>
      </c>
      <c r="R22" s="1789" t="s">
        <v>4184</v>
      </c>
      <c r="S22" s="330" t="b">
        <f t="shared" si="2"/>
        <v>1</v>
      </c>
    </row>
    <row r="23" spans="1:19">
      <c r="A23" t="s">
        <v>719</v>
      </c>
      <c r="B23" s="113"/>
      <c r="C23" s="335" t="s">
        <v>4266</v>
      </c>
      <c r="D23" s="53" t="s">
        <v>3392</v>
      </c>
      <c r="E23" s="55"/>
      <c r="F23" s="56"/>
      <c r="G23" s="56"/>
      <c r="H23" s="56"/>
      <c r="I23" s="56"/>
      <c r="J23" s="57"/>
      <c r="L23" s="329">
        <f t="shared" si="3"/>
        <v>0</v>
      </c>
      <c r="M23" s="330">
        <f t="shared" si="0"/>
        <v>0</v>
      </c>
      <c r="O23" s="329">
        <f>VLOOKUP($C23,ОСВ_авт!$C$9:$F$268,3,0)</f>
        <v>0</v>
      </c>
      <c r="P23" s="330">
        <f>VLOOKUP($C23,ОСВ_авт!$C$9:$F$268,4,0)</f>
        <v>0</v>
      </c>
      <c r="R23" s="329" t="b">
        <f t="shared" ref="R23:R66" si="4">IF(AND(ABS(L23-O23)&lt;=1,ABS(M23-P23)&lt;=1),TRUE,FALSE)</f>
        <v>1</v>
      </c>
      <c r="S23" s="330" t="b">
        <f t="shared" si="2"/>
        <v>1</v>
      </c>
    </row>
    <row r="24" spans="1:19">
      <c r="B24" s="113"/>
      <c r="C24" s="335" t="s">
        <v>4267</v>
      </c>
      <c r="D24" s="53" t="s">
        <v>4268</v>
      </c>
      <c r="E24" s="55"/>
      <c r="F24" s="56"/>
      <c r="G24" s="56"/>
      <c r="H24" s="56"/>
      <c r="I24" s="56"/>
      <c r="J24" s="57"/>
      <c r="L24" s="329">
        <f t="shared" si="3"/>
        <v>0</v>
      </c>
      <c r="M24" s="330">
        <f t="shared" si="0"/>
        <v>0</v>
      </c>
      <c r="O24" s="329">
        <f>VLOOKUP($C24,ОСВ_авт!$C$9:$F$268,3,0)</f>
        <v>0</v>
      </c>
      <c r="P24" s="330">
        <f>VLOOKUP($C24,ОСВ_авт!$C$9:$F$268,4,0)</f>
        <v>0</v>
      </c>
      <c r="R24" s="329" t="b">
        <f t="shared" si="4"/>
        <v>1</v>
      </c>
      <c r="S24" s="330" t="b">
        <f t="shared" si="2"/>
        <v>1</v>
      </c>
    </row>
    <row r="25" spans="1:19">
      <c r="A25" s="1163" t="s">
        <v>671</v>
      </c>
      <c r="B25" s="113"/>
      <c r="C25" s="335" t="s">
        <v>4269</v>
      </c>
      <c r="D25" s="53" t="s">
        <v>4270</v>
      </c>
      <c r="E25" s="55"/>
      <c r="F25" s="56"/>
      <c r="G25" s="56"/>
      <c r="H25" s="56"/>
      <c r="I25" s="56"/>
      <c r="J25" s="57"/>
      <c r="L25" s="329">
        <f t="shared" si="3"/>
        <v>0</v>
      </c>
      <c r="M25" s="330">
        <f t="shared" si="0"/>
        <v>0</v>
      </c>
      <c r="O25" s="1789" t="s">
        <v>4184</v>
      </c>
      <c r="P25" s="1790" t="s">
        <v>4184</v>
      </c>
      <c r="R25" s="1789" t="s">
        <v>4184</v>
      </c>
      <c r="S25" s="330" t="b">
        <f t="shared" si="2"/>
        <v>1</v>
      </c>
    </row>
    <row r="26" spans="1:19">
      <c r="B26" s="113"/>
      <c r="C26" s="335" t="s">
        <v>4271</v>
      </c>
      <c r="D26" s="53" t="s">
        <v>4272</v>
      </c>
      <c r="E26" s="55"/>
      <c r="F26" s="56"/>
      <c r="G26" s="56"/>
      <c r="H26" s="56"/>
      <c r="I26" s="56"/>
      <c r="J26" s="57"/>
      <c r="L26" s="329">
        <f t="shared" si="3"/>
        <v>0</v>
      </c>
      <c r="M26" s="330">
        <f t="shared" si="0"/>
        <v>0</v>
      </c>
      <c r="O26" s="329">
        <f>VLOOKUP($C26,ОСВ_авт!$C$9:$F$268,3,0)</f>
        <v>0</v>
      </c>
      <c r="P26" s="330">
        <f>VLOOKUP($C26,ОСВ_авт!$C$9:$F$268,4,0)</f>
        <v>0</v>
      </c>
      <c r="R26" s="329" t="b">
        <f t="shared" si="4"/>
        <v>1</v>
      </c>
      <c r="S26" s="330" t="b">
        <f t="shared" si="2"/>
        <v>1</v>
      </c>
    </row>
    <row r="27" spans="1:19">
      <c r="B27" s="113"/>
      <c r="C27" s="335" t="s">
        <v>4273</v>
      </c>
      <c r="D27" s="53" t="s">
        <v>4274</v>
      </c>
      <c r="E27" s="55"/>
      <c r="F27" s="56"/>
      <c r="G27" s="56"/>
      <c r="H27" s="56"/>
      <c r="I27" s="56"/>
      <c r="J27" s="57"/>
      <c r="L27" s="329">
        <f t="shared" si="3"/>
        <v>0</v>
      </c>
      <c r="M27" s="330">
        <f t="shared" si="0"/>
        <v>0</v>
      </c>
      <c r="O27" s="329">
        <f>VLOOKUP($C27,ОСВ_авт!$C$9:$F$268,3,0)</f>
        <v>0</v>
      </c>
      <c r="P27" s="330">
        <f>VLOOKUP($C27,ОСВ_авт!$C$9:$F$268,4,0)</f>
        <v>0</v>
      </c>
      <c r="R27" s="329" t="b">
        <f t="shared" si="4"/>
        <v>1</v>
      </c>
      <c r="S27" s="330" t="b">
        <f t="shared" si="2"/>
        <v>1</v>
      </c>
    </row>
    <row r="28" spans="1:19">
      <c r="B28" s="113"/>
      <c r="C28" s="335" t="s">
        <v>4279</v>
      </c>
      <c r="D28" s="53" t="s">
        <v>4280</v>
      </c>
      <c r="E28" s="55"/>
      <c r="F28" s="56"/>
      <c r="G28" s="56"/>
      <c r="H28" s="56"/>
      <c r="I28" s="56"/>
      <c r="J28" s="57"/>
      <c r="L28" s="329">
        <f t="shared" si="3"/>
        <v>0</v>
      </c>
      <c r="M28" s="330">
        <f t="shared" si="0"/>
        <v>0</v>
      </c>
      <c r="O28" s="329">
        <f>VLOOKUP($C28,ОСВ_авт!$C$9:$F$268,3,0)</f>
        <v>0</v>
      </c>
      <c r="P28" s="330">
        <f>VLOOKUP($C28,ОСВ_авт!$C$9:$F$268,4,0)</f>
        <v>0</v>
      </c>
      <c r="R28" s="329" t="b">
        <f t="shared" si="4"/>
        <v>1</v>
      </c>
      <c r="S28" s="330" t="b">
        <f t="shared" si="2"/>
        <v>1</v>
      </c>
    </row>
    <row r="29" spans="1:19">
      <c r="B29" s="113"/>
      <c r="C29" s="335" t="s">
        <v>4281</v>
      </c>
      <c r="D29" s="53" t="s">
        <v>4282</v>
      </c>
      <c r="E29" s="55"/>
      <c r="F29" s="56"/>
      <c r="G29" s="56"/>
      <c r="H29" s="56"/>
      <c r="I29" s="56"/>
      <c r="J29" s="57"/>
      <c r="L29" s="329">
        <f t="shared" si="3"/>
        <v>0</v>
      </c>
      <c r="M29" s="330">
        <f t="shared" si="0"/>
        <v>0</v>
      </c>
      <c r="O29" s="329">
        <f>VLOOKUP($C29,ОСВ_авт!$C$9:$F$268,3,0)</f>
        <v>0</v>
      </c>
      <c r="P29" s="330">
        <f>VLOOKUP($C29,ОСВ_авт!$C$9:$F$268,4,0)</f>
        <v>0</v>
      </c>
      <c r="R29" s="329" t="b">
        <f t="shared" si="4"/>
        <v>1</v>
      </c>
      <c r="S29" s="330" t="b">
        <f t="shared" si="2"/>
        <v>1</v>
      </c>
    </row>
    <row r="30" spans="1:19">
      <c r="A30" t="s">
        <v>720</v>
      </c>
      <c r="B30" s="113"/>
      <c r="C30" s="335" t="s">
        <v>4283</v>
      </c>
      <c r="D30" s="53" t="s">
        <v>3393</v>
      </c>
      <c r="E30" s="55"/>
      <c r="F30" s="56"/>
      <c r="G30" s="56"/>
      <c r="H30" s="56"/>
      <c r="I30" s="56"/>
      <c r="J30" s="57"/>
      <c r="L30" s="329">
        <f t="shared" si="3"/>
        <v>0</v>
      </c>
      <c r="M30" s="330">
        <f t="shared" si="0"/>
        <v>0</v>
      </c>
      <c r="O30" s="329">
        <f>VLOOKUP($C30,ОСВ_авт!$C$9:$F$268,3,0)</f>
        <v>0</v>
      </c>
      <c r="P30" s="330">
        <f>VLOOKUP($C30,ОСВ_авт!$C$9:$F$268,4,0)</f>
        <v>0</v>
      </c>
      <c r="R30" s="329" t="b">
        <f t="shared" si="4"/>
        <v>1</v>
      </c>
      <c r="S30" s="330" t="b">
        <f t="shared" si="2"/>
        <v>1</v>
      </c>
    </row>
    <row r="31" spans="1:19">
      <c r="B31" s="113"/>
      <c r="C31" s="335" t="s">
        <v>4284</v>
      </c>
      <c r="D31" s="53" t="s">
        <v>4285</v>
      </c>
      <c r="E31" s="55"/>
      <c r="F31" s="56"/>
      <c r="G31" s="56"/>
      <c r="H31" s="56"/>
      <c r="I31" s="56"/>
      <c r="J31" s="57"/>
      <c r="L31" s="329">
        <f t="shared" si="3"/>
        <v>0</v>
      </c>
      <c r="M31" s="330">
        <f t="shared" si="0"/>
        <v>0</v>
      </c>
      <c r="O31" s="329">
        <f>VLOOKUP($C31,ОСВ_авт!$C$9:$F$268,3,0)</f>
        <v>0</v>
      </c>
      <c r="P31" s="330">
        <f>VLOOKUP($C31,ОСВ_авт!$C$9:$F$268,4,0)</f>
        <v>0</v>
      </c>
      <c r="R31" s="329" t="b">
        <f t="shared" si="4"/>
        <v>1</v>
      </c>
      <c r="S31" s="330" t="b">
        <f t="shared" si="2"/>
        <v>1</v>
      </c>
    </row>
    <row r="32" spans="1:19">
      <c r="B32" s="113"/>
      <c r="C32" s="335" t="s">
        <v>4289</v>
      </c>
      <c r="D32" s="53" t="s">
        <v>4290</v>
      </c>
      <c r="E32" s="55"/>
      <c r="F32" s="56"/>
      <c r="G32" s="56"/>
      <c r="H32" s="56"/>
      <c r="I32" s="56"/>
      <c r="J32" s="57"/>
      <c r="L32" s="329">
        <f t="shared" si="3"/>
        <v>0</v>
      </c>
      <c r="M32" s="330">
        <f t="shared" si="0"/>
        <v>0</v>
      </c>
      <c r="O32" s="329">
        <f>VLOOKUP($C32,ОСВ_авт!$C$9:$F$268,3,0)</f>
        <v>0</v>
      </c>
      <c r="P32" s="330">
        <f>VLOOKUP($C32,ОСВ_авт!$C$9:$F$268,4,0)</f>
        <v>0</v>
      </c>
      <c r="R32" s="329" t="b">
        <f t="shared" si="4"/>
        <v>1</v>
      </c>
      <c r="S32" s="330" t="b">
        <f t="shared" si="2"/>
        <v>1</v>
      </c>
    </row>
    <row r="33" spans="2:19">
      <c r="B33" s="113"/>
      <c r="C33" s="335" t="s">
        <v>4291</v>
      </c>
      <c r="D33" s="53" t="s">
        <v>4292</v>
      </c>
      <c r="E33" s="55"/>
      <c r="F33" s="56"/>
      <c r="G33" s="56"/>
      <c r="H33" s="56"/>
      <c r="I33" s="56"/>
      <c r="J33" s="57"/>
      <c r="L33" s="329">
        <f t="shared" si="3"/>
        <v>0</v>
      </c>
      <c r="M33" s="330">
        <f t="shared" si="0"/>
        <v>0</v>
      </c>
      <c r="O33" s="329">
        <f>VLOOKUP($C33,ОСВ_авт!$C$9:$F$268,3,0)</f>
        <v>0</v>
      </c>
      <c r="P33" s="330">
        <f>VLOOKUP($C33,ОСВ_авт!$C$9:$F$268,4,0)</f>
        <v>0</v>
      </c>
      <c r="R33" s="329" t="b">
        <f t="shared" si="4"/>
        <v>1</v>
      </c>
      <c r="S33" s="330" t="b">
        <f t="shared" si="2"/>
        <v>1</v>
      </c>
    </row>
    <row r="34" spans="2:19">
      <c r="B34" s="113"/>
      <c r="C34" s="335" t="s">
        <v>4296</v>
      </c>
      <c r="D34" s="53" t="s">
        <v>4297</v>
      </c>
      <c r="E34" s="55"/>
      <c r="F34" s="56"/>
      <c r="G34" s="56"/>
      <c r="H34" s="56"/>
      <c r="I34" s="56"/>
      <c r="J34" s="57"/>
      <c r="L34" s="329">
        <f t="shared" si="3"/>
        <v>0</v>
      </c>
      <c r="M34" s="330">
        <f t="shared" si="0"/>
        <v>0</v>
      </c>
      <c r="O34" s="329">
        <f>VLOOKUP($C34,ОСВ_авт!$C$9:$F$268,3,0)</f>
        <v>0</v>
      </c>
      <c r="P34" s="330">
        <f>VLOOKUP($C34,ОСВ_авт!$C$9:$F$268,4,0)</f>
        <v>0</v>
      </c>
      <c r="R34" s="329" t="b">
        <f t="shared" si="4"/>
        <v>1</v>
      </c>
      <c r="S34" s="330" t="b">
        <f t="shared" si="2"/>
        <v>1</v>
      </c>
    </row>
    <row r="35" spans="2:19">
      <c r="B35" s="113"/>
      <c r="C35" s="335" t="s">
        <v>4298</v>
      </c>
      <c r="D35" s="53" t="s">
        <v>4299</v>
      </c>
      <c r="E35" s="55"/>
      <c r="F35" s="56"/>
      <c r="G35" s="56"/>
      <c r="H35" s="56"/>
      <c r="I35" s="56"/>
      <c r="J35" s="57"/>
      <c r="L35" s="329">
        <f t="shared" si="3"/>
        <v>0</v>
      </c>
      <c r="M35" s="330">
        <f t="shared" si="0"/>
        <v>0</v>
      </c>
      <c r="O35" s="329">
        <f>VLOOKUP($C35,ОСВ_авт!$C$9:$F$268,3,0)</f>
        <v>0</v>
      </c>
      <c r="P35" s="330">
        <f>VLOOKUP($C35,ОСВ_авт!$C$9:$F$268,4,0)</f>
        <v>0</v>
      </c>
      <c r="R35" s="329" t="b">
        <f t="shared" si="4"/>
        <v>1</v>
      </c>
      <c r="S35" s="330" t="b">
        <f t="shared" si="2"/>
        <v>1</v>
      </c>
    </row>
    <row r="36" spans="2:19">
      <c r="B36" s="113"/>
      <c r="C36" s="335" t="s">
        <v>4300</v>
      </c>
      <c r="D36" s="53" t="s">
        <v>4301</v>
      </c>
      <c r="E36" s="55"/>
      <c r="F36" s="56"/>
      <c r="G36" s="56"/>
      <c r="H36" s="56"/>
      <c r="I36" s="56"/>
      <c r="J36" s="57"/>
      <c r="L36" s="329">
        <f t="shared" si="3"/>
        <v>0</v>
      </c>
      <c r="M36" s="330">
        <f t="shared" si="0"/>
        <v>0</v>
      </c>
      <c r="O36" s="329">
        <f>VLOOKUP($C36,ОСВ_авт!$C$9:$F$268,3,0)</f>
        <v>0</v>
      </c>
      <c r="P36" s="330">
        <f>VLOOKUP($C36,ОСВ_авт!$C$9:$F$268,4,0)</f>
        <v>0</v>
      </c>
      <c r="R36" s="329" t="b">
        <f t="shared" si="4"/>
        <v>1</v>
      </c>
      <c r="S36" s="330" t="b">
        <f t="shared" si="2"/>
        <v>1</v>
      </c>
    </row>
    <row r="37" spans="2:19">
      <c r="B37" s="113"/>
      <c r="C37" s="335" t="s">
        <v>4302</v>
      </c>
      <c r="D37" s="53" t="s">
        <v>4303</v>
      </c>
      <c r="E37" s="55"/>
      <c r="F37" s="56"/>
      <c r="G37" s="56"/>
      <c r="H37" s="56"/>
      <c r="I37" s="56"/>
      <c r="J37" s="57"/>
      <c r="L37" s="329">
        <f t="shared" si="3"/>
        <v>0</v>
      </c>
      <c r="M37" s="330">
        <f t="shared" si="0"/>
        <v>0</v>
      </c>
      <c r="O37" s="329">
        <f>VLOOKUP($C37,ОСВ_авт!$C$9:$F$268,3,0)</f>
        <v>0</v>
      </c>
      <c r="P37" s="330">
        <f>VLOOKUP($C37,ОСВ_авт!$C$9:$F$268,4,0)</f>
        <v>0</v>
      </c>
      <c r="R37" s="329" t="b">
        <f t="shared" si="4"/>
        <v>1</v>
      </c>
      <c r="S37" s="330" t="b">
        <f t="shared" si="2"/>
        <v>1</v>
      </c>
    </row>
    <row r="38" spans="2:19">
      <c r="B38" s="113"/>
      <c r="C38" s="335">
        <v>58</v>
      </c>
      <c r="D38" s="53" t="s">
        <v>4304</v>
      </c>
      <c r="E38" s="55"/>
      <c r="F38" s="56"/>
      <c r="G38" s="56"/>
      <c r="H38" s="56"/>
      <c r="I38" s="56"/>
      <c r="J38" s="57"/>
      <c r="L38" s="329">
        <f t="shared" si="3"/>
        <v>0</v>
      </c>
      <c r="M38" s="330">
        <f t="shared" si="0"/>
        <v>0</v>
      </c>
      <c r="O38" s="329">
        <f>VLOOKUP($C38,ОСВ_авт!$C$9:$F$268,3,0)</f>
        <v>0</v>
      </c>
      <c r="P38" s="330">
        <f>VLOOKUP($C38,ОСВ_авт!$C$9:$F$268,4,0)</f>
        <v>0</v>
      </c>
      <c r="R38" s="329" t="b">
        <f t="shared" si="4"/>
        <v>1</v>
      </c>
      <c r="S38" s="330" t="b">
        <f t="shared" si="2"/>
        <v>1</v>
      </c>
    </row>
    <row r="39" spans="2:19">
      <c r="B39" s="113"/>
      <c r="C39" s="335">
        <v>59</v>
      </c>
      <c r="D39" s="53" t="s">
        <v>4325</v>
      </c>
      <c r="E39" s="55"/>
      <c r="F39" s="56"/>
      <c r="G39" s="56"/>
      <c r="H39" s="56"/>
      <c r="I39" s="56"/>
      <c r="J39" s="57"/>
      <c r="L39" s="329">
        <f t="shared" si="3"/>
        <v>0</v>
      </c>
      <c r="M39" s="330">
        <f t="shared" si="0"/>
        <v>0</v>
      </c>
      <c r="O39" s="329">
        <f>VLOOKUP($C39,ОСВ_авт!$C$9:$F$268,3,0)</f>
        <v>0</v>
      </c>
      <c r="P39" s="330">
        <f>VLOOKUP($C39,ОСВ_авт!$C$9:$F$268,4,0)</f>
        <v>0</v>
      </c>
      <c r="R39" s="329" t="b">
        <f t="shared" si="4"/>
        <v>1</v>
      </c>
      <c r="S39" s="330" t="b">
        <f t="shared" si="2"/>
        <v>1</v>
      </c>
    </row>
    <row r="40" spans="2:19">
      <c r="B40" s="113"/>
      <c r="C40" s="335">
        <v>60</v>
      </c>
      <c r="D40" s="53" t="s">
        <v>4340</v>
      </c>
      <c r="E40" s="55"/>
      <c r="F40" s="56"/>
      <c r="G40" s="56"/>
      <c r="H40" s="56"/>
      <c r="I40" s="56"/>
      <c r="J40" s="57"/>
      <c r="L40" s="329">
        <f t="shared" si="3"/>
        <v>0</v>
      </c>
      <c r="M40" s="330">
        <f t="shared" si="0"/>
        <v>0</v>
      </c>
      <c r="O40" s="329">
        <f>VLOOKUP($C40,ОСВ_авт!$C$9:$F$268,3,0)</f>
        <v>0</v>
      </c>
      <c r="P40" s="330">
        <f>VLOOKUP($C40,ОСВ_авт!$C$9:$F$268,4,0)</f>
        <v>0</v>
      </c>
      <c r="R40" s="329" t="b">
        <f t="shared" si="4"/>
        <v>1</v>
      </c>
      <c r="S40" s="330" t="b">
        <f t="shared" si="2"/>
        <v>1</v>
      </c>
    </row>
    <row r="41" spans="2:19">
      <c r="B41" s="113"/>
      <c r="C41" s="335">
        <v>62</v>
      </c>
      <c r="D41" s="53" t="s">
        <v>4352</v>
      </c>
      <c r="E41" s="55"/>
      <c r="F41" s="56"/>
      <c r="G41" s="56"/>
      <c r="H41" s="56"/>
      <c r="I41" s="56"/>
      <c r="J41" s="57"/>
      <c r="L41" s="329">
        <f t="shared" si="3"/>
        <v>0</v>
      </c>
      <c r="M41" s="330">
        <f t="shared" si="0"/>
        <v>0</v>
      </c>
      <c r="O41" s="329">
        <f>VLOOKUP($C41,ОСВ_авт!$C$9:$F$268,3,0)</f>
        <v>0</v>
      </c>
      <c r="P41" s="330">
        <f>VLOOKUP($C41,ОСВ_авт!$C$9:$F$268,4,0)</f>
        <v>0</v>
      </c>
      <c r="R41" s="329" t="b">
        <f t="shared" si="4"/>
        <v>1</v>
      </c>
      <c r="S41" s="330" t="b">
        <f t="shared" si="2"/>
        <v>1</v>
      </c>
    </row>
    <row r="42" spans="2:19">
      <c r="B42" s="113"/>
      <c r="C42" s="335">
        <v>63</v>
      </c>
      <c r="D42" s="53" t="s">
        <v>4362</v>
      </c>
      <c r="E42" s="55"/>
      <c r="F42" s="56"/>
      <c r="G42" s="56"/>
      <c r="H42" s="56"/>
      <c r="I42" s="56"/>
      <c r="J42" s="57"/>
      <c r="L42" s="329">
        <f t="shared" si="3"/>
        <v>0</v>
      </c>
      <c r="M42" s="330">
        <f t="shared" si="0"/>
        <v>0</v>
      </c>
      <c r="O42" s="329">
        <f>VLOOKUP($C42,ОСВ_авт!$C$9:$F$268,3,0)</f>
        <v>0</v>
      </c>
      <c r="P42" s="330">
        <f>VLOOKUP($C42,ОСВ_авт!$C$9:$F$268,4,0)</f>
        <v>0</v>
      </c>
      <c r="R42" s="329" t="b">
        <f t="shared" si="4"/>
        <v>1</v>
      </c>
      <c r="S42" s="330" t="b">
        <f t="shared" si="2"/>
        <v>1</v>
      </c>
    </row>
    <row r="43" spans="2:19">
      <c r="B43" s="113"/>
      <c r="C43" s="335" t="s">
        <v>4363</v>
      </c>
      <c r="D43" s="53" t="s">
        <v>4364</v>
      </c>
      <c r="E43" s="55"/>
      <c r="F43" s="56"/>
      <c r="G43" s="56"/>
      <c r="H43" s="56"/>
      <c r="I43" s="56"/>
      <c r="J43" s="57"/>
      <c r="L43" s="329">
        <f t="shared" si="3"/>
        <v>0</v>
      </c>
      <c r="M43" s="330">
        <f t="shared" si="0"/>
        <v>0</v>
      </c>
      <c r="O43" s="329">
        <f>VLOOKUP($C43,ОСВ_авт!$C$9:$F$268,3,0)</f>
        <v>0</v>
      </c>
      <c r="P43" s="330">
        <f>VLOOKUP($C43,ОСВ_авт!$C$9:$F$268,4,0)</f>
        <v>0</v>
      </c>
      <c r="R43" s="329" t="b">
        <f t="shared" si="4"/>
        <v>1</v>
      </c>
      <c r="S43" s="330" t="b">
        <f t="shared" si="2"/>
        <v>1</v>
      </c>
    </row>
    <row r="44" spans="2:19">
      <c r="B44" s="113"/>
      <c r="C44" s="335">
        <v>67</v>
      </c>
      <c r="D44" s="53" t="s">
        <v>4371</v>
      </c>
      <c r="E44" s="55"/>
      <c r="F44" s="56"/>
      <c r="G44" s="56"/>
      <c r="H44" s="56"/>
      <c r="I44" s="56"/>
      <c r="J44" s="57"/>
      <c r="L44" s="329">
        <f t="shared" si="3"/>
        <v>0</v>
      </c>
      <c r="M44" s="330">
        <f t="shared" si="0"/>
        <v>0</v>
      </c>
      <c r="O44" s="329">
        <f>VLOOKUP($C44,ОСВ_авт!$C$9:$F$268,3,0)</f>
        <v>0</v>
      </c>
      <c r="P44" s="330">
        <f>VLOOKUP($C44,ОСВ_авт!$C$9:$F$268,4,0)</f>
        <v>0</v>
      </c>
      <c r="R44" s="329" t="b">
        <f t="shared" si="4"/>
        <v>1</v>
      </c>
      <c r="S44" s="330" t="b">
        <f t="shared" si="2"/>
        <v>1</v>
      </c>
    </row>
    <row r="45" spans="2:19">
      <c r="B45" s="113"/>
      <c r="C45" s="335">
        <v>68</v>
      </c>
      <c r="D45" s="53" t="s">
        <v>4378</v>
      </c>
      <c r="E45" s="55"/>
      <c r="F45" s="56"/>
      <c r="G45" s="56"/>
      <c r="H45" s="56"/>
      <c r="I45" s="56"/>
      <c r="J45" s="57"/>
      <c r="L45" s="329">
        <f t="shared" si="3"/>
        <v>0</v>
      </c>
      <c r="M45" s="330">
        <f t="shared" si="0"/>
        <v>0</v>
      </c>
      <c r="O45" s="329">
        <f>VLOOKUP($C45,ОСВ_авт!$C$9:$F$268,3,0)</f>
        <v>0</v>
      </c>
      <c r="P45" s="330">
        <f>VLOOKUP($C45,ОСВ_авт!$C$9:$F$268,4,0)</f>
        <v>0</v>
      </c>
      <c r="R45" s="329" t="b">
        <f t="shared" si="4"/>
        <v>1</v>
      </c>
      <c r="S45" s="330" t="b">
        <f t="shared" si="2"/>
        <v>1</v>
      </c>
    </row>
    <row r="46" spans="2:19">
      <c r="B46" s="113"/>
      <c r="C46" s="335">
        <v>69</v>
      </c>
      <c r="D46" s="53" t="s">
        <v>4548</v>
      </c>
      <c r="E46" s="55"/>
      <c r="F46" s="56"/>
      <c r="G46" s="56"/>
      <c r="H46" s="56"/>
      <c r="I46" s="56"/>
      <c r="J46" s="57"/>
      <c r="L46" s="329">
        <f t="shared" si="3"/>
        <v>0</v>
      </c>
      <c r="M46" s="330">
        <f t="shared" si="0"/>
        <v>0</v>
      </c>
      <c r="O46" s="329">
        <f>VLOOKUP($C46,ОСВ_авт!$C$9:$F$268,3,0)</f>
        <v>0</v>
      </c>
      <c r="P46" s="330">
        <f>VLOOKUP($C46,ОСВ_авт!$C$9:$F$268,4,0)</f>
        <v>0</v>
      </c>
      <c r="R46" s="329" t="b">
        <f t="shared" si="4"/>
        <v>1</v>
      </c>
      <c r="S46" s="330" t="b">
        <f t="shared" si="2"/>
        <v>1</v>
      </c>
    </row>
    <row r="47" spans="2:19">
      <c r="B47" s="113"/>
      <c r="C47" s="335">
        <v>70</v>
      </c>
      <c r="D47" s="53" t="s">
        <v>4549</v>
      </c>
      <c r="E47" s="55"/>
      <c r="F47" s="56"/>
      <c r="G47" s="56"/>
      <c r="H47" s="56"/>
      <c r="I47" s="56"/>
      <c r="J47" s="57"/>
      <c r="L47" s="329">
        <f t="shared" si="3"/>
        <v>0</v>
      </c>
      <c r="M47" s="330">
        <f t="shared" si="0"/>
        <v>0</v>
      </c>
      <c r="O47" s="329">
        <f>VLOOKUP($C47,ОСВ_авт!$C$9:$F$268,3,0)</f>
        <v>0</v>
      </c>
      <c r="P47" s="330">
        <f>VLOOKUP($C47,ОСВ_авт!$C$9:$F$268,4,0)</f>
        <v>0</v>
      </c>
      <c r="R47" s="329" t="b">
        <f t="shared" si="4"/>
        <v>1</v>
      </c>
      <c r="S47" s="330" t="b">
        <f t="shared" si="2"/>
        <v>1</v>
      </c>
    </row>
    <row r="48" spans="2:19">
      <c r="B48" s="113"/>
      <c r="C48" s="335">
        <v>71</v>
      </c>
      <c r="D48" s="53" t="s">
        <v>4550</v>
      </c>
      <c r="E48" s="55"/>
      <c r="F48" s="56"/>
      <c r="G48" s="56"/>
      <c r="H48" s="56"/>
      <c r="I48" s="56"/>
      <c r="J48" s="57"/>
      <c r="L48" s="329">
        <f t="shared" si="3"/>
        <v>0</v>
      </c>
      <c r="M48" s="330">
        <f t="shared" si="0"/>
        <v>0</v>
      </c>
      <c r="O48" s="329">
        <f>VLOOKUP($C48,ОСВ_авт!$C$9:$F$268,3,0)</f>
        <v>0</v>
      </c>
      <c r="P48" s="330">
        <f>VLOOKUP($C48,ОСВ_авт!$C$9:$F$268,4,0)</f>
        <v>0</v>
      </c>
      <c r="R48" s="329" t="b">
        <f t="shared" si="4"/>
        <v>1</v>
      </c>
      <c r="S48" s="330" t="b">
        <f t="shared" si="2"/>
        <v>1</v>
      </c>
    </row>
    <row r="49" spans="2:19">
      <c r="B49" s="113"/>
      <c r="C49" s="335">
        <v>73</v>
      </c>
      <c r="D49" s="53" t="s">
        <v>4551</v>
      </c>
      <c r="E49" s="55"/>
      <c r="F49" s="56"/>
      <c r="G49" s="56"/>
      <c r="H49" s="56"/>
      <c r="I49" s="56"/>
      <c r="J49" s="57"/>
      <c r="L49" s="329">
        <f t="shared" si="3"/>
        <v>0</v>
      </c>
      <c r="M49" s="330">
        <f t="shared" si="0"/>
        <v>0</v>
      </c>
      <c r="O49" s="329">
        <f>VLOOKUP($C49,ОСВ_авт!$C$9:$F$268,3,0)</f>
        <v>0</v>
      </c>
      <c r="P49" s="330">
        <f>VLOOKUP($C49,ОСВ_авт!$C$9:$F$268,4,0)</f>
        <v>0</v>
      </c>
      <c r="R49" s="329" t="b">
        <f t="shared" si="4"/>
        <v>1</v>
      </c>
      <c r="S49" s="330" t="b">
        <f t="shared" si="2"/>
        <v>1</v>
      </c>
    </row>
    <row r="50" spans="2:19">
      <c r="B50" s="113"/>
      <c r="C50" s="335">
        <v>75</v>
      </c>
      <c r="D50" s="53" t="s">
        <v>4556</v>
      </c>
      <c r="E50" s="55"/>
      <c r="F50" s="56"/>
      <c r="G50" s="56"/>
      <c r="H50" s="56"/>
      <c r="I50" s="56"/>
      <c r="J50" s="57"/>
      <c r="L50" s="329">
        <f t="shared" si="3"/>
        <v>0</v>
      </c>
      <c r="M50" s="330">
        <f t="shared" si="0"/>
        <v>0</v>
      </c>
      <c r="O50" s="329">
        <f>VLOOKUP($C50,ОСВ_авт!$C$9:$F$268,3,0)</f>
        <v>0</v>
      </c>
      <c r="P50" s="330">
        <f>VLOOKUP($C50,ОСВ_авт!$C$9:$F$268,4,0)</f>
        <v>0</v>
      </c>
      <c r="R50" s="329" t="b">
        <f t="shared" si="4"/>
        <v>1</v>
      </c>
      <c r="S50" s="330" t="b">
        <f t="shared" si="2"/>
        <v>1</v>
      </c>
    </row>
    <row r="51" spans="2:19">
      <c r="B51" s="113"/>
      <c r="C51" s="335">
        <v>76</v>
      </c>
      <c r="D51" s="53" t="s">
        <v>4561</v>
      </c>
      <c r="E51" s="55"/>
      <c r="F51" s="56"/>
      <c r="G51" s="56"/>
      <c r="H51" s="56"/>
      <c r="I51" s="56"/>
      <c r="J51" s="57"/>
      <c r="K51" s="1575"/>
      <c r="L51" s="329">
        <f t="shared" si="3"/>
        <v>0</v>
      </c>
      <c r="M51" s="330">
        <f t="shared" si="0"/>
        <v>0</v>
      </c>
      <c r="O51" s="329">
        <f>VLOOKUP($C51,ОСВ_авт!$C$9:$F$268,3,0)</f>
        <v>0</v>
      </c>
      <c r="P51" s="330">
        <f>VLOOKUP($C51,ОСВ_авт!$C$9:$F$268,4,0)</f>
        <v>0</v>
      </c>
      <c r="R51" s="329" t="b">
        <f t="shared" si="4"/>
        <v>1</v>
      </c>
      <c r="S51" s="330" t="b">
        <f t="shared" si="2"/>
        <v>1</v>
      </c>
    </row>
    <row r="52" spans="2:19">
      <c r="B52" s="113"/>
      <c r="C52" s="335" t="s">
        <v>4563</v>
      </c>
      <c r="D52" s="53" t="s">
        <v>4564</v>
      </c>
      <c r="E52" s="55"/>
      <c r="F52" s="56"/>
      <c r="G52" s="56"/>
      <c r="H52" s="56"/>
      <c r="I52" s="56"/>
      <c r="J52" s="57"/>
      <c r="L52" s="329">
        <f t="shared" si="3"/>
        <v>0</v>
      </c>
      <c r="M52" s="330">
        <f t="shared" si="0"/>
        <v>0</v>
      </c>
      <c r="O52" s="329">
        <f>VLOOKUP($C52,ОСВ_авт!$C$9:$F$268,3,0)</f>
        <v>0</v>
      </c>
      <c r="P52" s="330">
        <f>VLOOKUP($C52,ОСВ_авт!$C$9:$F$268,4,0)</f>
        <v>0</v>
      </c>
      <c r="R52" s="329" t="b">
        <f t="shared" si="4"/>
        <v>1</v>
      </c>
      <c r="S52" s="330" t="b">
        <f t="shared" si="2"/>
        <v>1</v>
      </c>
    </row>
    <row r="53" spans="2:19">
      <c r="B53" s="113"/>
      <c r="C53" s="335" t="s">
        <v>4565</v>
      </c>
      <c r="D53" s="53" t="s">
        <v>4566</v>
      </c>
      <c r="E53" s="55"/>
      <c r="F53" s="56"/>
      <c r="G53" s="56"/>
      <c r="H53" s="56"/>
      <c r="I53" s="56"/>
      <c r="J53" s="57"/>
      <c r="L53" s="329">
        <f t="shared" si="3"/>
        <v>0</v>
      </c>
      <c r="M53" s="330">
        <f t="shared" si="0"/>
        <v>0</v>
      </c>
      <c r="O53" s="329">
        <f>VLOOKUP($C53,ОСВ_авт!$C$9:$F$268,3,0)</f>
        <v>0</v>
      </c>
      <c r="P53" s="330">
        <f>VLOOKUP($C53,ОСВ_авт!$C$9:$F$268,4,0)</f>
        <v>0</v>
      </c>
      <c r="R53" s="329" t="b">
        <f t="shared" si="4"/>
        <v>1</v>
      </c>
      <c r="S53" s="330" t="b">
        <f t="shared" si="2"/>
        <v>1</v>
      </c>
    </row>
    <row r="54" spans="2:19">
      <c r="B54" s="113"/>
      <c r="C54" s="335">
        <v>80</v>
      </c>
      <c r="D54" s="53" t="s">
        <v>4567</v>
      </c>
      <c r="E54" s="55"/>
      <c r="F54" s="56"/>
      <c r="G54" s="56"/>
      <c r="H54" s="56"/>
      <c r="I54" s="56"/>
      <c r="J54" s="57"/>
      <c r="L54" s="329">
        <f t="shared" si="3"/>
        <v>0</v>
      </c>
      <c r="M54" s="330">
        <f t="shared" si="0"/>
        <v>0</v>
      </c>
      <c r="O54" s="329">
        <f>VLOOKUP($C54,ОСВ_авт!$C$9:$F$268,3,0)</f>
        <v>0</v>
      </c>
      <c r="P54" s="330">
        <f>VLOOKUP($C54,ОСВ_авт!$C$9:$F$268,4,0)</f>
        <v>0</v>
      </c>
      <c r="R54" s="329" t="b">
        <f t="shared" si="4"/>
        <v>1</v>
      </c>
      <c r="S54" s="330" t="b">
        <f t="shared" si="2"/>
        <v>1</v>
      </c>
    </row>
    <row r="55" spans="2:19">
      <c r="B55" s="113"/>
      <c r="C55" s="335">
        <v>81</v>
      </c>
      <c r="D55" s="53" t="s">
        <v>4568</v>
      </c>
      <c r="E55" s="55"/>
      <c r="F55" s="56"/>
      <c r="G55" s="56"/>
      <c r="H55" s="56"/>
      <c r="I55" s="56"/>
      <c r="J55" s="57"/>
      <c r="L55" s="329">
        <f t="shared" si="3"/>
        <v>0</v>
      </c>
      <c r="M55" s="330">
        <f t="shared" si="0"/>
        <v>0</v>
      </c>
      <c r="O55" s="329">
        <f>VLOOKUP($C55,ОСВ_авт!$C$9:$F$268,3,0)</f>
        <v>0</v>
      </c>
      <c r="P55" s="330">
        <f>VLOOKUP($C55,ОСВ_авт!$C$9:$F$268,4,0)</f>
        <v>0</v>
      </c>
      <c r="R55" s="329" t="b">
        <f t="shared" si="4"/>
        <v>1</v>
      </c>
      <c r="S55" s="330" t="b">
        <f t="shared" si="2"/>
        <v>1</v>
      </c>
    </row>
    <row r="56" spans="2:19">
      <c r="B56" s="113"/>
      <c r="C56" s="335">
        <v>82</v>
      </c>
      <c r="D56" s="53" t="s">
        <v>4569</v>
      </c>
      <c r="E56" s="55"/>
      <c r="F56" s="56"/>
      <c r="G56" s="56"/>
      <c r="H56" s="56"/>
      <c r="I56" s="56"/>
      <c r="J56" s="57"/>
      <c r="L56" s="329">
        <f t="shared" si="3"/>
        <v>0</v>
      </c>
      <c r="M56" s="330">
        <f t="shared" si="0"/>
        <v>0</v>
      </c>
      <c r="O56" s="329">
        <f>VLOOKUP($C56,ОСВ_авт!$C$9:$F$268,3,0)</f>
        <v>0</v>
      </c>
      <c r="P56" s="330">
        <f>VLOOKUP($C56,ОСВ_авт!$C$9:$F$268,4,0)</f>
        <v>0</v>
      </c>
      <c r="R56" s="329" t="b">
        <f t="shared" si="4"/>
        <v>1</v>
      </c>
      <c r="S56" s="330" t="b">
        <f t="shared" si="2"/>
        <v>1</v>
      </c>
    </row>
    <row r="57" spans="2:19">
      <c r="B57" s="113"/>
      <c r="C57" s="335">
        <v>83</v>
      </c>
      <c r="D57" s="53" t="s">
        <v>4574</v>
      </c>
      <c r="E57" s="55"/>
      <c r="F57" s="56"/>
      <c r="G57" s="56"/>
      <c r="H57" s="56"/>
      <c r="I57" s="56"/>
      <c r="J57" s="57"/>
      <c r="L57" s="329">
        <f t="shared" si="3"/>
        <v>0</v>
      </c>
      <c r="M57" s="330">
        <f t="shared" si="0"/>
        <v>0</v>
      </c>
      <c r="O57" s="329">
        <f>VLOOKUP($C57,ОСВ_авт!$C$9:$F$268,3,0)</f>
        <v>0</v>
      </c>
      <c r="P57" s="330">
        <f>VLOOKUP($C57,ОСВ_авт!$C$9:$F$268,4,0)</f>
        <v>0</v>
      </c>
      <c r="R57" s="329" t="b">
        <f t="shared" si="4"/>
        <v>1</v>
      </c>
      <c r="S57" s="330" t="b">
        <f t="shared" si="2"/>
        <v>1</v>
      </c>
    </row>
    <row r="58" spans="2:19">
      <c r="B58" s="113"/>
      <c r="C58" s="335" t="s">
        <v>4579</v>
      </c>
      <c r="D58" s="53" t="s">
        <v>4580</v>
      </c>
      <c r="E58" s="55"/>
      <c r="F58" s="56"/>
      <c r="G58" s="56"/>
      <c r="H58" s="56"/>
      <c r="I58" s="56"/>
      <c r="J58" s="57"/>
      <c r="L58" s="329">
        <f t="shared" si="3"/>
        <v>0</v>
      </c>
      <c r="M58" s="330">
        <f t="shared" si="0"/>
        <v>0</v>
      </c>
      <c r="O58" s="329">
        <f>VLOOKUP($C58,ОСВ_авт!$C$9:$F$268,3,0)</f>
        <v>0</v>
      </c>
      <c r="P58" s="330">
        <f>VLOOKUP($C58,ОСВ_авт!$C$9:$F$268,4,0)</f>
        <v>0</v>
      </c>
      <c r="R58" s="329" t="b">
        <f t="shared" si="4"/>
        <v>1</v>
      </c>
      <c r="S58" s="330" t="b">
        <f t="shared" si="2"/>
        <v>1</v>
      </c>
    </row>
    <row r="59" spans="2:19">
      <c r="B59" s="113"/>
      <c r="C59" s="335" t="s">
        <v>4585</v>
      </c>
      <c r="D59" s="53" t="s">
        <v>4586</v>
      </c>
      <c r="E59" s="55"/>
      <c r="F59" s="56"/>
      <c r="G59" s="56"/>
      <c r="H59" s="56"/>
      <c r="I59" s="56"/>
      <c r="J59" s="57"/>
      <c r="L59" s="329">
        <f t="shared" si="3"/>
        <v>0</v>
      </c>
      <c r="M59" s="330">
        <f t="shared" si="0"/>
        <v>0</v>
      </c>
      <c r="O59" s="329">
        <f>VLOOKUP($C59,ОСВ_авт!$C$9:$F$268,3,0)</f>
        <v>0</v>
      </c>
      <c r="P59" s="330">
        <f>VLOOKUP($C59,ОСВ_авт!$C$9:$F$268,4,0)</f>
        <v>0</v>
      </c>
      <c r="R59" s="329" t="b">
        <f t="shared" si="4"/>
        <v>1</v>
      </c>
      <c r="S59" s="330" t="b">
        <f t="shared" si="2"/>
        <v>1</v>
      </c>
    </row>
    <row r="60" spans="2:19">
      <c r="B60" s="113"/>
      <c r="C60" s="335" t="s">
        <v>4595</v>
      </c>
      <c r="D60" s="53" t="s">
        <v>4596</v>
      </c>
      <c r="E60" s="55"/>
      <c r="F60" s="56"/>
      <c r="G60" s="56"/>
      <c r="H60" s="56"/>
      <c r="I60" s="56"/>
      <c r="J60" s="57"/>
      <c r="L60" s="329">
        <f t="shared" si="3"/>
        <v>0</v>
      </c>
      <c r="M60" s="330">
        <f t="shared" si="0"/>
        <v>0</v>
      </c>
      <c r="O60" s="329">
        <f>VLOOKUP($C60,ОСВ_авт!$C$9:$F$268,3,0)</f>
        <v>0</v>
      </c>
      <c r="P60" s="330">
        <f>VLOOKUP($C60,ОСВ_авт!$C$9:$F$268,4,0)</f>
        <v>0</v>
      </c>
      <c r="R60" s="329" t="b">
        <f t="shared" si="4"/>
        <v>1</v>
      </c>
      <c r="S60" s="330" t="b">
        <f t="shared" si="2"/>
        <v>1</v>
      </c>
    </row>
    <row r="61" spans="2:19">
      <c r="B61" s="113"/>
      <c r="C61" s="335" t="s">
        <v>4622</v>
      </c>
      <c r="D61" s="53" t="s">
        <v>4623</v>
      </c>
      <c r="E61" s="55"/>
      <c r="F61" s="56"/>
      <c r="G61" s="56"/>
      <c r="H61" s="56"/>
      <c r="I61" s="56"/>
      <c r="J61" s="57"/>
      <c r="L61" s="329">
        <f t="shared" si="3"/>
        <v>0</v>
      </c>
      <c r="M61" s="330">
        <f t="shared" si="0"/>
        <v>0</v>
      </c>
      <c r="O61" s="329">
        <f>VLOOKUP($C61,ОСВ_авт!$C$9:$F$268,3,0)</f>
        <v>0</v>
      </c>
      <c r="P61" s="330">
        <f>VLOOKUP($C61,ОСВ_авт!$C$9:$F$268,4,0)</f>
        <v>0</v>
      </c>
      <c r="R61" s="329" t="b">
        <f t="shared" si="4"/>
        <v>1</v>
      </c>
      <c r="S61" s="330" t="b">
        <f t="shared" si="2"/>
        <v>1</v>
      </c>
    </row>
    <row r="62" spans="2:19">
      <c r="B62" s="113"/>
      <c r="C62" s="335" t="s">
        <v>4630</v>
      </c>
      <c r="D62" s="53" t="s">
        <v>4631</v>
      </c>
      <c r="E62" s="55"/>
      <c r="F62" s="56"/>
      <c r="G62" s="56"/>
      <c r="H62" s="56"/>
      <c r="I62" s="56"/>
      <c r="J62" s="57"/>
      <c r="L62" s="329">
        <f t="shared" si="3"/>
        <v>0</v>
      </c>
      <c r="M62" s="330">
        <f t="shared" si="0"/>
        <v>0</v>
      </c>
      <c r="O62" s="329">
        <f>VLOOKUP($C62,ОСВ_авт!$C$9:$F$268,3,0)</f>
        <v>0</v>
      </c>
      <c r="P62" s="330">
        <f>VLOOKUP($C62,ОСВ_авт!$C$9:$F$268,4,0)</f>
        <v>0</v>
      </c>
      <c r="R62" s="329" t="b">
        <f t="shared" si="4"/>
        <v>1</v>
      </c>
      <c r="S62" s="330" t="b">
        <f t="shared" si="2"/>
        <v>1</v>
      </c>
    </row>
    <row r="63" spans="2:19">
      <c r="B63" s="113"/>
      <c r="C63" s="335">
        <v>96</v>
      </c>
      <c r="D63" s="53" t="s">
        <v>4632</v>
      </c>
      <c r="E63" s="55"/>
      <c r="F63" s="56"/>
      <c r="G63" s="56"/>
      <c r="H63" s="56"/>
      <c r="I63" s="56"/>
      <c r="J63" s="57"/>
      <c r="L63" s="329">
        <f t="shared" si="3"/>
        <v>0</v>
      </c>
      <c r="M63" s="330">
        <f t="shared" si="0"/>
        <v>0</v>
      </c>
      <c r="O63" s="329">
        <f>VLOOKUP($C63,ОСВ_авт!$C$9:$F$268,3,0)</f>
        <v>0</v>
      </c>
      <c r="P63" s="330">
        <f>VLOOKUP($C63,ОСВ_авт!$C$9:$F$268,4,0)</f>
        <v>0</v>
      </c>
      <c r="R63" s="329" t="b">
        <f t="shared" si="4"/>
        <v>1</v>
      </c>
      <c r="S63" s="330" t="b">
        <f t="shared" si="2"/>
        <v>1</v>
      </c>
    </row>
    <row r="64" spans="2:19">
      <c r="B64" s="113"/>
      <c r="C64" s="335">
        <v>97</v>
      </c>
      <c r="D64" s="53" t="s">
        <v>4637</v>
      </c>
      <c r="E64" s="55"/>
      <c r="F64" s="56"/>
      <c r="G64" s="56"/>
      <c r="H64" s="56"/>
      <c r="I64" s="56"/>
      <c r="J64" s="57"/>
      <c r="L64" s="329">
        <f t="shared" si="3"/>
        <v>0</v>
      </c>
      <c r="M64" s="330">
        <f t="shared" si="0"/>
        <v>0</v>
      </c>
      <c r="O64" s="329">
        <f>VLOOKUP($C64,ОСВ_авт!$C$9:$F$268,3,0)</f>
        <v>0</v>
      </c>
      <c r="P64" s="330">
        <f>VLOOKUP($C64,ОСВ_авт!$C$9:$F$268,4,0)</f>
        <v>0</v>
      </c>
      <c r="R64" s="329" t="b">
        <f t="shared" si="4"/>
        <v>1</v>
      </c>
      <c r="S64" s="330" t="b">
        <f t="shared" si="2"/>
        <v>1</v>
      </c>
    </row>
    <row r="65" spans="2:19">
      <c r="B65" s="113"/>
      <c r="C65" s="335" t="s">
        <v>4642</v>
      </c>
      <c r="D65" s="53" t="s">
        <v>4643</v>
      </c>
      <c r="E65" s="55"/>
      <c r="F65" s="56"/>
      <c r="G65" s="56"/>
      <c r="H65" s="56"/>
      <c r="I65" s="56"/>
      <c r="J65" s="57"/>
      <c r="L65" s="329">
        <f t="shared" si="3"/>
        <v>0</v>
      </c>
      <c r="M65" s="330">
        <f t="shared" si="0"/>
        <v>0</v>
      </c>
      <c r="O65" s="329">
        <f>VLOOKUP($C65,ОСВ_авт!$C$9:$F$268,3,0)</f>
        <v>0</v>
      </c>
      <c r="P65" s="330">
        <f>VLOOKUP($C65,ОСВ_авт!$C$9:$F$268,4,0)</f>
        <v>0</v>
      </c>
      <c r="R65" s="329" t="b">
        <f t="shared" si="4"/>
        <v>1</v>
      </c>
      <c r="S65" s="330" t="b">
        <f t="shared" si="2"/>
        <v>1</v>
      </c>
    </row>
    <row r="66" spans="2:19" ht="15" thickBot="1">
      <c r="B66" s="113"/>
      <c r="C66" s="336" t="s">
        <v>4645</v>
      </c>
      <c r="D66" s="58" t="s">
        <v>4646</v>
      </c>
      <c r="E66" s="59"/>
      <c r="F66" s="60"/>
      <c r="G66" s="60"/>
      <c r="H66" s="60"/>
      <c r="I66" s="60"/>
      <c r="J66" s="61"/>
      <c r="L66" s="331">
        <f t="shared" si="3"/>
        <v>0</v>
      </c>
      <c r="M66" s="332">
        <f t="shared" si="0"/>
        <v>0</v>
      </c>
      <c r="O66" s="331">
        <f>VLOOKUP($C66,ОСВ_авт!$C$9:$F$268,3,0)</f>
        <v>0</v>
      </c>
      <c r="P66" s="332">
        <f>VLOOKUP($C66,ОСВ_авт!$C$9:$F$268,4,0)</f>
        <v>0</v>
      </c>
      <c r="R66" s="331" t="b">
        <f t="shared" si="4"/>
        <v>1</v>
      </c>
      <c r="S66" s="2022" t="b">
        <f t="shared" si="2"/>
        <v>1</v>
      </c>
    </row>
  </sheetData>
  <sheetProtection algorithmName="SHA-512" hashValue="/iZNpEB0PXg+o1G+WeaHU4SG1NT9XMAlpPuJbNabVuWoGT6HEwoiflY5L8/FqPCE5faNDH7nKWyxwScQyrRPtg==" saltValue="Ym15ekthzuhT0LOH3jRCEg==" spinCount="100000" sheet="1" objects="1" scenarios="1" formatColumns="0" formatRows="0" autoFilter="0"/>
  <autoFilter ref="C3:S4">
    <filterColumn colId="2" showButton="0"/>
    <filterColumn colId="3" showButton="0"/>
    <filterColumn colId="4" showButton="0"/>
    <filterColumn colId="5" showButton="0"/>
    <filterColumn colId="6" showButton="0"/>
    <filterColumn colId="12" showButton="0"/>
  </autoFilter>
  <customSheetViews>
    <customSheetView guid="{3769259D-9653-4B34-A2F6-4FB6F9F4E533}" scale="70" showGridLines="0" hiddenRows="1" hiddenColumns="1" topLeftCell="B3">
      <selection activeCell="E15" sqref="E15"/>
      <pageMargins left="0.7" right="0.7" top="0.75" bottom="0.75" header="0.3" footer="0.3"/>
      <pageSetup paperSize="9" orientation="portrait" r:id="rId1"/>
    </customSheetView>
    <customSheetView guid="{40D7A2BB-326C-4ED3-999C-17852F56D6F4}" scale="70" showGridLines="0" hiddenRows="1" hiddenColumns="1" topLeftCell="B3">
      <selection activeCell="E15" sqref="E15"/>
      <pageMargins left="0.7" right="0.7" top="0.75" bottom="0.75" header="0.3" footer="0.3"/>
      <pageSetup paperSize="9" orientation="portrait" r:id="rId2"/>
    </customSheetView>
    <customSheetView guid="{5D121940-0CE8-4A0E-A493-67FAAA6E0FF8}" scale="70" showGridLines="0" hiddenColumns="1" topLeftCell="E1">
      <selection activeCell="O3" sqref="O3:P3"/>
      <pageMargins left="0.7" right="0.7" top="0.75" bottom="0.75" header="0.3" footer="0.3"/>
      <pageSetup paperSize="9" orientation="portrait" r:id="rId3"/>
    </customSheetView>
    <customSheetView guid="{4D957B38-5430-481E-B791-E0A66F913B50}" scale="70">
      <pageMargins left="0.7" right="0.7" top="0.75" bottom="0.75" header="0.3" footer="0.3"/>
    </customSheetView>
    <customSheetView guid="{1C36793E-2B7E-411E-AA99-985D5D59B75A}" scale="70">
      <selection activeCell="J17" sqref="J17"/>
      <pageMargins left="0.7" right="0.7" top="0.75" bottom="0.75" header="0.3" footer="0.3"/>
    </customSheetView>
    <customSheetView guid="{C913A9E8-661B-40A4-A3C9-1BC5F2B2E9F0}" scale="70" showGridLines="0" hiddenColumns="1" topLeftCell="E1">
      <selection activeCell="O3" sqref="O3:P3"/>
      <pageMargins left="0.7" right="0.7" top="0.75" bottom="0.75" header="0.3" footer="0.3"/>
      <pageSetup paperSize="9" orientation="portrait" r:id="rId4"/>
    </customSheetView>
  </customSheetViews>
  <mergeCells count="8">
    <mergeCell ref="C3:C4"/>
    <mergeCell ref="E3:J3"/>
    <mergeCell ref="E4:F4"/>
    <mergeCell ref="I4:J4"/>
    <mergeCell ref="S3:S4"/>
    <mergeCell ref="O3:P3"/>
    <mergeCell ref="R3:R4"/>
    <mergeCell ref="D3:D4"/>
  </mergeCells>
  <phoneticPr fontId="0" type="noConversion"/>
  <hyperlinks>
    <hyperlink ref="I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0" orientation="landscape"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pageSetUpPr fitToPage="1"/>
  </sheetPr>
  <dimension ref="A1:T39"/>
  <sheetViews>
    <sheetView topLeftCell="B2" zoomScale="50" zoomScaleNormal="50" workbookViewId="0">
      <selection activeCell="F17" sqref="F17"/>
    </sheetView>
  </sheetViews>
  <sheetFormatPr defaultColWidth="8.54296875" defaultRowHeight="12.5"/>
  <cols>
    <col min="1" max="1" width="10.81640625" style="3041" hidden="1" customWidth="1"/>
    <col min="2" max="2" width="8" style="24" customWidth="1"/>
    <col min="3" max="3" width="18.54296875" style="24" customWidth="1"/>
    <col min="4" max="4" width="40" style="24" customWidth="1"/>
    <col min="5" max="5" width="17.54296875" style="24" customWidth="1"/>
    <col min="6" max="10" width="17.453125" style="24" customWidth="1"/>
    <col min="11" max="13" width="15.453125" style="24" customWidth="1"/>
    <col min="14" max="18" width="14.54296875" style="24" customWidth="1"/>
    <col min="19" max="19" width="20.453125" style="24" customWidth="1"/>
    <col min="20" max="20" width="16.453125" style="2103" customWidth="1"/>
    <col min="21" max="16384" width="8.54296875" style="24"/>
  </cols>
  <sheetData>
    <row r="1" spans="1:20" s="2101" customFormat="1" ht="25.5" hidden="1" customHeight="1">
      <c r="A1" s="3039" t="s">
        <v>743</v>
      </c>
      <c r="E1" s="2101" t="s">
        <v>1226</v>
      </c>
      <c r="F1" s="2101" t="s">
        <v>1227</v>
      </c>
      <c r="G1" s="2101" t="s">
        <v>10154</v>
      </c>
      <c r="H1" s="2101" t="s">
        <v>10155</v>
      </c>
      <c r="I1" s="2101" t="s">
        <v>10156</v>
      </c>
      <c r="J1" s="2101" t="s">
        <v>10157</v>
      </c>
      <c r="K1" s="2101" t="s">
        <v>1228</v>
      </c>
      <c r="L1" s="2101" t="s">
        <v>1229</v>
      </c>
      <c r="M1" s="2101" t="s">
        <v>299</v>
      </c>
      <c r="N1" s="2101" t="s">
        <v>300</v>
      </c>
      <c r="O1" s="2101" t="s">
        <v>10158</v>
      </c>
      <c r="P1" s="2101" t="s">
        <v>10159</v>
      </c>
      <c r="Q1" s="2101" t="s">
        <v>10160</v>
      </c>
      <c r="R1" s="2101" t="s">
        <v>10161</v>
      </c>
      <c r="S1" s="2210"/>
    </row>
    <row r="2" spans="1:20" s="10" customFormat="1" ht="14.5">
      <c r="A2" s="3040"/>
      <c r="E2"/>
      <c r="T2" s="2102"/>
    </row>
    <row r="3" spans="1:20" s="10" customFormat="1" ht="13">
      <c r="A3" s="3040"/>
      <c r="C3" s="11" t="s">
        <v>7488</v>
      </c>
      <c r="M3" s="603"/>
      <c r="T3" s="2102"/>
    </row>
    <row r="4" spans="1:20" s="10" customFormat="1" ht="26">
      <c r="A4" s="3040"/>
      <c r="E4" s="1897" t="s">
        <v>2067</v>
      </c>
      <c r="F4" s="1244">
        <f>Содержание!$D$2</f>
        <v>0</v>
      </c>
      <c r="G4" s="3044" t="s">
        <v>1436</v>
      </c>
      <c r="T4" s="2102"/>
    </row>
    <row r="5" spans="1:20" s="10" customFormat="1" ht="14.5">
      <c r="A5" s="3040"/>
      <c r="C5" s="11"/>
      <c r="D5" s="11"/>
      <c r="E5" s="1897" t="s">
        <v>2075</v>
      </c>
      <c r="F5" s="1244" t="str">
        <f>Содержание!$D$15</f>
        <v>2022 год</v>
      </c>
      <c r="L5"/>
      <c r="T5" s="2102"/>
    </row>
    <row r="6" spans="1:20" ht="13" thickBot="1">
      <c r="G6" s="10"/>
    </row>
    <row r="7" spans="1:20" ht="52">
      <c r="C7" s="2728" t="s">
        <v>2860</v>
      </c>
      <c r="D7" s="2726" t="s">
        <v>1752</v>
      </c>
      <c r="E7" s="2726" t="s">
        <v>1753</v>
      </c>
      <c r="F7" s="2726" t="s">
        <v>1754</v>
      </c>
      <c r="G7" s="3226" t="s">
        <v>10034</v>
      </c>
      <c r="H7" s="3226" t="s">
        <v>10056</v>
      </c>
      <c r="I7" s="3226" t="s">
        <v>10057</v>
      </c>
      <c r="J7" s="3226" t="s">
        <v>10058</v>
      </c>
      <c r="K7" s="2726" t="s">
        <v>4955</v>
      </c>
      <c r="L7" s="2726" t="s">
        <v>4956</v>
      </c>
      <c r="M7" s="2726" t="s">
        <v>1755</v>
      </c>
      <c r="N7" s="2726" t="s">
        <v>1756</v>
      </c>
      <c r="O7" s="3226" t="s">
        <v>10034</v>
      </c>
      <c r="P7" s="3226" t="s">
        <v>10056</v>
      </c>
      <c r="Q7" s="3226" t="s">
        <v>10057</v>
      </c>
      <c r="R7" s="3226" t="s">
        <v>10058</v>
      </c>
      <c r="S7" s="2727" t="s">
        <v>4183</v>
      </c>
      <c r="T7" s="2103" t="b">
        <f>AND(T8:T37)</f>
        <v>1</v>
      </c>
    </row>
    <row r="8" spans="1:20" s="635" customFormat="1" ht="10">
      <c r="A8" s="3042"/>
      <c r="C8" s="636" t="s">
        <v>4164</v>
      </c>
      <c r="D8" s="637" t="s">
        <v>4165</v>
      </c>
      <c r="E8" s="637" t="s">
        <v>4166</v>
      </c>
      <c r="F8" s="637" t="s">
        <v>5500</v>
      </c>
      <c r="G8" s="637" t="s">
        <v>4169</v>
      </c>
      <c r="H8" s="637" t="s">
        <v>4168</v>
      </c>
      <c r="I8" s="637" t="s">
        <v>4178</v>
      </c>
      <c r="J8" s="637" t="s">
        <v>4179</v>
      </c>
      <c r="K8" s="637" t="s">
        <v>4167</v>
      </c>
      <c r="L8" s="637" t="s">
        <v>5501</v>
      </c>
      <c r="M8" s="637" t="s">
        <v>4701</v>
      </c>
      <c r="N8" s="637" t="s">
        <v>4702</v>
      </c>
      <c r="O8" s="637" t="s">
        <v>4703</v>
      </c>
      <c r="P8" s="637" t="s">
        <v>5502</v>
      </c>
      <c r="Q8" s="637" t="s">
        <v>5503</v>
      </c>
      <c r="R8" s="637" t="s">
        <v>5504</v>
      </c>
      <c r="S8" s="638" t="s">
        <v>4853</v>
      </c>
      <c r="T8" s="2104"/>
    </row>
    <row r="9" spans="1:20">
      <c r="A9" s="3041" t="str">
        <f>"R10="&amp;C9&amp;";COM="&amp;S9</f>
        <v>R10=11;COM=</v>
      </c>
      <c r="B9" s="567" t="s">
        <v>5536</v>
      </c>
      <c r="C9" s="303">
        <v>11</v>
      </c>
      <c r="D9" s="604" t="s">
        <v>3436</v>
      </c>
      <c r="E9" s="1409"/>
      <c r="F9" s="2210" t="s">
        <v>4184</v>
      </c>
      <c r="G9" s="2210" t="s">
        <v>4184</v>
      </c>
      <c r="H9" s="2210" t="s">
        <v>4184</v>
      </c>
      <c r="I9" s="2210"/>
      <c r="J9" s="2210"/>
      <c r="K9" s="1409"/>
      <c r="L9" s="1409"/>
      <c r="M9" s="1376">
        <f>E9+K9+L9</f>
        <v>0</v>
      </c>
      <c r="N9" s="2210" t="s">
        <v>4184</v>
      </c>
      <c r="O9" s="2210" t="s">
        <v>4184</v>
      </c>
      <c r="P9" s="2210" t="s">
        <v>4184</v>
      </c>
      <c r="Q9" s="3276"/>
      <c r="R9" s="3276"/>
      <c r="S9" s="2211"/>
      <c r="T9" s="2103" t="b">
        <f>AND(E9&gt;=0,M9&gt;=0,K9&gt;=0,L9&lt;=0)</f>
        <v>1</v>
      </c>
    </row>
    <row r="10" spans="1:20" ht="25">
      <c r="A10" s="3277"/>
      <c r="B10" s="567"/>
      <c r="C10" s="3279" t="s">
        <v>3437</v>
      </c>
      <c r="D10" s="604" t="s">
        <v>3438</v>
      </c>
      <c r="E10" s="2210" t="s">
        <v>4184</v>
      </c>
      <c r="F10" s="1376">
        <f>SUM(F11:F18)</f>
        <v>0</v>
      </c>
      <c r="G10" s="2210" t="s">
        <v>4184</v>
      </c>
      <c r="H10" s="2210" t="s">
        <v>4184</v>
      </c>
      <c r="I10" s="1376">
        <f>SUM(I11:I18)</f>
        <v>0</v>
      </c>
      <c r="J10" s="1376">
        <f>SUM(J11:J18)</f>
        <v>0</v>
      </c>
      <c r="K10" s="2210" t="s">
        <v>4184</v>
      </c>
      <c r="L10" s="2210" t="s">
        <v>4184</v>
      </c>
      <c r="M10" s="2210" t="s">
        <v>4184</v>
      </c>
      <c r="N10" s="1376">
        <f>SUM(N11:N18)</f>
        <v>0</v>
      </c>
      <c r="O10" s="2210" t="s">
        <v>4184</v>
      </c>
      <c r="P10" s="2210" t="s">
        <v>4184</v>
      </c>
      <c r="Q10" s="1376">
        <f>SUM(Q11:Q18)</f>
        <v>0</v>
      </c>
      <c r="R10" s="1376">
        <f>SUM(R11:R18)</f>
        <v>0</v>
      </c>
      <c r="S10" s="2211"/>
      <c r="T10" s="3010"/>
    </row>
    <row r="11" spans="1:20" ht="29">
      <c r="A11" s="3041" t="str">
        <f t="shared" ref="A11:A21" si="0">"R10="&amp;C11&amp;";COM="&amp;S11</f>
        <v>R10=14.01;COM=</v>
      </c>
      <c r="B11" s="567"/>
      <c r="C11" s="47" t="s">
        <v>3439</v>
      </c>
      <c r="D11" s="42" t="s">
        <v>3440</v>
      </c>
      <c r="E11" s="2210" t="s">
        <v>4184</v>
      </c>
      <c r="F11" s="1376">
        <f>ОСВ_авт!E45</f>
        <v>0</v>
      </c>
      <c r="G11" s="2210" t="s">
        <v>4184</v>
      </c>
      <c r="H11" s="2210" t="s">
        <v>4184</v>
      </c>
      <c r="I11" s="2212"/>
      <c r="J11" s="2210">
        <f t="shared" ref="J11:J16" si="1">F11-I11</f>
        <v>0</v>
      </c>
      <c r="K11" s="2210" t="s">
        <v>4184</v>
      </c>
      <c r="L11" s="2210" t="s">
        <v>4184</v>
      </c>
      <c r="M11" s="2210" t="s">
        <v>4184</v>
      </c>
      <c r="N11" s="1376">
        <f>ОСВ_авт!F45</f>
        <v>0</v>
      </c>
      <c r="O11" s="2210" t="s">
        <v>4184</v>
      </c>
      <c r="P11" s="2210" t="s">
        <v>4184</v>
      </c>
      <c r="Q11" s="2212"/>
      <c r="R11" s="3276">
        <f t="shared" ref="R11:R16" si="2">N11-Q11</f>
        <v>0</v>
      </c>
      <c r="S11" s="2211"/>
      <c r="T11" s="3010"/>
    </row>
    <row r="12" spans="1:20" ht="14.5">
      <c r="A12" s="3041" t="str">
        <f t="shared" si="0"/>
        <v>R10=14.02;COM=</v>
      </c>
      <c r="B12" s="567"/>
      <c r="C12" s="47" t="s">
        <v>3441</v>
      </c>
      <c r="D12" s="42" t="s">
        <v>3442</v>
      </c>
      <c r="E12" s="2210" t="s">
        <v>4184</v>
      </c>
      <c r="F12" s="1376">
        <f>ОСВ_авт!E46</f>
        <v>0</v>
      </c>
      <c r="G12" s="2210" t="s">
        <v>4184</v>
      </c>
      <c r="H12" s="2210" t="s">
        <v>4184</v>
      </c>
      <c r="I12" s="2212"/>
      <c r="J12" s="2210">
        <f t="shared" si="1"/>
        <v>0</v>
      </c>
      <c r="K12" s="2210" t="s">
        <v>4184</v>
      </c>
      <c r="L12" s="2210" t="s">
        <v>4184</v>
      </c>
      <c r="M12" s="2210" t="s">
        <v>4184</v>
      </c>
      <c r="N12" s="1376">
        <f>ОСВ_авт!F46</f>
        <v>0</v>
      </c>
      <c r="O12" s="2210" t="s">
        <v>4184</v>
      </c>
      <c r="P12" s="2210" t="s">
        <v>4184</v>
      </c>
      <c r="Q12" s="2212"/>
      <c r="R12" s="3276">
        <f t="shared" si="2"/>
        <v>0</v>
      </c>
      <c r="S12" s="2211"/>
      <c r="T12" s="3010"/>
    </row>
    <row r="13" spans="1:20" ht="29">
      <c r="A13" s="3041" t="str">
        <f t="shared" si="0"/>
        <v>R10=14.03;COM=</v>
      </c>
      <c r="B13" s="567"/>
      <c r="C13" s="47" t="s">
        <v>3443</v>
      </c>
      <c r="D13" s="42" t="s">
        <v>3444</v>
      </c>
      <c r="E13" s="2210" t="s">
        <v>4184</v>
      </c>
      <c r="F13" s="1376">
        <f>ОСВ_авт!E47</f>
        <v>0</v>
      </c>
      <c r="G13" s="2210" t="s">
        <v>4184</v>
      </c>
      <c r="H13" s="2210" t="s">
        <v>4184</v>
      </c>
      <c r="I13" s="2212"/>
      <c r="J13" s="2210">
        <f t="shared" si="1"/>
        <v>0</v>
      </c>
      <c r="K13" s="2210" t="s">
        <v>4184</v>
      </c>
      <c r="L13" s="2210" t="s">
        <v>4184</v>
      </c>
      <c r="M13" s="2210" t="s">
        <v>4184</v>
      </c>
      <c r="N13" s="1376">
        <f>ОСВ_авт!F47</f>
        <v>0</v>
      </c>
      <c r="O13" s="2210" t="s">
        <v>4184</v>
      </c>
      <c r="P13" s="2210" t="s">
        <v>4184</v>
      </c>
      <c r="Q13" s="2212"/>
      <c r="R13" s="3276">
        <f t="shared" si="2"/>
        <v>0</v>
      </c>
      <c r="S13" s="2211"/>
      <c r="T13" s="3010"/>
    </row>
    <row r="14" spans="1:20" ht="29">
      <c r="A14" s="3041" t="str">
        <f t="shared" si="0"/>
        <v>R10=14.04;COM=</v>
      </c>
      <c r="B14" s="567"/>
      <c r="C14" s="47" t="s">
        <v>3445</v>
      </c>
      <c r="D14" s="42" t="s">
        <v>3446</v>
      </c>
      <c r="E14" s="2210" t="s">
        <v>4184</v>
      </c>
      <c r="F14" s="1376">
        <f>ОСВ_авт!E48</f>
        <v>0</v>
      </c>
      <c r="G14" s="2210" t="s">
        <v>4184</v>
      </c>
      <c r="H14" s="2210" t="s">
        <v>4184</v>
      </c>
      <c r="I14" s="2212"/>
      <c r="J14" s="2210">
        <f t="shared" si="1"/>
        <v>0</v>
      </c>
      <c r="K14" s="2210" t="s">
        <v>4184</v>
      </c>
      <c r="L14" s="2210" t="s">
        <v>4184</v>
      </c>
      <c r="M14" s="2210" t="s">
        <v>4184</v>
      </c>
      <c r="N14" s="1376">
        <f>ОСВ_авт!F48</f>
        <v>0</v>
      </c>
      <c r="O14" s="2210" t="s">
        <v>4184</v>
      </c>
      <c r="P14" s="2210" t="s">
        <v>4184</v>
      </c>
      <c r="Q14" s="2212"/>
      <c r="R14" s="3276">
        <f t="shared" si="2"/>
        <v>0</v>
      </c>
      <c r="S14" s="2211"/>
      <c r="T14" s="3010"/>
    </row>
    <row r="15" spans="1:20" ht="29">
      <c r="A15" s="3041" t="str">
        <f t="shared" si="0"/>
        <v>R10=14.05;COM=</v>
      </c>
      <c r="B15" s="567"/>
      <c r="C15" s="47" t="s">
        <v>3447</v>
      </c>
      <c r="D15" s="42" t="s">
        <v>3448</v>
      </c>
      <c r="E15" s="2210" t="s">
        <v>4184</v>
      </c>
      <c r="F15" s="1376">
        <f>ОСВ_авт!E49</f>
        <v>0</v>
      </c>
      <c r="G15" s="2210" t="s">
        <v>4184</v>
      </c>
      <c r="H15" s="2210" t="s">
        <v>4184</v>
      </c>
      <c r="I15" s="2212"/>
      <c r="J15" s="2210">
        <f t="shared" si="1"/>
        <v>0</v>
      </c>
      <c r="K15" s="2210" t="s">
        <v>4184</v>
      </c>
      <c r="L15" s="2210" t="s">
        <v>4184</v>
      </c>
      <c r="M15" s="2210" t="s">
        <v>4184</v>
      </c>
      <c r="N15" s="1376">
        <f>ОСВ_авт!F49</f>
        <v>0</v>
      </c>
      <c r="O15" s="2210" t="s">
        <v>4184</v>
      </c>
      <c r="P15" s="2210" t="s">
        <v>4184</v>
      </c>
      <c r="Q15" s="2212"/>
      <c r="R15" s="3276">
        <f t="shared" si="2"/>
        <v>0</v>
      </c>
      <c r="S15" s="2211"/>
      <c r="T15" s="3010"/>
    </row>
    <row r="16" spans="1:20" ht="43.5">
      <c r="A16" s="3041" t="str">
        <f t="shared" si="0"/>
        <v>R10=14.06;COM=</v>
      </c>
      <c r="B16" s="567"/>
      <c r="C16" s="47" t="s">
        <v>3449</v>
      </c>
      <c r="D16" s="42" t="s">
        <v>3450</v>
      </c>
      <c r="E16" s="2210" t="s">
        <v>4184</v>
      </c>
      <c r="F16" s="1376">
        <f>ОСВ_авт!E50</f>
        <v>0</v>
      </c>
      <c r="G16" s="2210" t="s">
        <v>4184</v>
      </c>
      <c r="H16" s="2210" t="s">
        <v>4184</v>
      </c>
      <c r="I16" s="2212"/>
      <c r="J16" s="2210">
        <f t="shared" si="1"/>
        <v>0</v>
      </c>
      <c r="K16" s="2210" t="s">
        <v>4184</v>
      </c>
      <c r="L16" s="2210" t="s">
        <v>4184</v>
      </c>
      <c r="M16" s="2210" t="s">
        <v>4184</v>
      </c>
      <c r="N16" s="1376">
        <f>ОСВ_авт!F50</f>
        <v>0</v>
      </c>
      <c r="O16" s="2210" t="s">
        <v>4184</v>
      </c>
      <c r="P16" s="2210" t="s">
        <v>4184</v>
      </c>
      <c r="Q16" s="2212"/>
      <c r="R16" s="3276">
        <f t="shared" si="2"/>
        <v>0</v>
      </c>
      <c r="S16" s="2211"/>
      <c r="T16" s="3010"/>
    </row>
    <row r="17" spans="1:20" ht="14.5">
      <c r="A17" s="3041" t="str">
        <f t="shared" si="0"/>
        <v>R10=14.07;COM=</v>
      </c>
      <c r="B17" s="567"/>
      <c r="C17" s="47" t="s">
        <v>7096</v>
      </c>
      <c r="D17" s="42" t="s">
        <v>3429</v>
      </c>
      <c r="E17" s="2210" t="s">
        <v>4184</v>
      </c>
      <c r="F17" s="1376">
        <f>ОСВ_авт!E51</f>
        <v>0</v>
      </c>
      <c r="G17" s="2210" t="s">
        <v>4184</v>
      </c>
      <c r="H17" s="2210" t="s">
        <v>4184</v>
      </c>
      <c r="I17" s="2210" t="s">
        <v>4184</v>
      </c>
      <c r="J17" s="2210" t="s">
        <v>4184</v>
      </c>
      <c r="K17" s="2210" t="s">
        <v>4184</v>
      </c>
      <c r="L17" s="2210" t="s">
        <v>4184</v>
      </c>
      <c r="M17" s="2210" t="s">
        <v>4184</v>
      </c>
      <c r="N17" s="1376">
        <f>ОСВ_авт!F51</f>
        <v>0</v>
      </c>
      <c r="O17" s="2210" t="s">
        <v>4184</v>
      </c>
      <c r="P17" s="2210" t="s">
        <v>4184</v>
      </c>
      <c r="Q17" s="2210" t="s">
        <v>4184</v>
      </c>
      <c r="R17" s="2210" t="s">
        <v>4184</v>
      </c>
      <c r="S17" s="2211"/>
      <c r="T17" s="3010"/>
    </row>
    <row r="18" spans="1:20" ht="14.5">
      <c r="A18" s="3041" t="str">
        <f t="shared" si="0"/>
        <v>R10=14.08;COM=</v>
      </c>
      <c r="B18" s="567"/>
      <c r="C18" s="47" t="s">
        <v>7097</v>
      </c>
      <c r="D18" s="42" t="s">
        <v>780</v>
      </c>
      <c r="E18" s="2210" t="s">
        <v>4184</v>
      </c>
      <c r="F18" s="1376">
        <f>ОСВ_авт!E52</f>
        <v>0</v>
      </c>
      <c r="G18" s="2210" t="s">
        <v>4184</v>
      </c>
      <c r="H18" s="2210" t="s">
        <v>4184</v>
      </c>
      <c r="I18" s="2210" t="s">
        <v>4184</v>
      </c>
      <c r="J18" s="2210" t="s">
        <v>4184</v>
      </c>
      <c r="K18" s="2210" t="s">
        <v>4184</v>
      </c>
      <c r="L18" s="2210" t="s">
        <v>4184</v>
      </c>
      <c r="M18" s="2210" t="s">
        <v>4184</v>
      </c>
      <c r="N18" s="1376">
        <f>ОСВ_авт!F52</f>
        <v>0</v>
      </c>
      <c r="O18" s="2210" t="s">
        <v>4184</v>
      </c>
      <c r="P18" s="2210" t="s">
        <v>4184</v>
      </c>
      <c r="Q18" s="2210" t="s">
        <v>4184</v>
      </c>
      <c r="R18" s="2210" t="s">
        <v>4184</v>
      </c>
      <c r="S18" s="2211"/>
      <c r="T18" s="3010"/>
    </row>
    <row r="19" spans="1:20">
      <c r="A19" s="3043" t="str">
        <f t="shared" si="0"/>
        <v>R10=20_23_25_29;COM=</v>
      </c>
      <c r="B19" s="567"/>
      <c r="C19" s="303" t="s">
        <v>4953</v>
      </c>
      <c r="D19" s="604" t="s">
        <v>3391</v>
      </c>
      <c r="E19" s="1409"/>
      <c r="F19" s="2210" t="s">
        <v>4184</v>
      </c>
      <c r="G19" s="2212"/>
      <c r="H19" s="2210">
        <f>E19-G19</f>
        <v>0</v>
      </c>
      <c r="I19" s="2210"/>
      <c r="J19" s="2210"/>
      <c r="K19" s="2758">
        <f>Затраты_Вход_1!D10</f>
        <v>0</v>
      </c>
      <c r="L19" s="2758">
        <f>Затраты_Выход!D12</f>
        <v>0</v>
      </c>
      <c r="M19" s="1376">
        <f>E19+K19+L19</f>
        <v>0</v>
      </c>
      <c r="N19" s="2210" t="s">
        <v>4184</v>
      </c>
      <c r="O19" s="2212"/>
      <c r="P19" s="2210">
        <f>M19-O19</f>
        <v>0</v>
      </c>
      <c r="Q19" s="3276"/>
      <c r="R19" s="3276"/>
      <c r="S19" s="2211"/>
      <c r="T19" s="2103" t="b">
        <f t="shared" ref="T19:T25" si="3">AND(E19&gt;=0,M19&gt;=0,K19&gt;=0,L19&lt;=0)</f>
        <v>1</v>
      </c>
    </row>
    <row r="20" spans="1:20">
      <c r="A20" s="3043" t="str">
        <f t="shared" si="0"/>
        <v>R10=21;COM=</v>
      </c>
      <c r="B20" s="567"/>
      <c r="C20" s="303" t="s">
        <v>4260</v>
      </c>
      <c r="D20" s="604" t="s">
        <v>4261</v>
      </c>
      <c r="E20" s="2210">
        <f>ОСВ_авт!E70</f>
        <v>0</v>
      </c>
      <c r="F20" s="2210" t="s">
        <v>4184</v>
      </c>
      <c r="G20" s="2212"/>
      <c r="H20" s="2210">
        <f>E20-G20</f>
        <v>0</v>
      </c>
      <c r="I20" s="2210" t="s">
        <v>4184</v>
      </c>
      <c r="J20" s="2210" t="s">
        <v>4184</v>
      </c>
      <c r="K20" s="2210" t="s">
        <v>4184</v>
      </c>
      <c r="L20" s="2210" t="s">
        <v>4184</v>
      </c>
      <c r="M20" s="1376">
        <f>ОСВ_авт!F70</f>
        <v>0</v>
      </c>
      <c r="N20" s="2210" t="s">
        <v>4184</v>
      </c>
      <c r="O20" s="2212"/>
      <c r="P20" s="2210">
        <f>M20-O20</f>
        <v>0</v>
      </c>
      <c r="Q20" s="2210" t="s">
        <v>4184</v>
      </c>
      <c r="R20" s="2210" t="s">
        <v>4184</v>
      </c>
      <c r="S20" s="2211"/>
      <c r="T20" s="3010"/>
    </row>
    <row r="21" spans="1:20">
      <c r="A21" s="3043" t="str">
        <f t="shared" si="0"/>
        <v>R10=26;COM=</v>
      </c>
      <c r="B21" s="567"/>
      <c r="C21" s="303" t="s">
        <v>4266</v>
      </c>
      <c r="D21" s="604" t="s">
        <v>3392</v>
      </c>
      <c r="E21" s="1409"/>
      <c r="F21" s="2210" t="s">
        <v>4184</v>
      </c>
      <c r="G21" s="2210" t="s">
        <v>4184</v>
      </c>
      <c r="H21" s="2210" t="s">
        <v>4184</v>
      </c>
      <c r="I21" s="2210"/>
      <c r="J21" s="2210"/>
      <c r="K21" s="2758">
        <f>Затраты_Вход_1!E10+Затраты_Вход_1!F10</f>
        <v>0</v>
      </c>
      <c r="L21" s="2758">
        <f>Затраты_Выход!E12</f>
        <v>0</v>
      </c>
      <c r="M21" s="1376">
        <f>E21+K21+L21</f>
        <v>0</v>
      </c>
      <c r="N21" s="2210" t="s">
        <v>4184</v>
      </c>
      <c r="O21" s="2210" t="s">
        <v>4184</v>
      </c>
      <c r="P21" s="2210" t="s">
        <v>4184</v>
      </c>
      <c r="Q21" s="3276"/>
      <c r="R21" s="3276"/>
      <c r="S21" s="2211"/>
      <c r="T21" s="2103" t="b">
        <f t="shared" si="3"/>
        <v>1</v>
      </c>
    </row>
    <row r="22" spans="1:20">
      <c r="A22" s="3041" t="str">
        <f t="shared" ref="A22:A39" si="4">"R10="&amp;C22&amp;";COM="&amp;S22</f>
        <v>R10=28;COM=</v>
      </c>
      <c r="B22" s="567" t="s">
        <v>5536</v>
      </c>
      <c r="C22" s="303">
        <v>28</v>
      </c>
      <c r="D22" s="604" t="s">
        <v>4268</v>
      </c>
      <c r="E22" s="1409"/>
      <c r="F22" s="2210" t="s">
        <v>4184</v>
      </c>
      <c r="G22" s="2210" t="s">
        <v>4184</v>
      </c>
      <c r="H22" s="2210" t="s">
        <v>4184</v>
      </c>
      <c r="I22" s="2210"/>
      <c r="J22" s="2210"/>
      <c r="K22" s="2212"/>
      <c r="L22" s="2212"/>
      <c r="M22" s="1376">
        <f>E22+K22+L22</f>
        <v>0</v>
      </c>
      <c r="N22" s="2210" t="s">
        <v>4184</v>
      </c>
      <c r="O22" s="2210" t="s">
        <v>4184</v>
      </c>
      <c r="P22" s="2210" t="s">
        <v>4184</v>
      </c>
      <c r="Q22" s="3276"/>
      <c r="R22" s="3276"/>
      <c r="S22" s="2211"/>
      <c r="T22" s="2103" t="b">
        <f t="shared" si="3"/>
        <v>1</v>
      </c>
    </row>
    <row r="23" spans="1:20">
      <c r="A23" s="3041" t="str">
        <f t="shared" si="4"/>
        <v>R10=41;COM=</v>
      </c>
      <c r="B23" s="567"/>
      <c r="C23" s="3279" t="s">
        <v>4273</v>
      </c>
      <c r="D23" s="604" t="s">
        <v>4274</v>
      </c>
      <c r="E23" s="2210">
        <f>ОСВ_авт!E74</f>
        <v>0</v>
      </c>
      <c r="F23" s="2210" t="s">
        <v>4184</v>
      </c>
      <c r="G23" s="2212"/>
      <c r="H23" s="2210">
        <f>E23-G23</f>
        <v>0</v>
      </c>
      <c r="I23" s="2210" t="s">
        <v>4184</v>
      </c>
      <c r="J23" s="2210" t="s">
        <v>4184</v>
      </c>
      <c r="K23" s="2210" t="s">
        <v>4184</v>
      </c>
      <c r="L23" s="2210" t="s">
        <v>4184</v>
      </c>
      <c r="M23" s="1376">
        <f>ОСВ_авт!F74</f>
        <v>0</v>
      </c>
      <c r="N23" s="2210" t="s">
        <v>4184</v>
      </c>
      <c r="O23" s="2212"/>
      <c r="P23" s="2210">
        <f>M23-O23</f>
        <v>0</v>
      </c>
      <c r="Q23" s="2210" t="s">
        <v>4184</v>
      </c>
      <c r="R23" s="2210" t="s">
        <v>4184</v>
      </c>
      <c r="S23" s="2211"/>
      <c r="T23" s="3010"/>
    </row>
    <row r="24" spans="1:20">
      <c r="A24" s="3041" t="str">
        <f t="shared" si="4"/>
        <v>R10=43;COM=</v>
      </c>
      <c r="B24" s="567"/>
      <c r="C24" s="3279" t="s">
        <v>4281</v>
      </c>
      <c r="D24" s="604" t="s">
        <v>4282</v>
      </c>
      <c r="E24" s="2210">
        <f>ОСВ_авт!E78</f>
        <v>0</v>
      </c>
      <c r="F24" s="2210" t="s">
        <v>4184</v>
      </c>
      <c r="G24" s="2212"/>
      <c r="H24" s="2210">
        <f>E24-G24</f>
        <v>0</v>
      </c>
      <c r="I24" s="2210"/>
      <c r="J24" s="2210"/>
      <c r="K24" s="2210" t="s">
        <v>4184</v>
      </c>
      <c r="L24" s="2210" t="s">
        <v>4184</v>
      </c>
      <c r="M24" s="1376">
        <f>ОСВ_авт!F78</f>
        <v>0</v>
      </c>
      <c r="N24" s="2210" t="s">
        <v>4184</v>
      </c>
      <c r="O24" s="2212"/>
      <c r="P24" s="2210">
        <f>M24-O24</f>
        <v>0</v>
      </c>
      <c r="Q24" s="3276"/>
      <c r="R24" s="3276"/>
      <c r="S24" s="2211"/>
      <c r="T24" s="3010"/>
    </row>
    <row r="25" spans="1:20">
      <c r="A25" s="3043" t="str">
        <f t="shared" si="4"/>
        <v>R10=44;COM=</v>
      </c>
      <c r="B25" s="567"/>
      <c r="C25" s="303" t="s">
        <v>4283</v>
      </c>
      <c r="D25" s="604" t="s">
        <v>3393</v>
      </c>
      <c r="E25" s="1409"/>
      <c r="F25" s="2210" t="s">
        <v>4184</v>
      </c>
      <c r="G25" s="2210" t="s">
        <v>4184</v>
      </c>
      <c r="H25" s="2210" t="s">
        <v>4184</v>
      </c>
      <c r="I25" s="2210"/>
      <c r="J25" s="2210"/>
      <c r="K25" s="2758">
        <f>Затраты_Вход_1!G10</f>
        <v>0</v>
      </c>
      <c r="L25" s="2758">
        <f>Затраты_Выход!F12</f>
        <v>0</v>
      </c>
      <c r="M25" s="1376">
        <f>E25+K25+L25</f>
        <v>0</v>
      </c>
      <c r="N25" s="2210" t="s">
        <v>4184</v>
      </c>
      <c r="O25" s="2210"/>
      <c r="P25" s="2210" t="s">
        <v>4184</v>
      </c>
      <c r="Q25" s="3276"/>
      <c r="R25" s="3276"/>
      <c r="S25" s="2211"/>
      <c r="T25" s="2103" t="b">
        <f t="shared" si="3"/>
        <v>1</v>
      </c>
    </row>
    <row r="26" spans="1:20">
      <c r="A26" s="3278" t="str">
        <f t="shared" si="4"/>
        <v>R10=45;COM=</v>
      </c>
      <c r="B26" s="567"/>
      <c r="C26" s="3279" t="s">
        <v>4284</v>
      </c>
      <c r="D26" s="604" t="s">
        <v>4285</v>
      </c>
      <c r="E26" s="2210">
        <f>ОСВ_авт!E80</f>
        <v>0</v>
      </c>
      <c r="F26" s="2210"/>
      <c r="G26" s="2212"/>
      <c r="H26" s="2210">
        <f>E26-G26</f>
        <v>0</v>
      </c>
      <c r="I26" s="2210"/>
      <c r="J26" s="2210"/>
      <c r="K26" s="2210" t="s">
        <v>4184</v>
      </c>
      <c r="L26" s="2210" t="s">
        <v>4184</v>
      </c>
      <c r="M26" s="1376">
        <f>ОСВ_авт!F80</f>
        <v>0</v>
      </c>
      <c r="N26" s="2210" t="s">
        <v>4184</v>
      </c>
      <c r="O26" s="2212"/>
      <c r="P26" s="2210">
        <f>M26-O26</f>
        <v>0</v>
      </c>
      <c r="Q26" s="3276"/>
      <c r="R26" s="3276"/>
      <c r="S26" s="2211"/>
      <c r="T26" s="3010"/>
    </row>
    <row r="27" spans="1:20">
      <c r="A27" s="3041" t="str">
        <f t="shared" si="4"/>
        <v>R10=42;COM=</v>
      </c>
      <c r="B27" s="567" t="s">
        <v>5536</v>
      </c>
      <c r="C27" s="303">
        <v>42</v>
      </c>
      <c r="D27" s="604" t="s">
        <v>4280</v>
      </c>
      <c r="E27" s="2210" t="s">
        <v>4184</v>
      </c>
      <c r="F27" s="1409"/>
      <c r="G27" s="2210" t="s">
        <v>4184</v>
      </c>
      <c r="H27" s="2210" t="s">
        <v>4184</v>
      </c>
      <c r="I27" s="2210"/>
      <c r="J27" s="2210"/>
      <c r="K27" s="2212"/>
      <c r="L27" s="1409"/>
      <c r="M27" s="2210" t="s">
        <v>4184</v>
      </c>
      <c r="N27" s="1376">
        <f>F27+K27+L27</f>
        <v>0</v>
      </c>
      <c r="O27" s="2210" t="s">
        <v>4184</v>
      </c>
      <c r="P27" s="2210" t="s">
        <v>4184</v>
      </c>
      <c r="Q27" s="3276"/>
      <c r="R27" s="3276"/>
      <c r="S27" s="2211"/>
      <c r="T27" s="2103" t="b">
        <f>AND(F27&lt;=0,N27&lt;=0,K27&gt;=0,L27&lt;=0)</f>
        <v>1</v>
      </c>
    </row>
    <row r="28" spans="1:20">
      <c r="A28" s="3041" t="str">
        <f t="shared" si="4"/>
        <v>R10=70;COM=</v>
      </c>
      <c r="B28" s="567"/>
      <c r="C28" s="303">
        <v>70</v>
      </c>
      <c r="D28" s="604" t="s">
        <v>4549</v>
      </c>
      <c r="E28" s="1409"/>
      <c r="F28" s="1409"/>
      <c r="G28" s="2210" t="s">
        <v>4184</v>
      </c>
      <c r="H28" s="2210" t="s">
        <v>4184</v>
      </c>
      <c r="I28" s="2210"/>
      <c r="J28" s="2210"/>
      <c r="K28" s="1409"/>
      <c r="L28" s="1409"/>
      <c r="M28" s="1409"/>
      <c r="N28" s="1376">
        <f>SUM(E28:L28)-M28</f>
        <v>0</v>
      </c>
      <c r="O28" s="2210" t="s">
        <v>4184</v>
      </c>
      <c r="P28" s="2210" t="s">
        <v>4184</v>
      </c>
      <c r="Q28" s="3276"/>
      <c r="R28" s="3276"/>
      <c r="S28" s="2211"/>
      <c r="T28" s="2103" t="b">
        <f>AND(K28&gt;=0,L28&lt;=0)</f>
        <v>1</v>
      </c>
    </row>
    <row r="29" spans="1:20">
      <c r="A29" s="3041" t="str">
        <f t="shared" si="4"/>
        <v>R10=71;COM=</v>
      </c>
      <c r="B29" s="567"/>
      <c r="C29" s="303">
        <v>71</v>
      </c>
      <c r="D29" s="604" t="s">
        <v>4550</v>
      </c>
      <c r="E29" s="1409"/>
      <c r="F29" s="1409"/>
      <c r="G29" s="2210" t="s">
        <v>4184</v>
      </c>
      <c r="H29" s="2210" t="s">
        <v>4184</v>
      </c>
      <c r="I29" s="2210"/>
      <c r="J29" s="2210"/>
      <c r="K29" s="2212"/>
      <c r="L29" s="1409"/>
      <c r="M29" s="1409"/>
      <c r="N29" s="1376">
        <f>SUM(E29:L29)-M29</f>
        <v>0</v>
      </c>
      <c r="O29" s="2210" t="s">
        <v>4184</v>
      </c>
      <c r="P29" s="2210" t="s">
        <v>4184</v>
      </c>
      <c r="Q29" s="3276"/>
      <c r="R29" s="3276"/>
      <c r="S29" s="2211"/>
      <c r="T29" s="2103" t="b">
        <f>AND(F29&lt;=0,N29&lt;=0,E29&gt;=0,M29&gt;=0,K29&gt;=0,L29&lt;=0)</f>
        <v>1</v>
      </c>
    </row>
    <row r="30" spans="1:20">
      <c r="A30" s="3041" t="str">
        <f t="shared" si="4"/>
        <v>R10=81;COM=</v>
      </c>
      <c r="B30" s="567"/>
      <c r="C30" s="303">
        <v>81</v>
      </c>
      <c r="D30" s="604" t="s">
        <v>4568</v>
      </c>
      <c r="E30" s="1409"/>
      <c r="F30" s="2210" t="s">
        <v>4184</v>
      </c>
      <c r="G30" s="2210" t="s">
        <v>4184</v>
      </c>
      <c r="H30" s="2210" t="s">
        <v>4184</v>
      </c>
      <c r="I30" s="2210"/>
      <c r="J30" s="2210"/>
      <c r="K30" s="2212"/>
      <c r="L30" s="1409"/>
      <c r="M30" s="1376">
        <f>SUM(E30,K30:L30)</f>
        <v>0</v>
      </c>
      <c r="N30" s="2210" t="s">
        <v>4184</v>
      </c>
      <c r="O30" s="2210" t="s">
        <v>4184</v>
      </c>
      <c r="P30" s="2210" t="s">
        <v>4184</v>
      </c>
      <c r="Q30" s="3276"/>
      <c r="R30" s="3276"/>
      <c r="S30" s="2211"/>
      <c r="T30" s="2103" t="b">
        <f>AND(E30&gt;=0,M30&gt;=0,K30&gt;=0,L30&lt;=0)</f>
        <v>1</v>
      </c>
    </row>
    <row r="31" spans="1:20" ht="25">
      <c r="A31" s="3041" t="str">
        <f t="shared" si="4"/>
        <v>R10=82.01;COM=</v>
      </c>
      <c r="B31" s="567"/>
      <c r="C31" s="303" t="s">
        <v>4570</v>
      </c>
      <c r="D31" s="604" t="s">
        <v>4573</v>
      </c>
      <c r="E31" s="2210" t="s">
        <v>4184</v>
      </c>
      <c r="F31" s="1409"/>
      <c r="G31" s="2210" t="s">
        <v>4184</v>
      </c>
      <c r="H31" s="2210" t="s">
        <v>4184</v>
      </c>
      <c r="I31" s="2210"/>
      <c r="J31" s="2210"/>
      <c r="K31" s="2212"/>
      <c r="L31" s="1409"/>
      <c r="M31" s="2210" t="s">
        <v>4184</v>
      </c>
      <c r="N31" s="1376">
        <f>SUM(F31:L31)</f>
        <v>0</v>
      </c>
      <c r="O31" s="2210" t="s">
        <v>4184</v>
      </c>
      <c r="P31" s="2210" t="s">
        <v>4184</v>
      </c>
      <c r="Q31" s="3276"/>
      <c r="R31" s="3276"/>
      <c r="S31" s="2211"/>
      <c r="T31" s="2103" t="b">
        <f>AND(F31&lt;=0,N31&lt;=0,K31&gt;=0,L31&lt;=0)</f>
        <v>1</v>
      </c>
    </row>
    <row r="32" spans="1:20" ht="25">
      <c r="A32" s="3041" t="str">
        <f t="shared" si="4"/>
        <v>R10=82.02;COM=</v>
      </c>
      <c r="B32" s="567"/>
      <c r="C32" s="303" t="s">
        <v>4572</v>
      </c>
      <c r="D32" s="604" t="s">
        <v>4571</v>
      </c>
      <c r="E32" s="2210" t="s">
        <v>4184</v>
      </c>
      <c r="F32" s="1409"/>
      <c r="G32" s="2210" t="s">
        <v>4184</v>
      </c>
      <c r="H32" s="2210" t="s">
        <v>4184</v>
      </c>
      <c r="I32" s="2210"/>
      <c r="J32" s="2210"/>
      <c r="K32" s="2212"/>
      <c r="L32" s="1409"/>
      <c r="M32" s="2210" t="s">
        <v>4184</v>
      </c>
      <c r="N32" s="1376">
        <f>SUM(F32:L32)</f>
        <v>0</v>
      </c>
      <c r="O32" s="2210" t="s">
        <v>4184</v>
      </c>
      <c r="P32" s="2210" t="s">
        <v>4184</v>
      </c>
      <c r="Q32" s="3276"/>
      <c r="R32" s="3276"/>
      <c r="S32" s="2211"/>
      <c r="T32" s="2103" t="b">
        <f>AND(F32&lt;=0,N32&lt;=0,K32&gt;=0,L32&lt;=0)</f>
        <v>1</v>
      </c>
    </row>
    <row r="33" spans="1:20">
      <c r="A33" s="3041" t="str">
        <f t="shared" si="4"/>
        <v>R10=90.04;COM=</v>
      </c>
      <c r="B33" s="567" t="s">
        <v>5536</v>
      </c>
      <c r="C33" s="303" t="s">
        <v>4614</v>
      </c>
      <c r="D33" s="604" t="s">
        <v>4386</v>
      </c>
      <c r="E33" s="2210" t="s">
        <v>4184</v>
      </c>
      <c r="F33" s="2210" t="s">
        <v>4184</v>
      </c>
      <c r="G33" s="2210" t="s">
        <v>4184</v>
      </c>
      <c r="H33" s="2210" t="s">
        <v>4184</v>
      </c>
      <c r="I33" s="2210"/>
      <c r="J33" s="2210"/>
      <c r="K33" s="1409"/>
      <c r="L33" s="2210" t="s">
        <v>3389</v>
      </c>
      <c r="M33" s="2210" t="s">
        <v>4184</v>
      </c>
      <c r="N33" s="2210" t="s">
        <v>4184</v>
      </c>
      <c r="O33" s="2210" t="s">
        <v>4184</v>
      </c>
      <c r="P33" s="2210" t="s">
        <v>4184</v>
      </c>
      <c r="Q33" s="3276"/>
      <c r="R33" s="3276"/>
      <c r="S33" s="2211"/>
    </row>
    <row r="34" spans="1:20">
      <c r="A34" s="3041" t="str">
        <f t="shared" si="4"/>
        <v>R10=90.05;COM=</v>
      </c>
      <c r="B34" s="567" t="s">
        <v>5536</v>
      </c>
      <c r="C34" s="303" t="s">
        <v>4615</v>
      </c>
      <c r="D34" s="604" t="s">
        <v>4616</v>
      </c>
      <c r="E34" s="2210" t="s">
        <v>4184</v>
      </c>
      <c r="F34" s="2210" t="s">
        <v>4184</v>
      </c>
      <c r="G34" s="2210" t="s">
        <v>4184</v>
      </c>
      <c r="H34" s="2210" t="s">
        <v>4184</v>
      </c>
      <c r="I34" s="2210"/>
      <c r="J34" s="2210"/>
      <c r="K34" s="1409"/>
      <c r="L34" s="2210" t="s">
        <v>3389</v>
      </c>
      <c r="M34" s="2210" t="s">
        <v>4184</v>
      </c>
      <c r="N34" s="2210" t="s">
        <v>4184</v>
      </c>
      <c r="O34" s="2210" t="s">
        <v>4184</v>
      </c>
      <c r="P34" s="2210" t="s">
        <v>4184</v>
      </c>
      <c r="Q34" s="3276"/>
      <c r="R34" s="3276"/>
      <c r="S34" s="2211"/>
    </row>
    <row r="35" spans="1:20">
      <c r="A35" s="3041" t="str">
        <f t="shared" si="4"/>
        <v>R10=90.07;COM=</v>
      </c>
      <c r="B35" s="567" t="s">
        <v>5536</v>
      </c>
      <c r="C35" s="303" t="s">
        <v>4617</v>
      </c>
      <c r="D35" s="604" t="s">
        <v>3393</v>
      </c>
      <c r="E35" s="2210" t="s">
        <v>4184</v>
      </c>
      <c r="F35" s="2210" t="s">
        <v>4184</v>
      </c>
      <c r="G35" s="2210" t="s">
        <v>4184</v>
      </c>
      <c r="H35" s="2210" t="s">
        <v>4184</v>
      </c>
      <c r="I35" s="2210"/>
      <c r="J35" s="2210"/>
      <c r="K35" s="2758">
        <f>-Затраты_Выход!F29</f>
        <v>0</v>
      </c>
      <c r="L35" s="2210" t="s">
        <v>3389</v>
      </c>
      <c r="M35" s="2210" t="s">
        <v>4184</v>
      </c>
      <c r="N35" s="2210" t="s">
        <v>4184</v>
      </c>
      <c r="O35" s="2210" t="s">
        <v>4184</v>
      </c>
      <c r="P35" s="2210" t="s">
        <v>4184</v>
      </c>
      <c r="Q35" s="3276"/>
      <c r="R35" s="3276"/>
      <c r="S35" s="2211"/>
    </row>
    <row r="36" spans="1:20">
      <c r="A36" s="3041" t="str">
        <f t="shared" si="4"/>
        <v>R10=90.08;COM=</v>
      </c>
      <c r="B36" s="567" t="s">
        <v>5536</v>
      </c>
      <c r="C36" s="303" t="s">
        <v>4618</v>
      </c>
      <c r="D36" s="604" t="s">
        <v>4619</v>
      </c>
      <c r="E36" s="2210" t="s">
        <v>4184</v>
      </c>
      <c r="F36" s="2210" t="s">
        <v>4184</v>
      </c>
      <c r="G36" s="2210" t="s">
        <v>4184</v>
      </c>
      <c r="H36" s="2210" t="s">
        <v>4184</v>
      </c>
      <c r="I36" s="2210"/>
      <c r="J36" s="2210"/>
      <c r="K36" s="2758">
        <f>-Затраты_Выход!E29</f>
        <v>0</v>
      </c>
      <c r="L36" s="2210" t="s">
        <v>3389</v>
      </c>
      <c r="M36" s="2210" t="s">
        <v>4184</v>
      </c>
      <c r="N36" s="2210" t="s">
        <v>4184</v>
      </c>
      <c r="O36" s="2210" t="s">
        <v>4184</v>
      </c>
      <c r="P36" s="2210" t="s">
        <v>4184</v>
      </c>
      <c r="Q36" s="3276"/>
      <c r="R36" s="3276"/>
      <c r="S36" s="2211"/>
    </row>
    <row r="37" spans="1:20" ht="13" thickBot="1">
      <c r="A37" s="3041" t="str">
        <f t="shared" si="4"/>
        <v>R10=94;COM=</v>
      </c>
      <c r="B37" s="567" t="s">
        <v>5536</v>
      </c>
      <c r="C37" s="304">
        <v>94</v>
      </c>
      <c r="D37" s="803" t="s">
        <v>4631</v>
      </c>
      <c r="E37" s="1413"/>
      <c r="F37" s="2213" t="s">
        <v>4184</v>
      </c>
      <c r="G37" s="2210" t="s">
        <v>4184</v>
      </c>
      <c r="H37" s="2210" t="s">
        <v>4184</v>
      </c>
      <c r="I37" s="3280"/>
      <c r="J37" s="3280"/>
      <c r="K37" s="2731"/>
      <c r="L37" s="1413"/>
      <c r="M37" s="2213">
        <f>E37+K37+L37</f>
        <v>0</v>
      </c>
      <c r="N37" s="2213" t="s">
        <v>4184</v>
      </c>
      <c r="O37" s="2210" t="s">
        <v>4184</v>
      </c>
      <c r="P37" s="2210" t="s">
        <v>4184</v>
      </c>
      <c r="Q37" s="3281"/>
      <c r="R37" s="3281"/>
      <c r="S37" s="2214"/>
      <c r="T37" s="2103" t="b">
        <f>AND(E37&gt;=0,M37&gt;=0,K37&gt;=0,L37&lt;=0)</f>
        <v>1</v>
      </c>
    </row>
    <row r="39" spans="1:20" ht="25">
      <c r="A39" s="3041" t="str">
        <f t="shared" si="4"/>
        <v>R10=009;COM=</v>
      </c>
      <c r="C39" s="303" t="s">
        <v>9635</v>
      </c>
      <c r="D39" s="604" t="s">
        <v>9636</v>
      </c>
      <c r="E39" s="2210" t="s">
        <v>4184</v>
      </c>
      <c r="F39" s="2212"/>
      <c r="G39" s="2210" t="s">
        <v>4184</v>
      </c>
      <c r="H39" s="2210" t="s">
        <v>4184</v>
      </c>
      <c r="I39" s="2210"/>
      <c r="J39" s="2210"/>
      <c r="K39" s="3038"/>
      <c r="L39" s="3038"/>
      <c r="M39" s="2210" t="s">
        <v>4184</v>
      </c>
      <c r="N39" s="2212"/>
      <c r="O39" s="2210" t="s">
        <v>4184</v>
      </c>
      <c r="P39" s="2210" t="s">
        <v>4184</v>
      </c>
      <c r="Q39" s="3276"/>
      <c r="R39" s="3276"/>
      <c r="S39" s="2211"/>
    </row>
  </sheetData>
  <sheetProtection algorithmName="SHA-512" hashValue="CJ4FOela1qKvl3c0SLq2jdy1QFwmwAj/OwpFs0Kfjn9qcCkpuXDcjrq59X+OWS8+TIC2kQ+ob0eH8tMIZJXbQw==" saltValue="/n9vPgCGnu1wAzNnNtuXaw==" spinCount="100000" sheet="1" objects="1" scenarios="1" formatColumns="0" formatRows="0" autoFilter="0"/>
  <autoFilter ref="B8:T37"/>
  <customSheetViews>
    <customSheetView guid="{3769259D-9653-4B34-A2F6-4FB6F9F4E533}" showGridLines="0" showAutoFilter="1" hiddenRows="1" hiddenColumns="1" topLeftCell="B3">
      <selection activeCell="G16" sqref="G16"/>
      <pageMargins left="0.7" right="0.7" top="0.75" bottom="0.75" header="0.3" footer="0.3"/>
      <autoFilter ref="B1:L1"/>
    </customSheetView>
    <customSheetView guid="{40D7A2BB-326C-4ED3-999C-17852F56D6F4}" showGridLines="0" showAutoFilter="1" hiddenRows="1" hiddenColumns="1" topLeftCell="B3">
      <selection activeCell="G16" sqref="G16"/>
      <pageMargins left="0.7" right="0.7" top="0.75" bottom="0.75" header="0.3" footer="0.3"/>
      <autoFilter ref="B1:L1"/>
    </customSheetView>
    <customSheetView guid="{5D121940-0CE8-4A0E-A493-67FAAA6E0FF8}" showGridLines="0" showAutoFilter="1" hiddenRows="1" hiddenColumns="1" topLeftCell="B3">
      <selection activeCell="I22" sqref="I22"/>
      <pageMargins left="0.7" right="0.7" top="0.75" bottom="0.75" header="0.3" footer="0.3"/>
      <autoFilter ref="B1:L1"/>
    </customSheetView>
    <customSheetView guid="{47AEACC4-6EA5-412C-AF39-A6C5357B313A}" showGridLines="0" showAutoFilter="1" hiddenRows="1" hiddenColumns="1" topLeftCell="B3">
      <selection activeCell="D10" sqref="D10"/>
      <pageMargins left="0.7" right="0.7" top="0.75" bottom="0.75" header="0.3" footer="0.3"/>
      <autoFilter ref="B1:L1"/>
    </customSheetView>
    <customSheetView guid="{C913A9E8-661B-40A4-A3C9-1BC5F2B2E9F0}" showGridLines="0" showAutoFilter="1" hiddenRows="1" hiddenColumns="1" topLeftCell="D3">
      <selection activeCell="C8" sqref="C8:K8"/>
      <pageMargins left="0.7" right="0.7" top="0.75" bottom="0.75" header="0.3" footer="0.3"/>
      <autoFilter ref="B1:L1"/>
    </customSheetView>
  </customSheetViews>
  <phoneticPr fontId="0" type="noConversion"/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9" orientation="landscape" horizontalDpi="4294967294" verticalDpi="4294967294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pageSetUpPr fitToPage="1"/>
  </sheetPr>
  <dimension ref="A1:AO17"/>
  <sheetViews>
    <sheetView topLeftCell="H2" zoomScale="50" zoomScaleNormal="50" workbookViewId="0">
      <selection activeCell="R12" sqref="R12"/>
    </sheetView>
  </sheetViews>
  <sheetFormatPr defaultColWidth="13.453125" defaultRowHeight="14.5"/>
  <cols>
    <col min="1" max="1" width="31.81640625" style="1163" hidden="1" customWidth="1"/>
    <col min="2" max="2" width="2" style="1163" customWidth="1"/>
    <col min="3" max="3" width="62.54296875" style="1163" bestFit="1" customWidth="1"/>
    <col min="4" max="7" width="62.54296875" style="2830" customWidth="1"/>
    <col min="8" max="8" width="18.453125" style="1163" customWidth="1"/>
    <col min="9" max="9" width="18.453125" style="2830" customWidth="1"/>
    <col min="10" max="10" width="17.453125" style="1163" customWidth="1"/>
    <col min="11" max="12" width="18.453125" style="1163" customWidth="1"/>
    <col min="13" max="13" width="26.453125" style="1163" customWidth="1"/>
    <col min="14" max="21" width="18.453125" style="1163" customWidth="1"/>
    <col min="22" max="22" width="13.453125" style="1163"/>
    <col min="23" max="23" width="13.453125" style="2830"/>
    <col min="24" max="24" width="13.453125" style="1163" customWidth="1"/>
    <col min="25" max="25" width="13.453125" style="1163"/>
    <col min="26" max="38" width="13.453125" style="2130"/>
    <col min="39" max="39" width="13.453125" style="1163"/>
    <col min="40" max="40" width="19.1796875" style="1163" customWidth="1"/>
    <col min="41" max="41" width="15.81640625" style="1163" customWidth="1"/>
    <col min="42" max="16384" width="13.453125" style="1163"/>
  </cols>
  <sheetData>
    <row r="1" spans="1:41" ht="21.75" hidden="1" customHeight="1">
      <c r="A1" s="1561" t="s">
        <v>3405</v>
      </c>
      <c r="B1" s="5"/>
      <c r="C1" s="5"/>
      <c r="D1" s="5"/>
      <c r="E1" s="5"/>
      <c r="F1" s="5"/>
      <c r="G1" s="5"/>
      <c r="H1" s="6" t="s">
        <v>1230</v>
      </c>
      <c r="I1" s="2438" t="s">
        <v>10146</v>
      </c>
      <c r="J1" s="6" t="s">
        <v>1231</v>
      </c>
      <c r="K1" s="2438" t="s">
        <v>7741</v>
      </c>
      <c r="L1" s="2438" t="s">
        <v>7742</v>
      </c>
      <c r="M1" s="6" t="s">
        <v>1232</v>
      </c>
      <c r="N1" s="6" t="s">
        <v>1233</v>
      </c>
      <c r="O1" s="6" t="s">
        <v>1234</v>
      </c>
      <c r="P1" s="6" t="s">
        <v>1235</v>
      </c>
      <c r="Q1" s="6" t="s">
        <v>1236</v>
      </c>
      <c r="R1" s="6" t="s">
        <v>1237</v>
      </c>
      <c r="S1" s="6" t="s">
        <v>1238</v>
      </c>
      <c r="T1" s="6" t="s">
        <v>1239</v>
      </c>
      <c r="U1" s="6" t="s">
        <v>1240</v>
      </c>
      <c r="V1" s="6" t="s">
        <v>301</v>
      </c>
      <c r="W1" s="2438" t="s">
        <v>10147</v>
      </c>
    </row>
    <row r="2" spans="1:41" s="1778" customFormat="1">
      <c r="A2" s="741"/>
      <c r="B2" s="629"/>
      <c r="C2" s="629"/>
      <c r="D2" s="629"/>
      <c r="E2" s="629"/>
      <c r="F2" s="629"/>
      <c r="G2" s="629"/>
      <c r="H2" s="629" t="s">
        <v>1648</v>
      </c>
      <c r="I2" s="629"/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629" t="s">
        <v>1648</v>
      </c>
      <c r="U2" s="629"/>
      <c r="Z2" s="2130"/>
      <c r="AA2" s="2130"/>
      <c r="AB2" s="2130"/>
      <c r="AC2" s="2130"/>
      <c r="AD2" s="2130"/>
      <c r="AE2" s="2130"/>
      <c r="AF2" s="2130"/>
      <c r="AG2" s="2130"/>
      <c r="AH2" s="2130"/>
      <c r="AI2" s="2130"/>
      <c r="AJ2" s="2130"/>
      <c r="AK2" s="2130"/>
      <c r="AL2" s="2130"/>
    </row>
    <row r="3" spans="1:41" ht="38.5">
      <c r="A3" s="9"/>
      <c r="B3" s="10"/>
      <c r="C3" s="11" t="s">
        <v>5224</v>
      </c>
      <c r="D3" s="11"/>
      <c r="E3" s="11"/>
      <c r="F3" s="11"/>
      <c r="G3" s="11"/>
      <c r="J3" s="3044" t="s">
        <v>1436</v>
      </c>
      <c r="K3" s="1897" t="s">
        <v>2067</v>
      </c>
      <c r="L3" s="1244">
        <f>Содержание!$D$2</f>
        <v>0</v>
      </c>
      <c r="M3" s="10"/>
      <c r="N3" s="10"/>
      <c r="O3" s="10"/>
      <c r="P3" s="10"/>
      <c r="Q3" s="10"/>
      <c r="R3" s="10"/>
      <c r="S3" s="10"/>
      <c r="T3" s="2819" t="s">
        <v>8372</v>
      </c>
      <c r="U3" s="10"/>
      <c r="AB3" s="3469" t="s">
        <v>7155</v>
      </c>
      <c r="AC3" s="3469" t="b">
        <f>IF(OR(Содержание!$D$2='01'!$AB$3,Содержание!$D$2='01'!$AB$4,Содержание!$D$2='01'!$AB$5,Содержание!$D$2='01'!$AB$6,Содержание!$D$2='01'!$AB$7,Содержание!$D$2='01'!$AB$8,Содержание!$D$2='01'!$AB$9),TRUE,FALSE)</f>
        <v>0</v>
      </c>
    </row>
    <row r="4" spans="1:41" ht="15" thickBot="1">
      <c r="A4" s="9"/>
      <c r="B4" s="10"/>
      <c r="C4" s="10"/>
      <c r="D4" s="10"/>
      <c r="E4" s="10"/>
      <c r="F4" s="10"/>
      <c r="G4" s="10"/>
      <c r="H4" s="10"/>
      <c r="I4" s="10"/>
      <c r="J4" s="11"/>
      <c r="K4" s="1897" t="s">
        <v>2075</v>
      </c>
      <c r="L4" s="1244" t="str">
        <f>Содержание!$D$15</f>
        <v>2022 год</v>
      </c>
      <c r="M4" s="10"/>
      <c r="N4" s="12"/>
      <c r="O4" s="12"/>
      <c r="P4" s="12"/>
      <c r="Q4" s="12"/>
      <c r="R4" s="12"/>
      <c r="S4" s="12"/>
      <c r="T4" s="2130" t="b">
        <f>ABS(ABS(T8)-ABS('03'!S9))&lt;=2</f>
        <v>1</v>
      </c>
      <c r="U4" s="12"/>
      <c r="AA4" s="2130" t="s">
        <v>14726</v>
      </c>
      <c r="AB4" s="3469" t="s">
        <v>5446</v>
      </c>
      <c r="AC4" s="3469"/>
    </row>
    <row r="5" spans="1:41" ht="87">
      <c r="A5" s="9"/>
      <c r="B5" s="10"/>
      <c r="C5" s="794" t="s">
        <v>54</v>
      </c>
      <c r="D5" s="794" t="s">
        <v>14543</v>
      </c>
      <c r="E5" s="3507" t="s">
        <v>3991</v>
      </c>
      <c r="F5" s="3507" t="s">
        <v>3512</v>
      </c>
      <c r="G5" s="3507" t="s">
        <v>9889</v>
      </c>
      <c r="H5" s="13" t="s">
        <v>5225</v>
      </c>
      <c r="I5" s="13" t="s">
        <v>10126</v>
      </c>
      <c r="J5" s="14" t="s">
        <v>2221</v>
      </c>
      <c r="K5" s="2855" t="s">
        <v>8448</v>
      </c>
      <c r="L5" s="2696" t="s">
        <v>7724</v>
      </c>
      <c r="M5" s="14" t="s">
        <v>5226</v>
      </c>
      <c r="N5" s="14" t="s">
        <v>5227</v>
      </c>
      <c r="O5" s="14" t="s">
        <v>2233</v>
      </c>
      <c r="P5" s="14" t="s">
        <v>5228</v>
      </c>
      <c r="Q5" s="14" t="s">
        <v>5229</v>
      </c>
      <c r="R5" s="14" t="s">
        <v>2213</v>
      </c>
      <c r="S5" s="14" t="s">
        <v>5230</v>
      </c>
      <c r="T5" s="14" t="s">
        <v>5231</v>
      </c>
      <c r="U5" s="14" t="s">
        <v>5232</v>
      </c>
      <c r="V5" s="14" t="s">
        <v>5233</v>
      </c>
      <c r="W5" s="3295" t="s">
        <v>10125</v>
      </c>
      <c r="X5" s="67" t="s">
        <v>3401</v>
      </c>
      <c r="Y5" s="2813" t="s">
        <v>9625</v>
      </c>
      <c r="AA5" s="2813" t="s">
        <v>14707</v>
      </c>
      <c r="AB5" s="3469" t="s">
        <v>7729</v>
      </c>
      <c r="AC5" s="3469"/>
      <c r="AI5" s="2813" t="s">
        <v>14624</v>
      </c>
      <c r="AN5" s="2813" t="s">
        <v>14913</v>
      </c>
      <c r="AO5" s="3568"/>
    </row>
    <row r="6" spans="1:41">
      <c r="A6" s="9"/>
      <c r="B6" s="10"/>
      <c r="C6" s="68">
        <v>10015</v>
      </c>
      <c r="D6" s="68">
        <v>2040</v>
      </c>
      <c r="E6" s="3508">
        <v>6004</v>
      </c>
      <c r="F6" s="3508">
        <v>6004</v>
      </c>
      <c r="G6" s="3508">
        <v>6004</v>
      </c>
      <c r="H6" s="39" t="s">
        <v>672</v>
      </c>
      <c r="I6" s="3294" t="s">
        <v>672</v>
      </c>
      <c r="J6" s="62" t="s">
        <v>5235</v>
      </c>
      <c r="K6" s="2694" t="s">
        <v>7725</v>
      </c>
      <c r="L6" s="2694" t="s">
        <v>7726</v>
      </c>
      <c r="M6" s="62" t="s">
        <v>5236</v>
      </c>
      <c r="N6" s="62" t="s">
        <v>5237</v>
      </c>
      <c r="O6" s="62" t="s">
        <v>5238</v>
      </c>
      <c r="P6" s="62" t="s">
        <v>5239</v>
      </c>
      <c r="Q6" s="62" t="s">
        <v>5240</v>
      </c>
      <c r="R6" s="62" t="s">
        <v>3971</v>
      </c>
      <c r="S6" s="62" t="s">
        <v>5241</v>
      </c>
      <c r="T6" s="62" t="s">
        <v>5242</v>
      </c>
      <c r="U6" s="62" t="s">
        <v>4162</v>
      </c>
      <c r="V6" s="62" t="s">
        <v>4163</v>
      </c>
      <c r="W6" s="3296"/>
      <c r="X6" s="69" t="s">
        <v>865</v>
      </c>
      <c r="AB6" s="3469" t="s">
        <v>2548</v>
      </c>
      <c r="AC6" s="3469"/>
      <c r="AI6" s="2130" t="b">
        <f>AND(AI9:AI16)</f>
        <v>1</v>
      </c>
      <c r="AN6" s="2130" t="b">
        <f>AND(AN8:AN1400)</f>
        <v>1</v>
      </c>
      <c r="AO6" s="3569"/>
    </row>
    <row r="7" spans="1:41" s="674" customFormat="1" ht="14">
      <c r="A7" s="668"/>
      <c r="B7" s="669"/>
      <c r="C7" s="670" t="s">
        <v>4164</v>
      </c>
      <c r="D7" s="670" t="s">
        <v>4165</v>
      </c>
      <c r="E7" s="1124" t="s">
        <v>4166</v>
      </c>
      <c r="F7" s="1124" t="s">
        <v>5500</v>
      </c>
      <c r="G7" s="1124" t="s">
        <v>4169</v>
      </c>
      <c r="H7" s="1124" t="s">
        <v>4168</v>
      </c>
      <c r="I7" s="1124" t="s">
        <v>4178</v>
      </c>
      <c r="J7" s="1124" t="s">
        <v>4179</v>
      </c>
      <c r="K7" s="1124" t="s">
        <v>4167</v>
      </c>
      <c r="L7" s="1124" t="s">
        <v>5501</v>
      </c>
      <c r="M7" s="1124" t="s">
        <v>4701</v>
      </c>
      <c r="N7" s="1124" t="s">
        <v>4702</v>
      </c>
      <c r="O7" s="1124" t="s">
        <v>4703</v>
      </c>
      <c r="P7" s="1124" t="s">
        <v>5502</v>
      </c>
      <c r="Q7" s="1124" t="s">
        <v>5503</v>
      </c>
      <c r="R7" s="1124" t="s">
        <v>5504</v>
      </c>
      <c r="S7" s="1124" t="s">
        <v>4853</v>
      </c>
      <c r="T7" s="1124" t="s">
        <v>4852</v>
      </c>
      <c r="U7" s="1124" t="s">
        <v>5505</v>
      </c>
      <c r="V7" s="1124" t="s">
        <v>4851</v>
      </c>
      <c r="W7" s="1124" t="s">
        <v>5506</v>
      </c>
      <c r="X7" s="1124" t="s">
        <v>4850</v>
      </c>
      <c r="Z7" s="2134"/>
      <c r="AA7" s="2134"/>
      <c r="AB7" s="3469" t="s">
        <v>4797</v>
      </c>
      <c r="AC7" s="3703" t="s">
        <v>2073</v>
      </c>
      <c r="AD7" s="3703"/>
      <c r="AE7" s="3703"/>
      <c r="AF7" s="3704" t="s">
        <v>2074</v>
      </c>
      <c r="AG7" s="3704"/>
      <c r="AH7" s="3704"/>
      <c r="AI7" s="2134"/>
      <c r="AJ7" s="2134"/>
      <c r="AK7" s="2134"/>
      <c r="AL7" s="2134"/>
      <c r="AO7" s="3570"/>
    </row>
    <row r="8" spans="1:41">
      <c r="A8" s="9"/>
      <c r="B8" s="578" t="s">
        <v>5536</v>
      </c>
      <c r="C8" s="639" t="s">
        <v>4170</v>
      </c>
      <c r="D8" s="3473"/>
      <c r="E8" s="432" t="s">
        <v>3389</v>
      </c>
      <c r="F8" s="789" t="s">
        <v>4184</v>
      </c>
      <c r="G8" s="789" t="s">
        <v>4184</v>
      </c>
      <c r="H8" s="640">
        <f>SUM(H9:H1500)</f>
        <v>0</v>
      </c>
      <c r="I8" s="640">
        <f t="shared" ref="I8:W8" si="0">SUM(I9:I1500)</f>
        <v>0</v>
      </c>
      <c r="J8" s="640">
        <f t="shared" si="0"/>
        <v>0</v>
      </c>
      <c r="K8" s="640">
        <f t="shared" si="0"/>
        <v>0</v>
      </c>
      <c r="L8" s="640">
        <f t="shared" si="0"/>
        <v>0</v>
      </c>
      <c r="M8" s="640">
        <f>SUM(M9:M1500)</f>
        <v>0</v>
      </c>
      <c r="N8" s="640">
        <f t="shared" si="0"/>
        <v>0</v>
      </c>
      <c r="O8" s="640">
        <f t="shared" si="0"/>
        <v>0</v>
      </c>
      <c r="P8" s="640">
        <f t="shared" si="0"/>
        <v>0</v>
      </c>
      <c r="Q8" s="640">
        <f t="shared" si="0"/>
        <v>0</v>
      </c>
      <c r="R8" s="640">
        <f t="shared" si="0"/>
        <v>0</v>
      </c>
      <c r="S8" s="640">
        <f t="shared" si="0"/>
        <v>0</v>
      </c>
      <c r="T8" s="640">
        <f t="shared" si="0"/>
        <v>0</v>
      </c>
      <c r="U8" s="640">
        <f t="shared" si="0"/>
        <v>0</v>
      </c>
      <c r="V8" s="640">
        <f t="shared" si="0"/>
        <v>0</v>
      </c>
      <c r="W8" s="640">
        <f t="shared" si="0"/>
        <v>0</v>
      </c>
      <c r="X8" s="1578" t="s">
        <v>3196</v>
      </c>
      <c r="Y8" s="2130" t="b">
        <f>AND(Y9:Y1400)</f>
        <v>1</v>
      </c>
      <c r="Z8" s="2130" t="b">
        <f>AND(Z9:Z1400)</f>
        <v>1</v>
      </c>
      <c r="AA8" s="2130" t="b">
        <f ca="1">AND(AA9:AA1400)</f>
        <v>1</v>
      </c>
      <c r="AB8" s="3469" t="s">
        <v>7730</v>
      </c>
      <c r="AC8" s="3489" t="s">
        <v>14619</v>
      </c>
      <c r="AD8" s="3490" t="s">
        <v>14620</v>
      </c>
      <c r="AE8" s="3490" t="s">
        <v>14621</v>
      </c>
      <c r="AF8" s="3489" t="s">
        <v>14619</v>
      </c>
      <c r="AG8" s="3490" t="s">
        <v>14620</v>
      </c>
      <c r="AH8" s="3490" t="s">
        <v>14621</v>
      </c>
      <c r="AJ8" s="2130" t="s">
        <v>14544</v>
      </c>
      <c r="AK8" s="2130" t="s">
        <v>14622</v>
      </c>
      <c r="AL8" s="2130" t="s">
        <v>14558</v>
      </c>
      <c r="AM8" s="2130" t="s">
        <v>14561</v>
      </c>
      <c r="AN8" s="2130" t="b">
        <f>ABS(SUMIF($D$9:$D$1400,AJ8,$T$9:$T$1400))-ABS(SUMIF('03'!$D$10:$D$1400,'01'!AJ8,'03'!$S$10:$S$1400))&lt;=2</f>
        <v>1</v>
      </c>
      <c r="AO8" s="3569"/>
    </row>
    <row r="9" spans="1:41" s="2830" customFormat="1">
      <c r="A9" s="2427" t="str">
        <f>"R1="&amp;IFERROR(MID(C9,FIND("{",C9)+1,FIND("}",C9)-FIND("{",C9)-1),"")&amp;";R12="&amp;IFERROR(MID(D9,FIND("{",D9)+1,FIND("}",D9)-FIND("{",D9)-1),"")&amp;";R42="&amp;MID(IF(G9&lt;&gt;"",G9,F9),1,30)&amp;";COM="&amp;X9</f>
        <v>R1=;R12=;R42=;COM=</v>
      </c>
      <c r="B9" s="578" t="s">
        <v>5536</v>
      </c>
      <c r="C9" s="65"/>
      <c r="D9" s="1431"/>
      <c r="E9" s="2063"/>
      <c r="F9" s="789" t="str">
        <f>IF(E9="X","",IF(E9="","",VLOOKUP(E9,Список_компаний!$A$3:$B$299,2,FALSE)))</f>
        <v/>
      </c>
      <c r="G9" s="789" t="str">
        <f>IF(E9="X","",IF(E9="","",VLOOKUP(E9,Список_компаний!$A$3:$C$299,3,FALSE)))</f>
        <v/>
      </c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1178">
        <f t="shared" ref="V9:V15" si="1">SUM(H9)+SUM(J9:U9)</f>
        <v>0</v>
      </c>
      <c r="W9" s="65"/>
      <c r="X9" s="1171"/>
      <c r="Y9" s="2130" t="b">
        <f>IF(AND(OR(H9="",H9&gt;0,H9=0),OR(I9="",I9&gt;0,I9=0),OR(J9="",J9&gt;0,J9=0),OR(L9="",L9&gt;0,L9=0),OR(M9="",M9&gt;0,M9=0),OR(N9="",N9&lt;0,N9=0),OR(O9="",O9&lt;0,O9=0),OR(P9="",P9&lt;0,P9=0),OR(Q9="",Q9&lt;0,Q9=0),OR(R9="",R9&lt;0,R9=0),OR(S9="",S9&lt;0,S9=0),OR(V9=0,V9&gt;0)),TRUE,FALSE)</f>
        <v>1</v>
      </c>
      <c r="Z9" s="2130" t="b">
        <f>IF(OR(M9&gt;1000,S9&lt;-1000),IF(LEN(X9)&gt;5,TRUE,FALSE),TRUE)</f>
        <v>1</v>
      </c>
      <c r="AA9" s="2130" t="b">
        <f t="shared" ref="AA9:AA14" ca="1" si="2">IF(D9&lt;&gt;"",IF(OR(COUNTIF(D9,"{31}*"),COUNTIF(D9,"{32}*"),COUNTIF(D9,"{33}*"),COUNTIF(D9,"{34}*")),IF(IFERROR(VLOOKUP(E9,INDIRECT(AA$4),1,FALSE),FALSE)=FALSE,FALSE,TRUE),TRUE),TRUE)</f>
        <v>1</v>
      </c>
      <c r="AB9" s="3469" t="s">
        <v>2543</v>
      </c>
      <c r="AC9" s="3469">
        <f>SUMIFS('01'!$H$9:$H$1300,'01'!$C$9:$C$1300,'01'!C9,'01'!$D$9:$D$1300,INDEX($AK$8:$AK$14,MATCH('01'!D9,$AJ$8:$AJ$14),1))</f>
        <v>0</v>
      </c>
      <c r="AD9" s="2130">
        <f>SUMIFS('02'!$H$9:$H$1400,'02'!$C$9:$C$1400,'01'!C9,'02'!$D$9:$D$1400,INDEX($AL$8:$AL$14,MATCH('01'!D9,$AJ$8:$AJ$14),1))</f>
        <v>0</v>
      </c>
      <c r="AE9" s="2130">
        <f>SUMIFS('02'!$H$9:$H$1400,'02'!$C$9:$C$1400,'01'!C9,'02'!$D$9:$D$1400,INDEX($AM$8:$AM$14,MATCH('01'!D9,$AJ$8:$AJ$14),1))</f>
        <v>0</v>
      </c>
      <c r="AF9" s="2130">
        <f>SUMIFS('01'!$V$9:$V$1300,'01'!$C$9:$C$1300,'01'!C9,'01'!$D$9:$D$1300,INDEX($AK$8:$AK$14,MATCH('01'!D9,$AJ$8:$AJ$14),1))</f>
        <v>0</v>
      </c>
      <c r="AG9" s="2130">
        <f>SUMIFS('02'!$S$9:$S$1400,'02'!$C$9:$C$1400,'01'!C9,'02'!$D$9:$D$1400,INDEX($AL$8:$AL$14,MATCH('01'!D9,$AJ$8:$AJ$14),1))</f>
        <v>0</v>
      </c>
      <c r="AH9" s="2130">
        <f>SUMIFS('02'!$S$9:$S$1400,'02'!$C$9:$C$1400,'01'!C9,'02'!$D$9:$D$1400,INDEX($AM$8:$AM$14,MATCH('01'!D9,$AJ$8:$AJ$14),1))</f>
        <v>0</v>
      </c>
      <c r="AI9" s="2130" t="b">
        <f>AND((AC9+AD9+AE9)&gt;=0,(AF9+AG9+AH9)&gt;=0)</f>
        <v>1</v>
      </c>
      <c r="AJ9" s="2130" t="s">
        <v>14545</v>
      </c>
      <c r="AK9" s="2130" t="s">
        <v>14622</v>
      </c>
      <c r="AL9" s="2130" t="s">
        <v>14558</v>
      </c>
      <c r="AM9" s="2130" t="s">
        <v>14561</v>
      </c>
      <c r="AN9" s="2130" t="b">
        <f>ABS(SUMIF($D$9:$D$1400,AJ9,$T$9:$T$1400))-ABS(SUMIF('03'!$D$10:$D$1400,'01'!AJ9,'03'!$S$10:$S$1400))&lt;=2</f>
        <v>1</v>
      </c>
      <c r="AO9" s="3569"/>
    </row>
    <row r="10" spans="1:41" s="2830" customFormat="1">
      <c r="A10" s="2427" t="str">
        <f t="shared" ref="A10:A15" si="3">"R1="&amp;IFERROR(MID(C10,FIND("{",C10)+1,FIND("}",C10)-FIND("{",C10)-1),"")&amp;";R12="&amp;IFERROR(MID(D10,FIND("{",D10)+1,FIND("}",D10)-FIND("{",D10)-1),"")&amp;";R42="&amp;MID(IF(G10&lt;&gt;"",G10,F10),1,30)&amp;";COM="&amp;X10</f>
        <v>R1=;R12=;R42=;COM=</v>
      </c>
      <c r="B10" s="578"/>
      <c r="C10" s="65"/>
      <c r="D10" s="1431"/>
      <c r="E10" s="2063"/>
      <c r="F10" s="789" t="str">
        <f>IF(E10="X","",IF(E10="","",VLOOKUP(E10,Список_компаний!$A$3:$B$299,2,FALSE)))</f>
        <v/>
      </c>
      <c r="G10" s="789" t="str">
        <f>IF(E10="X","",IF(E10="","",VLOOKUP(E10,Список_компаний!$A$3:$C$299,3,FALSE)))</f>
        <v/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1178">
        <f t="shared" si="1"/>
        <v>0</v>
      </c>
      <c r="W10" s="65"/>
      <c r="X10" s="1171"/>
      <c r="Y10" s="2130" t="b">
        <f t="shared" ref="Y10:Y16" si="4">IF(AND(OR(H10="",H10&gt;0,H10=0),OR(I10="",I10&gt;0,I10=0),OR(J10="",J10&gt;0,J10=0),OR(L10="",L10&gt;0,L10=0),OR(M10="",M10&gt;0,M10=0),OR(N10="",N10&lt;0,N10=0),OR(O10="",O10&lt;0,O10=0),OR(P10="",P10&lt;0,P10=0),OR(Q10="",Q10&lt;0,Q10=0),OR(R10="",R10&lt;0,R10=0),OR(S10="",S10&lt;0,S10=0),OR(V10=0,V10&gt;0)),TRUE,FALSE)</f>
        <v>1</v>
      </c>
      <c r="Z10" s="2130" t="b">
        <f>IF(OR(M10&gt;1000,S10&lt;-1000),IF(LEN(X10)&gt;5,TRUE,FALSE),TRUE)</f>
        <v>1</v>
      </c>
      <c r="AA10" s="2130" t="b">
        <f t="shared" ca="1" si="2"/>
        <v>1</v>
      </c>
      <c r="AB10" s="3469"/>
      <c r="AC10" s="3469">
        <f>SUMIFS('01'!$H$9:$H$1300,'01'!$C$9:$C$1300,'01'!C10,'01'!$D$9:$D$1300,INDEX($AK$8:$AK$14,MATCH('01'!D10,$AJ$8:$AJ$14),1))</f>
        <v>0</v>
      </c>
      <c r="AD10" s="2130">
        <f>SUMIFS('02'!$H$9:$H$1400,'02'!$C$9:$C$1400,'01'!C10,'02'!$D$9:$D$1400,INDEX($AL$8:$AL$14,MATCH('01'!D10,$AJ$8:$AJ$14),1))</f>
        <v>0</v>
      </c>
      <c r="AE10" s="2130">
        <f>SUMIFS('02'!$H$9:$H$1400,'02'!$C$9:$C$1400,'01'!C10,'02'!$D$9:$D$1400,INDEX($AM$8:$AM$14,MATCH('01'!D10,$AJ$8:$AJ$14),1))</f>
        <v>0</v>
      </c>
      <c r="AF10" s="2130">
        <f>SUMIFS('01'!$V$9:$V$1300,'01'!$C$9:$C$1300,'01'!C10,'01'!$D$9:$D$1300,INDEX($AK$8:$AK$14,MATCH('01'!D10,$AJ$8:$AJ$14),1))</f>
        <v>0</v>
      </c>
      <c r="AG10" s="2130">
        <f>SUMIFS('02'!$S$9:$S$1400,'02'!$C$9:$C$1400,'01'!C10,'02'!$D$9:$D$1400,INDEX($AL$8:$AL$14,MATCH('01'!D10,$AJ$8:$AJ$14),1))</f>
        <v>0</v>
      </c>
      <c r="AH10" s="2130">
        <f>SUMIFS('02'!$S$9:$S$1400,'02'!$C$9:$C$1400,'01'!C10,'02'!$D$9:$D$1400,INDEX($AM$8:$AM$14,MATCH('01'!D10,$AJ$8:$AJ$14),1))</f>
        <v>0</v>
      </c>
      <c r="AI10" s="2130" t="b">
        <f t="shared" ref="AI10:AI13" si="5">AND((AC10+AD10+AE10)&gt;=0,(AF10+AG10+AH10)&gt;=0)</f>
        <v>1</v>
      </c>
      <c r="AJ10" s="2130" t="s">
        <v>14546</v>
      </c>
      <c r="AK10" s="2130" t="s">
        <v>14622</v>
      </c>
      <c r="AL10" s="2130" t="s">
        <v>14558</v>
      </c>
      <c r="AM10" s="2130" t="s">
        <v>14561</v>
      </c>
      <c r="AN10" s="2130" t="b">
        <f>ABS(SUMIF($D$9:$D$1400,AJ10,$T$9:$T$1400))-ABS(SUMIF('03'!$D$10:$D$1400,'01'!AJ10,'03'!$S$10:$S$1400))&lt;=2</f>
        <v>1</v>
      </c>
      <c r="AO10" s="3569"/>
    </row>
    <row r="11" spans="1:41" s="2830" customFormat="1">
      <c r="A11" s="2427" t="str">
        <f t="shared" si="3"/>
        <v>R1=;R12=;R42=;COM=</v>
      </c>
      <c r="B11" s="578"/>
      <c r="C11" s="65"/>
      <c r="D11" s="1431"/>
      <c r="E11" s="2063"/>
      <c r="F11" s="789" t="str">
        <f>IF(E11="X","",IF(E11="","",VLOOKUP(E11,Список_компаний!$A$3:$B$299,2,FALSE)))</f>
        <v/>
      </c>
      <c r="G11" s="789" t="str">
        <f>IF(E11="X","",IF(E11="","",VLOOKUP(E11,Список_компаний!$A$3:$C$299,3,FALSE)))</f>
        <v/>
      </c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1178">
        <f t="shared" si="1"/>
        <v>0</v>
      </c>
      <c r="W11" s="65"/>
      <c r="X11" s="1171"/>
      <c r="Y11" s="2130" t="b">
        <f t="shared" si="4"/>
        <v>1</v>
      </c>
      <c r="Z11" s="2130" t="b">
        <f t="shared" ref="Z11:Z15" si="6">IF(OR(M11&gt;1000,S11&lt;-1000),IF(LEN(X11)&gt;5,TRUE,FALSE),TRUE)</f>
        <v>1</v>
      </c>
      <c r="AA11" s="2130" t="b">
        <f t="shared" ca="1" si="2"/>
        <v>1</v>
      </c>
      <c r="AB11" s="3469"/>
      <c r="AC11" s="3469">
        <f>SUMIFS('01'!$H$9:$H$1300,'01'!$C$9:$C$1300,'01'!C11,'01'!$D$9:$D$1300,INDEX($AK$8:$AK$14,MATCH('01'!D11,$AJ$8:$AJ$14),1))</f>
        <v>0</v>
      </c>
      <c r="AD11" s="2130">
        <f>SUMIFS('02'!$H$9:$H$1400,'02'!$C$9:$C$1400,'01'!C11,'02'!$D$9:$D$1400,INDEX($AL$8:$AL$14,MATCH('01'!D11,$AJ$8:$AJ$14),1))</f>
        <v>0</v>
      </c>
      <c r="AE11" s="2130">
        <f>SUMIFS('02'!$H$9:$H$1400,'02'!$C$9:$C$1400,'01'!C11,'02'!$D$9:$D$1400,INDEX($AM$8:$AM$14,MATCH('01'!D11,$AJ$8:$AJ$14),1))</f>
        <v>0</v>
      </c>
      <c r="AF11" s="2130">
        <f>SUMIFS('01'!$V$9:$V$1300,'01'!$C$9:$C$1300,'01'!C11,'01'!$D$9:$D$1300,INDEX($AK$8:$AK$14,MATCH('01'!D11,$AJ$8:$AJ$14),1))</f>
        <v>0</v>
      </c>
      <c r="AG11" s="2130">
        <f>SUMIFS('02'!$S$9:$S$1400,'02'!$C$9:$C$1400,'01'!C11,'02'!$D$9:$D$1400,INDEX($AL$8:$AL$14,MATCH('01'!D11,$AJ$8:$AJ$14),1))</f>
        <v>0</v>
      </c>
      <c r="AH11" s="2130">
        <f>SUMIFS('02'!$S$9:$S$1400,'02'!$C$9:$C$1400,'01'!C11,'02'!$D$9:$D$1400,INDEX($AM$8:$AM$14,MATCH('01'!D11,$AJ$8:$AJ$14),1))</f>
        <v>0</v>
      </c>
      <c r="AI11" s="2130" t="b">
        <f t="shared" si="5"/>
        <v>1</v>
      </c>
      <c r="AJ11" s="2130" t="s">
        <v>14547</v>
      </c>
      <c r="AK11" s="2130" t="s">
        <v>14623</v>
      </c>
      <c r="AL11" s="2130" t="s">
        <v>14560</v>
      </c>
      <c r="AM11" s="2130" t="s">
        <v>14563</v>
      </c>
      <c r="AN11" s="2130" t="b">
        <f>ABS(SUMIF($D$9:$D$1400,AJ11,$T$9:$T$1400))-ABS(SUMIF('03'!$D$10:$D$1400,'01'!AJ11,'03'!$S$10:$S$1400))&lt;=2</f>
        <v>1</v>
      </c>
      <c r="AO11" s="3569"/>
    </row>
    <row r="12" spans="1:41" s="2830" customFormat="1">
      <c r="A12" s="2427" t="str">
        <f t="shared" si="3"/>
        <v>R1=;R12=;R42=;COM=</v>
      </c>
      <c r="B12" s="578"/>
      <c r="C12" s="65"/>
      <c r="D12" s="1431"/>
      <c r="E12" s="2063"/>
      <c r="F12" s="789" t="str">
        <f>IF(E12="X","",IF(E12="","",VLOOKUP(E12,Список_компаний!$A$3:$B$299,2,FALSE)))</f>
        <v/>
      </c>
      <c r="G12" s="789" t="str">
        <f>IF(E12="X","",IF(E12="","",VLOOKUP(E12,Список_компаний!$A$3:$C$299,3,FALSE)))</f>
        <v/>
      </c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1178">
        <f t="shared" si="1"/>
        <v>0</v>
      </c>
      <c r="W12" s="65"/>
      <c r="X12" s="1171"/>
      <c r="Y12" s="2130" t="b">
        <f t="shared" si="4"/>
        <v>1</v>
      </c>
      <c r="Z12" s="2130" t="b">
        <f t="shared" si="6"/>
        <v>1</v>
      </c>
      <c r="AA12" s="2130" t="b">
        <f t="shared" ca="1" si="2"/>
        <v>1</v>
      </c>
      <c r="AB12" s="3469"/>
      <c r="AC12" s="3469">
        <f>SUMIFS('01'!$H$9:$H$1300,'01'!$C$9:$C$1300,'01'!C12,'01'!$D$9:$D$1300,INDEX($AK$8:$AK$14,MATCH('01'!D12,$AJ$8:$AJ$14),1))</f>
        <v>0</v>
      </c>
      <c r="AD12" s="2130">
        <f>SUMIFS('02'!$H$9:$H$1400,'02'!$C$9:$C$1400,'01'!C12,'02'!$D$9:$D$1400,INDEX($AL$8:$AL$14,MATCH('01'!D12,$AJ$8:$AJ$14),1))</f>
        <v>0</v>
      </c>
      <c r="AE12" s="2130">
        <f>SUMIFS('02'!$H$9:$H$1400,'02'!$C$9:$C$1400,'01'!C12,'02'!$D$9:$D$1400,INDEX($AM$8:$AM$14,MATCH('01'!D12,$AJ$8:$AJ$14),1))</f>
        <v>0</v>
      </c>
      <c r="AF12" s="2130">
        <f>SUMIFS('01'!$V$9:$V$1300,'01'!$C$9:$C$1300,'01'!C12,'01'!$D$9:$D$1300,INDEX($AK$8:$AK$14,MATCH('01'!D12,$AJ$8:$AJ$14),1))</f>
        <v>0</v>
      </c>
      <c r="AG12" s="2130">
        <f>SUMIFS('02'!$S$9:$S$1400,'02'!$C$9:$C$1400,'01'!C12,'02'!$D$9:$D$1400,INDEX($AL$8:$AL$14,MATCH('01'!D12,$AJ$8:$AJ$14),1))</f>
        <v>0</v>
      </c>
      <c r="AH12" s="2130">
        <f>SUMIFS('02'!$S$9:$S$1400,'02'!$C$9:$C$1400,'01'!C12,'02'!$D$9:$D$1400,INDEX($AM$8:$AM$14,MATCH('01'!D12,$AJ$8:$AJ$14),1))</f>
        <v>0</v>
      </c>
      <c r="AI12" s="2130" t="b">
        <f t="shared" si="5"/>
        <v>1</v>
      </c>
      <c r="AJ12" s="2130" t="s">
        <v>14548</v>
      </c>
      <c r="AK12" s="2130" t="s">
        <v>14623</v>
      </c>
      <c r="AL12" s="2130" t="s">
        <v>14560</v>
      </c>
      <c r="AM12" s="2130" t="s">
        <v>14563</v>
      </c>
      <c r="AN12" s="2130" t="b">
        <f>ABS(SUMIF($D$9:$D$1400,AJ12,$T$9:$T$1400))-ABS(SUMIF('03'!$D$10:$D$1400,'01'!AJ12,'03'!$S$10:$S$1400))&lt;=2</f>
        <v>1</v>
      </c>
      <c r="AO12" s="3569"/>
    </row>
    <row r="13" spans="1:41" s="2830" customFormat="1">
      <c r="A13" s="2427" t="str">
        <f t="shared" si="3"/>
        <v>R1=;R12=;R42=;COM=</v>
      </c>
      <c r="B13" s="578"/>
      <c r="C13" s="65"/>
      <c r="D13" s="1431"/>
      <c r="E13" s="2063"/>
      <c r="F13" s="789" t="str">
        <f>IF(E13="X","",IF(E13="","",VLOOKUP(E13,Список_компаний!$A$3:$B$299,2,FALSE)))</f>
        <v/>
      </c>
      <c r="G13" s="789" t="str">
        <f>IF(E13="X","",IF(E13="","",VLOOKUP(E13,Список_компаний!$A$3:$C$299,3,FALSE)))</f>
        <v/>
      </c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1178">
        <f t="shared" si="1"/>
        <v>0</v>
      </c>
      <c r="W13" s="65"/>
      <c r="X13" s="1171"/>
      <c r="Y13" s="2130" t="b">
        <f t="shared" si="4"/>
        <v>1</v>
      </c>
      <c r="Z13" s="2130" t="b">
        <f t="shared" si="6"/>
        <v>1</v>
      </c>
      <c r="AA13" s="2130" t="b">
        <f t="shared" ca="1" si="2"/>
        <v>1</v>
      </c>
      <c r="AB13" s="3469"/>
      <c r="AC13" s="3469">
        <f>SUMIFS('01'!$H$9:$H$1300,'01'!$C$9:$C$1300,'01'!C13,'01'!$D$9:$D$1300,INDEX($AK$8:$AK$14,MATCH('01'!D13,$AJ$8:$AJ$14),1))</f>
        <v>0</v>
      </c>
      <c r="AD13" s="2130">
        <f>SUMIFS('02'!$H$9:$H$1400,'02'!$C$9:$C$1400,'01'!C13,'02'!$D$9:$D$1400,INDEX($AL$8:$AL$14,MATCH('01'!D13,$AJ$8:$AJ$14),1))</f>
        <v>0</v>
      </c>
      <c r="AE13" s="2130">
        <f>SUMIFS('02'!$H$9:$H$1400,'02'!$C$9:$C$1400,'01'!C13,'02'!$D$9:$D$1400,INDEX($AM$8:$AM$14,MATCH('01'!D13,$AJ$8:$AJ$14),1))</f>
        <v>0</v>
      </c>
      <c r="AF13" s="2130">
        <f>SUMIFS('01'!$V$9:$V$1300,'01'!$C$9:$C$1300,'01'!C13,'01'!$D$9:$D$1300,INDEX($AK$8:$AK$14,MATCH('01'!D13,$AJ$8:$AJ$14),1))</f>
        <v>0</v>
      </c>
      <c r="AG13" s="2130">
        <f>SUMIFS('02'!$S$9:$S$1400,'02'!$C$9:$C$1400,'01'!C13,'02'!$D$9:$D$1400,INDEX($AL$8:$AL$14,MATCH('01'!D13,$AJ$8:$AJ$14),1))</f>
        <v>0</v>
      </c>
      <c r="AH13" s="2130">
        <f>SUMIFS('02'!$S$9:$S$1400,'02'!$C$9:$C$1400,'01'!C13,'02'!$D$9:$D$1400,INDEX($AM$8:$AM$14,MATCH('01'!D13,$AJ$8:$AJ$14),1))</f>
        <v>0</v>
      </c>
      <c r="AI13" s="2130" t="b">
        <f t="shared" si="5"/>
        <v>1</v>
      </c>
      <c r="AJ13" s="2130" t="s">
        <v>14549</v>
      </c>
      <c r="AK13" s="2130" t="s">
        <v>14623</v>
      </c>
      <c r="AL13" s="2130" t="s">
        <v>14560</v>
      </c>
      <c r="AM13" s="2130" t="s">
        <v>14563</v>
      </c>
      <c r="AN13" s="2130" t="b">
        <f>ABS(SUMIF($D$9:$D$1400,AJ13,$T$9:$T$1400))-ABS(SUMIF('03'!$D$10:$D$1400,'01'!AJ13,'03'!$S$10:$S$1400))&lt;=2</f>
        <v>1</v>
      </c>
      <c r="AO13" s="3569"/>
    </row>
    <row r="14" spans="1:41" s="2830" customFormat="1">
      <c r="A14" s="2427" t="str">
        <f t="shared" si="3"/>
        <v>R1=;R12=;R42=;COM=</v>
      </c>
      <c r="B14" s="578"/>
      <c r="C14" s="65"/>
      <c r="D14" s="1431"/>
      <c r="E14" s="2063"/>
      <c r="F14" s="789" t="str">
        <f>IF(E14="X","",IF(E14="","",VLOOKUP(E14,Список_компаний!$A$3:$B$299,2,FALSE)))</f>
        <v/>
      </c>
      <c r="G14" s="789" t="str">
        <f>IF(E14="X","",IF(E14="","",VLOOKUP(E14,Список_компаний!$A$3:$C$299,3,FALSE)))</f>
        <v/>
      </c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1178">
        <f t="shared" si="1"/>
        <v>0</v>
      </c>
      <c r="W14" s="65"/>
      <c r="X14" s="1171"/>
      <c r="Y14" s="2130" t="b">
        <f t="shared" si="4"/>
        <v>1</v>
      </c>
      <c r="Z14" s="2130" t="b">
        <f t="shared" si="6"/>
        <v>1</v>
      </c>
      <c r="AA14" s="2130" t="b">
        <f t="shared" ca="1" si="2"/>
        <v>1</v>
      </c>
      <c r="AB14" s="3469"/>
      <c r="AC14" s="3469">
        <f>SUMIFS('01'!$H$9:$H$1300,'01'!$C$9:$C$1300,'01'!C14,'01'!$D$9:$D$1300,INDEX($AK$8:$AK$14,MATCH('01'!D14,$AJ$8:$AJ$14),1))</f>
        <v>0</v>
      </c>
      <c r="AD14" s="2130">
        <f>SUMIFS('02'!$H$9:$H$1400,'02'!$C$9:$C$1400,'01'!C14,'02'!$D$9:$D$1400,INDEX($AL$8:$AL$14,MATCH('01'!D14,$AJ$8:$AJ$14),1))</f>
        <v>0</v>
      </c>
      <c r="AE14" s="2130">
        <f>SUMIFS('02'!$H$9:$H$1400,'02'!$C$9:$C$1400,'01'!C14,'02'!$D$9:$D$1400,INDEX($AM$8:$AM$14,MATCH('01'!D14,$AJ$8:$AJ$14),1))</f>
        <v>0</v>
      </c>
      <c r="AF14" s="2130">
        <f>SUMIFS('01'!$V$9:$V$1300,'01'!$C$9:$C$1300,'01'!C14,'01'!$D$9:$D$1300,INDEX($AK$8:$AK$14,MATCH('01'!D14,$AJ$8:$AJ$14),1))</f>
        <v>0</v>
      </c>
      <c r="AG14" s="2130">
        <f>SUMIFS('02'!$S$9:$S$1400,'02'!$C$9:$C$1400,'01'!C14,'02'!$D$9:$D$1400,INDEX($AL$8:$AL$14,MATCH('01'!D14,$AJ$8:$AJ$14),1))</f>
        <v>0</v>
      </c>
      <c r="AH14" s="2130">
        <f>SUMIFS('02'!$S$9:$S$1400,'02'!$C$9:$C$1400,'01'!C14,'02'!$D$9:$D$1400,INDEX($AM$8:$AM$14,MATCH('01'!D14,$AJ$8:$AJ$14),1))</f>
        <v>0</v>
      </c>
      <c r="AI14" s="2130" t="b">
        <f t="shared" ref="AI14" si="7">AND((AC14+AD14+AE14)&gt;=0,(AF14+AG14+AH14)&gt;=0)</f>
        <v>1</v>
      </c>
      <c r="AJ14" s="2130"/>
      <c r="AK14" s="2130"/>
      <c r="AL14" s="2130"/>
      <c r="AM14" s="2130"/>
      <c r="AN14" s="2130"/>
      <c r="AO14" s="3569"/>
    </row>
    <row r="15" spans="1:41" s="2830" customFormat="1">
      <c r="A15" s="2427" t="str">
        <f t="shared" si="3"/>
        <v>R1=;R12=;R42=;COM=</v>
      </c>
      <c r="B15" s="578"/>
      <c r="C15" s="65"/>
      <c r="D15" s="1431"/>
      <c r="E15" s="2063"/>
      <c r="F15" s="789" t="str">
        <f>IF(E15="X","",IF(E15="","",VLOOKUP(E15,Список_компаний!$A$3:$B$299,2,FALSE)))</f>
        <v/>
      </c>
      <c r="G15" s="789" t="str">
        <f>IF(E15="X","",IF(E15="","",VLOOKUP(E15,Список_компаний!$A$3:$C$299,3,FALSE)))</f>
        <v/>
      </c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1178">
        <f t="shared" si="1"/>
        <v>0</v>
      </c>
      <c r="W15" s="65"/>
      <c r="X15" s="1171"/>
      <c r="Y15" s="2130" t="b">
        <f t="shared" si="4"/>
        <v>1</v>
      </c>
      <c r="Z15" s="2130" t="b">
        <f t="shared" si="6"/>
        <v>1</v>
      </c>
      <c r="AA15" s="2130" t="b">
        <f ca="1">IF(D15&lt;&gt;"",IF(OR(COUNTIF(D15,"{31}*"),COUNTIF(D15,"{32}*"),COUNTIF(D15,"{33}*"),COUNTIF(D15,"{34}*")),IF(IFERROR(VLOOKUP(E15,INDIRECT(AA$4),1,FALSE),FALSE)=FALSE,FALSE,TRUE),TRUE),TRUE)</f>
        <v>1</v>
      </c>
      <c r="AB15" s="3469"/>
      <c r="AC15" s="3469">
        <f>SUMIFS('01'!$H$9:$H$1300,'01'!$C$9:$C$1300,'01'!C15,'01'!$D$9:$D$1300,INDEX($AK$8:$AK$14,MATCH('01'!D15,$AJ$8:$AJ$14),1))</f>
        <v>0</v>
      </c>
      <c r="AD15" s="2130">
        <f>SUMIFS('02'!$H$9:$H$1400,'02'!$C$9:$C$1400,'01'!C15,'02'!$D$9:$D$1400,INDEX($AL$8:$AL$14,MATCH('01'!D15,$AJ$8:$AJ$14),1))</f>
        <v>0</v>
      </c>
      <c r="AE15" s="2130">
        <f>SUMIFS('02'!$H$9:$H$1400,'02'!$C$9:$C$1400,'01'!C15,'02'!$D$9:$D$1400,INDEX($AM$8:$AM$14,MATCH('01'!D15,$AJ$8:$AJ$14),1))</f>
        <v>0</v>
      </c>
      <c r="AF15" s="2130">
        <f>SUMIFS('01'!$V$9:$V$1300,'01'!$C$9:$C$1300,'01'!C15,'01'!$D$9:$D$1300,INDEX($AK$8:$AK$14,MATCH('01'!D15,$AJ$8:$AJ$14),1))</f>
        <v>0</v>
      </c>
      <c r="AG15" s="2130">
        <f>SUMIFS('02'!$S$9:$S$1400,'02'!$C$9:$C$1400,'01'!C15,'02'!$D$9:$D$1400,INDEX($AL$8:$AL$14,MATCH('01'!D15,$AJ$8:$AJ$14),1))</f>
        <v>0</v>
      </c>
      <c r="AH15" s="2130">
        <f>SUMIFS('02'!$S$9:$S$1400,'02'!$C$9:$C$1400,'01'!C15,'02'!$D$9:$D$1400,INDEX($AM$8:$AM$14,MATCH('01'!D15,$AJ$8:$AJ$14),1))</f>
        <v>0</v>
      </c>
      <c r="AI15" s="2130" t="b">
        <f t="shared" ref="AI15" si="8">AND((AC15+AD15+AE15)&gt;=0,(AF15+AG15+AH15)&gt;=0)</f>
        <v>1</v>
      </c>
      <c r="AJ15" s="2130"/>
      <c r="AK15" s="2130"/>
      <c r="AL15" s="2130"/>
      <c r="AM15" s="2130"/>
      <c r="AN15" s="2130"/>
      <c r="AO15" s="3569"/>
    </row>
    <row r="16" spans="1:41" s="2830" customFormat="1">
      <c r="A16" s="2427" t="str">
        <f t="shared" ref="A16" si="9">"R1="&amp;IFERROR(MID(C16,FIND("{",C16)+1,FIND("}",C16)-FIND("{",C16)-1),"")&amp;";R12="&amp;IFERROR(MID(D16,FIND("{",D16)+1,FIND("}",D16)-FIND("{",D16)-1),"")&amp;";R42="&amp;MID(IF(G16&lt;&gt;"",G16,F16),1,30)&amp;";COM="&amp;X16</f>
        <v>R1=;R12=;R42=;COM=</v>
      </c>
      <c r="B16" s="578"/>
      <c r="C16" s="65"/>
      <c r="D16" s="1431"/>
      <c r="E16" s="2063"/>
      <c r="F16" s="789" t="str">
        <f>IF(E16="X","",IF(E16="","",VLOOKUP(E16,Список_компаний!$A$3:$B$299,2,FALSE)))</f>
        <v/>
      </c>
      <c r="G16" s="789" t="str">
        <f>IF(E16="X","",IF(E16="","",VLOOKUP(E16,Список_компаний!$A$3:$C$299,3,FALSE)))</f>
        <v/>
      </c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1178">
        <f t="shared" ref="V16" si="10">SUM(H16)+SUM(J16:U16)</f>
        <v>0</v>
      </c>
      <c r="W16" s="65"/>
      <c r="X16" s="1171"/>
      <c r="Y16" s="2130" t="b">
        <f t="shared" si="4"/>
        <v>1</v>
      </c>
      <c r="Z16" s="2130" t="b">
        <f t="shared" ref="Z16" si="11">IF(OR(M16&gt;1000,S16&lt;-1000),IF(LEN(X16)&gt;5,TRUE,FALSE),TRUE)</f>
        <v>1</v>
      </c>
      <c r="AA16" s="2130" t="b">
        <f ca="1">IF(D16&lt;&gt;"",IF(OR(COUNTIF(D16,"{31}*"),COUNTIF(D16,"{32}*"),COUNTIF(D16,"{33}*"),COUNTIF(D16,"{34}*")),IF(IFERROR(VLOOKUP(E16,INDIRECT(AA$4),1,FALSE),FALSE)=FALSE,FALSE,TRUE),TRUE),TRUE)</f>
        <v>1</v>
      </c>
      <c r="AB16" s="3469"/>
      <c r="AC16" s="3469">
        <f>SUMIFS('01'!$H$9:$H$1300,'01'!$C$9:$C$1300,'01'!C16,'01'!$D$9:$D$1300,INDEX($AK$8:$AK$14,MATCH('01'!D16,$AJ$8:$AJ$14),1))</f>
        <v>0</v>
      </c>
      <c r="AD16" s="2130">
        <f>SUMIFS('02'!$H$9:$H$1400,'02'!$C$9:$C$1400,'01'!C16,'02'!$D$9:$D$1400,INDEX($AL$8:$AL$14,MATCH('01'!D16,$AJ$8:$AJ$14),1))</f>
        <v>0</v>
      </c>
      <c r="AE16" s="2130">
        <f>SUMIFS('02'!$H$9:$H$1400,'02'!$C$9:$C$1400,'01'!C16,'02'!$D$9:$D$1400,INDEX($AM$8:$AM$14,MATCH('01'!D16,$AJ$8:$AJ$14),1))</f>
        <v>0</v>
      </c>
      <c r="AF16" s="2130">
        <f>SUMIFS('01'!$V$9:$V$1300,'01'!$C$9:$C$1300,'01'!C16,'01'!$D$9:$D$1300,INDEX($AK$8:$AK$14,MATCH('01'!D16,$AJ$8:$AJ$14),1))</f>
        <v>0</v>
      </c>
      <c r="AG16" s="2130">
        <f>SUMIFS('02'!$S$9:$S$1400,'02'!$C$9:$C$1400,'01'!C16,'02'!$D$9:$D$1400,INDEX($AL$8:$AL$14,MATCH('01'!D16,$AJ$8:$AJ$14),1))</f>
        <v>0</v>
      </c>
      <c r="AH16" s="2130">
        <f>SUMIFS('02'!$S$9:$S$1400,'02'!$C$9:$C$1400,'01'!C16,'02'!$D$9:$D$1400,INDEX($AM$8:$AM$14,MATCH('01'!D16,$AJ$8:$AJ$14),1))</f>
        <v>0</v>
      </c>
      <c r="AI16" s="2130" t="b">
        <f t="shared" ref="AI16" si="12">AND((AC16+AD16+AE16)&gt;=0,(AF16+AG16+AH16)&gt;=0)</f>
        <v>1</v>
      </c>
      <c r="AJ16" s="2130"/>
      <c r="AK16" s="2130"/>
      <c r="AL16" s="2130"/>
      <c r="AM16" s="2130"/>
      <c r="AN16" s="2130"/>
      <c r="AO16" s="3569"/>
    </row>
    <row r="17" spans="41:41">
      <c r="AO17" s="1630"/>
    </row>
  </sheetData>
  <sheetProtection algorithmName="SHA-512" hashValue="s7TQb8/mPsxGeIx5g9H1R7LvG0HTH6D7ohc4XEjyiRl/zSeJEO6If1n5miDXzMxteijaZfu2Kqtiu5N4+zSx8g==" saltValue="9UYbtLRgGVyiTLYAxQOrPA==" spinCount="100000" sheet="1" objects="1" scenarios="1" formatColumns="0" formatRows="0" autoFilter="0"/>
  <autoFilter ref="C7:Z7"/>
  <customSheetViews>
    <customSheetView guid="{3769259D-9653-4B34-A2F6-4FB6F9F4E533}" scale="70" showGridLines="0" showAutoFilter="1" hiddenRows="1" hiddenColumns="1" topLeftCell="B3">
      <selection activeCell="C6" sqref="C6"/>
      <pageMargins left="0.7" right="0.7" top="0.75" bottom="0.75" header="0.3" footer="0.3"/>
      <pageSetup orientation="portrait" r:id="rId1"/>
      <autoFilter ref="B1:P1"/>
    </customSheetView>
    <customSheetView guid="{40D7A2BB-326C-4ED3-999C-17852F56D6F4}" scale="70" showGridLines="0" showAutoFilter="1" hiddenRows="1" hiddenColumns="1" topLeftCell="B3">
      <selection activeCell="C6" sqref="C6"/>
      <pageMargins left="0.7" right="0.7" top="0.75" bottom="0.75" header="0.3" footer="0.3"/>
      <pageSetup orientation="portrait" r:id="rId2"/>
      <autoFilter ref="B1:P1"/>
    </customSheetView>
    <customSheetView guid="{5D121940-0CE8-4A0E-A493-67FAAA6E0FF8}" scale="70" showGridLines="0" showAutoFilter="1" hiddenRows="1" hiddenColumns="1" topLeftCell="B2">
      <selection activeCell="R2" sqref="R1:R65536"/>
      <pageMargins left="0.7" right="0.7" top="0.75" bottom="0.75" header="0.3" footer="0.3"/>
      <pageSetup orientation="portrait" r:id="rId3"/>
      <autoFilter ref="B1:P1"/>
    </customSheetView>
    <customSheetView guid="{47AEACC4-6EA5-412C-AF39-A6C5357B313A}" scale="70" showGridLines="0" showAutoFilter="1" hiddenRows="1" hiddenColumns="1" topLeftCell="B3">
      <selection activeCell="E6" sqref="E6"/>
      <pageMargins left="0.7" right="0.7" top="0.75" bottom="0.75" header="0.3" footer="0.3"/>
      <pageSetup orientation="portrait" r:id="rId4"/>
      <autoFilter ref="B1:P1"/>
    </customSheetView>
    <customSheetView guid="{4D957B38-5430-481E-B791-E0A66F913B50}" scale="70">
      <selection activeCell="A9" sqref="A9"/>
      <pageMargins left="0.7" right="0.7" top="0.75" bottom="0.75" header="0.3" footer="0.3"/>
    </customSheetView>
    <customSheetView guid="{D03DFE91-19D2-43BA-897C-B86D033537EB}" scale="70">
      <selection activeCell="F14" sqref="F14"/>
      <pageMargins left="0.7" right="0.7" top="0.75" bottom="0.75" header="0.3" footer="0.3"/>
    </customSheetView>
    <customSheetView guid="{1C36793E-2B7E-411E-AA99-985D5D59B75A}" scale="70">
      <selection activeCell="J39" sqref="A32:J39"/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C3">
      <selection activeCell="C6" sqref="C6"/>
      <pageMargins left="0.7" right="0.7" top="0.75" bottom="0.75" header="0.3" footer="0.3"/>
      <pageSetup orientation="portrait" r:id="rId5"/>
      <autoFilter ref="B1:P1"/>
    </customSheetView>
  </customSheetViews>
  <mergeCells count="2">
    <mergeCell ref="AC7:AE7"/>
    <mergeCell ref="AF7:AH7"/>
  </mergeCells>
  <phoneticPr fontId="0" type="noConversion"/>
  <conditionalFormatting sqref="E8:G8 F9:F14 F16">
    <cfRule type="cellIs" dxfId="58" priority="10" stopIfTrue="1" operator="lessThan">
      <formula>0</formula>
    </cfRule>
  </conditionalFormatting>
  <conditionalFormatting sqref="G9:G14 G16">
    <cfRule type="cellIs" dxfId="57" priority="9" stopIfTrue="1" operator="lessThan">
      <formula>0</formula>
    </cfRule>
  </conditionalFormatting>
  <conditionalFormatting sqref="F15">
    <cfRule type="cellIs" dxfId="56" priority="2" stopIfTrue="1" operator="lessThan">
      <formula>0</formula>
    </cfRule>
  </conditionalFormatting>
  <conditionalFormatting sqref="G15">
    <cfRule type="cellIs" dxfId="55" priority="1" stopIfTrue="1" operator="lessThan">
      <formula>0</formula>
    </cfRule>
  </conditionalFormatting>
  <dataValidations count="4">
    <dataValidation showInputMessage="1" showErrorMessage="1" error="Заполнение данных только по согласованию с отделом ОКО" sqref="M9:M16 S9:S16"/>
    <dataValidation type="list" allowBlank="1" showInputMessage="1" showErrorMessage="1" sqref="D9:D16">
      <formula1>_2040_</formula1>
    </dataValidation>
    <dataValidation type="list" allowBlank="1" showInputMessage="1" showErrorMessage="1" sqref="C9:C16">
      <formula1>_10015_01</formula1>
    </dataValidation>
    <dataValidation type="list" allowBlank="1" showInputMessage="1" showErrorMessage="1" sqref="E9:E16">
      <formula1>IF(OR(COUNTIF(D9,"{31}*"),COUNTIF(D9,"{32}*"),COUNTIF(D9,"{33}*"),COUNTIF(D9,"{34}*")),_comp0102,_X)</formula1>
    </dataValidation>
  </dataValidations>
  <hyperlinks>
    <hyperlink ref="J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3" fitToWidth="2" orientation="landscape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29" r:id="rId9" name="Button 5">
              <controlPr defaultSize="0" print="0" autoFill="0" autoPict="0" macro="[0]!AddButtonsRowAdd">
                <anchor moveWithCells="1">
                  <from>
                    <xdr:col>14</xdr:col>
                    <xdr:colOff>222250</xdr:colOff>
                    <xdr:row>2</xdr:row>
                    <xdr:rowOff>298450</xdr:rowOff>
                  </from>
                  <to>
                    <xdr:col>15</xdr:col>
                    <xdr:colOff>374650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AX26"/>
  <sheetViews>
    <sheetView topLeftCell="P2" zoomScale="70" zoomScaleNormal="70" workbookViewId="0">
      <selection activeCell="V9" sqref="V9"/>
    </sheetView>
  </sheetViews>
  <sheetFormatPr defaultColWidth="9.453125" defaultRowHeight="14.5"/>
  <cols>
    <col min="1" max="1" width="44" style="1163" hidden="1" customWidth="1"/>
    <col min="2" max="2" width="3.453125" style="1163" customWidth="1"/>
    <col min="3" max="3" width="64.453125" style="1163" customWidth="1"/>
    <col min="4" max="7" width="64.453125" style="2830" customWidth="1"/>
    <col min="8" max="8" width="19.453125" style="1163" customWidth="1"/>
    <col min="9" max="9" width="19.453125" style="2830" customWidth="1"/>
    <col min="10" max="13" width="19.453125" style="1163" customWidth="1"/>
    <col min="14" max="14" width="23.453125" style="1163" customWidth="1"/>
    <col min="15" max="19" width="19.453125" style="1163" customWidth="1"/>
    <col min="20" max="20" width="19.453125" style="2830" customWidth="1"/>
    <col min="21" max="21" width="19.453125" style="1563" customWidth="1"/>
    <col min="22" max="22" width="23.453125" style="1163" customWidth="1"/>
    <col min="23" max="23" width="23.453125" style="2830" customWidth="1"/>
    <col min="24" max="24" width="14" style="1163" customWidth="1"/>
    <col min="25" max="25" width="16.453125" style="1163" customWidth="1"/>
    <col min="26" max="26" width="13.453125" style="1163" customWidth="1"/>
    <col min="27" max="27" width="14.453125" style="1163" customWidth="1"/>
    <col min="28" max="28" width="15.453125" style="1163" customWidth="1"/>
    <col min="29" max="30" width="9.453125" style="1163"/>
    <col min="31" max="31" width="17.453125" style="1579" customWidth="1"/>
    <col min="32" max="32" width="19" style="1163" customWidth="1"/>
    <col min="33" max="33" width="19" style="2830" customWidth="1"/>
    <col min="34" max="34" width="29.54296875" style="2129" customWidth="1"/>
    <col min="35" max="35" width="29.54296875" style="2129" hidden="1" customWidth="1"/>
    <col min="36" max="37" width="9.453125" style="2130" hidden="1" customWidth="1"/>
    <col min="38" max="39" width="9.453125" style="2130"/>
    <col min="40" max="47" width="9.453125" style="1163"/>
    <col min="48" max="48" width="27.81640625" style="1163" customWidth="1"/>
    <col min="49" max="49" width="9.453125" style="1163"/>
    <col min="50" max="50" width="23.81640625" style="1163" customWidth="1"/>
    <col min="51" max="16384" width="9.453125" style="1163"/>
  </cols>
  <sheetData>
    <row r="1" spans="1:50" ht="13.5" hidden="1" customHeight="1">
      <c r="A1" s="3483" t="s">
        <v>3407</v>
      </c>
      <c r="B1" s="5"/>
      <c r="C1" s="5"/>
      <c r="D1" s="5"/>
      <c r="E1" s="5"/>
      <c r="F1" s="5"/>
      <c r="G1" s="5"/>
      <c r="H1" s="6" t="s">
        <v>1241</v>
      </c>
      <c r="I1" s="2438" t="s">
        <v>10148</v>
      </c>
      <c r="J1" s="6" t="s">
        <v>1242</v>
      </c>
      <c r="K1" s="2438" t="s">
        <v>7742</v>
      </c>
      <c r="L1" s="6" t="s">
        <v>1232</v>
      </c>
      <c r="M1" s="6" t="s">
        <v>1243</v>
      </c>
      <c r="N1" s="6" t="s">
        <v>1244</v>
      </c>
      <c r="O1" s="6" t="s">
        <v>1245</v>
      </c>
      <c r="P1" s="6" t="s">
        <v>1246</v>
      </c>
      <c r="Q1" s="6" t="s">
        <v>1240</v>
      </c>
      <c r="R1" s="6" t="s">
        <v>1239</v>
      </c>
      <c r="S1" s="6" t="s">
        <v>302</v>
      </c>
      <c r="T1" s="2438" t="s">
        <v>10149</v>
      </c>
      <c r="U1" s="1206"/>
    </row>
    <row r="2" spans="1:50" s="2003" customFormat="1" ht="26">
      <c r="A2" s="741"/>
      <c r="C2" s="2004"/>
      <c r="D2" s="2004"/>
      <c r="E2" s="2004"/>
      <c r="F2" s="2004"/>
      <c r="G2" s="2004"/>
      <c r="H2" s="2005" t="s">
        <v>1648</v>
      </c>
      <c r="I2" s="2005"/>
      <c r="J2" s="2005" t="s">
        <v>1648</v>
      </c>
      <c r="K2" s="2005"/>
      <c r="L2" s="2005" t="s">
        <v>1648</v>
      </c>
      <c r="M2" s="2005" t="s">
        <v>1648</v>
      </c>
      <c r="N2" s="2005" t="s">
        <v>1648</v>
      </c>
      <c r="O2" s="2005" t="s">
        <v>1648</v>
      </c>
      <c r="P2" s="2005" t="s">
        <v>1648</v>
      </c>
      <c r="Q2" s="2005" t="s">
        <v>1648</v>
      </c>
      <c r="R2" s="2005" t="s">
        <v>1648</v>
      </c>
      <c r="S2" s="1897" t="s">
        <v>2067</v>
      </c>
      <c r="T2" s="2353"/>
      <c r="U2" s="1244">
        <f>Содержание!$D$2</f>
        <v>0</v>
      </c>
      <c r="AH2" s="2129"/>
      <c r="AI2" s="2129"/>
      <c r="AJ2" s="2130"/>
      <c r="AK2" s="2130"/>
      <c r="AL2" s="2130"/>
      <c r="AM2" s="2130"/>
    </row>
    <row r="3" spans="1:50" ht="38.5">
      <c r="A3" s="9"/>
      <c r="C3" s="11" t="s">
        <v>14575</v>
      </c>
      <c r="D3" s="11"/>
      <c r="E3" s="11"/>
      <c r="F3" s="11"/>
      <c r="G3" s="11"/>
      <c r="J3" s="3044" t="s">
        <v>1436</v>
      </c>
      <c r="K3"/>
      <c r="L3" s="10"/>
      <c r="M3" s="10"/>
      <c r="N3" s="10"/>
      <c r="O3" s="10"/>
      <c r="P3" s="10"/>
      <c r="Q3" s="10"/>
      <c r="R3" s="2819" t="s">
        <v>8372</v>
      </c>
      <c r="S3" s="1897" t="s">
        <v>2075</v>
      </c>
      <c r="T3" s="2353"/>
      <c r="U3" s="1244" t="str">
        <f>Содержание!$D$15</f>
        <v>2022 год</v>
      </c>
      <c r="AJ3" s="2130" t="s">
        <v>1443</v>
      </c>
      <c r="AK3" s="2129">
        <v>91</v>
      </c>
    </row>
    <row r="4" spans="1:50" ht="15" thickBot="1">
      <c r="A4" s="9"/>
      <c r="R4" s="2130" t="b">
        <f>ABS(R8)&lt;=2</f>
        <v>1</v>
      </c>
      <c r="S4" s="12"/>
      <c r="T4" s="12"/>
      <c r="U4" s="12"/>
      <c r="W4" s="2830" t="s">
        <v>14726</v>
      </c>
      <c r="AJ4" s="2130" t="s">
        <v>2157</v>
      </c>
      <c r="AK4" s="3474" t="s">
        <v>14414</v>
      </c>
    </row>
    <row r="5" spans="1:50" ht="64.5" customHeight="1">
      <c r="A5" s="9"/>
      <c r="C5" s="3175" t="s">
        <v>54</v>
      </c>
      <c r="D5" s="3541" t="s">
        <v>14557</v>
      </c>
      <c r="E5" s="3536" t="s">
        <v>3991</v>
      </c>
      <c r="F5" s="3536" t="s">
        <v>3512</v>
      </c>
      <c r="G5" s="3536" t="s">
        <v>9889</v>
      </c>
      <c r="H5" s="2855" t="s">
        <v>5225</v>
      </c>
      <c r="I5" s="13" t="s">
        <v>10126</v>
      </c>
      <c r="J5" s="2855" t="s">
        <v>4171</v>
      </c>
      <c r="K5" s="3538" t="s">
        <v>7724</v>
      </c>
      <c r="L5" s="2855" t="s">
        <v>5226</v>
      </c>
      <c r="M5" s="2855" t="s">
        <v>1657</v>
      </c>
      <c r="N5" s="2855" t="s">
        <v>1658</v>
      </c>
      <c r="O5" s="2855" t="s">
        <v>1659</v>
      </c>
      <c r="P5" s="2855" t="s">
        <v>4172</v>
      </c>
      <c r="Q5" s="3538" t="s">
        <v>5232</v>
      </c>
      <c r="R5" s="2855" t="s">
        <v>5231</v>
      </c>
      <c r="S5" s="2855" t="s">
        <v>5233</v>
      </c>
      <c r="T5" s="3538" t="s">
        <v>10125</v>
      </c>
      <c r="U5" s="3537" t="s">
        <v>3401</v>
      </c>
      <c r="V5" s="3540" t="s">
        <v>9625</v>
      </c>
      <c r="W5" s="2813" t="s">
        <v>14707</v>
      </c>
      <c r="X5" s="3705" t="s">
        <v>5308</v>
      </c>
      <c r="Y5" s="3707" t="s">
        <v>1440</v>
      </c>
      <c r="Z5" s="3707"/>
      <c r="AA5" s="3707"/>
      <c r="AB5" s="3707"/>
      <c r="AC5" s="3707"/>
      <c r="AD5" s="3707"/>
      <c r="AE5" s="1163"/>
      <c r="AF5" s="1579" t="s">
        <v>1442</v>
      </c>
      <c r="AG5" s="1579"/>
      <c r="AH5" s="2130"/>
      <c r="AI5" s="2130"/>
      <c r="AJ5" s="2129" t="s">
        <v>14415</v>
      </c>
      <c r="AK5" s="2130" t="s">
        <v>14432</v>
      </c>
      <c r="AM5" s="3469"/>
      <c r="AN5" s="2130"/>
      <c r="AO5" s="2130"/>
      <c r="AP5" s="2130"/>
      <c r="AQ5" s="2130"/>
      <c r="AR5" s="2130"/>
      <c r="AS5" s="2813" t="s">
        <v>14624</v>
      </c>
      <c r="AT5" s="2130"/>
      <c r="AX5" s="2277" t="s">
        <v>14986</v>
      </c>
    </row>
    <row r="6" spans="1:50">
      <c r="A6" s="9"/>
      <c r="C6" s="68">
        <v>10015</v>
      </c>
      <c r="D6" s="68">
        <v>2101</v>
      </c>
      <c r="E6" s="3198">
        <v>6004</v>
      </c>
      <c r="F6" s="3198">
        <v>6004</v>
      </c>
      <c r="G6" s="3198">
        <v>6004</v>
      </c>
      <c r="H6" s="3535" t="s">
        <v>674</v>
      </c>
      <c r="I6" s="3535"/>
      <c r="J6" s="3535" t="s">
        <v>4173</v>
      </c>
      <c r="K6" s="3535" t="s">
        <v>7726</v>
      </c>
      <c r="L6" s="3535" t="s">
        <v>5283</v>
      </c>
      <c r="M6" s="3535" t="s">
        <v>4174</v>
      </c>
      <c r="N6" s="3535" t="s">
        <v>4175</v>
      </c>
      <c r="O6" s="3535" t="s">
        <v>4176</v>
      </c>
      <c r="P6" s="3535" t="s">
        <v>4177</v>
      </c>
      <c r="Q6" s="3535" t="s">
        <v>4162</v>
      </c>
      <c r="R6" s="3535" t="s">
        <v>5242</v>
      </c>
      <c r="S6" s="3535" t="s">
        <v>4163</v>
      </c>
      <c r="T6" s="3539"/>
      <c r="U6" s="69" t="s">
        <v>865</v>
      </c>
      <c r="V6" s="2814" t="b">
        <f>AND(V9:V1500)</f>
        <v>1</v>
      </c>
      <c r="W6" s="2814" t="b">
        <f ca="1">AND(W9:W1500)</f>
        <v>1</v>
      </c>
      <c r="X6" s="3706"/>
      <c r="Y6" s="62" t="s">
        <v>3430</v>
      </c>
      <c r="Z6" s="62" t="s">
        <v>1004</v>
      </c>
      <c r="AA6" s="62" t="s">
        <v>4266</v>
      </c>
      <c r="AB6" s="62" t="s">
        <v>4283</v>
      </c>
      <c r="AC6" s="62" t="s">
        <v>4622</v>
      </c>
      <c r="AD6" s="62" t="s">
        <v>1441</v>
      </c>
      <c r="AE6" s="2851">
        <v>96</v>
      </c>
      <c r="AF6" s="2733" t="s">
        <v>8038</v>
      </c>
      <c r="AG6" s="3517" t="s">
        <v>2843</v>
      </c>
      <c r="AH6" s="3470">
        <v>28</v>
      </c>
      <c r="AI6" s="2130" t="s">
        <v>2159</v>
      </c>
      <c r="AJ6" s="2129" t="s">
        <v>4831</v>
      </c>
      <c r="AM6" s="3469"/>
      <c r="AN6" s="2130"/>
      <c r="AO6" s="2130"/>
      <c r="AP6" s="2130"/>
      <c r="AQ6" s="2130"/>
      <c r="AR6" s="2130"/>
      <c r="AS6" s="2130" t="b">
        <f>AND(AS9:AS15)</f>
        <v>1</v>
      </c>
      <c r="AT6" s="2130"/>
      <c r="AX6" s="2130" t="b">
        <f>AND(AX9:AX18000)</f>
        <v>1</v>
      </c>
    </row>
    <row r="7" spans="1:50" s="674" customFormat="1" ht="32.25" customHeight="1">
      <c r="A7" s="668"/>
      <c r="B7" s="672"/>
      <c r="C7" s="670" t="s">
        <v>4164</v>
      </c>
      <c r="D7" s="670" t="s">
        <v>4165</v>
      </c>
      <c r="E7" s="1124" t="s">
        <v>4166</v>
      </c>
      <c r="F7" s="1124" t="s">
        <v>5500</v>
      </c>
      <c r="G7" s="1124" t="s">
        <v>4169</v>
      </c>
      <c r="H7" s="1124" t="s">
        <v>4168</v>
      </c>
      <c r="I7" s="1124" t="s">
        <v>4178</v>
      </c>
      <c r="J7" s="1124" t="s">
        <v>4179</v>
      </c>
      <c r="K7" s="1124" t="s">
        <v>4167</v>
      </c>
      <c r="L7" s="1124" t="s">
        <v>5501</v>
      </c>
      <c r="M7" s="1124" t="s">
        <v>4701</v>
      </c>
      <c r="N7" s="1124" t="s">
        <v>4702</v>
      </c>
      <c r="O7" s="1124" t="s">
        <v>4703</v>
      </c>
      <c r="P7" s="1124" t="s">
        <v>5502</v>
      </c>
      <c r="Q7" s="1124" t="s">
        <v>5503</v>
      </c>
      <c r="R7" s="1124" t="s">
        <v>5504</v>
      </c>
      <c r="S7" s="1124" t="s">
        <v>4853</v>
      </c>
      <c r="T7" s="1124" t="s">
        <v>4852</v>
      </c>
      <c r="U7" s="3542" t="s">
        <v>5505</v>
      </c>
      <c r="V7" s="1580"/>
      <c r="W7" s="1580"/>
      <c r="X7" s="64" t="b">
        <f>ABS($J$8+$L$8+$P$8+SUM(Y7:AH7))&lt;5</f>
        <v>1</v>
      </c>
      <c r="Y7" s="64">
        <f>'08_расш'!J9</f>
        <v>0</v>
      </c>
      <c r="Z7" s="64">
        <f>SUMIF(Затраты_Вход_1!$C:$C,$AJ$4,Затраты_Вход_1!D:D)+SUMIF(Затраты_Вход_1!$C:$C,$AI$6,Затраты_Вход_1!D:D)+SUMIF(Затраты_Вход_1!$C:$C,$AI$7,Затраты_Вход_1!D:D)+SUMIF(Затраты_Вход_1!$C:$C,$AI$8,Затраты_Вход_1!D:D)+SUMIF(Затраты_Вход_1!$C:$C,$AJ$10,Затраты_Вход_1!D:D)</f>
        <v>0</v>
      </c>
      <c r="AA7" s="64">
        <f>SUMIF(Затраты_Вход_1!$C:$C,$AJ$4,Затраты_Вход_1!E:E)+SUMIF(Затраты_Вход_1!$C:$C,$AI$6,Затраты_Вход_1!E:E)+SUMIF(Затраты_Вход_1!$C:$C,$AI$7,Затраты_Вход_1!E:E)+SUMIF(Затраты_Вход_1!$C:$C,$AJ$4,Затраты_Вход_1!F:F)+SUMIF(Затраты_Вход_1!$C:$C,$AI$6,Затраты_Вход_1!F:F)+SUMIF(Затраты_Вход_1!$C:$C,$AI$7,Затраты_Вход_1!F:F)+SUMIF(Затраты_Вход_1!$C:$C,$AI$8,Затраты_Вход_1!F:F)+SUMIF(Затраты_Вход_1!$C:$C,$AI$8,Затраты_Вход_1!E:E)+SUMIF(Затраты_Вход_1!$C:$C,$AJ$10,Затраты_Вход_1!E:E)</f>
        <v>0</v>
      </c>
      <c r="AB7" s="64">
        <f>SUMIF(Затраты_Вход_1!$C:$C,$AJ$4,Затраты_Вход_1!G:G)+SUMIF(Затраты_Вход_1!$C:$C,$AI$6,Затраты_Вход_1!G:G)+SUMIF(Затраты_Вход_1!$C:$C,$AI$7,Затраты_Вход_1!G:G)+SUMIF(Затраты_Вход_1!$C:$C,$AI$8,Затраты_Вход_1!G:G)+SUMIF(Затраты_Вход_1!$C:$C,$AJ$10,Затраты_Вход_1!G:G)</f>
        <v>0</v>
      </c>
      <c r="AC7" s="64">
        <f>SUMIF('91_02'!C:C,AK5,'91_02'!F:F)+SUMIF('91_02'!C:C,AJ5,'91_02'!F:F)+SUMIF('91_02'!C:C,AJ6,'91_02'!F:F)+SUMIF('91_02'!C:C,AJ7,'91_02'!F:F)+SUMIF('91_02'!C:C,AK4,'91_02'!F:F)+Затраты_Выход!D37+Затраты_Выход!D39+Затраты_Выход!D42</f>
        <v>0</v>
      </c>
      <c r="AD7" s="64">
        <f>SUMIF(Затраты_Вход_1!$C:$C,$AJ$4,Затраты_Вход_1!K:K)+SUMIF(Затраты_Вход_1!$C:$C,$AI$6,Затраты_Вход_1!K:K)</f>
        <v>0</v>
      </c>
      <c r="AE7" s="64">
        <f>SUMIF('96_движ'!$D$11:$D$2000,"02",'96_движ'!$L$11:$L$2000)</f>
        <v>0</v>
      </c>
      <c r="AF7" s="64">
        <f>SUMIF(Прочие_расш!$G$34:$G$3304,$AJ$4,Прочие_расш!$J$34:$J$3304)+SUMIF(Прочие_расш!$G$34:$G$3304,$AI$6,Прочие_расш!$J$34:$J$3304)+SUMIF(Прочие_расш!$G$34:$G$3304,$AI$7,Прочие_расш!$J$34:$J$3304)+SUMIF(Прочие_расш!$G$34:$G$3304,$AI$8,Прочие_расш!$J$34:$J$3304)+SUMIF(Прочие_расш!$G$34:$G$3304,$AJ$10,Прочие_расш!$J$34:$J$3304)</f>
        <v>0</v>
      </c>
      <c r="AG7" s="64">
        <f>SUMIF('84_расш'!H:H,"02",'84_расш'!C:C)+SUMIF('84_расш'!H:H,"02",'84_расш'!D:D)+SUMIF('84_расш'!H:H,"02",'84_расш'!E:E)+SUMIF('84_расш'!H:H,"02",'84_расш'!F:F)+SUMIF('84_расш'!H:H,"02",'84_расш'!G:G)</f>
        <v>0</v>
      </c>
      <c r="AH7" s="3471">
        <f>SUMIF(Затраты_Вход_1!$C:$C,$AJ$4,Затраты_Вход_1!J:J)+SUMIF(Затраты_Вход_1!$C:$C,$AI$6,Затраты_Вход_1!J:J)+SUMIF(Затраты_Вход_1!$C:$C,$AI$7,Затраты_Вход_1!J:J)+SUMIF(Затраты_Вход_1!$C:$C,$AI$8,Затраты_Вход_1!J:J)+SUMIF(Затраты_Вход_1!$C:$C,$AJ$10,Затраты_Вход_1!J:J)</f>
        <v>0</v>
      </c>
      <c r="AI7" s="2130" t="s">
        <v>7130</v>
      </c>
      <c r="AJ7" s="2129" t="s">
        <v>14418</v>
      </c>
      <c r="AK7" s="2130"/>
      <c r="AL7" s="2130"/>
      <c r="AM7" s="3703" t="s">
        <v>2073</v>
      </c>
      <c r="AN7" s="3703"/>
      <c r="AO7" s="3703"/>
      <c r="AP7" s="3704" t="s">
        <v>2074</v>
      </c>
      <c r="AQ7" s="3704"/>
      <c r="AR7" s="3704"/>
      <c r="AS7" s="2134"/>
      <c r="AT7" s="2134"/>
    </row>
    <row r="8" spans="1:50">
      <c r="A8" s="9"/>
      <c r="C8" s="63" t="s">
        <v>4170</v>
      </c>
      <c r="D8" s="3472"/>
      <c r="E8" s="432" t="s">
        <v>3389</v>
      </c>
      <c r="F8" s="789" t="s">
        <v>4184</v>
      </c>
      <c r="G8" s="789" t="s">
        <v>4184</v>
      </c>
      <c r="H8" s="64">
        <f>SUM(H9:H1500)</f>
        <v>0</v>
      </c>
      <c r="I8" s="64">
        <f t="shared" ref="I8:T8" si="0">SUM(I9:I1500)</f>
        <v>0</v>
      </c>
      <c r="J8" s="64">
        <f t="shared" si="0"/>
        <v>0</v>
      </c>
      <c r="K8" s="64">
        <f t="shared" si="0"/>
        <v>0</v>
      </c>
      <c r="L8" s="64">
        <f t="shared" si="0"/>
        <v>0</v>
      </c>
      <c r="M8" s="64">
        <f t="shared" si="0"/>
        <v>0</v>
      </c>
      <c r="N8" s="64">
        <f t="shared" si="0"/>
        <v>0</v>
      </c>
      <c r="O8" s="64">
        <f t="shared" si="0"/>
        <v>0</v>
      </c>
      <c r="P8" s="64">
        <f t="shared" si="0"/>
        <v>0</v>
      </c>
      <c r="Q8" s="64">
        <f t="shared" si="0"/>
        <v>0</v>
      </c>
      <c r="R8" s="64">
        <f t="shared" si="0"/>
        <v>0</v>
      </c>
      <c r="S8" s="64">
        <f t="shared" si="0"/>
        <v>0</v>
      </c>
      <c r="T8" s="64">
        <f t="shared" si="0"/>
        <v>0</v>
      </c>
      <c r="U8" s="1173" t="s">
        <v>3196</v>
      </c>
      <c r="V8" s="1580"/>
      <c r="W8" s="1580"/>
      <c r="Y8" s="2130" t="s">
        <v>1144</v>
      </c>
      <c r="AD8" s="2129" t="s">
        <v>5856</v>
      </c>
      <c r="AE8" s="1163"/>
      <c r="AF8" s="2830"/>
      <c r="AH8" s="1579"/>
      <c r="AI8" s="2130" t="s">
        <v>14369</v>
      </c>
      <c r="AJ8" s="2130" t="s">
        <v>7130</v>
      </c>
      <c r="AM8" s="3552" t="s">
        <v>3405</v>
      </c>
      <c r="AN8" s="3552" t="s">
        <v>3413</v>
      </c>
      <c r="AO8" s="3552" t="s">
        <v>3407</v>
      </c>
      <c r="AP8" s="3552" t="s">
        <v>3405</v>
      </c>
      <c r="AQ8" s="3552" t="s">
        <v>3413</v>
      </c>
      <c r="AR8" s="3552" t="s">
        <v>3407</v>
      </c>
      <c r="AS8" s="2130"/>
      <c r="AT8" s="2130" t="s">
        <v>14622</v>
      </c>
      <c r="AU8" s="2130" t="s">
        <v>7156</v>
      </c>
      <c r="AV8" s="2130" t="s">
        <v>14558</v>
      </c>
      <c r="AW8" s="2130" t="s">
        <v>14561</v>
      </c>
    </row>
    <row r="9" spans="1:50" s="2830" customFormat="1">
      <c r="A9" s="2427" t="str">
        <f>"R1="&amp;IFERROR(MID(C9,FIND("{",C9)+1,FIND("}",C9)-FIND("{",C9)-1),"")&amp;";R13="&amp;IFERROR(MID(D9,FIND("{",D9)+1,FIND("}",D9)-FIND("{",D9)-1),"")&amp;";R42="&amp;MID(IF(G9&lt;&gt;"",G9,F9),1,30)&amp;";COM="&amp;U9</f>
        <v>R1=;R13=;R42=;COM=</v>
      </c>
      <c r="C9" s="3543"/>
      <c r="D9" s="1431"/>
      <c r="E9" s="2063"/>
      <c r="F9" s="789" t="str">
        <f>IF(E9="X","",IF(E9="","",VLOOKUP(E9,Список_компаний!$A$3:$B$299,2,FALSE)))</f>
        <v/>
      </c>
      <c r="G9" s="789" t="str">
        <f>IF(E9="X","",IF(E9="","",VLOOKUP(E9,Список_компаний!$A$3:$C$299,3,FALSE)))</f>
        <v/>
      </c>
      <c r="H9" s="1431"/>
      <c r="I9" s="1431"/>
      <c r="J9" s="65"/>
      <c r="K9" s="65"/>
      <c r="L9" s="65"/>
      <c r="M9" s="65"/>
      <c r="N9" s="65"/>
      <c r="O9" s="65"/>
      <c r="P9" s="65"/>
      <c r="Q9" s="65"/>
      <c r="R9" s="65"/>
      <c r="S9" s="1178">
        <f t="shared" ref="S9:S14" si="1">SUM(H9)+SUM(J9:R9)</f>
        <v>0</v>
      </c>
      <c r="T9" s="1431"/>
      <c r="U9" s="1171"/>
      <c r="V9" s="2814" t="b">
        <f>IF(AND(OR(H9="",H9&lt;0,H9=0),OR(J9="",J9&lt;0,J9=0),OR(K9="",K9&lt;0,K9=0),OR(L9="",L9&lt;0,L9=0),OR(M9="",M9&gt;0,M9=0),OR(N9="",N9&gt;0,N9=0),OR(O9="",O9&gt;0,O9=0),OR(P9="",P9&gt;0,P9=0),OR(S9=0,S9&lt;0)),TRUE,FALSE)</f>
        <v>1</v>
      </c>
      <c r="W9" s="2814" t="b">
        <f ca="1">IF(D9&lt;&gt;"",IF(OR(COUNTIF(D9,"{3}*"),COUNTIF(D9,"{6}*"),COUNTIF(D9,"{7}*"),COUNTIF(D9,"{8}*")),IF(IFERROR(VLOOKUP(E9,INDIRECT(W$4),1,FALSE),FALSE)=FALSE,FALSE,TRUE),TRUE),TRUE)</f>
        <v>1</v>
      </c>
      <c r="Y9" s="2130"/>
      <c r="AD9" s="2129"/>
      <c r="AH9" s="1579"/>
      <c r="AI9" s="2130"/>
      <c r="AJ9" s="2130" t="s">
        <v>14369</v>
      </c>
      <c r="AK9" s="2130"/>
      <c r="AL9" s="2130"/>
      <c r="AM9" s="3469">
        <f>SUMIFS('01'!$H$9:$H$1300,'01'!$C$9:$C$1300,'02'!C9,'01'!$D$9:$D$1300,INDEX($AT$8:$AT$15,MATCH('02'!D9,$AV$8:$AV$15),1))</f>
        <v>0</v>
      </c>
      <c r="AN9" s="2130">
        <f>SUMIFS('03'!$H$9:$H$1300,'03'!$C$9:$C$1300,'02'!C9,'03'!$D$9:$D$1300,INDEX($AU$8:$AU$15,MATCH('02'!D9,$AV$8:$AV$15),1))</f>
        <v>0</v>
      </c>
      <c r="AO9" s="2130">
        <f>SUMIFS('02'!$H$9:$H$1400,'02'!$C$9:$C$1400,'02'!C9,'02'!$D$9:$D$1400,INDEX($AV$8:$AV$15,MATCH('02'!D9,$AV$8:$AV$15),1))+SUMIFS('02'!$H$9:$H$1400,'02'!$C$9:$C$1400,'02'!C9,'02'!$D$9:$D$1400,INDEX($AW$8:$AW$15,MATCH('02'!D9,$AV$8:$AV$15),1))</f>
        <v>0</v>
      </c>
      <c r="AP9" s="2130">
        <f>SUMIFS('01'!$V$9:$V$1300,'01'!$C$9:$C$1300,'02'!C9,'01'!$D$9:$D$1300,INDEX($AT$8:$AT$15,MATCH('02'!D9,$AV$8:$AV$15),1))</f>
        <v>0</v>
      </c>
      <c r="AQ9" s="2130">
        <f>SUMIFS('03'!$U$9:$U$1300,'03'!$C$9:$C$1300,'02'!C9,'03'!$D$9:$D$1300,INDEX($AU$8:$AU$15,MATCH('02'!D9,$AV$8:$AV$15),1))</f>
        <v>0</v>
      </c>
      <c r="AR9" s="2130">
        <f>SUMIFS('02'!$S$9:$S$1400,'02'!$C$9:$C$1400,'02'!C9,'02'!$D$9:$D$1400,INDEX($AW$8:$AW$15,MATCH('02'!D9,$AV$8:$AV$15),1))+SUMIFS('02'!$S$9:$S$1400,'02'!$C$9:$C$1400,'02'!C9,'02'!$D$9:$D$1400,INDEX($AV$8:$AV$15,MATCH('02'!D9,$AV$8:$AV$15),1))</f>
        <v>0</v>
      </c>
      <c r="AS9" s="2130" t="b">
        <f>AND((AM9+AN9+AO9)&gt;=0,(AP9+AQ9+AR9)&gt;=0)</f>
        <v>1</v>
      </c>
      <c r="AT9" s="2130" t="s">
        <v>7156</v>
      </c>
      <c r="AU9" s="2130" t="s">
        <v>14622</v>
      </c>
      <c r="AV9" s="2130" t="s">
        <v>14559</v>
      </c>
      <c r="AW9" s="2130" t="s">
        <v>14562</v>
      </c>
      <c r="AX9" s="2130" t="b">
        <f>IF(OR(D9=$AW$8,D9=$AW$9,D9=$AW$10,D9=$AW$11),IF(T9&lt;0, AND(L9=0,J9=0,Q9=0),TRUE), TRUE)</f>
        <v>1</v>
      </c>
    </row>
    <row r="10" spans="1:50" s="2830" customFormat="1">
      <c r="A10" s="2427" t="str">
        <f t="shared" ref="A10:A16" si="2">"R1="&amp;IFERROR(MID(C10,FIND("{",C10)+1,FIND("}",C10)-FIND("{",C10)-1),"")&amp;";R13="&amp;IFERROR(MID(D10,FIND("{",D10)+1,FIND("}",D10)-FIND("{",D10)-1),"")&amp;";R42="&amp;MID(IF(G10&lt;&gt;"",G10,F10),1,30)&amp;";COM="&amp;U10</f>
        <v>R1=;R13=;R42=;COM=</v>
      </c>
      <c r="C10" s="3543"/>
      <c r="D10" s="1431"/>
      <c r="E10" s="2063"/>
      <c r="F10" s="789" t="str">
        <f>IF(E10="X","",IF(E10="","",VLOOKUP(E10,Список_компаний!$A$3:$B$299,2,FALSE)))</f>
        <v/>
      </c>
      <c r="G10" s="789" t="str">
        <f>IF(E10="X","",IF(E10="","",VLOOKUP(E10,Список_компаний!$A$3:$C$299,3,FALSE)))</f>
        <v/>
      </c>
      <c r="H10" s="1431"/>
      <c r="I10" s="1431"/>
      <c r="J10" s="65"/>
      <c r="K10" s="65"/>
      <c r="L10" s="65"/>
      <c r="M10" s="65"/>
      <c r="N10" s="65"/>
      <c r="O10" s="65"/>
      <c r="P10" s="65"/>
      <c r="Q10" s="65"/>
      <c r="R10" s="65"/>
      <c r="S10" s="1178">
        <f t="shared" si="1"/>
        <v>0</v>
      </c>
      <c r="T10" s="1431"/>
      <c r="U10" s="1171"/>
      <c r="V10" s="2814" t="b">
        <f t="shared" ref="V10:V18" si="3">IF(AND(OR(H10="",H10&lt;0,H10=0),OR(J10="",J10&lt;0,J10=0),OR(K10="",K10&lt;0,K10=0),OR(L10="",L10&lt;0,L10=0),OR(M10="",M10&gt;0,M10=0),OR(N10="",N10&gt;0,N10=0),OR(O10="",O10&gt;0,O10=0),OR(P10="",P10&gt;0,P10=0),OR(S10=0,S10&lt;0)),TRUE,FALSE)</f>
        <v>1</v>
      </c>
      <c r="W10" s="2814" t="b">
        <f t="shared" ref="W10:W16" ca="1" si="4">IF(D10&lt;&gt;"",IF(OR(COUNTIF(D10,"{3}*"),COUNTIF(D10,"{6}*"),COUNTIF(D10,"{7}*"),COUNTIF(D10,"{8}*")),IF(IFERROR(VLOOKUP(E10,INDIRECT(W$4),1,FALSE),FALSE)=FALSE,FALSE,TRUE),TRUE),TRUE)</f>
        <v>1</v>
      </c>
      <c r="Y10" s="2130"/>
      <c r="AD10" s="2129"/>
      <c r="AH10" s="1579"/>
      <c r="AI10" s="2130"/>
      <c r="AJ10" s="2130" t="s">
        <v>14674</v>
      </c>
      <c r="AK10" s="2130"/>
      <c r="AL10" s="2130"/>
      <c r="AM10" s="3469">
        <f>SUMIFS('01'!$H$9:$H$1300,'01'!$C$9:$C$1300,'02'!C10,'01'!$D$9:$D$1300,INDEX($AT$8:$AT$15,MATCH('02'!D10,$AV$8:$AV$15),1))</f>
        <v>0</v>
      </c>
      <c r="AN10" s="2130">
        <f>SUMIFS('03'!$H$9:$H$1300,'03'!$C$9:$C$1300,'02'!C10,'03'!$D$9:$D$1300,INDEX($AU$8:$AU$15,MATCH('02'!D10,$AV$8:$AV$15),1))</f>
        <v>0</v>
      </c>
      <c r="AO10" s="2130">
        <f>SUMIFS('02'!$H$9:$H$1400,'02'!$C$9:$C$1400,'02'!C10,'02'!$D$9:$D$1400,INDEX($AV$8:$AV$15,MATCH('02'!D10,$AV$8:$AV$15),1))+SUMIFS('02'!$H$9:$H$1400,'02'!$C$9:$C$1400,'02'!C10,'02'!$D$9:$D$1400,INDEX($AW$8:$AW$15,MATCH('02'!D10,$AV$8:$AV$15),1))</f>
        <v>0</v>
      </c>
      <c r="AP10" s="2130">
        <f>SUMIFS('01'!$V$9:$V$1300,'01'!$C$9:$C$1300,'02'!C10,'01'!$D$9:$D$1300,INDEX($AT$8:$AT$15,MATCH('02'!D10,$AV$8:$AV$15),1))</f>
        <v>0</v>
      </c>
      <c r="AQ10" s="2130">
        <f>SUMIFS('03'!$U$9:$U$1300,'03'!$C$9:$C$1300,'02'!C10,'03'!$D$9:$D$1300,INDEX($AU$8:$AU$15,MATCH('02'!D10,$AV$8:$AV$15),1))</f>
        <v>0</v>
      </c>
      <c r="AR10" s="2130">
        <f>SUMIFS('02'!$S$9:$S$1400,'02'!$C$9:$C$1400,'02'!C10,'02'!$D$9:$D$1400,INDEX($AW$8:$AW$15,MATCH('02'!D10,$AV$8:$AV$15),1))+SUMIFS('02'!$S$9:$S$1400,'02'!$C$9:$C$1400,'02'!C10,'02'!$D$9:$D$1400,INDEX($AV$8:$AV$15,MATCH('02'!D10,$AV$8:$AV$15),1))</f>
        <v>0</v>
      </c>
      <c r="AS10" s="2130" t="b">
        <f t="shared" ref="AS10:AS14" si="5">AND((AM10+AN10+AO10)&gt;=0,(AP10+AQ10+AR10)&gt;=0)</f>
        <v>1</v>
      </c>
      <c r="AT10" s="2130" t="s">
        <v>14623</v>
      </c>
      <c r="AU10" s="2130" t="s">
        <v>7156</v>
      </c>
      <c r="AV10" s="2130" t="s">
        <v>14560</v>
      </c>
      <c r="AW10" s="2130" t="s">
        <v>14563</v>
      </c>
      <c r="AX10" s="2130" t="b">
        <f t="shared" ref="AX10:AX18" si="6">IF(OR(D10=$AW$8,D10=$AW$9,D10=$AW$10,D10=$AW$11),IF(T10&lt;0, AND(L10=0,J10=0,Q10=0),TRUE), TRUE)</f>
        <v>1</v>
      </c>
    </row>
    <row r="11" spans="1:50" s="2830" customFormat="1">
      <c r="A11" s="2427" t="str">
        <f t="shared" si="2"/>
        <v>R1=;R13=;R42=;COM=</v>
      </c>
      <c r="C11" s="3543"/>
      <c r="D11" s="1431"/>
      <c r="E11" s="2063"/>
      <c r="F11" s="789" t="str">
        <f>IF(E11="X","",IF(E11="","",VLOOKUP(E11,Список_компаний!$A$3:$B$299,2,FALSE)))</f>
        <v/>
      </c>
      <c r="G11" s="789" t="str">
        <f>IF(E11="X","",IF(E11="","",VLOOKUP(E11,Список_компаний!$A$3:$C$299,3,FALSE)))</f>
        <v/>
      </c>
      <c r="H11" s="1431"/>
      <c r="I11" s="1431"/>
      <c r="J11" s="65"/>
      <c r="K11" s="65"/>
      <c r="L11" s="65"/>
      <c r="M11" s="65"/>
      <c r="N11" s="65"/>
      <c r="O11" s="65"/>
      <c r="P11" s="65"/>
      <c r="Q11" s="65"/>
      <c r="R11" s="65"/>
      <c r="S11" s="1178">
        <f t="shared" si="1"/>
        <v>0</v>
      </c>
      <c r="T11" s="1431"/>
      <c r="U11" s="1171"/>
      <c r="V11" s="2814" t="b">
        <f t="shared" si="3"/>
        <v>1</v>
      </c>
      <c r="W11" s="2814" t="b">
        <f t="shared" ca="1" si="4"/>
        <v>1</v>
      </c>
      <c r="Y11" s="2130"/>
      <c r="AD11" s="2129"/>
      <c r="AH11" s="1579"/>
      <c r="AI11" s="2130"/>
      <c r="AJ11" s="2130" t="s">
        <v>2159</v>
      </c>
      <c r="AK11" s="2130"/>
      <c r="AL11" s="2130"/>
      <c r="AM11" s="3469">
        <f>SUMIFS('01'!$H$9:$H$1300,'01'!$C$9:$C$1300,'02'!C11,'01'!$D$9:$D$1300,INDEX($AT$8:$AT$15,MATCH('02'!D11,$AV$8:$AV$15),1))</f>
        <v>0</v>
      </c>
      <c r="AN11" s="2130">
        <f>SUMIFS('03'!$H$9:$H$1300,'03'!$C$9:$C$1300,'02'!C11,'03'!$D$9:$D$1300,INDEX($AU$8:$AU$15,MATCH('02'!D11,$AV$8:$AV$15),1))</f>
        <v>0</v>
      </c>
      <c r="AO11" s="2130">
        <f>SUMIFS('02'!$H$9:$H$1400,'02'!$C$9:$C$1400,'02'!C11,'02'!$D$9:$D$1400,INDEX($AV$8:$AV$15,MATCH('02'!D11,$AV$8:$AV$15),1))+SUMIFS('02'!$H$9:$H$1400,'02'!$C$9:$C$1400,'02'!C11,'02'!$D$9:$D$1400,INDEX($AW$8:$AW$15,MATCH('02'!D11,$AV$8:$AV$15),1))</f>
        <v>0</v>
      </c>
      <c r="AP11" s="2130">
        <f>SUMIFS('01'!$V$9:$V$1300,'01'!$C$9:$C$1300,'02'!C11,'01'!$D$9:$D$1300,INDEX($AT$8:$AT$15,MATCH('02'!D11,$AV$8:$AV$15),1))</f>
        <v>0</v>
      </c>
      <c r="AQ11" s="2130">
        <f>SUMIFS('03'!$U$9:$U$1300,'03'!$C$9:$C$1300,'02'!C11,'03'!$D$9:$D$1300,INDEX($AU$8:$AU$15,MATCH('02'!D11,$AV$8:$AV$15),1))</f>
        <v>0</v>
      </c>
      <c r="AR11" s="2130">
        <f>SUMIFS('02'!$S$9:$S$1400,'02'!$C$9:$C$1400,'02'!C11,'02'!$D$9:$D$1400,INDEX($AW$8:$AW$15,MATCH('02'!D11,$AV$8:$AV$15),1))+SUMIFS('02'!$S$9:$S$1400,'02'!$C$9:$C$1400,'02'!C11,'02'!$D$9:$D$1400,INDEX($AV$8:$AV$15,MATCH('02'!D11,$AV$8:$AV$15),1))</f>
        <v>0</v>
      </c>
      <c r="AS11" s="2130" t="b">
        <f t="shared" si="5"/>
        <v>1</v>
      </c>
      <c r="AT11" s="2130" t="s">
        <v>7156</v>
      </c>
      <c r="AU11" s="2130" t="s">
        <v>14623</v>
      </c>
      <c r="AV11" s="2130" t="s">
        <v>14564</v>
      </c>
      <c r="AW11" s="2130" t="s">
        <v>14565</v>
      </c>
      <c r="AX11" s="2130" t="b">
        <f t="shared" si="6"/>
        <v>1</v>
      </c>
    </row>
    <row r="12" spans="1:50" s="2830" customFormat="1">
      <c r="A12" s="2427" t="str">
        <f t="shared" si="2"/>
        <v>R1=;R13=;R42=;COM=</v>
      </c>
      <c r="C12" s="137"/>
      <c r="D12" s="1431"/>
      <c r="E12" s="2063"/>
      <c r="F12" s="789" t="str">
        <f>IF(E12="X","",IF(E12="","",VLOOKUP(E12,Список_компаний!$A$3:$B$299,2,FALSE)))</f>
        <v/>
      </c>
      <c r="G12" s="789" t="str">
        <f>IF(E12="X","",IF(E12="","",VLOOKUP(E12,Список_компаний!$A$3:$C$299,3,FALSE)))</f>
        <v/>
      </c>
      <c r="H12" s="1431"/>
      <c r="I12" s="1431"/>
      <c r="J12" s="65"/>
      <c r="K12" s="65"/>
      <c r="L12" s="65"/>
      <c r="M12" s="65"/>
      <c r="N12" s="65"/>
      <c r="O12" s="65"/>
      <c r="P12" s="65"/>
      <c r="Q12" s="65"/>
      <c r="R12" s="65"/>
      <c r="S12" s="1178">
        <f t="shared" si="1"/>
        <v>0</v>
      </c>
      <c r="T12" s="1431"/>
      <c r="U12" s="1171"/>
      <c r="V12" s="2814" t="b">
        <f t="shared" si="3"/>
        <v>1</v>
      </c>
      <c r="W12" s="2814" t="b">
        <f t="shared" ca="1" si="4"/>
        <v>1</v>
      </c>
      <c r="Y12" s="2130"/>
      <c r="AD12" s="2129"/>
      <c r="AH12" s="1579"/>
      <c r="AI12" s="2130"/>
      <c r="AJ12" s="2130"/>
      <c r="AK12" s="2130"/>
      <c r="AL12" s="2130"/>
      <c r="AM12" s="3469">
        <f>SUMIFS('01'!$H$9:$H$1300,'01'!$C$9:$C$1300,'02'!C12,'01'!$D$9:$D$1300,INDEX($AT$8:$AT$15,MATCH('02'!D12,$AV$8:$AV$15),1))</f>
        <v>0</v>
      </c>
      <c r="AN12" s="2130">
        <f>SUMIFS('03'!$H$9:$H$1300,'03'!$C$9:$C$1300,'02'!C12,'03'!$D$9:$D$1300,INDEX($AU$8:$AU$15,MATCH('02'!D12,$AV$8:$AV$15),1))</f>
        <v>0</v>
      </c>
      <c r="AO12" s="2130">
        <f>SUMIFS('02'!$H$9:$H$1400,'02'!$C$9:$C$1400,'02'!C12,'02'!$D$9:$D$1400,INDEX($AV$8:$AV$15,MATCH('02'!D12,$AV$8:$AV$15),1))+SUMIFS('02'!$H$9:$H$1400,'02'!$C$9:$C$1400,'02'!C12,'02'!$D$9:$D$1400,INDEX($AW$8:$AW$15,MATCH('02'!D12,$AV$8:$AV$15),1))</f>
        <v>0</v>
      </c>
      <c r="AP12" s="2130">
        <f>SUMIFS('01'!$V$9:$V$1300,'01'!$C$9:$C$1300,'02'!C12,'01'!$D$9:$D$1300,INDEX($AT$8:$AT$15,MATCH('02'!D12,$AV$8:$AV$15),1))</f>
        <v>0</v>
      </c>
      <c r="AQ12" s="2130">
        <f>SUMIFS('03'!$U$9:$U$1300,'03'!$C$9:$C$1300,'02'!C12,'03'!$D$9:$D$1300,INDEX($AU$8:$AU$15,MATCH('02'!D12,$AV$8:$AV$15),1))</f>
        <v>0</v>
      </c>
      <c r="AR12" s="2130">
        <f>SUMIFS('02'!$S$9:$S$1400,'02'!$C$9:$C$1400,'02'!C12,'02'!$D$9:$D$1400,INDEX($AW$8:$AW$15,MATCH('02'!D12,$AV$8:$AV$15),1))+SUMIFS('02'!$S$9:$S$1400,'02'!$C$9:$C$1400,'02'!C12,'02'!$D$9:$D$1400,INDEX($AV$8:$AV$15,MATCH('02'!D12,$AV$8:$AV$15),1))</f>
        <v>0</v>
      </c>
      <c r="AS12" s="2130" t="b">
        <f t="shared" si="5"/>
        <v>1</v>
      </c>
      <c r="AT12" s="2130" t="s">
        <v>14622</v>
      </c>
      <c r="AU12" s="2130" t="s">
        <v>7156</v>
      </c>
      <c r="AV12" s="2130" t="s">
        <v>14561</v>
      </c>
      <c r="AW12" s="2130" t="s">
        <v>14558</v>
      </c>
      <c r="AX12" s="2130" t="b">
        <f t="shared" si="6"/>
        <v>1</v>
      </c>
    </row>
    <row r="13" spans="1:50" s="2830" customFormat="1">
      <c r="A13" s="2427" t="str">
        <f t="shared" si="2"/>
        <v>R1=;R13=;R42=;COM=</v>
      </c>
      <c r="C13" s="137"/>
      <c r="D13" s="1431"/>
      <c r="E13" s="2063"/>
      <c r="F13" s="789" t="str">
        <f>IF(E13="X","",IF(E13="","",VLOOKUP(E13,Список_компаний!$A$3:$B$299,2,FALSE)))</f>
        <v/>
      </c>
      <c r="G13" s="789" t="str">
        <f>IF(E13="X","",IF(E13="","",VLOOKUP(E13,Список_компаний!$A$3:$C$299,3,FALSE)))</f>
        <v/>
      </c>
      <c r="H13" s="1431"/>
      <c r="I13" s="1431"/>
      <c r="J13" s="65"/>
      <c r="K13" s="65"/>
      <c r="L13" s="65"/>
      <c r="M13" s="65"/>
      <c r="N13" s="65"/>
      <c r="O13" s="65"/>
      <c r="P13" s="65"/>
      <c r="Q13" s="65"/>
      <c r="R13" s="65"/>
      <c r="S13" s="1178">
        <f t="shared" si="1"/>
        <v>0</v>
      </c>
      <c r="T13" s="1431"/>
      <c r="U13" s="1171"/>
      <c r="V13" s="2814" t="b">
        <f t="shared" si="3"/>
        <v>1</v>
      </c>
      <c r="W13" s="2814" t="b">
        <f t="shared" ca="1" si="4"/>
        <v>1</v>
      </c>
      <c r="Y13" s="2130"/>
      <c r="AD13" s="2129"/>
      <c r="AH13" s="1579"/>
      <c r="AI13" s="2130"/>
      <c r="AJ13" s="2130"/>
      <c r="AK13" s="2130"/>
      <c r="AL13" s="2130"/>
      <c r="AM13" s="3469">
        <f>SUMIFS('01'!$H$9:$H$1300,'01'!$C$9:$C$1300,'02'!C13,'01'!$D$9:$D$1300,INDEX($AT$8:$AT$15,MATCH('02'!D13,$AV$8:$AV$15),1))</f>
        <v>0</v>
      </c>
      <c r="AN13" s="2130">
        <f>SUMIFS('03'!$H$9:$H$1300,'03'!$C$9:$C$1300,'02'!C13,'03'!$D$9:$D$1300,INDEX($AU$8:$AU$15,MATCH('02'!D13,$AV$8:$AV$15),1))</f>
        <v>0</v>
      </c>
      <c r="AO13" s="2130">
        <f>SUMIFS('02'!$H$9:$H$1400,'02'!$C$9:$C$1400,'02'!C13,'02'!$D$9:$D$1400,INDEX($AV$8:$AV$15,MATCH('02'!D13,$AV$8:$AV$15),1))+SUMIFS('02'!$H$9:$H$1400,'02'!$C$9:$C$1400,'02'!C13,'02'!$D$9:$D$1400,INDEX($AW$8:$AW$15,MATCH('02'!D13,$AV$8:$AV$15),1))</f>
        <v>0</v>
      </c>
      <c r="AP13" s="2130">
        <f>SUMIFS('01'!$V$9:$V$1300,'01'!$C$9:$C$1300,'02'!C13,'01'!$D$9:$D$1300,INDEX($AT$8:$AT$15,MATCH('02'!D13,$AV$8:$AV$15),1))</f>
        <v>0</v>
      </c>
      <c r="AQ13" s="2130">
        <f>SUMIFS('03'!$U$9:$U$1300,'03'!$C$9:$C$1300,'02'!C13,'03'!$D$9:$D$1300,INDEX($AU$8:$AU$15,MATCH('02'!D13,$AV$8:$AV$15),1))</f>
        <v>0</v>
      </c>
      <c r="AR13" s="2130">
        <f>SUMIFS('02'!$S$9:$S$1400,'02'!$C$9:$C$1400,'02'!C13,'02'!$D$9:$D$1400,INDEX($AW$8:$AW$15,MATCH('02'!D13,$AV$8:$AV$15),1))+SUMIFS('02'!$S$9:$S$1400,'02'!$C$9:$C$1400,'02'!C13,'02'!$D$9:$D$1400,INDEX($AV$8:$AV$15,MATCH('02'!D13,$AV$8:$AV$15),1))</f>
        <v>0</v>
      </c>
      <c r="AS13" s="2130" t="b">
        <f t="shared" si="5"/>
        <v>1</v>
      </c>
      <c r="AT13" s="2130" t="s">
        <v>7156</v>
      </c>
      <c r="AU13" s="2130" t="s">
        <v>14622</v>
      </c>
      <c r="AV13" s="2130" t="s">
        <v>14562</v>
      </c>
      <c r="AW13" s="2130" t="s">
        <v>14559</v>
      </c>
      <c r="AX13" s="2130" t="b">
        <f t="shared" si="6"/>
        <v>1</v>
      </c>
    </row>
    <row r="14" spans="1:50" s="2830" customFormat="1">
      <c r="A14" s="2427" t="str">
        <f t="shared" si="2"/>
        <v>R1=;R13=;R42=;COM=</v>
      </c>
      <c r="C14" s="137"/>
      <c r="D14" s="1431"/>
      <c r="E14" s="2063"/>
      <c r="F14" s="789" t="str">
        <f>IF(E14="X","",IF(E14="","",VLOOKUP(E14,Список_компаний!$A$3:$B$299,2,FALSE)))</f>
        <v/>
      </c>
      <c r="G14" s="789" t="str">
        <f>IF(E14="X","",IF(E14="","",VLOOKUP(E14,Список_компаний!$A$3:$C$299,3,FALSE)))</f>
        <v/>
      </c>
      <c r="H14" s="1431"/>
      <c r="I14" s="1431"/>
      <c r="J14" s="65"/>
      <c r="K14" s="65"/>
      <c r="L14" s="65"/>
      <c r="M14" s="65"/>
      <c r="N14" s="65"/>
      <c r="O14" s="65"/>
      <c r="P14" s="65"/>
      <c r="Q14" s="65"/>
      <c r="R14" s="65"/>
      <c r="S14" s="1178">
        <f t="shared" si="1"/>
        <v>0</v>
      </c>
      <c r="T14" s="1431"/>
      <c r="U14" s="1171"/>
      <c r="V14" s="2814" t="b">
        <f t="shared" si="3"/>
        <v>1</v>
      </c>
      <c r="W14" s="2814" t="b">
        <f t="shared" ca="1" si="4"/>
        <v>1</v>
      </c>
      <c r="Y14" s="2130"/>
      <c r="AD14" s="2129"/>
      <c r="AH14" s="1579"/>
      <c r="AI14" s="2130"/>
      <c r="AJ14" s="2130"/>
      <c r="AK14" s="2130"/>
      <c r="AL14" s="2130"/>
      <c r="AM14" s="3469">
        <f>SUMIFS('01'!$H$9:$H$1300,'01'!$C$9:$C$1300,'02'!C14,'01'!$D$9:$D$1300,INDEX($AT$8:$AT$15,MATCH('02'!D14,$AV$8:$AV$15),1))</f>
        <v>0</v>
      </c>
      <c r="AN14" s="2130">
        <f>SUMIFS('03'!$H$9:$H$1300,'03'!$C$9:$C$1300,'02'!C14,'03'!$D$9:$D$1300,INDEX($AU$8:$AU$15,MATCH('02'!D14,$AV$8:$AV$15),1))</f>
        <v>0</v>
      </c>
      <c r="AO14" s="2130">
        <f>SUMIFS('02'!$H$9:$H$1400,'02'!$C$9:$C$1400,'02'!C14,'02'!$D$9:$D$1400,INDEX($AV$8:$AV$15,MATCH('02'!D14,$AV$8:$AV$15),1))+SUMIFS('02'!$H$9:$H$1400,'02'!$C$9:$C$1400,'02'!C14,'02'!$D$9:$D$1400,INDEX($AW$8:$AW$15,MATCH('02'!D14,$AV$8:$AV$15),1))</f>
        <v>0</v>
      </c>
      <c r="AP14" s="2130">
        <f>SUMIFS('01'!$V$9:$V$1300,'01'!$C$9:$C$1300,'02'!C14,'01'!$D$9:$D$1300,INDEX($AT$8:$AT$15,MATCH('02'!D14,$AV$8:$AV$15),1))</f>
        <v>0</v>
      </c>
      <c r="AQ14" s="2130">
        <f>SUMIFS('03'!$U$9:$U$1300,'03'!$C$9:$C$1300,'02'!C14,'03'!$D$9:$D$1300,INDEX($AU$8:$AU$15,MATCH('02'!D14,$AV$8:$AV$15),1))</f>
        <v>0</v>
      </c>
      <c r="AR14" s="2130">
        <f>SUMIFS('02'!$S$9:$S$1400,'02'!$C$9:$C$1400,'02'!C14,'02'!$D$9:$D$1400,INDEX($AW$8:$AW$15,MATCH('02'!D14,$AV$8:$AV$15),1))+SUMIFS('02'!$S$9:$S$1400,'02'!$C$9:$C$1400,'02'!C14,'02'!$D$9:$D$1400,INDEX($AV$8:$AV$15,MATCH('02'!D14,$AV$8:$AV$15),1))</f>
        <v>0</v>
      </c>
      <c r="AS14" s="2130" t="b">
        <f t="shared" si="5"/>
        <v>1</v>
      </c>
      <c r="AT14" s="2130" t="s">
        <v>14623</v>
      </c>
      <c r="AU14" s="2130" t="s">
        <v>7156</v>
      </c>
      <c r="AV14" s="2130" t="s">
        <v>14563</v>
      </c>
      <c r="AW14" s="2130" t="s">
        <v>14560</v>
      </c>
      <c r="AX14" s="2130" t="b">
        <f t="shared" si="6"/>
        <v>1</v>
      </c>
    </row>
    <row r="15" spans="1:50" s="2830" customFormat="1">
      <c r="A15" s="2427" t="str">
        <f t="shared" si="2"/>
        <v>R1=;R13=;R42=;COM=</v>
      </c>
      <c r="C15" s="137"/>
      <c r="D15" s="1431"/>
      <c r="E15" s="2063"/>
      <c r="F15" s="789" t="str">
        <f>IF(E15="X","",IF(E15="","",VLOOKUP(E15,Список_компаний!$A$3:$B$299,2,FALSE)))</f>
        <v/>
      </c>
      <c r="G15" s="789" t="str">
        <f>IF(E15="X","",IF(E15="","",VLOOKUP(E15,Список_компаний!$A$3:$C$299,3,FALSE)))</f>
        <v/>
      </c>
      <c r="H15" s="1431"/>
      <c r="I15" s="1431"/>
      <c r="J15" s="65"/>
      <c r="K15" s="65"/>
      <c r="L15" s="65"/>
      <c r="M15" s="65"/>
      <c r="N15" s="65"/>
      <c r="O15" s="65"/>
      <c r="P15" s="65"/>
      <c r="Q15" s="65"/>
      <c r="R15" s="65"/>
      <c r="S15" s="1178">
        <f t="shared" ref="S15" si="7">SUM(H15)+SUM(J15:R15)</f>
        <v>0</v>
      </c>
      <c r="T15" s="1431"/>
      <c r="U15" s="1171"/>
      <c r="V15" s="2814" t="b">
        <f t="shared" si="3"/>
        <v>1</v>
      </c>
      <c r="W15" s="2814" t="b">
        <f t="shared" ca="1" si="4"/>
        <v>1</v>
      </c>
      <c r="Y15" s="2130"/>
      <c r="AD15" s="2129"/>
      <c r="AH15" s="1579"/>
      <c r="AI15" s="2130"/>
      <c r="AJ15" s="2130"/>
      <c r="AK15" s="2130"/>
      <c r="AL15" s="2130"/>
      <c r="AM15" s="3469">
        <f>SUMIFS('01'!$H$9:$H$1300,'01'!$C$9:$C$1300,'02'!C15,'01'!$D$9:$D$1300,INDEX($AT$8:$AT$15,MATCH('02'!D15,$AV$8:$AV$15),1))</f>
        <v>0</v>
      </c>
      <c r="AN15" s="2130">
        <f>SUMIFS('03'!$H$9:$H$1300,'03'!$C$9:$C$1300,'02'!C15,'03'!$D$9:$D$1300,INDEX($AU$8:$AU$15,MATCH('02'!D15,$AV$8:$AV$15),1))</f>
        <v>0</v>
      </c>
      <c r="AO15" s="2130">
        <f>SUMIFS('02'!$H$9:$H$1400,'02'!$C$9:$C$1400,'02'!C15,'02'!$D$9:$D$1400,INDEX($AV$8:$AV$15,MATCH('02'!D15,$AV$8:$AV$15),1))+SUMIFS('02'!$H$9:$H$1400,'02'!$C$9:$C$1400,'02'!C15,'02'!$D$9:$D$1400,INDEX($AW$8:$AW$15,MATCH('02'!D15,$AV$8:$AV$15),1))</f>
        <v>0</v>
      </c>
      <c r="AP15" s="2130">
        <f>SUMIFS('01'!$V$9:$V$1300,'01'!$C$9:$C$1300,'02'!C15,'01'!$D$9:$D$1300,INDEX($AT$8:$AT$15,MATCH('02'!D15,$AV$8:$AV$15),1))</f>
        <v>0</v>
      </c>
      <c r="AQ15" s="2130">
        <f>SUMIFS('03'!$U$9:$U$1300,'03'!$C$9:$C$1300,'02'!C15,'03'!$D$9:$D$1300,INDEX($AU$8:$AU$15,MATCH('02'!D15,$AV$8:$AV$15),1))</f>
        <v>0</v>
      </c>
      <c r="AR15" s="2130">
        <f>SUMIFS('02'!$S$9:$S$1400,'02'!$C$9:$C$1400,'02'!C15,'02'!$D$9:$D$1400,INDEX($AW$8:$AW$15,MATCH('02'!D15,$AV$8:$AV$15),1))+SUMIFS('02'!$S$9:$S$1400,'02'!$C$9:$C$1400,'02'!C15,'02'!$D$9:$D$1400,INDEX($AV$8:$AV$15,MATCH('02'!D15,$AV$8:$AV$15),1))</f>
        <v>0</v>
      </c>
      <c r="AS15" s="2130" t="b">
        <f>AND((AM15+AN15+AO15)&gt;=0,(AP15+AQ15+AR15)&gt;=0)</f>
        <v>1</v>
      </c>
      <c r="AT15" s="2130" t="s">
        <v>7156</v>
      </c>
      <c r="AU15" s="2130" t="s">
        <v>14623</v>
      </c>
      <c r="AV15" s="2130" t="s">
        <v>14565</v>
      </c>
      <c r="AW15" s="2130" t="s">
        <v>14564</v>
      </c>
      <c r="AX15" s="2130" t="b">
        <f t="shared" si="6"/>
        <v>1</v>
      </c>
    </row>
    <row r="16" spans="1:50" s="2830" customFormat="1">
      <c r="A16" s="2427" t="str">
        <f t="shared" si="2"/>
        <v>R1=;R13=;R42=;COM=</v>
      </c>
      <c r="C16" s="137"/>
      <c r="D16" s="1431"/>
      <c r="E16" s="2063"/>
      <c r="F16" s="789" t="str">
        <f>IF(E16="X","",IF(E16="","",VLOOKUP(E16,Список_компаний!$A$3:$B$299,2,FALSE)))</f>
        <v/>
      </c>
      <c r="G16" s="789" t="str">
        <f>IF(E16="X","",IF(E16="","",VLOOKUP(E16,Список_компаний!$A$3:$C$299,3,FALSE)))</f>
        <v/>
      </c>
      <c r="H16" s="1431"/>
      <c r="I16" s="1431"/>
      <c r="J16" s="65"/>
      <c r="K16" s="65"/>
      <c r="L16" s="65"/>
      <c r="M16" s="65"/>
      <c r="N16" s="65"/>
      <c r="O16" s="65"/>
      <c r="P16" s="65"/>
      <c r="Q16" s="65"/>
      <c r="R16" s="65"/>
      <c r="S16" s="1178">
        <f t="shared" ref="S16" si="8">SUM(H16)+SUM(J16:R16)</f>
        <v>0</v>
      </c>
      <c r="T16" s="1431"/>
      <c r="U16" s="1171"/>
      <c r="V16" s="2814" t="b">
        <f t="shared" si="3"/>
        <v>1</v>
      </c>
      <c r="W16" s="2814" t="b">
        <f t="shared" ca="1" si="4"/>
        <v>1</v>
      </c>
      <c r="Y16" s="2130"/>
      <c r="AD16" s="2129"/>
      <c r="AH16" s="1579"/>
      <c r="AI16" s="2130"/>
      <c r="AJ16" s="2130"/>
      <c r="AK16" s="2130"/>
      <c r="AL16" s="2130"/>
      <c r="AM16" s="3469">
        <f>SUMIFS('01'!$H$9:$H$1300,'01'!$C$9:$C$1300,'02'!C16,'01'!$D$9:$D$1300,INDEX($AT$8:$AT$15,MATCH('02'!D16,$AV$8:$AV$15),1))</f>
        <v>0</v>
      </c>
      <c r="AN16" s="2130">
        <f>SUMIFS('03'!$H$9:$H$1300,'03'!$C$9:$C$1300,'02'!C16,'03'!$D$9:$D$1300,INDEX($AU$8:$AU$15,MATCH('02'!D16,$AV$8:$AV$15),1))</f>
        <v>0</v>
      </c>
      <c r="AO16" s="2130">
        <f>SUMIFS('02'!$H$9:$H$1400,'02'!$C$9:$C$1400,'02'!C16,'02'!$D$9:$D$1400,INDEX($AV$8:$AV$15,MATCH('02'!D16,$AV$8:$AV$15),1))+SUMIFS('02'!$H$9:$H$1400,'02'!$C$9:$C$1400,'02'!C16,'02'!$D$9:$D$1400,INDEX($AW$8:$AW$15,MATCH('02'!D16,$AV$8:$AV$15),1))</f>
        <v>0</v>
      </c>
      <c r="AP16" s="2130">
        <f>SUMIFS('01'!$V$9:$V$1300,'01'!$C$9:$C$1300,'02'!C16,'01'!$D$9:$D$1300,INDEX($AT$8:$AT$15,MATCH('02'!D16,$AV$8:$AV$15),1))</f>
        <v>0</v>
      </c>
      <c r="AQ16" s="2130">
        <f>SUMIFS('03'!$U$9:$U$1300,'03'!$C$9:$C$1300,'02'!C16,'03'!$D$9:$D$1300,INDEX($AU$8:$AU$15,MATCH('02'!D16,$AV$8:$AV$15),1))</f>
        <v>0</v>
      </c>
      <c r="AR16" s="2130">
        <f>SUMIFS('02'!$S$9:$S$1400,'02'!$C$9:$C$1400,'02'!C16,'02'!$D$9:$D$1400,INDEX($AW$8:$AW$15,MATCH('02'!D16,$AV$8:$AV$15),1))+SUMIFS('02'!$S$9:$S$1400,'02'!$C$9:$C$1400,'02'!C16,'02'!$D$9:$D$1400,INDEX($AV$8:$AV$15,MATCH('02'!D16,$AV$8:$AV$15),1))</f>
        <v>0</v>
      </c>
      <c r="AS16" s="2130" t="b">
        <f t="shared" ref="AS16:AS18" si="9">AND((AM16+AN16+AO16)&gt;=0,(AP16+AQ16+AR16)&gt;=0)</f>
        <v>1</v>
      </c>
      <c r="AX16" s="2130" t="b">
        <f t="shared" si="6"/>
        <v>1</v>
      </c>
    </row>
    <row r="17" spans="1:50" s="2830" customFormat="1">
      <c r="A17" s="2427" t="str">
        <f t="shared" ref="A17" si="10">"R1="&amp;IFERROR(MID(C17,FIND("{",C17)+1,FIND("}",C17)-FIND("{",C17)-1),"")&amp;";R13="&amp;IFERROR(MID(D17,FIND("{",D17)+1,FIND("}",D17)-FIND("{",D17)-1),"")&amp;";R42="&amp;MID(IF(G17&lt;&gt;"",G17,F17),1,30)&amp;";COM="&amp;U17</f>
        <v>R1=;R13=;R42=;COM=</v>
      </c>
      <c r="C17" s="137"/>
      <c r="D17" s="1431"/>
      <c r="E17" s="2063"/>
      <c r="F17" s="789" t="str">
        <f>IF(E17="X","",IF(E17="","",VLOOKUP(E17,Список_компаний!$A$3:$B$299,2,FALSE)))</f>
        <v/>
      </c>
      <c r="G17" s="789" t="str">
        <f>IF(E17="X","",IF(E17="","",VLOOKUP(E17,Список_компаний!$A$3:$C$299,3,FALSE)))</f>
        <v/>
      </c>
      <c r="H17" s="1431"/>
      <c r="I17" s="1431"/>
      <c r="J17" s="65"/>
      <c r="K17" s="65"/>
      <c r="L17" s="65"/>
      <c r="M17" s="65"/>
      <c r="N17" s="65"/>
      <c r="O17" s="65"/>
      <c r="P17" s="65"/>
      <c r="Q17" s="65"/>
      <c r="R17" s="65"/>
      <c r="S17" s="1178">
        <f t="shared" ref="S17" si="11">SUM(H17)+SUM(J17:R17)</f>
        <v>0</v>
      </c>
      <c r="T17" s="1431"/>
      <c r="U17" s="1171"/>
      <c r="V17" s="2814" t="b">
        <f t="shared" si="3"/>
        <v>1</v>
      </c>
      <c r="W17" s="2814" t="b">
        <f t="shared" ref="W17" ca="1" si="12">IF(D17&lt;&gt;"",IF(OR(COUNTIF(D17,"{3}*"),COUNTIF(D17,"{6}*"),COUNTIF(D17,"{7}*"),COUNTIF(D17,"{8}*")),IF(IFERROR(VLOOKUP(E17,INDIRECT(W$4),1,FALSE),FALSE)=FALSE,FALSE,TRUE),TRUE),TRUE)</f>
        <v>1</v>
      </c>
      <c r="Y17" s="2130"/>
      <c r="AD17" s="2129"/>
      <c r="AH17" s="1579"/>
      <c r="AI17" s="3522"/>
      <c r="AJ17" s="2130"/>
      <c r="AK17" s="2130"/>
      <c r="AL17" s="2130"/>
      <c r="AM17" s="3469">
        <f>SUMIFS('01'!$H$9:$H$1300,'01'!$C$9:$C$1300,'02'!C17,'01'!$D$9:$D$1300,INDEX($AT$8:$AT$15,MATCH('02'!D17,$AV$8:$AV$15),1))</f>
        <v>0</v>
      </c>
      <c r="AN17" s="2130">
        <f>SUMIFS('03'!$H$9:$H$1300,'03'!$C$9:$C$1300,'02'!C17,'03'!$D$9:$D$1300,INDEX($AU$8:$AU$15,MATCH('02'!D17,$AV$8:$AV$15),1))</f>
        <v>0</v>
      </c>
      <c r="AO17" s="2130">
        <f>SUMIFS('02'!$H$9:$H$1400,'02'!$C$9:$C$1400,'02'!C17,'02'!$D$9:$D$1400,INDEX($AV$8:$AV$15,MATCH('02'!D17,$AV$8:$AV$15),1))+SUMIFS('02'!$H$9:$H$1400,'02'!$C$9:$C$1400,'02'!C17,'02'!$D$9:$D$1400,INDEX($AW$8:$AW$15,MATCH('02'!D17,$AV$8:$AV$15),1))</f>
        <v>0</v>
      </c>
      <c r="AP17" s="2130">
        <f>SUMIFS('01'!$V$9:$V$1300,'01'!$C$9:$C$1300,'02'!C17,'01'!$D$9:$D$1300,INDEX($AT$8:$AT$15,MATCH('02'!D17,$AV$8:$AV$15),1))</f>
        <v>0</v>
      </c>
      <c r="AQ17" s="2130">
        <f>SUMIFS('03'!$U$9:$U$1300,'03'!$C$9:$C$1300,'02'!C17,'03'!$D$9:$D$1300,INDEX($AU$8:$AU$15,MATCH('02'!D17,$AV$8:$AV$15),1))</f>
        <v>0</v>
      </c>
      <c r="AR17" s="2130">
        <f>SUMIFS('02'!$S$9:$S$1400,'02'!$C$9:$C$1400,'02'!C17,'02'!$D$9:$D$1400,INDEX($AW$8:$AW$15,MATCH('02'!D17,$AV$8:$AV$15),1))+SUMIFS('02'!$S$9:$S$1400,'02'!$C$9:$C$1400,'02'!C17,'02'!$D$9:$D$1400,INDEX($AV$8:$AV$15,MATCH('02'!D17,$AV$8:$AV$15),1))</f>
        <v>0</v>
      </c>
      <c r="AS17" s="2130" t="b">
        <f t="shared" si="9"/>
        <v>1</v>
      </c>
      <c r="AX17" s="2130" t="b">
        <f t="shared" si="6"/>
        <v>1</v>
      </c>
    </row>
    <row r="18" spans="1:50" s="2830" customFormat="1" ht="15" thickBot="1">
      <c r="A18" s="2427" t="str">
        <f t="shared" ref="A18" si="13">"R1="&amp;IFERROR(MID(C18,FIND("{",C18)+1,FIND("}",C18)-FIND("{",C18)-1),"")&amp;";R13="&amp;IFERROR(MID(D18,FIND("{",D18)+1,FIND("}",D18)-FIND("{",D18)-1),"")&amp;";R42="&amp;MID(IF(G18&lt;&gt;"",G18,F18),1,30)&amp;";COM="&amp;U18</f>
        <v>R1=;R13=;R42=;COM=</v>
      </c>
      <c r="B18" s="18"/>
      <c r="C18" s="1518"/>
      <c r="D18" s="1432"/>
      <c r="E18" s="3544"/>
      <c r="F18" s="3545" t="str">
        <f>IF(E18="X","",IF(E18="","",VLOOKUP(E18,Список_компаний!$A$3:$B$299,2,FALSE)))</f>
        <v/>
      </c>
      <c r="G18" s="3545" t="str">
        <f>IF(E18="X","",IF(E18="","",VLOOKUP(E18,Список_компаний!$A$3:$C$299,3,FALSE)))</f>
        <v/>
      </c>
      <c r="H18" s="1432"/>
      <c r="I18" s="1432"/>
      <c r="J18" s="66"/>
      <c r="K18" s="66"/>
      <c r="L18" s="66"/>
      <c r="M18" s="66"/>
      <c r="N18" s="66"/>
      <c r="O18" s="66"/>
      <c r="P18" s="66"/>
      <c r="Q18" s="66"/>
      <c r="R18" s="66"/>
      <c r="S18" s="3546">
        <f t="shared" ref="S18" si="14">SUM(H18)+SUM(J18:R18)</f>
        <v>0</v>
      </c>
      <c r="T18" s="1432"/>
      <c r="U18" s="1172"/>
      <c r="V18" s="2814" t="b">
        <f t="shared" si="3"/>
        <v>1</v>
      </c>
      <c r="W18" s="2814" t="b">
        <f t="shared" ref="W18" ca="1" si="15">IF(D18&lt;&gt;"",IF(OR(COUNTIF(D18,"{3}*"),COUNTIF(D18,"{6}*"),COUNTIF(D18,"{7}*"),COUNTIF(D18,"{8}*")),IF(IFERROR(VLOOKUP(E18,INDIRECT(W$4),1,FALSE),FALSE)=FALSE,FALSE,TRUE),TRUE),TRUE)</f>
        <v>1</v>
      </c>
      <c r="AH18" s="1579"/>
      <c r="AI18" s="3522"/>
      <c r="AJ18" s="2130"/>
      <c r="AK18" s="2129"/>
      <c r="AL18" s="2130"/>
      <c r="AM18" s="3469">
        <f>SUMIFS('01'!$H$9:$H$1300,'01'!$C$9:$C$1300,'02'!C18,'01'!$D$9:$D$1300,INDEX($AT$8:$AT$15,MATCH('02'!D18,$AV$8:$AV$15),1))</f>
        <v>0</v>
      </c>
      <c r="AN18" s="2130">
        <f>SUMIFS('03'!$H$9:$H$1300,'03'!$C$9:$C$1300,'02'!C18,'03'!$D$9:$D$1300,INDEX($AU$8:$AU$15,MATCH('02'!D18,$AV$8:$AV$15),1))</f>
        <v>0</v>
      </c>
      <c r="AO18" s="2130">
        <f>SUMIFS('02'!$H$9:$H$1400,'02'!$C$9:$C$1400,'02'!C18,'02'!$D$9:$D$1400,INDEX($AV$8:$AV$15,MATCH('02'!D18,$AV$8:$AV$15),1))+SUMIFS('02'!$H$9:$H$1400,'02'!$C$9:$C$1400,'02'!C18,'02'!$D$9:$D$1400,INDEX($AW$8:$AW$15,MATCH('02'!D18,$AV$8:$AV$15),1))</f>
        <v>0</v>
      </c>
      <c r="AP18" s="2130">
        <f>SUMIFS('01'!$V$9:$V$1300,'01'!$C$9:$C$1300,'02'!C18,'01'!$D$9:$D$1300,INDEX($AT$8:$AT$15,MATCH('02'!D18,$AV$8:$AV$15),1))</f>
        <v>0</v>
      </c>
      <c r="AQ18" s="2130">
        <f>SUMIFS('03'!$U$9:$U$1300,'03'!$C$9:$C$1300,'02'!C18,'03'!$D$9:$D$1300,INDEX($AU$8:$AU$15,MATCH('02'!D18,$AV$8:$AV$15),1))</f>
        <v>0</v>
      </c>
      <c r="AR18" s="2130">
        <f>SUMIFS('02'!$S$9:$S$1400,'02'!$C$9:$C$1400,'02'!C18,'02'!$D$9:$D$1400,INDEX($AW$8:$AW$15,MATCH('02'!D18,$AV$8:$AV$15),1))+SUMIFS('02'!$S$9:$S$1400,'02'!$C$9:$C$1400,'02'!C18,'02'!$D$9:$D$1400,INDEX($AV$8:$AV$15,MATCH('02'!D18,$AV$8:$AV$15),1))</f>
        <v>0</v>
      </c>
      <c r="AS18" s="2130" t="b">
        <f t="shared" si="9"/>
        <v>1</v>
      </c>
      <c r="AX18" s="2130" t="b">
        <f t="shared" si="6"/>
        <v>1</v>
      </c>
    </row>
    <row r="19" spans="1:50">
      <c r="V19" s="2814"/>
      <c r="AE19" s="1163"/>
      <c r="AF19" s="1579"/>
      <c r="AG19" s="1579"/>
      <c r="AH19" s="2130"/>
      <c r="AI19" s="3522"/>
      <c r="AJ19" s="2129"/>
    </row>
    <row r="20" spans="1:50">
      <c r="AE20" s="1163"/>
      <c r="AF20" s="1579"/>
      <c r="AG20" s="1579"/>
      <c r="AH20" s="2130"/>
      <c r="AI20" s="3522"/>
      <c r="AJ20" s="2129"/>
    </row>
    <row r="21" spans="1:50">
      <c r="AE21" s="1163"/>
      <c r="AF21" s="1579"/>
      <c r="AG21" s="1579"/>
      <c r="AH21" s="2130"/>
      <c r="AI21" s="3522"/>
      <c r="AJ21" s="2129"/>
    </row>
    <row r="22" spans="1:50">
      <c r="AE22" s="1163"/>
      <c r="AF22" s="1579"/>
      <c r="AG22" s="1579"/>
      <c r="AH22" s="2130"/>
      <c r="AI22" s="3522"/>
      <c r="AJ22" s="2129"/>
    </row>
    <row r="23" spans="1:50">
      <c r="AE23" s="1163"/>
      <c r="AF23" s="1579"/>
      <c r="AG23" s="1579"/>
      <c r="AH23" s="2130"/>
      <c r="AI23" s="3522"/>
      <c r="AJ23" s="2129"/>
    </row>
    <row r="24" spans="1:50">
      <c r="AE24" s="1163"/>
      <c r="AF24" s="1579"/>
      <c r="AG24" s="1579"/>
      <c r="AH24" s="2130"/>
      <c r="AI24" s="2130"/>
    </row>
    <row r="25" spans="1:50">
      <c r="AE25" s="1163"/>
      <c r="AF25" s="1579"/>
      <c r="AG25" s="1579"/>
      <c r="AH25" s="2130"/>
    </row>
    <row r="26" spans="1:50">
      <c r="AE26" s="1163"/>
      <c r="AF26" s="1579"/>
      <c r="AG26" s="1579"/>
      <c r="AH26" s="2130"/>
    </row>
  </sheetData>
  <sheetProtection algorithmName="SHA-512" hashValue="/PUtwfnpmgsXjHQvHxqaFEopSLMA0tZRzR/HQBjPYVV+O1KE84ryQzbekrUBvSYkUTyUY3Yx91WzqvB3cfW22Q==" saltValue="PSyk3Jvw3b9+l4l8atNW1w==" spinCount="100000" sheet="1" objects="1" scenarios="1" formatColumns="0" formatRows="0" autoFilter="0"/>
  <autoFilter ref="C7:W7"/>
  <customSheetViews>
    <customSheetView guid="{3769259D-9653-4B34-A2F6-4FB6F9F4E533}" scale="85" showGridLines="0" showAutoFilter="1" hiddenRows="1" hiddenColumns="1" topLeftCell="B2">
      <pane xSplit="4" ySplit="8" topLeftCell="F10" activePane="bottomRight" state="frozen"/>
      <selection pane="bottomRight" activeCell="C6" sqref="C6"/>
      <pageMargins left="0.7" right="0.7" top="0.75" bottom="0.75" header="0.3" footer="0.3"/>
      <pageSetup paperSize="9" orientation="portrait" r:id="rId1"/>
      <autoFilter ref="B1:L1"/>
    </customSheetView>
    <customSheetView guid="{40D7A2BB-326C-4ED3-999C-17852F56D6F4}" scale="85" showGridLines="0" showAutoFilter="1" hiddenRows="1" hiddenColumns="1" topLeftCell="B2">
      <pane xSplit="4" ySplit="8" topLeftCell="F10" activePane="bottomRight" state="frozen"/>
      <selection pane="bottomRight" activeCell="C6" sqref="C6"/>
      <pageMargins left="0.7" right="0.7" top="0.75" bottom="0.75" header="0.3" footer="0.3"/>
      <pageSetup paperSize="9" orientation="portrait" r:id="rId2"/>
      <autoFilter ref="B1:L1"/>
    </customSheetView>
    <customSheetView guid="{5D121940-0CE8-4A0E-A493-67FAAA6E0FF8}" scale="85" showGridLines="0" showAutoFilter="1" hiddenRows="1" hiddenColumns="1" topLeftCell="B2">
      <pane xSplit="3" ySplit="7" topLeftCell="J9" activePane="bottomRight" state="frozen"/>
      <selection pane="bottomRight" activeCell="C6" sqref="C6"/>
      <pageMargins left="0.7" right="0.7" top="0.75" bottom="0.75" header="0.3" footer="0.3"/>
      <pageSetup paperSize="9" orientation="portrait" r:id="rId3"/>
      <autoFilter ref="B1:L1"/>
    </customSheetView>
    <customSheetView guid="{47AEACC4-6EA5-412C-AF39-A6C5357B313A}" scale="85" showGridLines="0" showAutoFilter="1" hiddenRows="1" hiddenColumns="1" topLeftCell="B2">
      <pane xSplit="3" ySplit="7" topLeftCell="J9" activePane="bottomRight" state="frozen"/>
      <selection pane="bottomRight" activeCell="K6" sqref="K6"/>
      <pageMargins left="0.7" right="0.7" top="0.75" bottom="0.75" header="0.3" footer="0.3"/>
      <pageSetup paperSize="9" orientation="portrait" r:id="rId4"/>
      <autoFilter ref="B1:L1"/>
    </customSheetView>
    <customSheetView guid="{4D957B38-5430-481E-B791-E0A66F913B50}" scale="70">
      <selection activeCell="C4" sqref="C4"/>
      <pageMargins left="0.7" right="0.7" top="0.75" bottom="0.75" header="0.3" footer="0.3"/>
      <pageSetup paperSize="9" orientation="portrait" r:id="rId5"/>
    </customSheetView>
    <customSheetView guid="{D03DFE91-19D2-43BA-897C-B86D033537EB}" scale="70">
      <selection activeCell="H18" sqref="H18"/>
      <pageMargins left="0.7" right="0.7" top="0.75" bottom="0.75" header="0.3" footer="0.3"/>
      <pageSetup paperSize="9" orientation="portrait" r:id="rId6"/>
    </customSheetView>
    <customSheetView guid="{1C36793E-2B7E-411E-AA99-985D5D59B75A}" scale="70">
      <selection activeCell="O34" sqref="O34"/>
      <pageMargins left="0.7" right="0.7" top="0.75" bottom="0.75" header="0.3" footer="0.3"/>
      <pageSetup paperSize="9" orientation="portrait" r:id="rId7"/>
    </customSheetView>
    <customSheetView guid="{C913A9E8-661B-40A4-A3C9-1BC5F2B2E9F0}" scale="85" showGridLines="0" showAutoFilter="1" hiddenRows="1" hiddenColumns="1" topLeftCell="B2">
      <pane xSplit="3" ySplit="7" topLeftCell="J9" activePane="bottomRight" state="frozen"/>
      <selection pane="bottomRight" activeCell="C6" sqref="C6"/>
      <pageMargins left="0.7" right="0.7" top="0.75" bottom="0.75" header="0.3" footer="0.3"/>
      <pageSetup paperSize="9" orientation="portrait" r:id="rId8"/>
      <autoFilter ref="B1:L1"/>
    </customSheetView>
  </customSheetViews>
  <mergeCells count="4">
    <mergeCell ref="X5:X6"/>
    <mergeCell ref="Y5:AD5"/>
    <mergeCell ref="AM7:AO7"/>
    <mergeCell ref="AP7:AR7"/>
  </mergeCells>
  <phoneticPr fontId="0" type="noConversion"/>
  <conditionalFormatting sqref="E8:G8 F9:F15 F18">
    <cfRule type="cellIs" dxfId="54" priority="10" stopIfTrue="1" operator="lessThan">
      <formula>0</formula>
    </cfRule>
  </conditionalFormatting>
  <conditionalFormatting sqref="G9:G15 G18">
    <cfRule type="cellIs" dxfId="53" priority="9" stopIfTrue="1" operator="lessThan">
      <formula>0</formula>
    </cfRule>
  </conditionalFormatting>
  <conditionalFormatting sqref="F16">
    <cfRule type="cellIs" dxfId="52" priority="4" stopIfTrue="1" operator="lessThan">
      <formula>0</formula>
    </cfRule>
  </conditionalFormatting>
  <conditionalFormatting sqref="G16">
    <cfRule type="cellIs" dxfId="51" priority="3" stopIfTrue="1" operator="lessThan">
      <formula>0</formula>
    </cfRule>
  </conditionalFormatting>
  <conditionalFormatting sqref="F17">
    <cfRule type="cellIs" dxfId="50" priority="2" stopIfTrue="1" operator="lessThan">
      <formula>0</formula>
    </cfRule>
  </conditionalFormatting>
  <conditionalFormatting sqref="G17">
    <cfRule type="cellIs" dxfId="49" priority="1" stopIfTrue="1" operator="lessThan">
      <formula>0</formula>
    </cfRule>
  </conditionalFormatting>
  <dataValidations count="5">
    <dataValidation type="list" allowBlank="1" showInputMessage="1" showErrorMessage="1" sqref="C12:C18">
      <formula1>_10015_02</formula1>
    </dataValidation>
    <dataValidation type="list" allowBlank="1" showInputMessage="1" showErrorMessage="1" sqref="D9:D18">
      <formula1>_2101_</formula1>
    </dataValidation>
    <dataValidation type="list" allowBlank="1" showInputMessage="1" showErrorMessage="1" sqref="E9:E18">
      <formula1>IF(OR(COUNTIF(D9,"{3}*"),COUNTIF(D9,"{6}*"),COUNTIF(D9,"{7}*"),COUNTIF(D9,"{8}*")),_comp0102,_X)</formula1>
    </dataValidation>
    <dataValidation showErrorMessage="1" error="Заполнение данных только по согласованию с отделом ОКО" sqref="L9:L18"/>
    <dataValidation type="list" allowBlank="1" showInputMessage="1" showErrorMessage="1" sqref="C9:C11">
      <formula1>_10015_01</formula1>
    </dataValidation>
  </dataValidations>
  <hyperlinks>
    <hyperlink ref="J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5" fitToWidth="2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3414" r:id="rId12" name="Button 6">
              <controlPr defaultSize="0" print="0" autoFill="0" autoPict="0" macro="[0]!AddButtonsRowAdd">
                <anchor moveWithCells="1">
                  <from>
                    <xdr:col>10</xdr:col>
                    <xdr:colOff>184150</xdr:colOff>
                    <xdr:row>2</xdr:row>
                    <xdr:rowOff>69850</xdr:rowOff>
                  </from>
                  <to>
                    <xdr:col>11</xdr:col>
                    <xdr:colOff>266700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AK15"/>
  <sheetViews>
    <sheetView topLeftCell="S2" zoomScale="70" zoomScaleNormal="70" workbookViewId="0">
      <selection activeCell="X6" sqref="X6"/>
    </sheetView>
  </sheetViews>
  <sheetFormatPr defaultColWidth="24.453125" defaultRowHeight="14.5"/>
  <cols>
    <col min="1" max="1" width="36.54296875" style="1163" hidden="1" customWidth="1"/>
    <col min="2" max="2" width="5.54296875" style="1163" customWidth="1"/>
    <col min="3" max="3" width="64.54296875" style="1163" bestFit="1" customWidth="1"/>
    <col min="4" max="7" width="64.54296875" style="2830" customWidth="1"/>
    <col min="8" max="8" width="18" style="1163" customWidth="1"/>
    <col min="9" max="9" width="18" style="2830" customWidth="1"/>
    <col min="10" max="16" width="18" style="1163" customWidth="1"/>
    <col min="17" max="17" width="18.54296875" style="1163" customWidth="1"/>
    <col min="18" max="18" width="19.453125" style="1163" customWidth="1"/>
    <col min="19" max="20" width="18" style="1163" customWidth="1"/>
    <col min="21" max="21" width="24.453125" style="1163"/>
    <col min="22" max="22" width="24.453125" style="2830"/>
    <col min="23" max="25" width="24.453125" style="1163"/>
    <col min="26" max="28" width="14.54296875" style="1163" customWidth="1"/>
    <col min="29" max="31" width="14.54296875" style="2830" customWidth="1"/>
    <col min="32" max="16384" width="24.453125" style="1163"/>
  </cols>
  <sheetData>
    <row r="1" spans="1:37" ht="17.25" hidden="1" customHeight="1">
      <c r="A1" s="1561" t="s">
        <v>3413</v>
      </c>
      <c r="B1" s="5"/>
      <c r="C1" s="5"/>
      <c r="D1" s="5"/>
      <c r="E1" s="5"/>
      <c r="F1" s="5"/>
      <c r="G1" s="5"/>
      <c r="H1" s="6" t="s">
        <v>1230</v>
      </c>
      <c r="I1" s="2438" t="s">
        <v>10146</v>
      </c>
      <c r="J1" s="6" t="s">
        <v>1231</v>
      </c>
      <c r="K1" s="2438" t="s">
        <v>7741</v>
      </c>
      <c r="L1" s="6" t="s">
        <v>1232</v>
      </c>
      <c r="M1" s="6" t="s">
        <v>1233</v>
      </c>
      <c r="N1" s="6" t="s">
        <v>1234</v>
      </c>
      <c r="O1" s="6" t="s">
        <v>1235</v>
      </c>
      <c r="P1" s="6" t="s">
        <v>1236</v>
      </c>
      <c r="Q1" s="6" t="s">
        <v>1237</v>
      </c>
      <c r="R1" s="6" t="s">
        <v>1238</v>
      </c>
      <c r="S1" s="6" t="s">
        <v>1239</v>
      </c>
      <c r="T1" s="6" t="s">
        <v>1240</v>
      </c>
      <c r="U1" s="6" t="s">
        <v>301</v>
      </c>
      <c r="V1" s="2438" t="s">
        <v>10147</v>
      </c>
    </row>
    <row r="2" spans="1:37" s="1778" customFormat="1">
      <c r="A2" s="741"/>
      <c r="B2" s="629"/>
      <c r="C2" s="629"/>
      <c r="D2" s="629"/>
      <c r="E2" s="629"/>
      <c r="F2" s="629"/>
      <c r="G2" s="629"/>
      <c r="H2" s="629" t="s">
        <v>1648</v>
      </c>
      <c r="I2" s="629"/>
      <c r="J2" s="629" t="s">
        <v>1648</v>
      </c>
      <c r="K2" s="629" t="s">
        <v>1648</v>
      </c>
      <c r="L2" s="629" t="s">
        <v>1648</v>
      </c>
      <c r="M2" s="629" t="s">
        <v>1648</v>
      </c>
      <c r="N2" s="629" t="s">
        <v>1648</v>
      </c>
      <c r="O2" s="629" t="s">
        <v>1648</v>
      </c>
      <c r="P2" s="629" t="s">
        <v>1648</v>
      </c>
      <c r="Q2" s="629" t="s">
        <v>1648</v>
      </c>
      <c r="R2" s="629" t="s">
        <v>1648</v>
      </c>
      <c r="S2" s="629" t="s">
        <v>1648</v>
      </c>
      <c r="T2" s="629" t="s">
        <v>1648</v>
      </c>
    </row>
    <row r="3" spans="1:37" ht="26">
      <c r="A3" s="7"/>
      <c r="B3" s="8"/>
      <c r="C3" s="8"/>
      <c r="D3" s="3003"/>
      <c r="E3" s="3003"/>
      <c r="F3" s="3003"/>
      <c r="G3" s="3003"/>
      <c r="H3" s="8"/>
      <c r="I3" s="3003"/>
      <c r="J3"/>
      <c r="K3" s="1897" t="s">
        <v>2067</v>
      </c>
      <c r="L3" s="1244">
        <f>Содержание!$D$2</f>
        <v>0</v>
      </c>
      <c r="M3" s="8"/>
      <c r="N3" s="8"/>
      <c r="O3" s="8"/>
      <c r="P3" s="8"/>
      <c r="Q3" s="8"/>
      <c r="R3" s="8"/>
      <c r="S3" s="8"/>
      <c r="T3" s="8"/>
    </row>
    <row r="4" spans="1:37" ht="38.5">
      <c r="A4" s="9"/>
      <c r="B4" s="10"/>
      <c r="C4" s="11" t="s">
        <v>4180</v>
      </c>
      <c r="D4" s="11"/>
      <c r="E4" s="11"/>
      <c r="F4" s="11"/>
      <c r="G4" s="11"/>
      <c r="H4" s="11"/>
      <c r="I4" s="11"/>
      <c r="J4" s="3044" t="s">
        <v>1436</v>
      </c>
      <c r="K4" s="1897" t="s">
        <v>2075</v>
      </c>
      <c r="L4" s="1244" t="str">
        <f>Содержание!$D$15</f>
        <v>2022 год</v>
      </c>
      <c r="M4" s="10"/>
      <c r="N4" s="10"/>
      <c r="O4" s="10"/>
      <c r="P4" s="10"/>
      <c r="Q4" s="10"/>
      <c r="R4" s="10"/>
      <c r="S4" s="2819" t="s">
        <v>8372</v>
      </c>
      <c r="T4" s="10"/>
    </row>
    <row r="5" spans="1:37" ht="15" thickBot="1">
      <c r="A5" s="9"/>
      <c r="B5" s="10"/>
      <c r="C5" s="10"/>
      <c r="D5" s="10"/>
      <c r="E5" s="10"/>
      <c r="F5" s="10"/>
      <c r="G5" s="10"/>
      <c r="S5" s="2130" t="b">
        <f>ABS(ABS(S9)-ABS('01'!T8))&lt;=2</f>
        <v>1</v>
      </c>
      <c r="Y5" s="2130" t="s">
        <v>14726</v>
      </c>
    </row>
    <row r="6" spans="1:37" ht="65">
      <c r="A6" s="9"/>
      <c r="B6" s="10"/>
      <c r="C6" s="794" t="s">
        <v>55</v>
      </c>
      <c r="D6" s="794" t="s">
        <v>14543</v>
      </c>
      <c r="E6" s="3509" t="s">
        <v>3991</v>
      </c>
      <c r="F6" s="3509" t="s">
        <v>3512</v>
      </c>
      <c r="G6" s="3509" t="s">
        <v>9889</v>
      </c>
      <c r="H6" s="13" t="s">
        <v>5225</v>
      </c>
      <c r="I6" s="13" t="s">
        <v>10126</v>
      </c>
      <c r="J6" s="14" t="s">
        <v>2221</v>
      </c>
      <c r="K6" s="2855" t="s">
        <v>8448</v>
      </c>
      <c r="L6" s="14" t="s">
        <v>5226</v>
      </c>
      <c r="M6" s="14" t="s">
        <v>5227</v>
      </c>
      <c r="N6" s="14" t="s">
        <v>2233</v>
      </c>
      <c r="O6" s="14" t="s">
        <v>5228</v>
      </c>
      <c r="P6" s="14" t="s">
        <v>5229</v>
      </c>
      <c r="Q6" s="14" t="s">
        <v>2213</v>
      </c>
      <c r="R6" s="14" t="s">
        <v>5230</v>
      </c>
      <c r="S6" s="14" t="s">
        <v>5231</v>
      </c>
      <c r="T6" s="14" t="s">
        <v>5232</v>
      </c>
      <c r="U6" s="14" t="s">
        <v>5233</v>
      </c>
      <c r="V6" s="3299" t="s">
        <v>10125</v>
      </c>
      <c r="W6" s="67" t="s">
        <v>3401</v>
      </c>
      <c r="X6" s="2813" t="s">
        <v>9625</v>
      </c>
      <c r="Y6" s="2813" t="s">
        <v>14707</v>
      </c>
      <c r="AF6" s="2813" t="s">
        <v>14624</v>
      </c>
      <c r="AK6" s="2813" t="s">
        <v>14913</v>
      </c>
    </row>
    <row r="7" spans="1:37">
      <c r="A7" s="9"/>
      <c r="B7" s="10"/>
      <c r="C7" s="1128">
        <v>10015</v>
      </c>
      <c r="D7" s="68">
        <v>2040</v>
      </c>
      <c r="E7" s="3510">
        <v>6004</v>
      </c>
      <c r="F7" s="3510">
        <v>6004</v>
      </c>
      <c r="G7" s="3510">
        <v>6004</v>
      </c>
      <c r="H7" s="15" t="s">
        <v>672</v>
      </c>
      <c r="I7" s="3176"/>
      <c r="J7" s="16" t="s">
        <v>5235</v>
      </c>
      <c r="K7" s="2694" t="s">
        <v>7725</v>
      </c>
      <c r="L7" s="16" t="s">
        <v>5236</v>
      </c>
      <c r="M7" s="16" t="s">
        <v>5237</v>
      </c>
      <c r="N7" s="62" t="s">
        <v>5238</v>
      </c>
      <c r="O7" s="16" t="s">
        <v>5239</v>
      </c>
      <c r="P7" s="16" t="s">
        <v>5240</v>
      </c>
      <c r="Q7" s="62" t="s">
        <v>3971</v>
      </c>
      <c r="R7" s="16" t="s">
        <v>5241</v>
      </c>
      <c r="S7" s="16" t="s">
        <v>5242</v>
      </c>
      <c r="T7" s="16" t="s">
        <v>4162</v>
      </c>
      <c r="U7" s="16" t="s">
        <v>4163</v>
      </c>
      <c r="V7" s="3300"/>
      <c r="W7" s="69" t="s">
        <v>865</v>
      </c>
      <c r="X7" s="2130" t="b">
        <f>AND(X10:X1500)</f>
        <v>1</v>
      </c>
      <c r="Y7" s="2814" t="b">
        <f ca="1">AND(Y10:Y1500)</f>
        <v>1</v>
      </c>
      <c r="Z7" s="3708" t="s">
        <v>2073</v>
      </c>
      <c r="AA7" s="3708"/>
      <c r="AB7" s="3708"/>
      <c r="AC7" s="3708" t="s">
        <v>2074</v>
      </c>
      <c r="AD7" s="3708"/>
      <c r="AE7" s="3708"/>
      <c r="AF7" s="2130" t="b">
        <f>AND(AF9:AF15)</f>
        <v>1</v>
      </c>
      <c r="AK7" s="2130" t="b">
        <f>AND(AK8:AK14)</f>
        <v>1</v>
      </c>
    </row>
    <row r="8" spans="1:37" s="674" customFormat="1">
      <c r="A8" s="668"/>
      <c r="B8" s="669"/>
      <c r="C8" s="670" t="s">
        <v>4164</v>
      </c>
      <c r="D8" s="670" t="s">
        <v>4165</v>
      </c>
      <c r="E8" s="1124" t="s">
        <v>4166</v>
      </c>
      <c r="F8" s="1124" t="s">
        <v>5500</v>
      </c>
      <c r="G8" s="1124" t="s">
        <v>4169</v>
      </c>
      <c r="H8" s="1124" t="s">
        <v>4168</v>
      </c>
      <c r="I8" s="1124" t="s">
        <v>4178</v>
      </c>
      <c r="J8" s="1124" t="s">
        <v>4179</v>
      </c>
      <c r="K8" s="1124" t="s">
        <v>4167</v>
      </c>
      <c r="L8" s="1124" t="s">
        <v>5501</v>
      </c>
      <c r="M8" s="1124" t="s">
        <v>4701</v>
      </c>
      <c r="N8" s="1124" t="s">
        <v>4702</v>
      </c>
      <c r="O8" s="1124" t="s">
        <v>4703</v>
      </c>
      <c r="P8" s="1124" t="s">
        <v>5502</v>
      </c>
      <c r="Q8" s="1124" t="s">
        <v>5503</v>
      </c>
      <c r="R8" s="1124" t="s">
        <v>5504</v>
      </c>
      <c r="S8" s="1124" t="s">
        <v>4853</v>
      </c>
      <c r="T8" s="1124" t="s">
        <v>4852</v>
      </c>
      <c r="U8" s="1124" t="s">
        <v>5505</v>
      </c>
      <c r="V8" s="1124" t="s">
        <v>4851</v>
      </c>
      <c r="W8" s="1124" t="s">
        <v>5506</v>
      </c>
      <c r="X8" s="1124"/>
      <c r="Y8" s="1124"/>
      <c r="Z8" s="3469" t="s">
        <v>14619</v>
      </c>
      <c r="AA8" s="2130" t="s">
        <v>14620</v>
      </c>
      <c r="AB8" s="2130" t="s">
        <v>14621</v>
      </c>
      <c r="AC8" s="3469" t="s">
        <v>14619</v>
      </c>
      <c r="AD8" s="2130" t="s">
        <v>14620</v>
      </c>
      <c r="AE8" s="2130" t="s">
        <v>14621</v>
      </c>
      <c r="AF8" s="2130"/>
      <c r="AG8" s="2130" t="s">
        <v>14544</v>
      </c>
      <c r="AH8" s="2130" t="s">
        <v>14622</v>
      </c>
      <c r="AI8" s="2130" t="s">
        <v>14559</v>
      </c>
      <c r="AJ8" s="2130" t="s">
        <v>14562</v>
      </c>
      <c r="AK8" s="2130" t="b">
        <f>ABS(SUMIF($D$9:$D$1400,AG8,$S$9:$S$1400))-ABS(SUMIF('01'!$D$9:$D$1400,'03'!AG8,'01'!$T$9:$T$1400))&lt;=2</f>
        <v>1</v>
      </c>
    </row>
    <row r="9" spans="1:37">
      <c r="A9" s="2427"/>
      <c r="B9" s="578" t="s">
        <v>5536</v>
      </c>
      <c r="C9" s="63" t="s">
        <v>4170</v>
      </c>
      <c r="D9" s="3473"/>
      <c r="E9" s="432" t="s">
        <v>3389</v>
      </c>
      <c r="F9" s="789" t="s">
        <v>4184</v>
      </c>
      <c r="G9" s="789" t="s">
        <v>4184</v>
      </c>
      <c r="H9" s="64">
        <f>SUM(H10:H1500)</f>
        <v>0</v>
      </c>
      <c r="I9" s="64">
        <f t="shared" ref="I9:V9" si="0">SUM(I10:I1500)</f>
        <v>0</v>
      </c>
      <c r="J9" s="64">
        <f t="shared" si="0"/>
        <v>0</v>
      </c>
      <c r="K9" s="64">
        <f t="shared" si="0"/>
        <v>0</v>
      </c>
      <c r="L9" s="64">
        <f t="shared" si="0"/>
        <v>0</v>
      </c>
      <c r="M9" s="64">
        <f t="shared" si="0"/>
        <v>0</v>
      </c>
      <c r="N9" s="64">
        <f t="shared" si="0"/>
        <v>0</v>
      </c>
      <c r="O9" s="64">
        <f t="shared" si="0"/>
        <v>0</v>
      </c>
      <c r="P9" s="64">
        <f t="shared" si="0"/>
        <v>0</v>
      </c>
      <c r="Q9" s="64">
        <f t="shared" si="0"/>
        <v>0</v>
      </c>
      <c r="R9" s="64">
        <f t="shared" si="0"/>
        <v>0</v>
      </c>
      <c r="S9" s="64">
        <f t="shared" si="0"/>
        <v>0</v>
      </c>
      <c r="T9" s="64">
        <f t="shared" si="0"/>
        <v>0</v>
      </c>
      <c r="U9" s="64">
        <f t="shared" si="0"/>
        <v>0</v>
      </c>
      <c r="V9" s="64">
        <f t="shared" si="0"/>
        <v>0</v>
      </c>
      <c r="W9" s="1173" t="s">
        <v>3196</v>
      </c>
      <c r="Y9" s="2130"/>
      <c r="Z9" s="3469"/>
      <c r="AA9" s="2130"/>
      <c r="AB9" s="2130"/>
      <c r="AC9" s="2130"/>
      <c r="AD9" s="2130"/>
      <c r="AE9" s="2130"/>
      <c r="AF9" s="2130"/>
      <c r="AG9" s="2130" t="s">
        <v>14545</v>
      </c>
      <c r="AH9" s="2130" t="s">
        <v>14622</v>
      </c>
      <c r="AI9" s="2130" t="s">
        <v>14559</v>
      </c>
      <c r="AJ9" s="2130" t="s">
        <v>14562</v>
      </c>
      <c r="AK9" s="2130" t="b">
        <f>ABS(SUMIF($D$9:$D$1400,AG9,$S$9:$S$1400))-ABS(SUMIF('01'!$D$9:$D$1400,'03'!AG9,'01'!$T$9:$T$1400))&lt;=2</f>
        <v>1</v>
      </c>
    </row>
    <row r="10" spans="1:37">
      <c r="A10" s="2427" t="str">
        <f t="shared" ref="A10:A15" si="1">"R1="&amp;IFERROR(MID(C10,FIND("{",C10)+1,FIND("}",C10)-FIND("{",C10)-1),"")&amp;";R12="&amp;IFERROR(MID(D10,FIND("{",D10)+1,FIND("}",D10)-FIND("{",D10)-1),"")&amp;";R42="&amp;MID(IF(G10&lt;&gt;"",G10,F10),1,30)&amp;";COM="&amp;W10</f>
        <v>R1=;R12=;R42=;COM=</v>
      </c>
      <c r="B10" s="578" t="s">
        <v>5536</v>
      </c>
      <c r="C10" s="1431"/>
      <c r="D10" s="1431"/>
      <c r="E10" s="2063"/>
      <c r="F10" s="789" t="str">
        <f>IF(E10="X","",IF(E10="","",VLOOKUP(E10,Список_компаний!$A$3:$B$299,2,FALSE)))</f>
        <v/>
      </c>
      <c r="G10" s="789" t="str">
        <f>IF(E10="X","",IF(E10="","",VLOOKUP(E10,Список_компаний!$A$3:$C$299,3,FALSE)))</f>
        <v/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1178">
        <f>SUM(H10)+SUM(J10:T10)</f>
        <v>0</v>
      </c>
      <c r="V10" s="65"/>
      <c r="W10" s="1171"/>
      <c r="X10" s="2130" t="b">
        <f>IF(AND(OR(H10="",H10&gt;0,H10=0),OR(J10="",J10&gt;0,J10=0),OR(L10="",L10&gt;0,L10=0),OR(M10="",M10&lt;0,M10=0),OR(N10="",N10&lt;0,N10=0),OR(O10="",O10&lt;0,O10=0),OR(P10="",P10&lt;0,P10=0),OR(Q10="",Q10&lt;0,Q10=0),OR(R10="",R10&lt;0,R10=0),OR(U10=0,U10&gt;0)),TRUE,FALSE)</f>
        <v>1</v>
      </c>
      <c r="Y10" s="2130" t="b">
        <f ca="1">IF(D10&lt;&gt;"",IF(OR(COUNTIF(D10,"{31}*"),COUNTIF(D10,"{32}*"),COUNTIF(D10,"{33}*"),COUNTIF(D10,"{34}*")),IF(IFERROR(VLOOKUP(E10,INDIRECT(Y$5),1,FALSE),FALSE)=FALSE,FALSE,TRUE),TRUE),TRUE)</f>
        <v>1</v>
      </c>
      <c r="Z10" s="3469">
        <f>SUMIFS('03'!$H$9:$H$1300,'03'!$C$9:$C$1300,'03'!C10,'03'!$D$9:$D$1300,INDEX($AH$8:$AH$14,MATCH('03'!D10,$AG$8:$AG$14),1))</f>
        <v>0</v>
      </c>
      <c r="AA10" s="2130">
        <f>SUMIFS('02'!$H$9:$H$1400,'02'!$C$9:$C$1400,'03'!C10,'02'!$D$9:$D$1400,INDEX($AI$8:$AI$14,MATCH('03'!D10,$AG$8:$AG$14),1))</f>
        <v>0</v>
      </c>
      <c r="AB10" s="2130">
        <f>SUMIFS('02'!$H$9:$H$1400,'02'!$C$9:$C$1400,'03'!C10,'02'!$D$9:$D$1400,INDEX($AJ$8:$AJ$14,MATCH('03'!D10,$AG$8:$AG$14),1))</f>
        <v>0</v>
      </c>
      <c r="AC10" s="2130">
        <f>SUMIFS('03'!$U$10:$U$1300,'03'!$C$10:$C$1300,'03'!C10,'03'!$D$10:$D$1300,INDEX($AH$8:$AH$14,MATCH('03'!D10,$AG$8:$AG$14),1))</f>
        <v>0</v>
      </c>
      <c r="AD10" s="2130">
        <f>SUMIFS('02'!$S$9:$S$1400,'02'!$C$9:$C$1400,'03'!C10,'02'!$D$9:$D$1400,INDEX($AI$8:$AI$14,MATCH('03'!D10,$AG$8:$AG$14),1))</f>
        <v>0</v>
      </c>
      <c r="AE10" s="2130">
        <f>SUMIFS('02'!$S$9:$S$1400,'02'!$C$9:$C$1400,'03'!C10,'02'!$D$9:$D$1400,INDEX($AJ$8:$AJ$14,MATCH('01'!D10,$AG$8:$AG$14),1))</f>
        <v>0</v>
      </c>
      <c r="AF10" s="2130" t="b">
        <f t="shared" ref="AF10:AF15" si="2">AND((AC10+AD10+AE10)&gt;=0,(Z10+AA10+AB10)&gt;=0)</f>
        <v>1</v>
      </c>
      <c r="AG10" s="2130" t="s">
        <v>14546</v>
      </c>
      <c r="AH10" s="2130" t="s">
        <v>14622</v>
      </c>
      <c r="AI10" s="2130" t="s">
        <v>14559</v>
      </c>
      <c r="AJ10" s="2130" t="s">
        <v>14562</v>
      </c>
      <c r="AK10" s="2130" t="b">
        <f>ABS(SUMIF($D$9:$D$1400,AG10,$S$9:$S$1400))-ABS(SUMIF('01'!$D$9:$D$1400,'03'!AG10,'01'!$T$9:$T$1400))&lt;=2</f>
        <v>1</v>
      </c>
    </row>
    <row r="11" spans="1:37">
      <c r="A11" s="2427" t="str">
        <f t="shared" si="1"/>
        <v>R1=;R12=;R42=;COM=</v>
      </c>
      <c r="B11" s="578" t="s">
        <v>5536</v>
      </c>
      <c r="C11" s="1431"/>
      <c r="D11" s="1431"/>
      <c r="E11" s="2063"/>
      <c r="F11" s="789" t="str">
        <f>IF(E11="X","",IF(E11="","",VLOOKUP(E11,Список_компаний!$A$3:$B$299,2,FALSE)))</f>
        <v/>
      </c>
      <c r="G11" s="789" t="str">
        <f>IF(E11="X","",IF(E11="","",VLOOKUP(E11,Список_компаний!$A$3:$C$299,3,FALSE)))</f>
        <v/>
      </c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1178">
        <f t="shared" ref="U11:U12" si="3">SUM(H11)+SUM(J11:T11)</f>
        <v>0</v>
      </c>
      <c r="V11" s="65"/>
      <c r="W11" s="1171"/>
      <c r="X11" s="2130" t="b">
        <f t="shared" ref="X11:X15" si="4">IF(AND(OR(H11="",H11&gt;0,H11=0),OR(J11="",J11&gt;0,J11=0),OR(L11="",L11&gt;0,L11=0),OR(M11="",M11&lt;0,M11=0),OR(N11="",N11&lt;0,N11=0),OR(O11="",O11&lt;0,O11=0),OR(P11="",P11&lt;0,P11=0),OR(Q11="",Q11&lt;0,Q11=0),OR(R11="",R11&lt;0,R11=0),OR(U11=0,U11&gt;0)),TRUE,FALSE)</f>
        <v>1</v>
      </c>
      <c r="Y11" s="2130" t="b">
        <f t="shared" ref="Y11:Y15" ca="1" si="5">IF(D11&lt;&gt;"",IF(OR(COUNTIF(D11,"{31}*"),COUNTIF(D11,"{32}*"),COUNTIF(D11,"{33}*"),COUNTIF(D11,"{34}*")),IF(IFERROR(VLOOKUP(E11,INDIRECT(Y$5),1,FALSE),FALSE)=FALSE,FALSE,TRUE),TRUE),TRUE)</f>
        <v>1</v>
      </c>
      <c r="Z11" s="3469">
        <f>SUMIFS('03'!$H$9:$H$1300,'03'!$C$9:$C$1300,'03'!C11,'03'!$D$9:$D$1300,INDEX($AH$8:$AH$14,MATCH('03'!D11,$AG$8:$AG$14),1))</f>
        <v>0</v>
      </c>
      <c r="AA11" s="2130">
        <f>SUMIFS('02'!$H$9:$H$1400,'02'!$C$9:$C$1400,'03'!C11,'02'!$D$9:$D$1400,INDEX($AI$8:$AI$14,MATCH('03'!D11,$AG$8:$AG$14),1))</f>
        <v>0</v>
      </c>
      <c r="AB11" s="2130">
        <f>SUMIFS('02'!$H$9:$H$1400,'02'!$C$9:$C$1400,'03'!C11,'02'!$D$9:$D$1400,INDEX($AJ$8:$AJ$14,MATCH('03'!D11,$AG$8:$AG$14),1))</f>
        <v>0</v>
      </c>
      <c r="AC11" s="2130">
        <f>SUMIFS('03'!$U$10:$U$1300,'03'!$C$10:$C$1300,'03'!C11,'03'!$D$10:$D$1300,INDEX($AH$8:$AH$14,MATCH('03'!D11,$AG$8:$AG$14),1))</f>
        <v>0</v>
      </c>
      <c r="AD11" s="2130">
        <f>SUMIFS('02'!$S$9:$S$1400,'02'!$C$9:$C$1400,'03'!C11,'02'!$D$9:$D$1400,INDEX($AI$8:$AI$14,MATCH('03'!D11,$AG$8:$AG$14),1))</f>
        <v>0</v>
      </c>
      <c r="AE11" s="2130">
        <f>SUMIFS('02'!$S$9:$S$1400,'02'!$C$9:$C$1400,'03'!C11,'02'!$D$9:$D$1400,INDEX($AJ$8:$AJ$14,MATCH('01'!D11,$AG$8:$AG$14),1))</f>
        <v>0</v>
      </c>
      <c r="AF11" s="2130" t="b">
        <f t="shared" si="2"/>
        <v>1</v>
      </c>
      <c r="AG11" s="2130" t="s">
        <v>14547</v>
      </c>
      <c r="AH11" s="2130" t="s">
        <v>14623</v>
      </c>
      <c r="AI11" s="2130" t="s">
        <v>14564</v>
      </c>
      <c r="AJ11" s="2130" t="s">
        <v>14565</v>
      </c>
      <c r="AK11" s="2130" t="b">
        <f>ABS(SUMIF($D$9:$D$1400,AG11,$S$9:$S$1400))-ABS(SUMIF('01'!$D$9:$D$1400,'03'!AG11,'01'!$T$9:$T$1400))&lt;=2</f>
        <v>1</v>
      </c>
    </row>
    <row r="12" spans="1:37" s="2830" customFormat="1">
      <c r="A12" s="2427" t="str">
        <f t="shared" si="1"/>
        <v>R1=;R12=;R42=;COM=</v>
      </c>
      <c r="B12" s="578" t="s">
        <v>5536</v>
      </c>
      <c r="C12" s="1431"/>
      <c r="D12" s="1431"/>
      <c r="E12" s="2063"/>
      <c r="F12" s="789" t="str">
        <f>IF(E12="X","",IF(E12="","",VLOOKUP(E12,Список_компаний!$A$3:$B$299,2,FALSE)))</f>
        <v/>
      </c>
      <c r="G12" s="789" t="str">
        <f>IF(E12="X","",IF(E12="","",VLOOKUP(E12,Список_компаний!$A$3:$C$299,3,FALSE)))</f>
        <v/>
      </c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1178">
        <f t="shared" si="3"/>
        <v>0</v>
      </c>
      <c r="V12" s="65"/>
      <c r="W12" s="1171"/>
      <c r="X12" s="2130" t="b">
        <f t="shared" si="4"/>
        <v>1</v>
      </c>
      <c r="Y12" s="2130" t="b">
        <f t="shared" ca="1" si="5"/>
        <v>1</v>
      </c>
      <c r="Z12" s="3469">
        <f>SUMIFS('03'!$H$9:$H$1300,'03'!$C$9:$C$1300,'03'!C12,'03'!$D$9:$D$1300,INDEX($AH$8:$AH$14,MATCH('03'!D12,$AG$8:$AG$14),1))</f>
        <v>0</v>
      </c>
      <c r="AA12" s="2130">
        <f>SUMIFS('02'!$H$9:$H$1400,'02'!$C$9:$C$1400,'03'!C12,'02'!$D$9:$D$1400,INDEX($AI$8:$AI$14,MATCH('03'!D12,$AG$8:$AG$14),1))</f>
        <v>0</v>
      </c>
      <c r="AB12" s="2130">
        <f>SUMIFS('02'!$H$9:$H$1400,'02'!$C$9:$C$1400,'03'!C12,'02'!$D$9:$D$1400,INDEX($AJ$8:$AJ$14,MATCH('03'!D12,$AG$8:$AG$14),1))</f>
        <v>0</v>
      </c>
      <c r="AC12" s="2130">
        <f>SUMIFS('03'!$U$10:$U$1300,'03'!$C$10:$C$1300,'03'!C12,'03'!$D$10:$D$1300,INDEX($AH$8:$AH$14,MATCH('03'!D12,$AG$8:$AG$14),1))</f>
        <v>0</v>
      </c>
      <c r="AD12" s="2130">
        <f>SUMIFS('02'!$S$9:$S$1400,'02'!$C$9:$C$1400,'03'!C12,'02'!$D$9:$D$1400,INDEX($AI$8:$AI$14,MATCH('03'!D12,$AG$8:$AG$14),1))</f>
        <v>0</v>
      </c>
      <c r="AE12" s="2130">
        <f>SUMIFS('02'!$S$9:$S$1400,'02'!$C$9:$C$1400,'03'!C12,'02'!$D$9:$D$1400,INDEX($AJ$8:$AJ$14,MATCH('01'!D12,$AG$8:$AG$14),1))</f>
        <v>0</v>
      </c>
      <c r="AF12" s="2130" t="b">
        <f t="shared" si="2"/>
        <v>1</v>
      </c>
      <c r="AG12" s="2130" t="s">
        <v>14548</v>
      </c>
      <c r="AH12" s="2130" t="s">
        <v>14623</v>
      </c>
      <c r="AI12" s="2130" t="s">
        <v>14564</v>
      </c>
      <c r="AJ12" s="2130" t="s">
        <v>14565</v>
      </c>
      <c r="AK12" s="2130" t="b">
        <f>ABS(SUMIF($D$9:$D$1400,AG12,$S$9:$S$1400))-ABS(SUMIF('01'!$D$9:$D$1400,'03'!AG12,'01'!$T$9:$T$1400))&lt;=2</f>
        <v>1</v>
      </c>
    </row>
    <row r="13" spans="1:37" s="2830" customFormat="1">
      <c r="A13" s="2427" t="str">
        <f t="shared" si="1"/>
        <v>R1=;R12=;R42=;COM=</v>
      </c>
      <c r="B13" s="578"/>
      <c r="C13" s="1431"/>
      <c r="D13" s="1431"/>
      <c r="E13" s="2063"/>
      <c r="F13" s="789" t="str">
        <f>IF(E13="X","",IF(E13="","",VLOOKUP(E13,Список_компаний!$A$3:$B$299,2,FALSE)))</f>
        <v/>
      </c>
      <c r="G13" s="789" t="str">
        <f>IF(E13="X","",IF(E13="","",VLOOKUP(E13,Список_компаний!$A$3:$C$299,3,FALSE)))</f>
        <v/>
      </c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1178">
        <f t="shared" ref="U13" si="6">SUM(H13)+SUM(J13:T13)</f>
        <v>0</v>
      </c>
      <c r="V13" s="65"/>
      <c r="W13" s="1171"/>
      <c r="X13" s="2130" t="b">
        <f t="shared" si="4"/>
        <v>1</v>
      </c>
      <c r="Y13" s="2130" t="b">
        <f t="shared" ca="1" si="5"/>
        <v>1</v>
      </c>
      <c r="Z13" s="3469">
        <f>SUMIFS('03'!$H$9:$H$1300,'03'!$C$9:$C$1300,'03'!C13,'03'!$D$9:$D$1300,INDEX($AH$8:$AH$14,MATCH('03'!D13,$AG$8:$AG$14),1))</f>
        <v>0</v>
      </c>
      <c r="AA13" s="2130">
        <f>SUMIFS('02'!$H$9:$H$1400,'02'!$C$9:$C$1400,'03'!C13,'02'!$D$9:$D$1400,INDEX($AI$8:$AI$14,MATCH('03'!D13,$AG$8:$AG$14),1))</f>
        <v>0</v>
      </c>
      <c r="AB13" s="2130">
        <f>SUMIFS('02'!$H$9:$H$1400,'02'!$C$9:$C$1400,'03'!C13,'02'!$D$9:$D$1400,INDEX($AJ$8:$AJ$14,MATCH('03'!D13,$AG$8:$AG$14),1))</f>
        <v>0</v>
      </c>
      <c r="AC13" s="2130">
        <f>SUMIFS('03'!$U$10:$U$1300,'03'!$C$10:$C$1300,'03'!C13,'03'!$D$10:$D$1300,INDEX($AH$8:$AH$14,MATCH('03'!D13,$AG$8:$AG$14),1))</f>
        <v>0</v>
      </c>
      <c r="AD13" s="2130">
        <f>SUMIFS('02'!$S$9:$S$1400,'02'!$C$9:$C$1400,'03'!C13,'02'!$D$9:$D$1400,INDEX($AI$8:$AI$14,MATCH('03'!D13,$AG$8:$AG$14),1))</f>
        <v>0</v>
      </c>
      <c r="AE13" s="2130">
        <f>SUMIFS('02'!$S$9:$S$1400,'02'!$C$9:$C$1400,'03'!C13,'02'!$D$9:$D$1400,INDEX($AJ$8:$AJ$14,MATCH('01'!D13,$AG$8:$AG$14),1))</f>
        <v>0</v>
      </c>
      <c r="AF13" s="2130" t="b">
        <f t="shared" si="2"/>
        <v>1</v>
      </c>
      <c r="AG13" s="2130" t="s">
        <v>14549</v>
      </c>
      <c r="AH13" s="2130" t="s">
        <v>14623</v>
      </c>
      <c r="AI13" s="2130" t="s">
        <v>14564</v>
      </c>
      <c r="AJ13" s="2130" t="s">
        <v>14565</v>
      </c>
      <c r="AK13" s="2130" t="b">
        <f>ABS(SUMIF($D$9:$D$1400,AG13,$S$9:$S$1400))-ABS(SUMIF('01'!$D$9:$D$1400,'03'!AG13,'01'!$T$9:$T$1400))&lt;=2</f>
        <v>1</v>
      </c>
    </row>
    <row r="14" spans="1:37" s="2830" customFormat="1">
      <c r="A14" s="2427" t="str">
        <f t="shared" si="1"/>
        <v>R1=;R12=;R42=;COM=</v>
      </c>
      <c r="B14" s="578"/>
      <c r="C14" s="1431"/>
      <c r="D14" s="1431"/>
      <c r="E14" s="2063"/>
      <c r="F14" s="789" t="str">
        <f>IF(E14="X","",IF(E14="","",VLOOKUP(E14,Список_компаний!$A$3:$B$299,2,FALSE)))</f>
        <v/>
      </c>
      <c r="G14" s="789" t="str">
        <f>IF(E14="X","",IF(E14="","",VLOOKUP(E14,Список_компаний!$A$3:$C$299,3,FALSE)))</f>
        <v/>
      </c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1178">
        <f t="shared" ref="U14" si="7">SUM(H14)+SUM(J14:T14)</f>
        <v>0</v>
      </c>
      <c r="V14" s="65"/>
      <c r="W14" s="1171"/>
      <c r="X14" s="2130" t="b">
        <f t="shared" si="4"/>
        <v>1</v>
      </c>
      <c r="Y14" s="2130" t="b">
        <f t="shared" ca="1" si="5"/>
        <v>1</v>
      </c>
      <c r="Z14" s="3469">
        <f>SUMIFS('03'!$H$9:$H$1300,'03'!$C$9:$C$1300,'03'!C14,'03'!$D$9:$D$1300,INDEX($AH$8:$AH$14,MATCH('03'!D14,$AG$8:$AG$14),1))</f>
        <v>0</v>
      </c>
      <c r="AA14" s="2130">
        <f>SUMIFS('02'!$H$9:$H$1400,'02'!$C$9:$C$1400,'03'!C14,'02'!$D$9:$D$1400,INDEX($AI$8:$AI$14,MATCH('03'!D14,$AG$8:$AG$14),1))</f>
        <v>0</v>
      </c>
      <c r="AB14" s="2130">
        <f>SUMIFS('02'!$H$9:$H$1400,'02'!$C$9:$C$1400,'03'!C14,'02'!$D$9:$D$1400,INDEX($AJ$8:$AJ$14,MATCH('03'!D14,$AG$8:$AG$14),1))</f>
        <v>0</v>
      </c>
      <c r="AC14" s="2130">
        <f>SUMIFS('03'!$U$10:$U$1300,'03'!$C$10:$C$1300,'03'!C14,'03'!$D$10:$D$1300,INDEX($AH$8:$AH$14,MATCH('03'!D14,$AG$8:$AG$14),1))</f>
        <v>0</v>
      </c>
      <c r="AD14" s="2130">
        <f>SUMIFS('02'!$S$9:$S$1400,'02'!$C$9:$C$1400,'03'!C14,'02'!$D$9:$D$1400,INDEX($AI$8:$AI$14,MATCH('03'!D14,$AG$8:$AG$14),1))</f>
        <v>0</v>
      </c>
      <c r="AE14" s="2130">
        <f>SUMIFS('02'!$S$9:$S$1400,'02'!$C$9:$C$1400,'03'!C14,'02'!$D$9:$D$1400,INDEX($AJ$8:$AJ$14,MATCH('01'!D14,$AG$8:$AG$14),1))</f>
        <v>0</v>
      </c>
      <c r="AF14" s="2130" t="b">
        <f>AND((AC14+AD14+AE14)&gt;=0,(Z14+AA14+AB14)&gt;=0)</f>
        <v>1</v>
      </c>
      <c r="AG14" s="2130" t="s">
        <v>14550</v>
      </c>
      <c r="AH14" s="2130" t="s">
        <v>14623</v>
      </c>
      <c r="AI14" s="2130" t="s">
        <v>14564</v>
      </c>
      <c r="AJ14" s="2130" t="s">
        <v>14565</v>
      </c>
      <c r="AK14" s="2130" t="b">
        <f>ABS(SUMIF($D$9:$D$1400,AG14,$S$9:$S$1400))-ABS(SUMIF('01'!$D$9:$D$1400,'03'!AG14,'01'!$T$9:$T$1400))&lt;=2</f>
        <v>1</v>
      </c>
    </row>
    <row r="15" spans="1:37" s="2830" customFormat="1">
      <c r="A15" s="2427" t="str">
        <f t="shared" si="1"/>
        <v>R1=;R12=;R42=;COM=</v>
      </c>
      <c r="B15" s="578"/>
      <c r="C15" s="1431"/>
      <c r="D15" s="1431"/>
      <c r="E15" s="2063"/>
      <c r="F15" s="789" t="str">
        <f>IF(E15="X","",IF(E15="","",VLOOKUP(E15,Список_компаний!$A$3:$B$299,2,FALSE)))</f>
        <v/>
      </c>
      <c r="G15" s="789" t="str">
        <f>IF(E15="X","",IF(E15="","",VLOOKUP(E15,Список_компаний!$A$3:$C$299,3,FALSE)))</f>
        <v/>
      </c>
      <c r="H15" s="65"/>
      <c r="I15" s="65"/>
      <c r="J15" s="65"/>
      <c r="K15" s="65"/>
      <c r="L15" s="65"/>
      <c r="M15" s="1431"/>
      <c r="N15" s="65"/>
      <c r="O15" s="65"/>
      <c r="P15" s="65"/>
      <c r="Q15" s="65"/>
      <c r="R15" s="65"/>
      <c r="S15" s="65"/>
      <c r="T15" s="65"/>
      <c r="U15" s="1178">
        <f t="shared" ref="U15" si="8">SUM(H15)+SUM(J15:T15)</f>
        <v>0</v>
      </c>
      <c r="V15" s="65"/>
      <c r="W15" s="1171"/>
      <c r="X15" s="2130" t="b">
        <f t="shared" si="4"/>
        <v>1</v>
      </c>
      <c r="Y15" s="2130" t="b">
        <f t="shared" ca="1" si="5"/>
        <v>1</v>
      </c>
      <c r="Z15" s="3469">
        <f>SUMIFS('03'!$H$9:$H$1300,'03'!$C$9:$C$1300,'03'!C15,'03'!$D$9:$D$1300,INDEX($AH$8:$AH$14,MATCH('03'!D15,$AG$8:$AG$14),1))</f>
        <v>0</v>
      </c>
      <c r="AA15" s="2130">
        <f>SUMIFS('02'!$H$9:$H$1400,'02'!$C$9:$C$1400,'03'!C15,'02'!$D$9:$D$1400,INDEX($AI$8:$AI$14,MATCH('03'!D15,$AG$8:$AG$14),1))</f>
        <v>0</v>
      </c>
      <c r="AB15" s="2130">
        <f>SUMIFS('02'!$H$9:$H$1400,'02'!$C$9:$C$1400,'03'!C15,'02'!$D$9:$D$1400,INDEX($AJ$8:$AJ$14,MATCH('03'!D15,$AG$8:$AG$14),1))</f>
        <v>0</v>
      </c>
      <c r="AC15" s="2130">
        <f>SUMIFS('03'!$U$10:$U$1300,'03'!$C$10:$C$1300,'03'!C15,'03'!$D$10:$D$1300,INDEX($AH$8:$AH$14,MATCH('03'!D15,$AG$8:$AG$14),1))</f>
        <v>0</v>
      </c>
      <c r="AD15" s="2130">
        <f>SUMIFS('02'!$S$9:$S$1400,'02'!$C$9:$C$1400,'03'!C15,'02'!$D$9:$D$1400,INDEX($AI$8:$AI$14,MATCH('03'!D15,$AG$8:$AG$14),1))</f>
        <v>0</v>
      </c>
      <c r="AE15" s="2130">
        <f>SUMIFS('02'!$S$9:$S$1400,'02'!$C$9:$C$1400,'03'!C15,'02'!$D$9:$D$1400,INDEX($AJ$8:$AJ$14,MATCH('01'!D15,$AG$8:$AG$14),1))</f>
        <v>0</v>
      </c>
      <c r="AF15" s="2130" t="b">
        <f t="shared" si="2"/>
        <v>1</v>
      </c>
      <c r="AG15" s="2130"/>
      <c r="AH15" s="2130"/>
      <c r="AI15" s="2130"/>
      <c r="AJ15" s="2130"/>
    </row>
  </sheetData>
  <sheetProtection algorithmName="SHA-512" hashValue="Ez0FFNtwZoLK78mlXV/2lgL/05IIpHCk98KALHvMKLLpca/36Zxotju1PWIKVSTKMmUqDR96PtIW0wBgtZwnwA==" saltValue="VN8Yvwr10ZfsvcTxEely8w==" spinCount="100000" sheet="1" objects="1" scenarios="1" formatColumns="0" formatRows="0" autoFilter="0"/>
  <autoFilter ref="C8:Y8"/>
  <customSheetViews>
    <customSheetView guid="{3769259D-9653-4B34-A2F6-4FB6F9F4E533}" scale="70" showGridLines="0" showAutoFilter="1" hiddenRows="1" hiddenColumns="1" topLeftCell="B2">
      <pane xSplit="4" ySplit="9" topLeftCell="F11" activePane="bottomRight" state="frozen"/>
      <selection pane="bottomRight" activeCell="C7" sqref="C7"/>
      <pageMargins left="0.7" right="0.7" top="0.75" bottom="0.75" header="0.3" footer="0.3"/>
      <autoFilter ref="B1:P1"/>
    </customSheetView>
    <customSheetView guid="{40D7A2BB-326C-4ED3-999C-17852F56D6F4}" scale="70" showGridLines="0" showAutoFilter="1" hiddenRows="1" hiddenColumns="1" topLeftCell="B2">
      <pane xSplit="4" ySplit="9" topLeftCell="F11" activePane="bottomRight" state="frozen"/>
      <selection pane="bottomRight" activeCell="C7" sqref="C7"/>
      <pageMargins left="0.7" right="0.7" top="0.75" bottom="0.75" header="0.3" footer="0.3"/>
      <autoFilter ref="B1:P1"/>
    </customSheetView>
    <customSheetView guid="{5D121940-0CE8-4A0E-A493-67FAAA6E0FF8}" scale="70" showGridLines="0" showAutoFilter="1" hiddenRows="1" hiddenColumns="1" topLeftCell="B2">
      <pane xSplit="3" ySplit="8" topLeftCell="J10" activePane="bottomRight" state="frozen"/>
      <selection pane="bottomRight" activeCell="C7" sqref="C7"/>
      <pageMargins left="0.7" right="0.7" top="0.75" bottom="0.75" header="0.3" footer="0.3"/>
      <autoFilter ref="B1:P1"/>
    </customSheetView>
    <customSheetView guid="{47AEACC4-6EA5-412C-AF39-A6C5357B313A}" scale="70" showGridLines="0" showAutoFilter="1" hiddenRows="1" hiddenColumns="1" topLeftCell="B2">
      <pane xSplit="3" ySplit="8" topLeftCell="J10" activePane="bottomRight" state="frozen"/>
      <selection pane="bottomRight" activeCell="N27" sqref="N27"/>
      <pageMargins left="0.7" right="0.7" top="0.75" bottom="0.75" header="0.3" footer="0.3"/>
      <autoFilter ref="B1:P1"/>
    </customSheetView>
    <customSheetView guid="{4D957B38-5430-481E-B791-E0A66F913B50}" scale="70">
      <selection activeCell="A9" sqref="A9"/>
      <pageMargins left="0.7" right="0.7" top="0.75" bottom="0.75" header="0.3" footer="0.3"/>
    </customSheetView>
    <customSheetView guid="{D03DFE91-19D2-43BA-897C-B86D033537EB}" scale="70">
      <selection activeCell="J17" sqref="J17"/>
      <pageMargins left="0.7" right="0.7" top="0.75" bottom="0.75" header="0.3" footer="0.3"/>
    </customSheetView>
    <customSheetView guid="{1C36793E-2B7E-411E-AA99-985D5D59B75A}" scale="70">
      <selection activeCell="P18" sqref="A18:P18"/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3" ySplit="8" topLeftCell="J10" activePane="bottomRight" state="frozen"/>
      <selection pane="bottomRight" activeCell="C7" sqref="C7"/>
      <pageMargins left="0.7" right="0.7" top="0.75" bottom="0.75" header="0.3" footer="0.3"/>
      <autoFilter ref="B1:P1"/>
    </customSheetView>
  </customSheetViews>
  <mergeCells count="2">
    <mergeCell ref="Z7:AB7"/>
    <mergeCell ref="AC7:AE7"/>
  </mergeCells>
  <phoneticPr fontId="0" type="noConversion"/>
  <conditionalFormatting sqref="E9:G9 F10:F15">
    <cfRule type="cellIs" dxfId="48" priority="4" stopIfTrue="1" operator="lessThan">
      <formula>0</formula>
    </cfRule>
  </conditionalFormatting>
  <conditionalFormatting sqref="G10:G15">
    <cfRule type="cellIs" dxfId="47" priority="3" stopIfTrue="1" operator="lessThan">
      <formula>0</formula>
    </cfRule>
  </conditionalFormatting>
  <dataValidations count="4">
    <dataValidation type="custom" showInputMessage="1" showErrorMessage="1" error="Заполнение данных только по согласованию с отделом ОКО" sqref="R10:R15">
      <formula1>$AA$8</formula1>
    </dataValidation>
    <dataValidation type="list" allowBlank="1" showInputMessage="1" showErrorMessage="1" sqref="D10:D15">
      <formula1>_2040_</formula1>
    </dataValidation>
    <dataValidation type="list" allowBlank="1" showInputMessage="1" showErrorMessage="1" sqref="C10:C15">
      <formula1>_10015_02</formula1>
    </dataValidation>
    <dataValidation type="list" allowBlank="1" showInputMessage="1" showErrorMessage="1" sqref="E10:E15">
      <formula1>IF(OR(COUNTIF(D10,"{31}*"),COUNTIF(D10,"{32}*"),COUNTIF(D10,"{33}*"),COUNTIF(D10,"{34}*")),_comp0102,_X)</formula1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17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139" r:id="rId4" name="Button 3">
              <controlPr defaultSize="0" print="0" autoFill="0" autoPict="0" macro="[0]!AddButtonsRowAdd">
                <anchor moveWithCells="1">
                  <from>
                    <xdr:col>8</xdr:col>
                    <xdr:colOff>146050</xdr:colOff>
                    <xdr:row>2</xdr:row>
                    <xdr:rowOff>107950</xdr:rowOff>
                  </from>
                  <to>
                    <xdr:col>9</xdr:col>
                    <xdr:colOff>336550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showInputMessage="1" showErrorMessage="1" error="Заполнение данных только по согласованию с отделом ОКО">
          <x14:formula1>
            <xm:f>'01'!$AC$3</xm:f>
          </x14:formula1>
          <xm:sqref>L10:L15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U32"/>
  <sheetViews>
    <sheetView topLeftCell="L2" zoomScale="55" zoomScaleNormal="55" workbookViewId="0">
      <selection activeCell="U6" sqref="U6"/>
    </sheetView>
  </sheetViews>
  <sheetFormatPr defaultColWidth="14.54296875" defaultRowHeight="14.5"/>
  <cols>
    <col min="1" max="1" width="20" style="1163" hidden="1" customWidth="1"/>
    <col min="2" max="2" width="1.54296875" style="1163" customWidth="1"/>
    <col min="3" max="3" width="47.54296875" style="1163" customWidth="1"/>
    <col min="4" max="4" width="18.453125" style="1163" customWidth="1"/>
    <col min="5" max="5" width="18.453125" style="2830" customWidth="1"/>
    <col min="6" max="10" width="18.453125" style="1163" customWidth="1"/>
    <col min="11" max="11" width="18.453125" style="2830" customWidth="1"/>
    <col min="12" max="16" width="18.453125" style="1163" customWidth="1"/>
    <col min="17" max="17" width="18.453125" style="2830" customWidth="1"/>
    <col min="18" max="18" width="14.54296875" style="1163"/>
    <col min="19" max="19" width="8.54296875" style="1163" hidden="1" customWidth="1"/>
    <col min="20" max="16384" width="14.54296875" style="1163"/>
  </cols>
  <sheetData>
    <row r="1" spans="1:21" ht="26.25" hidden="1" customHeight="1">
      <c r="A1" s="70" t="s">
        <v>3415</v>
      </c>
      <c r="B1" s="22"/>
      <c r="C1" s="6"/>
      <c r="D1" s="6" t="s">
        <v>1230</v>
      </c>
      <c r="E1" s="2438" t="s">
        <v>10146</v>
      </c>
      <c r="F1" s="6" t="s">
        <v>1231</v>
      </c>
      <c r="G1" s="2438" t="s">
        <v>7741</v>
      </c>
      <c r="H1" s="6" t="s">
        <v>1232</v>
      </c>
      <c r="I1" s="6" t="s">
        <v>1233</v>
      </c>
      <c r="J1" s="6" t="s">
        <v>1235</v>
      </c>
      <c r="K1" s="2438" t="s">
        <v>1236</v>
      </c>
      <c r="L1" s="6" t="s">
        <v>1238</v>
      </c>
      <c r="M1" s="6" t="s">
        <v>1239</v>
      </c>
      <c r="N1" s="6" t="s">
        <v>1237</v>
      </c>
      <c r="O1" s="6" t="s">
        <v>1240</v>
      </c>
      <c r="P1" s="6" t="s">
        <v>301</v>
      </c>
      <c r="Q1" s="2438" t="s">
        <v>10147</v>
      </c>
    </row>
    <row r="2" spans="1:21" s="1778" customFormat="1">
      <c r="A2" s="7"/>
      <c r="B2" s="1920"/>
      <c r="C2" s="1919"/>
      <c r="D2" s="1919" t="s">
        <v>1648</v>
      </c>
      <c r="E2" s="1919"/>
      <c r="F2" s="1919" t="s">
        <v>1648</v>
      </c>
      <c r="G2" s="1919" t="s">
        <v>1648</v>
      </c>
      <c r="H2" s="1919" t="s">
        <v>1648</v>
      </c>
      <c r="I2" s="1919" t="s">
        <v>1648</v>
      </c>
      <c r="J2" s="1919" t="s">
        <v>1648</v>
      </c>
      <c r="K2" s="1919"/>
      <c r="L2" s="1919" t="s">
        <v>1648</v>
      </c>
      <c r="M2" s="1919" t="s">
        <v>1648</v>
      </c>
      <c r="N2" s="1919" t="s">
        <v>1648</v>
      </c>
      <c r="O2" s="1919" t="s">
        <v>1648</v>
      </c>
    </row>
    <row r="3" spans="1:21" ht="26">
      <c r="A3" s="7"/>
      <c r="F3"/>
      <c r="G3" s="1897" t="s">
        <v>2067</v>
      </c>
      <c r="H3" s="1244">
        <f>Содержание!$D$2</f>
        <v>0</v>
      </c>
    </row>
    <row r="4" spans="1:21" ht="38.5">
      <c r="A4" s="9"/>
      <c r="C4" s="11" t="s">
        <v>4182</v>
      </c>
      <c r="F4"/>
      <c r="G4" s="1897" t="s">
        <v>2075</v>
      </c>
      <c r="H4" s="1244" t="str">
        <f>Содержание!$D$15</f>
        <v>2022 год</v>
      </c>
      <c r="I4" s="3044" t="s">
        <v>1436</v>
      </c>
      <c r="J4" s="10"/>
      <c r="K4" s="10"/>
      <c r="L4" s="10"/>
      <c r="M4" s="2819" t="s">
        <v>8372</v>
      </c>
      <c r="N4" s="10"/>
      <c r="O4" s="24"/>
      <c r="P4" s="24"/>
      <c r="Q4" s="24"/>
      <c r="R4" s="24"/>
    </row>
    <row r="5" spans="1:21" ht="15" thickBot="1">
      <c r="A5" s="9"/>
      <c r="D5" s="10"/>
      <c r="E5" s="10"/>
      <c r="F5" s="10"/>
      <c r="G5" s="10"/>
      <c r="H5" s="10"/>
      <c r="I5" s="10"/>
      <c r="J5" s="10"/>
      <c r="K5" s="10"/>
      <c r="L5" s="12"/>
      <c r="M5" s="2130" t="b">
        <f>ABS(M9)&lt;=2</f>
        <v>1</v>
      </c>
      <c r="N5" s="12"/>
      <c r="O5" s="12"/>
      <c r="P5" s="12"/>
      <c r="Q5" s="12"/>
      <c r="R5" s="12"/>
    </row>
    <row r="6" spans="1:21" ht="87">
      <c r="A6" s="9"/>
      <c r="C6" s="81" t="s">
        <v>2065</v>
      </c>
      <c r="D6" s="21" t="s">
        <v>5225</v>
      </c>
      <c r="E6" s="13" t="s">
        <v>10126</v>
      </c>
      <c r="F6" s="14" t="s">
        <v>2221</v>
      </c>
      <c r="G6" s="2855" t="s">
        <v>8448</v>
      </c>
      <c r="H6" s="14" t="s">
        <v>5226</v>
      </c>
      <c r="I6" s="14" t="s">
        <v>5227</v>
      </c>
      <c r="J6" s="14" t="s">
        <v>5228</v>
      </c>
      <c r="K6" s="2889" t="s">
        <v>5229</v>
      </c>
      <c r="L6" s="14" t="s">
        <v>5230</v>
      </c>
      <c r="M6" s="21" t="s">
        <v>5231</v>
      </c>
      <c r="N6" s="14" t="s">
        <v>2213</v>
      </c>
      <c r="O6" s="14" t="s">
        <v>5232</v>
      </c>
      <c r="P6" s="21" t="s">
        <v>5233</v>
      </c>
      <c r="Q6" s="3299" t="s">
        <v>10125</v>
      </c>
      <c r="R6" s="793" t="s">
        <v>4183</v>
      </c>
      <c r="U6" s="2813" t="s">
        <v>9625</v>
      </c>
    </row>
    <row r="7" spans="1:21">
      <c r="A7" s="9"/>
      <c r="C7" s="99" t="s">
        <v>6292</v>
      </c>
      <c r="D7" s="15" t="s">
        <v>672</v>
      </c>
      <c r="E7" s="3176"/>
      <c r="F7" s="16" t="s">
        <v>5235</v>
      </c>
      <c r="G7" s="2694" t="s">
        <v>7725</v>
      </c>
      <c r="H7" s="16" t="s">
        <v>5236</v>
      </c>
      <c r="I7" s="16" t="s">
        <v>5237</v>
      </c>
      <c r="J7" s="16" t="s">
        <v>5239</v>
      </c>
      <c r="K7" s="2888" t="s">
        <v>5240</v>
      </c>
      <c r="L7" s="16" t="s">
        <v>5241</v>
      </c>
      <c r="M7" s="16" t="s">
        <v>5242</v>
      </c>
      <c r="N7" s="62" t="s">
        <v>3971</v>
      </c>
      <c r="O7" s="16" t="s">
        <v>4162</v>
      </c>
      <c r="P7" s="15" t="s">
        <v>673</v>
      </c>
      <c r="Q7" s="736"/>
      <c r="R7" s="25" t="s">
        <v>865</v>
      </c>
    </row>
    <row r="8" spans="1:21" s="674" customFormat="1" ht="10.5">
      <c r="A8" s="668"/>
      <c r="C8" s="675" t="s">
        <v>4164</v>
      </c>
      <c r="D8" s="675" t="s">
        <v>4165</v>
      </c>
      <c r="E8" s="675" t="s">
        <v>4166</v>
      </c>
      <c r="F8" s="675" t="s">
        <v>5500</v>
      </c>
      <c r="G8" s="675" t="s">
        <v>4169</v>
      </c>
      <c r="H8" s="675" t="s">
        <v>4168</v>
      </c>
      <c r="I8" s="675" t="s">
        <v>4178</v>
      </c>
      <c r="J8" s="675" t="s">
        <v>4179</v>
      </c>
      <c r="K8" s="675" t="s">
        <v>4167</v>
      </c>
      <c r="L8" s="675" t="s">
        <v>5501</v>
      </c>
      <c r="M8" s="675" t="s">
        <v>4701</v>
      </c>
      <c r="N8" s="675" t="s">
        <v>4702</v>
      </c>
      <c r="O8" s="675" t="s">
        <v>4703</v>
      </c>
      <c r="P8" s="675" t="s">
        <v>5502</v>
      </c>
      <c r="Q8" s="675" t="s">
        <v>5503</v>
      </c>
      <c r="R8" s="675" t="s">
        <v>5504</v>
      </c>
    </row>
    <row r="9" spans="1:21">
      <c r="A9" s="9"/>
      <c r="C9" s="76" t="s">
        <v>4170</v>
      </c>
      <c r="D9" s="64">
        <f t="shared" ref="D9:Q9" si="0">D10+D22</f>
        <v>0</v>
      </c>
      <c r="E9" s="64">
        <f t="shared" si="0"/>
        <v>0</v>
      </c>
      <c r="F9" s="64">
        <f t="shared" si="0"/>
        <v>0</v>
      </c>
      <c r="G9" s="64">
        <f t="shared" si="0"/>
        <v>0</v>
      </c>
      <c r="H9" s="64">
        <f t="shared" si="0"/>
        <v>0</v>
      </c>
      <c r="I9" s="64">
        <f t="shared" si="0"/>
        <v>0</v>
      </c>
      <c r="J9" s="64">
        <f t="shared" si="0"/>
        <v>0</v>
      </c>
      <c r="K9" s="64">
        <f t="shared" si="0"/>
        <v>0</v>
      </c>
      <c r="L9" s="64">
        <f t="shared" si="0"/>
        <v>0</v>
      </c>
      <c r="M9" s="64">
        <f t="shared" si="0"/>
        <v>0</v>
      </c>
      <c r="N9" s="64">
        <f t="shared" si="0"/>
        <v>0</v>
      </c>
      <c r="O9" s="64">
        <f t="shared" si="0"/>
        <v>0</v>
      </c>
      <c r="P9" s="64">
        <f t="shared" si="0"/>
        <v>0</v>
      </c>
      <c r="Q9" s="64">
        <f t="shared" si="0"/>
        <v>0</v>
      </c>
      <c r="R9" s="72" t="s">
        <v>4184</v>
      </c>
    </row>
    <row r="10" spans="1:21">
      <c r="A10" s="9"/>
      <c r="C10" s="76" t="s">
        <v>4185</v>
      </c>
      <c r="D10" s="64">
        <f t="shared" ref="D10:Q10" si="1">SUM(D11:D21)</f>
        <v>0</v>
      </c>
      <c r="E10" s="64">
        <f t="shared" si="1"/>
        <v>0</v>
      </c>
      <c r="F10" s="64">
        <f t="shared" si="1"/>
        <v>0</v>
      </c>
      <c r="G10" s="64">
        <f t="shared" si="1"/>
        <v>0</v>
      </c>
      <c r="H10" s="64">
        <f t="shared" si="1"/>
        <v>0</v>
      </c>
      <c r="I10" s="64">
        <f t="shared" si="1"/>
        <v>0</v>
      </c>
      <c r="J10" s="64">
        <f t="shared" si="1"/>
        <v>0</v>
      </c>
      <c r="K10" s="64">
        <f t="shared" si="1"/>
        <v>0</v>
      </c>
      <c r="L10" s="64">
        <f t="shared" si="1"/>
        <v>0</v>
      </c>
      <c r="M10" s="64">
        <f t="shared" si="1"/>
        <v>0</v>
      </c>
      <c r="N10" s="64">
        <f t="shared" si="1"/>
        <v>0</v>
      </c>
      <c r="O10" s="64">
        <f t="shared" si="1"/>
        <v>0</v>
      </c>
      <c r="P10" s="64">
        <f t="shared" si="1"/>
        <v>0</v>
      </c>
      <c r="Q10" s="64">
        <f t="shared" si="1"/>
        <v>0</v>
      </c>
      <c r="R10" s="72" t="s">
        <v>4184</v>
      </c>
      <c r="T10" s="1163" t="b">
        <f>AND(T11:T32)</f>
        <v>1</v>
      </c>
      <c r="U10" s="2130" t="b">
        <f>AND(U11:U32)</f>
        <v>1</v>
      </c>
    </row>
    <row r="11" spans="1:21" ht="26">
      <c r="A11" s="9" t="str">
        <f t="shared" ref="A11:A21" si="2">"R1="&amp;IFERROR(MID(C11,FIND("{",C11)+1,FIND("}",C11)-FIND("{",C11)-3),"")&amp;";R5="&amp;IFERROR(MID(C11,FIND("{",C11)+8,FIND("}",C11)-FIND("{",C11)-8),"")&amp;";COM="&amp;R11</f>
        <v>R1=201211;R5=1;COM=</v>
      </c>
      <c r="C11" s="77" t="s">
        <v>675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4">
        <f>SUM(D11)+SUM(F11:O11)</f>
        <v>0</v>
      </c>
      <c r="Q11" s="65"/>
      <c r="R11" s="73"/>
      <c r="T11" s="1163" t="b">
        <f>IF(OR(H11&gt;1000,L11&lt;-1000),IF(LEN(R11)&gt;5,TRUE,FALSE),TRUE)</f>
        <v>1</v>
      </c>
      <c r="U11" s="2130" t="b">
        <f>IF(AND(OR(D11="",D11&gt;0,D11=0),OR(F11="",F11&gt;0,F11=0),OR(H11="",H11&gt;0,H11=0),OR(I11="",I11&lt;0,I11=0),OR(J11="",J11&lt;0,J11=0),OR(L11="",L11&lt;0,L11=0),OR(N11="",N11&lt;0,N11=0),OR(P11=0,P11&gt;0)),TRUE,FALSE)</f>
        <v>1</v>
      </c>
    </row>
    <row r="12" spans="1:21">
      <c r="A12" s="2427" t="str">
        <f t="shared" si="2"/>
        <v>R1=201212;R5=1;COM=</v>
      </c>
      <c r="C12" s="77" t="s">
        <v>676</v>
      </c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4">
        <f t="shared" ref="P12:P32" si="3">SUM(D12)+SUM(F12:O12)</f>
        <v>0</v>
      </c>
      <c r="Q12" s="65"/>
      <c r="R12" s="73"/>
      <c r="T12" s="1163" t="b">
        <f t="shared" ref="T12:T32" si="4">IF(OR(H12&gt;1000,L12&lt;-1000),IF(LEN(R12)&gt;5,TRUE,FALSE),TRUE)</f>
        <v>1</v>
      </c>
      <c r="U12" s="2130" t="b">
        <f t="shared" ref="U12:U21" si="5">IF(AND(OR(D12="",D12&gt;0,D12=0),OR(F12="",F12&gt;0,F12=0),OR(H12="",H12&gt;0,H12=0),OR(I12="",I12&lt;0,I12=0),OR(J12="",J12&lt;0,J12=0),OR(L12="",L12&lt;0,L12=0),OR(N12="",N12&lt;0,N12=0),OR(P12=0,P12&gt;0)),TRUE,FALSE)</f>
        <v>1</v>
      </c>
    </row>
    <row r="13" spans="1:21" ht="26">
      <c r="A13" s="2427" t="str">
        <f t="shared" si="2"/>
        <v>R1=201213;R5=1;COM=</v>
      </c>
      <c r="C13" s="77" t="s">
        <v>677</v>
      </c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4">
        <f t="shared" si="3"/>
        <v>0</v>
      </c>
      <c r="Q13" s="65"/>
      <c r="R13" s="73"/>
      <c r="T13" s="1163" t="b">
        <f t="shared" si="4"/>
        <v>1</v>
      </c>
      <c r="U13" s="2130" t="b">
        <f t="shared" si="5"/>
        <v>1</v>
      </c>
    </row>
    <row r="14" spans="1:21">
      <c r="A14" s="2427" t="str">
        <f t="shared" si="2"/>
        <v>R1=201214;R5=1;COM=</v>
      </c>
      <c r="C14" s="77" t="s">
        <v>678</v>
      </c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4">
        <f t="shared" si="3"/>
        <v>0</v>
      </c>
      <c r="Q14" s="65"/>
      <c r="R14" s="73"/>
      <c r="T14" s="1163" t="b">
        <f t="shared" si="4"/>
        <v>1</v>
      </c>
      <c r="U14" s="2130" t="b">
        <f t="shared" si="5"/>
        <v>1</v>
      </c>
    </row>
    <row r="15" spans="1:21">
      <c r="A15" s="2427" t="str">
        <f t="shared" si="2"/>
        <v>R1=201215;R5=1;COM=</v>
      </c>
      <c r="C15" s="77" t="s">
        <v>679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4">
        <f t="shared" si="3"/>
        <v>0</v>
      </c>
      <c r="Q15" s="65"/>
      <c r="R15" s="73"/>
      <c r="T15" s="1163" t="b">
        <f t="shared" si="4"/>
        <v>1</v>
      </c>
      <c r="U15" s="2130" t="b">
        <f t="shared" si="5"/>
        <v>1</v>
      </c>
    </row>
    <row r="16" spans="1:21">
      <c r="A16" s="2427" t="str">
        <f t="shared" si="2"/>
        <v>R1=201220;R5=1;COM=</v>
      </c>
      <c r="C16" s="77" t="s">
        <v>680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4">
        <f t="shared" si="3"/>
        <v>0</v>
      </c>
      <c r="Q16" s="65"/>
      <c r="R16" s="73"/>
      <c r="T16" s="1163" t="b">
        <f t="shared" si="4"/>
        <v>1</v>
      </c>
      <c r="U16" s="2130" t="b">
        <f t="shared" si="5"/>
        <v>1</v>
      </c>
    </row>
    <row r="17" spans="1:21" ht="26">
      <c r="A17" s="2427" t="str">
        <f t="shared" si="2"/>
        <v>R1=201231;R5=1;COM=</v>
      </c>
      <c r="C17" s="77" t="s">
        <v>681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4">
        <f t="shared" si="3"/>
        <v>0</v>
      </c>
      <c r="Q17" s="65"/>
      <c r="R17" s="73"/>
      <c r="T17" s="1163" t="b">
        <f t="shared" si="4"/>
        <v>1</v>
      </c>
      <c r="U17" s="2130" t="b">
        <f t="shared" si="5"/>
        <v>1</v>
      </c>
    </row>
    <row r="18" spans="1:21">
      <c r="A18" s="2427" t="str">
        <f t="shared" si="2"/>
        <v>R1=201232;R5=1;COM=</v>
      </c>
      <c r="C18" s="77" t="s">
        <v>682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4">
        <f t="shared" si="3"/>
        <v>0</v>
      </c>
      <c r="Q18" s="65"/>
      <c r="R18" s="73"/>
      <c r="T18" s="1163" t="b">
        <f t="shared" si="4"/>
        <v>1</v>
      </c>
      <c r="U18" s="2130" t="b">
        <f t="shared" si="5"/>
        <v>1</v>
      </c>
    </row>
    <row r="19" spans="1:21" ht="38.5">
      <c r="A19" s="2427" t="str">
        <f t="shared" si="2"/>
        <v>R1=201233;R5=1;COM=</v>
      </c>
      <c r="C19" s="77" t="s">
        <v>9891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4">
        <f t="shared" si="3"/>
        <v>0</v>
      </c>
      <c r="Q19" s="65"/>
      <c r="R19" s="73"/>
      <c r="T19" s="1163" t="b">
        <f t="shared" si="4"/>
        <v>1</v>
      </c>
      <c r="U19" s="2130" t="b">
        <f t="shared" si="5"/>
        <v>1</v>
      </c>
    </row>
    <row r="20" spans="1:21" s="2830" customFormat="1">
      <c r="A20" s="2427" t="str">
        <f t="shared" si="2"/>
        <v>R1=201239;R5=1;COM=</v>
      </c>
      <c r="C20" s="77" t="s">
        <v>683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4">
        <f t="shared" si="3"/>
        <v>0</v>
      </c>
      <c r="Q20" s="65"/>
      <c r="R20" s="73"/>
      <c r="T20" s="2830" t="b">
        <f t="shared" ref="T20" si="6">IF(OR(H20&gt;1000,L20&lt;-1000),IF(LEN(R20)&gt;5,TRUE,FALSE),TRUE)</f>
        <v>1</v>
      </c>
      <c r="U20" s="2130" t="b">
        <f t="shared" si="5"/>
        <v>1</v>
      </c>
    </row>
    <row r="21" spans="1:21">
      <c r="A21" s="2427" t="str">
        <f t="shared" si="2"/>
        <v>R1=201240;R5=1;COM=</v>
      </c>
      <c r="C21" s="77" t="s">
        <v>684</v>
      </c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4">
        <f t="shared" si="3"/>
        <v>0</v>
      </c>
      <c r="Q21" s="65"/>
      <c r="R21" s="73"/>
      <c r="T21" s="1163" t="b">
        <f t="shared" si="4"/>
        <v>1</v>
      </c>
      <c r="U21" s="2130" t="b">
        <f t="shared" si="5"/>
        <v>1</v>
      </c>
    </row>
    <row r="22" spans="1:21">
      <c r="A22" s="9"/>
      <c r="C22" s="78" t="s">
        <v>4186</v>
      </c>
      <c r="D22" s="64">
        <f>SUM(D23:D32)</f>
        <v>0</v>
      </c>
      <c r="E22" s="64">
        <f>SUM(E23:E32)</f>
        <v>0</v>
      </c>
      <c r="F22" s="64">
        <f t="shared" ref="F22:O22" si="7">SUM(F23:F32)</f>
        <v>0</v>
      </c>
      <c r="G22" s="64">
        <f t="shared" si="7"/>
        <v>0</v>
      </c>
      <c r="H22" s="64">
        <f t="shared" si="7"/>
        <v>0</v>
      </c>
      <c r="I22" s="64">
        <f t="shared" si="7"/>
        <v>0</v>
      </c>
      <c r="J22" s="64">
        <f t="shared" si="7"/>
        <v>0</v>
      </c>
      <c r="K22" s="64">
        <f t="shared" si="7"/>
        <v>0</v>
      </c>
      <c r="L22" s="64">
        <f t="shared" si="7"/>
        <v>0</v>
      </c>
      <c r="M22" s="64">
        <f t="shared" si="7"/>
        <v>0</v>
      </c>
      <c r="N22" s="64">
        <f t="shared" si="7"/>
        <v>0</v>
      </c>
      <c r="O22" s="64">
        <f t="shared" si="7"/>
        <v>0</v>
      </c>
      <c r="P22" s="64">
        <f>SUM(P23:P32)</f>
        <v>0</v>
      </c>
      <c r="Q22" s="64">
        <f>SUM(Q23:Q32)</f>
        <v>0</v>
      </c>
      <c r="R22" s="72" t="s">
        <v>4184</v>
      </c>
      <c r="U22" s="2130"/>
    </row>
    <row r="23" spans="1:21" ht="26">
      <c r="A23" s="2427" t="str">
        <f t="shared" ref="A23:A32" si="8">"R1="&amp;IFERROR(MID(C23,FIND("{",C23)+1,FIND("}",C23)-FIND("{",C23)-3),"")&amp;";R5="&amp;IFERROR(MID(C23,FIND("{",C23)+8,FIND("}",C23)-FIND("{",C23)-8),"")&amp;";COM="&amp;R23</f>
        <v>R1=201211;R5=2;COM=</v>
      </c>
      <c r="C23" s="77" t="s">
        <v>685</v>
      </c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4">
        <f t="shared" si="3"/>
        <v>0</v>
      </c>
      <c r="Q23" s="65"/>
      <c r="R23" s="73"/>
      <c r="T23" s="1163" t="b">
        <f t="shared" si="4"/>
        <v>1</v>
      </c>
      <c r="U23" s="2130" t="b">
        <f>IF(AND(OR(D23="",D23&gt;0),OR(F23="",F23&gt;0),OR(H23="",H23&gt;0),OR(I23="",I23&lt;0),OR(J23="",J23&lt;0),OR(L23="",L23&lt;0),OR(N23="",N23&lt;0),OR(P23=0,P23&gt;0)),TRUE,FALSE)</f>
        <v>1</v>
      </c>
    </row>
    <row r="24" spans="1:21">
      <c r="A24" s="2427" t="str">
        <f t="shared" si="8"/>
        <v>R1=201212;R5=2;COM=</v>
      </c>
      <c r="C24" s="77" t="s">
        <v>686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4">
        <f t="shared" si="3"/>
        <v>0</v>
      </c>
      <c r="Q24" s="65"/>
      <c r="R24" s="73"/>
      <c r="T24" s="1163" t="b">
        <f t="shared" si="4"/>
        <v>1</v>
      </c>
      <c r="U24" s="2130" t="b">
        <f t="shared" ref="U24:U32" si="9">IF(AND(OR(D24="",D24&gt;0),OR(F24="",F24&gt;0),OR(H24="",H24&gt;0),OR(I24="",I24&lt;0),OR(J24="",J24&lt;0),OR(L24="",L24&lt;0),OR(N24="",N24&lt;0),OR(P24=0,P24&gt;0)),TRUE,FALSE)</f>
        <v>1</v>
      </c>
    </row>
    <row r="25" spans="1:21" ht="26">
      <c r="A25" s="2427" t="str">
        <f t="shared" si="8"/>
        <v>R1=201213;R5=2;COM=</v>
      </c>
      <c r="C25" s="77" t="s">
        <v>687</v>
      </c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4">
        <f t="shared" si="3"/>
        <v>0</v>
      </c>
      <c r="Q25" s="65"/>
      <c r="R25" s="73"/>
      <c r="T25" s="1163" t="b">
        <f t="shared" si="4"/>
        <v>1</v>
      </c>
      <c r="U25" s="2130" t="b">
        <f t="shared" si="9"/>
        <v>1</v>
      </c>
    </row>
    <row r="26" spans="1:21">
      <c r="A26" s="2427" t="str">
        <f t="shared" si="8"/>
        <v>R1=201214;R5=2;COM=</v>
      </c>
      <c r="C26" s="77" t="s">
        <v>688</v>
      </c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4">
        <f t="shared" si="3"/>
        <v>0</v>
      </c>
      <c r="Q26" s="65"/>
      <c r="R26" s="73"/>
      <c r="T26" s="1163" t="b">
        <f t="shared" si="4"/>
        <v>1</v>
      </c>
      <c r="U26" s="2130" t="b">
        <f t="shared" si="9"/>
        <v>1</v>
      </c>
    </row>
    <row r="27" spans="1:21">
      <c r="A27" s="2427" t="str">
        <f t="shared" si="8"/>
        <v>R1=201215;R5=2;COM=</v>
      </c>
      <c r="C27" s="77" t="s">
        <v>689</v>
      </c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4">
        <f t="shared" si="3"/>
        <v>0</v>
      </c>
      <c r="Q27" s="65"/>
      <c r="R27" s="73"/>
      <c r="T27" s="1163" t="b">
        <f t="shared" si="4"/>
        <v>1</v>
      </c>
      <c r="U27" s="2130" t="b">
        <f t="shared" si="9"/>
        <v>1</v>
      </c>
    </row>
    <row r="28" spans="1:21" ht="26">
      <c r="A28" s="2427" t="str">
        <f t="shared" si="8"/>
        <v>R1=201231;R5=2;COM=</v>
      </c>
      <c r="C28" s="77" t="s">
        <v>906</v>
      </c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4">
        <f t="shared" si="3"/>
        <v>0</v>
      </c>
      <c r="Q28" s="65"/>
      <c r="R28" s="73"/>
      <c r="T28" s="1163" t="b">
        <f t="shared" si="4"/>
        <v>1</v>
      </c>
      <c r="U28" s="2130" t="b">
        <f t="shared" si="9"/>
        <v>1</v>
      </c>
    </row>
    <row r="29" spans="1:21">
      <c r="A29" s="2427" t="str">
        <f t="shared" si="8"/>
        <v>R1=201232;R5=2;COM=</v>
      </c>
      <c r="C29" s="77" t="s">
        <v>907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4">
        <f t="shared" si="3"/>
        <v>0</v>
      </c>
      <c r="Q29" s="65"/>
      <c r="R29" s="73"/>
      <c r="T29" s="1163" t="b">
        <f t="shared" si="4"/>
        <v>1</v>
      </c>
      <c r="U29" s="2130" t="b">
        <f t="shared" si="9"/>
        <v>1</v>
      </c>
    </row>
    <row r="30" spans="1:21" s="2830" customFormat="1" ht="38.5">
      <c r="A30" s="2804" t="str">
        <f t="shared" si="8"/>
        <v>R1=201233;R5=2;COM=</v>
      </c>
      <c r="C30" s="77" t="s">
        <v>9892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4">
        <f t="shared" si="3"/>
        <v>0</v>
      </c>
      <c r="Q30" s="65"/>
      <c r="R30" s="73"/>
      <c r="T30" s="2830" t="b">
        <f t="shared" ref="T30" si="10">IF(OR(H30&gt;1000,L30&lt;-1000),IF(LEN(R30)&gt;5,TRUE,FALSE),TRUE)</f>
        <v>1</v>
      </c>
      <c r="U30" s="2130" t="b">
        <f t="shared" ref="U30" si="11">IF(AND(OR(D30="",D30&gt;0),OR(F30="",F30&gt;0),OR(H30="",H30&gt;0),OR(I30="",I30&lt;0),OR(J30="",J30&lt;0),OR(L30="",L30&lt;0),OR(N30="",N30&lt;0),OR(P30=0,P30&gt;0)),TRUE,FALSE)</f>
        <v>1</v>
      </c>
    </row>
    <row r="31" spans="1:21">
      <c r="A31" s="2427" t="str">
        <f t="shared" si="8"/>
        <v>R1=201239;R5=2;COM=</v>
      </c>
      <c r="C31" s="77" t="s">
        <v>690</v>
      </c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4">
        <f t="shared" si="3"/>
        <v>0</v>
      </c>
      <c r="Q31" s="65"/>
      <c r="R31" s="73"/>
      <c r="T31" s="1163" t="b">
        <f t="shared" si="4"/>
        <v>1</v>
      </c>
      <c r="U31" s="2130" t="b">
        <f t="shared" si="9"/>
        <v>1</v>
      </c>
    </row>
    <row r="32" spans="1:21" ht="15" thickBot="1">
      <c r="A32" s="2427" t="str">
        <f t="shared" si="8"/>
        <v>R1=201240;R5=2;COM=</v>
      </c>
      <c r="C32" s="79" t="s">
        <v>691</v>
      </c>
      <c r="D32" s="65"/>
      <c r="E32" s="65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64">
        <f t="shared" si="3"/>
        <v>0</v>
      </c>
      <c r="Q32" s="65"/>
      <c r="R32" s="75"/>
      <c r="T32" s="1163" t="b">
        <f t="shared" si="4"/>
        <v>1</v>
      </c>
      <c r="U32" s="2130" t="b">
        <f t="shared" si="9"/>
        <v>1</v>
      </c>
    </row>
  </sheetData>
  <sheetProtection algorithmName="SHA-512" hashValue="MowGZV2jIScwUO+dDTe4/Q25BA7Py8PgqqcQswaa4T04otI6fLHh5yzUYj319M9HKzIZhrkZ9mFtv+XJLaecdA==" saltValue="bn1+Bk1w38xuG388hNrSfg==" spinCount="100000" sheet="1" objects="1" scenarios="1" formatColumns="0" formatRows="0" autoFilter="0"/>
  <autoFilter ref="C8:U8"/>
  <customSheetViews>
    <customSheetView guid="{3769259D-9653-4B34-A2F6-4FB6F9F4E533}" scale="70" showGridLines="0" showAutoFilter="1" hiddenRows="1" hiddenColumns="1" topLeftCell="B2">
      <pane xSplit="4" ySplit="9" topLeftCell="F11" activePane="bottomRight" state="frozen"/>
      <selection pane="bottomRight" activeCell="C7" sqref="C7"/>
      <pageMargins left="0.7" right="0.7" top="0.75" bottom="0.75" header="0.3" footer="0.3"/>
      <autoFilter ref="B1:M1"/>
    </customSheetView>
    <customSheetView guid="{40D7A2BB-326C-4ED3-999C-17852F56D6F4}" scale="70" showGridLines="0" showAutoFilter="1" hiddenRows="1" hiddenColumns="1" topLeftCell="B2">
      <pane xSplit="4" ySplit="9" topLeftCell="F11" activePane="bottomRight" state="frozen"/>
      <selection pane="bottomRight" activeCell="C7" sqref="C7"/>
      <pageMargins left="0.7" right="0.7" top="0.75" bottom="0.75" header="0.3" footer="0.3"/>
      <autoFilter ref="B1:M1"/>
    </customSheetView>
    <customSheetView guid="{5D121940-0CE8-4A0E-A493-67FAAA6E0FF8}" scale="70" showGridLines="0" showAutoFilter="1" hiddenRows="1" hiddenColumns="1" topLeftCell="B2">
      <pane xSplit="3" ySplit="8" topLeftCell="E10" activePane="bottomRight" state="frozen"/>
      <selection pane="bottomRight" activeCell="R24" sqref="R24"/>
      <pageMargins left="0.7" right="0.7" top="0.75" bottom="0.75" header="0.3" footer="0.3"/>
      <autoFilter ref="B1:M1"/>
    </customSheetView>
    <customSheetView guid="{47AEACC4-6EA5-412C-AF39-A6C5357B313A}" scale="70" showGridLines="0" showAutoFilter="1" hiddenRows="1" hiddenColumns="1" topLeftCell="B2">
      <pane xSplit="3" ySplit="8" topLeftCell="E10" activePane="bottomRight" state="frozen"/>
      <selection pane="bottomRight" activeCell="N22" sqref="A1:O30"/>
      <pageMargins left="0.7" right="0.7" top="0.75" bottom="0.75" header="0.3" footer="0.3"/>
      <autoFilter ref="B1:M1"/>
    </customSheetView>
    <customSheetView guid="{4D957B38-5430-481E-B791-E0A66F913B50}" scale="70">
      <selection activeCell="D45" sqref="D45"/>
      <pageMargins left="0.7" right="0.7" top="0.75" bottom="0.75" header="0.3" footer="0.3"/>
    </customSheetView>
    <customSheetView guid="{D03DFE91-19D2-43BA-897C-B86D033537EB}" scale="70">
      <selection activeCell="J18" sqref="J18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3" ySplit="8" topLeftCell="E10" activePane="bottomRight" state="frozen"/>
      <selection pane="bottomRight" activeCell="C7" sqref="C7"/>
      <pageMargins left="0.7" right="0.7" top="0.75" bottom="0.75" header="0.3" footer="0.3"/>
      <autoFilter ref="B1:M1"/>
    </customSheetView>
  </customSheetViews>
  <phoneticPr fontId="0" type="noConversion"/>
  <dataValidations count="1">
    <dataValidation type="custom" showInputMessage="1" showErrorMessage="1" error="Заполнение данных только по согласованию с отделом ОКО" sqref="L23:L32 L11:L21 H11:H21">
      <formula1>$Z$8</formula1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3" orientation="landscape" horizontalDpi="4294967294" verticalDpi="4294967294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showInputMessage="1" showErrorMessage="1" error="Заполнение данных только по согласованию с отделом ОКО">
          <x14:formula1>
            <xm:f>'01'!$AC$3</xm:f>
          </x14:formula1>
          <xm:sqref>H23:H32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A1:AL31"/>
  <sheetViews>
    <sheetView topLeftCell="H2" zoomScale="50" zoomScaleNormal="50" workbookViewId="0">
      <selection activeCell="P5" sqref="P5"/>
    </sheetView>
  </sheetViews>
  <sheetFormatPr defaultColWidth="16" defaultRowHeight="14.5"/>
  <cols>
    <col min="1" max="1" width="38" style="1163" hidden="1" customWidth="1"/>
    <col min="2" max="2" width="1.453125" style="1163" customWidth="1"/>
    <col min="3" max="3" width="90.453125" style="1163" bestFit="1" customWidth="1"/>
    <col min="4" max="4" width="18.54296875" style="1163" customWidth="1"/>
    <col min="5" max="5" width="18.54296875" style="2830" customWidth="1"/>
    <col min="6" max="7" width="18.54296875" style="1163" customWidth="1"/>
    <col min="8" max="8" width="20.54296875" style="1163" customWidth="1"/>
    <col min="9" max="9" width="25.54296875" style="1163" customWidth="1"/>
    <col min="10" max="11" width="18.54296875" style="1163" customWidth="1"/>
    <col min="12" max="12" width="21.453125" style="1163" customWidth="1"/>
    <col min="13" max="13" width="16" style="1163"/>
    <col min="14" max="14" width="16" style="2830"/>
    <col min="15" max="15" width="16" style="1163"/>
    <col min="16" max="16" width="19.453125" style="1163" customWidth="1"/>
    <col min="17" max="18" width="16" style="1163"/>
    <col min="19" max="24" width="10.453125" style="1163" customWidth="1"/>
    <col min="25" max="25" width="16" style="1163"/>
    <col min="26" max="26" width="19.54296875" style="1163" customWidth="1"/>
    <col min="27" max="27" width="19.54296875" style="2830" customWidth="1"/>
    <col min="28" max="16384" width="16" style="1163"/>
  </cols>
  <sheetData>
    <row r="1" spans="1:38" ht="23.25" hidden="1" customHeight="1">
      <c r="A1" s="2763" t="s">
        <v>3422</v>
      </c>
      <c r="B1" s="22"/>
      <c r="C1" s="6"/>
      <c r="D1" s="6" t="s">
        <v>1241</v>
      </c>
      <c r="E1" s="2438" t="s">
        <v>10148</v>
      </c>
      <c r="F1" s="6" t="s">
        <v>1242</v>
      </c>
      <c r="G1" s="6" t="s">
        <v>1243</v>
      </c>
      <c r="H1" s="6" t="s">
        <v>1244</v>
      </c>
      <c r="I1" s="6" t="s">
        <v>1245</v>
      </c>
      <c r="J1" s="6" t="s">
        <v>1246</v>
      </c>
      <c r="K1" s="6" t="s">
        <v>1240</v>
      </c>
      <c r="L1" s="6" t="s">
        <v>1239</v>
      </c>
      <c r="M1" s="6" t="s">
        <v>302</v>
      </c>
      <c r="N1" s="2438" t="s">
        <v>10149</v>
      </c>
      <c r="O1" s="6"/>
      <c r="P1" s="104"/>
    </row>
    <row r="2" spans="1:38" s="1778" customFormat="1">
      <c r="A2" s="7"/>
      <c r="B2" s="1920"/>
      <c r="D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</row>
    <row r="3" spans="1:38" ht="38.5">
      <c r="A3" s="9"/>
      <c r="C3" s="11" t="s">
        <v>4187</v>
      </c>
      <c r="D3" s="3044" t="s">
        <v>1436</v>
      </c>
      <c r="E3" s="3044"/>
      <c r="F3" s="10"/>
      <c r="G3" s="10"/>
      <c r="H3" s="10"/>
      <c r="I3" s="10"/>
      <c r="J3" s="1897" t="s">
        <v>2067</v>
      </c>
      <c r="K3" s="1244">
        <f>Содержание!$D$2</f>
        <v>0</v>
      </c>
      <c r="L3" s="2819" t="s">
        <v>8372</v>
      </c>
      <c r="M3" s="2732"/>
      <c r="AC3" s="1589"/>
      <c r="AD3" s="1589"/>
      <c r="AE3" s="1589"/>
      <c r="AF3" s="1589"/>
      <c r="AG3" s="1589"/>
    </row>
    <row r="4" spans="1:38" ht="15" thickBot="1">
      <c r="A4" s="9"/>
      <c r="D4" s="10"/>
      <c r="E4" s="10"/>
      <c r="F4" s="10"/>
      <c r="G4" s="10"/>
      <c r="H4" s="12"/>
      <c r="I4" s="12"/>
      <c r="J4" s="1897" t="s">
        <v>2075</v>
      </c>
      <c r="K4" s="1244" t="str">
        <f>Содержание!$D$15</f>
        <v>2022 год</v>
      </c>
      <c r="L4" s="2130" t="b">
        <f>ABS(L8)&lt;=2</f>
        <v>1</v>
      </c>
      <c r="M4" s="2732"/>
      <c r="AC4" s="1589"/>
      <c r="AD4" s="1589"/>
      <c r="AE4" s="1589"/>
      <c r="AF4" s="1589"/>
      <c r="AG4" s="1589"/>
    </row>
    <row r="5" spans="1:38" ht="64.5" customHeight="1">
      <c r="A5" s="9"/>
      <c r="C5" s="81" t="s">
        <v>2065</v>
      </c>
      <c r="D5" s="21" t="s">
        <v>5225</v>
      </c>
      <c r="E5" s="13" t="s">
        <v>10126</v>
      </c>
      <c r="F5" s="21" t="s">
        <v>4171</v>
      </c>
      <c r="G5" s="21" t="s">
        <v>1657</v>
      </c>
      <c r="H5" s="21" t="s">
        <v>1658</v>
      </c>
      <c r="I5" s="21" t="s">
        <v>1659</v>
      </c>
      <c r="J5" s="21" t="s">
        <v>4172</v>
      </c>
      <c r="K5" s="14" t="s">
        <v>5232</v>
      </c>
      <c r="L5" s="21" t="s">
        <v>5231</v>
      </c>
      <c r="M5" s="21" t="s">
        <v>5233</v>
      </c>
      <c r="N5" s="3299" t="s">
        <v>10125</v>
      </c>
      <c r="O5" s="793" t="s">
        <v>4183</v>
      </c>
      <c r="P5" s="2813" t="s">
        <v>9625</v>
      </c>
      <c r="R5" s="3709" t="s">
        <v>5308</v>
      </c>
      <c r="S5" s="3709" t="s">
        <v>1440</v>
      </c>
      <c r="T5" s="3709"/>
      <c r="U5" s="3709"/>
      <c r="V5" s="3709"/>
      <c r="W5" s="3709"/>
      <c r="X5" s="3709"/>
      <c r="Y5" s="2055"/>
      <c r="Z5" s="2056"/>
      <c r="AA5" s="2056"/>
      <c r="AB5" s="2056"/>
      <c r="AC5" s="3523"/>
      <c r="AD5" s="3523"/>
      <c r="AE5" s="3523"/>
      <c r="AF5" s="3523"/>
      <c r="AG5" s="3523"/>
      <c r="AH5" s="2056"/>
      <c r="AI5" s="2056"/>
      <c r="AJ5" s="2057"/>
      <c r="AK5" s="2057"/>
    </row>
    <row r="6" spans="1:38" ht="58">
      <c r="A6" s="9"/>
      <c r="C6" s="99" t="s">
        <v>6292</v>
      </c>
      <c r="D6" s="16" t="s">
        <v>674</v>
      </c>
      <c r="E6" s="3302"/>
      <c r="F6" s="16" t="s">
        <v>4173</v>
      </c>
      <c r="G6" s="16" t="s">
        <v>4174</v>
      </c>
      <c r="H6" s="16" t="s">
        <v>4175</v>
      </c>
      <c r="I6" s="16" t="s">
        <v>4176</v>
      </c>
      <c r="J6" s="16" t="s">
        <v>4177</v>
      </c>
      <c r="K6" s="16" t="s">
        <v>4162</v>
      </c>
      <c r="L6" s="16" t="s">
        <v>5242</v>
      </c>
      <c r="M6" s="16" t="s">
        <v>4163</v>
      </c>
      <c r="N6" s="3301"/>
      <c r="O6" s="25" t="s">
        <v>865</v>
      </c>
      <c r="P6" s="2130" t="b">
        <f>AND(P10:P31)</f>
        <v>1</v>
      </c>
      <c r="R6" s="3709"/>
      <c r="S6" s="62" t="s">
        <v>3430</v>
      </c>
      <c r="T6" s="62" t="s">
        <v>1004</v>
      </c>
      <c r="U6" s="62" t="s">
        <v>4266</v>
      </c>
      <c r="V6" s="62" t="s">
        <v>4283</v>
      </c>
      <c r="W6" s="62" t="s">
        <v>4622</v>
      </c>
      <c r="X6" s="2851">
        <v>96</v>
      </c>
      <c r="Y6" s="62" t="s">
        <v>1441</v>
      </c>
      <c r="Z6" s="2733" t="s">
        <v>8038</v>
      </c>
      <c r="AA6" s="3392" t="s">
        <v>2843</v>
      </c>
      <c r="AB6" s="2768">
        <v>28</v>
      </c>
      <c r="AC6" s="3523"/>
      <c r="AD6" s="3523"/>
      <c r="AE6" s="3523"/>
      <c r="AF6" s="3523"/>
      <c r="AG6" s="3523"/>
      <c r="AH6" s="2056"/>
      <c r="AI6" s="2813" t="s">
        <v>14986</v>
      </c>
      <c r="AJ6" s="2056"/>
      <c r="AK6" s="2057"/>
      <c r="AL6" s="2057"/>
    </row>
    <row r="7" spans="1:38" s="674" customFormat="1">
      <c r="A7" s="668"/>
      <c r="B7" s="1581"/>
      <c r="C7" s="675" t="s">
        <v>4164</v>
      </c>
      <c r="D7" s="675" t="s">
        <v>4165</v>
      </c>
      <c r="E7" s="675" t="s">
        <v>4166</v>
      </c>
      <c r="F7" s="675" t="s">
        <v>5500</v>
      </c>
      <c r="G7" s="675" t="s">
        <v>4169</v>
      </c>
      <c r="H7" s="675" t="s">
        <v>4168</v>
      </c>
      <c r="I7" s="675" t="s">
        <v>4178</v>
      </c>
      <c r="J7" s="675" t="s">
        <v>4179</v>
      </c>
      <c r="K7" s="675" t="s">
        <v>4167</v>
      </c>
      <c r="L7" s="675" t="s">
        <v>5501</v>
      </c>
      <c r="M7" s="675" t="s">
        <v>4701</v>
      </c>
      <c r="N7" s="675" t="s">
        <v>4702</v>
      </c>
      <c r="O7" s="675" t="s">
        <v>4703</v>
      </c>
      <c r="P7" s="1163"/>
      <c r="R7" s="64" t="b">
        <f>ABS($F$8+SUM('08'!R18:R20,'08'!R11:R12)+SUM(S7:AB7))&lt;5</f>
        <v>1</v>
      </c>
      <c r="S7" s="64">
        <f>'08_расш'!J10</f>
        <v>0</v>
      </c>
      <c r="T7" s="64">
        <f>SUMIF(Затраты_Вход_1!$C:$C,$AC$7,Затраты_Вход_1!D:D)+SUMIF(Затраты_Вход_1!$C:$C,$AB$8,Затраты_Вход_1!D:D)+SUMIF(Затраты_Вход_1!$C:$C,$AB$9,Затраты_Вход_1!D:D)+SUMIF(Затраты_Вход_1!$C:$C,$AB$10,Затраты_Вход_1!D:D)</f>
        <v>0</v>
      </c>
      <c r="U7" s="64">
        <f>SUMIF(Затраты_Вход_1!$C:$C,$AC$7,Затраты_Вход_1!E:E)+SUMIF(Затраты_Вход_1!$C:$C,$AB$8,Затраты_Вход_1!E:E)+SUMIF(Затраты_Вход_1!$C:$C,$AB$9,Затраты_Вход_1!E:E)+SUMIF(Затраты_Вход_1!$C:$C,$AB$10,Затраты_Вход_1!E:E)+SUMIF(Затраты_Вход_1!$C:$C,$AC$7,Затраты_Вход_1!F:F)+SUMIF(Затраты_Вход_1!$C:$C,$AB$8,Затраты_Вход_1!F:F)+SUMIF(Затраты_Вход_1!$C:$C,$AB$9,Затраты_Вход_1!F:F)+SUMIF(Затраты_Вход_1!$C:$C,$AB$10,Затраты_Вход_1!F:F)</f>
        <v>0</v>
      </c>
      <c r="V7" s="64">
        <f>SUMIF(Затраты_Вход_1!$C:$C,$AC$7,Затраты_Вход_1!G:G)+SUMIF(Затраты_Вход_1!$C:$C,$AB$8,Затраты_Вход_1!G:G)+SUMIF(Затраты_Вход_1!$C:$C,$AB$9,Затраты_Вход_1!G:G)+SUMIF(Затраты_Вход_1!$C:$C,$AB$10,Затраты_Вход_1!G:G)</f>
        <v>0</v>
      </c>
      <c r="W7" s="64">
        <f>SUMIF('91_02'!C:C,AD7,'91_02'!F:F)+SUMIF('91_02'!C:C,AC8,'91_02'!F:F)+SUMIF('91_02'!C:C,AC9,'91_02'!F:F)+Затраты_Выход!D40+Затраты_Выход!D41+Затраты_Выход!D38+Затраты_Выход!D43</f>
        <v>0</v>
      </c>
      <c r="X7" s="64">
        <f>SUMIF('96_движ'!$D$11:$D$2000,"05",'96_движ'!$L$11:$L$2000)+SUMIFS('96_движ'!$L$11:$L$2000,'96_движ'!$D$11:$D$2000,"08",'96_движ'!$E$11:$E$2000,AB8)+SUMIFS('96_движ'!$L$11:$L$2000,'96_движ'!$D$11:$D$2000,"08",'96_движ'!$E$11:$E$2000,AB9)</f>
        <v>0</v>
      </c>
      <c r="Y7" s="64">
        <f>SUMIF(Затраты_Вход_1!$C:$C,$AC$7,Затраты_Вход_1!K:K)+SUMIF(Затраты_Вход_1!$C:$C,$AB$8,Затраты_Вход_1!K:K)+SUMIF(Затраты_Вход_1!$C:$C,$AB$9,Затраты_Вход_1!K:K)</f>
        <v>0</v>
      </c>
      <c r="Z7" s="64">
        <f>SUMIF(Прочие_расш!$G$34:$G$3304,$AC$7,Прочие_расш!$J$34:$J$3304)+SUMIF(Прочие_расш!$G$34:$G$3304,$AB$8,Прочие_расш!$J$34:$J$3304)+SUMIF(Прочие_расш!$G$34:$G$3304,$AB$9,Прочие_расш!$J$34:$J$3304)+SUMIF(Прочие_расш!$G$34:$G$3304,$AB$10,Прочие_расш!$J$34:$J$3304)</f>
        <v>0</v>
      </c>
      <c r="AA7" s="64">
        <f>SUMIF('84_расш'!H:H,"05",'84_расш'!C:C)+SUMIF('84_расш'!H:H,"05",'84_расш'!D:D)+SUMIF('84_расш'!H:H,"05",'84_расш'!E:E)+SUMIF('84_расш'!H:H,"05",'84_расш'!F:F)+SUMIF('84_расш'!H:H,"05",'84_расш'!G:G)</f>
        <v>0</v>
      </c>
      <c r="AB7" s="64">
        <f>SUMIF(Затраты_Вход_1!$C:$C,$AC$7,Затраты_Вход_1!J:J)+SUMIF(Затраты_Вход_1!$C:$C,$AB$8,Затраты_Вход_1!J:J)+SUMIF(Затраты_Вход_1!$C:$C,$AB$9,Затраты_Вход_1!J:J)+SUMIF(Затраты_Вход_1!$C:$C,$AB$10,Затраты_Вход_1!J:J)</f>
        <v>0</v>
      </c>
      <c r="AC7" s="3523" t="s">
        <v>2158</v>
      </c>
      <c r="AD7" s="3523" t="s">
        <v>2319</v>
      </c>
      <c r="AE7" s="3524"/>
      <c r="AF7" s="3524"/>
      <c r="AG7" s="3524"/>
      <c r="AH7" s="2058"/>
      <c r="AI7" s="2130" t="b">
        <f>AND(AI10:AI18000)</f>
        <v>1</v>
      </c>
      <c r="AJ7" s="2058"/>
      <c r="AK7" s="2058"/>
      <c r="AL7" s="2058"/>
    </row>
    <row r="8" spans="1:38">
      <c r="A8" s="9"/>
      <c r="C8" s="76" t="s">
        <v>4170</v>
      </c>
      <c r="D8" s="64">
        <f t="shared" ref="D8:N8" si="0">D9+D21</f>
        <v>0</v>
      </c>
      <c r="E8" s="64">
        <f t="shared" si="0"/>
        <v>0</v>
      </c>
      <c r="F8" s="64">
        <f t="shared" si="0"/>
        <v>0</v>
      </c>
      <c r="G8" s="64">
        <f t="shared" si="0"/>
        <v>0</v>
      </c>
      <c r="H8" s="64">
        <f t="shared" si="0"/>
        <v>0</v>
      </c>
      <c r="I8" s="64">
        <f t="shared" si="0"/>
        <v>0</v>
      </c>
      <c r="J8" s="64">
        <f t="shared" si="0"/>
        <v>0</v>
      </c>
      <c r="K8" s="64">
        <f t="shared" si="0"/>
        <v>0</v>
      </c>
      <c r="L8" s="64">
        <f t="shared" si="0"/>
        <v>0</v>
      </c>
      <c r="M8" s="64">
        <f t="shared" si="0"/>
        <v>0</v>
      </c>
      <c r="N8" s="64">
        <f t="shared" si="0"/>
        <v>0</v>
      </c>
      <c r="O8" s="72" t="s">
        <v>4184</v>
      </c>
      <c r="R8"/>
      <c r="S8" s="2127" t="s">
        <v>1145</v>
      </c>
      <c r="T8" s="2127"/>
      <c r="U8" s="2127"/>
      <c r="V8" s="2127"/>
      <c r="W8" s="2127"/>
      <c r="X8" s="2127" t="s">
        <v>5857</v>
      </c>
      <c r="Y8" s="2055"/>
      <c r="Z8" s="2056"/>
      <c r="AA8" s="2056"/>
      <c r="AB8" s="3129" t="s">
        <v>2164</v>
      </c>
      <c r="AC8" s="3523" t="s">
        <v>1135</v>
      </c>
      <c r="AD8" s="3523"/>
      <c r="AE8" s="3523"/>
      <c r="AF8" s="3523"/>
      <c r="AG8" s="3523"/>
      <c r="AH8" s="2056"/>
      <c r="AI8" s="2056"/>
      <c r="AJ8" s="2057"/>
      <c r="AK8" s="2057"/>
    </row>
    <row r="9" spans="1:38">
      <c r="A9" s="9"/>
      <c r="C9" s="76" t="s">
        <v>4185</v>
      </c>
      <c r="D9" s="64">
        <f t="shared" ref="D9:N9" si="1">SUM(D10:D20)</f>
        <v>0</v>
      </c>
      <c r="E9" s="64">
        <f t="shared" si="1"/>
        <v>0</v>
      </c>
      <c r="F9" s="64">
        <f t="shared" si="1"/>
        <v>0</v>
      </c>
      <c r="G9" s="64">
        <f t="shared" si="1"/>
        <v>0</v>
      </c>
      <c r="H9" s="64">
        <f t="shared" si="1"/>
        <v>0</v>
      </c>
      <c r="I9" s="64">
        <f t="shared" si="1"/>
        <v>0</v>
      </c>
      <c r="J9" s="64">
        <f t="shared" si="1"/>
        <v>0</v>
      </c>
      <c r="K9" s="64">
        <f t="shared" si="1"/>
        <v>0</v>
      </c>
      <c r="L9" s="605">
        <f t="shared" si="1"/>
        <v>0</v>
      </c>
      <c r="M9" s="605">
        <f t="shared" si="1"/>
        <v>0</v>
      </c>
      <c r="N9" s="605">
        <f t="shared" si="1"/>
        <v>0</v>
      </c>
      <c r="O9" s="72" t="s">
        <v>4184</v>
      </c>
      <c r="R9"/>
      <c r="S9"/>
      <c r="T9"/>
      <c r="U9"/>
      <c r="V9"/>
      <c r="W9"/>
      <c r="X9"/>
      <c r="Y9" s="2055"/>
      <c r="Z9" s="2056"/>
      <c r="AA9" s="2056"/>
      <c r="AB9" s="3129" t="s">
        <v>3243</v>
      </c>
      <c r="AC9" s="3523" t="s">
        <v>2321</v>
      </c>
      <c r="AD9" s="3523"/>
      <c r="AE9" s="3523"/>
      <c r="AF9" s="3523"/>
      <c r="AG9" s="3523"/>
      <c r="AH9" s="2056"/>
      <c r="AI9" s="2056"/>
      <c r="AJ9" s="2057"/>
      <c r="AK9" s="2057"/>
    </row>
    <row r="10" spans="1:38">
      <c r="A10" s="2427" t="str">
        <f>"R1="&amp;IFERROR(MID(C10,FIND("{",C10)+1,FIND("}",C10)-FIND("{",C10)-3),"")&amp;";R5="&amp;IFERROR(MID(C10,FIND("{",C10)+8,FIND("}",C10)-FIND("{",C10)-8),"")&amp;";COM="&amp;O10</f>
        <v>R1=201211;R5=1;COM=</v>
      </c>
      <c r="B10" s="1583" t="s">
        <v>5536</v>
      </c>
      <c r="C10" s="77" t="s">
        <v>675</v>
      </c>
      <c r="D10" s="65"/>
      <c r="E10" s="65"/>
      <c r="F10" s="65"/>
      <c r="G10" s="65"/>
      <c r="H10" s="65"/>
      <c r="I10" s="65"/>
      <c r="J10" s="65"/>
      <c r="K10" s="65"/>
      <c r="L10" s="606"/>
      <c r="M10" s="1177">
        <f>SUM(D10)+SUM(F10:L10)</f>
        <v>0</v>
      </c>
      <c r="N10" s="65"/>
      <c r="O10" s="73"/>
      <c r="P10" s="2130" t="b">
        <f>IF(AND(OR(D10="",D10&lt;0,D10=0),OR(F10="",F10&lt;0,F10=0),OR(G10="",G10&gt;0,G10=0),OR(H10="",H10&gt;0,H10=0),OR(I10="",I10&gt;0,I10=0),OR(J10="",J10&gt;0,J10=0),OR(M10=0,M10&lt;0)),TRUE,FALSE)</f>
        <v>1</v>
      </c>
      <c r="R10"/>
      <c r="S10"/>
      <c r="T10"/>
      <c r="U10"/>
      <c r="V10"/>
      <c r="W10"/>
      <c r="X10"/>
      <c r="Y10" s="2055"/>
      <c r="Z10" s="2056"/>
      <c r="AA10" s="2056"/>
      <c r="AB10" s="3129" t="s">
        <v>7131</v>
      </c>
      <c r="AC10" s="3523" t="s">
        <v>7131</v>
      </c>
      <c r="AD10" s="3523"/>
      <c r="AE10" s="3523"/>
      <c r="AF10" s="3523"/>
      <c r="AG10" s="3523"/>
      <c r="AH10" s="2056"/>
      <c r="AI10" s="2127" t="b">
        <f>OR(IF(AND(E10&lt;0,N10&lt;0),K10=0,),IF(AND(E10=0,N10=0),K10&gt;0,),IF(AND(E10=0,N10=0),K10&lt;0,),IF(AND(E10=0,N10=0),K10=0,))</f>
        <v>1</v>
      </c>
      <c r="AJ10" s="2130"/>
      <c r="AK10" s="2057"/>
    </row>
    <row r="11" spans="1:38">
      <c r="A11" s="2427" t="str">
        <f t="shared" ref="A11:A20" si="2">"R1="&amp;IFERROR(MID(C11,FIND("{",C11)+1,FIND("}",C11)-FIND("{",C11)-3),"")&amp;";R5="&amp;IFERROR(MID(C11,FIND("{",C11)+8,FIND("}",C11)-FIND("{",C11)-8),"")&amp;";COM="&amp;O11</f>
        <v>R1=201212;R5=1;COM=</v>
      </c>
      <c r="B11" s="1583" t="s">
        <v>5536</v>
      </c>
      <c r="C11" s="77" t="s">
        <v>676</v>
      </c>
      <c r="D11" s="65"/>
      <c r="E11" s="65"/>
      <c r="F11" s="65"/>
      <c r="G11" s="65"/>
      <c r="H11" s="65"/>
      <c r="I11" s="65"/>
      <c r="J11" s="65"/>
      <c r="K11" s="65"/>
      <c r="L11" s="606"/>
      <c r="M11" s="1177">
        <f t="shared" ref="M11:M31" si="3">SUM(D11)+SUM(F11:L11)</f>
        <v>0</v>
      </c>
      <c r="N11" s="65"/>
      <c r="O11" s="73"/>
      <c r="P11" s="2130" t="b">
        <f t="shared" ref="P11:P31" si="4">IF(AND(OR(D11="",D11&lt;0,D11=0),OR(F11="",F11&lt;0,F11=0),OR(G11="",G11&gt;0,G11=0),OR(H11="",H11&gt;0,H11=0),OR(I11="",I11&gt;0,I11=0),OR(J11="",J11&gt;0,J11=0),OR(M11=0,M11&lt;0)),TRUE,FALSE)</f>
        <v>1</v>
      </c>
      <c r="R11"/>
      <c r="S11"/>
      <c r="T11"/>
      <c r="U11"/>
      <c r="V11"/>
      <c r="W11"/>
      <c r="X11"/>
      <c r="Y11" s="2055"/>
      <c r="Z11" s="2056"/>
      <c r="AA11" s="2056"/>
      <c r="AB11" s="2056"/>
      <c r="AC11" s="3523"/>
      <c r="AD11" s="3523"/>
      <c r="AE11" s="3523"/>
      <c r="AF11" s="3523"/>
      <c r="AG11" s="3523"/>
      <c r="AH11" s="2056"/>
      <c r="AI11" s="2127" t="b">
        <f t="shared" ref="AI11:AI31" si="5">OR(IF(AND(E11&lt;0,N11&lt;0),K11=0,),IF(AND(E11=0,N11=0),K11&gt;0,),IF(AND(E11=0,N11=0),K11&lt;0,),IF(AND(E11=0,N11=0),K11=0,))</f>
        <v>1</v>
      </c>
      <c r="AJ11" s="2057"/>
      <c r="AK11" s="2057"/>
    </row>
    <row r="12" spans="1:38">
      <c r="A12" s="2427" t="str">
        <f t="shared" si="2"/>
        <v>R1=201213;R5=1;COM=</v>
      </c>
      <c r="B12" s="1583" t="s">
        <v>5536</v>
      </c>
      <c r="C12" s="77" t="s">
        <v>677</v>
      </c>
      <c r="D12" s="65"/>
      <c r="E12" s="65"/>
      <c r="F12" s="65"/>
      <c r="G12" s="65"/>
      <c r="H12" s="65"/>
      <c r="I12" s="65"/>
      <c r="J12" s="65"/>
      <c r="K12" s="65"/>
      <c r="L12" s="606"/>
      <c r="M12" s="1177">
        <f t="shared" si="3"/>
        <v>0</v>
      </c>
      <c r="N12" s="65"/>
      <c r="O12" s="73"/>
      <c r="P12" s="2130" t="b">
        <f t="shared" si="4"/>
        <v>1</v>
      </c>
      <c r="R12"/>
      <c r="S12"/>
      <c r="T12"/>
      <c r="U12"/>
      <c r="V12"/>
      <c r="W12"/>
      <c r="X12"/>
      <c r="Y12" s="2055"/>
      <c r="Z12" s="2056"/>
      <c r="AA12" s="2056"/>
      <c r="AB12" s="2056"/>
      <c r="AC12" s="3523"/>
      <c r="AD12" s="3523"/>
      <c r="AE12" s="3523"/>
      <c r="AF12" s="3523"/>
      <c r="AG12" s="3523"/>
      <c r="AH12" s="2056"/>
      <c r="AI12" s="2127" t="b">
        <f t="shared" si="5"/>
        <v>1</v>
      </c>
      <c r="AJ12" s="2057"/>
      <c r="AK12" s="2057"/>
    </row>
    <row r="13" spans="1:38">
      <c r="A13" s="2427" t="str">
        <f t="shared" si="2"/>
        <v>R1=201214;R5=1;COM=</v>
      </c>
      <c r="B13" s="1583" t="s">
        <v>5536</v>
      </c>
      <c r="C13" s="77" t="s">
        <v>678</v>
      </c>
      <c r="D13" s="65"/>
      <c r="E13" s="65"/>
      <c r="F13" s="65"/>
      <c r="G13" s="65"/>
      <c r="H13" s="65"/>
      <c r="I13" s="65"/>
      <c r="J13" s="65"/>
      <c r="K13" s="65"/>
      <c r="L13" s="606"/>
      <c r="M13" s="1177">
        <f t="shared" si="3"/>
        <v>0</v>
      </c>
      <c r="N13" s="65"/>
      <c r="O13" s="73"/>
      <c r="P13" s="2130" t="b">
        <f t="shared" si="4"/>
        <v>1</v>
      </c>
      <c r="R13"/>
      <c r="S13"/>
      <c r="T13"/>
      <c r="U13"/>
      <c r="V13"/>
      <c r="W13"/>
      <c r="X13"/>
      <c r="Y13"/>
      <c r="Z13" s="2056"/>
      <c r="AA13" s="2056"/>
      <c r="AB13" s="2056"/>
      <c r="AC13" s="3523"/>
      <c r="AD13" s="3523"/>
      <c r="AE13" s="3523"/>
      <c r="AF13" s="3523"/>
      <c r="AG13" s="3523"/>
      <c r="AH13" s="2056"/>
      <c r="AI13" s="2127" t="b">
        <f t="shared" si="5"/>
        <v>1</v>
      </c>
      <c r="AJ13" s="2057"/>
      <c r="AK13" s="2057"/>
    </row>
    <row r="14" spans="1:38">
      <c r="A14" s="2427" t="str">
        <f t="shared" si="2"/>
        <v>R1=201215;R5=1;COM=</v>
      </c>
      <c r="B14" s="1583" t="s">
        <v>5536</v>
      </c>
      <c r="C14" s="77" t="s">
        <v>679</v>
      </c>
      <c r="D14" s="65"/>
      <c r="E14" s="65"/>
      <c r="F14" s="65"/>
      <c r="G14" s="65"/>
      <c r="H14" s="65"/>
      <c r="I14" s="65"/>
      <c r="J14" s="65"/>
      <c r="K14" s="65"/>
      <c r="L14" s="606"/>
      <c r="M14" s="1177">
        <f t="shared" si="3"/>
        <v>0</v>
      </c>
      <c r="N14" s="65"/>
      <c r="O14" s="73"/>
      <c r="P14" s="2130" t="b">
        <f t="shared" si="4"/>
        <v>1</v>
      </c>
      <c r="Z14" s="2057"/>
      <c r="AA14" s="2057"/>
      <c r="AB14" s="2057"/>
      <c r="AC14" s="1589"/>
      <c r="AD14" s="1589"/>
      <c r="AE14" s="1589"/>
      <c r="AF14" s="1589"/>
      <c r="AG14" s="1589"/>
      <c r="AH14" s="2057"/>
      <c r="AI14" s="2127" t="b">
        <f t="shared" si="5"/>
        <v>1</v>
      </c>
      <c r="AJ14" s="2057"/>
      <c r="AK14" s="2057"/>
    </row>
    <row r="15" spans="1:38">
      <c r="A15" s="2427" t="str">
        <f t="shared" si="2"/>
        <v>R1=201220;R5=1;COM=</v>
      </c>
      <c r="B15" s="1583" t="s">
        <v>5536</v>
      </c>
      <c r="C15" s="77" t="s">
        <v>680</v>
      </c>
      <c r="D15" s="65"/>
      <c r="E15" s="65"/>
      <c r="F15" s="65"/>
      <c r="G15" s="65"/>
      <c r="H15" s="65"/>
      <c r="I15" s="65"/>
      <c r="J15" s="65"/>
      <c r="K15" s="65"/>
      <c r="L15" s="606"/>
      <c r="M15" s="1177">
        <f t="shared" si="3"/>
        <v>0</v>
      </c>
      <c r="N15" s="65"/>
      <c r="O15" s="73"/>
      <c r="P15" s="2130" t="b">
        <f t="shared" si="4"/>
        <v>1</v>
      </c>
      <c r="AC15" s="1589"/>
      <c r="AD15" s="1589"/>
      <c r="AE15" s="1589"/>
      <c r="AF15" s="1589"/>
      <c r="AG15" s="1589"/>
      <c r="AI15" s="2127" t="b">
        <f t="shared" si="5"/>
        <v>1</v>
      </c>
    </row>
    <row r="16" spans="1:38">
      <c r="A16" s="2427" t="str">
        <f t="shared" si="2"/>
        <v>R1=201231;R5=1;COM=</v>
      </c>
      <c r="B16" s="1583" t="s">
        <v>5536</v>
      </c>
      <c r="C16" s="77" t="s">
        <v>681</v>
      </c>
      <c r="D16" s="65"/>
      <c r="E16" s="65"/>
      <c r="F16" s="65"/>
      <c r="G16" s="65"/>
      <c r="H16" s="65"/>
      <c r="I16" s="65"/>
      <c r="J16" s="65"/>
      <c r="K16" s="65"/>
      <c r="L16" s="606"/>
      <c r="M16" s="1177">
        <f t="shared" si="3"/>
        <v>0</v>
      </c>
      <c r="N16" s="65"/>
      <c r="O16" s="73"/>
      <c r="P16" s="2130" t="b">
        <f t="shared" si="4"/>
        <v>1</v>
      </c>
      <c r="AC16" s="1589"/>
      <c r="AD16" s="1589"/>
      <c r="AE16" s="1589"/>
      <c r="AF16" s="1589"/>
      <c r="AG16" s="1589"/>
      <c r="AI16" s="2127" t="b">
        <f t="shared" si="5"/>
        <v>1</v>
      </c>
    </row>
    <row r="17" spans="1:35">
      <c r="A17" s="2427" t="str">
        <f t="shared" si="2"/>
        <v>R1=201232;R5=1;COM=</v>
      </c>
      <c r="B17" s="1583" t="s">
        <v>5536</v>
      </c>
      <c r="C17" s="77" t="s">
        <v>682</v>
      </c>
      <c r="D17" s="65"/>
      <c r="E17" s="65"/>
      <c r="F17" s="65"/>
      <c r="G17" s="65"/>
      <c r="H17" s="65"/>
      <c r="I17" s="65"/>
      <c r="J17" s="65"/>
      <c r="K17" s="65"/>
      <c r="L17" s="606"/>
      <c r="M17" s="1177">
        <f t="shared" si="3"/>
        <v>0</v>
      </c>
      <c r="N17" s="65"/>
      <c r="O17" s="73"/>
      <c r="P17" s="2130" t="b">
        <f t="shared" si="4"/>
        <v>1</v>
      </c>
      <c r="AI17" s="2127" t="b">
        <f t="shared" si="5"/>
        <v>1</v>
      </c>
    </row>
    <row r="18" spans="1:35" s="2830" customFormat="1" ht="26">
      <c r="A18" s="2804" t="str">
        <f t="shared" si="2"/>
        <v>R1=201233;R5=1;COM=</v>
      </c>
      <c r="B18" s="1583"/>
      <c r="C18" s="77" t="s">
        <v>9891</v>
      </c>
      <c r="D18" s="65"/>
      <c r="E18" s="65"/>
      <c r="F18" s="65"/>
      <c r="G18" s="65"/>
      <c r="H18" s="65"/>
      <c r="I18" s="65"/>
      <c r="J18" s="65"/>
      <c r="K18" s="65"/>
      <c r="L18" s="606"/>
      <c r="M18" s="1177">
        <f t="shared" si="3"/>
        <v>0</v>
      </c>
      <c r="N18" s="65"/>
      <c r="O18" s="73"/>
      <c r="P18" s="2130" t="b">
        <f t="shared" si="4"/>
        <v>1</v>
      </c>
      <c r="AI18" s="2127" t="b">
        <f t="shared" si="5"/>
        <v>1</v>
      </c>
    </row>
    <row r="19" spans="1:35">
      <c r="A19" s="2427" t="str">
        <f t="shared" si="2"/>
        <v>R1=201239;R5=1;COM=</v>
      </c>
      <c r="B19" s="1583" t="s">
        <v>5536</v>
      </c>
      <c r="C19" s="77" t="s">
        <v>683</v>
      </c>
      <c r="D19" s="65"/>
      <c r="E19" s="65"/>
      <c r="F19" s="65"/>
      <c r="G19" s="65"/>
      <c r="H19" s="65"/>
      <c r="I19" s="65"/>
      <c r="J19" s="65"/>
      <c r="K19" s="65"/>
      <c r="L19" s="606"/>
      <c r="M19" s="1177">
        <f t="shared" si="3"/>
        <v>0</v>
      </c>
      <c r="N19" s="65"/>
      <c r="O19" s="73"/>
      <c r="P19" s="2130" t="b">
        <f t="shared" si="4"/>
        <v>1</v>
      </c>
      <c r="AI19" s="2127" t="b">
        <f t="shared" si="5"/>
        <v>1</v>
      </c>
    </row>
    <row r="20" spans="1:35">
      <c r="A20" s="2427" t="str">
        <f t="shared" si="2"/>
        <v>R1=201240;R5=1;COM=</v>
      </c>
      <c r="B20" s="1583" t="s">
        <v>5536</v>
      </c>
      <c r="C20" s="77" t="s">
        <v>684</v>
      </c>
      <c r="D20" s="65"/>
      <c r="E20" s="65"/>
      <c r="F20" s="65"/>
      <c r="G20" s="65"/>
      <c r="H20" s="65"/>
      <c r="I20" s="65"/>
      <c r="J20" s="65"/>
      <c r="K20" s="65"/>
      <c r="L20" s="606"/>
      <c r="M20" s="1177">
        <f t="shared" si="3"/>
        <v>0</v>
      </c>
      <c r="N20" s="65"/>
      <c r="O20" s="73"/>
      <c r="P20" s="2130" t="b">
        <f t="shared" si="4"/>
        <v>1</v>
      </c>
      <c r="AI20" s="2127" t="b">
        <f t="shared" si="5"/>
        <v>1</v>
      </c>
    </row>
    <row r="21" spans="1:35">
      <c r="A21" s="9"/>
      <c r="B21" s="1583" t="s">
        <v>5536</v>
      </c>
      <c r="C21" s="78" t="s">
        <v>4186</v>
      </c>
      <c r="D21" s="64">
        <f t="shared" ref="D21:N21" si="6">SUM(D22:D31)</f>
        <v>0</v>
      </c>
      <c r="E21" s="64">
        <f t="shared" si="6"/>
        <v>0</v>
      </c>
      <c r="F21" s="64">
        <f t="shared" si="6"/>
        <v>0</v>
      </c>
      <c r="G21" s="64">
        <f t="shared" si="6"/>
        <v>0</v>
      </c>
      <c r="H21" s="64">
        <f t="shared" si="6"/>
        <v>0</v>
      </c>
      <c r="I21" s="64">
        <f t="shared" si="6"/>
        <v>0</v>
      </c>
      <c r="J21" s="64">
        <f t="shared" si="6"/>
        <v>0</v>
      </c>
      <c r="K21" s="64">
        <f t="shared" si="6"/>
        <v>0</v>
      </c>
      <c r="L21" s="605">
        <f t="shared" si="6"/>
        <v>0</v>
      </c>
      <c r="M21" s="605">
        <f t="shared" si="6"/>
        <v>0</v>
      </c>
      <c r="N21" s="605">
        <f t="shared" si="6"/>
        <v>0</v>
      </c>
      <c r="O21" s="72" t="s">
        <v>4184</v>
      </c>
      <c r="P21" s="2130"/>
      <c r="AI21" s="2127"/>
    </row>
    <row r="22" spans="1:35">
      <c r="A22" s="2427" t="str">
        <f t="shared" ref="A22:A31" si="7">"R1="&amp;IFERROR(MID(C22,FIND("{",C22)+1,FIND("}",C22)-FIND("{",C22)-3),"")&amp;";R5="&amp;IFERROR(MID(C22,FIND("{",C22)+8,FIND("}",C22)-FIND("{",C22)-8),"")&amp;";COM="&amp;O22</f>
        <v>R1=201211;R5=2;COM=</v>
      </c>
      <c r="B22" s="1583" t="s">
        <v>5536</v>
      </c>
      <c r="C22" s="77" t="s">
        <v>685</v>
      </c>
      <c r="D22" s="65"/>
      <c r="E22" s="65"/>
      <c r="F22" s="65"/>
      <c r="G22" s="65"/>
      <c r="H22" s="65"/>
      <c r="I22" s="65"/>
      <c r="J22" s="65"/>
      <c r="K22" s="65"/>
      <c r="L22" s="606"/>
      <c r="M22" s="1177">
        <f t="shared" si="3"/>
        <v>0</v>
      </c>
      <c r="N22" s="65"/>
      <c r="O22" s="73"/>
      <c r="P22" s="2130" t="b">
        <f t="shared" si="4"/>
        <v>1</v>
      </c>
      <c r="AI22" s="2127" t="b">
        <f t="shared" si="5"/>
        <v>1</v>
      </c>
    </row>
    <row r="23" spans="1:35">
      <c r="A23" s="2427" t="str">
        <f t="shared" si="7"/>
        <v>R1=201212;R5=2;COM=</v>
      </c>
      <c r="B23" s="1583" t="s">
        <v>5536</v>
      </c>
      <c r="C23" s="77" t="s">
        <v>686</v>
      </c>
      <c r="D23" s="65"/>
      <c r="E23" s="65"/>
      <c r="F23" s="65"/>
      <c r="G23" s="65"/>
      <c r="H23" s="65"/>
      <c r="I23" s="65"/>
      <c r="J23" s="65"/>
      <c r="K23" s="65"/>
      <c r="L23" s="606"/>
      <c r="M23" s="1177">
        <f t="shared" si="3"/>
        <v>0</v>
      </c>
      <c r="N23" s="65"/>
      <c r="O23" s="73"/>
      <c r="P23" s="2130" t="b">
        <f t="shared" si="4"/>
        <v>1</v>
      </c>
      <c r="AI23" s="2127" t="b">
        <f t="shared" si="5"/>
        <v>1</v>
      </c>
    </row>
    <row r="24" spans="1:35">
      <c r="A24" s="2427" t="str">
        <f t="shared" si="7"/>
        <v>R1=201213;R5=2;COM=</v>
      </c>
      <c r="B24" s="1583" t="s">
        <v>5536</v>
      </c>
      <c r="C24" s="77" t="s">
        <v>687</v>
      </c>
      <c r="D24" s="65"/>
      <c r="E24" s="65"/>
      <c r="F24" s="65"/>
      <c r="G24" s="65"/>
      <c r="H24" s="65"/>
      <c r="I24" s="65"/>
      <c r="J24" s="65"/>
      <c r="K24" s="65"/>
      <c r="L24" s="606"/>
      <c r="M24" s="1177">
        <f t="shared" si="3"/>
        <v>0</v>
      </c>
      <c r="N24" s="65"/>
      <c r="O24" s="73"/>
      <c r="P24" s="2130" t="b">
        <f t="shared" si="4"/>
        <v>1</v>
      </c>
      <c r="AI24" s="2127" t="b">
        <f t="shared" si="5"/>
        <v>1</v>
      </c>
    </row>
    <row r="25" spans="1:35">
      <c r="A25" s="2427" t="str">
        <f t="shared" si="7"/>
        <v>R1=201214;R5=2;COM=</v>
      </c>
      <c r="B25" s="1583" t="s">
        <v>5536</v>
      </c>
      <c r="C25" s="77" t="s">
        <v>688</v>
      </c>
      <c r="D25" s="65"/>
      <c r="E25" s="65"/>
      <c r="F25" s="65"/>
      <c r="G25" s="65"/>
      <c r="H25" s="65"/>
      <c r="I25" s="65"/>
      <c r="J25" s="65"/>
      <c r="K25" s="65"/>
      <c r="L25" s="606"/>
      <c r="M25" s="1177">
        <f t="shared" si="3"/>
        <v>0</v>
      </c>
      <c r="N25" s="65"/>
      <c r="O25" s="73"/>
      <c r="P25" s="2130" t="b">
        <f t="shared" si="4"/>
        <v>1</v>
      </c>
      <c r="AI25" s="2127" t="b">
        <f t="shared" si="5"/>
        <v>1</v>
      </c>
    </row>
    <row r="26" spans="1:35">
      <c r="A26" s="2427" t="str">
        <f t="shared" si="7"/>
        <v>R1=201215;R5=2;COM=</v>
      </c>
      <c r="B26" s="1583" t="s">
        <v>5536</v>
      </c>
      <c r="C26" s="77" t="s">
        <v>689</v>
      </c>
      <c r="D26" s="65"/>
      <c r="E26" s="65"/>
      <c r="F26" s="65"/>
      <c r="G26" s="65"/>
      <c r="H26" s="65"/>
      <c r="I26" s="65"/>
      <c r="J26" s="65"/>
      <c r="K26" s="65"/>
      <c r="L26" s="606"/>
      <c r="M26" s="1177">
        <f t="shared" si="3"/>
        <v>0</v>
      </c>
      <c r="N26" s="65"/>
      <c r="O26" s="73"/>
      <c r="P26" s="2130" t="b">
        <f t="shared" si="4"/>
        <v>1</v>
      </c>
      <c r="AI26" s="2127" t="b">
        <f t="shared" si="5"/>
        <v>1</v>
      </c>
    </row>
    <row r="27" spans="1:35">
      <c r="A27" s="2427" t="str">
        <f t="shared" si="7"/>
        <v>R1=201231;R5=2;COM=</v>
      </c>
      <c r="B27" s="1583" t="s">
        <v>5536</v>
      </c>
      <c r="C27" s="77" t="s">
        <v>906</v>
      </c>
      <c r="D27" s="65"/>
      <c r="E27" s="65"/>
      <c r="F27" s="65"/>
      <c r="G27" s="65"/>
      <c r="H27" s="65"/>
      <c r="I27" s="65"/>
      <c r="J27" s="65"/>
      <c r="K27" s="65"/>
      <c r="L27" s="606"/>
      <c r="M27" s="1177">
        <f t="shared" si="3"/>
        <v>0</v>
      </c>
      <c r="N27" s="65"/>
      <c r="O27" s="73"/>
      <c r="P27" s="2130" t="b">
        <f t="shared" si="4"/>
        <v>1</v>
      </c>
      <c r="AI27" s="2127" t="b">
        <f t="shared" si="5"/>
        <v>1</v>
      </c>
    </row>
    <row r="28" spans="1:35">
      <c r="A28" s="2427" t="str">
        <f t="shared" si="7"/>
        <v>R1=201232;R5=2;COM=</v>
      </c>
      <c r="B28" s="1583" t="s">
        <v>5536</v>
      </c>
      <c r="C28" s="77" t="s">
        <v>907</v>
      </c>
      <c r="D28" s="65"/>
      <c r="E28" s="65"/>
      <c r="F28" s="65"/>
      <c r="G28" s="65"/>
      <c r="H28" s="65"/>
      <c r="I28" s="65"/>
      <c r="J28" s="65"/>
      <c r="K28" s="65"/>
      <c r="L28" s="606"/>
      <c r="M28" s="1177">
        <f t="shared" si="3"/>
        <v>0</v>
      </c>
      <c r="N28" s="65"/>
      <c r="O28" s="73"/>
      <c r="P28" s="2130" t="b">
        <f t="shared" si="4"/>
        <v>1</v>
      </c>
      <c r="AI28" s="2127" t="b">
        <f t="shared" si="5"/>
        <v>1</v>
      </c>
    </row>
    <row r="29" spans="1:35" s="2830" customFormat="1" ht="26">
      <c r="A29" s="2804" t="str">
        <f t="shared" si="7"/>
        <v>R1=201233;R5=2;COM=</v>
      </c>
      <c r="B29" s="1583"/>
      <c r="C29" s="77" t="s">
        <v>9892</v>
      </c>
      <c r="D29" s="65"/>
      <c r="E29" s="65"/>
      <c r="F29" s="65"/>
      <c r="G29" s="65"/>
      <c r="H29" s="65"/>
      <c r="I29" s="65"/>
      <c r="J29" s="65"/>
      <c r="K29" s="65"/>
      <c r="L29" s="606"/>
      <c r="M29" s="1177">
        <f t="shared" si="3"/>
        <v>0</v>
      </c>
      <c r="N29" s="65"/>
      <c r="O29" s="73"/>
      <c r="P29" s="2130" t="b">
        <f t="shared" si="4"/>
        <v>1</v>
      </c>
      <c r="AI29" s="2127" t="b">
        <f t="shared" si="5"/>
        <v>1</v>
      </c>
    </row>
    <row r="30" spans="1:35">
      <c r="A30" s="2427" t="str">
        <f t="shared" si="7"/>
        <v>R1=201239;R5=2;COM=</v>
      </c>
      <c r="B30" s="1583" t="s">
        <v>5536</v>
      </c>
      <c r="C30" s="77" t="s">
        <v>690</v>
      </c>
      <c r="D30" s="65"/>
      <c r="E30" s="65"/>
      <c r="F30" s="65"/>
      <c r="G30" s="65"/>
      <c r="H30" s="65"/>
      <c r="I30" s="65"/>
      <c r="J30" s="65"/>
      <c r="K30" s="65"/>
      <c r="L30" s="606"/>
      <c r="M30" s="1177">
        <f t="shared" si="3"/>
        <v>0</v>
      </c>
      <c r="N30" s="65"/>
      <c r="O30" s="73"/>
      <c r="P30" s="2130" t="b">
        <f t="shared" si="4"/>
        <v>1</v>
      </c>
      <c r="AI30" s="2127" t="b">
        <f t="shared" si="5"/>
        <v>1</v>
      </c>
    </row>
    <row r="31" spans="1:35" ht="15" thickBot="1">
      <c r="A31" s="2427" t="str">
        <f t="shared" si="7"/>
        <v>R1=201240;R5=2;COM=</v>
      </c>
      <c r="B31" s="1583" t="s">
        <v>5536</v>
      </c>
      <c r="C31" s="79" t="s">
        <v>691</v>
      </c>
      <c r="D31" s="65"/>
      <c r="E31" s="65"/>
      <c r="F31" s="74"/>
      <c r="G31" s="74"/>
      <c r="H31" s="74"/>
      <c r="I31" s="74"/>
      <c r="J31" s="74"/>
      <c r="K31" s="74"/>
      <c r="L31" s="607"/>
      <c r="M31" s="1177">
        <f t="shared" si="3"/>
        <v>0</v>
      </c>
      <c r="N31" s="65"/>
      <c r="O31" s="75"/>
      <c r="P31" s="2130" t="b">
        <f t="shared" si="4"/>
        <v>1</v>
      </c>
      <c r="AI31" s="2127" t="b">
        <f t="shared" si="5"/>
        <v>1</v>
      </c>
    </row>
  </sheetData>
  <sheetProtection algorithmName="SHA-512" hashValue="l4l/1TK8jD93PWau3PoRMSk93fpLzG2wbh4na8HE2dnDlNgc+kyI8CnfmE3vNlRz4JbnKKLfLR8reAj2PUlDkQ==" saltValue="iQslFW+Yq7xIpsVonJ3TYw==" spinCount="100000" sheet="1" objects="1" scenarios="1" formatColumns="0" formatRows="0" autoFilter="0"/>
  <autoFilter ref="C7:P7"/>
  <customSheetViews>
    <customSheetView guid="{3769259D-9653-4B34-A2F6-4FB6F9F4E533}" scale="70" showGridLines="0" showAutoFilter="1" hiddenRows="1" hiddenColumns="1">
      <pane xSplit="4" ySplit="8" topLeftCell="E9" activePane="bottomRight" state="frozen"/>
      <selection pane="bottomRight" activeCell="C6" sqref="C6"/>
      <pageMargins left="0.7" right="0.7" top="0.75" bottom="0.75" header="0.3" footer="0.3"/>
      <pageSetup paperSize="9" orientation="portrait" r:id="rId1"/>
      <autoFilter ref="B1:L1"/>
    </customSheetView>
    <customSheetView guid="{40D7A2BB-326C-4ED3-999C-17852F56D6F4}" scale="70" showGridLines="0" showAutoFilter="1" hiddenRows="1" hiddenColumns="1">
      <pane xSplit="4" ySplit="8" topLeftCell="E9" activePane="bottomRight" state="frozen"/>
      <selection pane="bottomRight" activeCell="C6" sqref="C6"/>
      <pageMargins left="0.7" right="0.7" top="0.75" bottom="0.75" header="0.3" footer="0.3"/>
      <pageSetup paperSize="9" orientation="portrait" r:id="rId2"/>
      <autoFilter ref="B1:L1"/>
    </customSheetView>
    <customSheetView guid="{5D121940-0CE8-4A0E-A493-67FAAA6E0FF8}" scale="70" showGridLines="0" showAutoFilter="1" hiddenRows="1" hiddenColumns="1" topLeftCell="B2">
      <pane xSplit="3" ySplit="7" topLeftCell="K9" activePane="bottomRight" state="frozen"/>
      <selection pane="bottomRight" activeCell="C6" sqref="C6"/>
      <pageMargins left="0.7" right="0.7" top="0.75" bottom="0.75" header="0.3" footer="0.3"/>
      <pageSetup paperSize="9" orientation="portrait" r:id="rId3"/>
      <autoFilter ref="B1:L1"/>
    </customSheetView>
    <customSheetView guid="{47AEACC4-6EA5-412C-AF39-A6C5357B313A}" scale="70" showGridLines="0" showAutoFilter="1" hiddenRows="1" hiddenColumns="1" topLeftCell="B2">
      <pane xSplit="3" ySplit="7" topLeftCell="K9" activePane="bottomRight" state="frozen"/>
      <selection pane="bottomRight" activeCell="O7" sqref="O7"/>
      <pageMargins left="0.7" right="0.7" top="0.75" bottom="0.75" header="0.3" footer="0.3"/>
      <pageSetup paperSize="9" orientation="portrait" r:id="rId4"/>
      <autoFilter ref="B1:L1"/>
    </customSheetView>
    <customSheetView guid="{4D957B38-5430-481E-B791-E0A66F913B50}" scale="70">
      <selection activeCell="C6" sqref="C6"/>
      <pageMargins left="0.7" right="0.7" top="0.75" bottom="0.75" header="0.3" footer="0.3"/>
      <pageSetup paperSize="9" orientation="portrait" r:id="rId5"/>
    </customSheetView>
    <customSheetView guid="{D03DFE91-19D2-43BA-897C-B86D033537EB}" scale="70">
      <selection activeCell="G22" sqref="G22"/>
      <pageMargins left="0.7" right="0.7" top="0.75" bottom="0.75" header="0.3" footer="0.3"/>
      <pageSetup paperSize="9" orientation="portrait" r:id="rId6"/>
    </customSheetView>
    <customSheetView guid="{1C36793E-2B7E-411E-AA99-985D5D59B75A}" scale="70">
      <pageMargins left="0.7" right="0.7" top="0.75" bottom="0.75" header="0.3" footer="0.3"/>
      <pageSetup paperSize="9" orientation="portrait" r:id="rId7"/>
    </customSheetView>
    <customSheetView guid="{C913A9E8-661B-40A4-A3C9-1BC5F2B2E9F0}" scale="70" showGridLines="0" showAutoFilter="1" hiddenRows="1" hiddenColumns="1" topLeftCell="B2">
      <pane xSplit="3" ySplit="7" topLeftCell="K9" activePane="bottomRight" state="frozen"/>
      <selection pane="bottomRight" activeCell="C6" sqref="C6"/>
      <pageMargins left="0.7" right="0.7" top="0.75" bottom="0.75" header="0.3" footer="0.3"/>
      <pageSetup paperSize="9" orientation="portrait" r:id="rId8"/>
      <autoFilter ref="B1:L1"/>
    </customSheetView>
  </customSheetViews>
  <mergeCells count="2">
    <mergeCell ref="R5:R6"/>
    <mergeCell ref="S5:X5"/>
  </mergeCells>
  <phoneticPr fontId="0" type="noConversion"/>
  <hyperlinks>
    <hyperlink ref="D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6" fitToWidth="2" orientation="landscape" r:id="rId9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pageSetUpPr fitToPage="1"/>
  </sheetPr>
  <dimension ref="A1:U10"/>
  <sheetViews>
    <sheetView topLeftCell="I2" zoomScale="70" zoomScaleNormal="70" workbookViewId="0">
      <selection activeCell="T6" sqref="T6"/>
    </sheetView>
  </sheetViews>
  <sheetFormatPr defaultColWidth="17.54296875" defaultRowHeight="14.5"/>
  <cols>
    <col min="1" max="1" width="25.54296875" style="1163" hidden="1" customWidth="1"/>
    <col min="2" max="2" width="2.453125" style="1163" customWidth="1"/>
    <col min="3" max="5" width="17.54296875" style="1163"/>
    <col min="6" max="6" width="17.54296875" style="2732"/>
    <col min="7" max="12" width="17.54296875" style="1163"/>
    <col min="13" max="13" width="17.54296875" style="2830"/>
    <col min="14" max="16384" width="17.54296875" style="1163"/>
  </cols>
  <sheetData>
    <row r="1" spans="1:21" ht="21.75" hidden="1" customHeight="1">
      <c r="A1" s="70" t="s">
        <v>3428</v>
      </c>
      <c r="B1" s="22"/>
      <c r="C1" s="6" t="s">
        <v>1230</v>
      </c>
      <c r="D1" s="6" t="s">
        <v>1248</v>
      </c>
      <c r="E1" s="6" t="s">
        <v>1249</v>
      </c>
      <c r="F1" s="2438" t="s">
        <v>8522</v>
      </c>
      <c r="G1" s="2420" t="s">
        <v>594</v>
      </c>
      <c r="H1" s="2438" t="s">
        <v>7741</v>
      </c>
      <c r="I1" s="2438" t="s">
        <v>7743</v>
      </c>
      <c r="J1" s="6" t="s">
        <v>1232</v>
      </c>
      <c r="K1" s="6" t="s">
        <v>1250</v>
      </c>
      <c r="L1" s="6" t="s">
        <v>1233</v>
      </c>
      <c r="M1" s="2438" t="s">
        <v>8461</v>
      </c>
      <c r="N1" s="6" t="s">
        <v>1235</v>
      </c>
      <c r="O1" s="6" t="s">
        <v>1236</v>
      </c>
      <c r="P1" s="6" t="s">
        <v>1237</v>
      </c>
      <c r="Q1" s="6" t="s">
        <v>1238</v>
      </c>
      <c r="R1" s="6" t="s">
        <v>301</v>
      </c>
    </row>
    <row r="2" spans="1:21" s="1778" customFormat="1">
      <c r="A2" s="7"/>
      <c r="B2" s="1920"/>
      <c r="C2" s="1919" t="s">
        <v>1648</v>
      </c>
      <c r="D2" s="1919" t="s">
        <v>1648</v>
      </c>
      <c r="E2" s="1919" t="s">
        <v>1648</v>
      </c>
      <c r="F2" s="1919"/>
      <c r="G2" s="1919"/>
      <c r="H2" s="1919"/>
      <c r="I2" s="1919" t="s">
        <v>1648</v>
      </c>
      <c r="J2" s="1919" t="s">
        <v>1648</v>
      </c>
      <c r="K2" s="1919" t="s">
        <v>1648</v>
      </c>
      <c r="L2" s="1919" t="s">
        <v>1648</v>
      </c>
      <c r="M2" s="1919"/>
      <c r="N2" s="1919" t="s">
        <v>1648</v>
      </c>
      <c r="O2" s="1919" t="s">
        <v>1648</v>
      </c>
      <c r="P2" s="1919" t="s">
        <v>1648</v>
      </c>
    </row>
    <row r="3" spans="1:21" ht="26">
      <c r="A3" s="7"/>
      <c r="E3"/>
      <c r="F3" s="2737"/>
      <c r="I3" s="1897" t="s">
        <v>2067</v>
      </c>
      <c r="J3" s="1244">
        <f>Содержание!$D$2</f>
        <v>0</v>
      </c>
    </row>
    <row r="4" spans="1:21">
      <c r="A4" s="9"/>
      <c r="C4" s="11" t="s">
        <v>4188</v>
      </c>
      <c r="E4"/>
      <c r="F4" s="2737"/>
      <c r="G4" s="10"/>
      <c r="H4" s="10"/>
      <c r="I4" s="1897" t="s">
        <v>2075</v>
      </c>
      <c r="J4" s="1244" t="str">
        <f>Содержание!$D$15</f>
        <v>2022 год</v>
      </c>
      <c r="K4" s="3044" t="s">
        <v>1436</v>
      </c>
      <c r="L4" s="10"/>
      <c r="M4" s="10"/>
      <c r="N4" s="10"/>
      <c r="O4" s="10"/>
      <c r="P4" s="10"/>
      <c r="Q4" s="24"/>
    </row>
    <row r="5" spans="1:21" ht="15" thickBot="1">
      <c r="A5" s="9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</row>
    <row r="6" spans="1:21" ht="91">
      <c r="A6" s="9"/>
      <c r="C6" s="81" t="s">
        <v>5225</v>
      </c>
      <c r="D6" s="2855" t="s">
        <v>8447</v>
      </c>
      <c r="E6" s="21" t="s">
        <v>4190</v>
      </c>
      <c r="F6" s="2736" t="s">
        <v>8041</v>
      </c>
      <c r="G6" s="21" t="s">
        <v>6215</v>
      </c>
      <c r="H6" s="2855" t="s">
        <v>8448</v>
      </c>
      <c r="I6" s="2693" t="s">
        <v>7727</v>
      </c>
      <c r="J6" s="2318" t="s">
        <v>5226</v>
      </c>
      <c r="K6" s="21" t="s">
        <v>4191</v>
      </c>
      <c r="L6" s="21" t="s">
        <v>5227</v>
      </c>
      <c r="M6" s="2855" t="s">
        <v>8449</v>
      </c>
      <c r="N6" s="28" t="s">
        <v>5228</v>
      </c>
      <c r="O6" s="28" t="s">
        <v>5229</v>
      </c>
      <c r="P6" s="557" t="s">
        <v>2213</v>
      </c>
      <c r="Q6" s="21" t="s">
        <v>5230</v>
      </c>
      <c r="R6" s="28" t="s">
        <v>5233</v>
      </c>
      <c r="S6" s="82" t="s">
        <v>4183</v>
      </c>
      <c r="T6" s="2813" t="s">
        <v>9625</v>
      </c>
    </row>
    <row r="7" spans="1:21">
      <c r="A7" s="9"/>
      <c r="C7" s="71" t="s">
        <v>672</v>
      </c>
      <c r="D7" s="16" t="s">
        <v>4192</v>
      </c>
      <c r="E7" s="16" t="s">
        <v>4193</v>
      </c>
      <c r="F7" s="2738" t="s">
        <v>8045</v>
      </c>
      <c r="G7" s="16" t="s">
        <v>435</v>
      </c>
      <c r="H7" s="2694" t="s">
        <v>7725</v>
      </c>
      <c r="I7" s="2694" t="s">
        <v>7728</v>
      </c>
      <c r="J7" s="31" t="s">
        <v>5236</v>
      </c>
      <c r="K7" s="16" t="s">
        <v>4194</v>
      </c>
      <c r="L7" s="16" t="s">
        <v>5237</v>
      </c>
      <c r="M7" s="2854" t="s">
        <v>8450</v>
      </c>
      <c r="N7" s="16" t="s">
        <v>5239</v>
      </c>
      <c r="O7" s="16" t="s">
        <v>5240</v>
      </c>
      <c r="P7" s="16" t="s">
        <v>3971</v>
      </c>
      <c r="Q7" s="16" t="s">
        <v>5241</v>
      </c>
      <c r="R7" s="16" t="s">
        <v>4163</v>
      </c>
      <c r="S7" s="25" t="s">
        <v>865</v>
      </c>
    </row>
    <row r="8" spans="1:21" s="674" customFormat="1" ht="10.5">
      <c r="A8" s="668"/>
      <c r="C8" s="1585" t="s">
        <v>4164</v>
      </c>
      <c r="D8" s="1585" t="s">
        <v>4165</v>
      </c>
      <c r="E8" s="1585" t="s">
        <v>4166</v>
      </c>
      <c r="F8" s="1585" t="s">
        <v>5500</v>
      </c>
      <c r="G8" s="1585" t="s">
        <v>4169</v>
      </c>
      <c r="H8" s="1585" t="s">
        <v>4168</v>
      </c>
      <c r="I8" s="1585" t="s">
        <v>4178</v>
      </c>
      <c r="J8" s="1585" t="s">
        <v>4179</v>
      </c>
      <c r="K8" s="1585" t="s">
        <v>4167</v>
      </c>
      <c r="L8" s="1585" t="s">
        <v>5501</v>
      </c>
      <c r="M8" s="1585" t="s">
        <v>4701</v>
      </c>
      <c r="N8" s="1585" t="s">
        <v>4702</v>
      </c>
      <c r="O8" s="1585" t="s">
        <v>4703</v>
      </c>
      <c r="P8" s="1585" t="s">
        <v>5502</v>
      </c>
      <c r="Q8" s="1585" t="s">
        <v>5503</v>
      </c>
      <c r="R8" s="1585" t="s">
        <v>5504</v>
      </c>
      <c r="S8" s="1585" t="s">
        <v>4853</v>
      </c>
    </row>
    <row r="9" spans="1:21" ht="15" thickBot="1">
      <c r="A9" s="9" t="str">
        <f>"R60=1;COM="&amp;S9</f>
        <v>R60=1;COM=</v>
      </c>
      <c r="C9" s="1518"/>
      <c r="D9" s="817"/>
      <c r="E9" s="817"/>
      <c r="F9" s="817"/>
      <c r="G9" s="817"/>
      <c r="H9" s="817"/>
      <c r="I9" s="817"/>
      <c r="J9" s="817"/>
      <c r="K9" s="817"/>
      <c r="L9" s="817"/>
      <c r="M9" s="817"/>
      <c r="N9" s="817"/>
      <c r="O9" s="817"/>
      <c r="P9" s="817"/>
      <c r="Q9" s="817"/>
      <c r="R9" s="818">
        <f>SUM(C9)+SUM(D9:Q9)</f>
        <v>0</v>
      </c>
      <c r="S9" s="819"/>
      <c r="T9" s="2130" t="b">
        <f>IF(AND(OR(C9="",C9&gt;0,C9=0),OR(E9="",E9&gt;0,E9=0),OR(F9="",F9&gt;0,F9=0),OR(G9="",G9&gt;0,G9=0),OR(I9="",I9&gt;0,I9=0),OR(J9="",J9&gt;0,J9=0),OR(K9="",K9&lt;0,K9=0),OR(L9="",L9&lt;0,L9=0),OR(M9="",M9&lt;&gt;0),OR(N9="",N9&lt;0,N9=0),OR(O9="",O9&lt;0,O9=0),OR(P9="",P9&lt;0,P9=0),OR(Q9="",Q9&lt;0,Q9=0),OR(R9=0,R9&gt;0)),TRUE,FALSE)</f>
        <v>1</v>
      </c>
      <c r="U9" s="735" t="s">
        <v>2857</v>
      </c>
    </row>
    <row r="10" spans="1:21" ht="15" thickBot="1">
      <c r="S10" s="1157" t="b">
        <f>SUM(D9:G9,I9:J9)='07_расш'!E7</f>
        <v>1</v>
      </c>
    </row>
  </sheetData>
  <sheetProtection algorithmName="SHA-512" hashValue="xwoyvCHXvdwdNWWQroCRWq4wM6L5VCC7HWkfA/gcM5uexbbLHsayRA4tpsU6RmwveOyjB6QTadsPhVI5qr42JA==" saltValue="R4eyfA/CVdaD7HOkIEDaDw==" spinCount="100000" sheet="1" objects="1" scenarios="1" formatColumns="0" formatRows="0" autoFilter="0"/>
  <autoFilter ref="A8:U8"/>
  <customSheetViews>
    <customSheetView guid="{3769259D-9653-4B34-A2F6-4FB6F9F4E533}" scale="85" showGridLines="0" showAutoFilter="1" hiddenRows="1" hiddenColumns="1">
      <pane xSplit="5" ySplit="9" topLeftCell="G10" activePane="bottomRight" state="frozen"/>
      <selection pane="bottomRight" activeCell="E27" sqref="E27"/>
      <pageMargins left="0.7" right="0.7" top="0.75" bottom="0.75" header="0.3" footer="0.3"/>
      <pageSetup paperSize="9" orientation="portrait" r:id="rId1"/>
      <autoFilter ref="B1:O1"/>
    </customSheetView>
    <customSheetView guid="{40D7A2BB-326C-4ED3-999C-17852F56D6F4}" scale="85" showGridLines="0" showAutoFilter="1" hiddenRows="1" hiddenColumns="1">
      <pane xSplit="5" ySplit="9" topLeftCell="G10" activePane="bottomRight" state="frozen"/>
      <selection pane="bottomRight" activeCell="E27" sqref="E27"/>
      <pageMargins left="0.7" right="0.7" top="0.75" bottom="0.75" header="0.3" footer="0.3"/>
      <pageSetup paperSize="9" orientation="portrait" r:id="rId2"/>
      <autoFilter ref="B1:O1"/>
    </customSheetView>
    <customSheetView guid="{5D121940-0CE8-4A0E-A493-67FAAA6E0FF8}" scale="85" showGridLines="0" showAutoFilter="1" hiddenRows="1" hiddenColumns="1" topLeftCell="B2">
      <pane xSplit="4" ySplit="8" topLeftCell="G10" activePane="bottomRight" state="frozen"/>
      <selection pane="bottomRight" activeCell="C8" sqref="C8:N8"/>
      <pageMargins left="0.7" right="0.7" top="0.75" bottom="0.75" header="0.3" footer="0.3"/>
      <pageSetup paperSize="9" orientation="portrait" r:id="rId3"/>
      <autoFilter ref="B1:O1"/>
    </customSheetView>
    <customSheetView guid="{47AEACC4-6EA5-412C-AF39-A6C5357B313A}" scale="85" showGridLines="0" showAutoFilter="1" hiddenRows="1" hiddenColumns="1" topLeftCell="B2">
      <pane xSplit="4" ySplit="8" topLeftCell="G10" activePane="bottomRight" state="frozen"/>
      <selection pane="bottomRight" activeCell="N9" sqref="A1:N9"/>
      <pageMargins left="0.7" right="0.7" top="0.75" bottom="0.75" header="0.3" footer="0.3"/>
      <pageSetup paperSize="9" orientation="portrait" r:id="rId4"/>
      <autoFilter ref="B1:O1"/>
    </customSheetView>
    <customSheetView guid="{4D957B38-5430-481E-B791-E0A66F913B50}" scale="70">
      <selection activeCell="A8" sqref="A8"/>
      <pageMargins left="0.7" right="0.7" top="0.75" bottom="0.75" header="0.3" footer="0.3"/>
      <pageSetup paperSize="9" orientation="portrait" r:id="rId5"/>
    </customSheetView>
    <customSheetView guid="{D03DFE91-19D2-43BA-897C-B86D033537EB}" scale="70">
      <selection activeCell="G18" sqref="G18"/>
      <pageMargins left="0.7" right="0.7" top="0.75" bottom="0.75" header="0.3" footer="0.3"/>
      <pageSetup paperSize="9" orientation="portrait" r:id="rId6"/>
    </customSheetView>
    <customSheetView guid="{1C36793E-2B7E-411E-AA99-985D5D59B75A}" scale="70">
      <selection activeCell="G20" sqref="G20"/>
      <pageMargins left="0.7" right="0.7" top="0.75" bottom="0.75" header="0.3" footer="0.3"/>
      <pageSetup paperSize="9" orientation="portrait" r:id="rId7"/>
    </customSheetView>
    <customSheetView guid="{C913A9E8-661B-40A4-A3C9-1BC5F2B2E9F0}" scale="85" showGridLines="0" showAutoFilter="1" hiddenRows="1" hiddenColumns="1" topLeftCell="B2">
      <pane xSplit="4" ySplit="8" topLeftCell="G10" activePane="bottomRight" state="frozen"/>
      <selection pane="bottomRight" activeCell="C8" sqref="C8:N8"/>
      <pageMargins left="0.7" right="0.7" top="0.75" bottom="0.75" header="0.3" footer="0.3"/>
      <pageSetup paperSize="9" orientation="portrait" r:id="rId8"/>
      <autoFilter ref="B1:O1"/>
    </customSheetView>
  </customSheetViews>
  <phoneticPr fontId="0" type="noConversion"/>
  <dataValidations count="2">
    <dataValidation operator="equal" allowBlank="1" showErrorMessage="1" errorTitle="Выбор элемента списка" error="Данного элемента нет в списке" sqref="D9:P9"/>
    <dataValidation type="custom" operator="equal" showErrorMessage="1" errorTitle="Выбор элемента списка" error="Заполнение данных только по согласованию с отделом ОКО" sqref="Q9">
      <formula1>$X$8</formula1>
    </dataValidation>
  </dataValidations>
  <hyperlinks>
    <hyperlink ref="K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5" orientation="landscape" r:id="rId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pageSetUpPr fitToPage="1"/>
  </sheetPr>
  <dimension ref="A1:G20"/>
  <sheetViews>
    <sheetView topLeftCell="D2" workbookViewId="0">
      <selection activeCell="F17" sqref="F17"/>
    </sheetView>
  </sheetViews>
  <sheetFormatPr defaultColWidth="9.453125" defaultRowHeight="14.5"/>
  <cols>
    <col min="1" max="1" width="24" style="1163" hidden="1" customWidth="1"/>
    <col min="2" max="2" width="5.453125" style="1163" customWidth="1"/>
    <col min="3" max="3" width="55.453125" style="1163" bestFit="1" customWidth="1"/>
    <col min="4" max="4" width="35.453125" style="1163" customWidth="1"/>
    <col min="5" max="5" width="23.54296875" style="1163" customWidth="1"/>
    <col min="6" max="6" width="25.453125" style="1163" customWidth="1"/>
    <col min="7" max="7" width="20.54296875" style="1163" customWidth="1"/>
    <col min="8" max="16384" width="9.453125" style="1163"/>
  </cols>
  <sheetData>
    <row r="1" spans="1:7" ht="13.5" hidden="1" customHeight="1">
      <c r="A1" s="23" t="s">
        <v>2094</v>
      </c>
      <c r="B1" s="29"/>
      <c r="C1" s="29"/>
      <c r="D1" s="29"/>
      <c r="E1" s="29" t="s">
        <v>1247</v>
      </c>
      <c r="F1" s="6"/>
    </row>
    <row r="2" spans="1:7">
      <c r="A2" s="7"/>
      <c r="B2" s="23"/>
      <c r="C2" s="10"/>
      <c r="D2"/>
      <c r="E2" s="1921" t="s">
        <v>1648</v>
      </c>
      <c r="F2" s="1897" t="s">
        <v>2067</v>
      </c>
      <c r="G2" s="1244">
        <f>Содержание!$D$2</f>
        <v>0</v>
      </c>
    </row>
    <row r="3" spans="1:7" ht="26.25" customHeight="1" thickBot="1">
      <c r="A3" s="7"/>
      <c r="B3" s="351"/>
      <c r="C3" s="11" t="s">
        <v>1166</v>
      </c>
      <c r="D3" s="10" t="b">
        <f t="array" ref="D3">IF(SMALL(IF(""=C6:C2700,ROW(C6:C2700),2700),1)&gt;LARGE(IF(""&lt;&gt;C6:C2700,ROW(C6:C2700),0),1),TRUE,FALSE)</f>
        <v>1</v>
      </c>
      <c r="E3" s="3044" t="s">
        <v>1436</v>
      </c>
      <c r="F3" s="1897" t="s">
        <v>2075</v>
      </c>
      <c r="G3" s="1244" t="str">
        <f>Содержание!$D$15</f>
        <v>2022 год</v>
      </c>
    </row>
    <row r="4" spans="1:7" ht="26">
      <c r="A4" s="7"/>
      <c r="B4" s="113"/>
      <c r="C4" s="85" t="s">
        <v>3395</v>
      </c>
      <c r="D4" s="28" t="s">
        <v>3239</v>
      </c>
      <c r="E4" s="82" t="s">
        <v>3241</v>
      </c>
      <c r="F4" s="82" t="s">
        <v>3401</v>
      </c>
    </row>
    <row r="5" spans="1:7">
      <c r="A5" s="7"/>
      <c r="B5" s="113"/>
      <c r="C5" s="71">
        <v>1010</v>
      </c>
      <c r="D5" s="16" t="s">
        <v>3397</v>
      </c>
      <c r="E5" s="302" t="s">
        <v>1492</v>
      </c>
      <c r="F5" s="302" t="s">
        <v>865</v>
      </c>
    </row>
    <row r="6" spans="1:7" s="674" customFormat="1" ht="12.5">
      <c r="A6" s="7"/>
      <c r="B6" s="678"/>
      <c r="C6" s="696" t="s">
        <v>4164</v>
      </c>
      <c r="D6" s="707" t="s">
        <v>4165</v>
      </c>
      <c r="E6" s="707" t="s">
        <v>4166</v>
      </c>
      <c r="F6" s="1586" t="s">
        <v>5500</v>
      </c>
    </row>
    <row r="7" spans="1:7" s="646" customFormat="1">
      <c r="A7" s="668"/>
      <c r="B7" s="647"/>
      <c r="C7" s="301" t="s">
        <v>4170</v>
      </c>
      <c r="D7" s="211" t="s">
        <v>4184</v>
      </c>
      <c r="E7" s="17">
        <f>SUM(E8:E30008)</f>
        <v>0</v>
      </c>
      <c r="F7" s="1587" t="s">
        <v>3196</v>
      </c>
    </row>
    <row r="8" spans="1:7">
      <c r="A8" s="350" t="str">
        <f>"R6="&amp;IFERROR(MID(C8,FIND("{",C8)+1,FIND("}",C8)-FIND("{",C8)-1),"")&amp;";R3="&amp;IFERROR(MID(D8,FIND("{",D8)+1,FIND("}",D8)-FIND("{",D8)-3),"")&amp;";R4="&amp;IFERROR(MID(D8,FIND("{",D8)+5,FIND("}",D8)-FIND("{",D8)-5),"")&amp;";COM="&amp;F8</f>
        <v>R6=;R3=;R4=;COM=</v>
      </c>
      <c r="B8" s="565" t="s">
        <v>2903</v>
      </c>
      <c r="C8" s="354"/>
      <c r="D8" s="536"/>
      <c r="E8" s="1896"/>
      <c r="F8" s="305"/>
    </row>
    <row r="9" spans="1:7">
      <c r="A9" s="350" t="str">
        <f t="shared" ref="A9:A18" si="0">"R6="&amp;IFERROR(MID(C9,FIND("{",C9)+1,FIND("}",C9)-FIND("{",C9)-1),"")&amp;";R3="&amp;IFERROR(MID(D9,FIND("{",D9)+1,FIND("}",D9)-FIND("{",D9)-3),"")&amp;";R4="&amp;IFERROR(MID(D9,FIND("{",D9)+5,FIND("}",D9)-FIND("{",D9)-5),"")&amp;";COM="&amp;F9</f>
        <v>R6=;R3=;R4=;COM=</v>
      </c>
      <c r="B9" s="565" t="s">
        <v>2903</v>
      </c>
      <c r="C9" s="354"/>
      <c r="D9" s="536"/>
      <c r="E9" s="1895"/>
      <c r="F9" s="305"/>
    </row>
    <row r="10" spans="1:7">
      <c r="A10" s="350" t="str">
        <f t="shared" si="0"/>
        <v>R6=;R3=;R4=;COM=</v>
      </c>
      <c r="B10" s="565"/>
      <c r="C10" s="354"/>
      <c r="D10" s="536"/>
      <c r="E10" s="1895"/>
      <c r="F10" s="305"/>
    </row>
    <row r="11" spans="1:7">
      <c r="A11" s="350" t="str">
        <f t="shared" si="0"/>
        <v>R6=;R3=;R4=;COM=</v>
      </c>
      <c r="B11" s="565"/>
      <c r="C11" s="354"/>
      <c r="D11" s="536"/>
      <c r="E11" s="1895"/>
      <c r="F11" s="305"/>
    </row>
    <row r="12" spans="1:7">
      <c r="A12" s="350" t="str">
        <f t="shared" si="0"/>
        <v>R6=;R3=;R4=;COM=</v>
      </c>
      <c r="B12" s="565"/>
      <c r="C12" s="354"/>
      <c r="D12" s="536"/>
      <c r="E12" s="1895"/>
      <c r="F12" s="305"/>
    </row>
    <row r="13" spans="1:7">
      <c r="A13" s="350" t="str">
        <f t="shared" si="0"/>
        <v>R6=;R3=;R4=;COM=</v>
      </c>
      <c r="B13" s="565"/>
      <c r="C13" s="354"/>
      <c r="D13" s="536"/>
      <c r="E13" s="1895"/>
      <c r="F13" s="305"/>
    </row>
    <row r="14" spans="1:7">
      <c r="A14" s="350" t="str">
        <f t="shared" si="0"/>
        <v>R6=;R3=;R4=;COM=</v>
      </c>
      <c r="B14" s="565"/>
      <c r="C14" s="354"/>
      <c r="D14" s="536"/>
      <c r="E14" s="1895"/>
      <c r="F14" s="305"/>
    </row>
    <row r="15" spans="1:7">
      <c r="A15" s="350" t="str">
        <f t="shared" si="0"/>
        <v>R6=;R3=;R4=;COM=</v>
      </c>
      <c r="B15" s="565"/>
      <c r="C15" s="354"/>
      <c r="D15" s="536"/>
      <c r="E15" s="1895"/>
      <c r="F15" s="305"/>
    </row>
    <row r="16" spans="1:7">
      <c r="A16" s="350" t="str">
        <f t="shared" si="0"/>
        <v>R6=;R3=;R4=;COM=</v>
      </c>
      <c r="B16" s="565"/>
      <c r="C16" s="354"/>
      <c r="D16" s="536"/>
      <c r="E16" s="1895"/>
      <c r="F16" s="305"/>
    </row>
    <row r="17" spans="1:6">
      <c r="A17" s="350" t="str">
        <f t="shared" si="0"/>
        <v>R6=;R3=;R4=;COM=</v>
      </c>
      <c r="B17" s="565"/>
      <c r="C17" s="354"/>
      <c r="D17" s="536"/>
      <c r="E17" s="1895"/>
      <c r="F17" s="305"/>
    </row>
    <row r="18" spans="1:6" s="2830" customFormat="1">
      <c r="A18" s="350" t="str">
        <f t="shared" si="0"/>
        <v>R6=;R3=;R4=;COM=</v>
      </c>
      <c r="B18" s="565"/>
      <c r="C18" s="354"/>
      <c r="D18" s="536"/>
      <c r="E18" s="1895"/>
      <c r="F18" s="305"/>
    </row>
    <row r="19" spans="1:6" s="2830" customFormat="1">
      <c r="A19" s="350" t="str">
        <f t="shared" ref="A19" si="1">"R6="&amp;IFERROR(MID(C19,FIND("{",C19)+1,FIND("}",C19)-FIND("{",C19)-1),"")&amp;";R3="&amp;IFERROR(MID(D19,FIND("{",D19)+1,FIND("}",D19)-FIND("{",D19)-3),"")&amp;";R4="&amp;IFERROR(MID(D19,FIND("{",D19)+5,FIND("}",D19)-FIND("{",D19)-5),"")&amp;";COM="&amp;F19</f>
        <v>R6=;R3=;R4=;COM=</v>
      </c>
      <c r="B19" s="565"/>
      <c r="C19" s="354"/>
      <c r="D19" s="536"/>
      <c r="E19" s="1895"/>
      <c r="F19" s="305"/>
    </row>
    <row r="20" spans="1:6" s="2830" customFormat="1" ht="15" thickBot="1">
      <c r="A20" s="350" t="str">
        <f t="shared" ref="A20" si="2">"R6="&amp;IFERROR(MID(C20,FIND("{",C20)+1,FIND("}",C20)-FIND("{",C20)-1),"")&amp;";R3="&amp;IFERROR(MID(D20,FIND("{",D20)+1,FIND("}",D20)-FIND("{",D20)-3),"")&amp;";R4="&amp;IFERROR(MID(D20,FIND("{",D20)+5,FIND("}",D20)-FIND("{",D20)-5),"")&amp;";COM="&amp;F20</f>
        <v>R6=;R3=;R4=;COM=</v>
      </c>
      <c r="B20" s="565"/>
      <c r="C20" s="299"/>
      <c r="D20" s="1732"/>
      <c r="E20" s="1894"/>
      <c r="F20" s="353"/>
    </row>
  </sheetData>
  <sheetProtection algorithmName="SHA-512" hashValue="S74TeHPunZBJSGw/R07/v+Ro90Y5rPrf39miHmvU4sUtAxpyXEIeaJXRivqQrH5OP4XKmMZNM2NPOfYmzKjPTg==" saltValue="uMvK+h5YPlsQ70U9fncLBg==" spinCount="100000" sheet="1" objects="1" scenarios="1" formatColumns="0" formatRows="0" autoFilter="0"/>
  <autoFilter ref="C6:F6"/>
  <customSheetViews>
    <customSheetView guid="{3769259D-9653-4B34-A2F6-4FB6F9F4E533}" scale="85" showGridLines="0" showAutoFilter="1">
      <pane xSplit="4" ySplit="7" topLeftCell="E8" activePane="bottomRight" state="frozen"/>
      <selection pane="bottomRight" sqref="A1:A65536"/>
      <pageMargins left="0.7" right="0.7" top="0.75" bottom="0.75" header="0.3" footer="0.3"/>
      <autoFilter ref="B1:H1"/>
    </customSheetView>
    <customSheetView guid="{40D7A2BB-326C-4ED3-999C-17852F56D6F4}" scale="85" showGridLines="0" showAutoFilter="1">
      <pane xSplit="4" ySplit="7" topLeftCell="E8" activePane="bottomRight" state="frozen"/>
      <selection pane="bottomRight" sqref="A1:A65536"/>
      <pageMargins left="0.7" right="0.7" top="0.75" bottom="0.75" header="0.3" footer="0.3"/>
      <autoFilter ref="B1:H1"/>
    </customSheetView>
    <customSheetView guid="{5D121940-0CE8-4A0E-A493-67FAAA6E0FF8}" scale="85" showGridLines="0" showAutoFilter="1" hiddenRows="1" hiddenColumns="1" topLeftCell="B2">
      <pane xSplit="3" ySplit="7" topLeftCell="E9" activePane="bottomRight" state="frozen"/>
      <selection pane="bottomRight" activeCell="C7" sqref="C7:F7"/>
      <pageMargins left="0.7" right="0.7" top="0.75" bottom="0.75" header="0.3" footer="0.3"/>
      <autoFilter ref="B1:H1"/>
    </customSheetView>
    <customSheetView guid="{47AEACC4-6EA5-412C-AF39-A6C5357B313A}" scale="85" showGridLines="0" showAutoFilter="1" hiddenRows="1" hiddenColumns="1" topLeftCell="B2">
      <pane xSplit="3" ySplit="7" topLeftCell="E9" activePane="bottomRight" state="frozen"/>
      <selection pane="bottomRight" activeCell="D9" sqref="D9"/>
      <pageMargins left="0.7" right="0.7" top="0.75" bottom="0.75" header="0.3" footer="0.3"/>
      <autoFilter ref="B1:H1"/>
    </customSheetView>
    <customSheetView guid="{4D957B38-5430-481E-B791-E0A66F913B50}" scale="70">
      <selection activeCell="D15" sqref="D15"/>
      <pageMargins left="0.7" right="0.7" top="0.75" bottom="0.75" header="0.3" footer="0.3"/>
    </customSheetView>
    <customSheetView guid="{1C36793E-2B7E-411E-AA99-985D5D59B75A}" scale="70">
      <selection activeCell="A4" sqref="A4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3" ySplit="7" topLeftCell="E9" activePane="bottomRight" state="frozen"/>
      <selection pane="bottomRight" activeCell="C7" sqref="C7:F7"/>
      <pageMargins left="0.7" right="0.7" top="0.75" bottom="0.75" header="0.3" footer="0.3"/>
      <autoFilter ref="B1:H1"/>
    </customSheetView>
  </customSheetViews>
  <phoneticPr fontId="0" type="noConversion"/>
  <dataValidations count="2">
    <dataValidation type="list" allowBlank="1" showInputMessage="1" showErrorMessage="1" sqref="C8:C20">
      <formula1>_1010</formula1>
    </dataValidation>
    <dataValidation type="list" allowBlank="1" showInputMessage="1" showErrorMessage="1" sqref="D8:D20">
      <formula1>IF($G$2="Госкорпорация Росатом",_1015_ГК,_1015)</formula1>
    </dataValidation>
  </dataValidations>
  <hyperlinks>
    <hyperlink ref="E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4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ddButtonsRowAdd">
                <anchor moveWithCells="1">
                  <from>
                    <xdr:col>3</xdr:col>
                    <xdr:colOff>908050</xdr:colOff>
                    <xdr:row>1</xdr:row>
                    <xdr:rowOff>76200</xdr:rowOff>
                  </from>
                  <to>
                    <xdr:col>3</xdr:col>
                    <xdr:colOff>2317750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pageSetUpPr fitToPage="1"/>
  </sheetPr>
  <dimension ref="A1:AB37"/>
  <sheetViews>
    <sheetView topLeftCell="B2" zoomScale="40" zoomScaleNormal="40" workbookViewId="0">
      <selection activeCell="J32" sqref="J32"/>
    </sheetView>
  </sheetViews>
  <sheetFormatPr defaultColWidth="9.453125" defaultRowHeight="14.5"/>
  <cols>
    <col min="1" max="1" width="48.54296875" style="1163" hidden="1" customWidth="1"/>
    <col min="2" max="2" width="2.54296875" style="1163" customWidth="1"/>
    <col min="3" max="3" width="96.453125" style="1163" customWidth="1"/>
    <col min="4" max="4" width="17.453125" style="1163" customWidth="1"/>
    <col min="5" max="5" width="17.453125" style="2830" customWidth="1"/>
    <col min="6" max="15" width="17.453125" style="1163" customWidth="1"/>
    <col min="16" max="16" width="17.453125" style="2830" customWidth="1"/>
    <col min="17" max="20" width="17.453125" style="1163" customWidth="1"/>
    <col min="21" max="21" width="12.54296875" style="1163" customWidth="1"/>
    <col min="22" max="22" width="17.453125" style="1163" customWidth="1"/>
    <col min="23" max="24" width="9.453125" style="1163"/>
    <col min="25" max="25" width="9.453125" style="2830"/>
    <col min="26" max="16384" width="9.453125" style="1163"/>
  </cols>
  <sheetData>
    <row r="1" spans="1:28" ht="16.5" hidden="1" customHeight="1">
      <c r="A1" s="70" t="s">
        <v>3430</v>
      </c>
      <c r="B1" s="29"/>
      <c r="C1" s="29"/>
      <c r="D1" s="29" t="s">
        <v>1230</v>
      </c>
      <c r="E1" s="2424" t="s">
        <v>10146</v>
      </c>
      <c r="F1" s="29" t="s">
        <v>1251</v>
      </c>
      <c r="G1" s="29" t="s">
        <v>1248</v>
      </c>
      <c r="H1" s="2421" t="s">
        <v>594</v>
      </c>
      <c r="I1" s="2424" t="s">
        <v>1249</v>
      </c>
      <c r="J1" s="2424" t="s">
        <v>7741</v>
      </c>
      <c r="K1" s="2424" t="s">
        <v>7743</v>
      </c>
      <c r="L1" s="2424" t="s">
        <v>7744</v>
      </c>
      <c r="M1" s="29" t="s">
        <v>1232</v>
      </c>
      <c r="N1" s="29" t="s">
        <v>1252</v>
      </c>
      <c r="O1" s="29" t="s">
        <v>1233</v>
      </c>
      <c r="P1" s="2424" t="s">
        <v>8461</v>
      </c>
      <c r="Q1" s="29" t="s">
        <v>1253</v>
      </c>
      <c r="R1" s="29" t="s">
        <v>1254</v>
      </c>
      <c r="S1" s="29" t="s">
        <v>1235</v>
      </c>
      <c r="T1" s="29" t="s">
        <v>1236</v>
      </c>
      <c r="U1" s="29" t="s">
        <v>1237</v>
      </c>
      <c r="V1" s="2424" t="s">
        <v>1239</v>
      </c>
      <c r="W1" s="29" t="s">
        <v>1238</v>
      </c>
      <c r="X1" s="29" t="s">
        <v>301</v>
      </c>
      <c r="Y1" s="2424" t="s">
        <v>10147</v>
      </c>
      <c r="Z1" s="6"/>
    </row>
    <row r="2" spans="1:28" s="1778" customFormat="1">
      <c r="A2" s="7"/>
      <c r="B2" s="1919"/>
      <c r="C2" s="1919"/>
      <c r="D2" s="1778" t="s">
        <v>1648</v>
      </c>
      <c r="F2" s="1778" t="s">
        <v>1648</v>
      </c>
      <c r="G2" s="1778" t="s">
        <v>1648</v>
      </c>
      <c r="H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Q2" s="1778" t="s">
        <v>1648</v>
      </c>
      <c r="R2" s="1778" t="s">
        <v>1648</v>
      </c>
      <c r="S2" s="1778" t="s">
        <v>1648</v>
      </c>
      <c r="T2" s="1919"/>
    </row>
    <row r="3" spans="1:28" ht="38.5">
      <c r="A3" s="9"/>
      <c r="B3" s="24"/>
      <c r="C3" s="11" t="s">
        <v>4195</v>
      </c>
      <c r="D3"/>
      <c r="E3" s="3297"/>
      <c r="F3" s="10"/>
      <c r="G3" s="10"/>
      <c r="H3" s="10"/>
      <c r="I3" s="10"/>
      <c r="J3" s="1897" t="s">
        <v>2067</v>
      </c>
      <c r="K3" s="1244">
        <f>Содержание!$D$2</f>
        <v>0</v>
      </c>
      <c r="L3" s="10"/>
      <c r="M3" s="10"/>
      <c r="N3" s="10"/>
      <c r="O3" s="10"/>
      <c r="P3" s="10"/>
      <c r="Q3" s="10"/>
      <c r="R3" s="10"/>
      <c r="S3" s="10"/>
      <c r="T3" s="10"/>
      <c r="V3" s="2819" t="s">
        <v>8372</v>
      </c>
    </row>
    <row r="4" spans="1:28" ht="15" thickBot="1">
      <c r="A4" s="9"/>
      <c r="B4" s="24"/>
      <c r="C4" s="24"/>
      <c r="D4" s="24"/>
      <c r="E4" s="24"/>
      <c r="F4" s="24"/>
      <c r="G4" s="24"/>
      <c r="H4" s="24"/>
      <c r="I4" s="24"/>
      <c r="J4" s="1897" t="s">
        <v>2075</v>
      </c>
      <c r="K4" s="1244" t="str">
        <f>Содержание!$D$15</f>
        <v>2022 год</v>
      </c>
      <c r="L4" s="3044" t="s">
        <v>1436</v>
      </c>
      <c r="M4" s="24"/>
      <c r="N4" s="24"/>
      <c r="O4" s="24"/>
      <c r="P4" s="24"/>
      <c r="Q4" s="24"/>
      <c r="R4" s="24"/>
      <c r="S4" s="24"/>
      <c r="T4" s="24"/>
      <c r="V4" s="2130" t="b">
        <f>ABS(V8)&lt;=2</f>
        <v>1</v>
      </c>
    </row>
    <row r="5" spans="1:28" ht="117">
      <c r="A5" s="9"/>
      <c r="B5" s="24"/>
      <c r="C5" s="85" t="s">
        <v>4196</v>
      </c>
      <c r="D5" s="28" t="s">
        <v>5225</v>
      </c>
      <c r="E5" s="13" t="s">
        <v>10126</v>
      </c>
      <c r="F5" s="21" t="s">
        <v>2815</v>
      </c>
      <c r="G5" s="2855" t="s">
        <v>8447</v>
      </c>
      <c r="H5" s="2319" t="s">
        <v>6215</v>
      </c>
      <c r="I5" s="2693" t="s">
        <v>4190</v>
      </c>
      <c r="J5" s="2855" t="s">
        <v>8448</v>
      </c>
      <c r="K5" s="2693" t="s">
        <v>7727</v>
      </c>
      <c r="L5" s="2697" t="s">
        <v>7738</v>
      </c>
      <c r="M5" s="2319" t="s">
        <v>5226</v>
      </c>
      <c r="N5" s="28" t="s">
        <v>4197</v>
      </c>
      <c r="O5" s="28" t="s">
        <v>4198</v>
      </c>
      <c r="P5" s="2855" t="s">
        <v>8449</v>
      </c>
      <c r="Q5" s="28" t="s">
        <v>4199</v>
      </c>
      <c r="R5" s="28" t="s">
        <v>3376</v>
      </c>
      <c r="S5" s="14" t="s">
        <v>5228</v>
      </c>
      <c r="T5" s="14" t="s">
        <v>3377</v>
      </c>
      <c r="U5" s="558" t="s">
        <v>2213</v>
      </c>
      <c r="V5" s="2696" t="s">
        <v>5231</v>
      </c>
      <c r="W5" s="28" t="s">
        <v>5230</v>
      </c>
      <c r="X5" s="28" t="s">
        <v>5233</v>
      </c>
      <c r="Y5" s="3298" t="s">
        <v>10125</v>
      </c>
      <c r="Z5" s="82" t="s">
        <v>4183</v>
      </c>
      <c r="AA5" s="2813" t="s">
        <v>9625</v>
      </c>
    </row>
    <row r="6" spans="1:28">
      <c r="A6" s="9"/>
      <c r="B6" s="24"/>
      <c r="C6" s="86" t="s">
        <v>4654</v>
      </c>
      <c r="D6" s="31" t="s">
        <v>672</v>
      </c>
      <c r="E6" s="31" t="s">
        <v>672</v>
      </c>
      <c r="F6" s="31" t="s">
        <v>2816</v>
      </c>
      <c r="G6" s="31" t="s">
        <v>4192</v>
      </c>
      <c r="H6" s="2320" t="s">
        <v>435</v>
      </c>
      <c r="I6" s="2695" t="s">
        <v>4193</v>
      </c>
      <c r="J6" s="2694" t="s">
        <v>7725</v>
      </c>
      <c r="K6" s="2694" t="s">
        <v>7728</v>
      </c>
      <c r="L6" s="2698" t="s">
        <v>7739</v>
      </c>
      <c r="M6" s="31" t="s">
        <v>5236</v>
      </c>
      <c r="N6" s="31" t="s">
        <v>3378</v>
      </c>
      <c r="O6" s="31" t="s">
        <v>5237</v>
      </c>
      <c r="P6" s="2854" t="s">
        <v>8450</v>
      </c>
      <c r="Q6" s="31" t="s">
        <v>3379</v>
      </c>
      <c r="R6" s="31" t="s">
        <v>3380</v>
      </c>
      <c r="S6" s="31" t="s">
        <v>5239</v>
      </c>
      <c r="T6" s="31" t="s">
        <v>5240</v>
      </c>
      <c r="U6" s="31" t="s">
        <v>3971</v>
      </c>
      <c r="V6" s="2694" t="s">
        <v>5242</v>
      </c>
      <c r="W6" s="31" t="s">
        <v>5241</v>
      </c>
      <c r="X6" s="31" t="s">
        <v>673</v>
      </c>
      <c r="Y6" s="3303"/>
      <c r="Z6" s="87" t="s">
        <v>865</v>
      </c>
    </row>
    <row r="7" spans="1:28" s="674" customFormat="1" ht="10.5">
      <c r="A7" s="668"/>
      <c r="B7" s="669"/>
      <c r="C7" s="706" t="s">
        <v>4164</v>
      </c>
      <c r="D7" s="706" t="s">
        <v>4165</v>
      </c>
      <c r="E7" s="706" t="s">
        <v>4166</v>
      </c>
      <c r="F7" s="706" t="s">
        <v>5500</v>
      </c>
      <c r="G7" s="706" t="s">
        <v>4169</v>
      </c>
      <c r="H7" s="706" t="s">
        <v>4168</v>
      </c>
      <c r="I7" s="706" t="s">
        <v>4178</v>
      </c>
      <c r="J7" s="706" t="s">
        <v>4179</v>
      </c>
      <c r="K7" s="706" t="s">
        <v>4167</v>
      </c>
      <c r="L7" s="706" t="s">
        <v>5501</v>
      </c>
      <c r="M7" s="706" t="s">
        <v>4701</v>
      </c>
      <c r="N7" s="706" t="s">
        <v>4702</v>
      </c>
      <c r="O7" s="706" t="s">
        <v>4703</v>
      </c>
      <c r="P7" s="706" t="s">
        <v>5502</v>
      </c>
      <c r="Q7" s="706" t="s">
        <v>5503</v>
      </c>
      <c r="R7" s="706" t="s">
        <v>5504</v>
      </c>
      <c r="S7" s="706" t="s">
        <v>4853</v>
      </c>
      <c r="T7" s="706" t="s">
        <v>4852</v>
      </c>
      <c r="U7" s="706" t="s">
        <v>5505</v>
      </c>
      <c r="V7" s="706" t="s">
        <v>4851</v>
      </c>
      <c r="W7" s="706" t="s">
        <v>5506</v>
      </c>
      <c r="X7" s="706" t="s">
        <v>4850</v>
      </c>
      <c r="Y7" s="706" t="s">
        <v>3303</v>
      </c>
      <c r="Z7" s="706" t="s">
        <v>3304</v>
      </c>
    </row>
    <row r="8" spans="1:28">
      <c r="A8" s="9"/>
      <c r="B8" s="24"/>
      <c r="C8" s="88" t="s">
        <v>4170</v>
      </c>
      <c r="D8" s="17">
        <f>SUM(D9:D26)</f>
        <v>0</v>
      </c>
      <c r="E8" s="17">
        <f>SUM(E9:E26)</f>
        <v>0</v>
      </c>
      <c r="F8" s="17">
        <f t="shared" ref="F8:Y8" si="0">SUM(F9:F26)</f>
        <v>0</v>
      </c>
      <c r="G8" s="17">
        <f t="shared" si="0"/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0"/>
        <v>0</v>
      </c>
      <c r="V8" s="17">
        <f t="shared" si="0"/>
        <v>0</v>
      </c>
      <c r="W8" s="17">
        <f t="shared" si="0"/>
        <v>0</v>
      </c>
      <c r="X8" s="17">
        <f t="shared" si="0"/>
        <v>0</v>
      </c>
      <c r="Y8" s="17">
        <f t="shared" si="0"/>
        <v>0</v>
      </c>
      <c r="Z8" s="89" t="s">
        <v>4184</v>
      </c>
      <c r="AA8" s="2130" t="b">
        <f>AND(AA9:AA26)</f>
        <v>1</v>
      </c>
      <c r="AB8" s="1163" t="b">
        <f>AND(AB9:AB26)</f>
        <v>1</v>
      </c>
    </row>
    <row r="9" spans="1:28">
      <c r="A9" s="9" t="str">
        <f t="shared" ref="A9:A26" si="1">"R7="&amp;IFERROR(MID(C9,FIND("{",C9)+1,FIND("}",C9)-FIND("{",C9)-3),"")&amp;";R8="&amp;IFERROR(IF(MID(C9,FIND("{",C9)+6,FIND("}",C9)-FIND("{",C9)-6)="~","",MID(C9,FIND("{",C9)+6,FIND("}",C9)-FIND("{",C9)-6)),"")&amp;";COM="&amp;Z9</f>
        <v>R7=0010;R8=;COM=</v>
      </c>
      <c r="B9" s="576" t="s">
        <v>5536</v>
      </c>
      <c r="C9" s="1588" t="s">
        <v>4487</v>
      </c>
      <c r="D9" s="19"/>
      <c r="E9" s="1431"/>
      <c r="F9" s="19"/>
      <c r="G9" s="19"/>
      <c r="H9" s="19"/>
      <c r="I9" s="19"/>
      <c r="J9" s="19"/>
      <c r="K9" s="19"/>
      <c r="L9" s="19"/>
      <c r="M9" s="19"/>
      <c r="N9" s="19"/>
      <c r="O9" s="19"/>
      <c r="P9" s="1431"/>
      <c r="Q9" s="19"/>
      <c r="R9" s="19"/>
      <c r="S9" s="19"/>
      <c r="T9" s="19"/>
      <c r="U9" s="19"/>
      <c r="V9" s="19"/>
      <c r="W9" s="1431"/>
      <c r="X9" s="17">
        <f>SUM(D9)+SUM(F9:W9)</f>
        <v>0</v>
      </c>
      <c r="Y9" s="1431"/>
      <c r="Z9" s="90"/>
      <c r="AA9" s="2130" t="b">
        <f>IF(AND(OR(D9="",D9&gt;0,D9=0),OR(F9="",F9&gt;0,F9=0),OR(G9="",G9&gt;0,G9=0),OR(H9="",H9&gt;0,H9=0),OR(I9="",I9&gt;0,I9=0),OR(K9="",K9&gt;0,K9=0),OR(L9="",L9&gt;0,L9=0),OR(M9="",M9&gt;0,M9=0),OR(N9="",N9&lt;0,N9=0),OR(O9="",O9&lt;0,O9=0),OR(P9="",P9&lt;0,P9=0),OR(S9="",S9&lt;0,S9=0),OR(Q9="",Q9&lt;0,Q9=0),OR(R9="",R9&lt;0,R9=0),OR(S9="",S9&lt;0,S9=0),OR(T9="",T9&lt;0,T9=0),OR(U9="",U9&lt;0,U9=0),OR(W9="",W9&lt;0,W9=0),OR(X9=0,X9&gt;0)),TRUE,FALSE)</f>
        <v>1</v>
      </c>
      <c r="AB9" s="1163" t="b">
        <f>IF(OR(M9&gt;1000,W9&lt;-1000),IF(LEN(Z9)&gt;5,TRUE,FALSE),TRUE)</f>
        <v>1</v>
      </c>
    </row>
    <row r="10" spans="1:28">
      <c r="A10" s="2427" t="str">
        <f t="shared" si="1"/>
        <v>R7=0020;R8=;COM=</v>
      </c>
      <c r="B10" s="576" t="s">
        <v>5536</v>
      </c>
      <c r="C10" s="1588" t="s">
        <v>4474</v>
      </c>
      <c r="D10" s="1431"/>
      <c r="E10" s="1431"/>
      <c r="F10" s="19"/>
      <c r="G10" s="19"/>
      <c r="H10" s="19"/>
      <c r="I10" s="19"/>
      <c r="J10" s="19"/>
      <c r="K10" s="19"/>
      <c r="L10" s="19"/>
      <c r="M10" s="1431"/>
      <c r="N10" s="19"/>
      <c r="O10" s="19"/>
      <c r="P10" s="1431"/>
      <c r="Q10" s="19"/>
      <c r="R10" s="19"/>
      <c r="S10" s="19"/>
      <c r="T10" s="19"/>
      <c r="U10" s="19"/>
      <c r="V10" s="19"/>
      <c r="W10" s="1431"/>
      <c r="X10" s="17">
        <f t="shared" ref="X10:X26" si="2">SUM(D10)+SUM(F10:W10)</f>
        <v>0</v>
      </c>
      <c r="Y10" s="1431"/>
      <c r="Z10" s="90"/>
      <c r="AA10" s="2130" t="b">
        <f t="shared" ref="AA10:AA26" si="3">IF(AND(OR(D10="",D10&gt;0,D10=0),OR(F10="",F10&gt;0,F10=0),OR(G10="",G10&gt;0,G10=0),OR(H10="",H10&gt;0,H10=0),OR(I10="",I10&gt;0,I10=0),OR(K10="",K10&gt;0,K10=0),OR(L10="",L10&gt;0,L10=0),OR(M10="",M10&gt;0,M10=0),OR(N10="",N10&lt;0,N10=0),OR(O10="",O10&lt;0,O10=0),OR(P10="",P10&lt;0,P10=0),OR(S10="",S10&lt;0,S10=0),OR(Q10="",Q10&lt;0,Q10=0),OR(R10="",R10&lt;0,R10=0),OR(S10="",S10&lt;0,S10=0),OR(T10="",T10&lt;0,T10=0),OR(U10="",U10&lt;0,U10=0),OR(W10="",W10&lt;0,W10=0),OR(X10=0,X10&gt;0)),TRUE,FALSE)</f>
        <v>1</v>
      </c>
      <c r="AB10" s="2422" t="b">
        <f t="shared" ref="AB10:AB26" si="4">IF(OR(M10&gt;1000,W10&lt;-1000),IF(LEN(Z10)&gt;5,TRUE,FALSE),TRUE)</f>
        <v>1</v>
      </c>
    </row>
    <row r="11" spans="1:28">
      <c r="A11" s="2427" t="str">
        <f t="shared" si="1"/>
        <v>R7=0031;R8=;COM=</v>
      </c>
      <c r="B11" s="576" t="s">
        <v>5536</v>
      </c>
      <c r="C11" s="1588" t="s">
        <v>4475</v>
      </c>
      <c r="D11" s="1431"/>
      <c r="E11" s="1431"/>
      <c r="F11" s="1431"/>
      <c r="G11" s="1431"/>
      <c r="H11" s="19"/>
      <c r="I11" s="19"/>
      <c r="J11" s="19"/>
      <c r="K11" s="19"/>
      <c r="L11" s="19"/>
      <c r="M11" s="1431"/>
      <c r="N11" s="1431"/>
      <c r="O11" s="19"/>
      <c r="P11" s="1431"/>
      <c r="Q11" s="19"/>
      <c r="R11" s="19"/>
      <c r="S11" s="19"/>
      <c r="T11" s="19"/>
      <c r="U11" s="19"/>
      <c r="V11" s="19"/>
      <c r="W11" s="1431"/>
      <c r="X11" s="17">
        <f t="shared" si="2"/>
        <v>0</v>
      </c>
      <c r="Y11" s="1431"/>
      <c r="Z11" s="90"/>
      <c r="AA11" s="2130" t="b">
        <f t="shared" si="3"/>
        <v>1</v>
      </c>
      <c r="AB11" s="2422" t="b">
        <f t="shared" si="4"/>
        <v>1</v>
      </c>
    </row>
    <row r="12" spans="1:28">
      <c r="A12" s="2427" t="str">
        <f t="shared" si="1"/>
        <v>R7=0032;R8=;COM=</v>
      </c>
      <c r="B12" s="576" t="s">
        <v>5536</v>
      </c>
      <c r="C12" s="1588" t="s">
        <v>4476</v>
      </c>
      <c r="D12" s="1431"/>
      <c r="E12" s="1431"/>
      <c r="F12" s="19"/>
      <c r="G12" s="19"/>
      <c r="H12" s="19"/>
      <c r="I12" s="19"/>
      <c r="J12" s="19"/>
      <c r="K12" s="19"/>
      <c r="L12" s="19"/>
      <c r="M12" s="1431"/>
      <c r="N12" s="19"/>
      <c r="O12" s="19"/>
      <c r="P12" s="1431"/>
      <c r="Q12" s="19"/>
      <c r="R12" s="19"/>
      <c r="S12" s="19"/>
      <c r="T12" s="19"/>
      <c r="U12" s="19"/>
      <c r="V12" s="19"/>
      <c r="W12" s="1431"/>
      <c r="X12" s="17">
        <f t="shared" si="2"/>
        <v>0</v>
      </c>
      <c r="Y12" s="1431"/>
      <c r="Z12" s="90"/>
      <c r="AA12" s="2130" t="b">
        <f t="shared" si="3"/>
        <v>1</v>
      </c>
      <c r="AB12" s="2422" t="b">
        <f t="shared" si="4"/>
        <v>1</v>
      </c>
    </row>
    <row r="13" spans="1:28">
      <c r="A13" s="2427" t="str">
        <f t="shared" si="1"/>
        <v>R7=0040;R8=;COM=</v>
      </c>
      <c r="B13" s="576" t="s">
        <v>5536</v>
      </c>
      <c r="C13" s="1588" t="s">
        <v>4477</v>
      </c>
      <c r="D13" s="1431"/>
      <c r="E13" s="1431"/>
      <c r="F13" s="19"/>
      <c r="G13" s="19"/>
      <c r="H13" s="19"/>
      <c r="I13" s="19"/>
      <c r="J13" s="19"/>
      <c r="K13" s="19"/>
      <c r="L13" s="19"/>
      <c r="M13" s="1431"/>
      <c r="N13" s="19"/>
      <c r="O13" s="19"/>
      <c r="P13" s="1431"/>
      <c r="Q13" s="19"/>
      <c r="R13" s="19"/>
      <c r="S13" s="19"/>
      <c r="T13" s="19"/>
      <c r="U13" s="19"/>
      <c r="V13" s="19"/>
      <c r="W13" s="1431"/>
      <c r="X13" s="17">
        <f t="shared" si="2"/>
        <v>0</v>
      </c>
      <c r="Y13" s="1431"/>
      <c r="Z13" s="90"/>
      <c r="AA13" s="2130" t="b">
        <f t="shared" si="3"/>
        <v>1</v>
      </c>
      <c r="AB13" s="2422" t="b">
        <f t="shared" si="4"/>
        <v>1</v>
      </c>
    </row>
    <row r="14" spans="1:28">
      <c r="A14" s="2427" t="str">
        <f t="shared" si="1"/>
        <v>R7=0051;R8=;COM=</v>
      </c>
      <c r="B14" s="576" t="s">
        <v>5536</v>
      </c>
      <c r="C14" s="1588" t="s">
        <v>4478</v>
      </c>
      <c r="D14" s="1431"/>
      <c r="E14" s="1431"/>
      <c r="F14" s="19"/>
      <c r="G14" s="1431"/>
      <c r="H14" s="1431"/>
      <c r="I14" s="1431"/>
      <c r="J14" s="1431"/>
      <c r="K14" s="1431"/>
      <c r="L14" s="1431"/>
      <c r="M14" s="1431"/>
      <c r="N14" s="19"/>
      <c r="O14" s="19"/>
      <c r="P14" s="1431"/>
      <c r="Q14" s="19"/>
      <c r="R14" s="19"/>
      <c r="S14" s="19"/>
      <c r="T14" s="19"/>
      <c r="U14" s="19"/>
      <c r="V14" s="19"/>
      <c r="W14" s="1431"/>
      <c r="X14" s="17">
        <f t="shared" si="2"/>
        <v>0</v>
      </c>
      <c r="Y14" s="1431"/>
      <c r="Z14" s="90"/>
      <c r="AA14" s="2130" t="b">
        <f t="shared" si="3"/>
        <v>1</v>
      </c>
      <c r="AB14" s="2422" t="b">
        <f t="shared" si="4"/>
        <v>1</v>
      </c>
    </row>
    <row r="15" spans="1:28">
      <c r="A15" s="2427" t="str">
        <f t="shared" si="1"/>
        <v>R7=0052;R8=;COM=</v>
      </c>
      <c r="B15" s="576" t="s">
        <v>5536</v>
      </c>
      <c r="C15" s="1588" t="s">
        <v>4479</v>
      </c>
      <c r="D15" s="1431"/>
      <c r="E15" s="1431"/>
      <c r="F15" s="19"/>
      <c r="G15" s="19"/>
      <c r="H15" s="19"/>
      <c r="I15" s="19"/>
      <c r="J15" s="19"/>
      <c r="K15" s="19"/>
      <c r="L15" s="19"/>
      <c r="M15" s="1431"/>
      <c r="N15" s="19"/>
      <c r="O15" s="19"/>
      <c r="P15" s="1431"/>
      <c r="Q15" s="19"/>
      <c r="R15" s="19"/>
      <c r="S15" s="19"/>
      <c r="T15" s="19"/>
      <c r="U15" s="1431"/>
      <c r="V15" s="1431"/>
      <c r="W15" s="1431"/>
      <c r="X15" s="17">
        <f t="shared" si="2"/>
        <v>0</v>
      </c>
      <c r="Y15" s="1431"/>
      <c r="Z15" s="90"/>
      <c r="AA15" s="2130" t="b">
        <f t="shared" si="3"/>
        <v>1</v>
      </c>
      <c r="AB15" s="2422" t="b">
        <f t="shared" si="4"/>
        <v>1</v>
      </c>
    </row>
    <row r="16" spans="1:28">
      <c r="A16" s="2427" t="str">
        <f t="shared" si="1"/>
        <v>R7=0061;R8=;COM=</v>
      </c>
      <c r="B16" s="576" t="s">
        <v>5536</v>
      </c>
      <c r="C16" s="1588" t="s">
        <v>4480</v>
      </c>
      <c r="D16" s="1431"/>
      <c r="E16" s="1431"/>
      <c r="F16" s="19"/>
      <c r="G16" s="19"/>
      <c r="H16" s="19"/>
      <c r="I16" s="19"/>
      <c r="J16" s="19"/>
      <c r="K16" s="19"/>
      <c r="L16" s="19"/>
      <c r="M16" s="1431"/>
      <c r="N16" s="19"/>
      <c r="O16" s="19"/>
      <c r="P16" s="1431"/>
      <c r="Q16" s="19"/>
      <c r="R16" s="19"/>
      <c r="S16" s="19"/>
      <c r="T16" s="19"/>
      <c r="U16" s="19"/>
      <c r="V16" s="19"/>
      <c r="W16" s="1431"/>
      <c r="X16" s="17">
        <f t="shared" si="2"/>
        <v>0</v>
      </c>
      <c r="Y16" s="1431"/>
      <c r="Z16" s="90"/>
      <c r="AA16" s="2130" t="b">
        <f t="shared" si="3"/>
        <v>1</v>
      </c>
      <c r="AB16" s="2422" t="b">
        <f t="shared" si="4"/>
        <v>1</v>
      </c>
    </row>
    <row r="17" spans="1:28">
      <c r="A17" s="2427" t="str">
        <f t="shared" si="1"/>
        <v>R7=0062;R8=;COM=</v>
      </c>
      <c r="B17" s="576" t="s">
        <v>5536</v>
      </c>
      <c r="C17" s="1588" t="s">
        <v>4481</v>
      </c>
      <c r="D17" s="1431"/>
      <c r="E17" s="1431"/>
      <c r="F17" s="19"/>
      <c r="G17" s="19"/>
      <c r="H17" s="19"/>
      <c r="I17" s="19"/>
      <c r="J17" s="19"/>
      <c r="K17" s="19"/>
      <c r="L17" s="19"/>
      <c r="M17" s="1431"/>
      <c r="N17" s="19"/>
      <c r="O17" s="19"/>
      <c r="P17" s="1431"/>
      <c r="Q17" s="19"/>
      <c r="R17" s="19"/>
      <c r="S17" s="19"/>
      <c r="T17" s="19"/>
      <c r="U17" s="19"/>
      <c r="V17" s="19"/>
      <c r="W17" s="1431"/>
      <c r="X17" s="17">
        <f t="shared" si="2"/>
        <v>0</v>
      </c>
      <c r="Y17" s="1431"/>
      <c r="Z17" s="90"/>
      <c r="AA17" s="2130" t="b">
        <f t="shared" si="3"/>
        <v>1</v>
      </c>
      <c r="AB17" s="2422" t="b">
        <f t="shared" si="4"/>
        <v>1</v>
      </c>
    </row>
    <row r="18" spans="1:28">
      <c r="A18" s="2427" t="str">
        <f t="shared" si="1"/>
        <v>R7=0070;R8=1;COM=</v>
      </c>
      <c r="B18" s="576" t="s">
        <v>5536</v>
      </c>
      <c r="C18" s="1588" t="s">
        <v>4482</v>
      </c>
      <c r="D18" s="1431"/>
      <c r="E18" s="1431"/>
      <c r="F18" s="19"/>
      <c r="G18" s="19"/>
      <c r="H18" s="1431"/>
      <c r="I18" s="19"/>
      <c r="J18" s="19"/>
      <c r="K18" s="19"/>
      <c r="L18" s="19"/>
      <c r="M18" s="1431"/>
      <c r="N18" s="1431"/>
      <c r="O18" s="19"/>
      <c r="P18" s="1431"/>
      <c r="Q18" s="19"/>
      <c r="R18" s="1431"/>
      <c r="S18" s="19"/>
      <c r="T18" s="19"/>
      <c r="U18" s="19"/>
      <c r="V18" s="19"/>
      <c r="W18" s="1431"/>
      <c r="X18" s="17">
        <f t="shared" si="2"/>
        <v>0</v>
      </c>
      <c r="Y18" s="1431"/>
      <c r="Z18" s="90"/>
      <c r="AA18" s="2130" t="b">
        <f t="shared" si="3"/>
        <v>1</v>
      </c>
      <c r="AB18" s="2422" t="b">
        <f t="shared" si="4"/>
        <v>1</v>
      </c>
    </row>
    <row r="19" spans="1:28">
      <c r="A19" s="2427" t="str">
        <f t="shared" si="1"/>
        <v>R7=0070;R8=2;COM=</v>
      </c>
      <c r="B19" s="576" t="s">
        <v>5536</v>
      </c>
      <c r="C19" s="1588" t="s">
        <v>4483</v>
      </c>
      <c r="D19" s="1431"/>
      <c r="E19" s="1431"/>
      <c r="F19" s="19"/>
      <c r="G19" s="19"/>
      <c r="H19" s="1431"/>
      <c r="I19" s="19"/>
      <c r="J19" s="19"/>
      <c r="K19" s="19"/>
      <c r="L19" s="19"/>
      <c r="M19" s="1431"/>
      <c r="N19" s="1431"/>
      <c r="O19" s="1431"/>
      <c r="P19" s="1431"/>
      <c r="Q19" s="1431"/>
      <c r="R19" s="1431"/>
      <c r="S19" s="19"/>
      <c r="T19" s="19"/>
      <c r="U19" s="1431"/>
      <c r="V19" s="1431"/>
      <c r="W19" s="1431"/>
      <c r="X19" s="17">
        <f t="shared" si="2"/>
        <v>0</v>
      </c>
      <c r="Y19" s="1431"/>
      <c r="Z19" s="90"/>
      <c r="AA19" s="2130" t="b">
        <f t="shared" si="3"/>
        <v>1</v>
      </c>
      <c r="AB19" s="2422" t="b">
        <f t="shared" si="4"/>
        <v>1</v>
      </c>
    </row>
    <row r="20" spans="1:28">
      <c r="A20" s="2427" t="str">
        <f t="shared" si="1"/>
        <v>R7=0070;R8=3;COM=</v>
      </c>
      <c r="B20" s="576" t="s">
        <v>5536</v>
      </c>
      <c r="C20" s="1588" t="s">
        <v>4484</v>
      </c>
      <c r="D20" s="1431"/>
      <c r="E20" s="1431"/>
      <c r="F20" s="19"/>
      <c r="G20" s="19"/>
      <c r="H20" s="1431"/>
      <c r="I20" s="19"/>
      <c r="J20" s="19"/>
      <c r="K20" s="19"/>
      <c r="L20" s="19"/>
      <c r="M20" s="1431"/>
      <c r="N20" s="19"/>
      <c r="O20" s="19"/>
      <c r="P20" s="1431"/>
      <c r="Q20" s="19"/>
      <c r="R20" s="19"/>
      <c r="S20" s="19"/>
      <c r="T20" s="19"/>
      <c r="U20" s="19"/>
      <c r="V20" s="19"/>
      <c r="W20" s="1431"/>
      <c r="X20" s="17">
        <f t="shared" si="2"/>
        <v>0</v>
      </c>
      <c r="Y20" s="1431"/>
      <c r="Z20" s="90"/>
      <c r="AA20" s="2130" t="b">
        <f t="shared" si="3"/>
        <v>1</v>
      </c>
      <c r="AB20" s="2422" t="b">
        <f t="shared" si="4"/>
        <v>1</v>
      </c>
    </row>
    <row r="21" spans="1:28" s="1589" customFormat="1">
      <c r="A21" s="2427" t="str">
        <f t="shared" si="1"/>
        <v>R7=0080;R8=;COM=</v>
      </c>
      <c r="B21" s="737"/>
      <c r="C21" s="1588" t="s">
        <v>14352</v>
      </c>
      <c r="D21" s="1431"/>
      <c r="E21" s="1431"/>
      <c r="F21" s="738"/>
      <c r="G21" s="738"/>
      <c r="H21" s="738"/>
      <c r="I21" s="738"/>
      <c r="J21" s="738"/>
      <c r="K21" s="738"/>
      <c r="L21" s="738"/>
      <c r="M21" s="1431"/>
      <c r="N21" s="738"/>
      <c r="O21" s="738"/>
      <c r="P21" s="738"/>
      <c r="Q21" s="738"/>
      <c r="R21" s="738"/>
      <c r="S21" s="738"/>
      <c r="T21" s="738"/>
      <c r="U21" s="738"/>
      <c r="V21" s="738"/>
      <c r="W21" s="1431"/>
      <c r="X21" s="17">
        <f t="shared" si="2"/>
        <v>0</v>
      </c>
      <c r="Y21" s="1431"/>
      <c r="Z21" s="739"/>
      <c r="AA21" s="2130" t="b">
        <f t="shared" si="3"/>
        <v>1</v>
      </c>
      <c r="AB21" s="2422" t="b">
        <f t="shared" si="4"/>
        <v>1</v>
      </c>
    </row>
    <row r="22" spans="1:28">
      <c r="A22" s="2427" t="str">
        <f t="shared" si="1"/>
        <v>R7=0091;R8=;COM=</v>
      </c>
      <c r="B22" s="576" t="s">
        <v>5536</v>
      </c>
      <c r="C22" s="1588" t="s">
        <v>4485</v>
      </c>
      <c r="D22" s="1431"/>
      <c r="E22" s="1431"/>
      <c r="F22" s="19"/>
      <c r="G22" s="19"/>
      <c r="H22" s="19"/>
      <c r="I22" s="19"/>
      <c r="J22" s="19"/>
      <c r="K22" s="19"/>
      <c r="L22" s="19"/>
      <c r="M22" s="1431"/>
      <c r="N22" s="19"/>
      <c r="O22" s="19"/>
      <c r="P22" s="1431"/>
      <c r="Q22" s="19"/>
      <c r="R22" s="19"/>
      <c r="S22" s="19"/>
      <c r="T22" s="19"/>
      <c r="U22" s="19"/>
      <c r="V22" s="19"/>
      <c r="W22" s="1431"/>
      <c r="X22" s="17">
        <f t="shared" si="2"/>
        <v>0</v>
      </c>
      <c r="Y22" s="1431"/>
      <c r="Z22" s="90"/>
      <c r="AA22" s="2130" t="b">
        <f t="shared" si="3"/>
        <v>1</v>
      </c>
      <c r="AB22" s="2422" t="b">
        <f t="shared" si="4"/>
        <v>1</v>
      </c>
    </row>
    <row r="23" spans="1:28">
      <c r="A23" s="2427" t="str">
        <f t="shared" si="1"/>
        <v>R7=0092;R8=;COM=</v>
      </c>
      <c r="B23" s="576" t="s">
        <v>5536</v>
      </c>
      <c r="C23" s="1588" t="s">
        <v>4486</v>
      </c>
      <c r="D23" s="1431"/>
      <c r="E23" s="1431"/>
      <c r="F23" s="19"/>
      <c r="G23" s="19"/>
      <c r="H23" s="19"/>
      <c r="I23" s="19"/>
      <c r="J23" s="19"/>
      <c r="K23" s="19"/>
      <c r="L23" s="19"/>
      <c r="M23" s="1431"/>
      <c r="N23" s="19"/>
      <c r="O23" s="19"/>
      <c r="P23" s="1431"/>
      <c r="Q23" s="19"/>
      <c r="R23" s="19"/>
      <c r="S23" s="19"/>
      <c r="T23" s="19"/>
      <c r="U23" s="19"/>
      <c r="V23" s="19"/>
      <c r="W23" s="1431"/>
      <c r="X23" s="17">
        <f t="shared" si="2"/>
        <v>0</v>
      </c>
      <c r="Y23" s="1431"/>
      <c r="Z23" s="90"/>
      <c r="AA23" s="2130" t="b">
        <f t="shared" si="3"/>
        <v>1</v>
      </c>
      <c r="AB23" s="2422" t="b">
        <f t="shared" si="4"/>
        <v>1</v>
      </c>
    </row>
    <row r="24" spans="1:28" s="2830" customFormat="1">
      <c r="A24" s="2427" t="str">
        <f t="shared" si="1"/>
        <v>R7=0093;R8=;COM=</v>
      </c>
      <c r="B24" s="576"/>
      <c r="C24" s="1588" t="s">
        <v>1403</v>
      </c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1"/>
      <c r="U24" s="1431"/>
      <c r="V24" s="1431"/>
      <c r="W24" s="1431"/>
      <c r="X24" s="17">
        <f t="shared" si="2"/>
        <v>0</v>
      </c>
      <c r="Y24" s="1431"/>
      <c r="Z24" s="90"/>
      <c r="AA24" s="2130" t="b">
        <f t="shared" si="3"/>
        <v>1</v>
      </c>
      <c r="AB24" s="2830" t="b">
        <f t="shared" ref="AB24:AB25" si="5">IF(OR(M24&gt;1000,W24&lt;-1000),IF(LEN(Z24)&gt;5,TRUE,FALSE),TRUE)</f>
        <v>1</v>
      </c>
    </row>
    <row r="25" spans="1:28" s="2830" customFormat="1">
      <c r="A25" s="2427" t="str">
        <f t="shared" si="1"/>
        <v>R7=0101;R8=;COM=</v>
      </c>
      <c r="B25" s="576"/>
      <c r="C25" s="1588" t="s">
        <v>14354</v>
      </c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1"/>
      <c r="U25" s="1431"/>
      <c r="V25" s="1431"/>
      <c r="W25" s="1431"/>
      <c r="X25" s="17">
        <f t="shared" si="2"/>
        <v>0</v>
      </c>
      <c r="Y25" s="1431"/>
      <c r="Z25" s="90"/>
      <c r="AA25" s="2130" t="b">
        <f t="shared" si="3"/>
        <v>1</v>
      </c>
      <c r="AB25" s="2830" t="b">
        <f t="shared" si="5"/>
        <v>1</v>
      </c>
    </row>
    <row r="26" spans="1:28" ht="25.5" thickBot="1">
      <c r="A26" s="2427" t="str">
        <f t="shared" si="1"/>
        <v>R7=100;R8=;COM=</v>
      </c>
      <c r="B26" s="576"/>
      <c r="C26" s="3440" t="s">
        <v>14353</v>
      </c>
      <c r="D26" s="1432"/>
      <c r="E26" s="3441"/>
      <c r="F26" s="66"/>
      <c r="G26" s="66"/>
      <c r="H26" s="66"/>
      <c r="I26" s="66"/>
      <c r="J26" s="66"/>
      <c r="K26" s="66"/>
      <c r="L26" s="66"/>
      <c r="M26" s="817"/>
      <c r="N26" s="66"/>
      <c r="O26" s="66"/>
      <c r="P26" s="66"/>
      <c r="Q26" s="66"/>
      <c r="R26" s="66"/>
      <c r="S26" s="66"/>
      <c r="T26" s="66"/>
      <c r="U26" s="66"/>
      <c r="V26" s="66"/>
      <c r="W26" s="817"/>
      <c r="X26" s="3304">
        <f t="shared" si="2"/>
        <v>0</v>
      </c>
      <c r="Y26" s="1431"/>
      <c r="Z26" s="83"/>
      <c r="AA26" s="2130" t="b">
        <f t="shared" si="3"/>
        <v>1</v>
      </c>
      <c r="AB26" s="2422" t="b">
        <f t="shared" si="4"/>
        <v>1</v>
      </c>
    </row>
    <row r="28" spans="1:28">
      <c r="C28" s="1590"/>
    </row>
    <row r="29" spans="1:28">
      <c r="C29" s="1590"/>
    </row>
    <row r="30" spans="1:28">
      <c r="C30" s="1590"/>
    </row>
    <row r="31" spans="1:28">
      <c r="C31" s="1590"/>
      <c r="E31" s="2830">
        <f>SUMIF('08'!_xlnm.Print_Titles,"")</f>
        <v>0</v>
      </c>
    </row>
    <row r="32" spans="1:28">
      <c r="C32" s="1590"/>
    </row>
    <row r="33" spans="3:3">
      <c r="C33" s="1590"/>
    </row>
    <row r="34" spans="3:3">
      <c r="C34" s="1590"/>
    </row>
    <row r="35" spans="3:3">
      <c r="C35" s="1590"/>
    </row>
    <row r="36" spans="3:3">
      <c r="C36" s="1590"/>
    </row>
    <row r="37" spans="3:3">
      <c r="C37" s="1590"/>
    </row>
  </sheetData>
  <sheetProtection algorithmName="SHA-512" hashValue="0LMBJreUAoqoCsqDzqfuBpIJiMzi4Ro83J/K04ANd8oEXAMPzZehkVU7h6H8lItuIZ7yr0hGAUGXvbkmJCvZ4A==" saltValue="r1O4Awayz7ciki15cAuwjw==" spinCount="100000" sheet="1" objects="1" scenarios="1" formatColumns="0" formatRows="0" autoFilter="0"/>
  <autoFilter ref="C7:AB7"/>
  <customSheetViews>
    <customSheetView guid="{3769259D-9653-4B34-A2F6-4FB6F9F4E533}" scale="70" showGridLines="0" showAutoFilter="1" hiddenRows="1" hiddenColumns="1">
      <pane xSplit="4" ySplit="8" topLeftCell="E9" activePane="bottomRight" state="frozen"/>
      <selection pane="bottomRight" activeCell="C17" sqref="C17"/>
      <pageMargins left="0.7" right="0.7" top="0.75" bottom="0.75" header="0.3" footer="0.3"/>
      <autoFilter ref="B1:R1"/>
    </customSheetView>
    <customSheetView guid="{40D7A2BB-326C-4ED3-999C-17852F56D6F4}" scale="70" showGridLines="0" showAutoFilter="1" hiddenRows="1" hiddenColumns="1">
      <pane xSplit="4" ySplit="8" topLeftCell="E9" activePane="bottomRight" state="frozen"/>
      <selection pane="bottomRight" activeCell="C17" sqref="C17"/>
      <pageMargins left="0.7" right="0.7" top="0.75" bottom="0.75" header="0.3" footer="0.3"/>
      <autoFilter ref="B1:R1"/>
    </customSheetView>
    <customSheetView guid="{5D121940-0CE8-4A0E-A493-67FAAA6E0FF8}" scale="70" showGridLines="0" showAutoFilter="1" hiddenRows="1" hiddenColumns="1" topLeftCell="B2">
      <pane xSplit="3" ySplit="7" topLeftCell="M9" activePane="bottomRight" state="frozen"/>
      <selection pane="bottomRight" activeCell="T27" sqref="T27"/>
      <pageMargins left="0.7" right="0.7" top="0.75" bottom="0.75" header="0.3" footer="0.3"/>
      <autoFilter ref="B1:R1"/>
    </customSheetView>
    <customSheetView guid="{47AEACC4-6EA5-412C-AF39-A6C5357B313A}" scale="70" showGridLines="0" showAutoFilter="1" hiddenRows="1" hiddenColumns="1" topLeftCell="B2">
      <pane xSplit="3" ySplit="7" topLeftCell="E9" activePane="bottomRight" state="frozen"/>
      <selection pane="bottomRight" activeCell="C21" sqref="C21:H21"/>
      <pageMargins left="0.7" right="0.7" top="0.75" bottom="0.75" header="0.3" footer="0.3"/>
      <autoFilter ref="B1:R1"/>
    </customSheetView>
    <customSheetView guid="{4D957B38-5430-481E-B791-E0A66F913B50}" scale="70">
      <pageMargins left="0.7" right="0.7" top="0.75" bottom="0.75" header="0.3" footer="0.3"/>
    </customSheetView>
    <customSheetView guid="{D03DFE91-19D2-43BA-897C-B86D033537EB}" scale="70">
      <selection activeCell="E13" sqref="E13"/>
      <pageMargins left="0.7" right="0.7" top="0.75" bottom="0.75" header="0.3" footer="0.3"/>
    </customSheetView>
    <customSheetView guid="{1C36793E-2B7E-411E-AA99-985D5D59B75A}" scale="70">
      <selection activeCell="C27" sqref="C27"/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3" ySplit="7" topLeftCell="I9" activePane="bottomRight" state="frozen"/>
      <selection pane="bottomRight" activeCell="C7" sqref="C7:Q7"/>
      <pageMargins left="0.7" right="0.7" top="0.75" bottom="0.75" header="0.3" footer="0.3"/>
      <autoFilter ref="B1:R1"/>
    </customSheetView>
  </customSheetViews>
  <phoneticPr fontId="0" type="noConversion"/>
  <dataValidations count="3">
    <dataValidation operator="equal" allowBlank="1" showErrorMessage="1" errorTitle="Выбор элемента списка" error="Данного элемента нет в списке" sqref="U9:V14 Z9:Z25 C9:C23 F9:G10 D9:E26 F12:F25 G12:G13 N12:N17 N9:N10 O9:Q18 N20:R25 R9:R17 U16:V18 H9:L13 G15:L25 S9:T25 U20:V25 X9:Y26"/>
    <dataValidation operator="equal" showErrorMessage="1" errorTitle="Выбор элемента списка" error="Заполнение данных только по согласованию с отделом ОКО" sqref="W9:W26"/>
    <dataValidation operator="equal" showErrorMessage="1" errorTitle="Выбор элемента списка" error="Заполнение данных только по согласованию с отделом ОКО" sqref="M9:M26"/>
  </dataValidations>
  <hyperlinks>
    <hyperlink ref="L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2" fitToWidth="2" orientation="landscape" horizontalDpi="4294967294" verticalDpi="4294967294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>
    <pageSetUpPr fitToPage="1"/>
  </sheetPr>
  <dimension ref="A1:J201"/>
  <sheetViews>
    <sheetView topLeftCell="B2" zoomScale="55" zoomScaleNormal="55" workbookViewId="0">
      <selection activeCell="F17" sqref="F17"/>
    </sheetView>
  </sheetViews>
  <sheetFormatPr defaultColWidth="9.453125" defaultRowHeight="14.5"/>
  <cols>
    <col min="1" max="1" width="6.81640625" style="1163" hidden="1" customWidth="1"/>
    <col min="2" max="2" width="2.453125" style="1163" customWidth="1"/>
    <col min="3" max="3" width="59.453125" style="1163" bestFit="1" customWidth="1"/>
    <col min="4" max="4" width="47.54296875" style="1163" customWidth="1"/>
    <col min="5" max="5" width="27.54296875" style="1163" bestFit="1" customWidth="1"/>
    <col min="6" max="6" width="21.453125" style="1163" customWidth="1"/>
    <col min="7" max="7" width="6.54296875" style="1163" hidden="1" customWidth="1"/>
    <col min="8" max="8" width="9.453125" style="1163"/>
    <col min="9" max="9" width="31.453125" style="1163" bestFit="1" customWidth="1"/>
    <col min="10" max="16384" width="9.453125" style="1163"/>
  </cols>
  <sheetData>
    <row r="1" spans="1:10" ht="35.25" hidden="1" customHeight="1">
      <c r="A1" s="23" t="s">
        <v>5884</v>
      </c>
      <c r="B1" s="29"/>
      <c r="C1" s="29"/>
      <c r="D1" s="29"/>
      <c r="E1" s="29" t="s">
        <v>1255</v>
      </c>
      <c r="F1" s="6"/>
      <c r="G1" s="1163" t="s">
        <v>1255</v>
      </c>
      <c r="I1" s="2082"/>
      <c r="J1" s="2082"/>
    </row>
    <row r="2" spans="1:10">
      <c r="A2" s="7"/>
      <c r="B2" s="23"/>
      <c r="C2"/>
      <c r="D2" s="10"/>
      <c r="E2" s="10"/>
      <c r="F2" s="10"/>
    </row>
    <row r="3" spans="1:10">
      <c r="A3" s="30"/>
      <c r="B3" s="351"/>
      <c r="C3" s="11" t="s">
        <v>3242</v>
      </c>
      <c r="D3" s="3044" t="s">
        <v>1436</v>
      </c>
      <c r="E3" s="1897" t="s">
        <v>2067</v>
      </c>
      <c r="F3" s="1244">
        <f>Содержание!$D$2</f>
        <v>0</v>
      </c>
    </row>
    <row r="4" spans="1:10" ht="15" thickBot="1">
      <c r="A4" s="30"/>
      <c r="B4" s="351"/>
      <c r="C4" s="24"/>
      <c r="D4" s="24" t="b">
        <f t="array" ref="D4">IF(SMALL(IF(""=C9:C2700,ROW(C9:C2700),2700),1)&gt;LARGE(IF(""&lt;&gt;C9:C2700,ROW(C9:C2700),0),1),TRUE,FALSE)</f>
        <v>1</v>
      </c>
      <c r="E4" s="1897" t="s">
        <v>2075</v>
      </c>
      <c r="F4" s="1244" t="str">
        <f>Содержание!$D$15</f>
        <v>2022 год</v>
      </c>
    </row>
    <row r="5" spans="1:10" ht="26">
      <c r="A5" s="30"/>
      <c r="B5" s="113"/>
      <c r="C5" s="85" t="s">
        <v>3395</v>
      </c>
      <c r="D5" s="28" t="s">
        <v>3239</v>
      </c>
      <c r="E5" s="28" t="s">
        <v>736</v>
      </c>
      <c r="F5" s="82" t="s">
        <v>3401</v>
      </c>
      <c r="I5" s="1137" t="s">
        <v>2974</v>
      </c>
      <c r="J5" s="67" t="s">
        <v>4170</v>
      </c>
    </row>
    <row r="6" spans="1:10" ht="39">
      <c r="A6" s="350" t="s">
        <v>6419</v>
      </c>
      <c r="B6" s="113"/>
      <c r="C6" s="71">
        <v>1010</v>
      </c>
      <c r="D6" s="16" t="s">
        <v>3397</v>
      </c>
      <c r="E6" s="2336" t="s">
        <v>8638</v>
      </c>
      <c r="F6" s="302" t="s">
        <v>865</v>
      </c>
      <c r="G6" s="2546">
        <f>J9</f>
        <v>0</v>
      </c>
      <c r="I6" s="804" t="s">
        <v>1146</v>
      </c>
      <c r="J6" s="2128"/>
    </row>
    <row r="7" spans="1:10" s="674" customFormat="1" ht="10.5">
      <c r="A7" s="2548" t="s">
        <v>6418</v>
      </c>
      <c r="B7" s="678"/>
      <c r="C7" s="692" t="s">
        <v>4164</v>
      </c>
      <c r="D7" s="1592" t="s">
        <v>4165</v>
      </c>
      <c r="E7" s="1592" t="s">
        <v>4166</v>
      </c>
      <c r="F7" s="1586" t="s">
        <v>5500</v>
      </c>
      <c r="G7" s="2547">
        <f>J10</f>
        <v>0</v>
      </c>
      <c r="I7" s="1591" t="s">
        <v>4164</v>
      </c>
      <c r="J7" s="1586" t="s">
        <v>5858</v>
      </c>
    </row>
    <row r="8" spans="1:10" s="646" customFormat="1">
      <c r="A8" s="648"/>
      <c r="B8" s="647"/>
      <c r="C8" s="301" t="s">
        <v>4170</v>
      </c>
      <c r="D8" s="211" t="s">
        <v>4184</v>
      </c>
      <c r="E8" s="1900">
        <f>SUM(E9:E65534)</f>
        <v>0</v>
      </c>
      <c r="F8" s="1174" t="s">
        <v>3196</v>
      </c>
      <c r="I8" s="1593" t="s">
        <v>3196</v>
      </c>
      <c r="J8" s="1174" t="s">
        <v>3196</v>
      </c>
    </row>
    <row r="9" spans="1:10">
      <c r="A9" s="350" t="str">
        <f>"R2="&amp;IFERROR(MID(C9,FIND("{",C9)+1,FIND("}",C9)-FIND("{",C9)-1),"")&amp;";R3="&amp;IFERROR(MID(D9,FIND("{",D9)+1,FIND("}",D9)-FIND("{",D9)-3),"")&amp;";R4="&amp;IFERROR(MID(D9,FIND("{",D9)+5,FIND("}",D9)-FIND("{",D9)-5),"")&amp;";COM="&amp;F9</f>
        <v>R2=;R3=;R4=;COM=</v>
      </c>
      <c r="B9" s="577" t="s">
        <v>5536</v>
      </c>
      <c r="C9" s="337"/>
      <c r="D9" s="338"/>
      <c r="E9" s="1782"/>
      <c r="F9" s="305"/>
      <c r="I9" s="1594" t="s">
        <v>1144</v>
      </c>
      <c r="J9" s="305"/>
    </row>
    <row r="10" spans="1:10" ht="15" thickBot="1">
      <c r="A10" s="350" t="str">
        <f t="shared" ref="A10:A73" si="0">"R2="&amp;IFERROR(MID(C10,FIND("{",C10)+1,FIND("}",C10)-FIND("{",C10)-1),"")&amp;";R3="&amp;IFERROR(MID(D10,FIND("{",D10)+1,FIND("}",D10)-FIND("{",D10)-3),"")&amp;";R4="&amp;IFERROR(MID(D10,FIND("{",D10)+5,FIND("}",D10)-FIND("{",D10)-5),"")&amp;";COM="&amp;F10</f>
        <v>R2=;R3=;R4=;COM=</v>
      </c>
      <c r="B10" s="577" t="s">
        <v>5536</v>
      </c>
      <c r="C10" s="337"/>
      <c r="D10" s="338"/>
      <c r="E10" s="1782"/>
      <c r="F10" s="305"/>
      <c r="I10" s="1595" t="s">
        <v>1145</v>
      </c>
      <c r="J10" s="306"/>
    </row>
    <row r="11" spans="1:10">
      <c r="A11" s="350" t="str">
        <f t="shared" si="0"/>
        <v>R2=;R3=;R4=;COM=</v>
      </c>
      <c r="B11" s="577"/>
      <c r="C11" s="337"/>
      <c r="D11" s="338"/>
      <c r="E11" s="1782"/>
      <c r="F11" s="305"/>
    </row>
    <row r="12" spans="1:10">
      <c r="A12" s="350" t="str">
        <f t="shared" si="0"/>
        <v>R2=;R3=;R4=;COM=</v>
      </c>
      <c r="B12" s="577"/>
      <c r="C12" s="337"/>
      <c r="D12" s="338"/>
      <c r="E12" s="1782"/>
      <c r="F12" s="305"/>
    </row>
    <row r="13" spans="1:10">
      <c r="A13" s="350" t="str">
        <f t="shared" si="0"/>
        <v>R2=;R3=;R4=;COM=</v>
      </c>
      <c r="B13" s="577"/>
      <c r="C13" s="337"/>
      <c r="D13" s="338"/>
      <c r="E13" s="1782"/>
      <c r="F13" s="305"/>
    </row>
    <row r="14" spans="1:10">
      <c r="A14" s="350" t="str">
        <f t="shared" si="0"/>
        <v>R2=;R3=;R4=;COM=</v>
      </c>
      <c r="B14" s="577"/>
      <c r="C14" s="337"/>
      <c r="D14" s="338"/>
      <c r="E14" s="1782"/>
      <c r="F14" s="305"/>
    </row>
    <row r="15" spans="1:10">
      <c r="A15" s="350" t="str">
        <f t="shared" si="0"/>
        <v>R2=;R3=;R4=;COM=</v>
      </c>
      <c r="B15" s="577"/>
      <c r="C15" s="337"/>
      <c r="D15" s="338"/>
      <c r="E15" s="1782"/>
      <c r="F15" s="305"/>
    </row>
    <row r="16" spans="1:10">
      <c r="A16" s="350" t="str">
        <f t="shared" si="0"/>
        <v>R2=;R3=;R4=;COM=</v>
      </c>
      <c r="B16" s="577"/>
      <c r="C16" s="337"/>
      <c r="D16" s="338"/>
      <c r="E16" s="1782"/>
      <c r="F16" s="305"/>
    </row>
    <row r="17" spans="1:6">
      <c r="A17" s="350" t="str">
        <f t="shared" si="0"/>
        <v>R2=;R3=;R4=;COM=</v>
      </c>
      <c r="B17" s="577"/>
      <c r="C17" s="337"/>
      <c r="D17" s="338"/>
      <c r="E17" s="1782"/>
      <c r="F17" s="305"/>
    </row>
    <row r="18" spans="1:6">
      <c r="A18" s="350" t="str">
        <f t="shared" si="0"/>
        <v>R2=;R3=;R4=;COM=</v>
      </c>
      <c r="B18" s="577"/>
      <c r="C18" s="337"/>
      <c r="D18" s="338"/>
      <c r="E18" s="1782"/>
      <c r="F18" s="305"/>
    </row>
    <row r="19" spans="1:6">
      <c r="A19" s="350" t="str">
        <f t="shared" si="0"/>
        <v>R2=;R3=;R4=;COM=</v>
      </c>
      <c r="B19" s="577"/>
      <c r="C19" s="337"/>
      <c r="D19" s="338"/>
      <c r="E19" s="1782"/>
      <c r="F19" s="305"/>
    </row>
    <row r="20" spans="1:6">
      <c r="A20" s="350" t="str">
        <f t="shared" si="0"/>
        <v>R2=;R3=;R4=;COM=</v>
      </c>
      <c r="B20" s="577"/>
      <c r="C20" s="337"/>
      <c r="D20" s="338"/>
      <c r="E20" s="1782"/>
      <c r="F20" s="305"/>
    </row>
    <row r="21" spans="1:6">
      <c r="A21" s="350" t="str">
        <f t="shared" si="0"/>
        <v>R2=;R3=;R4=;COM=</v>
      </c>
      <c r="B21" s="577"/>
      <c r="C21" s="337"/>
      <c r="D21" s="338"/>
      <c r="E21" s="1782"/>
      <c r="F21" s="305"/>
    </row>
    <row r="22" spans="1:6">
      <c r="A22" s="350" t="str">
        <f t="shared" si="0"/>
        <v>R2=;R3=;R4=;COM=</v>
      </c>
      <c r="B22" s="577"/>
      <c r="C22" s="337"/>
      <c r="D22" s="338"/>
      <c r="E22" s="1782"/>
      <c r="F22" s="305"/>
    </row>
    <row r="23" spans="1:6">
      <c r="A23" s="350" t="str">
        <f t="shared" si="0"/>
        <v>R2=;R3=;R4=;COM=</v>
      </c>
      <c r="B23" s="577"/>
      <c r="C23" s="337"/>
      <c r="D23" s="338"/>
      <c r="E23" s="1782"/>
      <c r="F23" s="305"/>
    </row>
    <row r="24" spans="1:6">
      <c r="A24" s="350" t="str">
        <f t="shared" si="0"/>
        <v>R2=;R3=;R4=;COM=</v>
      </c>
      <c r="B24" s="577"/>
      <c r="C24" s="337"/>
      <c r="D24" s="338"/>
      <c r="E24" s="1782"/>
      <c r="F24" s="305"/>
    </row>
    <row r="25" spans="1:6">
      <c r="A25" s="350" t="str">
        <f t="shared" si="0"/>
        <v>R2=;R3=;R4=;COM=</v>
      </c>
      <c r="B25" s="577"/>
      <c r="C25" s="337"/>
      <c r="D25" s="338"/>
      <c r="E25" s="1782"/>
      <c r="F25" s="305"/>
    </row>
    <row r="26" spans="1:6">
      <c r="A26" s="350" t="str">
        <f t="shared" si="0"/>
        <v>R2=;R3=;R4=;COM=</v>
      </c>
      <c r="B26" s="577"/>
      <c r="C26" s="337"/>
      <c r="D26" s="338"/>
      <c r="E26" s="1782"/>
      <c r="F26" s="305"/>
    </row>
    <row r="27" spans="1:6">
      <c r="A27" s="350" t="str">
        <f t="shared" si="0"/>
        <v>R2=;R3=;R4=;COM=</v>
      </c>
      <c r="B27" s="577"/>
      <c r="C27" s="337"/>
      <c r="D27" s="338"/>
      <c r="E27" s="1782"/>
      <c r="F27" s="305"/>
    </row>
    <row r="28" spans="1:6">
      <c r="A28" s="350" t="str">
        <f t="shared" si="0"/>
        <v>R2=;R3=;R4=;COM=</v>
      </c>
      <c r="B28" s="577"/>
      <c r="C28" s="337"/>
      <c r="D28" s="338"/>
      <c r="E28" s="1782"/>
      <c r="F28" s="305"/>
    </row>
    <row r="29" spans="1:6">
      <c r="A29" s="350" t="str">
        <f t="shared" si="0"/>
        <v>R2=;R3=;R4=;COM=</v>
      </c>
      <c r="B29" s="577"/>
      <c r="C29" s="337"/>
      <c r="D29" s="338"/>
      <c r="E29" s="1782"/>
      <c r="F29" s="305"/>
    </row>
    <row r="30" spans="1:6">
      <c r="A30" s="350" t="str">
        <f t="shared" si="0"/>
        <v>R2=;R3=;R4=;COM=</v>
      </c>
      <c r="B30" s="577"/>
      <c r="C30" s="337"/>
      <c r="D30" s="338"/>
      <c r="E30" s="1782"/>
      <c r="F30" s="305"/>
    </row>
    <row r="31" spans="1:6">
      <c r="A31" s="350" t="str">
        <f t="shared" si="0"/>
        <v>R2=;R3=;R4=;COM=</v>
      </c>
      <c r="B31" s="577"/>
      <c r="C31" s="337"/>
      <c r="D31" s="338"/>
      <c r="E31" s="1782"/>
      <c r="F31" s="305"/>
    </row>
    <row r="32" spans="1:6">
      <c r="A32" s="350" t="str">
        <f t="shared" si="0"/>
        <v>R2=;R3=;R4=;COM=</v>
      </c>
      <c r="B32" s="577"/>
      <c r="C32" s="337"/>
      <c r="D32" s="338"/>
      <c r="E32" s="1782"/>
      <c r="F32" s="305"/>
    </row>
    <row r="33" spans="1:6">
      <c r="A33" s="350" t="str">
        <f t="shared" si="0"/>
        <v>R2=;R3=;R4=;COM=</v>
      </c>
      <c r="B33" s="577"/>
      <c r="C33" s="337"/>
      <c r="D33" s="338"/>
      <c r="E33" s="1782"/>
      <c r="F33" s="305"/>
    </row>
    <row r="34" spans="1:6">
      <c r="A34" s="350" t="str">
        <f t="shared" si="0"/>
        <v>R2=;R3=;R4=;COM=</v>
      </c>
      <c r="B34" s="577"/>
      <c r="C34" s="337"/>
      <c r="D34" s="338"/>
      <c r="E34" s="1782"/>
      <c r="F34" s="305"/>
    </row>
    <row r="35" spans="1:6">
      <c r="A35" s="350" t="str">
        <f t="shared" si="0"/>
        <v>R2=;R3=;R4=;COM=</v>
      </c>
      <c r="B35" s="577"/>
      <c r="C35" s="337"/>
      <c r="D35" s="338"/>
      <c r="E35" s="1782"/>
      <c r="F35" s="305"/>
    </row>
    <row r="36" spans="1:6">
      <c r="A36" s="350" t="str">
        <f t="shared" si="0"/>
        <v>R2=;R3=;R4=;COM=</v>
      </c>
      <c r="B36" s="577"/>
      <c r="C36" s="337"/>
      <c r="D36" s="338"/>
      <c r="E36" s="1782"/>
      <c r="F36" s="305"/>
    </row>
    <row r="37" spans="1:6">
      <c r="A37" s="350" t="str">
        <f t="shared" si="0"/>
        <v>R2=;R3=;R4=;COM=</v>
      </c>
      <c r="B37" s="577"/>
      <c r="C37" s="337"/>
      <c r="D37" s="338"/>
      <c r="E37" s="1782"/>
      <c r="F37" s="305"/>
    </row>
    <row r="38" spans="1:6">
      <c r="A38" s="350" t="str">
        <f t="shared" si="0"/>
        <v>R2=;R3=;R4=;COM=</v>
      </c>
      <c r="B38" s="577"/>
      <c r="C38" s="337"/>
      <c r="D38" s="338"/>
      <c r="E38" s="1782"/>
      <c r="F38" s="305"/>
    </row>
    <row r="39" spans="1:6">
      <c r="A39" s="350" t="str">
        <f t="shared" si="0"/>
        <v>R2=;R3=;R4=;COM=</v>
      </c>
      <c r="B39" s="577"/>
      <c r="C39" s="337"/>
      <c r="D39" s="338"/>
      <c r="E39" s="1782"/>
      <c r="F39" s="305"/>
    </row>
    <row r="40" spans="1:6">
      <c r="A40" s="350" t="str">
        <f t="shared" si="0"/>
        <v>R2=;R3=;R4=;COM=</v>
      </c>
      <c r="B40" s="577"/>
      <c r="C40" s="337"/>
      <c r="D40" s="338"/>
      <c r="E40" s="1782"/>
      <c r="F40" s="305"/>
    </row>
    <row r="41" spans="1:6">
      <c r="A41" s="350" t="str">
        <f t="shared" si="0"/>
        <v>R2=;R3=;R4=;COM=</v>
      </c>
      <c r="B41" s="577"/>
      <c r="C41" s="337"/>
      <c r="D41" s="338"/>
      <c r="E41" s="1782"/>
      <c r="F41" s="305"/>
    </row>
    <row r="42" spans="1:6">
      <c r="A42" s="350" t="str">
        <f t="shared" si="0"/>
        <v>R2=;R3=;R4=;COM=</v>
      </c>
      <c r="B42" s="577"/>
      <c r="C42" s="337"/>
      <c r="D42" s="338"/>
      <c r="E42" s="1782"/>
      <c r="F42" s="305"/>
    </row>
    <row r="43" spans="1:6">
      <c r="A43" s="350" t="str">
        <f t="shared" si="0"/>
        <v>R2=;R3=;R4=;COM=</v>
      </c>
      <c r="B43" s="577"/>
      <c r="C43" s="337"/>
      <c r="D43" s="338"/>
      <c r="E43" s="1782"/>
      <c r="F43" s="305"/>
    </row>
    <row r="44" spans="1:6">
      <c r="A44" s="350" t="str">
        <f t="shared" si="0"/>
        <v>R2=;R3=;R4=;COM=</v>
      </c>
      <c r="B44" s="577"/>
      <c r="C44" s="337"/>
      <c r="D44" s="338"/>
      <c r="E44" s="1782"/>
      <c r="F44" s="305"/>
    </row>
    <row r="45" spans="1:6">
      <c r="A45" s="350" t="str">
        <f t="shared" si="0"/>
        <v>R2=;R3=;R4=;COM=</v>
      </c>
      <c r="B45" s="577"/>
      <c r="C45" s="337"/>
      <c r="D45" s="338"/>
      <c r="E45" s="1782"/>
      <c r="F45" s="305"/>
    </row>
    <row r="46" spans="1:6">
      <c r="A46" s="350" t="str">
        <f t="shared" si="0"/>
        <v>R2=;R3=;R4=;COM=</v>
      </c>
      <c r="B46" s="577"/>
      <c r="C46" s="337"/>
      <c r="D46" s="338"/>
      <c r="E46" s="1782"/>
      <c r="F46" s="305"/>
    </row>
    <row r="47" spans="1:6">
      <c r="A47" s="350" t="str">
        <f t="shared" si="0"/>
        <v>R2=;R3=;R4=;COM=</v>
      </c>
      <c r="B47" s="577"/>
      <c r="C47" s="337"/>
      <c r="D47" s="338"/>
      <c r="E47" s="1782"/>
      <c r="F47" s="305"/>
    </row>
    <row r="48" spans="1:6">
      <c r="A48" s="350" t="str">
        <f t="shared" si="0"/>
        <v>R2=;R3=;R4=;COM=</v>
      </c>
      <c r="B48" s="577"/>
      <c r="C48" s="337"/>
      <c r="D48" s="338"/>
      <c r="E48" s="1782"/>
      <c r="F48" s="305"/>
    </row>
    <row r="49" spans="1:6">
      <c r="A49" s="350" t="str">
        <f t="shared" si="0"/>
        <v>R2=;R3=;R4=;COM=</v>
      </c>
      <c r="B49" s="577"/>
      <c r="C49" s="337"/>
      <c r="D49" s="338"/>
      <c r="E49" s="1782"/>
      <c r="F49" s="305"/>
    </row>
    <row r="50" spans="1:6">
      <c r="A50" s="350" t="str">
        <f t="shared" si="0"/>
        <v>R2=;R3=;R4=;COM=</v>
      </c>
      <c r="B50" s="577"/>
      <c r="C50" s="337"/>
      <c r="D50" s="338"/>
      <c r="E50" s="1782"/>
      <c r="F50" s="305"/>
    </row>
    <row r="51" spans="1:6">
      <c r="A51" s="350" t="str">
        <f t="shared" si="0"/>
        <v>R2=;R3=;R4=;COM=</v>
      </c>
      <c r="B51" s="577"/>
      <c r="C51" s="337"/>
      <c r="D51" s="338"/>
      <c r="E51" s="1782"/>
      <c r="F51" s="305"/>
    </row>
    <row r="52" spans="1:6">
      <c r="A52" s="350" t="str">
        <f t="shared" si="0"/>
        <v>R2=;R3=;R4=;COM=</v>
      </c>
      <c r="B52" s="577"/>
      <c r="C52" s="337"/>
      <c r="D52" s="338"/>
      <c r="E52" s="1782"/>
      <c r="F52" s="305"/>
    </row>
    <row r="53" spans="1:6">
      <c r="A53" s="350" t="str">
        <f t="shared" si="0"/>
        <v>R2=;R3=;R4=;COM=</v>
      </c>
      <c r="B53" s="577"/>
      <c r="C53" s="337"/>
      <c r="D53" s="338"/>
      <c r="E53" s="1782"/>
      <c r="F53" s="305"/>
    </row>
    <row r="54" spans="1:6">
      <c r="A54" s="350" t="str">
        <f t="shared" si="0"/>
        <v>R2=;R3=;R4=;COM=</v>
      </c>
      <c r="B54" s="577"/>
      <c r="C54" s="337"/>
      <c r="D54" s="338"/>
      <c r="E54" s="1782"/>
      <c r="F54" s="305"/>
    </row>
    <row r="55" spans="1:6">
      <c r="A55" s="350" t="str">
        <f t="shared" si="0"/>
        <v>R2=;R3=;R4=;COM=</v>
      </c>
      <c r="B55" s="577"/>
      <c r="C55" s="337"/>
      <c r="D55" s="338"/>
      <c r="E55" s="1782"/>
      <c r="F55" s="305"/>
    </row>
    <row r="56" spans="1:6">
      <c r="A56" s="350" t="str">
        <f t="shared" si="0"/>
        <v>R2=;R3=;R4=;COM=</v>
      </c>
      <c r="B56" s="577"/>
      <c r="C56" s="337"/>
      <c r="D56" s="338"/>
      <c r="E56" s="1782"/>
      <c r="F56" s="305"/>
    </row>
    <row r="57" spans="1:6">
      <c r="A57" s="350" t="str">
        <f t="shared" si="0"/>
        <v>R2=;R3=;R4=;COM=</v>
      </c>
      <c r="B57" s="577"/>
      <c r="C57" s="337"/>
      <c r="D57" s="338"/>
      <c r="E57" s="1782"/>
      <c r="F57" s="305"/>
    </row>
    <row r="58" spans="1:6">
      <c r="A58" s="350" t="str">
        <f t="shared" si="0"/>
        <v>R2=;R3=;R4=;COM=</v>
      </c>
      <c r="B58" s="577"/>
      <c r="C58" s="337"/>
      <c r="D58" s="338"/>
      <c r="E58" s="1782"/>
      <c r="F58" s="305"/>
    </row>
    <row r="59" spans="1:6">
      <c r="A59" s="350" t="str">
        <f t="shared" si="0"/>
        <v>R2=;R3=;R4=;COM=</v>
      </c>
      <c r="B59" s="577"/>
      <c r="C59" s="337"/>
      <c r="D59" s="338"/>
      <c r="E59" s="1782"/>
      <c r="F59" s="305"/>
    </row>
    <row r="60" spans="1:6">
      <c r="A60" s="350" t="str">
        <f t="shared" si="0"/>
        <v>R2=;R3=;R4=;COM=</v>
      </c>
      <c r="B60" s="577"/>
      <c r="C60" s="337"/>
      <c r="D60" s="338"/>
      <c r="E60" s="1782"/>
      <c r="F60" s="305"/>
    </row>
    <row r="61" spans="1:6">
      <c r="A61" s="350" t="str">
        <f t="shared" si="0"/>
        <v>R2=;R3=;R4=;COM=</v>
      </c>
      <c r="B61" s="577"/>
      <c r="C61" s="337"/>
      <c r="D61" s="338"/>
      <c r="E61" s="1782"/>
      <c r="F61" s="305"/>
    </row>
    <row r="62" spans="1:6">
      <c r="A62" s="350" t="str">
        <f t="shared" si="0"/>
        <v>R2=;R3=;R4=;COM=</v>
      </c>
      <c r="B62" s="577"/>
      <c r="C62" s="337"/>
      <c r="D62" s="338"/>
      <c r="E62" s="1782"/>
      <c r="F62" s="305"/>
    </row>
    <row r="63" spans="1:6">
      <c r="A63" s="350" t="str">
        <f t="shared" si="0"/>
        <v>R2=;R3=;R4=;COM=</v>
      </c>
      <c r="B63" s="577"/>
      <c r="C63" s="337"/>
      <c r="D63" s="338"/>
      <c r="E63" s="1782"/>
      <c r="F63" s="305"/>
    </row>
    <row r="64" spans="1:6">
      <c r="A64" s="350" t="str">
        <f t="shared" si="0"/>
        <v>R2=;R3=;R4=;COM=</v>
      </c>
      <c r="B64" s="577"/>
      <c r="C64" s="337"/>
      <c r="D64" s="338"/>
      <c r="E64" s="1782"/>
      <c r="F64" s="305"/>
    </row>
    <row r="65" spans="1:6">
      <c r="A65" s="350" t="str">
        <f t="shared" si="0"/>
        <v>R2=;R3=;R4=;COM=</v>
      </c>
      <c r="B65" s="577"/>
      <c r="C65" s="337"/>
      <c r="D65" s="338"/>
      <c r="E65" s="1782"/>
      <c r="F65" s="305"/>
    </row>
    <row r="66" spans="1:6">
      <c r="A66" s="350" t="str">
        <f t="shared" si="0"/>
        <v>R2=;R3=;R4=;COM=</v>
      </c>
      <c r="B66" s="577"/>
      <c r="C66" s="337"/>
      <c r="D66" s="338"/>
      <c r="E66" s="1782"/>
      <c r="F66" s="305"/>
    </row>
    <row r="67" spans="1:6">
      <c r="A67" s="350" t="str">
        <f t="shared" si="0"/>
        <v>R2=;R3=;R4=;COM=</v>
      </c>
      <c r="B67" s="577"/>
      <c r="C67" s="337"/>
      <c r="D67" s="338"/>
      <c r="E67" s="1782"/>
      <c r="F67" s="305"/>
    </row>
    <row r="68" spans="1:6">
      <c r="A68" s="350" t="str">
        <f t="shared" si="0"/>
        <v>R2=;R3=;R4=;COM=</v>
      </c>
      <c r="B68" s="577"/>
      <c r="C68" s="337"/>
      <c r="D68" s="338"/>
      <c r="E68" s="1782"/>
      <c r="F68" s="305"/>
    </row>
    <row r="69" spans="1:6">
      <c r="A69" s="350" t="str">
        <f t="shared" si="0"/>
        <v>R2=;R3=;R4=;COM=</v>
      </c>
      <c r="B69" s="577"/>
      <c r="C69" s="337"/>
      <c r="D69" s="338"/>
      <c r="E69" s="1782"/>
      <c r="F69" s="305"/>
    </row>
    <row r="70" spans="1:6">
      <c r="A70" s="350" t="str">
        <f t="shared" si="0"/>
        <v>R2=;R3=;R4=;COM=</v>
      </c>
      <c r="B70" s="577"/>
      <c r="C70" s="337"/>
      <c r="D70" s="338"/>
      <c r="E70" s="1782"/>
      <c r="F70" s="305"/>
    </row>
    <row r="71" spans="1:6">
      <c r="A71" s="350" t="str">
        <f t="shared" si="0"/>
        <v>R2=;R3=;R4=;COM=</v>
      </c>
      <c r="B71" s="577"/>
      <c r="C71" s="337"/>
      <c r="D71" s="338"/>
      <c r="E71" s="1782"/>
      <c r="F71" s="305"/>
    </row>
    <row r="72" spans="1:6">
      <c r="A72" s="350" t="str">
        <f t="shared" si="0"/>
        <v>R2=;R3=;R4=;COM=</v>
      </c>
      <c r="B72" s="577"/>
      <c r="C72" s="337"/>
      <c r="D72" s="338"/>
      <c r="E72" s="1782"/>
      <c r="F72" s="305"/>
    </row>
    <row r="73" spans="1:6">
      <c r="A73" s="350" t="str">
        <f t="shared" si="0"/>
        <v>R2=;R3=;R4=;COM=</v>
      </c>
      <c r="B73" s="577"/>
      <c r="C73" s="337"/>
      <c r="D73" s="338"/>
      <c r="E73" s="1782"/>
      <c r="F73" s="305"/>
    </row>
    <row r="74" spans="1:6">
      <c r="A74" s="350" t="str">
        <f t="shared" ref="A74:A137" si="1">"R2="&amp;IFERROR(MID(C74,FIND("{",C74)+1,FIND("}",C74)-FIND("{",C74)-1),"")&amp;";R3="&amp;IFERROR(MID(D74,FIND("{",D74)+1,FIND("}",D74)-FIND("{",D74)-3),"")&amp;";R4="&amp;IFERROR(MID(D74,FIND("{",D74)+5,FIND("}",D74)-FIND("{",D74)-5),"")&amp;";COM="&amp;F74</f>
        <v>R2=;R3=;R4=;COM=</v>
      </c>
      <c r="B74" s="577"/>
      <c r="C74" s="337"/>
      <c r="D74" s="338"/>
      <c r="E74" s="1782"/>
      <c r="F74" s="305"/>
    </row>
    <row r="75" spans="1:6">
      <c r="A75" s="350" t="str">
        <f t="shared" si="1"/>
        <v>R2=;R3=;R4=;COM=</v>
      </c>
      <c r="B75" s="577"/>
      <c r="C75" s="337"/>
      <c r="D75" s="338"/>
      <c r="E75" s="1782"/>
      <c r="F75" s="305"/>
    </row>
    <row r="76" spans="1:6">
      <c r="A76" s="350" t="str">
        <f t="shared" si="1"/>
        <v>R2=;R3=;R4=;COM=</v>
      </c>
      <c r="B76" s="577"/>
      <c r="C76" s="337"/>
      <c r="D76" s="338"/>
      <c r="E76" s="1782"/>
      <c r="F76" s="305"/>
    </row>
    <row r="77" spans="1:6">
      <c r="A77" s="350" t="str">
        <f t="shared" si="1"/>
        <v>R2=;R3=;R4=;COM=</v>
      </c>
      <c r="B77" s="577"/>
      <c r="C77" s="337"/>
      <c r="D77" s="338"/>
      <c r="E77" s="1782"/>
      <c r="F77" s="305"/>
    </row>
    <row r="78" spans="1:6">
      <c r="A78" s="350" t="str">
        <f t="shared" si="1"/>
        <v>R2=;R3=;R4=;COM=</v>
      </c>
      <c r="B78" s="577"/>
      <c r="C78" s="337"/>
      <c r="D78" s="338"/>
      <c r="E78" s="1782"/>
      <c r="F78" s="305"/>
    </row>
    <row r="79" spans="1:6">
      <c r="A79" s="350" t="str">
        <f t="shared" si="1"/>
        <v>R2=;R3=;R4=;COM=</v>
      </c>
      <c r="B79" s="577"/>
      <c r="C79" s="337"/>
      <c r="D79" s="338"/>
      <c r="E79" s="1782"/>
      <c r="F79" s="305"/>
    </row>
    <row r="80" spans="1:6">
      <c r="A80" s="350" t="str">
        <f t="shared" si="1"/>
        <v>R2=;R3=;R4=;COM=</v>
      </c>
      <c r="B80" s="577"/>
      <c r="C80" s="337"/>
      <c r="D80" s="338"/>
      <c r="E80" s="1782"/>
      <c r="F80" s="305"/>
    </row>
    <row r="81" spans="1:6">
      <c r="A81" s="350" t="str">
        <f t="shared" si="1"/>
        <v>R2=;R3=;R4=;COM=</v>
      </c>
      <c r="B81" s="577"/>
      <c r="C81" s="337"/>
      <c r="D81" s="338"/>
      <c r="E81" s="1782"/>
      <c r="F81" s="305"/>
    </row>
    <row r="82" spans="1:6">
      <c r="A82" s="350" t="str">
        <f t="shared" si="1"/>
        <v>R2=;R3=;R4=;COM=</v>
      </c>
      <c r="B82" s="577"/>
      <c r="C82" s="337"/>
      <c r="D82" s="338"/>
      <c r="E82" s="1782"/>
      <c r="F82" s="305"/>
    </row>
    <row r="83" spans="1:6">
      <c r="A83" s="350" t="str">
        <f t="shared" si="1"/>
        <v>R2=;R3=;R4=;COM=</v>
      </c>
      <c r="B83" s="577"/>
      <c r="C83" s="337"/>
      <c r="D83" s="338"/>
      <c r="E83" s="1782"/>
      <c r="F83" s="305"/>
    </row>
    <row r="84" spans="1:6">
      <c r="A84" s="350" t="str">
        <f t="shared" si="1"/>
        <v>R2=;R3=;R4=;COM=</v>
      </c>
      <c r="B84" s="577"/>
      <c r="C84" s="337"/>
      <c r="D84" s="338"/>
      <c r="E84" s="1782"/>
      <c r="F84" s="305"/>
    </row>
    <row r="85" spans="1:6">
      <c r="A85" s="350" t="str">
        <f t="shared" si="1"/>
        <v>R2=;R3=;R4=;COM=</v>
      </c>
      <c r="B85" s="577"/>
      <c r="C85" s="337"/>
      <c r="D85" s="338"/>
      <c r="E85" s="1782"/>
      <c r="F85" s="305"/>
    </row>
    <row r="86" spans="1:6">
      <c r="A86" s="350" t="str">
        <f t="shared" si="1"/>
        <v>R2=;R3=;R4=;COM=</v>
      </c>
      <c r="B86" s="577"/>
      <c r="C86" s="337"/>
      <c r="D86" s="338"/>
      <c r="E86" s="1782"/>
      <c r="F86" s="305"/>
    </row>
    <row r="87" spans="1:6">
      <c r="A87" s="350" t="str">
        <f t="shared" si="1"/>
        <v>R2=;R3=;R4=;COM=</v>
      </c>
      <c r="B87" s="577"/>
      <c r="C87" s="337"/>
      <c r="D87" s="338"/>
      <c r="E87" s="1782"/>
      <c r="F87" s="305"/>
    </row>
    <row r="88" spans="1:6">
      <c r="A88" s="350" t="str">
        <f t="shared" si="1"/>
        <v>R2=;R3=;R4=;COM=</v>
      </c>
      <c r="B88" s="577"/>
      <c r="C88" s="337"/>
      <c r="D88" s="338"/>
      <c r="E88" s="1782"/>
      <c r="F88" s="305"/>
    </row>
    <row r="89" spans="1:6">
      <c r="A89" s="350" t="str">
        <f t="shared" si="1"/>
        <v>R2=;R3=;R4=;COM=</v>
      </c>
      <c r="B89" s="577"/>
      <c r="C89" s="337"/>
      <c r="D89" s="338"/>
      <c r="E89" s="1782"/>
      <c r="F89" s="305"/>
    </row>
    <row r="90" spans="1:6">
      <c r="A90" s="350" t="str">
        <f t="shared" si="1"/>
        <v>R2=;R3=;R4=;COM=</v>
      </c>
      <c r="B90" s="577"/>
      <c r="C90" s="337"/>
      <c r="D90" s="338"/>
      <c r="E90" s="1782"/>
      <c r="F90" s="305"/>
    </row>
    <row r="91" spans="1:6">
      <c r="A91" s="350" t="str">
        <f t="shared" si="1"/>
        <v>R2=;R3=;R4=;COM=</v>
      </c>
      <c r="B91" s="577"/>
      <c r="C91" s="337"/>
      <c r="D91" s="338"/>
      <c r="E91" s="1782"/>
      <c r="F91" s="305"/>
    </row>
    <row r="92" spans="1:6">
      <c r="A92" s="350" t="str">
        <f t="shared" si="1"/>
        <v>R2=;R3=;R4=;COM=</v>
      </c>
      <c r="B92" s="577"/>
      <c r="C92" s="337"/>
      <c r="D92" s="338"/>
      <c r="E92" s="1782"/>
      <c r="F92" s="305"/>
    </row>
    <row r="93" spans="1:6">
      <c r="A93" s="350" t="str">
        <f t="shared" si="1"/>
        <v>R2=;R3=;R4=;COM=</v>
      </c>
      <c r="B93" s="577"/>
      <c r="C93" s="337"/>
      <c r="D93" s="338"/>
      <c r="E93" s="1782"/>
      <c r="F93" s="305"/>
    </row>
    <row r="94" spans="1:6">
      <c r="A94" s="350" t="str">
        <f t="shared" si="1"/>
        <v>R2=;R3=;R4=;COM=</v>
      </c>
      <c r="B94" s="577"/>
      <c r="C94" s="337"/>
      <c r="D94" s="338"/>
      <c r="E94" s="1782"/>
      <c r="F94" s="305"/>
    </row>
    <row r="95" spans="1:6">
      <c r="A95" s="350" t="str">
        <f t="shared" si="1"/>
        <v>R2=;R3=;R4=;COM=</v>
      </c>
      <c r="B95" s="577"/>
      <c r="C95" s="337"/>
      <c r="D95" s="338"/>
      <c r="E95" s="1782"/>
      <c r="F95" s="305"/>
    </row>
    <row r="96" spans="1:6">
      <c r="A96" s="350" t="str">
        <f t="shared" si="1"/>
        <v>R2=;R3=;R4=;COM=</v>
      </c>
      <c r="B96" s="577"/>
      <c r="C96" s="337"/>
      <c r="D96" s="338"/>
      <c r="E96" s="1782"/>
      <c r="F96" s="305"/>
    </row>
    <row r="97" spans="1:6">
      <c r="A97" s="350" t="str">
        <f t="shared" si="1"/>
        <v>R2=;R3=;R4=;COM=</v>
      </c>
      <c r="B97" s="577"/>
      <c r="C97" s="337"/>
      <c r="D97" s="338"/>
      <c r="E97" s="1782"/>
      <c r="F97" s="305"/>
    </row>
    <row r="98" spans="1:6">
      <c r="A98" s="350" t="str">
        <f t="shared" si="1"/>
        <v>R2=;R3=;R4=;COM=</v>
      </c>
      <c r="B98" s="577"/>
      <c r="C98" s="337"/>
      <c r="D98" s="338"/>
      <c r="E98" s="1782"/>
      <c r="F98" s="305"/>
    </row>
    <row r="99" spans="1:6">
      <c r="A99" s="350" t="str">
        <f t="shared" si="1"/>
        <v>R2=;R3=;R4=;COM=</v>
      </c>
      <c r="B99" s="577"/>
      <c r="C99" s="337"/>
      <c r="D99" s="338"/>
      <c r="E99" s="1782"/>
      <c r="F99" s="305"/>
    </row>
    <row r="100" spans="1:6">
      <c r="A100" s="350" t="str">
        <f t="shared" si="1"/>
        <v>R2=;R3=;R4=;COM=</v>
      </c>
      <c r="B100" s="577"/>
      <c r="C100" s="337"/>
      <c r="D100" s="338"/>
      <c r="E100" s="1782"/>
      <c r="F100" s="305"/>
    </row>
    <row r="101" spans="1:6">
      <c r="A101" s="350" t="str">
        <f t="shared" si="1"/>
        <v>R2=;R3=;R4=;COM=</v>
      </c>
      <c r="B101" s="577"/>
      <c r="C101" s="337"/>
      <c r="D101" s="338"/>
      <c r="E101" s="1782"/>
      <c r="F101" s="305"/>
    </row>
    <row r="102" spans="1:6">
      <c r="A102" s="350" t="str">
        <f t="shared" si="1"/>
        <v>R2=;R3=;R4=;COM=</v>
      </c>
      <c r="B102" s="577"/>
      <c r="C102" s="337"/>
      <c r="D102" s="338"/>
      <c r="E102" s="1782"/>
      <c r="F102" s="305"/>
    </row>
    <row r="103" spans="1:6">
      <c r="A103" s="350" t="str">
        <f t="shared" si="1"/>
        <v>R2=;R3=;R4=;COM=</v>
      </c>
      <c r="B103" s="577"/>
      <c r="C103" s="337"/>
      <c r="D103" s="338"/>
      <c r="E103" s="1782"/>
      <c r="F103" s="305"/>
    </row>
    <row r="104" spans="1:6">
      <c r="A104" s="350" t="str">
        <f t="shared" si="1"/>
        <v>R2=;R3=;R4=;COM=</v>
      </c>
      <c r="B104" s="577"/>
      <c r="C104" s="337"/>
      <c r="D104" s="338"/>
      <c r="E104" s="1782"/>
      <c r="F104" s="305"/>
    </row>
    <row r="105" spans="1:6">
      <c r="A105" s="350" t="str">
        <f t="shared" si="1"/>
        <v>R2=;R3=;R4=;COM=</v>
      </c>
      <c r="B105" s="577"/>
      <c r="C105" s="337"/>
      <c r="D105" s="338"/>
      <c r="E105" s="1782"/>
      <c r="F105" s="305"/>
    </row>
    <row r="106" spans="1:6">
      <c r="A106" s="350" t="str">
        <f t="shared" si="1"/>
        <v>R2=;R3=;R4=;COM=</v>
      </c>
      <c r="B106" s="577"/>
      <c r="C106" s="337"/>
      <c r="D106" s="338"/>
      <c r="E106" s="1782"/>
      <c r="F106" s="305"/>
    </row>
    <row r="107" spans="1:6">
      <c r="A107" s="350" t="str">
        <f t="shared" si="1"/>
        <v>R2=;R3=;R4=;COM=</v>
      </c>
      <c r="B107" s="577"/>
      <c r="C107" s="337"/>
      <c r="D107" s="338"/>
      <c r="E107" s="1782"/>
      <c r="F107" s="305"/>
    </row>
    <row r="108" spans="1:6">
      <c r="A108" s="350" t="str">
        <f t="shared" si="1"/>
        <v>R2=;R3=;R4=;COM=</v>
      </c>
      <c r="B108" s="577"/>
      <c r="C108" s="337"/>
      <c r="D108" s="338"/>
      <c r="E108" s="1782"/>
      <c r="F108" s="305"/>
    </row>
    <row r="109" spans="1:6">
      <c r="A109" s="350" t="str">
        <f t="shared" si="1"/>
        <v>R2=;R3=;R4=;COM=</v>
      </c>
      <c r="B109" s="577"/>
      <c r="C109" s="337"/>
      <c r="D109" s="338"/>
      <c r="E109" s="1782"/>
      <c r="F109" s="305"/>
    </row>
    <row r="110" spans="1:6">
      <c r="A110" s="350" t="str">
        <f t="shared" si="1"/>
        <v>R2=;R3=;R4=;COM=</v>
      </c>
      <c r="B110" s="577"/>
      <c r="C110" s="337"/>
      <c r="D110" s="338"/>
      <c r="E110" s="1782"/>
      <c r="F110" s="305"/>
    </row>
    <row r="111" spans="1:6">
      <c r="A111" s="350" t="str">
        <f t="shared" si="1"/>
        <v>R2=;R3=;R4=;COM=</v>
      </c>
      <c r="B111" s="577"/>
      <c r="C111" s="337"/>
      <c r="D111" s="338"/>
      <c r="E111" s="1782"/>
      <c r="F111" s="305"/>
    </row>
    <row r="112" spans="1:6">
      <c r="A112" s="350" t="str">
        <f t="shared" si="1"/>
        <v>R2=;R3=;R4=;COM=</v>
      </c>
      <c r="B112" s="577"/>
      <c r="C112" s="337"/>
      <c r="D112" s="338"/>
      <c r="E112" s="1782"/>
      <c r="F112" s="305"/>
    </row>
    <row r="113" spans="1:6">
      <c r="A113" s="350" t="str">
        <f t="shared" si="1"/>
        <v>R2=;R3=;R4=;COM=</v>
      </c>
      <c r="B113" s="577"/>
      <c r="C113" s="337"/>
      <c r="D113" s="338"/>
      <c r="E113" s="1782"/>
      <c r="F113" s="305"/>
    </row>
    <row r="114" spans="1:6">
      <c r="A114" s="350" t="str">
        <f t="shared" si="1"/>
        <v>R2=;R3=;R4=;COM=</v>
      </c>
      <c r="B114" s="577"/>
      <c r="C114" s="337"/>
      <c r="D114" s="338"/>
      <c r="E114" s="1782"/>
      <c r="F114" s="305"/>
    </row>
    <row r="115" spans="1:6">
      <c r="A115" s="350" t="str">
        <f t="shared" si="1"/>
        <v>R2=;R3=;R4=;COM=</v>
      </c>
      <c r="B115" s="577"/>
      <c r="C115" s="337"/>
      <c r="D115" s="338"/>
      <c r="E115" s="1782"/>
      <c r="F115" s="305"/>
    </row>
    <row r="116" spans="1:6">
      <c r="A116" s="350" t="str">
        <f t="shared" si="1"/>
        <v>R2=;R3=;R4=;COM=</v>
      </c>
      <c r="B116" s="577"/>
      <c r="C116" s="337"/>
      <c r="D116" s="338"/>
      <c r="E116" s="1782"/>
      <c r="F116" s="305"/>
    </row>
    <row r="117" spans="1:6">
      <c r="A117" s="350" t="str">
        <f t="shared" si="1"/>
        <v>R2=;R3=;R4=;COM=</v>
      </c>
      <c r="B117" s="577"/>
      <c r="C117" s="337"/>
      <c r="D117" s="338"/>
      <c r="E117" s="1782"/>
      <c r="F117" s="305"/>
    </row>
    <row r="118" spans="1:6">
      <c r="A118" s="350" t="str">
        <f t="shared" si="1"/>
        <v>R2=;R3=;R4=;COM=</v>
      </c>
      <c r="B118" s="577"/>
      <c r="C118" s="337"/>
      <c r="D118" s="338"/>
      <c r="E118" s="1782"/>
      <c r="F118" s="305"/>
    </row>
    <row r="119" spans="1:6">
      <c r="A119" s="350" t="str">
        <f t="shared" si="1"/>
        <v>R2=;R3=;R4=;COM=</v>
      </c>
      <c r="B119" s="577"/>
      <c r="C119" s="337"/>
      <c r="D119" s="338"/>
      <c r="E119" s="1782"/>
      <c r="F119" s="305"/>
    </row>
    <row r="120" spans="1:6">
      <c r="A120" s="350" t="str">
        <f t="shared" si="1"/>
        <v>R2=;R3=;R4=;COM=</v>
      </c>
      <c r="B120" s="577"/>
      <c r="C120" s="337"/>
      <c r="D120" s="338"/>
      <c r="E120" s="1782"/>
      <c r="F120" s="305"/>
    </row>
    <row r="121" spans="1:6">
      <c r="A121" s="350" t="str">
        <f t="shared" si="1"/>
        <v>R2=;R3=;R4=;COM=</v>
      </c>
      <c r="B121" s="577"/>
      <c r="C121" s="337"/>
      <c r="D121" s="338"/>
      <c r="E121" s="1782"/>
      <c r="F121" s="305"/>
    </row>
    <row r="122" spans="1:6">
      <c r="A122" s="350" t="str">
        <f t="shared" si="1"/>
        <v>R2=;R3=;R4=;COM=</v>
      </c>
      <c r="B122" s="577"/>
      <c r="C122" s="337"/>
      <c r="D122" s="338"/>
      <c r="E122" s="1782"/>
      <c r="F122" s="305"/>
    </row>
    <row r="123" spans="1:6">
      <c r="A123" s="350" t="str">
        <f t="shared" si="1"/>
        <v>R2=;R3=;R4=;COM=</v>
      </c>
      <c r="B123" s="577"/>
      <c r="C123" s="337"/>
      <c r="D123" s="338"/>
      <c r="E123" s="1782"/>
      <c r="F123" s="305"/>
    </row>
    <row r="124" spans="1:6">
      <c r="A124" s="350" t="str">
        <f t="shared" si="1"/>
        <v>R2=;R3=;R4=;COM=</v>
      </c>
      <c r="B124" s="577"/>
      <c r="C124" s="337"/>
      <c r="D124" s="338"/>
      <c r="E124" s="1782"/>
      <c r="F124" s="305"/>
    </row>
    <row r="125" spans="1:6">
      <c r="A125" s="350" t="str">
        <f t="shared" si="1"/>
        <v>R2=;R3=;R4=;COM=</v>
      </c>
      <c r="B125" s="577"/>
      <c r="C125" s="337"/>
      <c r="D125" s="338"/>
      <c r="E125" s="1782"/>
      <c r="F125" s="305"/>
    </row>
    <row r="126" spans="1:6">
      <c r="A126" s="350" t="str">
        <f t="shared" si="1"/>
        <v>R2=;R3=;R4=;COM=</v>
      </c>
      <c r="B126" s="577"/>
      <c r="C126" s="337"/>
      <c r="D126" s="338"/>
      <c r="E126" s="1782"/>
      <c r="F126" s="305"/>
    </row>
    <row r="127" spans="1:6">
      <c r="A127" s="350" t="str">
        <f t="shared" si="1"/>
        <v>R2=;R3=;R4=;COM=</v>
      </c>
      <c r="B127" s="577"/>
      <c r="C127" s="337"/>
      <c r="D127" s="338"/>
      <c r="E127" s="1782"/>
      <c r="F127" s="305"/>
    </row>
    <row r="128" spans="1:6">
      <c r="A128" s="350" t="str">
        <f t="shared" si="1"/>
        <v>R2=;R3=;R4=;COM=</v>
      </c>
      <c r="B128" s="577"/>
      <c r="C128" s="337"/>
      <c r="D128" s="338"/>
      <c r="E128" s="1782"/>
      <c r="F128" s="305"/>
    </row>
    <row r="129" spans="1:6">
      <c r="A129" s="350" t="str">
        <f t="shared" si="1"/>
        <v>R2=;R3=;R4=;COM=</v>
      </c>
      <c r="B129" s="577"/>
      <c r="C129" s="337"/>
      <c r="D129" s="338"/>
      <c r="E129" s="1782"/>
      <c r="F129" s="305"/>
    </row>
    <row r="130" spans="1:6">
      <c r="A130" s="350" t="str">
        <f t="shared" si="1"/>
        <v>R2=;R3=;R4=;COM=</v>
      </c>
      <c r="B130" s="577"/>
      <c r="C130" s="337"/>
      <c r="D130" s="338"/>
      <c r="E130" s="1782"/>
      <c r="F130" s="305"/>
    </row>
    <row r="131" spans="1:6">
      <c r="A131" s="350" t="str">
        <f t="shared" si="1"/>
        <v>R2=;R3=;R4=;COM=</v>
      </c>
      <c r="B131" s="577"/>
      <c r="C131" s="337"/>
      <c r="D131" s="338"/>
      <c r="E131" s="1782"/>
      <c r="F131" s="305"/>
    </row>
    <row r="132" spans="1:6">
      <c r="A132" s="350" t="str">
        <f t="shared" si="1"/>
        <v>R2=;R3=;R4=;COM=</v>
      </c>
      <c r="B132" s="577"/>
      <c r="C132" s="337"/>
      <c r="D132" s="338"/>
      <c r="E132" s="1782"/>
      <c r="F132" s="305"/>
    </row>
    <row r="133" spans="1:6">
      <c r="A133" s="350" t="str">
        <f t="shared" si="1"/>
        <v>R2=;R3=;R4=;COM=</v>
      </c>
      <c r="B133" s="577"/>
      <c r="C133" s="337"/>
      <c r="D133" s="338"/>
      <c r="E133" s="1782"/>
      <c r="F133" s="305"/>
    </row>
    <row r="134" spans="1:6">
      <c r="A134" s="350" t="str">
        <f t="shared" si="1"/>
        <v>R2=;R3=;R4=;COM=</v>
      </c>
      <c r="B134" s="577"/>
      <c r="C134" s="337"/>
      <c r="D134" s="338"/>
      <c r="E134" s="1782"/>
      <c r="F134" s="305"/>
    </row>
    <row r="135" spans="1:6">
      <c r="A135" s="350" t="str">
        <f t="shared" si="1"/>
        <v>R2=;R3=;R4=;COM=</v>
      </c>
      <c r="B135" s="577"/>
      <c r="C135" s="337"/>
      <c r="D135" s="338"/>
      <c r="E135" s="1782"/>
      <c r="F135" s="305"/>
    </row>
    <row r="136" spans="1:6">
      <c r="A136" s="350" t="str">
        <f t="shared" si="1"/>
        <v>R2=;R3=;R4=;COM=</v>
      </c>
      <c r="B136" s="577"/>
      <c r="C136" s="337"/>
      <c r="D136" s="338"/>
      <c r="E136" s="1782"/>
      <c r="F136" s="305"/>
    </row>
    <row r="137" spans="1:6">
      <c r="A137" s="350" t="str">
        <f t="shared" si="1"/>
        <v>R2=;R3=;R4=;COM=</v>
      </c>
      <c r="B137" s="577"/>
      <c r="C137" s="337"/>
      <c r="D137" s="338"/>
      <c r="E137" s="1782"/>
      <c r="F137" s="305"/>
    </row>
    <row r="138" spans="1:6">
      <c r="A138" s="350" t="str">
        <f t="shared" ref="A138:A200" si="2">"R2="&amp;IFERROR(MID(C138,FIND("{",C138)+1,FIND("}",C138)-FIND("{",C138)-1),"")&amp;";R3="&amp;IFERROR(MID(D138,FIND("{",D138)+1,FIND("}",D138)-FIND("{",D138)-3),"")&amp;";R4="&amp;IFERROR(MID(D138,FIND("{",D138)+5,FIND("}",D138)-FIND("{",D138)-5),"")&amp;";COM="&amp;F138</f>
        <v>R2=;R3=;R4=;COM=</v>
      </c>
      <c r="B138" s="577"/>
      <c r="C138" s="337"/>
      <c r="D138" s="338"/>
      <c r="E138" s="1782"/>
      <c r="F138" s="305"/>
    </row>
    <row r="139" spans="1:6">
      <c r="A139" s="350" t="str">
        <f t="shared" si="2"/>
        <v>R2=;R3=;R4=;COM=</v>
      </c>
      <c r="B139" s="577"/>
      <c r="C139" s="337"/>
      <c r="D139" s="338"/>
      <c r="E139" s="1782"/>
      <c r="F139" s="305"/>
    </row>
    <row r="140" spans="1:6">
      <c r="A140" s="350" t="str">
        <f t="shared" si="2"/>
        <v>R2=;R3=;R4=;COM=</v>
      </c>
      <c r="B140" s="577"/>
      <c r="C140" s="337"/>
      <c r="D140" s="338"/>
      <c r="E140" s="1782"/>
      <c r="F140" s="305"/>
    </row>
    <row r="141" spans="1:6">
      <c r="A141" s="350" t="str">
        <f t="shared" si="2"/>
        <v>R2=;R3=;R4=;COM=</v>
      </c>
      <c r="B141" s="577"/>
      <c r="C141" s="337"/>
      <c r="D141" s="338"/>
      <c r="E141" s="1782"/>
      <c r="F141" s="305"/>
    </row>
    <row r="142" spans="1:6">
      <c r="A142" s="350" t="str">
        <f t="shared" si="2"/>
        <v>R2=;R3=;R4=;COM=</v>
      </c>
      <c r="B142" s="577"/>
      <c r="C142" s="337"/>
      <c r="D142" s="338"/>
      <c r="E142" s="1782"/>
      <c r="F142" s="305"/>
    </row>
    <row r="143" spans="1:6">
      <c r="A143" s="350" t="str">
        <f t="shared" si="2"/>
        <v>R2=;R3=;R4=;COM=</v>
      </c>
      <c r="B143" s="577"/>
      <c r="C143" s="337"/>
      <c r="D143" s="338"/>
      <c r="E143" s="1782"/>
      <c r="F143" s="305"/>
    </row>
    <row r="144" spans="1:6">
      <c r="A144" s="350" t="str">
        <f t="shared" si="2"/>
        <v>R2=;R3=;R4=;COM=</v>
      </c>
      <c r="B144" s="577"/>
      <c r="C144" s="337"/>
      <c r="D144" s="338"/>
      <c r="E144" s="1782"/>
      <c r="F144" s="305"/>
    </row>
    <row r="145" spans="1:6">
      <c r="A145" s="350" t="str">
        <f t="shared" si="2"/>
        <v>R2=;R3=;R4=;COM=</v>
      </c>
      <c r="B145" s="577"/>
      <c r="C145" s="337"/>
      <c r="D145" s="338"/>
      <c r="E145" s="1782"/>
      <c r="F145" s="305"/>
    </row>
    <row r="146" spans="1:6">
      <c r="A146" s="350" t="str">
        <f t="shared" si="2"/>
        <v>R2=;R3=;R4=;COM=</v>
      </c>
      <c r="B146" s="577"/>
      <c r="C146" s="337"/>
      <c r="D146" s="338"/>
      <c r="E146" s="1782"/>
      <c r="F146" s="305"/>
    </row>
    <row r="147" spans="1:6">
      <c r="A147" s="350" t="str">
        <f t="shared" si="2"/>
        <v>R2=;R3=;R4=;COM=</v>
      </c>
      <c r="B147" s="577"/>
      <c r="C147" s="337"/>
      <c r="D147" s="338"/>
      <c r="E147" s="1782"/>
      <c r="F147" s="305"/>
    </row>
    <row r="148" spans="1:6">
      <c r="A148" s="350" t="str">
        <f t="shared" si="2"/>
        <v>R2=;R3=;R4=;COM=</v>
      </c>
      <c r="B148" s="577"/>
      <c r="C148" s="337"/>
      <c r="D148" s="338"/>
      <c r="E148" s="1782"/>
      <c r="F148" s="305"/>
    </row>
    <row r="149" spans="1:6">
      <c r="A149" s="350" t="str">
        <f t="shared" si="2"/>
        <v>R2=;R3=;R4=;COM=</v>
      </c>
      <c r="B149" s="577"/>
      <c r="C149" s="337"/>
      <c r="D149" s="338"/>
      <c r="E149" s="1782"/>
      <c r="F149" s="305"/>
    </row>
    <row r="150" spans="1:6">
      <c r="A150" s="350" t="str">
        <f t="shared" si="2"/>
        <v>R2=;R3=;R4=;COM=</v>
      </c>
      <c r="B150" s="577"/>
      <c r="C150" s="337"/>
      <c r="D150" s="338"/>
      <c r="E150" s="1782"/>
      <c r="F150" s="305"/>
    </row>
    <row r="151" spans="1:6">
      <c r="A151" s="350" t="str">
        <f t="shared" si="2"/>
        <v>R2=;R3=;R4=;COM=</v>
      </c>
      <c r="B151" s="577"/>
      <c r="C151" s="337"/>
      <c r="D151" s="338"/>
      <c r="E151" s="1782"/>
      <c r="F151" s="305"/>
    </row>
    <row r="152" spans="1:6">
      <c r="A152" s="350" t="str">
        <f t="shared" si="2"/>
        <v>R2=;R3=;R4=;COM=</v>
      </c>
      <c r="B152" s="577"/>
      <c r="C152" s="337"/>
      <c r="D152" s="338"/>
      <c r="E152" s="1782"/>
      <c r="F152" s="305"/>
    </row>
    <row r="153" spans="1:6">
      <c r="A153" s="350" t="str">
        <f t="shared" si="2"/>
        <v>R2=;R3=;R4=;COM=</v>
      </c>
      <c r="B153" s="577"/>
      <c r="C153" s="337"/>
      <c r="D153" s="338"/>
      <c r="E153" s="1782"/>
      <c r="F153" s="305"/>
    </row>
    <row r="154" spans="1:6">
      <c r="A154" s="350" t="str">
        <f t="shared" si="2"/>
        <v>R2=;R3=;R4=;COM=</v>
      </c>
      <c r="B154" s="577"/>
      <c r="C154" s="337"/>
      <c r="D154" s="338"/>
      <c r="E154" s="1782"/>
      <c r="F154" s="305"/>
    </row>
    <row r="155" spans="1:6">
      <c r="A155" s="350" t="str">
        <f t="shared" si="2"/>
        <v>R2=;R3=;R4=;COM=</v>
      </c>
      <c r="B155" s="577"/>
      <c r="C155" s="337"/>
      <c r="D155" s="338"/>
      <c r="E155" s="1782"/>
      <c r="F155" s="305"/>
    </row>
    <row r="156" spans="1:6">
      <c r="A156" s="350" t="str">
        <f t="shared" si="2"/>
        <v>R2=;R3=;R4=;COM=</v>
      </c>
      <c r="B156" s="577"/>
      <c r="C156" s="337"/>
      <c r="D156" s="338"/>
      <c r="E156" s="1782"/>
      <c r="F156" s="305"/>
    </row>
    <row r="157" spans="1:6">
      <c r="A157" s="350" t="str">
        <f t="shared" si="2"/>
        <v>R2=;R3=;R4=;COM=</v>
      </c>
      <c r="B157" s="577"/>
      <c r="C157" s="337"/>
      <c r="D157" s="338"/>
      <c r="E157" s="1782"/>
      <c r="F157" s="305"/>
    </row>
    <row r="158" spans="1:6">
      <c r="A158" s="350" t="str">
        <f t="shared" si="2"/>
        <v>R2=;R3=;R4=;COM=</v>
      </c>
      <c r="B158" s="577"/>
      <c r="C158" s="337"/>
      <c r="D158" s="338"/>
      <c r="E158" s="1782"/>
      <c r="F158" s="305"/>
    </row>
    <row r="159" spans="1:6">
      <c r="A159" s="350" t="str">
        <f t="shared" si="2"/>
        <v>R2=;R3=;R4=;COM=</v>
      </c>
      <c r="B159" s="577"/>
      <c r="C159" s="337"/>
      <c r="D159" s="338"/>
      <c r="E159" s="1782"/>
      <c r="F159" s="305"/>
    </row>
    <row r="160" spans="1:6">
      <c r="A160" s="350" t="str">
        <f t="shared" si="2"/>
        <v>R2=;R3=;R4=;COM=</v>
      </c>
      <c r="B160" s="577"/>
      <c r="C160" s="337"/>
      <c r="D160" s="338"/>
      <c r="E160" s="1782"/>
      <c r="F160" s="305"/>
    </row>
    <row r="161" spans="1:6">
      <c r="A161" s="350" t="str">
        <f t="shared" si="2"/>
        <v>R2=;R3=;R4=;COM=</v>
      </c>
      <c r="B161" s="577"/>
      <c r="C161" s="337"/>
      <c r="D161" s="338"/>
      <c r="E161" s="1782"/>
      <c r="F161" s="305"/>
    </row>
    <row r="162" spans="1:6">
      <c r="A162" s="350" t="str">
        <f t="shared" si="2"/>
        <v>R2=;R3=;R4=;COM=</v>
      </c>
      <c r="B162" s="577"/>
      <c r="C162" s="337"/>
      <c r="D162" s="338"/>
      <c r="E162" s="1782"/>
      <c r="F162" s="305"/>
    </row>
    <row r="163" spans="1:6">
      <c r="A163" s="350" t="str">
        <f t="shared" si="2"/>
        <v>R2=;R3=;R4=;COM=</v>
      </c>
      <c r="B163" s="577"/>
      <c r="C163" s="337"/>
      <c r="D163" s="338"/>
      <c r="E163" s="1782"/>
      <c r="F163" s="305"/>
    </row>
    <row r="164" spans="1:6">
      <c r="A164" s="350" t="str">
        <f t="shared" si="2"/>
        <v>R2=;R3=;R4=;COM=</v>
      </c>
      <c r="B164" s="577"/>
      <c r="C164" s="337"/>
      <c r="D164" s="338"/>
      <c r="E164" s="1782"/>
      <c r="F164" s="305"/>
    </row>
    <row r="165" spans="1:6">
      <c r="A165" s="350" t="str">
        <f t="shared" si="2"/>
        <v>R2=;R3=;R4=;COM=</v>
      </c>
      <c r="B165" s="577"/>
      <c r="C165" s="337"/>
      <c r="D165" s="338"/>
      <c r="E165" s="1782"/>
      <c r="F165" s="305"/>
    </row>
    <row r="166" spans="1:6">
      <c r="A166" s="350" t="str">
        <f t="shared" si="2"/>
        <v>R2=;R3=;R4=;COM=</v>
      </c>
      <c r="B166" s="577"/>
      <c r="C166" s="337"/>
      <c r="D166" s="338"/>
      <c r="E166" s="1782"/>
      <c r="F166" s="305"/>
    </row>
    <row r="167" spans="1:6">
      <c r="A167" s="350" t="str">
        <f t="shared" si="2"/>
        <v>R2=;R3=;R4=;COM=</v>
      </c>
      <c r="B167" s="577"/>
      <c r="C167" s="337"/>
      <c r="D167" s="338"/>
      <c r="E167" s="1782"/>
      <c r="F167" s="305"/>
    </row>
    <row r="168" spans="1:6">
      <c r="A168" s="350" t="str">
        <f t="shared" si="2"/>
        <v>R2=;R3=;R4=;COM=</v>
      </c>
      <c r="B168" s="577"/>
      <c r="C168" s="337"/>
      <c r="D168" s="338"/>
      <c r="E168" s="1782"/>
      <c r="F168" s="305"/>
    </row>
    <row r="169" spans="1:6">
      <c r="A169" s="350" t="str">
        <f t="shared" si="2"/>
        <v>R2=;R3=;R4=;COM=</v>
      </c>
      <c r="B169" s="577"/>
      <c r="C169" s="337"/>
      <c r="D169" s="338"/>
      <c r="E169" s="1782"/>
      <c r="F169" s="305"/>
    </row>
    <row r="170" spans="1:6">
      <c r="A170" s="350" t="str">
        <f t="shared" si="2"/>
        <v>R2=;R3=;R4=;COM=</v>
      </c>
      <c r="B170" s="577"/>
      <c r="C170" s="337"/>
      <c r="D170" s="338"/>
      <c r="E170" s="1782"/>
      <c r="F170" s="305"/>
    </row>
    <row r="171" spans="1:6">
      <c r="A171" s="350" t="str">
        <f t="shared" si="2"/>
        <v>R2=;R3=;R4=;COM=</v>
      </c>
      <c r="B171" s="577"/>
      <c r="C171" s="337"/>
      <c r="D171" s="338"/>
      <c r="E171" s="1782"/>
      <c r="F171" s="305"/>
    </row>
    <row r="172" spans="1:6">
      <c r="A172" s="350" t="str">
        <f t="shared" si="2"/>
        <v>R2=;R3=;R4=;COM=</v>
      </c>
      <c r="B172" s="577"/>
      <c r="C172" s="337"/>
      <c r="D172" s="338"/>
      <c r="E172" s="1782"/>
      <c r="F172" s="305"/>
    </row>
    <row r="173" spans="1:6">
      <c r="A173" s="350" t="str">
        <f t="shared" si="2"/>
        <v>R2=;R3=;R4=;COM=</v>
      </c>
      <c r="B173" s="577"/>
      <c r="C173" s="337"/>
      <c r="D173" s="338"/>
      <c r="E173" s="1782"/>
      <c r="F173" s="305"/>
    </row>
    <row r="174" spans="1:6">
      <c r="A174" s="350" t="str">
        <f t="shared" si="2"/>
        <v>R2=;R3=;R4=;COM=</v>
      </c>
      <c r="B174" s="577"/>
      <c r="C174" s="337"/>
      <c r="D174" s="338"/>
      <c r="E174" s="1782"/>
      <c r="F174" s="305"/>
    </row>
    <row r="175" spans="1:6">
      <c r="A175" s="350" t="str">
        <f t="shared" si="2"/>
        <v>R2=;R3=;R4=;COM=</v>
      </c>
      <c r="B175" s="577"/>
      <c r="C175" s="337"/>
      <c r="D175" s="338"/>
      <c r="E175" s="1782"/>
      <c r="F175" s="305"/>
    </row>
    <row r="176" spans="1:6">
      <c r="A176" s="350" t="str">
        <f t="shared" si="2"/>
        <v>R2=;R3=;R4=;COM=</v>
      </c>
      <c r="B176" s="577"/>
      <c r="C176" s="337"/>
      <c r="D176" s="338"/>
      <c r="E176" s="1782"/>
      <c r="F176" s="305"/>
    </row>
    <row r="177" spans="1:6">
      <c r="A177" s="350" t="str">
        <f t="shared" si="2"/>
        <v>R2=;R3=;R4=;COM=</v>
      </c>
      <c r="B177" s="577"/>
      <c r="C177" s="337"/>
      <c r="D177" s="338"/>
      <c r="E177" s="1782"/>
      <c r="F177" s="305"/>
    </row>
    <row r="178" spans="1:6">
      <c r="A178" s="350" t="str">
        <f t="shared" si="2"/>
        <v>R2=;R3=;R4=;COM=</v>
      </c>
      <c r="B178" s="577"/>
      <c r="C178" s="337"/>
      <c r="D178" s="338"/>
      <c r="E178" s="1782"/>
      <c r="F178" s="305"/>
    </row>
    <row r="179" spans="1:6">
      <c r="A179" s="350" t="str">
        <f t="shared" si="2"/>
        <v>R2=;R3=;R4=;COM=</v>
      </c>
      <c r="B179" s="577"/>
      <c r="C179" s="337"/>
      <c r="D179" s="338"/>
      <c r="E179" s="1782"/>
      <c r="F179" s="305"/>
    </row>
    <row r="180" spans="1:6">
      <c r="A180" s="350" t="str">
        <f t="shared" si="2"/>
        <v>R2=;R3=;R4=;COM=</v>
      </c>
      <c r="B180" s="577"/>
      <c r="C180" s="337"/>
      <c r="D180" s="338"/>
      <c r="E180" s="1782"/>
      <c r="F180" s="305"/>
    </row>
    <row r="181" spans="1:6">
      <c r="A181" s="350" t="str">
        <f t="shared" si="2"/>
        <v>R2=;R3=;R4=;COM=</v>
      </c>
      <c r="B181" s="577"/>
      <c r="C181" s="337"/>
      <c r="D181" s="338"/>
      <c r="E181" s="1782"/>
      <c r="F181" s="305"/>
    </row>
    <row r="182" spans="1:6">
      <c r="A182" s="350" t="str">
        <f t="shared" si="2"/>
        <v>R2=;R3=;R4=;COM=</v>
      </c>
      <c r="B182" s="577"/>
      <c r="C182" s="337"/>
      <c r="D182" s="338"/>
      <c r="E182" s="1782"/>
      <c r="F182" s="305"/>
    </row>
    <row r="183" spans="1:6">
      <c r="A183" s="350" t="str">
        <f t="shared" si="2"/>
        <v>R2=;R3=;R4=;COM=</v>
      </c>
      <c r="B183" s="577"/>
      <c r="C183" s="337"/>
      <c r="D183" s="338"/>
      <c r="E183" s="1782"/>
      <c r="F183" s="305"/>
    </row>
    <row r="184" spans="1:6">
      <c r="A184" s="350" t="str">
        <f t="shared" si="2"/>
        <v>R2=;R3=;R4=;COM=</v>
      </c>
      <c r="B184" s="577"/>
      <c r="C184" s="337"/>
      <c r="D184" s="338"/>
      <c r="E184" s="1782"/>
      <c r="F184" s="305"/>
    </row>
    <row r="185" spans="1:6">
      <c r="A185" s="350" t="str">
        <f t="shared" si="2"/>
        <v>R2=;R3=;R4=;COM=</v>
      </c>
      <c r="B185" s="577"/>
      <c r="C185" s="337"/>
      <c r="D185" s="338"/>
      <c r="E185" s="1782"/>
      <c r="F185" s="305"/>
    </row>
    <row r="186" spans="1:6">
      <c r="A186" s="350" t="str">
        <f t="shared" si="2"/>
        <v>R2=;R3=;R4=;COM=</v>
      </c>
      <c r="B186" s="577"/>
      <c r="C186" s="337"/>
      <c r="D186" s="338"/>
      <c r="E186" s="1782"/>
      <c r="F186" s="305"/>
    </row>
    <row r="187" spans="1:6">
      <c r="A187" s="350" t="str">
        <f t="shared" si="2"/>
        <v>R2=;R3=;R4=;COM=</v>
      </c>
      <c r="B187" s="577"/>
      <c r="C187" s="337"/>
      <c r="D187" s="338"/>
      <c r="E187" s="1782"/>
      <c r="F187" s="305"/>
    </row>
    <row r="188" spans="1:6">
      <c r="A188" s="350" t="str">
        <f t="shared" si="2"/>
        <v>R2=;R3=;R4=;COM=</v>
      </c>
      <c r="B188" s="577"/>
      <c r="C188" s="337"/>
      <c r="D188" s="338"/>
      <c r="E188" s="1782"/>
      <c r="F188" s="305"/>
    </row>
    <row r="189" spans="1:6">
      <c r="A189" s="350" t="str">
        <f t="shared" si="2"/>
        <v>R2=;R3=;R4=;COM=</v>
      </c>
      <c r="B189" s="577"/>
      <c r="C189" s="337"/>
      <c r="D189" s="338"/>
      <c r="E189" s="1782"/>
      <c r="F189" s="305"/>
    </row>
    <row r="190" spans="1:6">
      <c r="A190" s="350" t="str">
        <f t="shared" si="2"/>
        <v>R2=;R3=;R4=;COM=</v>
      </c>
      <c r="B190" s="577"/>
      <c r="C190" s="337"/>
      <c r="D190" s="338"/>
      <c r="E190" s="1782"/>
      <c r="F190" s="305"/>
    </row>
    <row r="191" spans="1:6">
      <c r="A191" s="350" t="str">
        <f t="shared" si="2"/>
        <v>R2=;R3=;R4=;COM=</v>
      </c>
      <c r="B191" s="577"/>
      <c r="C191" s="337"/>
      <c r="D191" s="338"/>
      <c r="E191" s="1782"/>
      <c r="F191" s="305"/>
    </row>
    <row r="192" spans="1:6">
      <c r="A192" s="350" t="str">
        <f t="shared" si="2"/>
        <v>R2=;R3=;R4=;COM=</v>
      </c>
      <c r="B192" s="577"/>
      <c r="C192" s="337"/>
      <c r="D192" s="338"/>
      <c r="E192" s="1782"/>
      <c r="F192" s="305"/>
    </row>
    <row r="193" spans="1:6">
      <c r="A193" s="350" t="str">
        <f t="shared" si="2"/>
        <v>R2=;R3=;R4=;COM=</v>
      </c>
      <c r="B193" s="577"/>
      <c r="C193" s="337"/>
      <c r="D193" s="338"/>
      <c r="E193" s="1782"/>
      <c r="F193" s="305"/>
    </row>
    <row r="194" spans="1:6">
      <c r="A194" s="350" t="str">
        <f t="shared" si="2"/>
        <v>R2=;R3=;R4=;COM=</v>
      </c>
      <c r="B194" s="577"/>
      <c r="C194" s="337"/>
      <c r="D194" s="338"/>
      <c r="E194" s="1782"/>
      <c r="F194" s="305"/>
    </row>
    <row r="195" spans="1:6">
      <c r="A195" s="350" t="str">
        <f t="shared" si="2"/>
        <v>R2=;R3=;R4=;COM=</v>
      </c>
      <c r="B195" s="577"/>
      <c r="C195" s="337"/>
      <c r="D195" s="338"/>
      <c r="E195" s="1782"/>
      <c r="F195" s="305"/>
    </row>
    <row r="196" spans="1:6">
      <c r="A196" s="350" t="str">
        <f t="shared" si="2"/>
        <v>R2=;R3=;R4=;COM=</v>
      </c>
      <c r="B196" s="577"/>
      <c r="C196" s="337"/>
      <c r="D196" s="338"/>
      <c r="E196" s="1782"/>
      <c r="F196" s="305"/>
    </row>
    <row r="197" spans="1:6">
      <c r="A197" s="350" t="str">
        <f t="shared" si="2"/>
        <v>R2=;R3=;R4=;COM=</v>
      </c>
      <c r="B197" s="577"/>
      <c r="C197" s="337"/>
      <c r="D197" s="338"/>
      <c r="E197" s="1782"/>
      <c r="F197" s="305"/>
    </row>
    <row r="198" spans="1:6">
      <c r="A198" s="350" t="str">
        <f t="shared" si="2"/>
        <v>R2=;R3=;R4=;COM=</v>
      </c>
      <c r="B198" s="577"/>
      <c r="C198" s="337"/>
      <c r="D198" s="338"/>
      <c r="E198" s="1782"/>
      <c r="F198" s="305"/>
    </row>
    <row r="199" spans="1:6">
      <c r="A199" s="350" t="str">
        <f t="shared" si="2"/>
        <v>R2=;R3=;R4=;COM=</v>
      </c>
      <c r="B199" s="577"/>
      <c r="C199" s="337"/>
      <c r="D199" s="338"/>
      <c r="E199" s="1782"/>
      <c r="F199" s="305"/>
    </row>
    <row r="200" spans="1:6" s="2830" customFormat="1">
      <c r="A200" s="350" t="str">
        <f t="shared" si="2"/>
        <v>R2=;R3=;R4=;COM=</v>
      </c>
      <c r="B200" s="577"/>
      <c r="C200" s="337"/>
      <c r="D200" s="338"/>
      <c r="E200" s="1782"/>
      <c r="F200" s="305"/>
    </row>
    <row r="201" spans="1:6" s="2830" customFormat="1" ht="15" thickBot="1">
      <c r="A201" s="350" t="str">
        <f t="shared" ref="A201" si="3">"R2="&amp;IFERROR(MID(C201,FIND("{",C201)+1,FIND("}",C201)-FIND("{",C201)-1),"")&amp;";R3="&amp;IFERROR(MID(D201,FIND("{",D201)+1,FIND("}",D201)-FIND("{",D201)-3),"")&amp;";R4="&amp;IFERROR(MID(D201,FIND("{",D201)+5,FIND("}",D201)-FIND("{",D201)-5),"")&amp;";COM="&amp;F201</f>
        <v>R2=;R3=;R4=;COM=</v>
      </c>
      <c r="B201" s="577"/>
      <c r="C201" s="299"/>
      <c r="D201" s="1732"/>
      <c r="E201" s="1783"/>
      <c r="F201" s="353"/>
    </row>
  </sheetData>
  <sheetProtection algorithmName="SHA-512" hashValue="GC6lOma1dIvVeWsZmB9QSUv5nQtq/oCEJVI6F2GmYeDJpV3W06Yrww2bkavmliJ7C2wklK1v68ffdhkdMhAfNg==" saltValue="vhlY/rpQAjUfh1zj3/j0sw==" spinCount="100000" sheet="1" objects="1" scenarios="1" formatColumns="0" formatRows="0" autoFilter="0"/>
  <autoFilter ref="C7:F7"/>
  <customSheetViews>
    <customSheetView guid="{3769259D-9653-4B34-A2F6-4FB6F9F4E533}" scale="85" showGridLines="0" showAutoFilter="1" hiddenRows="1" hiddenColumns="1">
      <pane xSplit="4" ySplit="8" topLeftCell="E9" activePane="bottomRight" state="frozen"/>
      <selection pane="bottomRight" activeCell="C17" sqref="C17"/>
      <pageMargins left="0.7" right="0.7" top="0.75" bottom="0.75" header="0.3" footer="0.3"/>
      <autoFilter ref="B1:E1"/>
    </customSheetView>
    <customSheetView guid="{40D7A2BB-326C-4ED3-999C-17852F56D6F4}" scale="85" showGridLines="0" showAutoFilter="1" hiddenRows="1" hiddenColumns="1">
      <pane xSplit="4" ySplit="8" topLeftCell="E9" activePane="bottomRight" state="frozen"/>
      <selection pane="bottomRight" activeCell="C17" sqref="C17"/>
      <pageMargins left="0.7" right="0.7" top="0.75" bottom="0.75" header="0.3" footer="0.3"/>
      <autoFilter ref="B1:E1"/>
    </customSheetView>
    <customSheetView guid="{5D121940-0CE8-4A0E-A493-67FAAA6E0FF8}" scale="85" showGridLines="0" showAutoFilter="1" hiddenRows="1" hiddenColumns="1" topLeftCell="B2">
      <pane xSplit="3" ySplit="7" topLeftCell="E9" activePane="bottomRight" state="frozen"/>
      <selection pane="bottomRight"/>
      <pageMargins left="0.7" right="0.7" top="0.75" bottom="0.75" header="0.3" footer="0.3"/>
      <autoFilter ref="B1:E1"/>
    </customSheetView>
    <customSheetView guid="{47AEACC4-6EA5-412C-AF39-A6C5357B313A}" scale="85" showGridLines="0" showAutoFilter="1" hiddenRows="1" hiddenColumns="1" topLeftCell="B2">
      <pane xSplit="3" ySplit="7" topLeftCell="E9" activePane="bottomRight" state="frozen"/>
      <selection pane="bottomRight"/>
      <pageMargins left="0.7" right="0.7" top="0.75" bottom="0.75" header="0.3" footer="0.3"/>
      <autoFilter ref="B1:E1"/>
    </customSheetView>
    <customSheetView guid="{4D957B38-5430-481E-B791-E0A66F913B50}" scale="70" showAutoFilter="1">
      <selection activeCell="D12" sqref="D12"/>
      <pageMargins left="0.7" right="0.7" top="0.75" bottom="0.75" header="0.3" footer="0.3"/>
      <autoFilter ref="B1:D1"/>
    </customSheetView>
    <customSheetView guid="{1C36793E-2B7E-411E-AA99-985D5D59B75A}" scale="70">
      <selection activeCell="A9" sqref="A9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3" ySplit="7" topLeftCell="E9" activePane="bottomRight" state="frozen"/>
      <selection pane="bottomRight"/>
      <pageMargins left="0.7" right="0.7" top="0.75" bottom="0.75" header="0.3" footer="0.3"/>
      <autoFilter ref="B1:E1"/>
    </customSheetView>
  </customSheetViews>
  <phoneticPr fontId="0" type="noConversion"/>
  <dataValidations count="3">
    <dataValidation type="list" allowBlank="1" showInputMessage="1" showErrorMessage="1" sqref="C9:C201">
      <formula1>_1010</formula1>
    </dataValidation>
    <dataValidation type="list" allowBlank="1" showInputMessage="1" showErrorMessage="1" sqref="D10:D201">
      <formula1>IF($F$3="Госкорпорация Росатом",_1015_ГК,_1015)</formula1>
    </dataValidation>
    <dataValidation type="list" allowBlank="1" showInputMessage="1" showErrorMessage="1" sqref="D9">
      <formula1>IF($F$3="Госкорпорация Росатом",_1015_ГК,_1015)</formula1>
    </dataValidation>
  </dataValidations>
  <hyperlinks>
    <hyperlink ref="D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79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AddButtonsRowAdd">
                <anchor moveWithCells="1">
                  <from>
                    <xdr:col>2</xdr:col>
                    <xdr:colOff>2171700</xdr:colOff>
                    <xdr:row>1</xdr:row>
                    <xdr:rowOff>152400</xdr:rowOff>
                  </from>
                  <to>
                    <xdr:col>2</xdr:col>
                    <xdr:colOff>3613150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pageSetUpPr fitToPage="1"/>
  </sheetPr>
  <dimension ref="A1:V25"/>
  <sheetViews>
    <sheetView topLeftCell="B2" zoomScale="70" zoomScaleNormal="70" workbookViewId="0">
      <selection activeCell="G16" sqref="G16"/>
    </sheetView>
  </sheetViews>
  <sheetFormatPr defaultColWidth="9.453125" defaultRowHeight="14.5"/>
  <cols>
    <col min="1" max="1" width="14.1796875" style="3233" hidden="1" customWidth="1"/>
    <col min="2" max="2" width="2.54296875" style="3233" customWidth="1"/>
    <col min="3" max="3" width="96.453125" style="3233" customWidth="1"/>
    <col min="4" max="5" width="17.453125" style="3233" customWidth="1"/>
    <col min="6" max="6" width="41.1796875" style="3233" customWidth="1"/>
    <col min="7" max="7" width="23.54296875" style="3233" customWidth="1"/>
    <col min="8" max="8" width="23.453125" style="3233" customWidth="1"/>
    <col min="9" max="9" width="17.453125" style="3233" customWidth="1"/>
    <col min="10" max="10" width="21.81640625" style="3233" customWidth="1"/>
    <col min="11" max="11" width="30.81640625" style="3233" customWidth="1"/>
    <col min="12" max="17" width="17.453125" style="3233" customWidth="1"/>
    <col min="18" max="18" width="12.54296875" style="3233" customWidth="1"/>
    <col min="19" max="19" width="17.453125" style="3233" customWidth="1"/>
    <col min="20" max="16384" width="9.453125" style="3233"/>
  </cols>
  <sheetData>
    <row r="1" spans="1:22" ht="23.25" hidden="1" customHeight="1">
      <c r="A1" s="3229" t="s">
        <v>10037</v>
      </c>
      <c r="B1" s="3230"/>
      <c r="C1" s="3230"/>
      <c r="D1" s="2424" t="s">
        <v>10150</v>
      </c>
      <c r="E1" s="2424" t="s">
        <v>10151</v>
      </c>
      <c r="F1" s="2424"/>
      <c r="G1" s="3231"/>
      <c r="H1" s="3230"/>
      <c r="I1" s="3230"/>
      <c r="J1" s="3230"/>
      <c r="K1" s="3230"/>
      <c r="L1" s="3230"/>
      <c r="M1" s="3230"/>
      <c r="N1" s="3230"/>
      <c r="O1" s="3230"/>
      <c r="P1" s="3230"/>
      <c r="Q1" s="3230"/>
      <c r="R1" s="3230"/>
      <c r="S1" s="3230"/>
      <c r="T1" s="3230"/>
      <c r="U1" s="3230"/>
      <c r="V1" s="3232"/>
    </row>
    <row r="2" spans="1:22" s="3236" customFormat="1">
      <c r="A2" s="3234"/>
      <c r="B2" s="3235"/>
      <c r="C2" s="3235"/>
      <c r="D2" s="3236" t="s">
        <v>1648</v>
      </c>
      <c r="E2" s="3236" t="s">
        <v>1648</v>
      </c>
      <c r="F2" s="3236" t="s">
        <v>1648</v>
      </c>
      <c r="G2" s="3236" t="s">
        <v>1648</v>
      </c>
      <c r="I2" s="3236" t="s">
        <v>1648</v>
      </c>
      <c r="J2" s="3236" t="s">
        <v>1648</v>
      </c>
      <c r="K2" s="3236" t="s">
        <v>1648</v>
      </c>
      <c r="L2" s="3236" t="s">
        <v>1648</v>
      </c>
      <c r="N2" s="3236" t="s">
        <v>1648</v>
      </c>
      <c r="O2" s="3236" t="s">
        <v>1648</v>
      </c>
      <c r="P2" s="3236" t="s">
        <v>1648</v>
      </c>
      <c r="Q2" s="3235"/>
    </row>
    <row r="3" spans="1:22" ht="26">
      <c r="A3" s="3237"/>
      <c r="B3" s="3238"/>
      <c r="C3" s="3239" t="s">
        <v>10037</v>
      </c>
      <c r="D3" s="3240" t="s">
        <v>2067</v>
      </c>
      <c r="E3" s="1244">
        <f>Содержание!$D$2</f>
        <v>0</v>
      </c>
      <c r="F3" s="3241"/>
      <c r="G3" s="3241"/>
      <c r="H3" s="3241"/>
      <c r="J3" s="3241"/>
      <c r="K3" s="3241"/>
      <c r="L3" s="3241"/>
      <c r="M3" s="3241"/>
      <c r="N3" s="3241"/>
      <c r="O3" s="3241"/>
      <c r="P3" s="3241"/>
      <c r="Q3" s="3241"/>
    </row>
    <row r="4" spans="1:22" ht="15" customHeight="1" thickBot="1">
      <c r="A4" s="3237"/>
      <c r="B4" s="3238"/>
      <c r="C4" s="3238"/>
      <c r="D4" s="3240" t="s">
        <v>2075</v>
      </c>
      <c r="E4" s="1244" t="str">
        <f>Содержание!$D$15</f>
        <v>2022 год</v>
      </c>
      <c r="F4" s="3044" t="s">
        <v>1436</v>
      </c>
      <c r="G4" s="3238"/>
      <c r="H4" s="3238"/>
      <c r="J4" s="3238"/>
      <c r="K4" s="3238"/>
      <c r="L4" s="3238"/>
      <c r="M4" s="3238"/>
      <c r="N4" s="3238"/>
      <c r="O4" s="3238"/>
      <c r="P4" s="3238"/>
      <c r="Q4" s="3238"/>
    </row>
    <row r="5" spans="1:22" ht="65.900000000000006" customHeight="1">
      <c r="A5" s="3237"/>
      <c r="B5" s="3238"/>
      <c r="C5" s="3242" t="s">
        <v>4196</v>
      </c>
      <c r="D5" s="3243" t="s">
        <v>8447</v>
      </c>
      <c r="E5" s="3243" t="s">
        <v>6215</v>
      </c>
      <c r="F5" s="3243" t="s">
        <v>8375</v>
      </c>
      <c r="G5" s="3243" t="s">
        <v>10038</v>
      </c>
      <c r="H5" s="3243" t="s">
        <v>5531</v>
      </c>
      <c r="I5" s="3243" t="s">
        <v>8394</v>
      </c>
      <c r="J5" s="3267" t="s">
        <v>10039</v>
      </c>
      <c r="K5" s="3244" t="s">
        <v>10040</v>
      </c>
    </row>
    <row r="6" spans="1:22">
      <c r="A6" s="3237"/>
      <c r="B6" s="3238"/>
      <c r="C6" s="3245" t="s">
        <v>4654</v>
      </c>
      <c r="D6" s="3246" t="s">
        <v>4192</v>
      </c>
      <c r="E6" s="3247" t="s">
        <v>435</v>
      </c>
      <c r="F6" s="3246" t="s">
        <v>3397</v>
      </c>
      <c r="G6" s="3248" t="s">
        <v>5247</v>
      </c>
      <c r="H6" s="3249" t="s">
        <v>5247</v>
      </c>
      <c r="I6" s="3250" t="s">
        <v>5247</v>
      </c>
    </row>
    <row r="7" spans="1:22" s="3256" customFormat="1">
      <c r="A7" s="3251"/>
      <c r="B7" s="3252"/>
      <c r="C7" s="3253" t="s">
        <v>4164</v>
      </c>
      <c r="D7" s="3254" t="s">
        <v>4165</v>
      </c>
      <c r="E7" s="3253" t="s">
        <v>4166</v>
      </c>
      <c r="F7" s="3254" t="s">
        <v>5500</v>
      </c>
      <c r="G7" s="3253" t="s">
        <v>4169</v>
      </c>
      <c r="H7" s="3253" t="s">
        <v>4168</v>
      </c>
      <c r="I7" s="3253" t="s">
        <v>4178</v>
      </c>
      <c r="J7" s="3255" t="b">
        <f>AND(J9:J1500)</f>
        <v>1</v>
      </c>
      <c r="K7" s="3255" t="b">
        <f>AND(K9:K1500)</f>
        <v>1</v>
      </c>
    </row>
    <row r="8" spans="1:22">
      <c r="A8" s="3237"/>
      <c r="B8" s="3238"/>
      <c r="C8" s="3257" t="s">
        <v>4170</v>
      </c>
      <c r="D8" s="3258">
        <f>SUM(D9:D1000)</f>
        <v>0</v>
      </c>
      <c r="E8" s="3258">
        <f>SUM(E9:E1000)</f>
        <v>0</v>
      </c>
      <c r="F8" s="3259" t="s">
        <v>4184</v>
      </c>
      <c r="G8" s="3259" t="s">
        <v>4184</v>
      </c>
      <c r="H8" s="3259" t="s">
        <v>4184</v>
      </c>
      <c r="I8" s="3259" t="s">
        <v>4184</v>
      </c>
    </row>
    <row r="9" spans="1:22">
      <c r="A9" s="2427" t="str">
        <f>"R3="&amp;IFERROR(MID(F9,FIND("{",F9)+1,FIND("}",F9)-FIND("{",F9)-3),"")&amp;";R4="&amp;IFERROR(MID(F9,FIND("{",F9)+5,FIND("}",F9)-FIND("{",F9)-5),"")&amp;";R7="&amp;IFERROR(MID(C9,FIND("{",C9)+1,FIND("}",C9)-FIND("{",C9)-3),"")&amp;";R8="&amp;IFERROR(IF(MID(C9,FIND("{",C9)+6,FIND("}",C9)-FIND("{",C9)-6)="~","",MID(C9,FIND("{",C9)+6,FIND("}",C9)-FIND("{",C9)-6)),"")&amp;";R42="&amp;MID(IF(I9&lt;&gt;"",I9,H9),1,30)</f>
        <v>R3=;R4=;R7=;R8=;R42=-</v>
      </c>
      <c r="B9" s="3238"/>
      <c r="C9" s="3260"/>
      <c r="D9" s="3261"/>
      <c r="E9" s="3261"/>
      <c r="F9" s="3260"/>
      <c r="G9" s="3260"/>
      <c r="H9" s="3262" t="str">
        <f>IF(ISNA(VLOOKUP($G9,Список_компаний!A:D,2,0)),"-",VLOOKUP($G9,Список_компаний!A:D,2,0))</f>
        <v>-</v>
      </c>
      <c r="I9" s="3262" t="str">
        <f>IF(ISNA(VLOOKUP($G9,Список_компаний!A:D,3,0)),"-",VLOOKUP($G9,Список_компаний!A:D,3,0))</f>
        <v>-</v>
      </c>
      <c r="J9" s="3255" t="b">
        <f>IF(D9&lt;&gt;"",E9="",IF(E9&lt;&gt;"",D9="",TRUE))</f>
        <v>1</v>
      </c>
      <c r="K9" s="3255" t="b">
        <f>IF(E9&lt;&gt;"",G9="",IF(G9&lt;&gt;"",E9="",IF(D9&lt;&gt;"",G9&lt;&gt;"",TRUE)))</f>
        <v>1</v>
      </c>
    </row>
    <row r="10" spans="1:22">
      <c r="A10" s="2427" t="str">
        <f t="shared" ref="A10:A22" si="0">"R3="&amp;IFERROR(MID(F10,FIND("{",F10)+1,FIND("}",F10)-FIND("{",F10)-3),"")&amp;";R4="&amp;IFERROR(MID(F10,FIND("{",F10)+5,FIND("}",F10)-FIND("{",F10)-5),"")&amp;";R7="&amp;IFERROR(MID(C10,FIND("{",C10)+1,FIND("}",C10)-FIND("{",C10)-3),"")&amp;";R8="&amp;IFERROR(IF(MID(C10,FIND("{",C10)+6,FIND("}",C10)-FIND("{",C10)-6)="~","",MID(C10,FIND("{",C10)+6,FIND("}",C10)-FIND("{",C10)-6)),"")&amp;";R42="&amp;MID(IF(I10&lt;&gt;"",I10,H10),1,30)</f>
        <v>R3=;R4=;R7=;R8=;R42=-</v>
      </c>
      <c r="B10" s="3238"/>
      <c r="C10" s="3260"/>
      <c r="D10" s="3261"/>
      <c r="E10" s="3261"/>
      <c r="F10" s="3260"/>
      <c r="G10" s="3260"/>
      <c r="H10" s="3262" t="str">
        <f>IF(ISNA(VLOOKUP($G10,Список_компаний!A:D,2,0)),"-",VLOOKUP($G10,Список_компаний!A:D,2,0))</f>
        <v>-</v>
      </c>
      <c r="I10" s="3262" t="str">
        <f>IF(ISNA(VLOOKUP($G10,Список_компаний!A:D,3,0)),"-",VLOOKUP($G10,Список_компаний!A:D,3,0))</f>
        <v>-</v>
      </c>
      <c r="J10" s="3255" t="b">
        <f t="shared" ref="J10:J17" si="1">IF(D10&lt;&gt;"",E10="",IF(E10&lt;&gt;"",D10="",TRUE))</f>
        <v>1</v>
      </c>
      <c r="K10" s="3255" t="b">
        <f t="shared" ref="K10:K17" si="2">IF(E10&lt;&gt;"",G10="",IF(G10&lt;&gt;"",E10="",TRUE))</f>
        <v>1</v>
      </c>
    </row>
    <row r="11" spans="1:22">
      <c r="A11" s="2427" t="str">
        <f t="shared" si="0"/>
        <v>R3=;R4=;R7=;R8=;R42=-</v>
      </c>
      <c r="B11" s="3238"/>
      <c r="C11" s="3260"/>
      <c r="D11" s="3261"/>
      <c r="E11" s="3261"/>
      <c r="F11" s="3260"/>
      <c r="G11" s="3260"/>
      <c r="H11" s="3262" t="str">
        <f>IF(ISNA(VLOOKUP($G11,Список_компаний!A:D,2,0)),"-",VLOOKUP($G11,Список_компаний!A:D,2,0))</f>
        <v>-</v>
      </c>
      <c r="I11" s="3262" t="str">
        <f>IF(ISNA(VLOOKUP($G11,Список_компаний!A:D,3,0)),"-",VLOOKUP($G11,Список_компаний!A:D,3,0))</f>
        <v>-</v>
      </c>
      <c r="J11" s="3255" t="b">
        <f t="shared" si="1"/>
        <v>1</v>
      </c>
      <c r="K11" s="3255" t="b">
        <f t="shared" si="2"/>
        <v>1</v>
      </c>
    </row>
    <row r="12" spans="1:22">
      <c r="A12" s="2427" t="str">
        <f t="shared" si="0"/>
        <v>R3=;R4=;R7=;R8=;R42=-</v>
      </c>
      <c r="B12" s="3238"/>
      <c r="C12" s="3260"/>
      <c r="D12" s="3261"/>
      <c r="E12" s="3261"/>
      <c r="F12" s="3260"/>
      <c r="G12" s="3260"/>
      <c r="H12" s="3262" t="str">
        <f>IF(ISNA(VLOOKUP($G12,Список_компаний!A:D,2,0)),"-",VLOOKUP($G12,Список_компаний!A:D,2,0))</f>
        <v>-</v>
      </c>
      <c r="I12" s="3262" t="str">
        <f>IF(ISNA(VLOOKUP($G12,Список_компаний!A:D,3,0)),"-",VLOOKUP($G12,Список_компаний!A:D,3,0))</f>
        <v>-</v>
      </c>
      <c r="J12" s="3255" t="b">
        <f t="shared" si="1"/>
        <v>1</v>
      </c>
      <c r="K12" s="3255" t="b">
        <f t="shared" si="2"/>
        <v>1</v>
      </c>
    </row>
    <row r="13" spans="1:22">
      <c r="A13" s="2427" t="str">
        <f t="shared" si="0"/>
        <v>R3=;R4=;R7=;R8=;R42=-</v>
      </c>
      <c r="B13" s="3238"/>
      <c r="C13" s="3260"/>
      <c r="D13" s="3261"/>
      <c r="E13" s="3261"/>
      <c r="F13" s="3260"/>
      <c r="G13" s="3260"/>
      <c r="H13" s="3262" t="str">
        <f>IF(ISNA(VLOOKUP($G13,Список_компаний!A:D,2,0)),"-",VLOOKUP($G13,Список_компаний!A:D,2,0))</f>
        <v>-</v>
      </c>
      <c r="I13" s="3262" t="str">
        <f>IF(ISNA(VLOOKUP($G13,Список_компаний!A:D,3,0)),"-",VLOOKUP($G13,Список_компаний!A:D,3,0))</f>
        <v>-</v>
      </c>
      <c r="J13" s="3255" t="b">
        <f t="shared" si="1"/>
        <v>1</v>
      </c>
      <c r="K13" s="3255" t="b">
        <f t="shared" si="2"/>
        <v>1</v>
      </c>
    </row>
    <row r="14" spans="1:22">
      <c r="A14" s="2427" t="str">
        <f t="shared" si="0"/>
        <v>R3=;R4=;R7=;R8=;R42=-</v>
      </c>
      <c r="B14" s="3238"/>
      <c r="C14" s="3260"/>
      <c r="D14" s="3261"/>
      <c r="E14" s="3261"/>
      <c r="F14" s="3260"/>
      <c r="G14" s="3260"/>
      <c r="H14" s="3262" t="str">
        <f>IF(ISNA(VLOOKUP($G14,Список_компаний!A:D,2,0)),"-",VLOOKUP($G14,Список_компаний!A:D,2,0))</f>
        <v>-</v>
      </c>
      <c r="I14" s="3262" t="str">
        <f>IF(ISNA(VLOOKUP($G14,Список_компаний!A:D,3,0)),"-",VLOOKUP($G14,Список_компаний!A:D,3,0))</f>
        <v>-</v>
      </c>
      <c r="J14" s="3255" t="b">
        <f t="shared" si="1"/>
        <v>1</v>
      </c>
      <c r="K14" s="3255" t="b">
        <f t="shared" si="2"/>
        <v>1</v>
      </c>
    </row>
    <row r="15" spans="1:22">
      <c r="A15" s="2427" t="str">
        <f t="shared" si="0"/>
        <v>R3=;R4=;R7=;R8=;R42=-</v>
      </c>
      <c r="B15" s="3238"/>
      <c r="C15" s="3260"/>
      <c r="D15" s="3261"/>
      <c r="E15" s="3261"/>
      <c r="F15" s="3260"/>
      <c r="G15" s="3260"/>
      <c r="H15" s="3262" t="str">
        <f>IF(ISNA(VLOOKUP($G15,Список_компаний!A:D,2,0)),"-",VLOOKUP($G15,Список_компаний!A:D,2,0))</f>
        <v>-</v>
      </c>
      <c r="I15" s="3262" t="str">
        <f>IF(ISNA(VLOOKUP($G15,Список_компаний!A:D,3,0)),"-",VLOOKUP($G15,Список_компаний!A:D,3,0))</f>
        <v>-</v>
      </c>
      <c r="J15" s="3255" t="b">
        <f t="shared" si="1"/>
        <v>1</v>
      </c>
      <c r="K15" s="3255" t="b">
        <f t="shared" si="2"/>
        <v>1</v>
      </c>
    </row>
    <row r="16" spans="1:22">
      <c r="A16" s="2427" t="str">
        <f t="shared" si="0"/>
        <v>R3=;R4=;R7=;R8=;R42=-</v>
      </c>
      <c r="B16" s="3238"/>
      <c r="C16" s="3260"/>
      <c r="D16" s="3261"/>
      <c r="E16" s="3261"/>
      <c r="F16" s="3260"/>
      <c r="G16" s="3260"/>
      <c r="H16" s="3262" t="str">
        <f>IF(ISNA(VLOOKUP($G16,Список_компаний!A:D,2,0)),"-",VLOOKUP($G16,Список_компаний!A:D,2,0))</f>
        <v>-</v>
      </c>
      <c r="I16" s="3262" t="str">
        <f>IF(ISNA(VLOOKUP($G16,Список_компаний!A:D,3,0)),"-",VLOOKUP($G16,Список_компаний!A:D,3,0))</f>
        <v>-</v>
      </c>
      <c r="J16" s="3255" t="b">
        <f t="shared" si="1"/>
        <v>1</v>
      </c>
      <c r="K16" s="3255" t="b">
        <f t="shared" si="2"/>
        <v>1</v>
      </c>
    </row>
    <row r="17" spans="1:11">
      <c r="A17" s="2427" t="str">
        <f t="shared" si="0"/>
        <v>R3=;R4=;R7=;R8=;R42=-</v>
      </c>
      <c r="B17" s="3238"/>
      <c r="C17" s="3260"/>
      <c r="D17" s="3261"/>
      <c r="E17" s="3261"/>
      <c r="F17" s="3260"/>
      <c r="G17" s="3260"/>
      <c r="H17" s="3262" t="str">
        <f>IF(ISNA(VLOOKUP($G17,Список_компаний!A:D,2,0)),"-",VLOOKUP($G17,Список_компаний!A:D,2,0))</f>
        <v>-</v>
      </c>
      <c r="I17" s="3262" t="str">
        <f>IF(ISNA(VLOOKUP($G17,Список_компаний!A:D,3,0)),"-",VLOOKUP($G17,Список_компаний!A:D,3,0))</f>
        <v>-</v>
      </c>
      <c r="J17" s="3255" t="b">
        <f t="shared" si="1"/>
        <v>1</v>
      </c>
      <c r="K17" s="3255" t="b">
        <f t="shared" si="2"/>
        <v>1</v>
      </c>
    </row>
    <row r="18" spans="1:11">
      <c r="A18" s="2427" t="str">
        <f t="shared" si="0"/>
        <v>R3=;R4=;R7=;R8=;R42=-</v>
      </c>
      <c r="B18" s="3238"/>
      <c r="C18" s="3260"/>
      <c r="D18" s="3261"/>
      <c r="E18" s="3261"/>
      <c r="F18" s="3260"/>
      <c r="G18" s="3260"/>
      <c r="H18" s="3262" t="str">
        <f>IF(ISNA(VLOOKUP($G18,Список_компаний!A:D,2,0)),"-",VLOOKUP($G18,Список_компаний!A:D,2,0))</f>
        <v>-</v>
      </c>
      <c r="I18" s="3262" t="str">
        <f>IF(ISNA(VLOOKUP($G18,Список_компаний!A:D,3,0)),"-",VLOOKUP($G18,Список_компаний!A:D,3,0))</f>
        <v>-</v>
      </c>
      <c r="J18" s="3255" t="b">
        <f t="shared" ref="J18" si="3">IF(D18&lt;&gt;"",E18="",IF(E18&lt;&gt;"",D18="",TRUE))</f>
        <v>1</v>
      </c>
      <c r="K18" s="3255" t="b">
        <f t="shared" ref="K18" si="4">IF(E18&lt;&gt;"",G18="",IF(G18&lt;&gt;"",E18="",TRUE))</f>
        <v>1</v>
      </c>
    </row>
    <row r="19" spans="1:11">
      <c r="A19" s="2427" t="str">
        <f t="shared" si="0"/>
        <v>R3=;R4=;R7=;R8=;R42=-</v>
      </c>
      <c r="B19" s="3238"/>
      <c r="C19" s="3260"/>
      <c r="D19" s="3261"/>
      <c r="E19" s="3261"/>
      <c r="F19" s="3260"/>
      <c r="G19" s="3260"/>
      <c r="H19" s="3262" t="str">
        <f>IF(ISNA(VLOOKUP($G19,Список_компаний!A:D,2,0)),"-",VLOOKUP($G19,Список_компаний!A:D,2,0))</f>
        <v>-</v>
      </c>
      <c r="I19" s="3262" t="str">
        <f>IF(ISNA(VLOOKUP($G19,Список_компаний!A:D,3,0)),"-",VLOOKUP($G19,Список_компаний!A:D,3,0))</f>
        <v>-</v>
      </c>
      <c r="J19" s="3255" t="b">
        <f t="shared" ref="J19" si="5">IF(D19&lt;&gt;"",E19="",IF(E19&lt;&gt;"",D19="",TRUE))</f>
        <v>1</v>
      </c>
      <c r="K19" s="3255" t="b">
        <f t="shared" ref="K19" si="6">IF(E19&lt;&gt;"",G19="",IF(G19&lt;&gt;"",E19="",TRUE))</f>
        <v>1</v>
      </c>
    </row>
    <row r="20" spans="1:11">
      <c r="A20" s="2427" t="str">
        <f t="shared" si="0"/>
        <v>R3=;R4=;R7=;R8=;R42=-</v>
      </c>
      <c r="B20" s="3238"/>
      <c r="C20" s="3260"/>
      <c r="D20" s="3261"/>
      <c r="E20" s="3261"/>
      <c r="F20" s="3260"/>
      <c r="G20" s="3260"/>
      <c r="H20" s="3262" t="str">
        <f>IF(ISNA(VLOOKUP($G20,Список_компаний!A:D,2,0)),"-",VLOOKUP($G20,Список_компаний!A:D,2,0))</f>
        <v>-</v>
      </c>
      <c r="I20" s="3262" t="str">
        <f>IF(ISNA(VLOOKUP($G20,Список_компаний!A:D,3,0)),"-",VLOOKUP($G20,Список_компаний!A:D,3,0))</f>
        <v>-</v>
      </c>
      <c r="J20" s="3255" t="b">
        <f t="shared" ref="J20" si="7">IF(D20&lt;&gt;"",E20="",IF(E20&lt;&gt;"",D20="",TRUE))</f>
        <v>1</v>
      </c>
      <c r="K20" s="3255" t="b">
        <f t="shared" ref="K20" si="8">IF(E20&lt;&gt;"",G20="",IF(G20&lt;&gt;"",E20="",TRUE))</f>
        <v>1</v>
      </c>
    </row>
    <row r="21" spans="1:11">
      <c r="A21" s="2427" t="str">
        <f t="shared" si="0"/>
        <v>R3=;R4=;R7=;R8=;R42=-</v>
      </c>
      <c r="B21" s="3238"/>
      <c r="C21" s="3260"/>
      <c r="D21" s="3261"/>
      <c r="E21" s="3261"/>
      <c r="F21" s="3260"/>
      <c r="G21" s="3260"/>
      <c r="H21" s="3262" t="str">
        <f>IF(ISNA(VLOOKUP($G21,Список_компаний!A:D,2,0)),"-",VLOOKUP($G21,Список_компаний!A:D,2,0))</f>
        <v>-</v>
      </c>
      <c r="I21" s="3262" t="str">
        <f>IF(ISNA(VLOOKUP($G21,Список_компаний!A:D,3,0)),"-",VLOOKUP($G21,Список_компаний!A:D,3,0))</f>
        <v>-</v>
      </c>
      <c r="J21" s="3255" t="b">
        <f t="shared" ref="J21" si="9">IF(D21&lt;&gt;"",E21="",IF(E21&lt;&gt;"",D21="",TRUE))</f>
        <v>1</v>
      </c>
      <c r="K21" s="3255" t="b">
        <f t="shared" ref="K21" si="10">IF(E21&lt;&gt;"",G21="",IF(G21&lt;&gt;"",E21="",TRUE))</f>
        <v>1</v>
      </c>
    </row>
    <row r="22" spans="1:11">
      <c r="A22" s="2427" t="str">
        <f t="shared" si="0"/>
        <v>R3=;R4=;R7=;R8=;R42=-</v>
      </c>
      <c r="B22" s="3238"/>
      <c r="C22" s="3260"/>
      <c r="D22" s="3261"/>
      <c r="E22" s="3261"/>
      <c r="F22" s="3260"/>
      <c r="G22" s="3260"/>
      <c r="H22" s="3262" t="str">
        <f>IF(ISNA(VLOOKUP($G22,Список_компаний!A:D,2,0)),"-",VLOOKUP($G22,Список_компаний!A:D,2,0))</f>
        <v>-</v>
      </c>
      <c r="I22" s="3262" t="str">
        <f>IF(ISNA(VLOOKUP($G22,Список_компаний!A:D,3,0)),"-",VLOOKUP($G22,Список_компаний!A:D,3,0))</f>
        <v>-</v>
      </c>
      <c r="J22" s="3255" t="b">
        <f t="shared" ref="J22" si="11">IF(D22&lt;&gt;"",E22="",IF(E22&lt;&gt;"",D22="",TRUE))</f>
        <v>1</v>
      </c>
      <c r="K22" s="3255" t="b">
        <f t="shared" ref="K22" si="12">IF(E22&lt;&gt;"",G22="",IF(G22&lt;&gt;"",E22="",TRUE))</f>
        <v>1</v>
      </c>
    </row>
    <row r="23" spans="1:11">
      <c r="A23" s="2427" t="str">
        <f t="shared" ref="A23" si="13">"R3="&amp;IFERROR(MID(F23,FIND("{",F23)+1,FIND("}",F23)-FIND("{",F23)-3),"")&amp;";R4="&amp;IFERROR(MID(F23,FIND("{",F23)+5,FIND("}",F23)-FIND("{",F23)-5),"")&amp;";R7="&amp;IFERROR(MID(C23,FIND("{",C23)+1,FIND("}",C23)-FIND("{",C23)-3),"")&amp;";R8="&amp;IFERROR(IF(MID(C23,FIND("{",C23)+6,FIND("}",C23)-FIND("{",C23)-6)="~","",MID(C23,FIND("{",C23)+6,FIND("}",C23)-FIND("{",C23)-6)),"")&amp;";R42="&amp;MID(IF(I23&lt;&gt;"",I23,H23),1,30)</f>
        <v>R3=;R4=;R7=;R8=;R42=-</v>
      </c>
      <c r="B23" s="3238"/>
      <c r="C23" s="3260"/>
      <c r="D23" s="3261"/>
      <c r="E23" s="3261"/>
      <c r="F23" s="3260"/>
      <c r="G23" s="3260"/>
      <c r="H23" s="3262" t="str">
        <f>IF(ISNA(VLOOKUP($G23,Список_компаний!A:D,2,0)),"-",VLOOKUP($G23,Список_компаний!A:D,2,0))</f>
        <v>-</v>
      </c>
      <c r="I23" s="3262" t="str">
        <f>IF(ISNA(VLOOKUP($G23,Список_компаний!A:D,3,0)),"-",VLOOKUP($G23,Список_компаний!A:D,3,0))</f>
        <v>-</v>
      </c>
      <c r="J23" s="3255" t="b">
        <f t="shared" ref="J23" si="14">IF(D23&lt;&gt;"",E23="",IF(E23&lt;&gt;"",D23="",TRUE))</f>
        <v>1</v>
      </c>
      <c r="K23" s="3255" t="b">
        <f t="shared" ref="K23" si="15">IF(E23&lt;&gt;"",G23="",IF(G23&lt;&gt;"",E23="",TRUE))</f>
        <v>1</v>
      </c>
    </row>
    <row r="24" spans="1:11">
      <c r="A24" s="2427" t="str">
        <f t="shared" ref="A24" si="16">"R3="&amp;IFERROR(MID(F24,FIND("{",F24)+1,FIND("}",F24)-FIND("{",F24)-3),"")&amp;";R4="&amp;IFERROR(MID(F24,FIND("{",F24)+5,FIND("}",F24)-FIND("{",F24)-5),"")&amp;";R7="&amp;IFERROR(MID(C24,FIND("{",C24)+1,FIND("}",C24)-FIND("{",C24)-3),"")&amp;";R8="&amp;IFERROR(IF(MID(C24,FIND("{",C24)+6,FIND("}",C24)-FIND("{",C24)-6)="~","",MID(C24,FIND("{",C24)+6,FIND("}",C24)-FIND("{",C24)-6)),"")&amp;";R42="&amp;MID(IF(I24&lt;&gt;"",I24,H24),1,30)</f>
        <v>R3=;R4=;R7=;R8=;R42=-</v>
      </c>
      <c r="B24" s="3238"/>
      <c r="C24" s="3260"/>
      <c r="D24" s="3261"/>
      <c r="E24" s="3261"/>
      <c r="F24" s="3260"/>
      <c r="G24" s="3260"/>
      <c r="H24" s="3262" t="str">
        <f>IF(ISNA(VLOOKUP($G24,Список_компаний!A:D,2,0)),"-",VLOOKUP($G24,Список_компаний!A:D,2,0))</f>
        <v>-</v>
      </c>
      <c r="I24" s="3262" t="str">
        <f>IF(ISNA(VLOOKUP($G24,Список_компаний!A:D,3,0)),"-",VLOOKUP($G24,Список_компаний!A:D,3,0))</f>
        <v>-</v>
      </c>
      <c r="J24" s="3255" t="b">
        <f t="shared" ref="J24" si="17">IF(D24&lt;&gt;"",E24="",IF(E24&lt;&gt;"",D24="",TRUE))</f>
        <v>1</v>
      </c>
      <c r="K24" s="3255" t="b">
        <f t="shared" ref="K24" si="18">IF(E24&lt;&gt;"",G24="",IF(G24&lt;&gt;"",E24="",TRUE))</f>
        <v>1</v>
      </c>
    </row>
    <row r="25" spans="1:11">
      <c r="A25" s="2427" t="str">
        <f t="shared" ref="A25" si="19">"R3="&amp;IFERROR(MID(F25,FIND("{",F25)+1,FIND("}",F25)-FIND("{",F25)-3),"")&amp;";R4="&amp;IFERROR(MID(F25,FIND("{",F25)+5,FIND("}",F25)-FIND("{",F25)-5),"")&amp;";R7="&amp;IFERROR(MID(C25,FIND("{",C25)+1,FIND("}",C25)-FIND("{",C25)-3),"")&amp;";R8="&amp;IFERROR(IF(MID(C25,FIND("{",C25)+6,FIND("}",C25)-FIND("{",C25)-6)="~","",MID(C25,FIND("{",C25)+6,FIND("}",C25)-FIND("{",C25)-6)),"")&amp;";R42="&amp;MID(IF(I25&lt;&gt;"",I25,H25),1,30)</f>
        <v>R3=;R4=;R7=;R8=;R42=-</v>
      </c>
      <c r="B25" s="3263"/>
      <c r="C25" s="3260"/>
      <c r="D25" s="3261"/>
      <c r="E25" s="3261"/>
      <c r="F25" s="3260"/>
      <c r="G25" s="3260"/>
      <c r="H25" s="3262" t="str">
        <f>IF(ISNA(VLOOKUP($G25,Список_компаний!A:D,2,0)),"-",VLOOKUP($G25,Список_компаний!A:D,2,0))</f>
        <v>-</v>
      </c>
      <c r="I25" s="3262" t="str">
        <f>IF(ISNA(VLOOKUP($G25,Список_компаний!A:D,3,0)),"-",VLOOKUP($G25,Список_компаний!A:D,3,0))</f>
        <v>-</v>
      </c>
      <c r="J25" s="3255" t="b">
        <f t="shared" ref="J25" si="20">IF(D25&lt;&gt;"",E25="",IF(E25&lt;&gt;"",D25="",TRUE))</f>
        <v>1</v>
      </c>
      <c r="K25" s="3255" t="b">
        <f t="shared" ref="K25" si="21">IF(E25&lt;&gt;"",G25="",IF(G25&lt;&gt;"",E25="",TRUE))</f>
        <v>1</v>
      </c>
    </row>
  </sheetData>
  <sheetProtection algorithmName="SHA-512" hashValue="cxQlTJfYgRQpd1Ev+mEKZMBJIsms/T0It2AAsXcR7rPw1NpJjMsNI29dF/iQxZatJJp7siIPm7OSsSuFTgiR0Q==" saltValue="hzAPzx8ULkxW+N1sebgfTw==" spinCount="100000" sheet="1" objects="1" scenarios="1" formatColumns="0" formatRows="0" autoFilter="0"/>
  <autoFilter ref="C7:G7"/>
  <dataValidations count="4">
    <dataValidation type="list" operator="equal" allowBlank="1" showErrorMessage="1" errorTitle="Выбор элемента списка" error="Данного элемента нет в списке" sqref="C9:C25">
      <formula1>_2080_2013</formula1>
    </dataValidation>
    <dataValidation operator="equal" allowBlank="1" showErrorMessage="1" errorTitle="Выбор элемента списка" error="Данного элемента нет в списке" sqref="H9:I25 D9:E25"/>
    <dataValidation type="list" operator="equal" allowBlank="1" showErrorMessage="1" errorTitle="Выбор элемента списка" error="Данного элемента нет в списке" sqref="F9:F25">
      <formula1>_1015</formula1>
    </dataValidation>
    <dataValidation type="list" operator="equal" showErrorMessage="1" errorTitle="Выбор элемента списка" error="Данного элемента нет в списке" sqref="G9:G25">
      <formula1>IF(E9="",_орг_НИОКР,"")</formula1>
    </dataValidation>
  </dataValidations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4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6370" r:id="rId4" name="Button 2">
              <controlPr defaultSize="0" print="0" autoFill="0" autoPict="0" macro="[0]!AddButtonsRowAdd">
                <anchor moveWithCells="1">
                  <from>
                    <xdr:col>2</xdr:col>
                    <xdr:colOff>4756150</xdr:colOff>
                    <xdr:row>2</xdr:row>
                    <xdr:rowOff>69850</xdr:rowOff>
                  </from>
                  <to>
                    <xdr:col>2</xdr:col>
                    <xdr:colOff>6172200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N36"/>
  <sheetViews>
    <sheetView topLeftCell="B2" zoomScale="52" zoomScaleNormal="52" workbookViewId="0">
      <selection activeCell="B1" sqref="A1:XFD1"/>
    </sheetView>
  </sheetViews>
  <sheetFormatPr defaultColWidth="9.453125" defaultRowHeight="14.5"/>
  <cols>
    <col min="1" max="1" width="38.453125" style="23" hidden="1" customWidth="1"/>
    <col min="2" max="2" width="2.453125" style="32" customWidth="1"/>
    <col min="3" max="3" width="77" style="32" customWidth="1"/>
    <col min="4" max="5" width="18.54296875" style="32" customWidth="1"/>
    <col min="6" max="8" width="20.453125" style="32" bestFit="1" customWidth="1"/>
    <col min="9" max="9" width="20.453125" style="32" customWidth="1"/>
    <col min="10" max="10" width="20.453125" style="32" bestFit="1" customWidth="1"/>
    <col min="11" max="12" width="20.54296875" style="32" customWidth="1"/>
    <col min="13" max="15" width="18" style="32" customWidth="1"/>
    <col min="16" max="16384" width="9.453125" style="32"/>
  </cols>
  <sheetData>
    <row r="1" spans="1:14" s="104" customFormat="1" ht="21.75" hidden="1" customHeight="1">
      <c r="A1" s="359" t="s">
        <v>3432</v>
      </c>
      <c r="B1" s="6"/>
      <c r="C1" s="6"/>
      <c r="D1" s="6" t="s">
        <v>670</v>
      </c>
      <c r="E1" s="2438" t="s">
        <v>10152</v>
      </c>
      <c r="F1" s="6" t="s">
        <v>315</v>
      </c>
      <c r="G1" s="6" t="s">
        <v>316</v>
      </c>
      <c r="H1" s="6" t="s">
        <v>317</v>
      </c>
      <c r="I1" s="2438" t="s">
        <v>10153</v>
      </c>
      <c r="J1" s="6" t="s">
        <v>318</v>
      </c>
      <c r="K1" s="6" t="s">
        <v>1010</v>
      </c>
      <c r="L1" s="6"/>
    </row>
    <row r="2" spans="1:14" s="774" customFormat="1" ht="12.5">
      <c r="A2" s="7"/>
      <c r="D2" s="774" t="s">
        <v>1648</v>
      </c>
      <c r="F2" s="774" t="s">
        <v>1648</v>
      </c>
      <c r="G2" s="774" t="s">
        <v>1648</v>
      </c>
      <c r="H2" s="774" t="s">
        <v>1648</v>
      </c>
      <c r="J2" s="774" t="s">
        <v>1648</v>
      </c>
      <c r="K2" s="774" t="s">
        <v>1648</v>
      </c>
    </row>
    <row r="3" spans="1:14" s="10" customFormat="1" ht="26">
      <c r="A3" s="9"/>
      <c r="C3" s="358" t="s">
        <v>4883</v>
      </c>
      <c r="D3"/>
      <c r="E3" s="3268"/>
      <c r="J3" s="3044" t="s">
        <v>1436</v>
      </c>
      <c r="K3" s="1897" t="s">
        <v>2067</v>
      </c>
      <c r="L3" s="1244">
        <f>Содержание!$D$2</f>
        <v>0</v>
      </c>
    </row>
    <row r="4" spans="1:14" s="10" customFormat="1" ht="13.5" thickBot="1">
      <c r="A4" s="9"/>
      <c r="K4" s="1897" t="s">
        <v>2075</v>
      </c>
      <c r="L4" s="1244" t="str">
        <f>Содержание!$D$15</f>
        <v>2022 год</v>
      </c>
    </row>
    <row r="5" spans="1:14" s="10" customFormat="1" ht="26">
      <c r="A5" s="9"/>
      <c r="C5" s="85" t="s">
        <v>4882</v>
      </c>
      <c r="D5" s="28" t="s">
        <v>5225</v>
      </c>
      <c r="E5" s="3271" t="s">
        <v>10051</v>
      </c>
      <c r="F5" s="28" t="s">
        <v>2229</v>
      </c>
      <c r="G5" s="28" t="s">
        <v>867</v>
      </c>
      <c r="H5" s="28">
        <v>84</v>
      </c>
      <c r="I5" s="3270" t="s">
        <v>10053</v>
      </c>
      <c r="J5" s="28" t="s">
        <v>2230</v>
      </c>
      <c r="K5" s="28" t="s">
        <v>5233</v>
      </c>
      <c r="L5" s="82" t="s">
        <v>4183</v>
      </c>
    </row>
    <row r="6" spans="1:14" s="10" customFormat="1" ht="13">
      <c r="A6" s="9"/>
      <c r="C6" s="99" t="s">
        <v>5482</v>
      </c>
      <c r="D6" s="15" t="s">
        <v>672</v>
      </c>
      <c r="E6" s="3269" t="s">
        <v>10052</v>
      </c>
      <c r="F6" s="16" t="s">
        <v>4880</v>
      </c>
      <c r="G6" s="16" t="s">
        <v>4881</v>
      </c>
      <c r="H6" s="16" t="s">
        <v>4954</v>
      </c>
      <c r="I6" s="3269" t="s">
        <v>10054</v>
      </c>
      <c r="J6" s="16" t="s">
        <v>2228</v>
      </c>
      <c r="K6" s="15" t="s">
        <v>673</v>
      </c>
      <c r="L6" s="25" t="s">
        <v>865</v>
      </c>
    </row>
    <row r="7" spans="1:14" s="680" customFormat="1" ht="10">
      <c r="A7" s="668"/>
      <c r="B7" s="679"/>
      <c r="C7" s="3274" t="s">
        <v>4164</v>
      </c>
      <c r="D7" s="3275" t="s">
        <v>4165</v>
      </c>
      <c r="E7" s="3275" t="s">
        <v>4166</v>
      </c>
      <c r="F7" s="3275" t="s">
        <v>5500</v>
      </c>
      <c r="G7" s="3275" t="s">
        <v>4169</v>
      </c>
      <c r="H7" s="3275" t="s">
        <v>4168</v>
      </c>
      <c r="I7" s="3275" t="s">
        <v>4178</v>
      </c>
      <c r="J7" s="3275" t="s">
        <v>4179</v>
      </c>
      <c r="K7" s="3275" t="s">
        <v>4167</v>
      </c>
      <c r="L7" s="1373" t="s">
        <v>5501</v>
      </c>
    </row>
    <row r="8" spans="1:14" s="314" customFormat="1" ht="13">
      <c r="A8" s="643"/>
      <c r="C8" s="240" t="s">
        <v>4170</v>
      </c>
      <c r="D8" s="212">
        <f t="shared" ref="D8:K8" si="0">SUM(D9:D36)</f>
        <v>0</v>
      </c>
      <c r="E8" s="212">
        <f t="shared" si="0"/>
        <v>0</v>
      </c>
      <c r="F8" s="212">
        <f t="shared" si="0"/>
        <v>0</v>
      </c>
      <c r="G8" s="212">
        <f t="shared" si="0"/>
        <v>0</v>
      </c>
      <c r="H8" s="212">
        <f t="shared" si="0"/>
        <v>0</v>
      </c>
      <c r="I8" s="212">
        <f t="shared" si="0"/>
        <v>0</v>
      </c>
      <c r="J8" s="212">
        <f t="shared" si="0"/>
        <v>0</v>
      </c>
      <c r="K8" s="212">
        <f t="shared" si="0"/>
        <v>0</v>
      </c>
      <c r="L8" s="213" t="s">
        <v>4184</v>
      </c>
      <c r="N8" s="314" t="b">
        <f>AND(N9:N36)</f>
        <v>1</v>
      </c>
    </row>
    <row r="9" spans="1:14" s="10" customFormat="1" ht="12.5">
      <c r="A9" s="9" t="str">
        <f>"R1="&amp;IFERROR(MID(C9,FIND("{",C9)+1,FIND("}",C9)-FIND("{",C9)-1),"")&amp;";"&amp;"COM="&amp;L9</f>
        <v>R1=01;COM=</v>
      </c>
      <c r="B9" s="578" t="s">
        <v>5536</v>
      </c>
      <c r="C9" s="357" t="s">
        <v>4879</v>
      </c>
      <c r="D9" s="178"/>
      <c r="E9" s="1434"/>
      <c r="F9" s="178"/>
      <c r="G9" s="178"/>
      <c r="H9" s="178"/>
      <c r="I9" s="1434"/>
      <c r="J9" s="178"/>
      <c r="K9" s="212">
        <f t="shared" ref="K9:K30" si="1">SUM(D9:J9)</f>
        <v>0</v>
      </c>
      <c r="L9" s="215"/>
      <c r="N9" s="10" t="b">
        <f>IF(OR(K9&lt;-2000,D9&lt;-2000),FALSE,TRUE)</f>
        <v>1</v>
      </c>
    </row>
    <row r="10" spans="1:14" s="10" customFormat="1" ht="12.5">
      <c r="A10" s="2427" t="str">
        <f t="shared" ref="A10:A36" si="2">"R1="&amp;IFERROR(MID(C10,FIND("{",C10)+1,FIND("}",C10)-FIND("{",C10)-1),"")&amp;";"&amp;"COM="&amp;L10</f>
        <v>R1=02;COM=</v>
      </c>
      <c r="B10" s="578" t="s">
        <v>5536</v>
      </c>
      <c r="C10" s="357" t="s">
        <v>4878</v>
      </c>
      <c r="D10" s="1434"/>
      <c r="E10" s="1434"/>
      <c r="F10" s="178"/>
      <c r="G10" s="178"/>
      <c r="H10" s="1434"/>
      <c r="I10" s="1434"/>
      <c r="J10" s="178"/>
      <c r="K10" s="212">
        <f>SUM(D10:J10)</f>
        <v>0</v>
      </c>
      <c r="L10" s="215"/>
      <c r="N10" s="10" t="b">
        <f>IF(OR(K10&lt;-2000,D10&lt;-2000),FALSE,TRUE)</f>
        <v>1</v>
      </c>
    </row>
    <row r="11" spans="1:14" s="10" customFormat="1" ht="12.5">
      <c r="A11" s="2427" t="str">
        <f t="shared" si="2"/>
        <v>R1=03;COM=</v>
      </c>
      <c r="B11" s="578" t="s">
        <v>5536</v>
      </c>
      <c r="C11" s="357" t="s">
        <v>4877</v>
      </c>
      <c r="D11" s="1434"/>
      <c r="E11" s="1434"/>
      <c r="F11" s="178"/>
      <c r="G11" s="1434"/>
      <c r="H11" s="178"/>
      <c r="I11" s="1434"/>
      <c r="J11" s="178"/>
      <c r="K11" s="212">
        <f t="shared" si="1"/>
        <v>0</v>
      </c>
      <c r="L11" s="215"/>
      <c r="N11" s="10" t="b">
        <f t="shared" ref="N11:N36" si="3">IF(OR(K11&lt;-2000,D11&lt;-2000),FALSE,TRUE)</f>
        <v>1</v>
      </c>
    </row>
    <row r="12" spans="1:14" s="10" customFormat="1" ht="12.5">
      <c r="A12" s="2427" t="str">
        <f t="shared" si="2"/>
        <v>R1=04;COM=</v>
      </c>
      <c r="B12" s="578" t="s">
        <v>5536</v>
      </c>
      <c r="C12" s="357" t="s">
        <v>4876</v>
      </c>
      <c r="D12" s="178"/>
      <c r="E12" s="1434"/>
      <c r="F12" s="178"/>
      <c r="G12" s="178"/>
      <c r="H12" s="178"/>
      <c r="I12" s="1434"/>
      <c r="J12" s="178"/>
      <c r="K12" s="212">
        <f t="shared" si="1"/>
        <v>0</v>
      </c>
      <c r="L12" s="215"/>
      <c r="N12" s="10" t="b">
        <f t="shared" si="3"/>
        <v>1</v>
      </c>
    </row>
    <row r="13" spans="1:14" s="10" customFormat="1" ht="12.5">
      <c r="A13" s="2427" t="str">
        <f t="shared" si="2"/>
        <v>R1=05;COM=</v>
      </c>
      <c r="B13" s="578" t="s">
        <v>5536</v>
      </c>
      <c r="C13" s="357" t="s">
        <v>4875</v>
      </c>
      <c r="D13" s="178"/>
      <c r="E13" s="1434"/>
      <c r="F13" s="178"/>
      <c r="G13" s="178"/>
      <c r="H13" s="178"/>
      <c r="I13" s="1434"/>
      <c r="J13" s="178"/>
      <c r="K13" s="212">
        <f t="shared" si="1"/>
        <v>0</v>
      </c>
      <c r="L13" s="215"/>
      <c r="N13" s="10" t="b">
        <f t="shared" si="3"/>
        <v>1</v>
      </c>
    </row>
    <row r="14" spans="1:14" s="10" customFormat="1" ht="12.5">
      <c r="A14" s="2427" t="str">
        <f t="shared" si="2"/>
        <v>R1=06;COM=</v>
      </c>
      <c r="B14" s="578" t="s">
        <v>5536</v>
      </c>
      <c r="C14" s="357" t="s">
        <v>4874</v>
      </c>
      <c r="D14" s="178"/>
      <c r="E14" s="1434"/>
      <c r="F14" s="178"/>
      <c r="G14" s="178"/>
      <c r="H14" s="178"/>
      <c r="I14" s="1434"/>
      <c r="J14" s="178"/>
      <c r="K14" s="212">
        <f t="shared" si="1"/>
        <v>0</v>
      </c>
      <c r="L14" s="215"/>
      <c r="N14" s="10" t="b">
        <f t="shared" si="3"/>
        <v>1</v>
      </c>
    </row>
    <row r="15" spans="1:14" s="10" customFormat="1" ht="25">
      <c r="A15" s="2427" t="str">
        <f t="shared" si="2"/>
        <v>R1=07;COM=</v>
      </c>
      <c r="B15" s="578" t="s">
        <v>5536</v>
      </c>
      <c r="C15" s="357" t="s">
        <v>4873</v>
      </c>
      <c r="D15" s="178"/>
      <c r="E15" s="1434"/>
      <c r="F15" s="178"/>
      <c r="G15" s="178"/>
      <c r="H15" s="178"/>
      <c r="I15" s="1434"/>
      <c r="J15" s="178"/>
      <c r="K15" s="212">
        <f t="shared" si="1"/>
        <v>0</v>
      </c>
      <c r="L15" s="215"/>
      <c r="N15" s="10" t="b">
        <f t="shared" si="3"/>
        <v>1</v>
      </c>
    </row>
    <row r="16" spans="1:14" s="10" customFormat="1" ht="12.5">
      <c r="A16" s="2427" t="str">
        <f t="shared" si="2"/>
        <v>R1=08;COM=</v>
      </c>
      <c r="B16" s="578" t="s">
        <v>5536</v>
      </c>
      <c r="C16" s="357" t="s">
        <v>4872</v>
      </c>
      <c r="D16" s="178"/>
      <c r="E16" s="1434"/>
      <c r="F16" s="178"/>
      <c r="G16" s="178"/>
      <c r="H16" s="178"/>
      <c r="I16" s="1434"/>
      <c r="J16" s="178"/>
      <c r="K16" s="212">
        <f t="shared" si="1"/>
        <v>0</v>
      </c>
      <c r="L16" s="215"/>
      <c r="N16" s="10" t="b">
        <f t="shared" si="3"/>
        <v>1</v>
      </c>
    </row>
    <row r="17" spans="1:14" s="10" customFormat="1" ht="12.5">
      <c r="A17" s="2427" t="str">
        <f t="shared" si="2"/>
        <v>R1=09;COM=</v>
      </c>
      <c r="B17" s="578" t="s">
        <v>5536</v>
      </c>
      <c r="C17" s="357" t="s">
        <v>4871</v>
      </c>
      <c r="D17" s="1434"/>
      <c r="E17" s="1434"/>
      <c r="F17" s="178"/>
      <c r="G17" s="178"/>
      <c r="H17" s="178"/>
      <c r="I17" s="1434"/>
      <c r="J17" s="178"/>
      <c r="K17" s="212">
        <f t="shared" si="1"/>
        <v>0</v>
      </c>
      <c r="L17" s="215"/>
      <c r="N17" s="10" t="b">
        <f t="shared" si="3"/>
        <v>1</v>
      </c>
    </row>
    <row r="18" spans="1:14" s="10" customFormat="1" ht="12.5">
      <c r="A18" s="2427" t="str">
        <f t="shared" si="2"/>
        <v>R1=10;COM=</v>
      </c>
      <c r="B18" s="578" t="s">
        <v>5536</v>
      </c>
      <c r="C18" s="357" t="s">
        <v>4870</v>
      </c>
      <c r="D18" s="178"/>
      <c r="E18" s="1434"/>
      <c r="F18" s="178"/>
      <c r="G18" s="178"/>
      <c r="H18" s="178"/>
      <c r="I18" s="1434"/>
      <c r="J18" s="178"/>
      <c r="K18" s="212">
        <f t="shared" si="1"/>
        <v>0</v>
      </c>
      <c r="L18" s="215"/>
      <c r="N18" s="10" t="b">
        <f t="shared" si="3"/>
        <v>1</v>
      </c>
    </row>
    <row r="19" spans="1:14" s="10" customFormat="1" ht="12.5">
      <c r="A19" s="2427" t="str">
        <f t="shared" si="2"/>
        <v>R1=11;COM=</v>
      </c>
      <c r="B19" s="578" t="s">
        <v>5536</v>
      </c>
      <c r="C19" s="357" t="s">
        <v>4869</v>
      </c>
      <c r="D19" s="178"/>
      <c r="E19" s="1434"/>
      <c r="F19" s="178"/>
      <c r="G19" s="178"/>
      <c r="H19" s="178"/>
      <c r="I19" s="1434"/>
      <c r="J19" s="178"/>
      <c r="K19" s="212">
        <f t="shared" si="1"/>
        <v>0</v>
      </c>
      <c r="L19" s="215"/>
      <c r="N19" s="10" t="b">
        <f t="shared" si="3"/>
        <v>1</v>
      </c>
    </row>
    <row r="20" spans="1:14" s="10" customFormat="1" ht="12.5">
      <c r="A20" s="2427" t="str">
        <f t="shared" si="2"/>
        <v>R1=12;COM=</v>
      </c>
      <c r="B20" s="578" t="s">
        <v>5536</v>
      </c>
      <c r="C20" s="357" t="s">
        <v>4868</v>
      </c>
      <c r="D20" s="1434"/>
      <c r="E20" s="1434"/>
      <c r="F20" s="178"/>
      <c r="G20" s="178"/>
      <c r="H20" s="178"/>
      <c r="I20" s="1434"/>
      <c r="J20" s="178"/>
      <c r="K20" s="212">
        <f t="shared" si="1"/>
        <v>0</v>
      </c>
      <c r="L20" s="215"/>
      <c r="N20" s="10" t="b">
        <f t="shared" si="3"/>
        <v>1</v>
      </c>
    </row>
    <row r="21" spans="1:14" s="10" customFormat="1" ht="12.5">
      <c r="A21" s="2427" t="str">
        <f t="shared" si="2"/>
        <v>R1=13;COM=</v>
      </c>
      <c r="B21" s="578" t="s">
        <v>5536</v>
      </c>
      <c r="C21" s="357" t="s">
        <v>4866</v>
      </c>
      <c r="D21" s="1434"/>
      <c r="E21" s="1434"/>
      <c r="F21" s="178"/>
      <c r="G21" s="178"/>
      <c r="H21" s="178"/>
      <c r="I21" s="1434"/>
      <c r="J21" s="178"/>
      <c r="K21" s="212">
        <f t="shared" si="1"/>
        <v>0</v>
      </c>
      <c r="L21" s="215"/>
      <c r="N21" s="10" t="b">
        <f t="shared" si="3"/>
        <v>1</v>
      </c>
    </row>
    <row r="22" spans="1:14" s="10" customFormat="1" ht="12.5">
      <c r="A22" s="2427" t="str">
        <f t="shared" si="2"/>
        <v>R1=14;COM=</v>
      </c>
      <c r="B22" s="578" t="s">
        <v>5536</v>
      </c>
      <c r="C22" s="357" t="s">
        <v>4865</v>
      </c>
      <c r="D22" s="1434"/>
      <c r="E22" s="1434"/>
      <c r="F22" s="178"/>
      <c r="G22" s="178"/>
      <c r="H22" s="1434"/>
      <c r="I22" s="1434"/>
      <c r="J22" s="178"/>
      <c r="K22" s="212">
        <f t="shared" si="1"/>
        <v>0</v>
      </c>
      <c r="L22" s="215"/>
      <c r="N22" s="10" t="b">
        <f t="shared" si="3"/>
        <v>1</v>
      </c>
    </row>
    <row r="23" spans="1:14" s="10" customFormat="1" ht="25">
      <c r="A23" s="2427" t="str">
        <f t="shared" si="2"/>
        <v>R1=22;COM=</v>
      </c>
      <c r="B23" s="578" t="s">
        <v>5536</v>
      </c>
      <c r="C23" s="357" t="s">
        <v>4864</v>
      </c>
      <c r="D23" s="1434"/>
      <c r="E23" s="1434"/>
      <c r="F23" s="178"/>
      <c r="G23" s="1434"/>
      <c r="H23" s="1434"/>
      <c r="I23" s="1434"/>
      <c r="J23" s="178"/>
      <c r="K23" s="212">
        <f t="shared" si="1"/>
        <v>0</v>
      </c>
      <c r="L23" s="215"/>
      <c r="N23" s="10" t="b">
        <f t="shared" si="3"/>
        <v>1</v>
      </c>
    </row>
    <row r="24" spans="1:14" s="10" customFormat="1" ht="25">
      <c r="A24" s="2427" t="str">
        <f t="shared" si="2"/>
        <v>R1=23;COM=</v>
      </c>
      <c r="B24" s="578"/>
      <c r="C24" s="357" t="s">
        <v>7098</v>
      </c>
      <c r="D24" s="1434"/>
      <c r="E24" s="1434"/>
      <c r="F24" s="178"/>
      <c r="G24" s="1434"/>
      <c r="H24" s="1434"/>
      <c r="I24" s="1434"/>
      <c r="J24" s="178"/>
      <c r="K24" s="212">
        <f t="shared" si="1"/>
        <v>0</v>
      </c>
      <c r="L24" s="215"/>
      <c r="N24" s="10" t="b">
        <f t="shared" si="3"/>
        <v>1</v>
      </c>
    </row>
    <row r="25" spans="1:14" s="10" customFormat="1" ht="12.5">
      <c r="A25" s="2427" t="str">
        <f t="shared" si="2"/>
        <v>R1=15;COM=</v>
      </c>
      <c r="B25" s="578" t="s">
        <v>5536</v>
      </c>
      <c r="C25" s="357" t="s">
        <v>4863</v>
      </c>
      <c r="D25" s="178"/>
      <c r="E25" s="1434"/>
      <c r="F25" s="178"/>
      <c r="G25" s="178"/>
      <c r="H25" s="178"/>
      <c r="I25" s="1434"/>
      <c r="J25" s="178"/>
      <c r="K25" s="212">
        <f t="shared" si="1"/>
        <v>0</v>
      </c>
      <c r="L25" s="215"/>
      <c r="N25" s="10" t="b">
        <f t="shared" si="3"/>
        <v>1</v>
      </c>
    </row>
    <row r="26" spans="1:14" s="10" customFormat="1" ht="12.5">
      <c r="A26" s="2427" t="str">
        <f t="shared" si="2"/>
        <v>R1=16;COM=</v>
      </c>
      <c r="B26" s="578" t="s">
        <v>5536</v>
      </c>
      <c r="C26" s="357" t="s">
        <v>4862</v>
      </c>
      <c r="D26" s="178"/>
      <c r="E26" s="1434"/>
      <c r="F26" s="178"/>
      <c r="G26" s="178"/>
      <c r="H26" s="178"/>
      <c r="I26" s="1434"/>
      <c r="J26" s="178"/>
      <c r="K26" s="212">
        <f t="shared" si="1"/>
        <v>0</v>
      </c>
      <c r="L26" s="215"/>
      <c r="N26" s="10" t="b">
        <f t="shared" si="3"/>
        <v>1</v>
      </c>
    </row>
    <row r="27" spans="1:14" s="10" customFormat="1" ht="12.5">
      <c r="A27" s="2427" t="str">
        <f t="shared" si="2"/>
        <v>R1=17;COM=</v>
      </c>
      <c r="B27" s="578" t="s">
        <v>5536</v>
      </c>
      <c r="C27" s="357" t="s">
        <v>4861</v>
      </c>
      <c r="D27" s="178"/>
      <c r="E27" s="1434"/>
      <c r="F27" s="178"/>
      <c r="G27" s="178"/>
      <c r="H27" s="178"/>
      <c r="I27" s="1434"/>
      <c r="J27" s="178"/>
      <c r="K27" s="212">
        <f t="shared" si="1"/>
        <v>0</v>
      </c>
      <c r="L27" s="215"/>
      <c r="N27" s="10" t="b">
        <f t="shared" si="3"/>
        <v>1</v>
      </c>
    </row>
    <row r="28" spans="1:14" s="10" customFormat="1" ht="12.5">
      <c r="A28" s="2427" t="str">
        <f t="shared" si="2"/>
        <v>R1=18;COM=</v>
      </c>
      <c r="B28" s="578" t="s">
        <v>5536</v>
      </c>
      <c r="C28" s="357" t="s">
        <v>4859</v>
      </c>
      <c r="D28" s="178"/>
      <c r="E28" s="1434"/>
      <c r="F28" s="178"/>
      <c r="G28" s="178"/>
      <c r="H28" s="178"/>
      <c r="I28" s="1434"/>
      <c r="J28" s="178"/>
      <c r="K28" s="212">
        <f t="shared" si="1"/>
        <v>0</v>
      </c>
      <c r="L28" s="215"/>
      <c r="N28" s="10" t="b">
        <f t="shared" si="3"/>
        <v>1</v>
      </c>
    </row>
    <row r="29" spans="1:14" s="10" customFormat="1" ht="25">
      <c r="A29" s="2427" t="str">
        <f t="shared" si="2"/>
        <v>R1=19;COM=</v>
      </c>
      <c r="B29" s="578" t="s">
        <v>5536</v>
      </c>
      <c r="C29" s="357" t="s">
        <v>4858</v>
      </c>
      <c r="D29" s="178"/>
      <c r="E29" s="1434"/>
      <c r="F29" s="178"/>
      <c r="G29" s="1434"/>
      <c r="H29" s="1434"/>
      <c r="I29" s="1434"/>
      <c r="J29" s="178"/>
      <c r="K29" s="212">
        <f t="shared" si="1"/>
        <v>0</v>
      </c>
      <c r="L29" s="215"/>
      <c r="N29" s="10" t="b">
        <f t="shared" si="3"/>
        <v>1</v>
      </c>
    </row>
    <row r="30" spans="1:14" s="10" customFormat="1" ht="12.5">
      <c r="A30" s="2427" t="str">
        <f t="shared" si="2"/>
        <v>R1=20;COM=</v>
      </c>
      <c r="B30" s="578" t="s">
        <v>5536</v>
      </c>
      <c r="C30" s="357" t="s">
        <v>4857</v>
      </c>
      <c r="D30" s="1434"/>
      <c r="E30" s="1434"/>
      <c r="F30" s="178"/>
      <c r="G30" s="1434"/>
      <c r="H30" s="178"/>
      <c r="I30" s="1434"/>
      <c r="J30" s="178"/>
      <c r="K30" s="212">
        <f t="shared" si="1"/>
        <v>0</v>
      </c>
      <c r="L30" s="215"/>
      <c r="N30" s="10" t="b">
        <f t="shared" si="3"/>
        <v>1</v>
      </c>
    </row>
    <row r="31" spans="1:14" s="10" customFormat="1" ht="12.5">
      <c r="A31" s="2427" t="str">
        <f t="shared" si="2"/>
        <v>R1=21;COM=</v>
      </c>
      <c r="B31" s="578"/>
      <c r="C31" s="357" t="s">
        <v>4856</v>
      </c>
      <c r="D31" s="1434"/>
      <c r="E31" s="1434"/>
      <c r="F31" s="1434"/>
      <c r="G31" s="1434"/>
      <c r="H31" s="1434"/>
      <c r="I31" s="1434"/>
      <c r="J31" s="1434"/>
      <c r="K31" s="212">
        <f t="shared" ref="K31:K36" si="4">SUM(D31:J31)</f>
        <v>0</v>
      </c>
      <c r="L31" s="215"/>
      <c r="N31" s="10" t="b">
        <f t="shared" ref="N31:N35" si="5">IF(OR(K31&lt;-2000,D31&lt;-2000),FALSE,TRUE)</f>
        <v>1</v>
      </c>
    </row>
    <row r="32" spans="1:14" s="10" customFormat="1" ht="12.5">
      <c r="A32" s="2427" t="str">
        <f t="shared" si="2"/>
        <v>R1=24;COM=</v>
      </c>
      <c r="B32" s="578"/>
      <c r="C32" s="357" t="s">
        <v>9641</v>
      </c>
      <c r="D32" s="1500"/>
      <c r="E32" s="1500"/>
      <c r="F32" s="1500"/>
      <c r="G32" s="1500"/>
      <c r="H32" s="1500"/>
      <c r="I32" s="1500"/>
      <c r="J32" s="1500"/>
      <c r="K32" s="212">
        <f t="shared" si="4"/>
        <v>0</v>
      </c>
      <c r="L32" s="3446"/>
      <c r="N32" s="10" t="b">
        <f t="shared" si="5"/>
        <v>1</v>
      </c>
    </row>
    <row r="33" spans="1:14" s="10" customFormat="1" ht="12.5">
      <c r="A33" s="2427" t="str">
        <f t="shared" si="2"/>
        <v>R1=25;COM=</v>
      </c>
      <c r="B33" s="578"/>
      <c r="C33" s="357" t="s">
        <v>14477</v>
      </c>
      <c r="D33" s="1500"/>
      <c r="E33" s="1500"/>
      <c r="F33" s="1500"/>
      <c r="G33" s="1500"/>
      <c r="H33" s="1500"/>
      <c r="I33" s="1500"/>
      <c r="J33" s="1500"/>
      <c r="K33" s="212">
        <f t="shared" si="4"/>
        <v>0</v>
      </c>
      <c r="L33" s="3446"/>
      <c r="N33" s="10" t="b">
        <f t="shared" si="5"/>
        <v>1</v>
      </c>
    </row>
    <row r="34" spans="1:14" s="10" customFormat="1" ht="12.5">
      <c r="A34" s="2427" t="str">
        <f t="shared" si="2"/>
        <v>R1=26;COM=</v>
      </c>
      <c r="B34" s="578"/>
      <c r="C34" s="3445" t="s">
        <v>14478</v>
      </c>
      <c r="D34" s="1500"/>
      <c r="E34" s="1500"/>
      <c r="F34" s="1500"/>
      <c r="G34" s="1500"/>
      <c r="H34" s="1500"/>
      <c r="I34" s="1500"/>
      <c r="J34" s="1500"/>
      <c r="K34" s="212">
        <f t="shared" si="4"/>
        <v>0</v>
      </c>
      <c r="L34" s="3446"/>
      <c r="N34" s="10" t="b">
        <f t="shared" si="5"/>
        <v>1</v>
      </c>
    </row>
    <row r="35" spans="1:14" s="10" customFormat="1" ht="12.5">
      <c r="A35" s="2427" t="str">
        <f t="shared" si="2"/>
        <v>R1=27;COM=</v>
      </c>
      <c r="B35" s="578"/>
      <c r="C35" s="357" t="s">
        <v>14479</v>
      </c>
      <c r="D35" s="1500"/>
      <c r="E35" s="1500"/>
      <c r="F35" s="1500"/>
      <c r="G35" s="1500"/>
      <c r="H35" s="1500"/>
      <c r="I35" s="1500"/>
      <c r="J35" s="1500"/>
      <c r="K35" s="212">
        <f t="shared" ref="K35" si="6">SUM(D35:J35)</f>
        <v>0</v>
      </c>
      <c r="L35" s="3446"/>
      <c r="N35" s="10" t="b">
        <f t="shared" si="5"/>
        <v>1</v>
      </c>
    </row>
    <row r="36" spans="1:14" s="10" customFormat="1" ht="25.5" thickBot="1">
      <c r="A36" s="2427" t="str">
        <f t="shared" si="2"/>
        <v>R1=28;COM=</v>
      </c>
      <c r="B36" s="578" t="s">
        <v>5536</v>
      </c>
      <c r="C36" s="374" t="s">
        <v>15228</v>
      </c>
      <c r="D36" s="266"/>
      <c r="E36" s="1483"/>
      <c r="F36" s="266"/>
      <c r="G36" s="266"/>
      <c r="H36" s="266"/>
      <c r="I36" s="1483"/>
      <c r="J36" s="266"/>
      <c r="K36" s="212">
        <f t="shared" si="4"/>
        <v>0</v>
      </c>
      <c r="L36" s="356"/>
      <c r="N36" s="10" t="b">
        <f t="shared" si="3"/>
        <v>1</v>
      </c>
    </row>
  </sheetData>
  <sheetProtection algorithmName="SHA-512" hashValue="u7RkZ0HGr5N+mE8MEIPJvj8spqxKOcYYui19Nt6qMUGqdsMPLD4wJp6iLzBIPjj34GWLgdb2FFESPvXGRia7Sg==" saltValue="a6+yq/Rk7oE+GNifXN9VOQ==" spinCount="100000" sheet="1" objects="1" scenarios="1" formatColumns="0" formatRows="0" autoFilter="0"/>
  <autoFilter ref="C7:L7"/>
  <customSheetViews>
    <customSheetView guid="{3769259D-9653-4B34-A2F6-4FB6F9F4E533}" scale="80" showGridLines="0" showAutoFilter="1" hiddenRows="1" hiddenColumns="1">
      <pane xSplit="4" ySplit="8" topLeftCell="I9" activePane="bottomRight" state="frozen"/>
      <selection pane="bottomRight" activeCell="C17" sqref="C17"/>
      <pageMargins left="0.7" right="0.7" top="0.75" bottom="0.75" header="0.3" footer="0.3"/>
      <pageSetup paperSize="9" orientation="portrait" r:id="rId1"/>
      <autoFilter ref="B1:K1"/>
    </customSheetView>
    <customSheetView guid="{40D7A2BB-326C-4ED3-999C-17852F56D6F4}" scale="80" showGridLines="0" showAutoFilter="1" hiddenRows="1" hiddenColumns="1">
      <pane xSplit="4" ySplit="8" topLeftCell="I9" activePane="bottomRight" state="frozen"/>
      <selection pane="bottomRight" activeCell="C17" sqref="C17"/>
      <pageMargins left="0.7" right="0.7" top="0.75" bottom="0.75" header="0.3" footer="0.3"/>
      <pageSetup paperSize="9" orientation="portrait" r:id="rId2"/>
      <autoFilter ref="B1:K1"/>
    </customSheetView>
    <customSheetView guid="{5D121940-0CE8-4A0E-A493-67FAAA6E0FF8}" scale="80" showGridLines="0" showAutoFilter="1" hiddenRows="1" hiddenColumns="1" topLeftCell="B2">
      <pane xSplit="3" ySplit="7" topLeftCell="H9" activePane="bottomRight" state="frozen"/>
      <selection pane="bottomRight" activeCell="N23" sqref="N23"/>
      <pageMargins left="0.7" right="0.7" top="0.75" bottom="0.75" header="0.3" footer="0.3"/>
      <pageSetup paperSize="9" orientation="portrait" r:id="rId3"/>
      <autoFilter ref="B1:K1"/>
    </customSheetView>
    <customSheetView guid="{47AEACC4-6EA5-412C-AF39-A6C5357B313A}" scale="80" showGridLines="0" showAutoFilter="1" hiddenRows="1" hiddenColumns="1" topLeftCell="B2">
      <pane xSplit="3" ySplit="7" topLeftCell="E9" activePane="bottomRight" state="frozen"/>
      <selection pane="bottomRight" activeCell="J9" sqref="A1:J30"/>
      <pageMargins left="0.7" right="0.7" top="0.75" bottom="0.75" header="0.3" footer="0.3"/>
      <pageSetup paperSize="9" orientation="portrait" r:id="rId4"/>
      <autoFilter ref="B1:K1"/>
    </customSheetView>
    <customSheetView guid="{4D957B38-5430-481E-B791-E0A66F913B50}" scale="70">
      <selection activeCell="K11" sqref="K11"/>
      <pageMargins left="0.7" right="0.7" top="0.75" bottom="0.75" header="0.3" footer="0.3"/>
      <pageSetup paperSize="9" orientation="portrait" r:id="rId5"/>
    </customSheetView>
    <customSheetView guid="{C913A9E8-661B-40A4-A3C9-1BC5F2B2E9F0}" scale="80" showGridLines="0" showAutoFilter="1" hiddenRows="1" hiddenColumns="1" topLeftCell="B2">
      <pane xSplit="3" ySplit="7" topLeftCell="E9" activePane="bottomRight" state="frozen"/>
      <selection pane="bottomRight" activeCell="C7" sqref="C7:J7"/>
      <pageMargins left="0.7" right="0.7" top="0.75" bottom="0.75" header="0.3" footer="0.3"/>
      <pageSetup paperSize="9" orientation="portrait" r:id="rId6"/>
      <autoFilter ref="B1:K1"/>
    </customSheetView>
  </customSheetViews>
  <phoneticPr fontId="0" type="noConversion"/>
  <hyperlinks>
    <hyperlink ref="J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9" orientation="landscape" r:id="rId7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Z35"/>
  <sheetViews>
    <sheetView topLeftCell="B3" workbookViewId="0">
      <selection activeCell="E13" sqref="E13"/>
    </sheetView>
  </sheetViews>
  <sheetFormatPr defaultColWidth="9.453125" defaultRowHeight="14.5"/>
  <cols>
    <col min="1" max="1" width="6.81640625" style="1590" hidden="1" customWidth="1"/>
    <col min="2" max="2" width="3.54296875" style="1163" customWidth="1"/>
    <col min="3" max="3" width="49.54296875" style="1163" customWidth="1"/>
    <col min="4" max="6" width="20.54296875" style="1163" customWidth="1"/>
    <col min="7" max="7" width="25.453125" style="1163" customWidth="1"/>
    <col min="8" max="8" width="23.453125" style="1163" customWidth="1"/>
    <col min="9" max="24" width="20.54296875" style="1163" customWidth="1"/>
    <col min="25" max="25" width="23.54296875" style="1163" customWidth="1"/>
    <col min="26" max="26" width="21.1796875" style="1698" customWidth="1"/>
    <col min="27" max="16384" width="9.453125" style="1163"/>
  </cols>
  <sheetData>
    <row r="1" spans="1:26" ht="12.75" hidden="1" customHeight="1">
      <c r="A1" s="563" t="s">
        <v>3387</v>
      </c>
      <c r="B1" s="6"/>
      <c r="C1" s="571"/>
      <c r="D1" s="29" t="s">
        <v>1226</v>
      </c>
      <c r="E1" s="29" t="s">
        <v>319</v>
      </c>
      <c r="F1" s="29" t="s">
        <v>320</v>
      </c>
      <c r="G1" s="29" t="s">
        <v>321</v>
      </c>
      <c r="H1" s="29" t="s">
        <v>322</v>
      </c>
      <c r="I1" s="29" t="s">
        <v>323</v>
      </c>
      <c r="J1" s="29" t="s">
        <v>324</v>
      </c>
      <c r="K1" s="29" t="s">
        <v>1228</v>
      </c>
      <c r="L1" s="29" t="s">
        <v>326</v>
      </c>
      <c r="M1" s="29" t="s">
        <v>327</v>
      </c>
      <c r="N1" s="29" t="s">
        <v>328</v>
      </c>
      <c r="O1" s="29" t="s">
        <v>329</v>
      </c>
      <c r="P1" s="29" t="s">
        <v>330</v>
      </c>
      <c r="Q1" s="29" t="s">
        <v>331</v>
      </c>
      <c r="R1" s="29" t="s">
        <v>332</v>
      </c>
      <c r="S1" s="29" t="s">
        <v>333</v>
      </c>
      <c r="T1" s="29" t="s">
        <v>334</v>
      </c>
      <c r="U1" s="29" t="s">
        <v>1229</v>
      </c>
      <c r="V1" s="29" t="s">
        <v>335</v>
      </c>
      <c r="W1" s="29" t="s">
        <v>299</v>
      </c>
      <c r="X1"/>
    </row>
    <row r="2" spans="1:26" s="1778" customFormat="1" ht="26.25" customHeight="1">
      <c r="A2" s="564"/>
      <c r="D2" s="1778" t="s">
        <v>1648</v>
      </c>
      <c r="E2" s="1778" t="s">
        <v>1648</v>
      </c>
      <c r="F2" s="3044" t="s">
        <v>1436</v>
      </c>
      <c r="G2" s="1897" t="s">
        <v>2067</v>
      </c>
      <c r="H2" s="1244">
        <f>Содержание!$D$2</f>
        <v>0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1778" t="s">
        <v>1648</v>
      </c>
      <c r="U2" s="1778" t="s">
        <v>1648</v>
      </c>
      <c r="V2" s="1778" t="s">
        <v>1648</v>
      </c>
      <c r="W2" s="1778" t="s">
        <v>1648</v>
      </c>
      <c r="Z2" s="3094"/>
    </row>
    <row r="3" spans="1:26" ht="24.75" customHeight="1" thickBot="1">
      <c r="A3" s="564"/>
      <c r="C3" s="1253" t="s">
        <v>5554</v>
      </c>
      <c r="D3" s="1163" t="b">
        <f>ABS(D9-'10_расш'!F10)&lt;2</f>
        <v>1</v>
      </c>
      <c r="E3" t="b">
        <f t="array" ref="E3">IF(SMALL(IF(""=C10:C2700,ROW(C10:C2700),2700),1)&gt;LARGE(IF(""&lt;&gt;C10:C2700,ROW(C10:C2700),0),1),TRUE,FALSE)</f>
        <v>1</v>
      </c>
      <c r="F3"/>
      <c r="G3" s="1897" t="s">
        <v>2075</v>
      </c>
      <c r="H3" s="1244" t="str">
        <f>Содержание!$D$15</f>
        <v>2022 год</v>
      </c>
      <c r="W3" s="1163" t="b">
        <f>ABS(W9-'10_расш'!L10)&lt;2</f>
        <v>1</v>
      </c>
    </row>
    <row r="4" spans="1:26" ht="15.75" customHeight="1" thickBot="1">
      <c r="A4" s="564"/>
      <c r="C4" s="3713" t="s">
        <v>5555</v>
      </c>
      <c r="D4" s="3713" t="s">
        <v>5225</v>
      </c>
      <c r="E4" s="3718" t="s">
        <v>5556</v>
      </c>
      <c r="F4" s="3719"/>
      <c r="G4" s="3719"/>
      <c r="H4" s="3719"/>
      <c r="I4" s="3719"/>
      <c r="J4" s="3719"/>
      <c r="K4" s="3720"/>
      <c r="L4" s="3714" t="s">
        <v>5557</v>
      </c>
      <c r="M4" s="3715"/>
      <c r="N4" s="3715"/>
      <c r="O4" s="3715"/>
      <c r="P4" s="3715"/>
      <c r="Q4" s="3715"/>
      <c r="R4" s="3715"/>
      <c r="S4" s="3715"/>
      <c r="T4" s="3715"/>
      <c r="U4" s="3716"/>
      <c r="V4" s="3713" t="s">
        <v>5231</v>
      </c>
      <c r="W4" s="3713" t="s">
        <v>5233</v>
      </c>
      <c r="X4" s="3711" t="s">
        <v>4183</v>
      </c>
    </row>
    <row r="5" spans="1:26" s="1564" customFormat="1" ht="15" thickBot="1">
      <c r="A5" s="9"/>
      <c r="C5" s="3713"/>
      <c r="D5" s="3713"/>
      <c r="E5" s="3705" t="s">
        <v>6063</v>
      </c>
      <c r="F5" s="3705" t="s">
        <v>1665</v>
      </c>
      <c r="G5" s="3705" t="s">
        <v>2781</v>
      </c>
      <c r="H5" s="3710" t="s">
        <v>5558</v>
      </c>
      <c r="I5" s="3710" t="s">
        <v>4070</v>
      </c>
      <c r="J5" s="3710" t="s">
        <v>1667</v>
      </c>
      <c r="K5" s="3710" t="s">
        <v>1669</v>
      </c>
      <c r="L5" s="3710" t="s">
        <v>1686</v>
      </c>
      <c r="M5" s="3710" t="s">
        <v>1670</v>
      </c>
      <c r="N5" s="3710" t="s">
        <v>1671</v>
      </c>
      <c r="O5" s="3710" t="s">
        <v>1672</v>
      </c>
      <c r="P5" s="3710" t="s">
        <v>1674</v>
      </c>
      <c r="Q5" s="3710" t="s">
        <v>1675</v>
      </c>
      <c r="R5" s="3710" t="s">
        <v>1676</v>
      </c>
      <c r="S5" s="3710" t="s">
        <v>1677</v>
      </c>
      <c r="T5" s="3705" t="s">
        <v>1678</v>
      </c>
      <c r="U5" s="3710" t="s">
        <v>5559</v>
      </c>
      <c r="V5" s="3710"/>
      <c r="W5" s="3710"/>
      <c r="X5" s="3712"/>
      <c r="Z5" s="3215"/>
    </row>
    <row r="6" spans="1:26" s="1564" customFormat="1" ht="28.5" customHeight="1">
      <c r="A6" s="9"/>
      <c r="C6" s="3713"/>
      <c r="D6" s="3713"/>
      <c r="E6" s="3721"/>
      <c r="F6" s="3717"/>
      <c r="G6" s="3717"/>
      <c r="H6" s="3710"/>
      <c r="I6" s="3710"/>
      <c r="J6" s="3710"/>
      <c r="K6" s="3710"/>
      <c r="L6" s="3710"/>
      <c r="M6" s="3710"/>
      <c r="N6" s="3710"/>
      <c r="O6" s="3710"/>
      <c r="P6" s="3710"/>
      <c r="Q6" s="3710"/>
      <c r="R6" s="3710"/>
      <c r="S6" s="3710"/>
      <c r="T6" s="3717"/>
      <c r="U6" s="3710"/>
      <c r="V6" s="3710"/>
      <c r="W6" s="3710"/>
      <c r="X6" s="3712"/>
      <c r="Y6" s="2808" t="s">
        <v>8359</v>
      </c>
      <c r="Z6" s="3214" t="s">
        <v>9963</v>
      </c>
    </row>
    <row r="7" spans="1:26">
      <c r="A7" s="9"/>
      <c r="C7" s="3066" t="s">
        <v>7585</v>
      </c>
      <c r="D7" s="16" t="s">
        <v>672</v>
      </c>
      <c r="E7" s="16" t="s">
        <v>4059</v>
      </c>
      <c r="F7" s="16" t="s">
        <v>5566</v>
      </c>
      <c r="G7" s="16" t="s">
        <v>5567</v>
      </c>
      <c r="H7" s="16" t="s">
        <v>5568</v>
      </c>
      <c r="I7" s="16" t="s">
        <v>5569</v>
      </c>
      <c r="J7" s="16" t="s">
        <v>5570</v>
      </c>
      <c r="K7" s="16" t="s">
        <v>5571</v>
      </c>
      <c r="L7" s="16" t="s">
        <v>4042</v>
      </c>
      <c r="M7" s="16" t="s">
        <v>5573</v>
      </c>
      <c r="N7" s="16" t="s">
        <v>5574</v>
      </c>
      <c r="O7" s="16" t="s">
        <v>5575</v>
      </c>
      <c r="P7" s="16" t="s">
        <v>5576</v>
      </c>
      <c r="Q7" s="16" t="s">
        <v>4050</v>
      </c>
      <c r="R7" s="16" t="s">
        <v>5577</v>
      </c>
      <c r="S7" s="16" t="s">
        <v>5578</v>
      </c>
      <c r="T7" s="16" t="s">
        <v>5579</v>
      </c>
      <c r="U7" s="16" t="s">
        <v>5580</v>
      </c>
      <c r="V7" s="16" t="s">
        <v>3949</v>
      </c>
      <c r="W7" s="16" t="s">
        <v>4163</v>
      </c>
      <c r="X7" s="27"/>
    </row>
    <row r="8" spans="1:26">
      <c r="A8" s="538"/>
      <c r="C8" s="681" t="s">
        <v>4164</v>
      </c>
      <c r="D8" s="681" t="s">
        <v>4165</v>
      </c>
      <c r="E8" s="681" t="s">
        <v>4166</v>
      </c>
      <c r="F8" s="681" t="s">
        <v>5500</v>
      </c>
      <c r="G8" s="681" t="s">
        <v>4169</v>
      </c>
      <c r="H8" s="681" t="s">
        <v>4168</v>
      </c>
      <c r="I8" s="681" t="s">
        <v>4178</v>
      </c>
      <c r="J8" s="681" t="s">
        <v>4179</v>
      </c>
      <c r="K8" s="681" t="s">
        <v>4167</v>
      </c>
      <c r="L8" s="681" t="s">
        <v>5501</v>
      </c>
      <c r="M8" s="681" t="s">
        <v>4701</v>
      </c>
      <c r="N8" s="681" t="s">
        <v>4702</v>
      </c>
      <c r="O8" s="681" t="s">
        <v>4703</v>
      </c>
      <c r="P8" s="681" t="s">
        <v>5502</v>
      </c>
      <c r="Q8" s="681" t="s">
        <v>5503</v>
      </c>
      <c r="R8" s="681" t="s">
        <v>5504</v>
      </c>
      <c r="S8" s="681" t="s">
        <v>4853</v>
      </c>
      <c r="T8" s="681" t="s">
        <v>4852</v>
      </c>
      <c r="U8" s="681" t="s">
        <v>5505</v>
      </c>
      <c r="V8" s="681" t="s">
        <v>4851</v>
      </c>
      <c r="W8" s="681" t="s">
        <v>5506</v>
      </c>
      <c r="X8" s="681" t="s">
        <v>4850</v>
      </c>
    </row>
    <row r="9" spans="1:26">
      <c r="A9" s="700"/>
      <c r="C9" s="219" t="s">
        <v>4170</v>
      </c>
      <c r="D9" s="17">
        <f t="shared" ref="D9:W9" si="0">SUM(D10:D65519)</f>
        <v>0</v>
      </c>
      <c r="E9" s="17">
        <f t="shared" si="0"/>
        <v>0</v>
      </c>
      <c r="F9" s="17">
        <f t="shared" si="0"/>
        <v>0</v>
      </c>
      <c r="G9" s="17">
        <f t="shared" si="0"/>
        <v>0</v>
      </c>
      <c r="H9" s="17">
        <f t="shared" si="0"/>
        <v>0</v>
      </c>
      <c r="I9" s="17">
        <f t="shared" si="0"/>
        <v>0</v>
      </c>
      <c r="J9" s="17">
        <f t="shared" si="0"/>
        <v>0</v>
      </c>
      <c r="K9" s="17">
        <f t="shared" si="0"/>
        <v>0</v>
      </c>
      <c r="L9" s="17">
        <f t="shared" si="0"/>
        <v>0</v>
      </c>
      <c r="M9" s="17">
        <f t="shared" si="0"/>
        <v>0</v>
      </c>
      <c r="N9" s="17">
        <f t="shared" si="0"/>
        <v>0</v>
      </c>
      <c r="O9" s="17">
        <f t="shared" si="0"/>
        <v>0</v>
      </c>
      <c r="P9" s="17">
        <f t="shared" si="0"/>
        <v>0</v>
      </c>
      <c r="Q9" s="17">
        <f t="shared" si="0"/>
        <v>0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0"/>
        <v>0</v>
      </c>
      <c r="V9" s="17">
        <f t="shared" si="0"/>
        <v>0</v>
      </c>
      <c r="W9" s="17">
        <f t="shared" si="0"/>
        <v>0</v>
      </c>
      <c r="X9" s="1174" t="s">
        <v>3196</v>
      </c>
      <c r="Y9" s="2812" t="b">
        <f>AND(Y10:Y5000)</f>
        <v>1</v>
      </c>
      <c r="Z9" s="2812" t="b">
        <f>AND(Z10:Z5000)</f>
        <v>1</v>
      </c>
    </row>
    <row r="10" spans="1:26">
      <c r="A10" s="1867" t="str">
        <f>"R1="&amp;IFERROR(TEXT(MID(C10,2,1)+0,"0"),"")&amp;";R2="&amp;IFERROR(TEXT(MID(C10,4,4)+0,"0000"),"")&amp;";R3=;R4="&amp;IFERROR(TEXT(MID(C10,9,1)+0,"0"),"")&amp;";COM="&amp;X10</f>
        <v>R1=;R2=;R3=;R4=;COM=</v>
      </c>
      <c r="C10" s="1438"/>
      <c r="D10" s="1431"/>
      <c r="E10" s="1431"/>
      <c r="F10" s="1431"/>
      <c r="G10" s="1431"/>
      <c r="H10" s="19"/>
      <c r="I10" s="19"/>
      <c r="J10" s="1431"/>
      <c r="K10" s="1431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175">
        <f>SUM(D10:V10)</f>
        <v>0</v>
      </c>
      <c r="X10" s="305"/>
      <c r="Y10" s="2130" t="b">
        <f>AND(F10&gt;=0,G10&gt;=0,H10&gt;=0,I10&gt;=0,J10&gt;=0,K10&gt;=0,L10&lt;=0,M10&lt;=0,N10&lt;=0,O10&lt;=0,P10&lt;=0,Q10&lt;=0,R10&lt;=0,S10&lt;=0,T10&lt;=0,U10&lt;=0)</f>
        <v>1</v>
      </c>
      <c r="Z10" s="2231" t="b">
        <f>SUMIF($C$10:$C$1000,C10,$E$10:$E$1000)-SUMIF('15'!$C$13:$C$69,'10'!C10,'15'!$K$13:$K$69)-SUMIF('16'!$C$13:$C$69,'10'!C10,'16'!$I$13:$I$69)&gt;-5</f>
        <v>1</v>
      </c>
    </row>
    <row r="11" spans="1:26">
      <c r="A11" s="1867" t="str">
        <f>"R1="&amp;IFERROR(TEXT(MID(C11,2,1)+0,"0"),"")&amp;";R2="&amp;IFERROR(TEXT(MID(C11,4,4)+0,"0000"),"")&amp;";R3=;R4="&amp;IFERROR(TEXT(MID(C11,9,1)+0,"0"),"")&amp;";COM="&amp;X11</f>
        <v>R1=;R2=;R3=;R4=;COM=</v>
      </c>
      <c r="C11" s="787"/>
      <c r="D11" s="1435"/>
      <c r="E11" s="1435"/>
      <c r="F11" s="1435"/>
      <c r="G11" s="1435"/>
      <c r="H11" s="1435"/>
      <c r="I11" s="1435"/>
      <c r="J11" s="1435"/>
      <c r="K11" s="1435"/>
      <c r="L11" s="1435"/>
      <c r="M11" s="1435"/>
      <c r="N11" s="1435"/>
      <c r="O11" s="1435"/>
      <c r="P11" s="1435"/>
      <c r="Q11" s="1435"/>
      <c r="R11" s="1435"/>
      <c r="S11" s="1435"/>
      <c r="T11" s="1435"/>
      <c r="U11" s="1435"/>
      <c r="V11" s="1435"/>
      <c r="W11" s="1436">
        <f>SUM(D11:V11)</f>
        <v>0</v>
      </c>
      <c r="X11" s="1437"/>
      <c r="Y11" s="2130" t="b">
        <f t="shared" ref="Y11:Y13" si="1">AND(F11&gt;=0,G11&gt;=0,H11&gt;=0,I11&gt;=0,J11&gt;=0,K11&gt;=0,L11&lt;=0,M11&lt;=0,N11&lt;=0,O11&lt;=0,P11&lt;=0,Q11&lt;=0,R11&lt;=0,S11&lt;=0,T11&lt;=0,U11&lt;=0)</f>
        <v>1</v>
      </c>
      <c r="Z11" s="2231" t="b">
        <f>SUMIF($C$10:$C$1000,C11,$E$10:$E$1000)-SUMIF('15'!$C$13:$C$69,'10'!C11,'15'!$K$13:$K$69)-SUMIF('16'!$C$13:$C$69,'10'!C11,'16'!$I$13:$I$69)&gt;-5</f>
        <v>1</v>
      </c>
    </row>
    <row r="12" spans="1:26">
      <c r="A12" s="1867" t="str">
        <f>"R1="&amp;IFERROR(TEXT(MID(C12,2,1)+0,"0"),"")&amp;";R2="&amp;IFERROR(TEXT(MID(C12,4,4)+0,"0000"),"")&amp;";R3=;R4="&amp;IFERROR(TEXT(MID(C12,9,1)+0,"0"),"")&amp;";COM="&amp;X12</f>
        <v>R1=;R2=;R3=;R4=;COM=</v>
      </c>
      <c r="C12" s="787"/>
      <c r="D12" s="1435"/>
      <c r="E12" s="1435"/>
      <c r="F12" s="1435"/>
      <c r="G12" s="1435"/>
      <c r="H12" s="1435"/>
      <c r="I12" s="1435"/>
      <c r="J12" s="1435"/>
      <c r="K12" s="1435"/>
      <c r="L12" s="1435"/>
      <c r="M12" s="1435"/>
      <c r="N12" s="1435"/>
      <c r="O12" s="1435"/>
      <c r="P12" s="1435"/>
      <c r="Q12" s="1435"/>
      <c r="R12" s="1435"/>
      <c r="S12" s="1435"/>
      <c r="T12" s="1435"/>
      <c r="U12" s="1435"/>
      <c r="V12" s="1435"/>
      <c r="W12" s="1436">
        <f>SUM(D12:V12)</f>
        <v>0</v>
      </c>
      <c r="X12" s="1437"/>
      <c r="Y12" s="2130" t="b">
        <f t="shared" si="1"/>
        <v>1</v>
      </c>
      <c r="Z12" s="2231" t="b">
        <f>SUMIF($C$10:$C$1000,C12,$E$10:$E$1000)-SUMIF('15'!$C$13:$C$69,'10'!C12,'15'!$K$13:$K$69)-SUMIF('16'!$C$13:$C$69,'10'!C12,'16'!$I$13:$I$69)&gt;-5</f>
        <v>1</v>
      </c>
    </row>
    <row r="13" spans="1:26" ht="15" thickBot="1">
      <c r="A13" s="1867" t="str">
        <f>"R1="&amp;IFERROR(TEXT(MID(C13,2,1)+0,"0"),"")&amp;";R2="&amp;IFERROR(TEXT(MID(C13,4,4)+0,"0000"),"")&amp;";R3=;R4="&amp;IFERROR(TEXT(MID(C13,9,1)+0,"0"),"")&amp;";COM="&amp;X13</f>
        <v>R1=;R2=;R3=;R4=;COM=</v>
      </c>
      <c r="C13" s="780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176">
        <f>SUM(D13:V13)</f>
        <v>0</v>
      </c>
      <c r="X13" s="306"/>
      <c r="Y13" s="2130" t="b">
        <f t="shared" si="1"/>
        <v>1</v>
      </c>
      <c r="Z13" s="2231" t="b">
        <f>SUMIF($C$10:$C$1000,C13,$E$10:$E$1000)-SUMIF('15'!$C$13:$C$69,'10'!C13,'15'!$K$13:$K$69)-SUMIF('16'!$C$13:$C$69,'10'!C13,'16'!$I$13:$I$69)&gt;-5</f>
        <v>1</v>
      </c>
    </row>
    <row r="14" spans="1:26">
      <c r="A14" s="1163"/>
    </row>
    <row r="15" spans="1:26">
      <c r="A15" s="1163"/>
    </row>
    <row r="16" spans="1:26">
      <c r="A16" s="1163"/>
    </row>
    <row r="17" spans="1:1">
      <c r="A17" s="1163"/>
    </row>
    <row r="18" spans="1:1">
      <c r="A18" s="1163"/>
    </row>
    <row r="19" spans="1:1">
      <c r="A19" s="1163"/>
    </row>
    <row r="20" spans="1:1">
      <c r="A20" s="1163"/>
    </row>
    <row r="21" spans="1:1">
      <c r="A21" s="1163"/>
    </row>
    <row r="22" spans="1:1">
      <c r="A22" s="1163"/>
    </row>
    <row r="23" spans="1:1">
      <c r="A23" s="1163"/>
    </row>
    <row r="24" spans="1:1">
      <c r="A24" s="1163"/>
    </row>
    <row r="25" spans="1:1">
      <c r="A25" s="1163"/>
    </row>
    <row r="26" spans="1:1">
      <c r="A26" s="1163"/>
    </row>
    <row r="27" spans="1:1">
      <c r="A27" s="1163"/>
    </row>
    <row r="28" spans="1:1">
      <c r="A28" s="1163"/>
    </row>
    <row r="29" spans="1:1">
      <c r="A29" s="1163"/>
    </row>
    <row r="30" spans="1:1">
      <c r="A30" s="1163"/>
    </row>
    <row r="31" spans="1:1">
      <c r="A31" s="1163"/>
    </row>
    <row r="32" spans="1:1">
      <c r="A32" s="1163"/>
    </row>
    <row r="33" spans="1:1">
      <c r="A33" s="1163"/>
    </row>
    <row r="34" spans="1:1">
      <c r="A34" s="1163"/>
    </row>
    <row r="35" spans="1:1">
      <c r="A35" s="1163"/>
    </row>
  </sheetData>
  <sheetProtection algorithmName="SHA-512" hashValue="TotWZNVCd9XxHQ5Pm80Ib+NP6pNrBA7BvJcDYIaOWo8OpJNvJ9rT8m0vON59WT7xAJ9+r0zq2bReF8+dS6D19w==" saltValue="1FpNzvOy9b8vFL0uQ6zIxA==" spinCount="100000" sheet="1" objects="1" scenarios="1" formatColumns="0" formatRows="0" autoFilter="0"/>
  <autoFilter ref="C8:Y8"/>
  <customSheetViews>
    <customSheetView guid="{3769259D-9653-4B34-A2F6-4FB6F9F4E533}" scale="80" showGridLines="0" showAutoFilter="1" hiddenRows="1" hiddenColumns="1" topLeftCell="B2">
      <selection activeCell="C12" sqref="C12"/>
      <pageMargins left="0.7" right="0.7" top="0.75" bottom="0.75" header="0.3" footer="0.3"/>
      <autoFilter ref="B1:W1"/>
    </customSheetView>
    <customSheetView guid="{40D7A2BB-326C-4ED3-999C-17852F56D6F4}" scale="80" showGridLines="0" showAutoFilter="1" hiddenRows="1" hiddenColumns="1" topLeftCell="B2">
      <selection activeCell="C12" sqref="C12"/>
      <pageMargins left="0.7" right="0.7" top="0.75" bottom="0.75" header="0.3" footer="0.3"/>
      <autoFilter ref="B1:W1"/>
    </customSheetView>
    <customSheetView guid="{5D121940-0CE8-4A0E-A493-67FAAA6E0FF8}" scale="80" showGridLines="0" showAutoFilter="1" hiddenRows="1" hiddenColumns="1" topLeftCell="C3">
      <selection activeCell="C9" sqref="C9"/>
      <pageMargins left="0.7" right="0.7" top="0.75" bottom="0.75" header="0.3" footer="0.3"/>
      <autoFilter ref="B1:W1"/>
    </customSheetView>
    <customSheetView guid="{47AEACC4-6EA5-412C-AF39-A6C5357B313A}" scale="80" showGridLines="0" showAutoFilter="1" hiddenRows="1" hiddenColumns="1" topLeftCell="B3">
      <selection activeCell="H10" sqref="H10"/>
      <pageMargins left="0.7" right="0.7" top="0.75" bottom="0.75" header="0.3" footer="0.3"/>
      <autoFilter ref="B1:W1"/>
    </customSheetView>
    <customSheetView guid="{C913A9E8-661B-40A4-A3C9-1BC5F2B2E9F0}" scale="80" showGridLines="0" showAutoFilter="1" hiddenRows="1" hiddenColumns="1" topLeftCell="C3">
      <selection activeCell="C9" sqref="C9"/>
      <pageMargins left="0.7" right="0.7" top="0.75" bottom="0.75" header="0.3" footer="0.3"/>
      <autoFilter ref="B1:W1"/>
    </customSheetView>
  </customSheetViews>
  <mergeCells count="24">
    <mergeCell ref="C4:C6"/>
    <mergeCell ref="D4:D6"/>
    <mergeCell ref="E4:K4"/>
    <mergeCell ref="I5:I6"/>
    <mergeCell ref="K5:K6"/>
    <mergeCell ref="E5:E6"/>
    <mergeCell ref="F5:F6"/>
    <mergeCell ref="J5:J6"/>
    <mergeCell ref="H5:H6"/>
    <mergeCell ref="G5:G6"/>
    <mergeCell ref="O5:O6"/>
    <mergeCell ref="L5:L6"/>
    <mergeCell ref="N5:N6"/>
    <mergeCell ref="X4:X6"/>
    <mergeCell ref="W4:W6"/>
    <mergeCell ref="S5:S6"/>
    <mergeCell ref="V4:V6"/>
    <mergeCell ref="L4:U4"/>
    <mergeCell ref="U5:U6"/>
    <mergeCell ref="R5:R6"/>
    <mergeCell ref="T5:T6"/>
    <mergeCell ref="Q5:Q6"/>
    <mergeCell ref="M5:M6"/>
    <mergeCell ref="P5:P6"/>
  </mergeCell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C10:C13">
      <formula1>_2111</formula1>
    </dataValidation>
    <dataValidation operator="equal" allowBlank="1" showErrorMessage="1" errorTitle="Выбор элемента списка" error="Данного элемента нет в списке" sqref="D10:W13"/>
  </dataValidations>
  <hyperlinks>
    <hyperlink ref="F2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2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8" r:id="rId4" name="Button 22">
              <controlPr defaultSize="0" print="0" autoFill="0" autoPict="0" macro="[0]!AddButtonsRowAdd">
                <anchor moveWithCells="1">
                  <from>
                    <xdr:col>3</xdr:col>
                    <xdr:colOff>107950</xdr:colOff>
                    <xdr:row>1</xdr:row>
                    <xdr:rowOff>107950</xdr:rowOff>
                  </from>
                  <to>
                    <xdr:col>4</xdr:col>
                    <xdr:colOff>146050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Z21"/>
  <sheetViews>
    <sheetView topLeftCell="E2" zoomScale="47" zoomScaleNormal="47" workbookViewId="0">
      <selection activeCell="S7" sqref="S7"/>
    </sheetView>
  </sheetViews>
  <sheetFormatPr defaultColWidth="9.453125" defaultRowHeight="14.5"/>
  <cols>
    <col min="1" max="1" width="8.453125" style="1163" hidden="1" customWidth="1"/>
    <col min="2" max="2" width="5" style="1163" customWidth="1"/>
    <col min="3" max="3" width="53.1796875" style="1163" customWidth="1"/>
    <col min="4" max="4" width="24.54296875" style="1163" customWidth="1"/>
    <col min="5" max="5" width="24.54296875" style="2732" customWidth="1"/>
    <col min="6" max="6" width="19.453125" style="1163" customWidth="1"/>
    <col min="7" max="7" width="19.453125" style="2830" customWidth="1"/>
    <col min="8" max="11" width="19.453125" style="1163" customWidth="1"/>
    <col min="12" max="12" width="16.453125" style="1163" customWidth="1"/>
    <col min="13" max="13" width="24.453125" style="1163" customWidth="1"/>
    <col min="14" max="14" width="26.453125" style="1163" customWidth="1"/>
    <col min="15" max="15" width="19.453125" style="1163" customWidth="1"/>
    <col min="16" max="16" width="22.453125" style="1163" customWidth="1"/>
    <col min="17" max="20" width="26.54296875" style="1163" customWidth="1"/>
    <col min="21" max="21" width="43.453125" style="1163" customWidth="1"/>
    <col min="22" max="24" width="9.453125" style="1163"/>
    <col min="25" max="25" width="15.1796875" style="1163" customWidth="1"/>
    <col min="26" max="26" width="16.453125" style="1163" customWidth="1"/>
    <col min="27" max="16384" width="9.453125" style="1163"/>
  </cols>
  <sheetData>
    <row r="1" spans="1:26" ht="12" hidden="1" customHeight="1">
      <c r="A1" s="1922" t="s">
        <v>2822</v>
      </c>
      <c r="B1" s="29"/>
      <c r="C1" s="29"/>
      <c r="D1" s="29"/>
      <c r="E1" s="2424"/>
      <c r="F1" s="29" t="s">
        <v>336</v>
      </c>
      <c r="G1" s="2424" t="s">
        <v>10166</v>
      </c>
      <c r="H1" s="29" t="s">
        <v>337</v>
      </c>
      <c r="I1" s="29" t="s">
        <v>338</v>
      </c>
      <c r="J1" s="29" t="s">
        <v>339</v>
      </c>
      <c r="K1" s="29" t="s">
        <v>340</v>
      </c>
      <c r="L1" s="29" t="s">
        <v>341</v>
      </c>
      <c r="M1" s="29" t="s">
        <v>342</v>
      </c>
      <c r="N1" s="29" t="s">
        <v>343</v>
      </c>
      <c r="O1" s="29" t="s">
        <v>344</v>
      </c>
      <c r="P1" s="29" t="s">
        <v>345</v>
      </c>
      <c r="Q1" s="29" t="s">
        <v>346</v>
      </c>
      <c r="R1" s="29" t="s">
        <v>347</v>
      </c>
      <c r="S1" s="29" t="s">
        <v>348</v>
      </c>
      <c r="T1" s="29" t="s">
        <v>349</v>
      </c>
    </row>
    <row r="2" spans="1:26">
      <c r="A2" s="538"/>
      <c r="C2"/>
      <c r="D2" s="1923"/>
      <c r="E2" s="1923"/>
      <c r="F2" s="1923" t="s">
        <v>1648</v>
      </c>
      <c r="G2" s="1923"/>
      <c r="H2" s="1923" t="s">
        <v>1648</v>
      </c>
      <c r="I2" s="1923" t="s">
        <v>1648</v>
      </c>
      <c r="J2" s="1923" t="s">
        <v>1648</v>
      </c>
      <c r="K2" s="1923" t="s">
        <v>1648</v>
      </c>
      <c r="L2" s="1923" t="s">
        <v>1648</v>
      </c>
      <c r="M2" s="1923" t="s">
        <v>1648</v>
      </c>
      <c r="N2" s="1923" t="s">
        <v>1648</v>
      </c>
      <c r="O2" s="1923" t="s">
        <v>1648</v>
      </c>
      <c r="P2" s="1923" t="s">
        <v>1648</v>
      </c>
      <c r="Q2" s="1923" t="s">
        <v>1648</v>
      </c>
      <c r="R2" s="1923" t="s">
        <v>1648</v>
      </c>
      <c r="S2" s="1923" t="s">
        <v>1648</v>
      </c>
      <c r="T2" s="1923" t="s">
        <v>1648</v>
      </c>
    </row>
    <row r="3" spans="1:26" ht="26">
      <c r="A3" s="538"/>
      <c r="C3" s="11" t="s">
        <v>2854</v>
      </c>
      <c r="F3" s="1897" t="s">
        <v>2067</v>
      </c>
      <c r="G3" s="2353"/>
      <c r="H3" s="1244">
        <f>Содержание!$D$2</f>
        <v>0</v>
      </c>
      <c r="I3"/>
      <c r="K3" s="3044" t="s">
        <v>1436</v>
      </c>
    </row>
    <row r="4" spans="1:26" ht="15" thickBot="1">
      <c r="A4" s="538"/>
      <c r="F4" s="1897" t="s">
        <v>2075</v>
      </c>
      <c r="G4" s="2353"/>
      <c r="H4" s="1244" t="str">
        <f>Содержание!$D$15</f>
        <v>2022 год</v>
      </c>
    </row>
    <row r="5" spans="1:26" ht="27" customHeight="1">
      <c r="A5" s="538"/>
      <c r="C5" s="3722" t="s">
        <v>5555</v>
      </c>
      <c r="D5" s="3722" t="s">
        <v>56</v>
      </c>
      <c r="E5" s="3728" t="s">
        <v>8375</v>
      </c>
      <c r="F5" s="3727" t="s">
        <v>5225</v>
      </c>
      <c r="G5" s="3727"/>
      <c r="H5" s="3727"/>
      <c r="I5" s="3727"/>
      <c r="J5" s="3727"/>
      <c r="K5" s="3727"/>
      <c r="L5" s="3724" t="s">
        <v>5233</v>
      </c>
      <c r="M5" s="3724"/>
      <c r="N5" s="3724"/>
      <c r="O5" s="3724"/>
      <c r="P5" s="3724"/>
      <c r="Q5" s="3724"/>
      <c r="R5" s="3724"/>
      <c r="S5" s="3724"/>
      <c r="T5" s="3724"/>
      <c r="U5" s="3725" t="s">
        <v>4183</v>
      </c>
    </row>
    <row r="6" spans="1:26" ht="27.75" customHeight="1">
      <c r="A6" s="538"/>
      <c r="C6" s="3723"/>
      <c r="D6" s="3723"/>
      <c r="E6" s="3723"/>
      <c r="F6" s="3723" t="s">
        <v>4170</v>
      </c>
      <c r="G6" s="3198"/>
      <c r="H6" s="3723" t="s">
        <v>5564</v>
      </c>
      <c r="I6" s="3723"/>
      <c r="J6" s="3723"/>
      <c r="K6" s="3723"/>
      <c r="L6" s="3723" t="s">
        <v>4170</v>
      </c>
      <c r="M6" s="3723" t="s">
        <v>5560</v>
      </c>
      <c r="N6" s="3723" t="s">
        <v>5561</v>
      </c>
      <c r="O6" s="3723" t="s">
        <v>5562</v>
      </c>
      <c r="P6" s="3723" t="s">
        <v>5563</v>
      </c>
      <c r="Q6" s="3723" t="s">
        <v>5564</v>
      </c>
      <c r="R6" s="3723"/>
      <c r="S6" s="3723"/>
      <c r="T6" s="3723"/>
      <c r="U6" s="3726"/>
    </row>
    <row r="7" spans="1:26" ht="117">
      <c r="A7" s="538"/>
      <c r="C7" s="3723"/>
      <c r="D7" s="3723"/>
      <c r="E7" s="3723"/>
      <c r="F7" s="3723"/>
      <c r="G7" s="3198" t="s">
        <v>10059</v>
      </c>
      <c r="H7" s="217" t="s">
        <v>1361</v>
      </c>
      <c r="I7" s="217" t="s">
        <v>1362</v>
      </c>
      <c r="J7" s="217" t="s">
        <v>1363</v>
      </c>
      <c r="K7" s="217" t="s">
        <v>980</v>
      </c>
      <c r="L7" s="3723"/>
      <c r="M7" s="3723"/>
      <c r="N7" s="3723"/>
      <c r="O7" s="3723"/>
      <c r="P7" s="3723"/>
      <c r="Q7" s="217" t="s">
        <v>1361</v>
      </c>
      <c r="R7" s="217" t="s">
        <v>1362</v>
      </c>
      <c r="S7" s="217" t="s">
        <v>1363</v>
      </c>
      <c r="T7" s="217" t="s">
        <v>980</v>
      </c>
      <c r="U7" s="3726"/>
      <c r="W7" s="1163" t="b">
        <f>Проверки!D159</f>
        <v>1</v>
      </c>
      <c r="X7" s="1163" t="b">
        <f>Проверки!D160</f>
        <v>1</v>
      </c>
      <c r="Y7" s="3310" t="s">
        <v>7525</v>
      </c>
      <c r="Z7" s="3532" t="s">
        <v>14995</v>
      </c>
    </row>
    <row r="8" spans="1:26" ht="20.25" customHeight="1">
      <c r="A8" s="538"/>
      <c r="C8" s="3069" t="s">
        <v>7585</v>
      </c>
      <c r="D8" s="798" t="s">
        <v>6412</v>
      </c>
      <c r="E8" s="2809" t="s">
        <v>8376</v>
      </c>
      <c r="F8" s="795" t="s">
        <v>672</v>
      </c>
      <c r="G8" s="3282">
        <v>1008</v>
      </c>
      <c r="H8" s="217" t="s">
        <v>893</v>
      </c>
      <c r="I8" s="2419" t="s">
        <v>893</v>
      </c>
      <c r="J8" s="2419" t="s">
        <v>893</v>
      </c>
      <c r="K8" s="2419" t="s">
        <v>893</v>
      </c>
      <c r="L8" s="795" t="s">
        <v>673</v>
      </c>
      <c r="M8" s="217" t="s">
        <v>5581</v>
      </c>
      <c r="N8" s="217" t="s">
        <v>4142</v>
      </c>
      <c r="O8" s="217" t="s">
        <v>5582</v>
      </c>
      <c r="P8" s="217" t="s">
        <v>5582</v>
      </c>
      <c r="Q8" s="2419" t="s">
        <v>893</v>
      </c>
      <c r="R8" s="2419" t="s">
        <v>893</v>
      </c>
      <c r="S8" s="2419" t="s">
        <v>893</v>
      </c>
      <c r="T8" s="2419" t="s">
        <v>893</v>
      </c>
      <c r="U8" s="218"/>
    </row>
    <row r="9" spans="1:26" ht="16.5" customHeight="1">
      <c r="A9" s="538"/>
      <c r="C9" s="1374" t="s">
        <v>4164</v>
      </c>
      <c r="D9" s="1374" t="s">
        <v>4165</v>
      </c>
      <c r="E9" s="1374" t="s">
        <v>4166</v>
      </c>
      <c r="F9" s="1374" t="s">
        <v>5500</v>
      </c>
      <c r="G9" s="1374" t="s">
        <v>4169</v>
      </c>
      <c r="H9" s="1374" t="s">
        <v>4168</v>
      </c>
      <c r="I9" s="1374" t="s">
        <v>4178</v>
      </c>
      <c r="J9" s="1374" t="s">
        <v>4179</v>
      </c>
      <c r="K9" s="1374" t="s">
        <v>4167</v>
      </c>
      <c r="L9" s="1374" t="s">
        <v>5501</v>
      </c>
      <c r="M9" s="1374" t="s">
        <v>4701</v>
      </c>
      <c r="N9" s="1374" t="s">
        <v>4702</v>
      </c>
      <c r="O9" s="1374" t="s">
        <v>4703</v>
      </c>
      <c r="P9" s="1374" t="s">
        <v>5502</v>
      </c>
      <c r="Q9" s="1374" t="s">
        <v>5503</v>
      </c>
      <c r="R9" s="1374" t="s">
        <v>5504</v>
      </c>
      <c r="S9" s="1374" t="s">
        <v>4853</v>
      </c>
      <c r="T9" s="1374" t="s">
        <v>4852</v>
      </c>
      <c r="U9" s="1374" t="s">
        <v>5505</v>
      </c>
    </row>
    <row r="10" spans="1:26" ht="16.5" customHeight="1">
      <c r="A10" s="538"/>
      <c r="C10" s="1375" t="s">
        <v>3066</v>
      </c>
      <c r="D10" s="1376" t="s">
        <v>3066</v>
      </c>
      <c r="E10" s="1376" t="s">
        <v>3066</v>
      </c>
      <c r="F10" s="1376">
        <f t="shared" ref="F10:K10" si="0">SUM(F11:F26992)</f>
        <v>0</v>
      </c>
      <c r="G10" s="1376">
        <f t="shared" si="0"/>
        <v>0</v>
      </c>
      <c r="H10" s="1376">
        <f t="shared" si="0"/>
        <v>0</v>
      </c>
      <c r="I10" s="1376">
        <f t="shared" si="0"/>
        <v>0</v>
      </c>
      <c r="J10" s="1376">
        <f t="shared" si="0"/>
        <v>0</v>
      </c>
      <c r="K10" s="1376">
        <f t="shared" si="0"/>
        <v>0</v>
      </c>
      <c r="L10" s="1376">
        <f t="shared" ref="L10:T10" si="1">SUM(L11:L26992)</f>
        <v>0</v>
      </c>
      <c r="M10" s="1376">
        <f t="shared" si="1"/>
        <v>0</v>
      </c>
      <c r="N10" s="1376">
        <f t="shared" si="1"/>
        <v>0</v>
      </c>
      <c r="O10" s="1376">
        <f t="shared" si="1"/>
        <v>0</v>
      </c>
      <c r="P10" s="1376">
        <f t="shared" si="1"/>
        <v>0</v>
      </c>
      <c r="Q10" s="1376">
        <f t="shared" si="1"/>
        <v>0</v>
      </c>
      <c r="R10" s="1376">
        <f t="shared" si="1"/>
        <v>0</v>
      </c>
      <c r="S10" s="1376">
        <f t="shared" si="1"/>
        <v>0</v>
      </c>
      <c r="T10" s="1376">
        <f t="shared" si="1"/>
        <v>0</v>
      </c>
      <c r="U10" s="1379" t="s">
        <v>3066</v>
      </c>
      <c r="W10" s="1163" t="b">
        <f>AND(W11:W3000)</f>
        <v>1</v>
      </c>
      <c r="X10" s="1163" t="b">
        <f>AND(X11:X3000)</f>
        <v>1</v>
      </c>
      <c r="Y10" s="2830" t="b">
        <f>AND(Y11:Y3000)</f>
        <v>1</v>
      </c>
      <c r="Z10" s="2830" t="b">
        <f>AND(Z11:Z3000)</f>
        <v>1</v>
      </c>
    </row>
    <row r="11" spans="1:26">
      <c r="A11" s="1867" t="str">
        <f t="shared" ref="A11" si="2">"R1="&amp;IFERROR(TEXT(MID(C11,2,1)+0,"0"),"")&amp;";R2="&amp;IFERROR(TEXT(MID(C11,4,4)+0,"0000"),"")&amp;";R3=;R4="&amp;IFERROR(TEXT(MID(C11,9,1)+0,"0"),"")&amp;";R11="&amp;IFERROR(MID(D11,FIND("{",D11)+1,FIND("}",D11)-FIND("{",D11)-1),"")&amp;";R9="&amp;IFERROR(MID(E11,FIND("{",E11)+1,FIND("}",E11)-FIND("{",E11)-1),"")&amp;";COM="&amp;U11</f>
        <v>R1=;R2=;R3=;R4=;R11=;R9=;COM=</v>
      </c>
      <c r="C11" s="1377"/>
      <c r="D11" s="2031"/>
      <c r="E11" s="2031"/>
      <c r="F11" s="19"/>
      <c r="G11" s="1431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787"/>
      <c r="S11" s="1787"/>
      <c r="T11" s="1787"/>
      <c r="U11" s="1380"/>
      <c r="W11" s="1163" t="b">
        <f>F11&gt;=SUM(H11:K11)</f>
        <v>1</v>
      </c>
      <c r="X11" s="1163" t="b">
        <f t="shared" ref="X11:X18" si="3">L11&gt;=SUM(M11:T11)</f>
        <v>1</v>
      </c>
      <c r="Y11" s="1163" t="b">
        <f t="shared" ref="Y11:Y21" si="4">AND(IF(C11&lt;&gt;"",IF(ISNA(VLOOKUP(C11,_2111,1,0)),FALSE,TRUE),TRUE),IF(E11&lt;&gt;"",IF(ISNA(VLOOKUP(E11,_1015_10,1,0)),FALSE,TRUE),TRUE))</f>
        <v>1</v>
      </c>
      <c r="Z11" s="1163" t="b">
        <f>IF(ISERR(SEARCH("1600",C11)), TRUE,AND(SUM(G11:K11)=0,SUM(N11:T11)=0))</f>
        <v>1</v>
      </c>
    </row>
    <row r="12" spans="1:26">
      <c r="A12" s="1867" t="str">
        <f>"R1="&amp;IFERROR(TEXT(MID(C12,2,1)+0,"0"),"")&amp;";R2="&amp;IFERROR(TEXT(MID(C12,4,4)+0,"0000"),"")&amp;";R3=;R4="&amp;IFERROR(TEXT(MID(C12,9,1)+0,"0"),"")&amp;";R11="&amp;IFERROR(MID(D12,FIND("{",D12)+1,FIND("}",D12)-FIND("{",D12)-1),"")&amp;";R9="&amp;IFERROR(MID(E12,FIND("{",E12)+1,FIND("}",E12)-FIND("{",E12)-1),"")&amp;";COM="&amp;U12</f>
        <v>R1=;R2=;R3=;R4=;R11=;R9=;COM=</v>
      </c>
      <c r="C12" s="1377"/>
      <c r="D12" s="2031"/>
      <c r="E12" s="2031"/>
      <c r="F12" s="19"/>
      <c r="G12" s="1431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787"/>
      <c r="S12" s="1787"/>
      <c r="T12" s="1787"/>
      <c r="U12" s="1380"/>
      <c r="W12" s="1163" t="b">
        <f t="shared" ref="W12:W18" si="5">F12&gt;=SUM(H12:K12)</f>
        <v>1</v>
      </c>
      <c r="X12" s="1163" t="b">
        <f t="shared" si="3"/>
        <v>1</v>
      </c>
      <c r="Y12" s="2830" t="b">
        <f t="shared" si="4"/>
        <v>1</v>
      </c>
      <c r="Z12" s="2830" t="b">
        <f t="shared" ref="Z12:Z21" si="6">IF(ISERR(SEARCH("1600",C12)), TRUE,AND(SUM(G12:K12)=0,SUM(N12:T12)=0))</f>
        <v>1</v>
      </c>
    </row>
    <row r="13" spans="1:26">
      <c r="A13" s="1867" t="str">
        <f t="shared" ref="A13:A21" si="7">"R1="&amp;IFERROR(TEXT(MID(C13,2,1)+0,"0"),"")&amp;";R2="&amp;IFERROR(TEXT(MID(C13,4,4)+0,"0000"),"")&amp;";R3=;R4="&amp;IFERROR(TEXT(MID(C13,9,1)+0,"0"),"")&amp;";R11="&amp;IFERROR(MID(D13,FIND("{",D13)+1,FIND("}",D13)-FIND("{",D13)-1),"")&amp;";R9="&amp;IFERROR(MID(E13,FIND("{",E13)+1,FIND("}",E13)-FIND("{",E13)-1),"")&amp;";COM="&amp;U13</f>
        <v>R1=;R2=;R3=;R4=;R11=;R9=;COM=</v>
      </c>
      <c r="C13" s="1377"/>
      <c r="D13" s="2031"/>
      <c r="E13" s="2031"/>
      <c r="F13" s="19"/>
      <c r="G13" s="1431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787"/>
      <c r="S13" s="1787"/>
      <c r="T13" s="1787"/>
      <c r="U13" s="1380"/>
      <c r="W13" s="1163" t="b">
        <f t="shared" si="5"/>
        <v>1</v>
      </c>
      <c r="X13" s="1163" t="b">
        <f t="shared" si="3"/>
        <v>1</v>
      </c>
      <c r="Y13" s="2830" t="b">
        <f t="shared" si="4"/>
        <v>1</v>
      </c>
      <c r="Z13" s="2830" t="b">
        <f t="shared" si="6"/>
        <v>1</v>
      </c>
    </row>
    <row r="14" spans="1:26">
      <c r="A14" s="1867" t="str">
        <f t="shared" si="7"/>
        <v>R1=;R2=;R3=;R4=;R11=;R9=;COM=</v>
      </c>
      <c r="C14" s="1377"/>
      <c r="D14" s="2031"/>
      <c r="E14" s="2031"/>
      <c r="F14" s="19"/>
      <c r="G14" s="1431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787"/>
      <c r="S14" s="1787"/>
      <c r="T14" s="1787"/>
      <c r="U14" s="1380"/>
      <c r="W14" s="1163" t="b">
        <f t="shared" si="5"/>
        <v>1</v>
      </c>
      <c r="X14" s="1163" t="b">
        <f t="shared" si="3"/>
        <v>1</v>
      </c>
      <c r="Y14" s="2830" t="b">
        <f t="shared" si="4"/>
        <v>1</v>
      </c>
      <c r="Z14" s="2830" t="b">
        <f t="shared" si="6"/>
        <v>1</v>
      </c>
    </row>
    <row r="15" spans="1:26">
      <c r="A15" s="1867" t="str">
        <f t="shared" si="7"/>
        <v>R1=;R2=;R3=;R4=;R11=;R9=;COM=</v>
      </c>
      <c r="C15" s="1377"/>
      <c r="D15" s="2031"/>
      <c r="E15" s="2031"/>
      <c r="F15" s="19"/>
      <c r="G15" s="1431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787"/>
      <c r="S15" s="1787"/>
      <c r="T15" s="1787"/>
      <c r="U15" s="1380"/>
      <c r="W15" s="1163" t="b">
        <f t="shared" si="5"/>
        <v>1</v>
      </c>
      <c r="X15" s="1163" t="b">
        <f t="shared" si="3"/>
        <v>1</v>
      </c>
      <c r="Y15" s="2830" t="b">
        <f t="shared" si="4"/>
        <v>1</v>
      </c>
      <c r="Z15" s="2830" t="b">
        <f t="shared" si="6"/>
        <v>1</v>
      </c>
    </row>
    <row r="16" spans="1:26">
      <c r="A16" s="1867" t="str">
        <f t="shared" si="7"/>
        <v>R1=;R2=;R3=;R4=;R11=;R9=;COM=</v>
      </c>
      <c r="C16" s="1377"/>
      <c r="D16" s="2031"/>
      <c r="E16" s="2031"/>
      <c r="F16" s="19"/>
      <c r="G16" s="1431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787"/>
      <c r="S16" s="1787"/>
      <c r="T16" s="1787"/>
      <c r="U16" s="1380"/>
      <c r="W16" s="1163" t="b">
        <f t="shared" si="5"/>
        <v>1</v>
      </c>
      <c r="X16" s="1163" t="b">
        <f t="shared" si="3"/>
        <v>1</v>
      </c>
      <c r="Y16" s="2830" t="b">
        <f t="shared" si="4"/>
        <v>1</v>
      </c>
      <c r="Z16" s="2830" t="b">
        <f t="shared" si="6"/>
        <v>1</v>
      </c>
    </row>
    <row r="17" spans="1:26">
      <c r="A17" s="1867" t="str">
        <f t="shared" si="7"/>
        <v>R1=;R2=;R3=;R4=;R11=;R9=;COM=</v>
      </c>
      <c r="C17" s="1377"/>
      <c r="D17" s="2031"/>
      <c r="E17" s="2031"/>
      <c r="F17" s="19"/>
      <c r="G17" s="1431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787"/>
      <c r="S17" s="1787"/>
      <c r="T17" s="1787"/>
      <c r="U17" s="1380"/>
      <c r="W17" s="1163" t="b">
        <f t="shared" si="5"/>
        <v>1</v>
      </c>
      <c r="X17" s="1163" t="b">
        <f t="shared" si="3"/>
        <v>1</v>
      </c>
      <c r="Y17" s="2830" t="b">
        <f t="shared" si="4"/>
        <v>1</v>
      </c>
      <c r="Z17" s="2830" t="b">
        <f t="shared" si="6"/>
        <v>1</v>
      </c>
    </row>
    <row r="18" spans="1:26">
      <c r="A18" s="1867" t="str">
        <f t="shared" si="7"/>
        <v>R1=;R2=;R3=;R4=;R11=;R9=;COM=</v>
      </c>
      <c r="C18" s="1377"/>
      <c r="D18" s="2031"/>
      <c r="E18" s="2031"/>
      <c r="F18" s="19"/>
      <c r="G18" s="1431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787"/>
      <c r="S18" s="1787"/>
      <c r="T18" s="1787"/>
      <c r="U18" s="1380"/>
      <c r="W18" s="1163" t="b">
        <f t="shared" si="5"/>
        <v>1</v>
      </c>
      <c r="X18" s="1163" t="b">
        <f t="shared" si="3"/>
        <v>1</v>
      </c>
      <c r="Y18" s="2830" t="b">
        <f t="shared" si="4"/>
        <v>1</v>
      </c>
      <c r="Z18" s="2830" t="b">
        <f t="shared" si="6"/>
        <v>1</v>
      </c>
    </row>
    <row r="19" spans="1:26">
      <c r="A19" s="1867" t="str">
        <f t="shared" si="7"/>
        <v>R1=;R2=;R3=;R4=;R11=;R9=;COM=</v>
      </c>
      <c r="C19" s="1377"/>
      <c r="D19" s="2031"/>
      <c r="E19" s="2031"/>
      <c r="F19" s="19"/>
      <c r="G19" s="1431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787"/>
      <c r="S19" s="1787"/>
      <c r="T19" s="1787"/>
      <c r="U19" s="1380"/>
      <c r="W19" s="1163" t="b">
        <f>F19&gt;=SUM(H19:K19)</f>
        <v>1</v>
      </c>
      <c r="X19" s="1163" t="b">
        <f>L19&gt;=SUM(M19:T19)</f>
        <v>1</v>
      </c>
      <c r="Y19" s="2830" t="b">
        <f t="shared" si="4"/>
        <v>1</v>
      </c>
      <c r="Z19" s="2830" t="b">
        <f t="shared" si="6"/>
        <v>1</v>
      </c>
    </row>
    <row r="20" spans="1:26" s="2422" customFormat="1">
      <c r="A20" s="1867" t="str">
        <f t="shared" si="7"/>
        <v>R1=;R2=;R3=;R4=;R11=;R9=;COM=</v>
      </c>
      <c r="C20" s="1377"/>
      <c r="D20" s="2031"/>
      <c r="E20" s="2031"/>
      <c r="F20" s="19"/>
      <c r="G20" s="1431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787"/>
      <c r="S20" s="1787"/>
      <c r="T20" s="1787"/>
      <c r="U20" s="1380"/>
      <c r="W20" s="2422" t="b">
        <f>F20&gt;=SUM(H20:K20)</f>
        <v>1</v>
      </c>
      <c r="X20" s="2422" t="b">
        <f>L20&gt;=SUM(M20:T20)</f>
        <v>1</v>
      </c>
      <c r="Y20" s="2830" t="b">
        <f t="shared" si="4"/>
        <v>1</v>
      </c>
      <c r="Z20" s="2830" t="b">
        <f t="shared" si="6"/>
        <v>1</v>
      </c>
    </row>
    <row r="21" spans="1:26" s="2422" customFormat="1" ht="15" thickBot="1">
      <c r="A21" s="1867" t="str">
        <f t="shared" si="7"/>
        <v>R1=;R2=;R3=;R4=;R11=;R9=;COM=</v>
      </c>
      <c r="C21" s="1378"/>
      <c r="D21" s="1732"/>
      <c r="E21" s="1732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1788"/>
      <c r="S21" s="1788"/>
      <c r="T21" s="1788"/>
      <c r="U21" s="1172"/>
      <c r="W21" s="2422" t="b">
        <f>F21&gt;=SUM(H21:K21)</f>
        <v>1</v>
      </c>
      <c r="X21" s="2422" t="b">
        <f>L21&gt;=SUM(M21:T21)</f>
        <v>1</v>
      </c>
      <c r="Y21" s="2830" t="b">
        <f t="shared" si="4"/>
        <v>1</v>
      </c>
      <c r="Z21" s="2830" t="b">
        <f t="shared" si="6"/>
        <v>1</v>
      </c>
    </row>
  </sheetData>
  <sheetProtection algorithmName="SHA-512" hashValue="J4qtm0BfbuQpK90n4V5IfCAfGv39UO0U54Ehl7kMP3KVeeBMZGAFPdJB4Uqsw19nnZYJQu0syBhlh+5tJtFy3w==" saltValue="SXamj67ejSui7M1qhs18Ng==" spinCount="100000" sheet="1" objects="1" scenarios="1" formatColumns="0" formatRows="0" autoFilter="0"/>
  <autoFilter ref="C9:X9"/>
  <customSheetViews>
    <customSheetView guid="{3769259D-9653-4B34-A2F6-4FB6F9F4E533}" scale="80" showGridLines="0" hiddenRows="1" hiddenColumns="1">
      <pane xSplit="4" ySplit="10" topLeftCell="E11" activePane="bottomRight" state="frozen"/>
      <selection pane="bottomRight" activeCell="C17" sqref="C17"/>
      <pageMargins left="0.7" right="0.7" top="0.75" bottom="0.75" header="0.3" footer="0.3"/>
    </customSheetView>
    <customSheetView guid="{40D7A2BB-326C-4ED3-999C-17852F56D6F4}" scale="80" showGridLines="0" hiddenRows="1" hiddenColumns="1">
      <pane xSplit="4" ySplit="10" topLeftCell="E11" activePane="bottomRight" state="frozen"/>
      <selection pane="bottomRight" activeCell="C17" sqref="C17"/>
      <pageMargins left="0.7" right="0.7" top="0.75" bottom="0.75" header="0.3" footer="0.3"/>
    </customSheetView>
    <customSheetView guid="{5D121940-0CE8-4A0E-A493-67FAAA6E0FF8}" scale="80" showGridLines="0" hiddenRows="1" hiddenColumns="1" topLeftCell="B2">
      <pane xSplit="3" ySplit="9" topLeftCell="O11" activePane="bottomRight" state="frozen"/>
      <selection pane="bottomRight" activeCell="C9" sqref="C9:S9"/>
      <pageMargins left="0.7" right="0.7" top="0.75" bottom="0.75" header="0.3" footer="0.3"/>
    </customSheetView>
    <customSheetView guid="{47AEACC4-6EA5-412C-AF39-A6C5357B313A}" scale="80" showGridLines="0" hiddenRows="1" hiddenColumns="1" topLeftCell="B2">
      <pane xSplit="3" ySplit="9" topLeftCell="M11" activePane="bottomRight" state="frozen"/>
      <selection pane="bottomRight" activeCell="D27" sqref="D27"/>
      <pageMargins left="0.7" right="0.7" top="0.75" bottom="0.75" header="0.3" footer="0.3"/>
    </customSheetView>
    <customSheetView guid="{C913A9E8-661B-40A4-A3C9-1BC5F2B2E9F0}" scale="80" showGridLines="0" hiddenRows="1" hiddenColumns="1" topLeftCell="B2">
      <pane xSplit="3" ySplit="9" topLeftCell="O11" activePane="bottomRight" state="frozen"/>
      <selection pane="bottomRight" activeCell="C9" sqref="C9:S9"/>
      <pageMargins left="0.7" right="0.7" top="0.75" bottom="0.75" header="0.3" footer="0.3"/>
    </customSheetView>
  </customSheetViews>
  <mergeCells count="14">
    <mergeCell ref="C5:C7"/>
    <mergeCell ref="D5:D7"/>
    <mergeCell ref="L5:T5"/>
    <mergeCell ref="U5:U7"/>
    <mergeCell ref="F6:F7"/>
    <mergeCell ref="H6:K6"/>
    <mergeCell ref="F5:K5"/>
    <mergeCell ref="L6:L7"/>
    <mergeCell ref="M6:M7"/>
    <mergeCell ref="N6:N7"/>
    <mergeCell ref="O6:O7"/>
    <mergeCell ref="P6:P7"/>
    <mergeCell ref="Q6:T6"/>
    <mergeCell ref="E5:E7"/>
  </mergeCells>
  <phoneticPr fontId="0" type="noConversion"/>
  <dataValidations count="3">
    <dataValidation type="list" operator="equal" allowBlank="1" showErrorMessage="1" errorTitle="Выбор элемента списка" error="Данного элемента нет в списке" sqref="C11:C21">
      <formula1>_2111</formula1>
    </dataValidation>
    <dataValidation type="list" allowBlank="1" showInputMessage="1" showErrorMessage="1" sqref="D11:D21">
      <formula1>IF(C11="{1_0400} ТМЦ приобретенные: Тара и тарные материалы",_tara,IF(C11="{2_0400} ТМЦ созданные собственными силами: Тара и тарные материалы",_tara,_not_tara))</formula1>
    </dataValidation>
    <dataValidation type="list" operator="equal" allowBlank="1" showErrorMessage="1" errorTitle="Выбор элемента списка" error="Данного элемента нет в списке" sqref="E11:E21">
      <formula1>_1015_10</formula1>
    </dataValidation>
  </dataValidations>
  <hyperlinks>
    <hyperlink ref="K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3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651" r:id="rId4" name="Button 3">
              <controlPr defaultSize="0" print="0" autoFill="0" autoPict="0" macro="[0]!AddButtonsRowAdd">
                <anchor moveWithCells="1">
                  <from>
                    <xdr:col>11</xdr:col>
                    <xdr:colOff>69850</xdr:colOff>
                    <xdr:row>1</xdr:row>
                    <xdr:rowOff>146050</xdr:rowOff>
                  </from>
                  <to>
                    <xdr:col>12</xdr:col>
                    <xdr:colOff>412750</xdr:colOff>
                    <xdr:row>2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pageSetUpPr fitToPage="1"/>
  </sheetPr>
  <dimension ref="A1:Q79"/>
  <sheetViews>
    <sheetView topLeftCell="B26" zoomScale="56" zoomScaleNormal="56" workbookViewId="0">
      <selection activeCell="F17" sqref="F17"/>
    </sheetView>
  </sheetViews>
  <sheetFormatPr defaultColWidth="9.453125" defaultRowHeight="14.5"/>
  <cols>
    <col min="1" max="1" width="14.1796875" style="1163" hidden="1" customWidth="1"/>
    <col min="2" max="2" width="4.54296875" style="1163" customWidth="1"/>
    <col min="3" max="3" width="41.453125" style="1163" customWidth="1"/>
    <col min="4" max="4" width="58.453125" style="1564" customWidth="1"/>
    <col min="5" max="8" width="20.54296875" style="1163" customWidth="1"/>
    <col min="9" max="9" width="20.54296875" style="2422" customWidth="1"/>
    <col min="10" max="11" width="20.54296875" style="1163" customWidth="1"/>
    <col min="12" max="12" width="7.453125" style="1163" customWidth="1"/>
    <col min="13" max="13" width="62.453125" style="1163" customWidth="1"/>
    <col min="14" max="14" width="9.453125" style="2830"/>
    <col min="15" max="16384" width="9.453125" style="1163"/>
  </cols>
  <sheetData>
    <row r="1" spans="1:17" ht="18.75" hidden="1" customHeight="1">
      <c r="A1" s="167" t="s">
        <v>3437</v>
      </c>
      <c r="B1" s="29"/>
      <c r="C1" s="29"/>
      <c r="D1" s="501"/>
      <c r="E1" s="2424" t="s">
        <v>1227</v>
      </c>
      <c r="F1" s="2424" t="s">
        <v>335</v>
      </c>
      <c r="G1" s="2424" t="s">
        <v>350</v>
      </c>
      <c r="H1" s="2424" t="s">
        <v>351</v>
      </c>
      <c r="I1" s="2424" t="s">
        <v>7745</v>
      </c>
      <c r="J1" s="2424" t="s">
        <v>300</v>
      </c>
      <c r="L1" s="2424"/>
    </row>
    <row r="2" spans="1:17" ht="26">
      <c r="A2" s="7"/>
      <c r="B2" s="23"/>
      <c r="C2" s="509"/>
      <c r="D2" s="393"/>
      <c r="E2" s="393"/>
      <c r="F2" s="1778" t="s">
        <v>1648</v>
      </c>
      <c r="G2" s="1897" t="s">
        <v>2067</v>
      </c>
      <c r="H2" s="1244">
        <f>Содержание!$D$2</f>
        <v>0</v>
      </c>
      <c r="I2" s="1778" t="s">
        <v>1648</v>
      </c>
      <c r="K2" s="1778" t="s">
        <v>1648</v>
      </c>
      <c r="L2" s="1778" t="s">
        <v>1648</v>
      </c>
      <c r="M2" s="10"/>
    </row>
    <row r="3" spans="1:17" ht="15" thickBot="1">
      <c r="A3" s="9"/>
      <c r="B3" s="113"/>
      <c r="C3" s="11" t="s">
        <v>5583</v>
      </c>
      <c r="D3" s="502" t="b">
        <f t="array" ref="D3">IF(SMALL(IF(""=C73:C2703,ROW(C73:C2703),2700),1)&gt;LARGE(IF(""&lt;&gt;C73:C2703,ROW(C73:C2703),0),1),TRUE,FALSE)</f>
        <v>1</v>
      </c>
      <c r="E3" s="502"/>
      <c r="F3" s="2103" t="b">
        <f>ABS(F7)&lt;=2</f>
        <v>1</v>
      </c>
      <c r="G3" s="1897" t="s">
        <v>2075</v>
      </c>
      <c r="H3" s="1244" t="str">
        <f>Содержание!$D$15</f>
        <v>2022 год</v>
      </c>
      <c r="I3" s="3044" t="s">
        <v>1436</v>
      </c>
      <c r="K3" s="10"/>
      <c r="L3" s="10"/>
      <c r="M3" s="1127" t="b">
        <f>AND(M7,M7,M9,M11)</f>
        <v>1</v>
      </c>
    </row>
    <row r="4" spans="1:17" ht="57" customHeight="1">
      <c r="A4" s="9"/>
      <c r="B4" s="113"/>
      <c r="C4" s="649" t="s">
        <v>5584</v>
      </c>
      <c r="D4" s="28" t="s">
        <v>5585</v>
      </c>
      <c r="E4" s="28" t="s">
        <v>5225</v>
      </c>
      <c r="F4" s="222" t="s">
        <v>5231</v>
      </c>
      <c r="G4" s="222" t="s">
        <v>5162</v>
      </c>
      <c r="H4" s="216" t="s">
        <v>5163</v>
      </c>
      <c r="I4" s="2690" t="s">
        <v>2222</v>
      </c>
      <c r="J4" s="222" t="s">
        <v>5233</v>
      </c>
      <c r="K4" s="223" t="s">
        <v>4183</v>
      </c>
      <c r="M4" s="1126" t="s">
        <v>14486</v>
      </c>
    </row>
    <row r="5" spans="1:17" ht="15" thickBot="1">
      <c r="A5" s="9"/>
      <c r="B5" s="113"/>
      <c r="C5" s="71">
        <v>2018</v>
      </c>
      <c r="D5" s="2315" t="s">
        <v>9677</v>
      </c>
      <c r="E5" s="16" t="s">
        <v>674</v>
      </c>
      <c r="F5" s="2691" t="s">
        <v>3949</v>
      </c>
      <c r="G5" s="16" t="s">
        <v>4239</v>
      </c>
      <c r="H5" s="16" t="s">
        <v>4240</v>
      </c>
      <c r="I5" s="906" t="s">
        <v>4525</v>
      </c>
      <c r="J5" s="16" t="s">
        <v>4163</v>
      </c>
      <c r="K5" s="27"/>
      <c r="M5" s="1127" t="b">
        <f>ABS((H65+H66)+SUMIFS('91_02'!F:F,'91_02'!C:C,"{2221000} Расходы на резерв под снижение стоимости капитальных вложений")+(Q15+Q16))&lt;=5</f>
        <v>1</v>
      </c>
    </row>
    <row r="6" spans="1:17" s="674" customFormat="1" ht="67.5" customHeight="1">
      <c r="A6" s="9"/>
      <c r="B6" s="685"/>
      <c r="C6" s="682" t="s">
        <v>4164</v>
      </c>
      <c r="D6" s="683" t="s">
        <v>4165</v>
      </c>
      <c r="E6" s="684" t="s">
        <v>4166</v>
      </c>
      <c r="F6" s="684" t="s">
        <v>4169</v>
      </c>
      <c r="G6" s="684" t="s">
        <v>4168</v>
      </c>
      <c r="H6" s="684" t="s">
        <v>4178</v>
      </c>
      <c r="I6" s="684" t="s">
        <v>4179</v>
      </c>
      <c r="J6" s="729" t="s">
        <v>4167</v>
      </c>
      <c r="K6" s="729" t="s">
        <v>5501</v>
      </c>
      <c r="M6" s="1126" t="s">
        <v>14483</v>
      </c>
    </row>
    <row r="7" spans="1:17" ht="15" thickBot="1">
      <c r="A7" s="2427" t="str">
        <f ca="1">IF(CELL("защита",E7),"","R5="&amp;IFERROR(MID(C7,FIND("{",C7)+1,2),"")&amp;";"&amp;"R1="&amp;IFERROR(MID(D7,FIND("{",D7)+1,1),"")&amp;";R2="&amp;IFERROR(MID(D7,SEARCH("{?_????}",D7)+3,4),"")&amp;";R4="&amp;IFERROR(SUBSTITUTE(MID(D7,SEARCH("_?}",D7)+1,1),"~",""),"")&amp;";COM="&amp;K7)</f>
        <v/>
      </c>
      <c r="B7" s="113"/>
      <c r="C7" s="224" t="s">
        <v>4170</v>
      </c>
      <c r="D7" s="503" t="s">
        <v>3389</v>
      </c>
      <c r="E7" s="225">
        <f t="shared" ref="E7:G7" si="0">E8+E68+E69+E70+E71+E72+E65+E66+E67</f>
        <v>0</v>
      </c>
      <c r="F7" s="225">
        <f t="shared" si="0"/>
        <v>0</v>
      </c>
      <c r="G7" s="225">
        <f t="shared" si="0"/>
        <v>0</v>
      </c>
      <c r="H7" s="225">
        <f>H8+H68+H69+H70+H71+H72+H65+H66+H67</f>
        <v>0</v>
      </c>
      <c r="I7" s="225">
        <f t="shared" ref="I7:J7" si="1">I8+I68+I69+I70+I71+I72+I65+I66+I67</f>
        <v>0</v>
      </c>
      <c r="J7" s="225">
        <f t="shared" si="1"/>
        <v>0</v>
      </c>
      <c r="K7" s="226" t="s">
        <v>4184</v>
      </c>
      <c r="M7" s="1127" t="b">
        <f>ABS((G65+G66)+SUMIFS('91_01'!H:H,'91_01'!C:C,"{1221000} Доходы в виде сумм восстановленных резервов под снижение стоимости капитальных вложений"))&lt;=5</f>
        <v>1</v>
      </c>
    </row>
    <row r="8" spans="1:17" ht="52">
      <c r="A8" s="2427" t="str">
        <f t="shared" ref="A8:A64" ca="1" si="2">IF(CELL("защита",E8),"","R5="&amp;IFERROR(MID(C8,FIND("{",C8)+1,2),"")&amp;";"&amp;"R1="&amp;IFERROR(MID(D8,FIND("{",D8)+1,1),"")&amp;";R2="&amp;IFERROR(MID(D8,SEARCH("{?_????}",D8)+3,4),"")&amp;";R4="&amp;IFERROR(SUBSTITUTE(MID(D8,SEARCH("_?}",D8)+1,1),"~",""),"")&amp;";COM="&amp;K8)</f>
        <v/>
      </c>
      <c r="B8" s="113" t="str">
        <f>IFERROR(MID(D8,SEARCH("{?_????_*}",D8)+3,4),"")</f>
        <v/>
      </c>
      <c r="C8" s="227" t="s">
        <v>4526</v>
      </c>
      <c r="D8" s="503" t="s">
        <v>3389</v>
      </c>
      <c r="E8" s="225">
        <f t="shared" ref="E8:G8" si="3">SUM(E9,E37)</f>
        <v>0</v>
      </c>
      <c r="F8" s="225">
        <f t="shared" si="3"/>
        <v>0</v>
      </c>
      <c r="G8" s="225">
        <f t="shared" si="3"/>
        <v>0</v>
      </c>
      <c r="H8" s="225">
        <f>SUM(H9,H37)</f>
        <v>0</v>
      </c>
      <c r="I8" s="225">
        <f>SUM(I9,I37)</f>
        <v>0</v>
      </c>
      <c r="J8" s="225">
        <f>SUM(J9,J37)</f>
        <v>0</v>
      </c>
      <c r="K8" s="228"/>
      <c r="M8" s="1126" t="s">
        <v>10133</v>
      </c>
    </row>
    <row r="9" spans="1:17" ht="25.5" thickBot="1">
      <c r="A9" s="2427" t="str">
        <f t="shared" ca="1" si="2"/>
        <v/>
      </c>
      <c r="B9" s="113" t="str">
        <f>IFERROR(MID(D9,SEARCH("{?_????_*}",D9)+3,4),"")</f>
        <v/>
      </c>
      <c r="C9" s="539" t="s">
        <v>4526</v>
      </c>
      <c r="D9" s="504" t="s">
        <v>7586</v>
      </c>
      <c r="E9" s="108">
        <f>SUM(E10,E17,E22:E36)</f>
        <v>0</v>
      </c>
      <c r="F9" s="108">
        <f t="shared" ref="F9:G9" si="4">SUM(F10,F17,F22:F36)</f>
        <v>0</v>
      </c>
      <c r="G9" s="108">
        <f t="shared" si="4"/>
        <v>0</v>
      </c>
      <c r="H9" s="108">
        <f>SUM(H10,H17,H22:H36)</f>
        <v>0</v>
      </c>
      <c r="I9" s="108">
        <f>SUM(I10,I17,I22:I36)</f>
        <v>0</v>
      </c>
      <c r="J9" s="108">
        <f>SUM(J10,J17,J22:J36)</f>
        <v>0</v>
      </c>
      <c r="K9" s="228"/>
      <c r="M9" s="2791" t="b">
        <f>ABS((H67)+SUMIFS('91_02'!F:F,'91_02'!C:C,"{2221100} Резерв под снижение стоимости долгосрочных активов к продаже")+(Q17))&lt;=5</f>
        <v>1</v>
      </c>
      <c r="P9" s="166" t="s">
        <v>9954</v>
      </c>
      <c r="Q9" s="1163">
        <f>SUMIFS('84_расш'!F:F,'84_расш'!H:H,'14'!P9)</f>
        <v>0</v>
      </c>
    </row>
    <row r="10" spans="1:17" ht="65">
      <c r="A10" s="2427" t="str">
        <f t="shared" ca="1" si="2"/>
        <v/>
      </c>
      <c r="B10" s="113"/>
      <c r="C10" s="539" t="s">
        <v>4526</v>
      </c>
      <c r="D10" s="505" t="s">
        <v>7575</v>
      </c>
      <c r="E10" s="225">
        <f>E11+E14</f>
        <v>0</v>
      </c>
      <c r="F10" s="225">
        <f>F11+F14</f>
        <v>0</v>
      </c>
      <c r="G10" s="225">
        <f>G11+G14</f>
        <v>0</v>
      </c>
      <c r="H10" s="225">
        <f>H11+H14</f>
        <v>0</v>
      </c>
      <c r="I10" s="225">
        <f>I11+I14</f>
        <v>0</v>
      </c>
      <c r="J10" s="225">
        <f t="shared" ref="J10:J19" si="5">SUM(E10:I10)</f>
        <v>0</v>
      </c>
      <c r="K10" s="228"/>
      <c r="M10" s="1126" t="s">
        <v>10135</v>
      </c>
      <c r="P10" s="166" t="s">
        <v>9955</v>
      </c>
      <c r="Q10" s="2830">
        <f>SUMIFS('84_расш'!F:F,'84_расш'!H:H,'14'!P10)</f>
        <v>0</v>
      </c>
    </row>
    <row r="11" spans="1:17" ht="25.5" thickBot="1">
      <c r="A11" s="2427" t="str">
        <f t="shared" ca="1" si="2"/>
        <v/>
      </c>
      <c r="B11" s="113"/>
      <c r="C11" s="539" t="s">
        <v>4526</v>
      </c>
      <c r="D11" s="506" t="s">
        <v>7576</v>
      </c>
      <c r="E11" s="225">
        <f>E12+E13</f>
        <v>0</v>
      </c>
      <c r="F11" s="225">
        <f>F12+F13</f>
        <v>0</v>
      </c>
      <c r="G11" s="225">
        <f>G12+G13</f>
        <v>0</v>
      </c>
      <c r="H11" s="225">
        <f>H12+H13</f>
        <v>0</v>
      </c>
      <c r="I11" s="225">
        <f>I12+I13</f>
        <v>0</v>
      </c>
      <c r="J11" s="225">
        <f t="shared" si="5"/>
        <v>0</v>
      </c>
      <c r="K11" s="228"/>
      <c r="M11" s="2791" t="b">
        <f>ABS((G67)+SUMIFS('91_01'!H:H,'91_01'!C:C,"{1221100} Доходы в виде сумм восстановленных резервов под снижение стоимости долгосрочных активов к продаже"))&lt;=5</f>
        <v>1</v>
      </c>
      <c r="P11" s="166" t="s">
        <v>9956</v>
      </c>
      <c r="Q11" s="2830">
        <f>SUMIFS('84_расш'!F:F,'84_расш'!H:H,'14'!P11)</f>
        <v>0</v>
      </c>
    </row>
    <row r="12" spans="1:17" ht="25">
      <c r="A12" s="2427" t="str">
        <f t="shared" ca="1" si="2"/>
        <v>R5=10;R1=1;R2=0111;R4=;COM=</v>
      </c>
      <c r="B12" s="113"/>
      <c r="C12" s="539" t="s">
        <v>4526</v>
      </c>
      <c r="D12" s="506" t="s">
        <v>7533</v>
      </c>
      <c r="E12" s="229"/>
      <c r="F12" s="229"/>
      <c r="G12" s="229"/>
      <c r="H12" s="229"/>
      <c r="I12" s="229"/>
      <c r="J12" s="225">
        <f t="shared" si="5"/>
        <v>0</v>
      </c>
      <c r="K12" s="228"/>
      <c r="P12" s="166" t="s">
        <v>9957</v>
      </c>
      <c r="Q12" s="2830">
        <f>SUMIFS('84_расш'!F:F,'84_расш'!H:H,'14'!P12)</f>
        <v>0</v>
      </c>
    </row>
    <row r="13" spans="1:17" ht="25">
      <c r="A13" s="2427" t="str">
        <f t="shared" ca="1" si="2"/>
        <v>R5=10;R1=1;R2=0112;R4=;COM=</v>
      </c>
      <c r="B13" s="113"/>
      <c r="C13" s="539" t="s">
        <v>4526</v>
      </c>
      <c r="D13" s="506" t="s">
        <v>7534</v>
      </c>
      <c r="E13" s="229"/>
      <c r="F13" s="229"/>
      <c r="G13" s="229"/>
      <c r="H13" s="229"/>
      <c r="I13" s="229"/>
      <c r="J13" s="225">
        <f t="shared" si="5"/>
        <v>0</v>
      </c>
      <c r="K13" s="228"/>
      <c r="P13" s="166" t="s">
        <v>9958</v>
      </c>
      <c r="Q13" s="2830">
        <f>SUMIFS('84_расш'!F:F,'84_расш'!H:H,'14'!P13)</f>
        <v>0</v>
      </c>
    </row>
    <row r="14" spans="1:17" ht="25">
      <c r="A14" s="2427" t="str">
        <f t="shared" ca="1" si="2"/>
        <v/>
      </c>
      <c r="B14" s="113"/>
      <c r="C14" s="539" t="s">
        <v>4526</v>
      </c>
      <c r="D14" s="506" t="s">
        <v>7577</v>
      </c>
      <c r="E14" s="225">
        <f>E15+E16</f>
        <v>0</v>
      </c>
      <c r="F14" s="225">
        <f>F15+F16</f>
        <v>0</v>
      </c>
      <c r="G14" s="225">
        <f>G15+G16</f>
        <v>0</v>
      </c>
      <c r="H14" s="225">
        <f>H15+H16</f>
        <v>0</v>
      </c>
      <c r="I14" s="225">
        <f>I15+I16</f>
        <v>0</v>
      </c>
      <c r="J14" s="225">
        <f t="shared" si="5"/>
        <v>0</v>
      </c>
      <c r="K14" s="228"/>
      <c r="P14" s="166" t="s">
        <v>9960</v>
      </c>
      <c r="Q14" s="2830">
        <f>SUMIFS('84_расш'!F:F,'84_расш'!H:H,'14'!P14)</f>
        <v>0</v>
      </c>
    </row>
    <row r="15" spans="1:17" ht="25">
      <c r="A15" s="2427" t="str">
        <f t="shared" ca="1" si="2"/>
        <v>R5=10;R1=1;R2=0121;R4=;COM=</v>
      </c>
      <c r="B15" s="113"/>
      <c r="C15" s="539" t="s">
        <v>4526</v>
      </c>
      <c r="D15" s="506" t="s">
        <v>7535</v>
      </c>
      <c r="E15" s="229"/>
      <c r="F15" s="229"/>
      <c r="G15" s="229"/>
      <c r="H15" s="229"/>
      <c r="I15" s="229"/>
      <c r="J15" s="225">
        <f t="shared" si="5"/>
        <v>0</v>
      </c>
      <c r="K15" s="228"/>
      <c r="P15" s="166" t="s">
        <v>9961</v>
      </c>
      <c r="Q15" s="2830">
        <f>SUMIFS('84_расш'!F:F,'84_расш'!H:H,'14'!P15)</f>
        <v>0</v>
      </c>
    </row>
    <row r="16" spans="1:17" ht="25">
      <c r="A16" s="2427" t="str">
        <f t="shared" ca="1" si="2"/>
        <v>R5=10;R1=1;R2=0122;R4=;COM=</v>
      </c>
      <c r="B16" s="113"/>
      <c r="C16" s="539" t="s">
        <v>4526</v>
      </c>
      <c r="D16" s="506" t="s">
        <v>7536</v>
      </c>
      <c r="E16" s="229"/>
      <c r="F16" s="229"/>
      <c r="G16" s="229"/>
      <c r="H16" s="229"/>
      <c r="I16" s="229"/>
      <c r="J16" s="225">
        <f t="shared" si="5"/>
        <v>0</v>
      </c>
      <c r="K16" s="228"/>
      <c r="P16" s="166" t="s">
        <v>9959</v>
      </c>
      <c r="Q16" s="2830">
        <f>SUMIFS('84_расш'!F:F,'84_расш'!H:H,'14'!P16)</f>
        <v>0</v>
      </c>
    </row>
    <row r="17" spans="1:17" ht="25">
      <c r="A17" s="2427" t="str">
        <f t="shared" ca="1" si="2"/>
        <v/>
      </c>
      <c r="B17" s="113"/>
      <c r="C17" s="539" t="s">
        <v>4526</v>
      </c>
      <c r="D17" s="505" t="s">
        <v>7578</v>
      </c>
      <c r="E17" s="225">
        <f>E18+E21</f>
        <v>0</v>
      </c>
      <c r="F17" s="225">
        <f t="shared" ref="F17:G17" si="6">F18+F21</f>
        <v>0</v>
      </c>
      <c r="G17" s="225">
        <f t="shared" si="6"/>
        <v>0</v>
      </c>
      <c r="H17" s="225">
        <f>H18+H21</f>
        <v>0</v>
      </c>
      <c r="I17" s="225">
        <f>I18+I21</f>
        <v>0</v>
      </c>
      <c r="J17" s="225">
        <f t="shared" si="5"/>
        <v>0</v>
      </c>
      <c r="K17" s="228"/>
      <c r="P17" s="166" t="s">
        <v>10134</v>
      </c>
      <c r="Q17" s="2830">
        <f>SUMIFS('84_расш'!F:F,'84_расш'!H:H,'14'!P17)</f>
        <v>0</v>
      </c>
    </row>
    <row r="18" spans="1:17" ht="37.5">
      <c r="A18" s="2427" t="str">
        <f t="shared" ca="1" si="2"/>
        <v/>
      </c>
      <c r="B18" s="113"/>
      <c r="C18" s="539" t="s">
        <v>4526</v>
      </c>
      <c r="D18" s="506" t="s">
        <v>7579</v>
      </c>
      <c r="E18" s="225">
        <f>E19+E20</f>
        <v>0</v>
      </c>
      <c r="F18" s="225">
        <f>F19+F20</f>
        <v>0</v>
      </c>
      <c r="G18" s="225">
        <f>G19+G20</f>
        <v>0</v>
      </c>
      <c r="H18" s="225">
        <f>H19+H20</f>
        <v>0</v>
      </c>
      <c r="I18" s="225">
        <f>I19+I20</f>
        <v>0</v>
      </c>
      <c r="J18" s="225">
        <f t="shared" si="5"/>
        <v>0</v>
      </c>
      <c r="K18" s="228"/>
    </row>
    <row r="19" spans="1:17" ht="25">
      <c r="A19" s="2427" t="str">
        <f t="shared" ca="1" si="2"/>
        <v>R5=10;R1=1;R2=0211;R4=;COM=</v>
      </c>
      <c r="B19" s="113"/>
      <c r="C19" s="539" t="s">
        <v>4526</v>
      </c>
      <c r="D19" s="506" t="s">
        <v>7537</v>
      </c>
      <c r="E19" s="229"/>
      <c r="F19" s="229"/>
      <c r="G19" s="229"/>
      <c r="H19" s="229"/>
      <c r="I19" s="229"/>
      <c r="J19" s="225">
        <f t="shared" si="5"/>
        <v>0</v>
      </c>
      <c r="K19" s="228"/>
    </row>
    <row r="20" spans="1:17" ht="37.5">
      <c r="A20" s="2427" t="str">
        <f t="shared" ca="1" si="2"/>
        <v>R5=10;R1=1;R2=0212;R4=;COM=</v>
      </c>
      <c r="B20" s="113"/>
      <c r="C20" s="539" t="s">
        <v>4526</v>
      </c>
      <c r="D20" s="506" t="s">
        <v>7538</v>
      </c>
      <c r="E20" s="229"/>
      <c r="F20" s="229"/>
      <c r="G20" s="229"/>
      <c r="H20" s="229"/>
      <c r="I20" s="229"/>
      <c r="J20" s="225">
        <f t="shared" ref="J20:J34" si="7">SUM(E20:I20)</f>
        <v>0</v>
      </c>
      <c r="K20" s="228"/>
    </row>
    <row r="21" spans="1:17" ht="37.5">
      <c r="A21" s="2427" t="str">
        <f t="shared" ca="1" si="2"/>
        <v>R5=10;R1=1;R2=0221;R4=;COM=</v>
      </c>
      <c r="B21" s="113"/>
      <c r="C21" s="539" t="s">
        <v>4526</v>
      </c>
      <c r="D21" s="506" t="s">
        <v>7539</v>
      </c>
      <c r="E21" s="229"/>
      <c r="F21" s="229"/>
      <c r="G21" s="229"/>
      <c r="H21" s="229"/>
      <c r="I21" s="229"/>
      <c r="J21" s="225">
        <f t="shared" si="7"/>
        <v>0</v>
      </c>
      <c r="K21" s="228"/>
    </row>
    <row r="22" spans="1:17" ht="25">
      <c r="A22" s="2427" t="str">
        <f t="shared" ca="1" si="2"/>
        <v>R5=10;R1=1;R2=0222;R4=;COM=</v>
      </c>
      <c r="B22" s="113"/>
      <c r="C22" s="539" t="s">
        <v>4526</v>
      </c>
      <c r="D22" s="506" t="s">
        <v>7544</v>
      </c>
      <c r="E22" s="229"/>
      <c r="F22" s="229"/>
      <c r="G22" s="229"/>
      <c r="H22" s="229"/>
      <c r="I22" s="229"/>
      <c r="J22" s="225">
        <f t="shared" si="7"/>
        <v>0</v>
      </c>
      <c r="K22" s="228"/>
    </row>
    <row r="23" spans="1:17" ht="25">
      <c r="A23" s="2427" t="str">
        <f t="shared" ca="1" si="2"/>
        <v>R5=10;R1=1;R2=0310;R4=;COM=</v>
      </c>
      <c r="B23" s="113"/>
      <c r="C23" s="539" t="s">
        <v>4526</v>
      </c>
      <c r="D23" s="506" t="s">
        <v>7540</v>
      </c>
      <c r="E23" s="229"/>
      <c r="F23" s="229"/>
      <c r="G23" s="229"/>
      <c r="H23" s="229"/>
      <c r="I23" s="229"/>
      <c r="J23" s="225">
        <f t="shared" si="7"/>
        <v>0</v>
      </c>
      <c r="K23" s="228"/>
    </row>
    <row r="24" spans="1:17" ht="25">
      <c r="A24" s="2427" t="str">
        <f t="shared" ca="1" si="2"/>
        <v>R5=10;R1=1;R2=0312;R4=;COM=</v>
      </c>
      <c r="B24" s="113"/>
      <c r="C24" s="539" t="s">
        <v>4526</v>
      </c>
      <c r="D24" s="506" t="s">
        <v>7541</v>
      </c>
      <c r="E24" s="229"/>
      <c r="F24" s="229"/>
      <c r="G24" s="229"/>
      <c r="H24" s="229"/>
      <c r="I24" s="229"/>
      <c r="J24" s="225">
        <f t="shared" si="7"/>
        <v>0</v>
      </c>
      <c r="K24" s="228"/>
    </row>
    <row r="25" spans="1:17" ht="25">
      <c r="A25" s="2427" t="str">
        <f t="shared" ca="1" si="2"/>
        <v>R5=10;R1=1;R2=0320;R4=;COM=</v>
      </c>
      <c r="B25" s="113"/>
      <c r="C25" s="539" t="s">
        <v>4526</v>
      </c>
      <c r="D25" s="506" t="s">
        <v>7545</v>
      </c>
      <c r="E25" s="229"/>
      <c r="F25" s="229"/>
      <c r="G25" s="229"/>
      <c r="H25" s="229"/>
      <c r="I25" s="229"/>
      <c r="J25" s="225">
        <f t="shared" si="7"/>
        <v>0</v>
      </c>
      <c r="K25" s="228"/>
    </row>
    <row r="26" spans="1:17" ht="25">
      <c r="A26" s="2427" t="str">
        <f t="shared" ca="1" si="2"/>
        <v>R5=10;R1=1;R2=0400;R4=;COM=</v>
      </c>
      <c r="B26" s="113"/>
      <c r="C26" s="539" t="s">
        <v>4526</v>
      </c>
      <c r="D26" s="505" t="s">
        <v>7546</v>
      </c>
      <c r="E26" s="110"/>
      <c r="F26" s="110"/>
      <c r="G26" s="110"/>
      <c r="H26" s="110"/>
      <c r="I26" s="110"/>
      <c r="J26" s="225">
        <f t="shared" si="7"/>
        <v>0</v>
      </c>
      <c r="K26" s="228"/>
    </row>
    <row r="27" spans="1:17" ht="25">
      <c r="A27" s="2427" t="str">
        <f t="shared" ca="1" si="2"/>
        <v>R5=10;R1=1;R2=0500;R4=;COM=</v>
      </c>
      <c r="B27" s="113"/>
      <c r="C27" s="539" t="s">
        <v>4526</v>
      </c>
      <c r="D27" s="505" t="s">
        <v>7547</v>
      </c>
      <c r="E27" s="110"/>
      <c r="F27" s="110"/>
      <c r="G27" s="110"/>
      <c r="H27" s="110"/>
      <c r="I27" s="110"/>
      <c r="J27" s="225">
        <f t="shared" si="7"/>
        <v>0</v>
      </c>
      <c r="K27" s="228"/>
    </row>
    <row r="28" spans="1:17" ht="25">
      <c r="A28" s="2427" t="str">
        <f t="shared" ca="1" si="2"/>
        <v>R5=10;R1=1;R2=0600;R4=;COM=</v>
      </c>
      <c r="B28" s="113"/>
      <c r="C28" s="539" t="s">
        <v>4526</v>
      </c>
      <c r="D28" s="505" t="s">
        <v>7548</v>
      </c>
      <c r="E28" s="110"/>
      <c r="F28" s="110"/>
      <c r="G28" s="110"/>
      <c r="H28" s="110"/>
      <c r="I28" s="110"/>
      <c r="J28" s="225">
        <f t="shared" si="7"/>
        <v>0</v>
      </c>
      <c r="K28" s="228"/>
    </row>
    <row r="29" spans="1:17" ht="25">
      <c r="A29" s="2427" t="str">
        <f t="shared" ca="1" si="2"/>
        <v>R5=10;R1=1;R2=0800;R4=;COM=</v>
      </c>
      <c r="B29" s="113"/>
      <c r="C29" s="539" t="s">
        <v>4526</v>
      </c>
      <c r="D29" s="505" t="s">
        <v>7549</v>
      </c>
      <c r="E29" s="110"/>
      <c r="F29" s="110"/>
      <c r="G29" s="110"/>
      <c r="H29" s="110"/>
      <c r="I29" s="110"/>
      <c r="J29" s="225">
        <f t="shared" si="7"/>
        <v>0</v>
      </c>
      <c r="K29" s="228"/>
    </row>
    <row r="30" spans="1:17" ht="25">
      <c r="A30" s="2427" t="str">
        <f t="shared" ca="1" si="2"/>
        <v>R5=10;R1=1;R2=0900;R4=;COM=</v>
      </c>
      <c r="B30" s="113"/>
      <c r="C30" s="539" t="s">
        <v>4526</v>
      </c>
      <c r="D30" s="505" t="s">
        <v>7550</v>
      </c>
      <c r="E30" s="110"/>
      <c r="F30" s="110"/>
      <c r="G30" s="110"/>
      <c r="H30" s="110"/>
      <c r="I30" s="110"/>
      <c r="J30" s="225">
        <f t="shared" si="7"/>
        <v>0</v>
      </c>
      <c r="K30" s="228"/>
    </row>
    <row r="31" spans="1:17" ht="25">
      <c r="A31" s="2427" t="str">
        <f t="shared" ca="1" si="2"/>
        <v>R5=10;R1=1;R2=1000;R4=;COM=</v>
      </c>
      <c r="B31" s="113"/>
      <c r="C31" s="539" t="s">
        <v>4526</v>
      </c>
      <c r="D31" s="505" t="s">
        <v>7551</v>
      </c>
      <c r="E31" s="110"/>
      <c r="F31" s="110"/>
      <c r="G31" s="110"/>
      <c r="H31" s="110"/>
      <c r="I31" s="110"/>
      <c r="J31" s="225">
        <f t="shared" si="7"/>
        <v>0</v>
      </c>
      <c r="K31" s="228"/>
    </row>
    <row r="32" spans="1:17" ht="25">
      <c r="A32" s="2427" t="str">
        <f t="shared" ca="1" si="2"/>
        <v>R5=10;R1=1;R2=1100;R4=;COM=</v>
      </c>
      <c r="B32" s="113"/>
      <c r="C32" s="539" t="s">
        <v>4526</v>
      </c>
      <c r="D32" s="505" t="s">
        <v>7552</v>
      </c>
      <c r="E32" s="110"/>
      <c r="F32" s="110"/>
      <c r="G32" s="110"/>
      <c r="H32" s="110"/>
      <c r="I32" s="110"/>
      <c r="J32" s="225">
        <f t="shared" si="7"/>
        <v>0</v>
      </c>
      <c r="K32" s="228"/>
    </row>
    <row r="33" spans="1:11" ht="25">
      <c r="A33" s="2427" t="str">
        <f t="shared" ca="1" si="2"/>
        <v>R5=10;R1=1;R2=1200;R4=;COM=</v>
      </c>
      <c r="B33" s="113"/>
      <c r="C33" s="539" t="s">
        <v>4526</v>
      </c>
      <c r="D33" s="505" t="s">
        <v>7553</v>
      </c>
      <c r="E33" s="110"/>
      <c r="F33" s="110"/>
      <c r="G33" s="110"/>
      <c r="H33" s="110"/>
      <c r="I33" s="110"/>
      <c r="J33" s="225">
        <f t="shared" si="7"/>
        <v>0</v>
      </c>
      <c r="K33" s="228"/>
    </row>
    <row r="34" spans="1:11" ht="25">
      <c r="A34" s="2427" t="str">
        <f t="shared" ca="1" si="2"/>
        <v>R5=10;R1=1;R2=1400;R4=;COM=</v>
      </c>
      <c r="B34" s="113"/>
      <c r="C34" s="539" t="s">
        <v>4526</v>
      </c>
      <c r="D34" s="505" t="s">
        <v>7554</v>
      </c>
      <c r="E34" s="110"/>
      <c r="F34" s="110"/>
      <c r="G34" s="110"/>
      <c r="H34" s="110"/>
      <c r="I34" s="110"/>
      <c r="J34" s="225">
        <f t="shared" si="7"/>
        <v>0</v>
      </c>
      <c r="K34" s="228"/>
    </row>
    <row r="35" spans="1:11" s="2830" customFormat="1" ht="25">
      <c r="A35" s="2427" t="str">
        <f t="shared" ca="1" si="2"/>
        <v>R5=10;R1=1;R2=1500;R4=;COM=</v>
      </c>
      <c r="B35" s="113"/>
      <c r="C35" s="539" t="s">
        <v>4526</v>
      </c>
      <c r="D35" s="505" t="s">
        <v>7555</v>
      </c>
      <c r="E35" s="3511" t="s">
        <v>3389</v>
      </c>
      <c r="F35" s="3511" t="s">
        <v>3389</v>
      </c>
      <c r="G35" s="3511" t="s">
        <v>3389</v>
      </c>
      <c r="H35" s="3511" t="s">
        <v>3389</v>
      </c>
      <c r="I35" s="3511" t="s">
        <v>3389</v>
      </c>
      <c r="J35" s="3511" t="s">
        <v>3389</v>
      </c>
      <c r="K35" s="228"/>
    </row>
    <row r="36" spans="1:11" ht="25">
      <c r="A36" s="2427" t="str">
        <f t="shared" ca="1" si="2"/>
        <v>R5=10;R1=1;R2=1600;R4=;COM=</v>
      </c>
      <c r="B36" s="113"/>
      <c r="C36" s="539" t="s">
        <v>4526</v>
      </c>
      <c r="D36" s="505" t="s">
        <v>14358</v>
      </c>
      <c r="E36" s="3511" t="s">
        <v>3389</v>
      </c>
      <c r="F36" s="3511" t="s">
        <v>3389</v>
      </c>
      <c r="G36" s="3511" t="s">
        <v>3389</v>
      </c>
      <c r="H36" s="3511" t="s">
        <v>3389</v>
      </c>
      <c r="I36" s="3511" t="s">
        <v>3389</v>
      </c>
      <c r="J36" s="3511" t="s">
        <v>3389</v>
      </c>
      <c r="K36" s="228"/>
    </row>
    <row r="37" spans="1:11" ht="33" customHeight="1">
      <c r="A37" s="2427" t="str">
        <f t="shared" ca="1" si="2"/>
        <v/>
      </c>
      <c r="B37" s="113"/>
      <c r="C37" s="539" t="s">
        <v>4526</v>
      </c>
      <c r="D37" s="504" t="s">
        <v>7587</v>
      </c>
      <c r="E37" s="108">
        <f>SUM(E38,E45,E50:E64)</f>
        <v>0</v>
      </c>
      <c r="F37" s="108">
        <f t="shared" ref="F37:H37" si="8">SUM(F38,F45,F50:F64)</f>
        <v>0</v>
      </c>
      <c r="G37" s="108">
        <f t="shared" si="8"/>
        <v>0</v>
      </c>
      <c r="H37" s="108">
        <f t="shared" si="8"/>
        <v>0</v>
      </c>
      <c r="I37" s="108">
        <f t="shared" ref="I37" si="9">SUM(I38,I45,I50:I64)</f>
        <v>0</v>
      </c>
      <c r="J37" s="108">
        <f>SUM(J38,J45,J50:J64)</f>
        <v>0</v>
      </c>
      <c r="K37" s="228"/>
    </row>
    <row r="38" spans="1:11" ht="25">
      <c r="A38" s="2427" t="str">
        <f t="shared" ca="1" si="2"/>
        <v/>
      </c>
      <c r="B38" s="113"/>
      <c r="C38" s="539" t="s">
        <v>4526</v>
      </c>
      <c r="D38" s="505" t="s">
        <v>7580</v>
      </c>
      <c r="E38" s="225">
        <f>E39+E42</f>
        <v>0</v>
      </c>
      <c r="F38" s="225">
        <f>F39+F42</f>
        <v>0</v>
      </c>
      <c r="G38" s="225">
        <f>G39+G42</f>
        <v>0</v>
      </c>
      <c r="H38" s="225">
        <f>H39+H42</f>
        <v>0</v>
      </c>
      <c r="I38" s="225">
        <f>I39+I42</f>
        <v>0</v>
      </c>
      <c r="J38" s="225">
        <f t="shared" ref="J38:J76" si="10">SUM(E38:I38)</f>
        <v>0</v>
      </c>
      <c r="K38" s="228"/>
    </row>
    <row r="39" spans="1:11" ht="25">
      <c r="A39" s="2427" t="str">
        <f t="shared" ca="1" si="2"/>
        <v/>
      </c>
      <c r="B39" s="113"/>
      <c r="C39" s="539" t="s">
        <v>4526</v>
      </c>
      <c r="D39" s="506" t="s">
        <v>7581</v>
      </c>
      <c r="E39" s="225">
        <f>E40+E41</f>
        <v>0</v>
      </c>
      <c r="F39" s="225">
        <f>F40+F41</f>
        <v>0</v>
      </c>
      <c r="G39" s="225">
        <f>G40+G41</f>
        <v>0</v>
      </c>
      <c r="H39" s="225">
        <f>H40+H41</f>
        <v>0</v>
      </c>
      <c r="I39" s="225">
        <f>I40+I41</f>
        <v>0</v>
      </c>
      <c r="J39" s="225">
        <f t="shared" si="10"/>
        <v>0</v>
      </c>
      <c r="K39" s="228"/>
    </row>
    <row r="40" spans="1:11" ht="25">
      <c r="A40" s="2427" t="str">
        <f t="shared" ca="1" si="2"/>
        <v>R5=10;R1=2;R2=0111;R4=;COM=</v>
      </c>
      <c r="B40" s="113"/>
      <c r="C40" s="539" t="s">
        <v>4526</v>
      </c>
      <c r="D40" s="506" t="s">
        <v>7556</v>
      </c>
      <c r="E40" s="229"/>
      <c r="F40" s="229"/>
      <c r="G40" s="229"/>
      <c r="H40" s="229"/>
      <c r="I40" s="229"/>
      <c r="J40" s="225">
        <f t="shared" si="10"/>
        <v>0</v>
      </c>
      <c r="K40" s="228"/>
    </row>
    <row r="41" spans="1:11" ht="25">
      <c r="A41" s="2427" t="str">
        <f t="shared" ca="1" si="2"/>
        <v>R5=10;R1=2;R2=0112;R4=;COM=</v>
      </c>
      <c r="B41" s="113"/>
      <c r="C41" s="539" t="s">
        <v>4526</v>
      </c>
      <c r="D41" s="506" t="s">
        <v>7557</v>
      </c>
      <c r="E41" s="229"/>
      <c r="F41" s="229"/>
      <c r="G41" s="229"/>
      <c r="H41" s="229"/>
      <c r="I41" s="229"/>
      <c r="J41" s="225">
        <f t="shared" si="10"/>
        <v>0</v>
      </c>
      <c r="K41" s="228"/>
    </row>
    <row r="42" spans="1:11" ht="25">
      <c r="A42" s="2427" t="str">
        <f t="shared" ca="1" si="2"/>
        <v/>
      </c>
      <c r="B42" s="113"/>
      <c r="C42" s="539" t="s">
        <v>4526</v>
      </c>
      <c r="D42" s="505" t="s">
        <v>7582</v>
      </c>
      <c r="E42" s="225">
        <f>E43+E44</f>
        <v>0</v>
      </c>
      <c r="F42" s="225">
        <f>F43+F44</f>
        <v>0</v>
      </c>
      <c r="G42" s="225">
        <f>G43+G44</f>
        <v>0</v>
      </c>
      <c r="H42" s="225">
        <f>H43+H44</f>
        <v>0</v>
      </c>
      <c r="I42" s="225">
        <f>I43+I44</f>
        <v>0</v>
      </c>
      <c r="J42" s="225">
        <f t="shared" si="10"/>
        <v>0</v>
      </c>
      <c r="K42" s="228"/>
    </row>
    <row r="43" spans="1:11" ht="25">
      <c r="A43" s="2427" t="str">
        <f t="shared" ca="1" si="2"/>
        <v>R5=10;R1=2;R2=0121;R4=;COM=</v>
      </c>
      <c r="B43" s="113"/>
      <c r="C43" s="539" t="s">
        <v>4526</v>
      </c>
      <c r="D43" s="506" t="s">
        <v>7558</v>
      </c>
      <c r="E43" s="229"/>
      <c r="F43" s="229"/>
      <c r="G43" s="229"/>
      <c r="H43" s="229"/>
      <c r="I43" s="229"/>
      <c r="J43" s="225">
        <f t="shared" si="10"/>
        <v>0</v>
      </c>
      <c r="K43" s="228"/>
    </row>
    <row r="44" spans="1:11" ht="23.25" customHeight="1">
      <c r="A44" s="2427" t="str">
        <f t="shared" ca="1" si="2"/>
        <v>R5=10;R1=2;R2=0122;R4=;COM=</v>
      </c>
      <c r="B44" s="113"/>
      <c r="C44" s="539" t="s">
        <v>4526</v>
      </c>
      <c r="D44" s="506" t="s">
        <v>7559</v>
      </c>
      <c r="E44" s="229"/>
      <c r="F44" s="229"/>
      <c r="G44" s="229"/>
      <c r="H44" s="229"/>
      <c r="I44" s="229"/>
      <c r="J44" s="225">
        <f t="shared" si="10"/>
        <v>0</v>
      </c>
      <c r="K44" s="228"/>
    </row>
    <row r="45" spans="1:11" ht="25">
      <c r="A45" s="2427" t="str">
        <f t="shared" ca="1" si="2"/>
        <v/>
      </c>
      <c r="B45" s="113"/>
      <c r="C45" s="539" t="s">
        <v>4526</v>
      </c>
      <c r="D45" s="505" t="s">
        <v>7583</v>
      </c>
      <c r="E45" s="225">
        <f>E46+E49</f>
        <v>0</v>
      </c>
      <c r="F45" s="225">
        <f t="shared" ref="F45:H45" si="11">F46+F49</f>
        <v>0</v>
      </c>
      <c r="G45" s="225">
        <f t="shared" si="11"/>
        <v>0</v>
      </c>
      <c r="H45" s="225">
        <f t="shared" si="11"/>
        <v>0</v>
      </c>
      <c r="I45" s="225">
        <f>I46+I49</f>
        <v>0</v>
      </c>
      <c r="J45" s="225">
        <f t="shared" si="10"/>
        <v>0</v>
      </c>
      <c r="K45" s="228"/>
    </row>
    <row r="46" spans="1:11" ht="37.5">
      <c r="A46" s="2427" t="str">
        <f t="shared" ca="1" si="2"/>
        <v/>
      </c>
      <c r="B46" s="113"/>
      <c r="C46" s="539" t="s">
        <v>4526</v>
      </c>
      <c r="D46" s="506" t="s">
        <v>7584</v>
      </c>
      <c r="E46" s="225">
        <f>E47+E48</f>
        <v>0</v>
      </c>
      <c r="F46" s="225">
        <f>F47+F48</f>
        <v>0</v>
      </c>
      <c r="G46" s="225">
        <f>G47+G48</f>
        <v>0</v>
      </c>
      <c r="H46" s="225">
        <f>H47+H48</f>
        <v>0</v>
      </c>
      <c r="I46" s="225">
        <f>I47+I48</f>
        <v>0</v>
      </c>
      <c r="J46" s="225">
        <f t="shared" si="10"/>
        <v>0</v>
      </c>
      <c r="K46" s="228"/>
    </row>
    <row r="47" spans="1:11" ht="37.5">
      <c r="A47" s="2427" t="str">
        <f t="shared" ca="1" si="2"/>
        <v>R5=10;R1=2;R2=0211;R4=;COM=</v>
      </c>
      <c r="B47" s="113"/>
      <c r="C47" s="539" t="s">
        <v>4526</v>
      </c>
      <c r="D47" s="506" t="s">
        <v>7560</v>
      </c>
      <c r="E47" s="229"/>
      <c r="F47" s="229"/>
      <c r="G47" s="229"/>
      <c r="H47" s="229"/>
      <c r="I47" s="229"/>
      <c r="J47" s="225">
        <f t="shared" si="10"/>
        <v>0</v>
      </c>
      <c r="K47" s="228"/>
    </row>
    <row r="48" spans="1:11" ht="37.5">
      <c r="A48" s="2427" t="str">
        <f t="shared" ca="1" si="2"/>
        <v>R5=10;R1=2;R2=0212;R4=;COM=</v>
      </c>
      <c r="B48" s="113"/>
      <c r="C48" s="539" t="s">
        <v>4526</v>
      </c>
      <c r="D48" s="506" t="s">
        <v>7561</v>
      </c>
      <c r="E48" s="229"/>
      <c r="F48" s="229"/>
      <c r="G48" s="229"/>
      <c r="H48" s="229"/>
      <c r="I48" s="229"/>
      <c r="J48" s="225">
        <f t="shared" si="10"/>
        <v>0</v>
      </c>
      <c r="K48" s="228"/>
    </row>
    <row r="49" spans="1:14" ht="37.5">
      <c r="A49" s="2427" t="str">
        <f t="shared" ca="1" si="2"/>
        <v>R5=10;R1=2;R2=0221;R4=;COM=</v>
      </c>
      <c r="B49" s="113"/>
      <c r="C49" s="539" t="s">
        <v>4526</v>
      </c>
      <c r="D49" s="506" t="s">
        <v>7562</v>
      </c>
      <c r="E49" s="229"/>
      <c r="F49" s="229"/>
      <c r="G49" s="229"/>
      <c r="H49" s="229"/>
      <c r="I49" s="229"/>
      <c r="J49" s="225">
        <f t="shared" si="10"/>
        <v>0</v>
      </c>
      <c r="K49" s="228"/>
    </row>
    <row r="50" spans="1:14" ht="25">
      <c r="A50" s="2427" t="str">
        <f t="shared" ca="1" si="2"/>
        <v>R5=10;R1=2;R2=0222;R4=;COM=</v>
      </c>
      <c r="B50" s="113"/>
      <c r="C50" s="539" t="s">
        <v>4526</v>
      </c>
      <c r="D50" s="506" t="s">
        <v>7563</v>
      </c>
      <c r="E50" s="229"/>
      <c r="F50" s="229"/>
      <c r="G50" s="229"/>
      <c r="H50" s="229"/>
      <c r="I50" s="229"/>
      <c r="J50" s="225">
        <f t="shared" si="10"/>
        <v>0</v>
      </c>
      <c r="K50" s="228"/>
    </row>
    <row r="51" spans="1:14" ht="25">
      <c r="A51" s="2427" t="str">
        <f t="shared" ca="1" si="2"/>
        <v>R5=10;R1=2;R2=0310;R4=;COM=</v>
      </c>
      <c r="B51" s="113"/>
      <c r="C51" s="539" t="s">
        <v>4526</v>
      </c>
      <c r="D51" s="506" t="s">
        <v>7542</v>
      </c>
      <c r="E51" s="229"/>
      <c r="F51" s="229"/>
      <c r="G51" s="229"/>
      <c r="H51" s="229"/>
      <c r="I51" s="229"/>
      <c r="J51" s="225">
        <f t="shared" si="10"/>
        <v>0</v>
      </c>
      <c r="K51" s="228"/>
    </row>
    <row r="52" spans="1:14" ht="25">
      <c r="A52" s="2427" t="str">
        <f t="shared" ca="1" si="2"/>
        <v>R5=10;R1=2;R2=0312;R4=;COM=</v>
      </c>
      <c r="B52" s="113"/>
      <c r="C52" s="539" t="s">
        <v>4526</v>
      </c>
      <c r="D52" s="506" t="s">
        <v>7543</v>
      </c>
      <c r="E52" s="229"/>
      <c r="F52" s="229"/>
      <c r="G52" s="229"/>
      <c r="H52" s="229"/>
      <c r="I52" s="229"/>
      <c r="J52" s="225">
        <f t="shared" si="10"/>
        <v>0</v>
      </c>
      <c r="K52" s="228"/>
    </row>
    <row r="53" spans="1:14" ht="25">
      <c r="A53" s="2427" t="str">
        <f t="shared" ca="1" si="2"/>
        <v>R5=10;R1=2;R2=0320;R4=;COM=</v>
      </c>
      <c r="B53" s="113"/>
      <c r="C53" s="539" t="s">
        <v>4526</v>
      </c>
      <c r="D53" s="506" t="s">
        <v>7564</v>
      </c>
      <c r="E53" s="110"/>
      <c r="F53" s="110"/>
      <c r="G53" s="110"/>
      <c r="H53" s="110"/>
      <c r="I53" s="110"/>
      <c r="J53" s="225">
        <f t="shared" si="10"/>
        <v>0</v>
      </c>
      <c r="K53" s="228"/>
    </row>
    <row r="54" spans="1:14" ht="25">
      <c r="A54" s="2427" t="str">
        <f t="shared" ca="1" si="2"/>
        <v>R5=10;R1=2;R2=0400;R4=;COM=</v>
      </c>
      <c r="B54" s="113"/>
      <c r="C54" s="539" t="s">
        <v>4526</v>
      </c>
      <c r="D54" s="505" t="s">
        <v>7565</v>
      </c>
      <c r="E54" s="110"/>
      <c r="F54" s="110"/>
      <c r="G54" s="110"/>
      <c r="H54" s="110"/>
      <c r="I54" s="110"/>
      <c r="J54" s="225">
        <f t="shared" si="10"/>
        <v>0</v>
      </c>
      <c r="K54" s="228"/>
    </row>
    <row r="55" spans="1:14" ht="25">
      <c r="A55" s="2427" t="str">
        <f t="shared" ca="1" si="2"/>
        <v>R5=10;R1=2;R2=0500;R4=;COM=</v>
      </c>
      <c r="B55" s="113"/>
      <c r="C55" s="539" t="s">
        <v>4526</v>
      </c>
      <c r="D55" s="505" t="s">
        <v>7566</v>
      </c>
      <c r="E55" s="110"/>
      <c r="F55" s="110"/>
      <c r="G55" s="110"/>
      <c r="H55" s="110"/>
      <c r="I55" s="110"/>
      <c r="J55" s="225">
        <f t="shared" si="10"/>
        <v>0</v>
      </c>
      <c r="K55" s="228"/>
    </row>
    <row r="56" spans="1:14" ht="25">
      <c r="A56" s="2427" t="str">
        <f t="shared" ca="1" si="2"/>
        <v>R5=10;R1=2;R2=0600;R4=;COM=</v>
      </c>
      <c r="B56" s="113"/>
      <c r="C56" s="539" t="s">
        <v>4526</v>
      </c>
      <c r="D56" s="505" t="s">
        <v>7567</v>
      </c>
      <c r="E56" s="110"/>
      <c r="F56" s="110"/>
      <c r="G56" s="110"/>
      <c r="H56" s="110"/>
      <c r="I56" s="110"/>
      <c r="J56" s="225">
        <f t="shared" si="10"/>
        <v>0</v>
      </c>
      <c r="K56" s="228"/>
    </row>
    <row r="57" spans="1:14" ht="25">
      <c r="A57" s="2427" t="str">
        <f t="shared" ca="1" si="2"/>
        <v>R5=10;R1=2;R2=0800;R4=;COM=</v>
      </c>
      <c r="B57" s="113"/>
      <c r="C57" s="539" t="s">
        <v>4526</v>
      </c>
      <c r="D57" s="505" t="s">
        <v>7568</v>
      </c>
      <c r="E57" s="110"/>
      <c r="F57" s="110"/>
      <c r="G57" s="110"/>
      <c r="H57" s="110"/>
      <c r="I57" s="110"/>
      <c r="J57" s="225">
        <f t="shared" si="10"/>
        <v>0</v>
      </c>
      <c r="K57" s="228"/>
    </row>
    <row r="58" spans="1:14" ht="25">
      <c r="A58" s="2427" t="str">
        <f t="shared" ca="1" si="2"/>
        <v>R5=10;R1=2;R2=0900;R4=;COM=</v>
      </c>
      <c r="B58" s="113"/>
      <c r="C58" s="539" t="s">
        <v>4526</v>
      </c>
      <c r="D58" s="505" t="s">
        <v>7569</v>
      </c>
      <c r="E58" s="110"/>
      <c r="F58" s="110"/>
      <c r="G58" s="110"/>
      <c r="H58" s="110"/>
      <c r="I58" s="110"/>
      <c r="J58" s="225">
        <f t="shared" si="10"/>
        <v>0</v>
      </c>
      <c r="K58" s="228"/>
    </row>
    <row r="59" spans="1:14" ht="25">
      <c r="A59" s="2427" t="str">
        <f t="shared" ca="1" si="2"/>
        <v>R5=10;R1=2;R2=1000;R4=;COM=</v>
      </c>
      <c r="B59" s="113"/>
      <c r="C59" s="539" t="s">
        <v>4526</v>
      </c>
      <c r="D59" s="505" t="s">
        <v>7570</v>
      </c>
      <c r="E59" s="110"/>
      <c r="F59" s="110"/>
      <c r="G59" s="110"/>
      <c r="H59" s="110"/>
      <c r="I59" s="110"/>
      <c r="J59" s="225">
        <f t="shared" si="10"/>
        <v>0</v>
      </c>
      <c r="K59" s="228"/>
    </row>
    <row r="60" spans="1:14" ht="25">
      <c r="A60" s="2427" t="str">
        <f t="shared" ca="1" si="2"/>
        <v>R5=10;R1=2;R2=1100;R4=;COM=</v>
      </c>
      <c r="B60" s="113"/>
      <c r="C60" s="539" t="s">
        <v>4526</v>
      </c>
      <c r="D60" s="505" t="s">
        <v>7571</v>
      </c>
      <c r="E60" s="110"/>
      <c r="F60" s="110"/>
      <c r="G60" s="110"/>
      <c r="H60" s="110"/>
      <c r="I60" s="110"/>
      <c r="J60" s="225">
        <f t="shared" si="10"/>
        <v>0</v>
      </c>
      <c r="K60" s="228"/>
    </row>
    <row r="61" spans="1:14" ht="25">
      <c r="A61" s="2427" t="str">
        <f t="shared" ca="1" si="2"/>
        <v>R5=10;R1=2;R2=1200;R4=;COM=</v>
      </c>
      <c r="B61" s="113"/>
      <c r="C61" s="539" t="s">
        <v>4526</v>
      </c>
      <c r="D61" s="505" t="s">
        <v>7572</v>
      </c>
      <c r="E61" s="110"/>
      <c r="F61" s="110"/>
      <c r="G61" s="110"/>
      <c r="H61" s="110"/>
      <c r="I61" s="110"/>
      <c r="J61" s="225">
        <f t="shared" si="10"/>
        <v>0</v>
      </c>
      <c r="K61" s="228"/>
    </row>
    <row r="62" spans="1:14" ht="25">
      <c r="A62" s="2427" t="str">
        <f t="shared" ca="1" si="2"/>
        <v>R5=10;R1=2;R2=1400;R4=;COM=</v>
      </c>
      <c r="B62" s="113"/>
      <c r="C62" s="539" t="s">
        <v>4526</v>
      </c>
      <c r="D62" s="505" t="s">
        <v>7573</v>
      </c>
      <c r="E62" s="110"/>
      <c r="F62" s="110"/>
      <c r="G62" s="110"/>
      <c r="H62" s="110"/>
      <c r="I62" s="110"/>
      <c r="J62" s="225">
        <f t="shared" si="10"/>
        <v>0</v>
      </c>
      <c r="K62" s="228"/>
    </row>
    <row r="63" spans="1:14" s="2830" customFormat="1" ht="37.5">
      <c r="A63" s="2427" t="str">
        <f t="shared" ca="1" si="2"/>
        <v>R5=10;R1=2;R2=1500;R4=;COM=</v>
      </c>
      <c r="B63" s="113"/>
      <c r="C63" s="539" t="s">
        <v>4526</v>
      </c>
      <c r="D63" s="505" t="s">
        <v>7574</v>
      </c>
      <c r="E63" s="1439"/>
      <c r="F63" s="1439"/>
      <c r="G63" s="1439"/>
      <c r="H63" s="1439"/>
      <c r="I63" s="1439"/>
      <c r="J63" s="225">
        <f t="shared" si="10"/>
        <v>0</v>
      </c>
      <c r="K63" s="228"/>
    </row>
    <row r="64" spans="1:14" s="2422" customFormat="1" ht="25">
      <c r="A64" s="2427" t="str">
        <f t="shared" ca="1" si="2"/>
        <v>R5=10;R1=2;R2=1600;R4=;COM=</v>
      </c>
      <c r="B64" s="113"/>
      <c r="C64" s="539" t="s">
        <v>4526</v>
      </c>
      <c r="D64" s="505" t="s">
        <v>14359</v>
      </c>
      <c r="E64" s="110"/>
      <c r="F64" s="110"/>
      <c r="G64" s="110"/>
      <c r="H64" s="110"/>
      <c r="I64" s="110"/>
      <c r="J64" s="225">
        <f t="shared" si="10"/>
        <v>0</v>
      </c>
      <c r="K64" s="228"/>
      <c r="N64" s="2830"/>
    </row>
    <row r="65" spans="1:14" s="2422" customFormat="1">
      <c r="A65" s="2427" t="str">
        <f t="shared" ref="A65:A72" ca="1" si="12">IF(CELL("защита",E65),"","R5="&amp;IFERROR(MID(C65,FIND("{",C65)+1,2),"")&amp;";"&amp;"R1="&amp;IFERROR(MID(D65,FIND("{",D65)+1,1),"")&amp;";R2="&amp;IFERROR(MID(D65,SEARCH("{?_????_*}",D65)+3,4),"")&amp;";R4="&amp;IFERROR(SUBSTITUTE(MID(D65,SEARCH("_?}",D65)+1,1),"~",""),"")&amp;";COM="&amp;K65)</f>
        <v>R5=07;R1=;R2=;R4=;COM=</v>
      </c>
      <c r="B65" s="113"/>
      <c r="C65" s="540" t="s">
        <v>2986</v>
      </c>
      <c r="D65" s="507" t="s">
        <v>3389</v>
      </c>
      <c r="E65" s="110"/>
      <c r="F65" s="110"/>
      <c r="G65" s="110"/>
      <c r="H65" s="110"/>
      <c r="I65" s="110"/>
      <c r="J65" s="225">
        <f>SUM(E65:I65)</f>
        <v>0</v>
      </c>
      <c r="K65" s="228"/>
      <c r="N65" s="2830"/>
    </row>
    <row r="66" spans="1:14" s="2422" customFormat="1">
      <c r="A66" s="2427" t="str">
        <f t="shared" ca="1" si="12"/>
        <v>R5=08;R1=;R2=;R4=;COM=</v>
      </c>
      <c r="B66" s="113"/>
      <c r="C66" s="540" t="s">
        <v>6241</v>
      </c>
      <c r="D66" s="507" t="s">
        <v>3389</v>
      </c>
      <c r="E66" s="110"/>
      <c r="F66" s="110"/>
      <c r="G66" s="110"/>
      <c r="H66" s="110"/>
      <c r="I66" s="110"/>
      <c r="J66" s="225">
        <f t="shared" si="10"/>
        <v>0</v>
      </c>
      <c r="K66" s="228"/>
      <c r="N66" s="2830"/>
    </row>
    <row r="67" spans="1:14" s="2830" customFormat="1" ht="26">
      <c r="A67" s="2427" t="str">
        <f t="shared" ca="1" si="12"/>
        <v>R5=37;R1=;R2=;R4=;COM=</v>
      </c>
      <c r="B67" s="113"/>
      <c r="C67" s="227" t="s">
        <v>10136</v>
      </c>
      <c r="D67" s="507" t="s">
        <v>3389</v>
      </c>
      <c r="E67" s="1439"/>
      <c r="F67" s="1439"/>
      <c r="G67" s="1439"/>
      <c r="H67" s="1439"/>
      <c r="I67" s="1439"/>
      <c r="J67" s="225">
        <f t="shared" si="10"/>
        <v>0</v>
      </c>
      <c r="K67" s="228"/>
    </row>
    <row r="68" spans="1:14" ht="26">
      <c r="A68" s="2427" t="str">
        <f t="shared" ca="1" si="12"/>
        <v/>
      </c>
      <c r="B68" s="113"/>
      <c r="C68" s="540" t="s">
        <v>4527</v>
      </c>
      <c r="D68" s="507" t="s">
        <v>3389</v>
      </c>
      <c r="E68" s="108">
        <f>SUMIF($C$73:$C$65526,$C68,$E$73:$E$65526)</f>
        <v>0</v>
      </c>
      <c r="F68" s="108">
        <f>SUMIF($C$73:$C$65526,$C68,$F$73:$F$65526)</f>
        <v>0</v>
      </c>
      <c r="G68" s="108">
        <f>SUMIF($C$73:$C$65526,$C68,$G$73:$G$65526)</f>
        <v>0</v>
      </c>
      <c r="H68" s="108">
        <f>SUMIF($C$73:$C$65526,$C68,$H$73:$H$65526)</f>
        <v>0</v>
      </c>
      <c r="I68" s="108">
        <f>SUMIF($C$73:$C$65526,$C68,$I$73:$I$65526)</f>
        <v>0</v>
      </c>
      <c r="J68" s="225">
        <f t="shared" ref="J68:J69" si="13">SUM(E68:I68)</f>
        <v>0</v>
      </c>
      <c r="K68" s="228"/>
    </row>
    <row r="69" spans="1:14" ht="39">
      <c r="A69" s="2427" t="str">
        <f t="shared" ca="1" si="12"/>
        <v/>
      </c>
      <c r="B69" s="113"/>
      <c r="C69" s="540" t="s">
        <v>4528</v>
      </c>
      <c r="D69" s="507" t="s">
        <v>3389</v>
      </c>
      <c r="E69" s="108">
        <f>SUMIF($C$73:$C$65526,$C69,$E$73:$E$65526)</f>
        <v>0</v>
      </c>
      <c r="F69" s="108">
        <f>SUMIF($C$73:$C$65526,$C69,$F$73:$F$65526)</f>
        <v>0</v>
      </c>
      <c r="G69" s="108">
        <f>SUMIF($C$73:$C$65526,$C69,$G$73:$G$65526)</f>
        <v>0</v>
      </c>
      <c r="H69" s="108">
        <f>SUMIF($C$73:$C$65526,$C69,$H$73:$H$65526)</f>
        <v>0</v>
      </c>
      <c r="I69" s="108">
        <f>SUMIF($C$73:$C$65526,$C69,$I$73:$I$65526)</f>
        <v>0</v>
      </c>
      <c r="J69" s="225">
        <f t="shared" si="13"/>
        <v>0</v>
      </c>
      <c r="K69" s="228"/>
    </row>
    <row r="70" spans="1:14" ht="27" customHeight="1">
      <c r="A70" s="2427" t="str">
        <f t="shared" ca="1" si="12"/>
        <v/>
      </c>
      <c r="B70" s="113"/>
      <c r="C70" s="227" t="s">
        <v>4529</v>
      </c>
      <c r="D70" s="195" t="s">
        <v>3389</v>
      </c>
      <c r="E70" s="108">
        <f>SUMIF($C$73:$C$65526,$C70,$E$73:$E$65526)</f>
        <v>0</v>
      </c>
      <c r="F70" s="108">
        <f>SUMIF($C$73:$C$65526,$C70,$F$73:$F$65526)</f>
        <v>0</v>
      </c>
      <c r="G70" s="108">
        <f>SUMIF($C$73:$C$65526,$C70,$G$73:$G$65526)</f>
        <v>0</v>
      </c>
      <c r="H70" s="108">
        <f>SUMIF($C$73:$C$65526,$C70,$H$73:$H$65526)</f>
        <v>0</v>
      </c>
      <c r="I70" s="108">
        <f>SUMIF($C$73:$C$65526,$C70,$I$73:$I$65526)</f>
        <v>0</v>
      </c>
      <c r="J70" s="225">
        <f t="shared" si="10"/>
        <v>0</v>
      </c>
      <c r="K70" s="228"/>
    </row>
    <row r="71" spans="1:14" ht="35.25" customHeight="1">
      <c r="A71" s="2427" t="str">
        <f t="shared" ca="1" si="12"/>
        <v/>
      </c>
      <c r="B71" s="113"/>
      <c r="C71" s="227" t="s">
        <v>4530</v>
      </c>
      <c r="D71" s="195" t="s">
        <v>3389</v>
      </c>
      <c r="E71" s="108">
        <f>SUMIF($C$73:$C$65526,$C71,$E$73:$E$65526)</f>
        <v>0</v>
      </c>
      <c r="F71" s="108">
        <f>SUMIF($C$73:$C$65526,$C71,$F$73:$F$65526)</f>
        <v>0</v>
      </c>
      <c r="G71" s="108">
        <f>SUMIF($C$73:$C$65526,$C71,$G$73:$G$65526)</f>
        <v>0</v>
      </c>
      <c r="H71" s="108">
        <f>SUMIF($C$73:$C$65526,$C71,$H$73:$H$65526)</f>
        <v>0</v>
      </c>
      <c r="I71" s="108">
        <f>SUMIF($C$73:$C$65526,$C71,$I$73:$I$65526)</f>
        <v>0</v>
      </c>
      <c r="J71" s="225">
        <f t="shared" si="10"/>
        <v>0</v>
      </c>
      <c r="K71" s="228"/>
    </row>
    <row r="72" spans="1:14" ht="46.5" customHeight="1">
      <c r="A72" s="2427" t="str">
        <f t="shared" ca="1" si="12"/>
        <v/>
      </c>
      <c r="B72" s="113"/>
      <c r="C72" s="227" t="s">
        <v>4531</v>
      </c>
      <c r="D72" s="195" t="s">
        <v>3389</v>
      </c>
      <c r="E72" s="108">
        <f>SUMIF($C$73:$C$65526,$C72,$E$73:$E$65526)</f>
        <v>0</v>
      </c>
      <c r="F72" s="108">
        <f>SUMIF($C$73:$C$65526,$C72,$F$73:$F$65526)</f>
        <v>0</v>
      </c>
      <c r="G72" s="108">
        <f>SUMIF($C$73:$C$65526,$C72,$G$73:$G$65526)</f>
        <v>0</v>
      </c>
      <c r="H72" s="108">
        <f>SUMIF($C$73:$C$65526,$C72,$H$73:$H$65526)</f>
        <v>0</v>
      </c>
      <c r="I72" s="108">
        <f>SUMIF($C$73:$C$65526,$C72,$I$73:$I$65526)</f>
        <v>0</v>
      </c>
      <c r="J72" s="225">
        <f t="shared" si="10"/>
        <v>0</v>
      </c>
      <c r="K72" s="228"/>
    </row>
    <row r="73" spans="1:14">
      <c r="A73" s="9" t="str">
        <f t="shared" ref="A73:A79" si="14">"R5="&amp;IFERROR(MID(C73,FIND("{",C73)+1,FIND("}",C73)-FIND("{",C73)-1),"")&amp;";R6="&amp;IFERROR(MID(D73,FIND("{",D73)+1,FIND("}",D73)-FIND("{",D73)-1),"")&amp;";COM="&amp;K73</f>
        <v>R5=;R6=;COM=</v>
      </c>
      <c r="B73" s="113"/>
      <c r="C73" s="182"/>
      <c r="D73" s="180"/>
      <c r="E73" s="110"/>
      <c r="F73" s="110"/>
      <c r="G73" s="110"/>
      <c r="H73" s="110"/>
      <c r="I73" s="110"/>
      <c r="J73" s="225">
        <f t="shared" si="10"/>
        <v>0</v>
      </c>
      <c r="K73" s="228"/>
    </row>
    <row r="74" spans="1:14">
      <c r="A74" s="9" t="str">
        <f t="shared" si="14"/>
        <v>R5=;R6=;COM=</v>
      </c>
      <c r="B74" s="113"/>
      <c r="C74" s="182"/>
      <c r="D74" s="2110"/>
      <c r="E74" s="110"/>
      <c r="F74" s="110"/>
      <c r="G74" s="110"/>
      <c r="H74" s="110"/>
      <c r="I74" s="110"/>
      <c r="J74" s="225">
        <f t="shared" si="10"/>
        <v>0</v>
      </c>
      <c r="K74" s="228"/>
    </row>
    <row r="75" spans="1:14">
      <c r="A75" s="9" t="str">
        <f t="shared" si="14"/>
        <v>R5=;R6=;COM=</v>
      </c>
      <c r="B75" s="113"/>
      <c r="C75" s="182"/>
      <c r="D75" s="2110"/>
      <c r="E75" s="110"/>
      <c r="F75" s="110"/>
      <c r="G75" s="110"/>
      <c r="H75" s="110"/>
      <c r="I75" s="110"/>
      <c r="J75" s="225">
        <f t="shared" si="10"/>
        <v>0</v>
      </c>
      <c r="K75" s="228"/>
    </row>
    <row r="76" spans="1:14">
      <c r="A76" s="9" t="str">
        <f t="shared" si="14"/>
        <v>R5=;R6=;COM=</v>
      </c>
      <c r="B76" s="113"/>
      <c r="C76" s="182"/>
      <c r="D76" s="2110"/>
      <c r="E76" s="110"/>
      <c r="F76" s="110"/>
      <c r="G76" s="110"/>
      <c r="H76" s="110"/>
      <c r="I76" s="110"/>
      <c r="J76" s="225">
        <f t="shared" si="10"/>
        <v>0</v>
      </c>
      <c r="K76" s="228"/>
    </row>
    <row r="77" spans="1:14">
      <c r="A77" s="9" t="str">
        <f t="shared" si="14"/>
        <v>R5=;R6=;COM=</v>
      </c>
      <c r="B77" s="113"/>
      <c r="C77" s="182"/>
      <c r="D77" s="2110"/>
      <c r="E77" s="110"/>
      <c r="F77" s="110"/>
      <c r="G77" s="110"/>
      <c r="H77" s="110"/>
      <c r="I77" s="110"/>
      <c r="J77" s="225">
        <f t="shared" ref="J77:J79" si="15">SUM(E77:I77)</f>
        <v>0</v>
      </c>
      <c r="K77" s="228"/>
    </row>
    <row r="78" spans="1:14">
      <c r="A78" s="9" t="str">
        <f t="shared" si="14"/>
        <v>R5=;R6=;COM=</v>
      </c>
      <c r="B78" s="113"/>
      <c r="C78" s="182"/>
      <c r="D78" s="2110"/>
      <c r="E78" s="110"/>
      <c r="F78" s="110"/>
      <c r="G78" s="110"/>
      <c r="H78" s="110"/>
      <c r="I78" s="110"/>
      <c r="J78" s="225">
        <f t="shared" si="15"/>
        <v>0</v>
      </c>
      <c r="K78" s="228"/>
    </row>
    <row r="79" spans="1:14" ht="15" thickBot="1">
      <c r="A79" s="9" t="str">
        <f t="shared" si="14"/>
        <v>R5=;R6=;COM=</v>
      </c>
      <c r="B79" s="113"/>
      <c r="C79" s="781"/>
      <c r="D79" s="2110"/>
      <c r="E79" s="152"/>
      <c r="F79" s="152"/>
      <c r="G79" s="152"/>
      <c r="H79" s="152"/>
      <c r="I79" s="152"/>
      <c r="J79" s="225">
        <f t="shared" si="15"/>
        <v>0</v>
      </c>
      <c r="K79" s="782"/>
    </row>
  </sheetData>
  <sheetProtection algorithmName="SHA-512" hashValue="CSb8smv5/P1YJGMueLnQFc3lHAvhL0J1lm3MxCFKVflDxWfGiBDyO0PHMwxNkyV5D1mQrbjNNx1aZN+++umTig==" saltValue="Wiu47hxm5iRGZUCryL2UKQ==" spinCount="100000" sheet="1" objects="1" scenarios="1" formatColumns="0" formatRows="0" autoFilter="0"/>
  <autoFilter ref="C6:K6"/>
  <customSheetViews>
    <customSheetView guid="{3769259D-9653-4B34-A2F6-4FB6F9F4E533}" scale="80" showGridLines="0" showAutoFilter="1" hiddenRows="1" hiddenColumns="1">
      <pane xSplit="4" ySplit="6" topLeftCell="E7" activePane="bottomRight" state="frozen"/>
      <selection pane="bottomRight" activeCell="H16" sqref="H16"/>
      <pageMargins left="0.7" right="0.7" top="0.75" bottom="0.75" header="0.3" footer="0.3"/>
      <autoFilter ref="B1:L1"/>
    </customSheetView>
    <customSheetView guid="{40D7A2BB-326C-4ED3-999C-17852F56D6F4}" scale="80" showGridLines="0" showAutoFilter="1" hiddenRows="1" hiddenColumns="1">
      <pane xSplit="4" ySplit="6" topLeftCell="E7" activePane="bottomRight" state="frozen"/>
      <selection pane="bottomRight" activeCell="H16" sqref="H16"/>
      <pageMargins left="0.7" right="0.7" top="0.75" bottom="0.75" header="0.3" footer="0.3"/>
      <autoFilter ref="B1:L1"/>
    </customSheetView>
    <customSheetView guid="{5D121940-0CE8-4A0E-A493-67FAAA6E0FF8}" scale="80" showGridLines="0" showAutoFilter="1" hiddenRows="1" hiddenColumns="1" topLeftCell="B2">
      <pane xSplit="3" ySplit="6" topLeftCell="G8" activePane="bottomRight" state="frozen"/>
      <selection pane="bottomRight" activeCell="D6" sqref="D6"/>
      <pageMargins left="0.7" right="0.7" top="0.75" bottom="0.75" header="0.3" footer="0.3"/>
      <autoFilter ref="B1:L1"/>
    </customSheetView>
    <customSheetView guid="{47AEACC4-6EA5-412C-AF39-A6C5357B313A}" scale="80" showGridLines="0" showAutoFilter="1" hiddenRows="1" hiddenColumns="1" topLeftCell="B2">
      <pane xSplit="3" ySplit="6" topLeftCell="E68" activePane="bottomRight" state="frozen"/>
      <selection pane="bottomRight" activeCell="K86" sqref="A1:K86"/>
      <pageMargins left="0.7" right="0.7" top="0.75" bottom="0.75" header="0.3" footer="0.3"/>
      <autoFilter ref="B1:L1"/>
    </customSheetView>
    <customSheetView guid="{4D957B38-5430-481E-B791-E0A66F913B50}" scale="70" hiddenColumns="1">
      <selection activeCell="G1" sqref="G1"/>
      <pageMargins left="0.7" right="0.7" top="0.75" bottom="0.75" header="0.3" footer="0.3"/>
    </customSheetView>
    <customSheetView guid="{1C36793E-2B7E-411E-AA99-985D5D59B75A}" scale="70" hiddenColumns="1" topLeftCell="A67">
      <selection activeCell="A4" sqref="A4"/>
      <pageMargins left="0.7" right="0.7" top="0.75" bottom="0.75" header="0.3" footer="0.3"/>
    </customSheetView>
    <customSheetView guid="{C913A9E8-661B-40A4-A3C9-1BC5F2B2E9F0}" scale="80" showGridLines="0" showAutoFilter="1" hiddenRows="1" hiddenColumns="1" topLeftCell="B2">
      <pane xSplit="3" ySplit="6" topLeftCell="G8" activePane="bottomRight" state="frozen"/>
      <selection pane="bottomRight" activeCell="D6" sqref="D6"/>
      <pageMargins left="0.7" right="0.7" top="0.75" bottom="0.75" header="0.3" footer="0.3"/>
      <autoFilter ref="B1:L1"/>
    </customSheetView>
  </customSheetView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C73:C79">
      <formula1>_2018_14</formula1>
    </dataValidation>
    <dataValidation type="list" allowBlank="1" showInputMessage="1" showErrorMessage="1" sqref="D73:D79">
      <formula1>IF(OR(C73="{41} Резервы под снижение стоимости товаров",C73="{43} Резервы под снижение стоимости готовой продукции",C73="{45} Резервы под снижение стоимости товаров отгруженных"),_2145_tmc,_2145)</formula1>
    </dataValidation>
  </dataValidations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8" fitToWidth="2" orientation="portrait" horizontalDpi="4294967294" verticalDpi="4294967294" r:id="rId1"/>
  <ignoredErrors>
    <ignoredError sqref="J3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ddButtonsRowAdd">
                <anchor moveWithCells="1">
                  <from>
                    <xdr:col>2</xdr:col>
                    <xdr:colOff>2622550</xdr:colOff>
                    <xdr:row>1</xdr:row>
                    <xdr:rowOff>31750</xdr:rowOff>
                  </from>
                  <to>
                    <xdr:col>3</xdr:col>
                    <xdr:colOff>1257300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/>
  <dimension ref="A1:Q84"/>
  <sheetViews>
    <sheetView topLeftCell="B36" zoomScale="77" zoomScaleNormal="77" workbookViewId="0">
      <selection activeCell="F17" sqref="F17"/>
    </sheetView>
  </sheetViews>
  <sheetFormatPr defaultColWidth="9.453125" defaultRowHeight="14.5"/>
  <cols>
    <col min="1" max="1" width="35" style="1590" hidden="1" customWidth="1"/>
    <col min="2" max="2" width="2.453125" style="1163" customWidth="1"/>
    <col min="3" max="3" width="87.54296875" style="1598" customWidth="1"/>
    <col min="4" max="11" width="15.54296875" style="1163" customWidth="1"/>
    <col min="12" max="12" width="18.453125" style="1163" customWidth="1"/>
    <col min="13" max="13" width="15.54296875" style="1163" customWidth="1"/>
    <col min="14" max="14" width="15.54296875" style="2422" customWidth="1"/>
    <col min="15" max="16" width="15.54296875" style="1163" customWidth="1"/>
    <col min="17" max="16384" width="9.453125" style="1163"/>
  </cols>
  <sheetData>
    <row r="1" spans="1:17" ht="19.5" hidden="1" customHeight="1">
      <c r="A1" s="167" t="s">
        <v>3451</v>
      </c>
      <c r="B1" s="29"/>
      <c r="C1" s="508"/>
      <c r="D1" s="29" t="s">
        <v>1226</v>
      </c>
      <c r="E1" s="29" t="s">
        <v>352</v>
      </c>
      <c r="F1" s="29" t="s">
        <v>353</v>
      </c>
      <c r="G1" s="29" t="s">
        <v>377</v>
      </c>
      <c r="H1" s="29" t="s">
        <v>1228</v>
      </c>
      <c r="I1" s="29" t="s">
        <v>325</v>
      </c>
      <c r="J1" s="29" t="s">
        <v>326</v>
      </c>
      <c r="K1" s="29" t="s">
        <v>354</v>
      </c>
      <c r="L1" s="29" t="s">
        <v>329</v>
      </c>
      <c r="M1" s="29" t="s">
        <v>1229</v>
      </c>
      <c r="N1" s="2424" t="s">
        <v>327</v>
      </c>
      <c r="O1" s="29" t="s">
        <v>299</v>
      </c>
      <c r="P1" s="29"/>
    </row>
    <row r="2" spans="1:17" ht="26">
      <c r="A2" s="564"/>
      <c r="B2" s="10"/>
      <c r="C2" s="509"/>
      <c r="D2" s="1919" t="s">
        <v>1648</v>
      </c>
      <c r="E2" s="1919" t="s">
        <v>1648</v>
      </c>
      <c r="F2" s="1919" t="s">
        <v>1648</v>
      </c>
      <c r="G2" s="1919" t="s">
        <v>1648</v>
      </c>
      <c r="H2" s="1897" t="s">
        <v>2067</v>
      </c>
      <c r="I2" s="1244">
        <f>Содержание!$D$2</f>
        <v>0</v>
      </c>
      <c r="J2" s="1919" t="s">
        <v>1648</v>
      </c>
      <c r="K2" s="1919" t="s">
        <v>1648</v>
      </c>
      <c r="L2" s="1919" t="s">
        <v>1648</v>
      </c>
      <c r="M2" s="1919" t="s">
        <v>1648</v>
      </c>
      <c r="N2" s="1919"/>
      <c r="O2" s="1919" t="s">
        <v>1648</v>
      </c>
      <c r="P2" s="10"/>
    </row>
    <row r="3" spans="1:17" ht="26.5" thickBot="1">
      <c r="A3" s="2427"/>
      <c r="B3" s="231"/>
      <c r="C3" s="510" t="s">
        <v>4532</v>
      </c>
      <c r="D3" s="231" t="b">
        <f t="array" ref="D3">IF(SMALL(IF(""=C70:C2702,ROW(C70:C2702),2700),1)&gt;LARGE(IF(""&lt;&gt;C70:C2702,ROW(C70:C2702),0),1),TRUE,FALSE)</f>
        <v>1</v>
      </c>
      <c r="E3"/>
      <c r="F3" s="231"/>
      <c r="G3" s="231"/>
      <c r="H3" s="1897" t="s">
        <v>2075</v>
      </c>
      <c r="I3" s="1244" t="str">
        <f>Содержание!$D$15</f>
        <v>2022 год</v>
      </c>
      <c r="J3" s="3044" t="s">
        <v>1436</v>
      </c>
      <c r="K3" s="231"/>
      <c r="L3" s="231"/>
      <c r="M3" s="231"/>
      <c r="N3" s="231"/>
      <c r="O3" s="231"/>
      <c r="P3" s="231"/>
    </row>
    <row r="4" spans="1:17" ht="15" thickBot="1">
      <c r="A4" s="2427"/>
      <c r="B4" s="10"/>
      <c r="C4" s="3732" t="s">
        <v>5555</v>
      </c>
      <c r="D4" s="3713" t="s">
        <v>5225</v>
      </c>
      <c r="E4" s="3733" t="s">
        <v>5556</v>
      </c>
      <c r="F4" s="3734"/>
      <c r="G4" s="3734"/>
      <c r="H4" s="1132"/>
      <c r="I4" s="3735" t="s">
        <v>5557</v>
      </c>
      <c r="J4" s="3736"/>
      <c r="K4" s="3736"/>
      <c r="L4" s="3736"/>
      <c r="M4" s="3736"/>
      <c r="N4" s="2613"/>
      <c r="O4" s="3713" t="s">
        <v>5233</v>
      </c>
      <c r="P4" s="3711" t="s">
        <v>4183</v>
      </c>
    </row>
    <row r="5" spans="1:17" ht="65">
      <c r="A5" s="2427"/>
      <c r="B5" s="10"/>
      <c r="C5" s="3732"/>
      <c r="D5" s="3713"/>
      <c r="E5" s="16" t="s">
        <v>4533</v>
      </c>
      <c r="F5" s="16" t="s">
        <v>8745</v>
      </c>
      <c r="G5" s="16" t="s">
        <v>4057</v>
      </c>
      <c r="H5" s="16" t="s">
        <v>1669</v>
      </c>
      <c r="I5" s="16" t="s">
        <v>1687</v>
      </c>
      <c r="J5" s="16" t="s">
        <v>1686</v>
      </c>
      <c r="K5" s="16" t="s">
        <v>4055</v>
      </c>
      <c r="L5" s="16" t="s">
        <v>1672</v>
      </c>
      <c r="M5" s="15" t="s">
        <v>5559</v>
      </c>
      <c r="N5" s="2614" t="s">
        <v>1670</v>
      </c>
      <c r="O5" s="3713"/>
      <c r="P5" s="3711"/>
    </row>
    <row r="6" spans="1:17">
      <c r="A6" s="2427"/>
      <c r="B6" s="10"/>
      <c r="C6" s="2315" t="s">
        <v>7585</v>
      </c>
      <c r="D6" s="16" t="s">
        <v>672</v>
      </c>
      <c r="E6" s="16" t="s">
        <v>4039</v>
      </c>
      <c r="F6" s="16" t="s">
        <v>4040</v>
      </c>
      <c r="G6" s="16" t="s">
        <v>3955</v>
      </c>
      <c r="H6" s="16" t="s">
        <v>5571</v>
      </c>
      <c r="I6" s="16" t="s">
        <v>5572</v>
      </c>
      <c r="J6" s="16" t="s">
        <v>4042</v>
      </c>
      <c r="K6" s="16" t="s">
        <v>4041</v>
      </c>
      <c r="L6" s="16" t="s">
        <v>5575</v>
      </c>
      <c r="M6" s="16" t="s">
        <v>5580</v>
      </c>
      <c r="N6" s="2612" t="s">
        <v>5573</v>
      </c>
      <c r="O6" s="16" t="s">
        <v>4163</v>
      </c>
      <c r="P6" s="27"/>
    </row>
    <row r="7" spans="1:17" s="674" customFormat="1" ht="10.5">
      <c r="A7" s="668"/>
      <c r="B7" s="669"/>
      <c r="C7" s="686" t="s">
        <v>4164</v>
      </c>
      <c r="D7" s="684" t="s">
        <v>4165</v>
      </c>
      <c r="E7" s="1597" t="s">
        <v>4166</v>
      </c>
      <c r="F7" s="1597" t="s">
        <v>5500</v>
      </c>
      <c r="G7" s="1597" t="s">
        <v>4169</v>
      </c>
      <c r="H7" s="1597" t="s">
        <v>4168</v>
      </c>
      <c r="I7" s="1597" t="s">
        <v>4178</v>
      </c>
      <c r="J7" s="1597" t="s">
        <v>4179</v>
      </c>
      <c r="K7" s="1597" t="s">
        <v>4167</v>
      </c>
      <c r="L7" s="1597" t="s">
        <v>5501</v>
      </c>
      <c r="M7" s="1597" t="s">
        <v>4701</v>
      </c>
      <c r="N7" s="1597" t="s">
        <v>4702</v>
      </c>
      <c r="O7" s="1597" t="s">
        <v>4703</v>
      </c>
      <c r="P7" s="1597" t="s">
        <v>5502</v>
      </c>
    </row>
    <row r="8" spans="1:17">
      <c r="A8" s="2427"/>
      <c r="B8" s="578" t="s">
        <v>5536</v>
      </c>
      <c r="C8" s="232" t="s">
        <v>4170</v>
      </c>
      <c r="D8" s="108">
        <f t="shared" ref="D8:N8" si="0">SUM(D9:D12,D69)</f>
        <v>0</v>
      </c>
      <c r="E8" s="108">
        <f t="shared" si="0"/>
        <v>0</v>
      </c>
      <c r="F8" s="108">
        <f t="shared" si="0"/>
        <v>0</v>
      </c>
      <c r="G8" s="108">
        <f t="shared" si="0"/>
        <v>0</v>
      </c>
      <c r="H8" s="108">
        <f t="shared" si="0"/>
        <v>0</v>
      </c>
      <c r="I8" s="108">
        <f t="shared" si="0"/>
        <v>0</v>
      </c>
      <c r="J8" s="108">
        <f t="shared" si="0"/>
        <v>0</v>
      </c>
      <c r="K8" s="108">
        <f t="shared" si="0"/>
        <v>0</v>
      </c>
      <c r="L8" s="108">
        <f>SUM(L9:L12,L69)</f>
        <v>0</v>
      </c>
      <c r="M8" s="108">
        <f t="shared" si="0"/>
        <v>0</v>
      </c>
      <c r="N8" s="108">
        <f t="shared" si="0"/>
        <v>0</v>
      </c>
      <c r="O8" s="108">
        <f>SUM(O9:O12,O69)</f>
        <v>0</v>
      </c>
      <c r="P8" s="233" t="s">
        <v>4184</v>
      </c>
    </row>
    <row r="9" spans="1:17">
      <c r="A9" s="2427" t="str">
        <f>"R1="&amp;";R2="&amp;";R3="&amp;";R4="&amp;";R5=07"&amp;";COM="&amp;P9</f>
        <v>R1=;R2=;R3=;R4=;R5=07;COM=</v>
      </c>
      <c r="B9" s="578" t="s">
        <v>5536</v>
      </c>
      <c r="C9" s="339" t="s">
        <v>3429</v>
      </c>
      <c r="D9" s="110"/>
      <c r="E9" s="110"/>
      <c r="F9" s="110"/>
      <c r="G9" s="110"/>
      <c r="H9" s="110"/>
      <c r="I9" s="110"/>
      <c r="J9" s="110"/>
      <c r="K9" s="110"/>
      <c r="L9" s="3729" t="s">
        <v>3389</v>
      </c>
      <c r="M9" s="110"/>
      <c r="N9" s="110"/>
      <c r="O9" s="108">
        <f>SUM(D9:N9)</f>
        <v>0</v>
      </c>
      <c r="P9" s="203"/>
    </row>
    <row r="10" spans="1:17">
      <c r="A10" s="2427" t="str">
        <f>"R1="&amp;";R2="&amp;";R3="&amp;";R4="&amp;";R5=01"&amp;";COM="&amp;P10</f>
        <v>R1=;R2=;R3=;R4=;R5=01;COM=</v>
      </c>
      <c r="B10" s="578" t="s">
        <v>5536</v>
      </c>
      <c r="C10" s="339" t="s">
        <v>4043</v>
      </c>
      <c r="D10" s="110"/>
      <c r="E10" s="1439"/>
      <c r="F10" s="110"/>
      <c r="G10" s="110"/>
      <c r="H10" s="110"/>
      <c r="I10" s="1439"/>
      <c r="J10" s="1439"/>
      <c r="K10" s="110"/>
      <c r="L10" s="3730"/>
      <c r="M10" s="110"/>
      <c r="N10" s="110"/>
      <c r="O10" s="108">
        <f t="shared" ref="O10:O75" si="1">SUM(D10:N10)</f>
        <v>0</v>
      </c>
      <c r="P10" s="203"/>
    </row>
    <row r="11" spans="1:17">
      <c r="A11" s="2427" t="str">
        <f>"R1="&amp;";R2="&amp;";R3="&amp;";R4="&amp;";R5=04"&amp;";COM="&amp;P11</f>
        <v>R1=;R2=;R3=;R4=;R5=04;COM=</v>
      </c>
      <c r="B11" s="578" t="s">
        <v>5536</v>
      </c>
      <c r="C11" s="339" t="s">
        <v>4044</v>
      </c>
      <c r="D11" s="110"/>
      <c r="E11" s="110"/>
      <c r="F11" s="110"/>
      <c r="G11" s="110"/>
      <c r="H11" s="110"/>
      <c r="I11" s="110"/>
      <c r="J11" s="110"/>
      <c r="K11" s="110"/>
      <c r="L11" s="3730"/>
      <c r="M11" s="110"/>
      <c r="N11" s="110"/>
      <c r="O11" s="108">
        <f t="shared" si="1"/>
        <v>0</v>
      </c>
      <c r="P11" s="203"/>
    </row>
    <row r="12" spans="1:17">
      <c r="A12" s="2427"/>
      <c r="B12" s="578" t="s">
        <v>5536</v>
      </c>
      <c r="C12" s="339" t="s">
        <v>4045</v>
      </c>
      <c r="D12" s="108">
        <f>SUM(D13,D41)</f>
        <v>0</v>
      </c>
      <c r="E12" s="108">
        <f t="shared" ref="E12:K12" si="2">SUM(E13,E41)</f>
        <v>0</v>
      </c>
      <c r="F12" s="108">
        <f t="shared" si="2"/>
        <v>0</v>
      </c>
      <c r="G12" s="108">
        <f t="shared" si="2"/>
        <v>0</v>
      </c>
      <c r="H12" s="108">
        <f t="shared" si="2"/>
        <v>0</v>
      </c>
      <c r="I12" s="108">
        <f t="shared" si="2"/>
        <v>0</v>
      </c>
      <c r="J12" s="108">
        <f t="shared" si="2"/>
        <v>0</v>
      </c>
      <c r="K12" s="108">
        <f t="shared" si="2"/>
        <v>0</v>
      </c>
      <c r="L12" s="3730"/>
      <c r="M12" s="108">
        <f>SUM(M13,M41)</f>
        <v>0</v>
      </c>
      <c r="N12" s="108">
        <f>SUM(N13,N41)</f>
        <v>0</v>
      </c>
      <c r="O12" s="108">
        <f t="shared" si="1"/>
        <v>0</v>
      </c>
      <c r="P12" s="203"/>
    </row>
    <row r="13" spans="1:17" s="1590" customFormat="1">
      <c r="A13" s="2427" t="str">
        <f ca="1">IF(CELL("защита",D13),"","R5=10;R1="&amp;IFERROR(MID(C13,FIND("{",C13)+1,1),"")&amp;";R2="&amp;IFERROR(MID(C13,SEARCH("{?_????_*}",C13)+3,4),"")&amp;";R4="&amp;IFERROR(SUBSTITUTE(MID(C13,SEARCH("_?}",C13)+1,1),"~",""),"")&amp;";COM="&amp;P13)</f>
        <v/>
      </c>
      <c r="B13" s="578" t="s">
        <v>5536</v>
      </c>
      <c r="C13" s="339" t="s">
        <v>7586</v>
      </c>
      <c r="D13" s="108">
        <f>SUM(D14,D21,D27:D40)</f>
        <v>0</v>
      </c>
      <c r="E13" s="108">
        <f t="shared" ref="E13:K13" si="3">SUM(E14,E21,E27:E40)</f>
        <v>0</v>
      </c>
      <c r="F13" s="108">
        <f t="shared" si="3"/>
        <v>0</v>
      </c>
      <c r="G13" s="108">
        <f t="shared" si="3"/>
        <v>0</v>
      </c>
      <c r="H13" s="108">
        <f t="shared" si="3"/>
        <v>0</v>
      </c>
      <c r="I13" s="108">
        <f t="shared" si="3"/>
        <v>0</v>
      </c>
      <c r="J13" s="108">
        <f t="shared" si="3"/>
        <v>0</v>
      </c>
      <c r="K13" s="108">
        <f t="shared" si="3"/>
        <v>0</v>
      </c>
      <c r="L13" s="3730"/>
      <c r="M13" s="108">
        <f>SUM(M14,M21,M27:M40)</f>
        <v>0</v>
      </c>
      <c r="N13" s="108">
        <f>SUM(N14,N21,N27:N40)</f>
        <v>0</v>
      </c>
      <c r="O13" s="108">
        <f t="shared" si="1"/>
        <v>0</v>
      </c>
      <c r="P13" s="619"/>
    </row>
    <row r="14" spans="1:17" s="1590" customFormat="1">
      <c r="A14" s="2427" t="str">
        <f t="shared" ref="A14:A15" ca="1" si="4">IF(CELL("защита",D14),"","R5=10;R1="&amp;IFERROR(MID(C14,FIND("{",C14)+1,1),"")&amp;";R2="&amp;IFERROR(MID(C14,SEARCH("{?_????_*}",C14)+3,4),"")&amp;";R4="&amp;IFERROR(SUBSTITUTE(MID(C14,SEARCH("_?}",C14)+1,1),"~",""),"")&amp;";COM="&amp;P14)</f>
        <v/>
      </c>
      <c r="B14" s="578" t="s">
        <v>5536</v>
      </c>
      <c r="C14" s="341" t="s">
        <v>7575</v>
      </c>
      <c r="D14" s="225">
        <f>D15+D18</f>
        <v>0</v>
      </c>
      <c r="E14" s="225">
        <f t="shared" ref="E14:K14" si="5">E15+E18</f>
        <v>0</v>
      </c>
      <c r="F14" s="225">
        <f t="shared" si="5"/>
        <v>0</v>
      </c>
      <c r="G14" s="225">
        <f t="shared" si="5"/>
        <v>0</v>
      </c>
      <c r="H14" s="225">
        <f t="shared" si="5"/>
        <v>0</v>
      </c>
      <c r="I14" s="225">
        <f t="shared" si="5"/>
        <v>0</v>
      </c>
      <c r="J14" s="225">
        <f t="shared" si="5"/>
        <v>0</v>
      </c>
      <c r="K14" s="225">
        <f t="shared" si="5"/>
        <v>0</v>
      </c>
      <c r="L14" s="3730"/>
      <c r="M14" s="225">
        <f>M15+M18</f>
        <v>0</v>
      </c>
      <c r="N14" s="225">
        <f>N15+N18</f>
        <v>0</v>
      </c>
      <c r="O14" s="108">
        <f t="shared" si="1"/>
        <v>0</v>
      </c>
      <c r="P14" s="619"/>
      <c r="Q14" s="2350"/>
    </row>
    <row r="15" spans="1:17" s="1590" customFormat="1">
      <c r="A15" s="2427" t="str">
        <f t="shared" ca="1" si="4"/>
        <v/>
      </c>
      <c r="B15" s="578" t="s">
        <v>5536</v>
      </c>
      <c r="C15" s="341" t="s">
        <v>7576</v>
      </c>
      <c r="D15" s="225">
        <f>D16+D17</f>
        <v>0</v>
      </c>
      <c r="E15" s="225">
        <f t="shared" ref="E15:M15" si="6">E16+E17</f>
        <v>0</v>
      </c>
      <c r="F15" s="225">
        <f t="shared" si="6"/>
        <v>0</v>
      </c>
      <c r="G15" s="225">
        <f t="shared" si="6"/>
        <v>0</v>
      </c>
      <c r="H15" s="225">
        <f>H16+H17</f>
        <v>0</v>
      </c>
      <c r="I15" s="225">
        <f t="shared" si="6"/>
        <v>0</v>
      </c>
      <c r="J15" s="225">
        <f>J16+J17</f>
        <v>0</v>
      </c>
      <c r="K15" s="225">
        <f t="shared" si="6"/>
        <v>0</v>
      </c>
      <c r="L15" s="3730"/>
      <c r="M15" s="225">
        <f t="shared" si="6"/>
        <v>0</v>
      </c>
      <c r="N15" s="225">
        <f t="shared" ref="N15" si="7">N16+N17</f>
        <v>0</v>
      </c>
      <c r="O15" s="108">
        <f t="shared" si="1"/>
        <v>0</v>
      </c>
      <c r="P15" s="619"/>
      <c r="Q15" s="2350"/>
    </row>
    <row r="16" spans="1:17" s="1590" customFormat="1">
      <c r="A16" s="2427" t="str">
        <f ca="1">IF(CELL("защита",D16),"","R5=10;R1="&amp;IFERROR(MID(C16,FIND("{",C16)+1,1),"")&amp;";R2="&amp;IFERROR(MID(C16,SEARCH("{?_????}",C16)+3,4),"")&amp;";R4="&amp;IFERROR(SUBSTITUTE(MID(C16,SEARCH("_?}",C16)+1,1),"~",""),"")&amp;";COM="&amp;P16)</f>
        <v>R5=10;R1=1;R2=0111;R4=;COM=</v>
      </c>
      <c r="B16" s="578" t="s">
        <v>5536</v>
      </c>
      <c r="C16" s="341" t="s">
        <v>7533</v>
      </c>
      <c r="D16" s="229"/>
      <c r="E16" s="1439"/>
      <c r="F16" s="590"/>
      <c r="G16" s="590"/>
      <c r="H16" s="590"/>
      <c r="I16" s="590"/>
      <c r="J16" s="590"/>
      <c r="K16" s="1439"/>
      <c r="L16" s="3730"/>
      <c r="M16" s="1439"/>
      <c r="N16" s="1439"/>
      <c r="O16" s="108">
        <f t="shared" si="1"/>
        <v>0</v>
      </c>
      <c r="P16" s="619"/>
      <c r="Q16" s="2350"/>
    </row>
    <row r="17" spans="1:17" s="1590" customFormat="1">
      <c r="A17" s="2427" t="str">
        <f t="shared" ref="A17:A68" ca="1" si="8">IF(CELL("защита",D17),"","R5=10;R1="&amp;IFERROR(MID(C17,FIND("{",C17)+1,1),"")&amp;";R2="&amp;IFERROR(MID(C17,SEARCH("{?_????}",C17)+3,4),"")&amp;";R4="&amp;IFERROR(SUBSTITUTE(MID(C17,SEARCH("_?}",C17)+1,1),"~",""),"")&amp;";COM="&amp;P17)</f>
        <v>R5=10;R1=1;R2=0112;R4=;COM=</v>
      </c>
      <c r="B17" s="578" t="s">
        <v>5536</v>
      </c>
      <c r="C17" s="341" t="s">
        <v>7534</v>
      </c>
      <c r="D17" s="229"/>
      <c r="E17" s="229"/>
      <c r="F17" s="229"/>
      <c r="G17" s="229"/>
      <c r="H17" s="229"/>
      <c r="I17" s="229"/>
      <c r="J17" s="229"/>
      <c r="K17" s="229"/>
      <c r="L17" s="3730"/>
      <c r="M17" s="229"/>
      <c r="N17" s="229"/>
      <c r="O17" s="108">
        <f t="shared" si="1"/>
        <v>0</v>
      </c>
      <c r="P17" s="619"/>
      <c r="Q17" s="2350"/>
    </row>
    <row r="18" spans="1:17" s="1590" customFormat="1">
      <c r="A18" s="2427" t="str">
        <f t="shared" ca="1" si="8"/>
        <v/>
      </c>
      <c r="B18" s="578" t="s">
        <v>5536</v>
      </c>
      <c r="C18" s="341" t="s">
        <v>7577</v>
      </c>
      <c r="D18" s="225">
        <f>D19+D20</f>
        <v>0</v>
      </c>
      <c r="E18" s="225">
        <f t="shared" ref="E18:N18" si="9">E19+E20</f>
        <v>0</v>
      </c>
      <c r="F18" s="225">
        <f t="shared" si="9"/>
        <v>0</v>
      </c>
      <c r="G18" s="225">
        <f t="shared" si="9"/>
        <v>0</v>
      </c>
      <c r="H18" s="225">
        <f>H19+H20</f>
        <v>0</v>
      </c>
      <c r="I18" s="225">
        <f t="shared" si="9"/>
        <v>0</v>
      </c>
      <c r="J18" s="225">
        <f t="shared" si="9"/>
        <v>0</v>
      </c>
      <c r="K18" s="225">
        <f t="shared" si="9"/>
        <v>0</v>
      </c>
      <c r="L18" s="3730"/>
      <c r="M18" s="225">
        <f t="shared" si="9"/>
        <v>0</v>
      </c>
      <c r="N18" s="225">
        <f t="shared" si="9"/>
        <v>0</v>
      </c>
      <c r="O18" s="108">
        <f t="shared" si="1"/>
        <v>0</v>
      </c>
      <c r="P18" s="619"/>
      <c r="Q18" s="2350"/>
    </row>
    <row r="19" spans="1:17" s="1590" customFormat="1">
      <c r="A19" s="2427" t="str">
        <f t="shared" ca="1" si="8"/>
        <v>R5=10;R1=1;R2=0121;R4=;COM=</v>
      </c>
      <c r="B19" s="578" t="s">
        <v>5536</v>
      </c>
      <c r="C19" s="341" t="s">
        <v>7535</v>
      </c>
      <c r="D19" s="229"/>
      <c r="E19" s="590"/>
      <c r="F19" s="590"/>
      <c r="G19" s="590"/>
      <c r="H19" s="590"/>
      <c r="I19" s="590"/>
      <c r="J19" s="590"/>
      <c r="K19" s="590"/>
      <c r="L19" s="3730"/>
      <c r="M19" s="590"/>
      <c r="N19" s="590"/>
      <c r="O19" s="108">
        <f t="shared" si="1"/>
        <v>0</v>
      </c>
      <c r="P19" s="619"/>
      <c r="Q19" s="2350"/>
    </row>
    <row r="20" spans="1:17" s="1590" customFormat="1">
      <c r="A20" s="2427" t="str">
        <f t="shared" ca="1" si="8"/>
        <v>R5=10;R1=1;R2=0122;R4=;COM=</v>
      </c>
      <c r="B20" s="578" t="s">
        <v>5536</v>
      </c>
      <c r="C20" s="341" t="s">
        <v>7536</v>
      </c>
      <c r="D20" s="229"/>
      <c r="E20" s="1439"/>
      <c r="F20" s="590"/>
      <c r="G20" s="590"/>
      <c r="H20" s="590"/>
      <c r="I20" s="590"/>
      <c r="J20" s="590"/>
      <c r="K20" s="1439"/>
      <c r="L20" s="3730"/>
      <c r="M20" s="1439"/>
      <c r="N20" s="1439"/>
      <c r="O20" s="108">
        <f t="shared" si="1"/>
        <v>0</v>
      </c>
      <c r="P20" s="619"/>
      <c r="Q20" s="2350"/>
    </row>
    <row r="21" spans="1:17" s="1590" customFormat="1" ht="25">
      <c r="A21" s="2427" t="str">
        <f t="shared" ca="1" si="8"/>
        <v/>
      </c>
      <c r="B21" s="578" t="s">
        <v>5536</v>
      </c>
      <c r="C21" s="341" t="s">
        <v>7578</v>
      </c>
      <c r="D21" s="225">
        <f>D22+D25+D26</f>
        <v>0</v>
      </c>
      <c r="E21" s="225">
        <f t="shared" ref="E21:M21" si="10">E22+E25+E26</f>
        <v>0</v>
      </c>
      <c r="F21" s="225">
        <f t="shared" si="10"/>
        <v>0</v>
      </c>
      <c r="G21" s="225">
        <f t="shared" si="10"/>
        <v>0</v>
      </c>
      <c r="H21" s="225">
        <f t="shared" si="10"/>
        <v>0</v>
      </c>
      <c r="I21" s="225">
        <f t="shared" si="10"/>
        <v>0</v>
      </c>
      <c r="J21" s="225">
        <f t="shared" si="10"/>
        <v>0</v>
      </c>
      <c r="K21" s="225">
        <f t="shared" si="10"/>
        <v>0</v>
      </c>
      <c r="L21" s="3730"/>
      <c r="M21" s="225">
        <f t="shared" si="10"/>
        <v>0</v>
      </c>
      <c r="N21" s="225">
        <f t="shared" ref="N21" si="11">N22+N25+N26</f>
        <v>0</v>
      </c>
      <c r="O21" s="108">
        <f t="shared" si="1"/>
        <v>0</v>
      </c>
      <c r="P21" s="619"/>
      <c r="Q21" s="2350"/>
    </row>
    <row r="22" spans="1:17" s="1590" customFormat="1" ht="25">
      <c r="A22" s="2427" t="str">
        <f t="shared" ca="1" si="8"/>
        <v/>
      </c>
      <c r="B22" s="578" t="s">
        <v>5536</v>
      </c>
      <c r="C22" s="341" t="s">
        <v>7579</v>
      </c>
      <c r="D22" s="225">
        <f>D23+D24</f>
        <v>0</v>
      </c>
      <c r="E22" s="225">
        <f t="shared" ref="E22:K22" si="12">E23+E24</f>
        <v>0</v>
      </c>
      <c r="F22" s="225">
        <f t="shared" si="12"/>
        <v>0</v>
      </c>
      <c r="G22" s="225">
        <f t="shared" si="12"/>
        <v>0</v>
      </c>
      <c r="H22" s="225">
        <f t="shared" si="12"/>
        <v>0</v>
      </c>
      <c r="I22" s="225">
        <f t="shared" si="12"/>
        <v>0</v>
      </c>
      <c r="J22" s="225">
        <f t="shared" si="12"/>
        <v>0</v>
      </c>
      <c r="K22" s="225">
        <f t="shared" si="12"/>
        <v>0</v>
      </c>
      <c r="L22" s="3730"/>
      <c r="M22" s="225">
        <f>M23+M24</f>
        <v>0</v>
      </c>
      <c r="N22" s="225">
        <f>N23+N24</f>
        <v>0</v>
      </c>
      <c r="O22" s="108">
        <f t="shared" si="1"/>
        <v>0</v>
      </c>
      <c r="P22" s="619"/>
      <c r="Q22" s="2350"/>
    </row>
    <row r="23" spans="1:17" s="1590" customFormat="1" ht="25">
      <c r="A23" s="2427" t="str">
        <f t="shared" ca="1" si="8"/>
        <v>R5=10;R1=1;R2=0211;R4=;COM=</v>
      </c>
      <c r="B23" s="578" t="s">
        <v>5536</v>
      </c>
      <c r="C23" s="341" t="s">
        <v>7537</v>
      </c>
      <c r="D23" s="229"/>
      <c r="E23" s="590"/>
      <c r="F23" s="590"/>
      <c r="G23" s="590"/>
      <c r="H23" s="590"/>
      <c r="I23" s="590"/>
      <c r="J23" s="590"/>
      <c r="K23" s="590"/>
      <c r="L23" s="3730"/>
      <c r="M23" s="590"/>
      <c r="N23" s="590"/>
      <c r="O23" s="108">
        <f t="shared" si="1"/>
        <v>0</v>
      </c>
      <c r="P23" s="619"/>
      <c r="Q23" s="2350"/>
    </row>
    <row r="24" spans="1:17" s="1590" customFormat="1" ht="25">
      <c r="A24" s="2427" t="str">
        <f t="shared" ca="1" si="8"/>
        <v>R5=10;R1=1;R2=0212;R4=;COM=</v>
      </c>
      <c r="B24" s="578" t="s">
        <v>5536</v>
      </c>
      <c r="C24" s="341" t="s">
        <v>7538</v>
      </c>
      <c r="D24" s="592"/>
      <c r="E24" s="592"/>
      <c r="F24" s="592"/>
      <c r="G24" s="592"/>
      <c r="H24" s="592"/>
      <c r="I24" s="592"/>
      <c r="J24" s="592"/>
      <c r="K24" s="592"/>
      <c r="L24" s="3730"/>
      <c r="M24" s="592"/>
      <c r="N24" s="592"/>
      <c r="O24" s="108">
        <f t="shared" si="1"/>
        <v>0</v>
      </c>
      <c r="P24" s="619"/>
      <c r="Q24" s="2350"/>
    </row>
    <row r="25" spans="1:17" s="1590" customFormat="1" ht="25">
      <c r="A25" s="2427" t="str">
        <f t="shared" ca="1" si="8"/>
        <v>R5=10;R1=1;R2=0221;R4=;COM=</v>
      </c>
      <c r="B25" s="578" t="s">
        <v>5536</v>
      </c>
      <c r="C25" s="341" t="s">
        <v>7539</v>
      </c>
      <c r="D25" s="592"/>
      <c r="E25" s="592"/>
      <c r="F25" s="592"/>
      <c r="G25" s="592"/>
      <c r="H25" s="592"/>
      <c r="I25" s="592"/>
      <c r="J25" s="592"/>
      <c r="K25" s="592"/>
      <c r="L25" s="3730"/>
      <c r="M25" s="592"/>
      <c r="N25" s="592"/>
      <c r="O25" s="108">
        <f t="shared" si="1"/>
        <v>0</v>
      </c>
      <c r="P25" s="619"/>
      <c r="Q25" s="2350"/>
    </row>
    <row r="26" spans="1:17" s="1590" customFormat="1">
      <c r="A26" s="2427" t="str">
        <f t="shared" ca="1" si="8"/>
        <v>R5=10;R1=1;R2=0222;R4=;COM=</v>
      </c>
      <c r="B26" s="578" t="s">
        <v>5536</v>
      </c>
      <c r="C26" s="506" t="s">
        <v>7544</v>
      </c>
      <c r="D26" s="592"/>
      <c r="E26" s="592"/>
      <c r="F26" s="592"/>
      <c r="G26" s="592"/>
      <c r="H26" s="592"/>
      <c r="I26" s="592"/>
      <c r="J26" s="592"/>
      <c r="K26" s="592"/>
      <c r="L26" s="3730"/>
      <c r="M26" s="592"/>
      <c r="N26" s="592"/>
      <c r="O26" s="108">
        <f t="shared" si="1"/>
        <v>0</v>
      </c>
      <c r="P26" s="619"/>
      <c r="Q26" s="2350"/>
    </row>
    <row r="27" spans="1:17" s="1590" customFormat="1">
      <c r="A27" s="2427" t="str">
        <f t="shared" ca="1" si="8"/>
        <v>R5=10;R1=1;R2=0310;R4=;COM=</v>
      </c>
      <c r="B27" s="578" t="s">
        <v>5536</v>
      </c>
      <c r="C27" s="506" t="s">
        <v>7540</v>
      </c>
      <c r="D27" s="592"/>
      <c r="E27" s="592"/>
      <c r="F27" s="592"/>
      <c r="G27" s="592"/>
      <c r="H27" s="592"/>
      <c r="I27" s="592"/>
      <c r="J27" s="592"/>
      <c r="K27" s="592"/>
      <c r="L27" s="3730"/>
      <c r="M27" s="592"/>
      <c r="N27" s="592"/>
      <c r="O27" s="108">
        <f t="shared" si="1"/>
        <v>0</v>
      </c>
      <c r="P27" s="619"/>
      <c r="Q27" s="2350"/>
    </row>
    <row r="28" spans="1:17" s="1590" customFormat="1">
      <c r="A28" s="2427" t="str">
        <f t="shared" ca="1" si="8"/>
        <v>R5=10;R1=1;R2=0312;R4=;COM=</v>
      </c>
      <c r="B28" s="578" t="s">
        <v>5536</v>
      </c>
      <c r="C28" s="506" t="s">
        <v>7541</v>
      </c>
      <c r="D28" s="592"/>
      <c r="E28" s="592"/>
      <c r="F28" s="592"/>
      <c r="G28" s="592"/>
      <c r="H28" s="592"/>
      <c r="I28" s="592"/>
      <c r="J28" s="592"/>
      <c r="K28" s="592"/>
      <c r="L28" s="3730"/>
      <c r="M28" s="592"/>
      <c r="N28" s="592"/>
      <c r="O28" s="108">
        <f t="shared" si="1"/>
        <v>0</v>
      </c>
      <c r="P28" s="619"/>
      <c r="Q28" s="2350"/>
    </row>
    <row r="29" spans="1:17" s="1590" customFormat="1">
      <c r="A29" s="2427" t="str">
        <f t="shared" ca="1" si="8"/>
        <v>R5=10;R1=1;R2=0320;R4=;COM=</v>
      </c>
      <c r="B29" s="578" t="s">
        <v>5536</v>
      </c>
      <c r="C29" s="341" t="s">
        <v>7545</v>
      </c>
      <c r="D29" s="592"/>
      <c r="E29" s="592"/>
      <c r="F29" s="592"/>
      <c r="G29" s="592"/>
      <c r="H29" s="592"/>
      <c r="I29" s="592"/>
      <c r="J29" s="592"/>
      <c r="K29" s="592"/>
      <c r="L29" s="3730"/>
      <c r="M29" s="592"/>
      <c r="N29" s="592"/>
      <c r="O29" s="108">
        <f t="shared" si="1"/>
        <v>0</v>
      </c>
      <c r="P29" s="619"/>
      <c r="Q29" s="2350"/>
    </row>
    <row r="30" spans="1:17" s="1590" customFormat="1">
      <c r="A30" s="2427" t="str">
        <f t="shared" ca="1" si="8"/>
        <v>R5=10;R1=1;R2=0400;R4=;COM=</v>
      </c>
      <c r="B30" s="578" t="s">
        <v>5536</v>
      </c>
      <c r="C30" s="341" t="s">
        <v>7546</v>
      </c>
      <c r="D30" s="590"/>
      <c r="E30" s="590"/>
      <c r="F30" s="590"/>
      <c r="G30" s="590"/>
      <c r="H30" s="590"/>
      <c r="I30" s="590"/>
      <c r="J30" s="590"/>
      <c r="K30" s="590"/>
      <c r="L30" s="3730"/>
      <c r="M30" s="590"/>
      <c r="N30" s="590"/>
      <c r="O30" s="108">
        <f t="shared" si="1"/>
        <v>0</v>
      </c>
      <c r="P30" s="619"/>
      <c r="Q30" s="2350"/>
    </row>
    <row r="31" spans="1:17" s="1590" customFormat="1">
      <c r="A31" s="2427" t="str">
        <f t="shared" ca="1" si="8"/>
        <v>R5=10;R1=1;R2=0500;R4=;COM=</v>
      </c>
      <c r="B31" s="578" t="s">
        <v>5536</v>
      </c>
      <c r="C31" s="341" t="s">
        <v>7547</v>
      </c>
      <c r="D31" s="590"/>
      <c r="E31" s="1439"/>
      <c r="F31" s="590"/>
      <c r="G31" s="590"/>
      <c r="H31" s="590"/>
      <c r="I31" s="590"/>
      <c r="J31" s="590"/>
      <c r="K31" s="1439"/>
      <c r="L31" s="3730"/>
      <c r="M31" s="1439"/>
      <c r="N31" s="1439"/>
      <c r="O31" s="108">
        <f t="shared" si="1"/>
        <v>0</v>
      </c>
      <c r="P31" s="619"/>
      <c r="Q31" s="2350"/>
    </row>
    <row r="32" spans="1:17" s="1590" customFormat="1">
      <c r="A32" s="2427" t="str">
        <f t="shared" ca="1" si="8"/>
        <v>R5=10;R1=1;R2=0600;R4=;COM=</v>
      </c>
      <c r="B32" s="578" t="s">
        <v>5536</v>
      </c>
      <c r="C32" s="341" t="s">
        <v>7548</v>
      </c>
      <c r="D32" s="590"/>
      <c r="E32" s="1439"/>
      <c r="F32" s="590"/>
      <c r="G32" s="590"/>
      <c r="H32" s="590"/>
      <c r="I32" s="590"/>
      <c r="J32" s="590"/>
      <c r="K32" s="1439"/>
      <c r="L32" s="3730"/>
      <c r="M32" s="1439"/>
      <c r="N32" s="1439"/>
      <c r="O32" s="108">
        <f t="shared" si="1"/>
        <v>0</v>
      </c>
      <c r="P32" s="619"/>
      <c r="Q32" s="2350"/>
    </row>
    <row r="33" spans="1:17" s="1590" customFormat="1">
      <c r="A33" s="2427" t="str">
        <f t="shared" ca="1" si="8"/>
        <v>R5=10;R1=1;R2=0800;R4=;COM=</v>
      </c>
      <c r="B33" s="578" t="s">
        <v>5536</v>
      </c>
      <c r="C33" s="341" t="s">
        <v>7549</v>
      </c>
      <c r="D33" s="590"/>
      <c r="E33" s="590"/>
      <c r="F33" s="590"/>
      <c r="G33" s="590"/>
      <c r="H33" s="590"/>
      <c r="I33" s="590"/>
      <c r="J33" s="590"/>
      <c r="K33" s="1439"/>
      <c r="L33" s="3730"/>
      <c r="M33" s="1439"/>
      <c r="N33" s="1439"/>
      <c r="O33" s="108">
        <f t="shared" si="1"/>
        <v>0</v>
      </c>
      <c r="P33" s="619"/>
      <c r="Q33" s="2350"/>
    </row>
    <row r="34" spans="1:17" s="1590" customFormat="1">
      <c r="A34" s="2427" t="str">
        <f t="shared" ca="1" si="8"/>
        <v>R5=10;R1=1;R2=0900;R4=;COM=</v>
      </c>
      <c r="B34" s="578" t="s">
        <v>5536</v>
      </c>
      <c r="C34" s="341" t="s">
        <v>7550</v>
      </c>
      <c r="D34" s="590"/>
      <c r="E34" s="1439"/>
      <c r="F34" s="590"/>
      <c r="G34" s="590"/>
      <c r="H34" s="590"/>
      <c r="I34" s="590"/>
      <c r="J34" s="590"/>
      <c r="K34" s="1439"/>
      <c r="L34" s="3730"/>
      <c r="M34" s="1439"/>
      <c r="N34" s="1439"/>
      <c r="O34" s="108">
        <f t="shared" si="1"/>
        <v>0</v>
      </c>
      <c r="P34" s="619"/>
      <c r="Q34" s="2350"/>
    </row>
    <row r="35" spans="1:17" s="1590" customFormat="1">
      <c r="A35" s="2427" t="str">
        <f t="shared" ca="1" si="8"/>
        <v>R5=10;R1=1;R2=1000;R4=;COM=</v>
      </c>
      <c r="B35" s="578" t="s">
        <v>5536</v>
      </c>
      <c r="C35" s="341" t="s">
        <v>7551</v>
      </c>
      <c r="D35" s="590"/>
      <c r="E35" s="590"/>
      <c r="F35" s="590"/>
      <c r="G35" s="590"/>
      <c r="H35" s="590"/>
      <c r="I35" s="590"/>
      <c r="J35" s="590"/>
      <c r="K35" s="590"/>
      <c r="L35" s="3730"/>
      <c r="M35" s="590"/>
      <c r="N35" s="590"/>
      <c r="O35" s="108">
        <f t="shared" si="1"/>
        <v>0</v>
      </c>
      <c r="P35" s="619"/>
      <c r="Q35" s="2350"/>
    </row>
    <row r="36" spans="1:17" s="1590" customFormat="1">
      <c r="A36" s="2427" t="str">
        <f t="shared" ca="1" si="8"/>
        <v>R5=10;R1=1;R2=1100;R4=;COM=</v>
      </c>
      <c r="B36" s="578" t="s">
        <v>5536</v>
      </c>
      <c r="C36" s="341" t="s">
        <v>7552</v>
      </c>
      <c r="D36" s="590"/>
      <c r="E36" s="590"/>
      <c r="F36" s="590"/>
      <c r="G36" s="590"/>
      <c r="H36" s="590"/>
      <c r="I36" s="590"/>
      <c r="J36" s="590"/>
      <c r="K36" s="590"/>
      <c r="L36" s="3730"/>
      <c r="M36" s="590"/>
      <c r="N36" s="590"/>
      <c r="O36" s="108">
        <f t="shared" si="1"/>
        <v>0</v>
      </c>
      <c r="P36" s="619"/>
      <c r="Q36" s="2350"/>
    </row>
    <row r="37" spans="1:17" s="1590" customFormat="1">
      <c r="A37" s="2427" t="str">
        <f t="shared" ca="1" si="8"/>
        <v>R5=10;R1=1;R2=1200;R4=;COM=</v>
      </c>
      <c r="B37" s="578" t="s">
        <v>5536</v>
      </c>
      <c r="C37" s="341" t="s">
        <v>7553</v>
      </c>
      <c r="D37" s="590"/>
      <c r="E37" s="590"/>
      <c r="F37" s="590"/>
      <c r="G37" s="590"/>
      <c r="H37" s="590"/>
      <c r="I37" s="590"/>
      <c r="J37" s="590"/>
      <c r="K37" s="590"/>
      <c r="L37" s="3730"/>
      <c r="M37" s="590"/>
      <c r="N37" s="590"/>
      <c r="O37" s="108">
        <f t="shared" si="1"/>
        <v>0</v>
      </c>
      <c r="P37" s="619"/>
      <c r="Q37" s="2350"/>
    </row>
    <row r="38" spans="1:17" s="1590" customFormat="1">
      <c r="A38" s="2427" t="str">
        <f t="shared" ca="1" si="8"/>
        <v>R5=10;R1=1;R2=1400;R4=;COM=</v>
      </c>
      <c r="B38" s="578" t="s">
        <v>5536</v>
      </c>
      <c r="C38" s="341" t="s">
        <v>7554</v>
      </c>
      <c r="D38" s="590"/>
      <c r="E38" s="590"/>
      <c r="F38" s="590"/>
      <c r="G38" s="590"/>
      <c r="H38" s="590"/>
      <c r="I38" s="590"/>
      <c r="J38" s="590"/>
      <c r="K38" s="590"/>
      <c r="L38" s="3730"/>
      <c r="M38" s="590"/>
      <c r="N38" s="590"/>
      <c r="O38" s="108">
        <f t="shared" si="1"/>
        <v>0</v>
      </c>
      <c r="P38" s="619"/>
      <c r="Q38" s="2350"/>
    </row>
    <row r="39" spans="1:17" s="1590" customFormat="1" ht="25">
      <c r="A39" s="2427" t="str">
        <f t="shared" ca="1" si="8"/>
        <v>R5=10;R1=1;R2=1500;R4=;COM=</v>
      </c>
      <c r="B39" s="578"/>
      <c r="C39" s="341" t="s">
        <v>7555</v>
      </c>
      <c r="D39" s="590"/>
      <c r="E39" s="590"/>
      <c r="F39" s="590"/>
      <c r="G39" s="590"/>
      <c r="H39" s="590"/>
      <c r="I39" s="590"/>
      <c r="J39" s="590"/>
      <c r="K39" s="590"/>
      <c r="L39" s="3730"/>
      <c r="M39" s="590"/>
      <c r="N39" s="590"/>
      <c r="O39" s="108">
        <f t="shared" si="1"/>
        <v>0</v>
      </c>
      <c r="P39" s="619"/>
      <c r="Q39" s="2350"/>
    </row>
    <row r="40" spans="1:17" s="1590" customFormat="1">
      <c r="A40" s="2427" t="str">
        <f t="shared" ca="1" si="8"/>
        <v>R5=10;R1=1;R2=1600;R4=;COM=</v>
      </c>
      <c r="B40" s="578"/>
      <c r="C40" s="341" t="s">
        <v>14358</v>
      </c>
      <c r="D40" s="590"/>
      <c r="E40" s="590"/>
      <c r="F40" s="590"/>
      <c r="G40" s="590"/>
      <c r="H40" s="590"/>
      <c r="I40" s="590"/>
      <c r="J40" s="590"/>
      <c r="K40" s="590"/>
      <c r="L40" s="3730"/>
      <c r="M40" s="590"/>
      <c r="N40" s="590"/>
      <c r="O40" s="108">
        <f t="shared" si="1"/>
        <v>0</v>
      </c>
      <c r="P40" s="619"/>
      <c r="Q40" s="2350"/>
    </row>
    <row r="41" spans="1:17" s="1590" customFormat="1">
      <c r="A41" s="2427" t="str">
        <f t="shared" ca="1" si="8"/>
        <v/>
      </c>
      <c r="B41" s="578" t="s">
        <v>5536</v>
      </c>
      <c r="C41" s="339" t="s">
        <v>7587</v>
      </c>
      <c r="D41" s="108">
        <f>SUM(D42,D49,D55:D68)</f>
        <v>0</v>
      </c>
      <c r="E41" s="108">
        <f t="shared" ref="E41:K41" si="13">SUM(E42,E49,E55:E68)</f>
        <v>0</v>
      </c>
      <c r="F41" s="108">
        <f t="shared" si="13"/>
        <v>0</v>
      </c>
      <c r="G41" s="108">
        <f t="shared" si="13"/>
        <v>0</v>
      </c>
      <c r="H41" s="108">
        <f t="shared" si="13"/>
        <v>0</v>
      </c>
      <c r="I41" s="108">
        <f t="shared" si="13"/>
        <v>0</v>
      </c>
      <c r="J41" s="108">
        <f t="shared" si="13"/>
        <v>0</v>
      </c>
      <c r="K41" s="108">
        <f t="shared" si="13"/>
        <v>0</v>
      </c>
      <c r="L41" s="3730"/>
      <c r="M41" s="108">
        <f>SUM(M42,M49,M55:M68)</f>
        <v>0</v>
      </c>
      <c r="N41" s="108">
        <f>SUM(N42,N49,N55:N68)</f>
        <v>0</v>
      </c>
      <c r="O41" s="108">
        <f t="shared" si="1"/>
        <v>0</v>
      </c>
      <c r="P41" s="619"/>
      <c r="Q41" s="2350"/>
    </row>
    <row r="42" spans="1:17" s="1590" customFormat="1">
      <c r="A42" s="2427" t="str">
        <f t="shared" ca="1" si="8"/>
        <v/>
      </c>
      <c r="B42" s="578" t="s">
        <v>5536</v>
      </c>
      <c r="C42" s="341" t="s">
        <v>7580</v>
      </c>
      <c r="D42" s="225">
        <f t="shared" ref="D42:K42" si="14">D43+D46</f>
        <v>0</v>
      </c>
      <c r="E42" s="225">
        <f t="shared" si="14"/>
        <v>0</v>
      </c>
      <c r="F42" s="225">
        <f t="shared" si="14"/>
        <v>0</v>
      </c>
      <c r="G42" s="225">
        <f t="shared" si="14"/>
        <v>0</v>
      </c>
      <c r="H42" s="225">
        <f t="shared" si="14"/>
        <v>0</v>
      </c>
      <c r="I42" s="225">
        <f t="shared" si="14"/>
        <v>0</v>
      </c>
      <c r="J42" s="225">
        <f t="shared" si="14"/>
        <v>0</v>
      </c>
      <c r="K42" s="225">
        <f t="shared" si="14"/>
        <v>0</v>
      </c>
      <c r="L42" s="3730"/>
      <c r="M42" s="225">
        <f>M43+M46</f>
        <v>0</v>
      </c>
      <c r="N42" s="225">
        <f>N43+N46</f>
        <v>0</v>
      </c>
      <c r="O42" s="108">
        <f t="shared" si="1"/>
        <v>0</v>
      </c>
      <c r="P42" s="619"/>
      <c r="Q42" s="2350"/>
    </row>
    <row r="43" spans="1:17" s="1590" customFormat="1">
      <c r="A43" s="2427" t="str">
        <f t="shared" ca="1" si="8"/>
        <v/>
      </c>
      <c r="B43" s="578" t="s">
        <v>5536</v>
      </c>
      <c r="C43" s="341" t="s">
        <v>7581</v>
      </c>
      <c r="D43" s="225">
        <f>D44+D45</f>
        <v>0</v>
      </c>
      <c r="E43" s="225">
        <f t="shared" ref="E43:M43" si="15">E44+E45</f>
        <v>0</v>
      </c>
      <c r="F43" s="225">
        <f t="shared" si="15"/>
        <v>0</v>
      </c>
      <c r="G43" s="225">
        <f t="shared" si="15"/>
        <v>0</v>
      </c>
      <c r="H43" s="225">
        <f>H44+H45</f>
        <v>0</v>
      </c>
      <c r="I43" s="225">
        <f t="shared" si="15"/>
        <v>0</v>
      </c>
      <c r="J43" s="225">
        <f>J44+J45</f>
        <v>0</v>
      </c>
      <c r="K43" s="225">
        <f t="shared" si="15"/>
        <v>0</v>
      </c>
      <c r="L43" s="3730"/>
      <c r="M43" s="225">
        <f t="shared" si="15"/>
        <v>0</v>
      </c>
      <c r="N43" s="225">
        <f t="shared" ref="N43" si="16">N44+N45</f>
        <v>0</v>
      </c>
      <c r="O43" s="108">
        <f t="shared" si="1"/>
        <v>0</v>
      </c>
      <c r="P43" s="619"/>
      <c r="Q43" s="2350"/>
    </row>
    <row r="44" spans="1:17" s="1590" customFormat="1">
      <c r="A44" s="2427" t="str">
        <f t="shared" ca="1" si="8"/>
        <v>R5=10;R1=2;R2=0111;R4=;COM=</v>
      </c>
      <c r="B44" s="578" t="s">
        <v>5536</v>
      </c>
      <c r="C44" s="341" t="s">
        <v>7556</v>
      </c>
      <c r="D44" s="229"/>
      <c r="E44" s="590"/>
      <c r="F44" s="590"/>
      <c r="G44" s="590"/>
      <c r="H44" s="590"/>
      <c r="I44" s="590"/>
      <c r="J44" s="590"/>
      <c r="K44" s="590"/>
      <c r="L44" s="3730"/>
      <c r="M44" s="590"/>
      <c r="N44" s="590"/>
      <c r="O44" s="108">
        <f t="shared" si="1"/>
        <v>0</v>
      </c>
      <c r="P44" s="619"/>
      <c r="Q44" s="2350"/>
    </row>
    <row r="45" spans="1:17" s="1590" customFormat="1">
      <c r="A45" s="2427" t="str">
        <f t="shared" ca="1" si="8"/>
        <v>R5=10;R1=2;R2=0112;R4=;COM=</v>
      </c>
      <c r="B45" s="578" t="s">
        <v>5536</v>
      </c>
      <c r="C45" s="341" t="s">
        <v>7557</v>
      </c>
      <c r="D45" s="229"/>
      <c r="E45" s="229"/>
      <c r="F45" s="229"/>
      <c r="G45" s="229"/>
      <c r="H45" s="229"/>
      <c r="I45" s="229"/>
      <c r="J45" s="229"/>
      <c r="K45" s="229"/>
      <c r="L45" s="3730"/>
      <c r="M45" s="229"/>
      <c r="N45" s="229"/>
      <c r="O45" s="108">
        <f t="shared" si="1"/>
        <v>0</v>
      </c>
      <c r="P45" s="619"/>
      <c r="Q45" s="2350"/>
    </row>
    <row r="46" spans="1:17" s="1590" customFormat="1">
      <c r="A46" s="2427" t="str">
        <f t="shared" ca="1" si="8"/>
        <v/>
      </c>
      <c r="B46" s="578" t="s">
        <v>5536</v>
      </c>
      <c r="C46" s="341" t="s">
        <v>7582</v>
      </c>
      <c r="D46" s="225">
        <f t="shared" ref="D46:N46" si="17">D47+D48</f>
        <v>0</v>
      </c>
      <c r="E46" s="225">
        <f t="shared" si="17"/>
        <v>0</v>
      </c>
      <c r="F46" s="225">
        <f t="shared" si="17"/>
        <v>0</v>
      </c>
      <c r="G46" s="225">
        <f t="shared" si="17"/>
        <v>0</v>
      </c>
      <c r="H46" s="225">
        <f>H47+H48</f>
        <v>0</v>
      </c>
      <c r="I46" s="225">
        <f t="shared" si="17"/>
        <v>0</v>
      </c>
      <c r="J46" s="225">
        <f t="shared" si="17"/>
        <v>0</v>
      </c>
      <c r="K46" s="225">
        <f t="shared" si="17"/>
        <v>0</v>
      </c>
      <c r="L46" s="3730"/>
      <c r="M46" s="225">
        <f t="shared" si="17"/>
        <v>0</v>
      </c>
      <c r="N46" s="225">
        <f t="shared" si="17"/>
        <v>0</v>
      </c>
      <c r="O46" s="108">
        <f t="shared" si="1"/>
        <v>0</v>
      </c>
      <c r="P46" s="619"/>
      <c r="Q46" s="2350"/>
    </row>
    <row r="47" spans="1:17" s="1590" customFormat="1">
      <c r="A47" s="2427" t="str">
        <f t="shared" ca="1" si="8"/>
        <v>R5=10;R1=2;R2=0121;R4=;COM=</v>
      </c>
      <c r="B47" s="578" t="s">
        <v>5536</v>
      </c>
      <c r="C47" s="341" t="s">
        <v>7558</v>
      </c>
      <c r="D47" s="229"/>
      <c r="E47" s="590"/>
      <c r="F47" s="590"/>
      <c r="G47" s="590"/>
      <c r="H47" s="590"/>
      <c r="I47" s="590"/>
      <c r="J47" s="590"/>
      <c r="K47" s="590"/>
      <c r="L47" s="3730"/>
      <c r="M47" s="590"/>
      <c r="N47" s="590"/>
      <c r="O47" s="108">
        <f t="shared" si="1"/>
        <v>0</v>
      </c>
      <c r="P47" s="619"/>
      <c r="Q47" s="2350"/>
    </row>
    <row r="48" spans="1:17" s="1590" customFormat="1">
      <c r="A48" s="2427" t="str">
        <f t="shared" ca="1" si="8"/>
        <v>R5=10;R1=2;R2=0122;R4=;COM=</v>
      </c>
      <c r="B48" s="578" t="s">
        <v>5536</v>
      </c>
      <c r="C48" s="341" t="s">
        <v>7559</v>
      </c>
      <c r="D48" s="229"/>
      <c r="E48" s="590"/>
      <c r="F48" s="590"/>
      <c r="G48" s="590"/>
      <c r="H48" s="590"/>
      <c r="I48" s="590"/>
      <c r="J48" s="590"/>
      <c r="K48" s="590"/>
      <c r="L48" s="3730"/>
      <c r="M48" s="590"/>
      <c r="N48" s="590"/>
      <c r="O48" s="108">
        <f t="shared" si="1"/>
        <v>0</v>
      </c>
      <c r="P48" s="619"/>
      <c r="Q48" s="2350"/>
    </row>
    <row r="49" spans="1:17" s="1590" customFormat="1" ht="25">
      <c r="A49" s="2427" t="str">
        <f t="shared" ca="1" si="8"/>
        <v/>
      </c>
      <c r="B49" s="578" t="s">
        <v>5536</v>
      </c>
      <c r="C49" s="341" t="s">
        <v>7583</v>
      </c>
      <c r="D49" s="225">
        <f>D50+D53+D54</f>
        <v>0</v>
      </c>
      <c r="E49" s="225">
        <f t="shared" ref="E49:K49" si="18">E50+E53+E54</f>
        <v>0</v>
      </c>
      <c r="F49" s="225">
        <f t="shared" si="18"/>
        <v>0</v>
      </c>
      <c r="G49" s="225">
        <f t="shared" si="18"/>
        <v>0</v>
      </c>
      <c r="H49" s="225">
        <f t="shared" si="18"/>
        <v>0</v>
      </c>
      <c r="I49" s="225">
        <f t="shared" si="18"/>
        <v>0</v>
      </c>
      <c r="J49" s="225">
        <f t="shared" si="18"/>
        <v>0</v>
      </c>
      <c r="K49" s="225">
        <f t="shared" si="18"/>
        <v>0</v>
      </c>
      <c r="L49" s="3730"/>
      <c r="M49" s="225">
        <f>M50+M53+M54</f>
        <v>0</v>
      </c>
      <c r="N49" s="225">
        <f>N50+N53+N54</f>
        <v>0</v>
      </c>
      <c r="O49" s="108">
        <f t="shared" si="1"/>
        <v>0</v>
      </c>
      <c r="P49" s="619"/>
      <c r="Q49" s="2350"/>
    </row>
    <row r="50" spans="1:17" s="1590" customFormat="1" ht="25">
      <c r="A50" s="2427" t="str">
        <f t="shared" ca="1" si="8"/>
        <v/>
      </c>
      <c r="B50" s="578" t="s">
        <v>5536</v>
      </c>
      <c r="C50" s="341" t="s">
        <v>7584</v>
      </c>
      <c r="D50" s="225">
        <f t="shared" ref="D50:K50" si="19">D51+D52</f>
        <v>0</v>
      </c>
      <c r="E50" s="225">
        <f t="shared" si="19"/>
        <v>0</v>
      </c>
      <c r="F50" s="225">
        <f t="shared" si="19"/>
        <v>0</v>
      </c>
      <c r="G50" s="225">
        <f t="shared" si="19"/>
        <v>0</v>
      </c>
      <c r="H50" s="225">
        <f t="shared" si="19"/>
        <v>0</v>
      </c>
      <c r="I50" s="225">
        <f t="shared" si="19"/>
        <v>0</v>
      </c>
      <c r="J50" s="225">
        <f t="shared" si="19"/>
        <v>0</v>
      </c>
      <c r="K50" s="225">
        <f t="shared" si="19"/>
        <v>0</v>
      </c>
      <c r="L50" s="3730"/>
      <c r="M50" s="225">
        <f>M51+M52</f>
        <v>0</v>
      </c>
      <c r="N50" s="225">
        <f>N51+N52</f>
        <v>0</v>
      </c>
      <c r="O50" s="108">
        <f t="shared" si="1"/>
        <v>0</v>
      </c>
      <c r="P50" s="619"/>
      <c r="Q50" s="2350"/>
    </row>
    <row r="51" spans="1:17" s="1590" customFormat="1" ht="25">
      <c r="A51" s="2427" t="str">
        <f t="shared" ca="1" si="8"/>
        <v>R5=10;R1=2;R2=0211;R4=;COM=</v>
      </c>
      <c r="B51" s="578" t="s">
        <v>5536</v>
      </c>
      <c r="C51" s="341" t="s">
        <v>7560</v>
      </c>
      <c r="D51" s="229"/>
      <c r="E51" s="590"/>
      <c r="F51" s="590"/>
      <c r="G51" s="590"/>
      <c r="H51" s="590"/>
      <c r="I51" s="590"/>
      <c r="J51" s="590"/>
      <c r="K51" s="590"/>
      <c r="L51" s="3730"/>
      <c r="M51" s="590"/>
      <c r="N51" s="590"/>
      <c r="O51" s="108">
        <f t="shared" si="1"/>
        <v>0</v>
      </c>
      <c r="P51" s="619"/>
      <c r="Q51" s="2350"/>
    </row>
    <row r="52" spans="1:17" s="1590" customFormat="1" ht="25">
      <c r="A52" s="2427" t="str">
        <f t="shared" ca="1" si="8"/>
        <v>R5=10;R1=2;R2=0212;R4=;COM=</v>
      </c>
      <c r="B52" s="578" t="s">
        <v>5536</v>
      </c>
      <c r="C52" s="341" t="s">
        <v>7561</v>
      </c>
      <c r="D52" s="592"/>
      <c r="E52" s="592"/>
      <c r="F52" s="592"/>
      <c r="G52" s="592"/>
      <c r="H52" s="592"/>
      <c r="I52" s="592"/>
      <c r="J52" s="592"/>
      <c r="K52" s="592"/>
      <c r="L52" s="3730"/>
      <c r="M52" s="592"/>
      <c r="N52" s="592"/>
      <c r="O52" s="108">
        <f t="shared" si="1"/>
        <v>0</v>
      </c>
      <c r="P52" s="619"/>
      <c r="Q52" s="2350"/>
    </row>
    <row r="53" spans="1:17" s="1590" customFormat="1" ht="25">
      <c r="A53" s="2427" t="str">
        <f t="shared" ca="1" si="8"/>
        <v>R5=10;R1=2;R2=0221;R4=;COM=</v>
      </c>
      <c r="B53" s="578" t="s">
        <v>5536</v>
      </c>
      <c r="C53" s="341" t="s">
        <v>7562</v>
      </c>
      <c r="D53" s="590"/>
      <c r="E53" s="590"/>
      <c r="F53" s="590"/>
      <c r="G53" s="590"/>
      <c r="H53" s="590"/>
      <c r="I53" s="590"/>
      <c r="J53" s="590"/>
      <c r="K53" s="590"/>
      <c r="L53" s="3730"/>
      <c r="M53" s="592"/>
      <c r="N53" s="592"/>
      <c r="O53" s="108">
        <f t="shared" si="1"/>
        <v>0</v>
      </c>
      <c r="P53" s="619"/>
      <c r="Q53" s="2350"/>
    </row>
    <row r="54" spans="1:17" s="1590" customFormat="1">
      <c r="A54" s="2427" t="str">
        <f t="shared" ca="1" si="8"/>
        <v>R5=10;R1=2;R2=0222;R4=;COM=</v>
      </c>
      <c r="B54" s="578" t="s">
        <v>5536</v>
      </c>
      <c r="C54" s="506" t="s">
        <v>7563</v>
      </c>
      <c r="D54" s="590"/>
      <c r="E54" s="590"/>
      <c r="F54" s="590"/>
      <c r="G54" s="590"/>
      <c r="H54" s="590"/>
      <c r="I54" s="590"/>
      <c r="J54" s="590"/>
      <c r="K54" s="590"/>
      <c r="L54" s="3730"/>
      <c r="M54" s="592"/>
      <c r="N54" s="592"/>
      <c r="O54" s="108">
        <f t="shared" si="1"/>
        <v>0</v>
      </c>
      <c r="P54" s="619"/>
      <c r="Q54" s="2350"/>
    </row>
    <row r="55" spans="1:17" s="1590" customFormat="1">
      <c r="A55" s="2427" t="str">
        <f t="shared" ca="1" si="8"/>
        <v>R5=10;R1=2;R2=0310;R4=;COM=</v>
      </c>
      <c r="B55" s="578" t="s">
        <v>5536</v>
      </c>
      <c r="C55" s="506" t="s">
        <v>7542</v>
      </c>
      <c r="D55" s="592"/>
      <c r="E55" s="592"/>
      <c r="F55" s="592"/>
      <c r="G55" s="592"/>
      <c r="H55" s="592"/>
      <c r="I55" s="592"/>
      <c r="J55" s="592"/>
      <c r="K55" s="592"/>
      <c r="L55" s="3730"/>
      <c r="M55" s="592"/>
      <c r="N55" s="592"/>
      <c r="O55" s="108">
        <f t="shared" si="1"/>
        <v>0</v>
      </c>
      <c r="P55" s="619"/>
      <c r="Q55" s="2350"/>
    </row>
    <row r="56" spans="1:17" s="1590" customFormat="1">
      <c r="A56" s="2427" t="str">
        <f t="shared" ca="1" si="8"/>
        <v>R5=10;R1=2;R2=0312;R4=;COM=</v>
      </c>
      <c r="B56" s="578" t="s">
        <v>5536</v>
      </c>
      <c r="C56" s="506" t="s">
        <v>7543</v>
      </c>
      <c r="D56" s="592"/>
      <c r="E56" s="592"/>
      <c r="F56" s="592"/>
      <c r="G56" s="592"/>
      <c r="H56" s="592"/>
      <c r="I56" s="592"/>
      <c r="J56" s="592"/>
      <c r="K56" s="592"/>
      <c r="L56" s="3730"/>
      <c r="M56" s="592"/>
      <c r="N56" s="592"/>
      <c r="O56" s="108">
        <f t="shared" si="1"/>
        <v>0</v>
      </c>
      <c r="P56" s="619"/>
      <c r="Q56" s="2350"/>
    </row>
    <row r="57" spans="1:17" s="1590" customFormat="1">
      <c r="A57" s="2427" t="str">
        <f t="shared" ca="1" si="8"/>
        <v>R5=10;R1=2;R2=0320;R4=;COM=</v>
      </c>
      <c r="B57" s="578" t="s">
        <v>5536</v>
      </c>
      <c r="C57" s="341" t="s">
        <v>7564</v>
      </c>
      <c r="D57" s="590"/>
      <c r="E57" s="590"/>
      <c r="F57" s="590"/>
      <c r="G57" s="590"/>
      <c r="H57" s="590"/>
      <c r="I57" s="590"/>
      <c r="J57" s="590"/>
      <c r="K57" s="590"/>
      <c r="L57" s="3730"/>
      <c r="M57" s="590"/>
      <c r="N57" s="590"/>
      <c r="O57" s="108">
        <f t="shared" si="1"/>
        <v>0</v>
      </c>
      <c r="P57" s="619"/>
      <c r="Q57" s="2350"/>
    </row>
    <row r="58" spans="1:17" s="1590" customFormat="1">
      <c r="A58" s="2427" t="str">
        <f t="shared" ca="1" si="8"/>
        <v>R5=10;R1=2;R2=0400;R4=;COM=</v>
      </c>
      <c r="B58" s="578" t="s">
        <v>5536</v>
      </c>
      <c r="C58" s="341" t="s">
        <v>7565</v>
      </c>
      <c r="D58" s="590"/>
      <c r="E58" s="590"/>
      <c r="F58" s="590"/>
      <c r="G58" s="590"/>
      <c r="H58" s="590"/>
      <c r="I58" s="590"/>
      <c r="J58" s="590"/>
      <c r="K58" s="590"/>
      <c r="L58" s="3730"/>
      <c r="M58" s="590"/>
      <c r="N58" s="590"/>
      <c r="O58" s="108">
        <f t="shared" si="1"/>
        <v>0</v>
      </c>
      <c r="P58" s="619"/>
      <c r="Q58" s="2350"/>
    </row>
    <row r="59" spans="1:17" s="1590" customFormat="1">
      <c r="A59" s="2427" t="str">
        <f t="shared" ca="1" si="8"/>
        <v>R5=10;R1=2;R2=0500;R4=;COM=</v>
      </c>
      <c r="B59" s="578" t="s">
        <v>5536</v>
      </c>
      <c r="C59" s="341" t="s">
        <v>7566</v>
      </c>
      <c r="D59" s="590"/>
      <c r="E59" s="590"/>
      <c r="F59" s="590"/>
      <c r="G59" s="590"/>
      <c r="H59" s="590"/>
      <c r="I59" s="590"/>
      <c r="J59" s="590"/>
      <c r="K59" s="590"/>
      <c r="L59" s="3730"/>
      <c r="M59" s="590"/>
      <c r="N59" s="590"/>
      <c r="O59" s="108">
        <f t="shared" si="1"/>
        <v>0</v>
      </c>
      <c r="P59" s="619"/>
      <c r="Q59" s="2350"/>
    </row>
    <row r="60" spans="1:17" s="1590" customFormat="1">
      <c r="A60" s="2427" t="str">
        <f t="shared" ca="1" si="8"/>
        <v>R5=10;R1=2;R2=0600;R4=;COM=</v>
      </c>
      <c r="B60" s="578" t="s">
        <v>5536</v>
      </c>
      <c r="C60" s="341" t="s">
        <v>7567</v>
      </c>
      <c r="D60" s="590"/>
      <c r="E60" s="590"/>
      <c r="F60" s="590"/>
      <c r="G60" s="590"/>
      <c r="H60" s="590"/>
      <c r="I60" s="590"/>
      <c r="J60" s="590"/>
      <c r="K60" s="590"/>
      <c r="L60" s="3730"/>
      <c r="M60" s="590"/>
      <c r="N60" s="590"/>
      <c r="O60" s="108">
        <f t="shared" si="1"/>
        <v>0</v>
      </c>
      <c r="P60" s="619"/>
      <c r="Q60" s="2350"/>
    </row>
    <row r="61" spans="1:17" s="1590" customFormat="1">
      <c r="A61" s="2427" t="str">
        <f t="shared" ca="1" si="8"/>
        <v>R5=10;R1=2;R2=0800;R4=;COM=</v>
      </c>
      <c r="B61" s="578" t="s">
        <v>5536</v>
      </c>
      <c r="C61" s="341" t="s">
        <v>7568</v>
      </c>
      <c r="D61" s="590"/>
      <c r="E61" s="590"/>
      <c r="F61" s="590"/>
      <c r="G61" s="590"/>
      <c r="H61" s="590"/>
      <c r="I61" s="590"/>
      <c r="J61" s="590"/>
      <c r="K61" s="590"/>
      <c r="L61" s="3730"/>
      <c r="M61" s="590"/>
      <c r="N61" s="590"/>
      <c r="O61" s="108">
        <f t="shared" si="1"/>
        <v>0</v>
      </c>
      <c r="P61" s="619"/>
      <c r="Q61" s="2350"/>
    </row>
    <row r="62" spans="1:17" s="1590" customFormat="1">
      <c r="A62" s="2427" t="str">
        <f t="shared" ca="1" si="8"/>
        <v>R5=10;R1=2;R2=0900;R4=;COM=</v>
      </c>
      <c r="B62" s="578" t="s">
        <v>5536</v>
      </c>
      <c r="C62" s="341" t="s">
        <v>7569</v>
      </c>
      <c r="D62" s="590"/>
      <c r="E62" s="590"/>
      <c r="F62" s="590"/>
      <c r="G62" s="590"/>
      <c r="H62" s="590"/>
      <c r="I62" s="590"/>
      <c r="J62" s="590"/>
      <c r="K62" s="590"/>
      <c r="L62" s="3730"/>
      <c r="M62" s="590"/>
      <c r="N62" s="590"/>
      <c r="O62" s="108">
        <f t="shared" si="1"/>
        <v>0</v>
      </c>
      <c r="P62" s="619"/>
      <c r="Q62" s="2350"/>
    </row>
    <row r="63" spans="1:17" s="1590" customFormat="1" ht="25">
      <c r="A63" s="2427" t="str">
        <f t="shared" ca="1" si="8"/>
        <v>R5=10;R1=2;R2=1000;R4=;COM=</v>
      </c>
      <c r="B63" s="578" t="s">
        <v>5536</v>
      </c>
      <c r="C63" s="341" t="s">
        <v>7570</v>
      </c>
      <c r="D63" s="590"/>
      <c r="E63" s="590"/>
      <c r="F63" s="590"/>
      <c r="G63" s="590"/>
      <c r="H63" s="590"/>
      <c r="I63" s="590"/>
      <c r="J63" s="590"/>
      <c r="K63" s="590"/>
      <c r="L63" s="3730"/>
      <c r="M63" s="590"/>
      <c r="N63" s="590"/>
      <c r="O63" s="108">
        <f t="shared" si="1"/>
        <v>0</v>
      </c>
      <c r="P63" s="619"/>
      <c r="Q63" s="2350"/>
    </row>
    <row r="64" spans="1:17" s="1590" customFormat="1" ht="25">
      <c r="A64" s="2427" t="str">
        <f t="shared" ca="1" si="8"/>
        <v>R5=10;R1=2;R2=1100;R4=;COM=</v>
      </c>
      <c r="B64" s="578" t="s">
        <v>5536</v>
      </c>
      <c r="C64" s="341" t="s">
        <v>7571</v>
      </c>
      <c r="D64" s="590"/>
      <c r="E64" s="590"/>
      <c r="F64" s="590"/>
      <c r="G64" s="590"/>
      <c r="H64" s="590"/>
      <c r="I64" s="590"/>
      <c r="J64" s="590"/>
      <c r="K64" s="590"/>
      <c r="L64" s="3730"/>
      <c r="M64" s="590"/>
      <c r="N64" s="590"/>
      <c r="O64" s="108">
        <f t="shared" si="1"/>
        <v>0</v>
      </c>
      <c r="P64" s="619"/>
      <c r="Q64" s="2350"/>
    </row>
    <row r="65" spans="1:17" s="1590" customFormat="1" ht="25">
      <c r="A65" s="2427" t="str">
        <f t="shared" ca="1" si="8"/>
        <v>R5=10;R1=2;R2=1200;R4=;COM=</v>
      </c>
      <c r="B65" s="578" t="s">
        <v>5536</v>
      </c>
      <c r="C65" s="341" t="s">
        <v>7572</v>
      </c>
      <c r="D65" s="590"/>
      <c r="E65" s="590"/>
      <c r="F65" s="590"/>
      <c r="G65" s="590"/>
      <c r="H65" s="590"/>
      <c r="I65" s="590"/>
      <c r="J65" s="590"/>
      <c r="K65" s="590"/>
      <c r="L65" s="3730"/>
      <c r="M65" s="590"/>
      <c r="N65" s="590"/>
      <c r="O65" s="108">
        <f t="shared" si="1"/>
        <v>0</v>
      </c>
      <c r="P65" s="619"/>
      <c r="Q65" s="2350"/>
    </row>
    <row r="66" spans="1:17" s="1590" customFormat="1">
      <c r="A66" s="2427" t="str">
        <f t="shared" ca="1" si="8"/>
        <v>R5=10;R1=2;R2=1400;R4=;COM=</v>
      </c>
      <c r="B66" s="578" t="s">
        <v>5536</v>
      </c>
      <c r="C66" s="341" t="s">
        <v>7573</v>
      </c>
      <c r="D66" s="590"/>
      <c r="E66" s="590"/>
      <c r="F66" s="590"/>
      <c r="G66" s="590"/>
      <c r="H66" s="590"/>
      <c r="I66" s="590"/>
      <c r="J66" s="590"/>
      <c r="K66" s="590"/>
      <c r="L66" s="3730"/>
      <c r="M66" s="590"/>
      <c r="N66" s="590"/>
      <c r="O66" s="108">
        <f t="shared" si="1"/>
        <v>0</v>
      </c>
      <c r="P66" s="619"/>
      <c r="Q66" s="2350"/>
    </row>
    <row r="67" spans="1:17" s="1590" customFormat="1" ht="25">
      <c r="A67" s="2427" t="str">
        <f t="shared" ca="1" si="8"/>
        <v>R5=10;R1=2;R2=1500;R4=;COM=</v>
      </c>
      <c r="B67" s="578"/>
      <c r="C67" s="341" t="s">
        <v>7574</v>
      </c>
      <c r="D67" s="590"/>
      <c r="E67" s="590"/>
      <c r="F67" s="590"/>
      <c r="G67" s="590"/>
      <c r="H67" s="590"/>
      <c r="I67" s="590"/>
      <c r="J67" s="590"/>
      <c r="K67" s="590"/>
      <c r="L67" s="3730"/>
      <c r="M67" s="590"/>
      <c r="N67" s="590"/>
      <c r="O67" s="108">
        <f t="shared" si="1"/>
        <v>0</v>
      </c>
      <c r="P67" s="619"/>
      <c r="Q67" s="2350"/>
    </row>
    <row r="68" spans="1:17" s="1590" customFormat="1">
      <c r="A68" s="2427" t="str">
        <f t="shared" ca="1" si="8"/>
        <v>R5=10;R1=2;R2=1600;R4=;COM=</v>
      </c>
      <c r="B68" s="578"/>
      <c r="C68" s="341" t="s">
        <v>14359</v>
      </c>
      <c r="D68" s="590"/>
      <c r="E68" s="590"/>
      <c r="F68" s="590"/>
      <c r="G68" s="590"/>
      <c r="H68" s="590"/>
      <c r="I68" s="590"/>
      <c r="J68" s="590"/>
      <c r="K68" s="590"/>
      <c r="L68" s="3731"/>
      <c r="M68" s="590"/>
      <c r="N68" s="590"/>
      <c r="O68" s="108">
        <f t="shared" si="1"/>
        <v>0</v>
      </c>
      <c r="P68" s="619"/>
      <c r="Q68" s="2350"/>
    </row>
    <row r="69" spans="1:17" s="1590" customFormat="1">
      <c r="A69" s="2427"/>
      <c r="B69" s="10"/>
      <c r="C69" s="227" t="s">
        <v>4274</v>
      </c>
      <c r="D69" s="108">
        <f>SUM(D70:D6522)</f>
        <v>0</v>
      </c>
      <c r="E69" s="108">
        <f t="shared" ref="E69:O69" si="20">SUM(E70:E6522)</f>
        <v>0</v>
      </c>
      <c r="F69" s="108">
        <f t="shared" si="20"/>
        <v>0</v>
      </c>
      <c r="G69" s="108">
        <f t="shared" si="20"/>
        <v>0</v>
      </c>
      <c r="H69" s="108">
        <f t="shared" si="20"/>
        <v>0</v>
      </c>
      <c r="I69" s="108">
        <f t="shared" si="20"/>
        <v>0</v>
      </c>
      <c r="J69" s="108">
        <f t="shared" si="20"/>
        <v>0</v>
      </c>
      <c r="K69" s="108">
        <f t="shared" si="20"/>
        <v>0</v>
      </c>
      <c r="L69" s="108">
        <f t="shared" si="20"/>
        <v>0</v>
      </c>
      <c r="M69" s="108">
        <f t="shared" si="20"/>
        <v>0</v>
      </c>
      <c r="N69" s="108">
        <f t="shared" si="20"/>
        <v>0</v>
      </c>
      <c r="O69" s="108">
        <f t="shared" si="20"/>
        <v>0</v>
      </c>
      <c r="P69" s="619"/>
      <c r="Q69" s="2350"/>
    </row>
    <row r="70" spans="1:17" s="1590" customFormat="1">
      <c r="A70" s="2427" t="str">
        <f t="shared" ref="A70:A84" si="21">"R5=41;R6="&amp;IFERROR(MID(C70,FIND("{",C70)+1,FIND("}",C70)-FIND("{",C70)-1),"")&amp;";COM="&amp;P70</f>
        <v>R5=41;R6=;COM=</v>
      </c>
      <c r="B70" s="10"/>
      <c r="C70" s="1440"/>
      <c r="D70" s="590"/>
      <c r="E70" s="1439"/>
      <c r="F70" s="590"/>
      <c r="G70" s="590"/>
      <c r="H70" s="590"/>
      <c r="I70" s="590"/>
      <c r="J70" s="590"/>
      <c r="K70" s="590"/>
      <c r="L70" s="1439"/>
      <c r="M70" s="590"/>
      <c r="N70" s="590"/>
      <c r="O70" s="108">
        <f t="shared" si="1"/>
        <v>0</v>
      </c>
      <c r="P70" s="619"/>
      <c r="Q70" s="2350"/>
    </row>
    <row r="71" spans="1:17" s="1590" customFormat="1">
      <c r="A71" s="2427" t="str">
        <f t="shared" si="21"/>
        <v>R5=41;R6=;COM=</v>
      </c>
      <c r="B71" s="10"/>
      <c r="C71" s="1440"/>
      <c r="D71" s="590"/>
      <c r="E71" s="1439"/>
      <c r="F71" s="590"/>
      <c r="G71" s="590"/>
      <c r="H71" s="590"/>
      <c r="I71" s="590"/>
      <c r="J71" s="590"/>
      <c r="K71" s="590"/>
      <c r="L71" s="1439"/>
      <c r="M71" s="590"/>
      <c r="N71" s="590"/>
      <c r="O71" s="108">
        <f t="shared" si="1"/>
        <v>0</v>
      </c>
      <c r="P71" s="619"/>
    </row>
    <row r="72" spans="1:17" s="1590" customFormat="1">
      <c r="A72" s="2427" t="str">
        <f t="shared" si="21"/>
        <v>R5=41;R6=;COM=</v>
      </c>
      <c r="B72" s="10"/>
      <c r="C72" s="1440"/>
      <c r="D72" s="590"/>
      <c r="E72" s="1439"/>
      <c r="F72" s="590"/>
      <c r="G72" s="590"/>
      <c r="H72" s="590"/>
      <c r="I72" s="590"/>
      <c r="J72" s="590"/>
      <c r="K72" s="590"/>
      <c r="L72" s="1439"/>
      <c r="M72" s="590"/>
      <c r="N72" s="590"/>
      <c r="O72" s="108">
        <f t="shared" si="1"/>
        <v>0</v>
      </c>
      <c r="P72" s="619"/>
    </row>
    <row r="73" spans="1:17" s="1590" customFormat="1">
      <c r="A73" s="2427" t="str">
        <f t="shared" si="21"/>
        <v>R5=41;R6=;COM=</v>
      </c>
      <c r="B73" s="10"/>
      <c r="C73" s="1440"/>
      <c r="D73" s="590"/>
      <c r="E73" s="1439"/>
      <c r="F73" s="590"/>
      <c r="G73" s="590"/>
      <c r="H73" s="590"/>
      <c r="I73" s="590"/>
      <c r="J73" s="590"/>
      <c r="K73" s="590"/>
      <c r="L73" s="1439"/>
      <c r="M73" s="590"/>
      <c r="N73" s="590"/>
      <c r="O73" s="108">
        <f t="shared" si="1"/>
        <v>0</v>
      </c>
      <c r="P73" s="619"/>
    </row>
    <row r="74" spans="1:17" s="1590" customFormat="1">
      <c r="A74" s="2427" t="str">
        <f t="shared" si="21"/>
        <v>R5=41;R6=;COM=</v>
      </c>
      <c r="B74" s="10"/>
      <c r="C74" s="1440"/>
      <c r="D74" s="590"/>
      <c r="E74" s="1439"/>
      <c r="F74" s="590"/>
      <c r="G74" s="590"/>
      <c r="H74" s="590"/>
      <c r="I74" s="590"/>
      <c r="J74" s="590"/>
      <c r="K74" s="590"/>
      <c r="L74" s="1439"/>
      <c r="M74" s="590"/>
      <c r="N74" s="590"/>
      <c r="O74" s="108">
        <f t="shared" si="1"/>
        <v>0</v>
      </c>
      <c r="P74" s="619"/>
    </row>
    <row r="75" spans="1:17" s="1590" customFormat="1">
      <c r="A75" s="2427" t="str">
        <f t="shared" si="21"/>
        <v>R5=41;R6=;COM=</v>
      </c>
      <c r="B75" s="10"/>
      <c r="C75" s="1440"/>
      <c r="D75" s="590"/>
      <c r="E75" s="1439"/>
      <c r="F75" s="590"/>
      <c r="G75" s="590"/>
      <c r="H75" s="590"/>
      <c r="I75" s="590"/>
      <c r="J75" s="590"/>
      <c r="K75" s="590"/>
      <c r="L75" s="1439"/>
      <c r="M75" s="590"/>
      <c r="N75" s="590"/>
      <c r="O75" s="108">
        <f t="shared" si="1"/>
        <v>0</v>
      </c>
      <c r="P75" s="619"/>
    </row>
    <row r="76" spans="1:17" s="1590" customFormat="1">
      <c r="A76" s="2427" t="str">
        <f t="shared" si="21"/>
        <v>R5=41;R6=;COM=</v>
      </c>
      <c r="B76" s="10"/>
      <c r="C76" s="1440"/>
      <c r="D76" s="590"/>
      <c r="E76" s="1439"/>
      <c r="F76" s="590"/>
      <c r="G76" s="590"/>
      <c r="H76" s="590"/>
      <c r="I76" s="590"/>
      <c r="J76" s="590"/>
      <c r="K76" s="590"/>
      <c r="L76" s="1439"/>
      <c r="M76" s="590"/>
      <c r="N76" s="590"/>
      <c r="O76" s="108">
        <f t="shared" ref="O76:O83" si="22">SUM(D76:N76)</f>
        <v>0</v>
      </c>
      <c r="P76" s="619"/>
    </row>
    <row r="77" spans="1:17" s="1590" customFormat="1">
      <c r="A77" s="2427" t="str">
        <f t="shared" si="21"/>
        <v>R5=41;R6=;COM=</v>
      </c>
      <c r="B77" s="10"/>
      <c r="C77" s="1440"/>
      <c r="D77" s="590"/>
      <c r="E77" s="1439"/>
      <c r="F77" s="590"/>
      <c r="G77" s="590"/>
      <c r="H77" s="590"/>
      <c r="I77" s="590"/>
      <c r="J77" s="590"/>
      <c r="K77" s="590"/>
      <c r="L77" s="1439"/>
      <c r="M77" s="590"/>
      <c r="N77" s="590"/>
      <c r="O77" s="108">
        <f t="shared" si="22"/>
        <v>0</v>
      </c>
      <c r="P77" s="619"/>
    </row>
    <row r="78" spans="1:17" s="1590" customFormat="1">
      <c r="A78" s="2427" t="str">
        <f t="shared" si="21"/>
        <v>R5=41;R6=;COM=</v>
      </c>
      <c r="B78" s="10"/>
      <c r="C78" s="1440"/>
      <c r="D78" s="590"/>
      <c r="E78" s="1439"/>
      <c r="F78" s="590"/>
      <c r="G78" s="590"/>
      <c r="H78" s="590"/>
      <c r="I78" s="590"/>
      <c r="J78" s="590"/>
      <c r="K78" s="590"/>
      <c r="L78" s="1439"/>
      <c r="M78" s="590"/>
      <c r="N78" s="590"/>
      <c r="O78" s="108">
        <f t="shared" si="22"/>
        <v>0</v>
      </c>
      <c r="P78" s="619"/>
    </row>
    <row r="79" spans="1:17" s="1590" customFormat="1">
      <c r="A79" s="2427" t="str">
        <f t="shared" si="21"/>
        <v>R5=41;R6=;COM=</v>
      </c>
      <c r="B79" s="10"/>
      <c r="C79" s="1440"/>
      <c r="D79" s="590"/>
      <c r="E79" s="1439"/>
      <c r="F79" s="590"/>
      <c r="G79" s="590"/>
      <c r="H79" s="590"/>
      <c r="I79" s="590"/>
      <c r="J79" s="590"/>
      <c r="K79" s="590"/>
      <c r="L79" s="1439"/>
      <c r="M79" s="590"/>
      <c r="N79" s="590"/>
      <c r="O79" s="108">
        <f t="shared" si="22"/>
        <v>0</v>
      </c>
      <c r="P79" s="619"/>
    </row>
    <row r="80" spans="1:17" s="1590" customFormat="1">
      <c r="A80" s="2427" t="str">
        <f t="shared" si="21"/>
        <v>R5=41;R6=;COM=</v>
      </c>
      <c r="B80" s="10"/>
      <c r="C80" s="1440"/>
      <c r="D80" s="590"/>
      <c r="E80" s="1439"/>
      <c r="F80" s="590"/>
      <c r="G80" s="590"/>
      <c r="H80" s="590"/>
      <c r="I80" s="590"/>
      <c r="J80" s="590"/>
      <c r="K80" s="590"/>
      <c r="L80" s="1439"/>
      <c r="M80" s="590"/>
      <c r="N80" s="590"/>
      <c r="O80" s="108">
        <f t="shared" si="22"/>
        <v>0</v>
      </c>
      <c r="P80" s="619"/>
    </row>
    <row r="81" spans="1:16" s="1590" customFormat="1">
      <c r="A81" s="2427" t="str">
        <f t="shared" si="21"/>
        <v>R5=41;R6=;COM=</v>
      </c>
      <c r="B81" s="10"/>
      <c r="C81" s="1440"/>
      <c r="D81" s="590"/>
      <c r="E81" s="1439"/>
      <c r="F81" s="590"/>
      <c r="G81" s="590"/>
      <c r="H81" s="590"/>
      <c r="I81" s="590"/>
      <c r="J81" s="590"/>
      <c r="K81" s="590"/>
      <c r="L81" s="1439"/>
      <c r="M81" s="590"/>
      <c r="N81" s="590"/>
      <c r="O81" s="108">
        <f t="shared" si="22"/>
        <v>0</v>
      </c>
      <c r="P81" s="619"/>
    </row>
    <row r="82" spans="1:16" s="1590" customFormat="1">
      <c r="A82" s="2427" t="str">
        <f t="shared" si="21"/>
        <v>R5=41;R6=;COM=</v>
      </c>
      <c r="B82" s="10"/>
      <c r="C82" s="1440"/>
      <c r="D82" s="590"/>
      <c r="E82" s="1439"/>
      <c r="F82" s="590"/>
      <c r="G82" s="590"/>
      <c r="H82" s="590"/>
      <c r="I82" s="590"/>
      <c r="J82" s="590"/>
      <c r="K82" s="590"/>
      <c r="L82" s="1439"/>
      <c r="M82" s="590"/>
      <c r="N82" s="590"/>
      <c r="O82" s="108">
        <f t="shared" si="22"/>
        <v>0</v>
      </c>
      <c r="P82" s="619"/>
    </row>
    <row r="83" spans="1:16" s="1590" customFormat="1">
      <c r="A83" s="2427" t="str">
        <f t="shared" si="21"/>
        <v>R5=41;R6=;COM=</v>
      </c>
      <c r="B83" s="10"/>
      <c r="C83" s="1440"/>
      <c r="D83" s="590"/>
      <c r="E83" s="1439"/>
      <c r="F83" s="590"/>
      <c r="G83" s="590"/>
      <c r="H83" s="590"/>
      <c r="I83" s="590"/>
      <c r="J83" s="590"/>
      <c r="K83" s="590"/>
      <c r="L83" s="1439"/>
      <c r="M83" s="590"/>
      <c r="N83" s="590"/>
      <c r="O83" s="108">
        <f t="shared" si="22"/>
        <v>0</v>
      </c>
      <c r="P83" s="619"/>
    </row>
    <row r="84" spans="1:16" s="1590" customFormat="1" ht="15" thickBot="1">
      <c r="A84" s="2427" t="str">
        <f t="shared" si="21"/>
        <v>R5=41;R6=;COM=</v>
      </c>
      <c r="B84" s="10"/>
      <c r="C84" s="1541"/>
      <c r="D84" s="591"/>
      <c r="E84" s="591"/>
      <c r="F84" s="591"/>
      <c r="G84" s="591"/>
      <c r="H84" s="591"/>
      <c r="I84" s="591"/>
      <c r="J84" s="591"/>
      <c r="K84" s="591"/>
      <c r="L84" s="591"/>
      <c r="M84" s="591"/>
      <c r="N84" s="591"/>
      <c r="O84" s="2626">
        <f t="shared" ref="O84" si="23">SUM(D84:N84)</f>
        <v>0</v>
      </c>
      <c r="P84" s="783"/>
    </row>
  </sheetData>
  <sheetProtection algorithmName="SHA-512" hashValue="BjbV96N2GQwGniBYyvVzPgrpOfivasBuasG5E9P6efj78f3460z+5IeTwuVBtMf9ixIf2Xh6KGYKk10K60J+ZQ==" saltValue="g0wE0eYQ1x/OpU73spIeYA==" spinCount="100000" sheet="1" objects="1" scenarios="1" formatColumns="0" formatRows="0" autoFilter="0"/>
  <autoFilter ref="C7:P83"/>
  <customSheetViews>
    <customSheetView guid="{3769259D-9653-4B34-A2F6-4FB6F9F4E533}" scale="85" showGridLines="0" showAutoFilter="1" hiddenRows="1" hiddenColumns="1">
      <pane xSplit="3" ySplit="6" topLeftCell="D7" activePane="bottomRight" state="frozen"/>
      <selection pane="bottomRight" activeCell="C6" sqref="C6"/>
      <pageMargins left="0.7" right="0.7" top="0.75" bottom="0.75" header="0.3" footer="0.3"/>
      <pageSetup paperSize="9" orientation="portrait" horizontalDpi="300" verticalDpi="0" copies="0" r:id="rId1"/>
      <autoFilter ref="B1:P1"/>
    </customSheetView>
    <customSheetView guid="{40D7A2BB-326C-4ED3-999C-17852F56D6F4}" scale="85" showGridLines="0" showAutoFilter="1" hiddenRows="1" hiddenColumns="1">
      <pane xSplit="3" ySplit="6" topLeftCell="D7" activePane="bottomRight" state="frozen"/>
      <selection pane="bottomRight" activeCell="C6" sqref="C6"/>
      <pageMargins left="0.7" right="0.7" top="0.75" bottom="0.75" header="0.3" footer="0.3"/>
      <pageSetup paperSize="9" orientation="portrait" horizontalDpi="300" verticalDpi="0" copies="0" r:id="rId2"/>
      <autoFilter ref="B1:P1"/>
    </customSheetView>
    <customSheetView guid="{5D121940-0CE8-4A0E-A493-67FAAA6E0FF8}" scale="85" showGridLines="0" showAutoFilter="1" hiddenRows="1" hiddenColumns="1" topLeftCell="B2">
      <pane xSplit="2" ySplit="6" topLeftCell="I8" activePane="bottomRight" state="frozen"/>
      <selection pane="bottomRight" activeCell="C7" sqref="C7"/>
      <pageMargins left="0.7" right="0.7" top="0.75" bottom="0.75" header="0.3" footer="0.3"/>
      <pageSetup paperSize="9" orientation="portrait" horizontalDpi="300" verticalDpi="0" copies="0" r:id="rId3"/>
      <autoFilter ref="B1:P1"/>
    </customSheetView>
    <customSheetView guid="{47AEACC4-6EA5-412C-AF39-A6C5357B313A}" scale="85" showGridLines="0" showAutoFilter="1" hiddenRows="1" hiddenColumns="1" topLeftCell="B2">
      <pane xSplit="2" ySplit="6" topLeftCell="D8" activePane="bottomRight" state="frozen"/>
      <selection pane="bottomRight"/>
      <pageMargins left="0.7" right="0.7" top="0.75" bottom="0.75" header="0.3" footer="0.3"/>
      <pageSetup paperSize="9" orientation="portrait" horizontalDpi="300" verticalDpi="0" copies="0" r:id="rId4"/>
      <autoFilter ref="B1:P1"/>
    </customSheetView>
    <customSheetView guid="{4D957B38-5430-481E-B791-E0A66F913B50}" scale="70" hiddenColumns="1">
      <selection activeCell="G4" sqref="G4"/>
      <pageMargins left="0.7" right="0.7" top="0.75" bottom="0.75" header="0.3" footer="0.3"/>
    </customSheetView>
    <customSheetView guid="{1C36793E-2B7E-411E-AA99-985D5D59B75A}" scale="70" hiddenColumns="1">
      <selection activeCell="I8" sqref="I8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2" ySplit="6" topLeftCell="I8" activePane="bottomRight" state="frozen"/>
      <selection pane="bottomRight" activeCell="C7" sqref="C7"/>
      <pageMargins left="0.7" right="0.7" top="0.75" bottom="0.75" header="0.3" footer="0.3"/>
      <pageSetup paperSize="9" orientation="portrait" horizontalDpi="300" verticalDpi="0" copies="0" r:id="rId5"/>
      <autoFilter ref="B1:P1"/>
    </customSheetView>
  </customSheetViews>
  <mergeCells count="7">
    <mergeCell ref="L9:L68"/>
    <mergeCell ref="P4:P5"/>
    <mergeCell ref="O4:O5"/>
    <mergeCell ref="C4:C5"/>
    <mergeCell ref="D4:D5"/>
    <mergeCell ref="E4:G4"/>
    <mergeCell ref="I4:M4"/>
  </mergeCells>
  <phoneticPr fontId="0" type="noConversion"/>
  <dataValidations count="2">
    <dataValidation operator="equal" allowBlank="1" showErrorMessage="1" errorTitle="Выбор элемента списка" error="Данного элемента нет в списке" sqref="O70:P84 P10:P69 O9:O68"/>
    <dataValidation type="list" allowBlank="1" showInputMessage="1" showErrorMessage="1" sqref="C70:C84">
      <formula1>_2145_tmc</formula1>
    </dataValidation>
  </dataValidations>
  <hyperlinks>
    <hyperlink ref="J3" location="Содержание!A1" display="Содержание"/>
  </hyperlinks>
  <pageMargins left="0.70866141732283472" right="0.70866141732283472" top="0.74803149606299213" bottom="0.6692913385826772" header="0.31496062992125984" footer="0.31496062992125984"/>
  <pageSetup paperSize="9" scale="45" orientation="portrait" horizont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5" r:id="rId9" name="Button 17">
              <controlPr defaultSize="0" print="0" autoFill="0" autoPict="0" macro="[0]!AddButtonsRowAdd">
                <anchor moveWithCells="1">
                  <from>
                    <xdr:col>4</xdr:col>
                    <xdr:colOff>1022350</xdr:colOff>
                    <xdr:row>1</xdr:row>
                    <xdr:rowOff>69850</xdr:rowOff>
                  </from>
                  <to>
                    <xdr:col>6</xdr:col>
                    <xdr:colOff>336550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10" name="Button 34">
              <controlPr defaultSize="0" print="0" autoFill="0" autoPict="0" macro="[0]!AddButtonsRowAdd">
                <anchor moveWithCells="1">
                  <from>
                    <xdr:col>4</xdr:col>
                    <xdr:colOff>1022350</xdr:colOff>
                    <xdr:row>1</xdr:row>
                    <xdr:rowOff>69850</xdr:rowOff>
                  </from>
                  <to>
                    <xdr:col>6</xdr:col>
                    <xdr:colOff>342900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/>
  <dimension ref="A1:N75"/>
  <sheetViews>
    <sheetView topLeftCell="B2" zoomScale="66" zoomScaleNormal="66" workbookViewId="0">
      <selection activeCell="F17" sqref="F17"/>
    </sheetView>
  </sheetViews>
  <sheetFormatPr defaultRowHeight="14.5"/>
  <cols>
    <col min="1" max="1" width="35.81640625" style="448" hidden="1" customWidth="1"/>
    <col min="2" max="2" width="3" customWidth="1"/>
    <col min="3" max="3" width="64.453125" customWidth="1"/>
    <col min="4" max="4" width="16.453125" customWidth="1"/>
    <col min="5" max="5" width="20" customWidth="1"/>
    <col min="6" max="6" width="16.453125" customWidth="1"/>
    <col min="7" max="8" width="20.54296875" customWidth="1"/>
    <col min="9" max="9" width="16.453125" customWidth="1"/>
    <col min="10" max="10" width="19" customWidth="1"/>
    <col min="11" max="11" width="19" style="2885" customWidth="1"/>
    <col min="12" max="14" width="16.453125" customWidth="1"/>
  </cols>
  <sheetData>
    <row r="1" spans="1:14" ht="18" hidden="1" customHeight="1">
      <c r="A1" s="167" t="s">
        <v>4246</v>
      </c>
      <c r="B1" s="29"/>
      <c r="C1" s="29"/>
      <c r="D1" s="29" t="s">
        <v>355</v>
      </c>
      <c r="E1" s="29" t="s">
        <v>320</v>
      </c>
      <c r="F1" s="29" t="s">
        <v>1228</v>
      </c>
      <c r="G1" s="29" t="s">
        <v>325</v>
      </c>
      <c r="H1" s="29" t="s">
        <v>326</v>
      </c>
      <c r="I1" s="29" t="s">
        <v>354</v>
      </c>
      <c r="J1" s="29" t="s">
        <v>329</v>
      </c>
      <c r="K1" s="2424" t="s">
        <v>375</v>
      </c>
      <c r="L1" s="29" t="s">
        <v>1229</v>
      </c>
      <c r="M1" s="29" t="s">
        <v>303</v>
      </c>
      <c r="N1" s="29"/>
    </row>
    <row r="2" spans="1:14" ht="26">
      <c r="A2" s="564"/>
      <c r="B2" s="10"/>
      <c r="C2" s="509"/>
      <c r="D2" s="1919" t="s">
        <v>1648</v>
      </c>
      <c r="E2" s="1919" t="s">
        <v>1648</v>
      </c>
      <c r="F2" s="1919" t="s">
        <v>1648</v>
      </c>
      <c r="G2" s="1897" t="s">
        <v>2067</v>
      </c>
      <c r="H2" s="1244">
        <f>Содержание!$D$2</f>
        <v>0</v>
      </c>
      <c r="I2" s="1919" t="s">
        <v>1648</v>
      </c>
      <c r="J2" s="1919" t="s">
        <v>1648</v>
      </c>
      <c r="K2" s="1919"/>
      <c r="L2" s="1919" t="s">
        <v>1648</v>
      </c>
      <c r="M2" s="1919" t="s">
        <v>1648</v>
      </c>
      <c r="N2" s="10"/>
    </row>
    <row r="3" spans="1:14" ht="15" thickBot="1">
      <c r="A3" s="2427"/>
      <c r="B3" s="173"/>
      <c r="C3" s="105" t="s">
        <v>4046</v>
      </c>
      <c r="D3" s="105" t="b">
        <f t="array" ref="D3">IF(SMALL(IF(""=C70:C2702,ROW(C70:C2702),2700),1)&gt;LARGE(IF(""&lt;&gt;C70:C2702,ROW(C70:C2702),0),1),TRUE,FALSE)</f>
        <v>1</v>
      </c>
      <c r="E3" s="105"/>
      <c r="G3" s="1897" t="s">
        <v>2075</v>
      </c>
      <c r="H3" s="1244" t="str">
        <f>Содержание!$D$15</f>
        <v>2022 год</v>
      </c>
      <c r="I3" s="3044" t="s">
        <v>1436</v>
      </c>
      <c r="J3" s="24"/>
      <c r="K3" s="24"/>
      <c r="L3" s="24"/>
      <c r="M3" s="234"/>
      <c r="N3" s="24"/>
    </row>
    <row r="4" spans="1:14" ht="15" thickBot="1">
      <c r="A4" s="2427"/>
      <c r="B4" s="173"/>
      <c r="C4" s="3732" t="s">
        <v>5555</v>
      </c>
      <c r="D4" s="3740" t="s">
        <v>5225</v>
      </c>
      <c r="E4" s="3735" t="s">
        <v>5556</v>
      </c>
      <c r="F4" s="3736"/>
      <c r="G4" s="3735" t="s">
        <v>5557</v>
      </c>
      <c r="H4" s="3736"/>
      <c r="I4" s="3736"/>
      <c r="J4" s="3736"/>
      <c r="K4" s="3736"/>
      <c r="L4" s="3736"/>
      <c r="M4" s="3740" t="s">
        <v>5233</v>
      </c>
      <c r="N4" s="3711" t="s">
        <v>4183</v>
      </c>
    </row>
    <row r="5" spans="1:14" ht="52">
      <c r="A5" s="2427"/>
      <c r="B5" s="173"/>
      <c r="C5" s="3732"/>
      <c r="D5" s="3741"/>
      <c r="E5" s="16" t="s">
        <v>1665</v>
      </c>
      <c r="F5" s="16" t="s">
        <v>1669</v>
      </c>
      <c r="G5" s="16" t="s">
        <v>1687</v>
      </c>
      <c r="H5" s="16" t="s">
        <v>1686</v>
      </c>
      <c r="I5" s="16" t="s">
        <v>4055</v>
      </c>
      <c r="J5" s="16" t="s">
        <v>1672</v>
      </c>
      <c r="K5" s="2886" t="s">
        <v>4054</v>
      </c>
      <c r="L5" s="15" t="s">
        <v>5559</v>
      </c>
      <c r="M5" s="3741"/>
      <c r="N5" s="3711"/>
    </row>
    <row r="6" spans="1:14">
      <c r="A6" s="2427"/>
      <c r="B6" s="173"/>
      <c r="C6" s="2315" t="s">
        <v>7585</v>
      </c>
      <c r="D6" s="16" t="s">
        <v>668</v>
      </c>
      <c r="E6" s="16" t="s">
        <v>5566</v>
      </c>
      <c r="F6" s="16" t="s">
        <v>5571</v>
      </c>
      <c r="G6" s="16" t="s">
        <v>5572</v>
      </c>
      <c r="H6" s="16" t="s">
        <v>4042</v>
      </c>
      <c r="I6" s="16" t="s">
        <v>4041</v>
      </c>
      <c r="J6" s="16" t="s">
        <v>5575</v>
      </c>
      <c r="K6" s="2886" t="s">
        <v>4061</v>
      </c>
      <c r="L6" s="16" t="s">
        <v>5580</v>
      </c>
      <c r="M6" s="16" t="s">
        <v>4163</v>
      </c>
      <c r="N6" s="27"/>
    </row>
    <row r="7" spans="1:14" s="671" customFormat="1" ht="12.5">
      <c r="A7" s="2427"/>
      <c r="B7" s="688"/>
      <c r="C7" s="686" t="s">
        <v>4164</v>
      </c>
      <c r="D7" s="687" t="s">
        <v>4165</v>
      </c>
      <c r="E7" s="690" t="s">
        <v>4166</v>
      </c>
      <c r="F7" s="690" t="s">
        <v>5500</v>
      </c>
      <c r="G7" s="690" t="s">
        <v>4169</v>
      </c>
      <c r="H7" s="690" t="s">
        <v>4168</v>
      </c>
      <c r="I7" s="690" t="s">
        <v>4178</v>
      </c>
      <c r="J7" s="689" t="s">
        <v>4179</v>
      </c>
      <c r="K7" s="2887"/>
      <c r="L7" s="690" t="s">
        <v>4167</v>
      </c>
      <c r="M7" s="684" t="s">
        <v>5501</v>
      </c>
      <c r="N7" s="691" t="s">
        <v>4701</v>
      </c>
    </row>
    <row r="8" spans="1:14">
      <c r="A8" s="668"/>
      <c r="B8" s="173"/>
      <c r="C8" s="232" t="s">
        <v>4170</v>
      </c>
      <c r="D8" s="108">
        <f t="shared" ref="D8:M8" si="0">SUM(D9:D11,D12,D69)</f>
        <v>0</v>
      </c>
      <c r="E8" s="108">
        <f t="shared" si="0"/>
        <v>0</v>
      </c>
      <c r="F8" s="108">
        <f t="shared" si="0"/>
        <v>0</v>
      </c>
      <c r="G8" s="108">
        <f t="shared" si="0"/>
        <v>0</v>
      </c>
      <c r="H8" s="108">
        <f t="shared" si="0"/>
        <v>0</v>
      </c>
      <c r="I8" s="108">
        <f t="shared" si="0"/>
        <v>0</v>
      </c>
      <c r="J8" s="108">
        <f t="shared" si="0"/>
        <v>0</v>
      </c>
      <c r="K8" s="108">
        <f t="shared" ref="K8" si="1">SUM(K9:K11,K12,K69)</f>
        <v>0</v>
      </c>
      <c r="L8" s="108">
        <f t="shared" si="0"/>
        <v>0</v>
      </c>
      <c r="M8" s="108">
        <f t="shared" si="0"/>
        <v>0</v>
      </c>
      <c r="N8" s="233" t="s">
        <v>4184</v>
      </c>
    </row>
    <row r="9" spans="1:14">
      <c r="A9" s="2427" t="str">
        <f>"R1="&amp;";R2="&amp;";R3="&amp;";R4="&amp;";R5=07"&amp;";COM="&amp;N9</f>
        <v>R1=;R2=;R3=;R4=;R5=07;COM=</v>
      </c>
      <c r="B9" s="579" t="s">
        <v>5536</v>
      </c>
      <c r="C9" s="227" t="s">
        <v>3429</v>
      </c>
      <c r="D9" s="110"/>
      <c r="E9" s="110"/>
      <c r="F9" s="110"/>
      <c r="G9" s="110"/>
      <c r="H9" s="110"/>
      <c r="I9" s="110"/>
      <c r="J9" s="3737" t="s">
        <v>4184</v>
      </c>
      <c r="K9" s="3737" t="s">
        <v>4184</v>
      </c>
      <c r="L9" s="110"/>
      <c r="M9" s="108">
        <f t="shared" ref="M9:M32" si="2">SUM(D9:L9)</f>
        <v>0</v>
      </c>
      <c r="N9" s="203"/>
    </row>
    <row r="10" spans="1:14">
      <c r="A10" s="2427" t="str">
        <f>"R1="&amp;";R2="&amp;";R3="&amp;";R4="&amp;";R5=01"&amp;";COM="&amp;N10</f>
        <v>R1=;R2=;R3=;R4=;R5=01;COM=</v>
      </c>
      <c r="B10" s="579" t="s">
        <v>5536</v>
      </c>
      <c r="C10" s="227" t="s">
        <v>4043</v>
      </c>
      <c r="D10" s="110"/>
      <c r="E10" s="110"/>
      <c r="F10" s="110"/>
      <c r="G10" s="110"/>
      <c r="H10" s="110"/>
      <c r="I10" s="110"/>
      <c r="J10" s="3738"/>
      <c r="K10" s="3738"/>
      <c r="L10" s="110"/>
      <c r="M10" s="108">
        <f t="shared" si="2"/>
        <v>0</v>
      </c>
      <c r="N10" s="203"/>
    </row>
    <row r="11" spans="1:14">
      <c r="A11" s="2427" t="str">
        <f>"R1="&amp;";R2="&amp;";R3="&amp;";R4="&amp;";R5=04"&amp;";COM="&amp;N11</f>
        <v>R1=;R2=;R3=;R4=;R5=04;COM=</v>
      </c>
      <c r="B11" s="579" t="s">
        <v>5536</v>
      </c>
      <c r="C11" s="227" t="s">
        <v>4044</v>
      </c>
      <c r="D11" s="110"/>
      <c r="E11" s="110"/>
      <c r="F11" s="110"/>
      <c r="G11" s="110"/>
      <c r="H11" s="110"/>
      <c r="I11" s="110"/>
      <c r="J11" s="3738"/>
      <c r="K11" s="3738"/>
      <c r="L11" s="110"/>
      <c r="M11" s="108">
        <f t="shared" si="2"/>
        <v>0</v>
      </c>
      <c r="N11" s="203"/>
    </row>
    <row r="12" spans="1:14">
      <c r="A12" s="2427"/>
      <c r="B12" s="579" t="s">
        <v>5536</v>
      </c>
      <c r="C12" s="227" t="s">
        <v>4045</v>
      </c>
      <c r="D12" s="108">
        <f t="shared" ref="D12:I12" si="3">SUM(D13,D41)</f>
        <v>0</v>
      </c>
      <c r="E12" s="108">
        <f t="shared" si="3"/>
        <v>0</v>
      </c>
      <c r="F12" s="108">
        <f t="shared" si="3"/>
        <v>0</v>
      </c>
      <c r="G12" s="108">
        <f t="shared" si="3"/>
        <v>0</v>
      </c>
      <c r="H12" s="108">
        <f t="shared" si="3"/>
        <v>0</v>
      </c>
      <c r="I12" s="108">
        <f t="shared" si="3"/>
        <v>0</v>
      </c>
      <c r="J12" s="3738"/>
      <c r="K12" s="3738"/>
      <c r="L12" s="108">
        <f>SUM(L13,L41)</f>
        <v>0</v>
      </c>
      <c r="M12" s="108">
        <f t="shared" si="2"/>
        <v>0</v>
      </c>
      <c r="N12" s="203"/>
    </row>
    <row r="13" spans="1:14">
      <c r="A13" s="2427" t="str">
        <f ca="1">IF(CELL("защита",D13),"","R5=10;R1="&amp;IFERROR(MID(C13,FIND("{",C13)+1,1),"")&amp;";R2="&amp;IFERROR(MID(C13,SEARCH("{?_????}",C13)+3,4),"")&amp;";R4="&amp;IFERROR(SUBSTITUTE(MID(C13,SEARCH("_?}",C13)+1,1),"~",""),"")&amp;";COM="&amp;N13)</f>
        <v/>
      </c>
      <c r="B13" s="579" t="s">
        <v>5536</v>
      </c>
      <c r="C13" s="539" t="s">
        <v>7586</v>
      </c>
      <c r="D13" s="108">
        <f>SUM(D14,D21,D27:D40)</f>
        <v>0</v>
      </c>
      <c r="E13" s="108">
        <f t="shared" ref="E13:I13" si="4">SUM(E14,E21,E27:E40)</f>
        <v>0</v>
      </c>
      <c r="F13" s="108">
        <f t="shared" si="4"/>
        <v>0</v>
      </c>
      <c r="G13" s="108">
        <f t="shared" si="4"/>
        <v>0</v>
      </c>
      <c r="H13" s="108">
        <f t="shared" si="4"/>
        <v>0</v>
      </c>
      <c r="I13" s="108">
        <f t="shared" si="4"/>
        <v>0</v>
      </c>
      <c r="J13" s="3738"/>
      <c r="K13" s="3738"/>
      <c r="L13" s="108">
        <f>SUM(L14,L21,L27:L40)</f>
        <v>0</v>
      </c>
      <c r="M13" s="108">
        <f>SUM(D13:L13)</f>
        <v>0</v>
      </c>
      <c r="N13" s="203"/>
    </row>
    <row r="14" spans="1:14">
      <c r="A14" s="2427" t="str">
        <f t="shared" ref="A14:A68" ca="1" si="5">IF(CELL("защита",D14),"","R5=10;R1="&amp;IFERROR(MID(C14,FIND("{",C14)+1,1),"")&amp;";R2="&amp;IFERROR(MID(C14,SEARCH("{?_????}",C14)+3,4),"")&amp;";R4="&amp;IFERROR(SUBSTITUTE(MID(C14,SEARCH("_?}",C14)+1,1),"~",""),"")&amp;";COM="&amp;N14)</f>
        <v/>
      </c>
      <c r="B14" s="579" t="s">
        <v>5536</v>
      </c>
      <c r="C14" s="489" t="s">
        <v>7575</v>
      </c>
      <c r="D14" s="225">
        <f>D15+D18</f>
        <v>0</v>
      </c>
      <c r="E14" s="108">
        <f>SUM(E15,E18)</f>
        <v>0</v>
      </c>
      <c r="F14" s="108">
        <f>SUM(F15,F18)</f>
        <v>0</v>
      </c>
      <c r="G14" s="108">
        <f>SUM(G15,G18)</f>
        <v>0</v>
      </c>
      <c r="H14" s="108">
        <f>SUM(H15,H18)</f>
        <v>0</v>
      </c>
      <c r="I14" s="108">
        <f>SUM(I15,I18)</f>
        <v>0</v>
      </c>
      <c r="J14" s="3738"/>
      <c r="K14" s="3738"/>
      <c r="L14" s="108">
        <f>SUM(L15,L18)</f>
        <v>0</v>
      </c>
      <c r="M14" s="108">
        <f t="shared" si="2"/>
        <v>0</v>
      </c>
      <c r="N14" s="203"/>
    </row>
    <row r="15" spans="1:14">
      <c r="A15" s="2427" t="str">
        <f t="shared" ca="1" si="5"/>
        <v/>
      </c>
      <c r="B15" s="579" t="s">
        <v>5536</v>
      </c>
      <c r="C15" s="341" t="s">
        <v>7576</v>
      </c>
      <c r="D15" s="225">
        <f>D16+D17</f>
        <v>0</v>
      </c>
      <c r="E15" s="108">
        <f t="shared" ref="E15:L15" si="6">SUM(E16:E17)</f>
        <v>0</v>
      </c>
      <c r="F15" s="108">
        <f t="shared" si="6"/>
        <v>0</v>
      </c>
      <c r="G15" s="108">
        <f t="shared" si="6"/>
        <v>0</v>
      </c>
      <c r="H15" s="108">
        <f>SUM(H16:H17)</f>
        <v>0</v>
      </c>
      <c r="I15" s="108">
        <f t="shared" si="6"/>
        <v>0</v>
      </c>
      <c r="J15" s="3738"/>
      <c r="K15" s="3738"/>
      <c r="L15" s="108">
        <f t="shared" si="6"/>
        <v>0</v>
      </c>
      <c r="M15" s="108">
        <f t="shared" si="2"/>
        <v>0</v>
      </c>
      <c r="N15" s="203"/>
    </row>
    <row r="16" spans="1:14">
      <c r="A16" s="2427" t="str">
        <f t="shared" ca="1" si="5"/>
        <v>R5=10;R1=1;R2=0111;R4=;COM=</v>
      </c>
      <c r="B16" s="579" t="s">
        <v>5536</v>
      </c>
      <c r="C16" s="341" t="s">
        <v>7533</v>
      </c>
      <c r="D16" s="229"/>
      <c r="E16" s="110"/>
      <c r="F16" s="110"/>
      <c r="G16" s="110"/>
      <c r="H16" s="110"/>
      <c r="I16" s="110"/>
      <c r="J16" s="3738"/>
      <c r="K16" s="3738"/>
      <c r="L16" s="110"/>
      <c r="M16" s="108">
        <f t="shared" si="2"/>
        <v>0</v>
      </c>
      <c r="N16" s="203"/>
    </row>
    <row r="17" spans="1:14">
      <c r="A17" s="2427" t="str">
        <f t="shared" ca="1" si="5"/>
        <v>R5=10;R1=1;R2=0112;R4=;COM=</v>
      </c>
      <c r="B17" s="579" t="s">
        <v>5536</v>
      </c>
      <c r="C17" s="341" t="s">
        <v>7534</v>
      </c>
      <c r="D17" s="229"/>
      <c r="E17" s="229"/>
      <c r="F17" s="229"/>
      <c r="G17" s="229"/>
      <c r="H17" s="229"/>
      <c r="I17" s="229"/>
      <c r="J17" s="3738"/>
      <c r="K17" s="3738"/>
      <c r="L17" s="229"/>
      <c r="M17" s="108">
        <f t="shared" si="2"/>
        <v>0</v>
      </c>
      <c r="N17" s="203"/>
    </row>
    <row r="18" spans="1:14">
      <c r="A18" s="2427" t="str">
        <f t="shared" ca="1" si="5"/>
        <v/>
      </c>
      <c r="B18" s="579" t="s">
        <v>5536</v>
      </c>
      <c r="C18" s="341" t="s">
        <v>7577</v>
      </c>
      <c r="D18" s="225">
        <f>D19+D20</f>
        <v>0</v>
      </c>
      <c r="E18" s="108">
        <f t="shared" ref="E18:L18" si="7">SUM(E19:E20)</f>
        <v>0</v>
      </c>
      <c r="F18" s="108">
        <f t="shared" si="7"/>
        <v>0</v>
      </c>
      <c r="G18" s="108">
        <f t="shared" si="7"/>
        <v>0</v>
      </c>
      <c r="H18" s="108">
        <f>SUM(H19:H20)</f>
        <v>0</v>
      </c>
      <c r="I18" s="108">
        <f t="shared" si="7"/>
        <v>0</v>
      </c>
      <c r="J18" s="3738"/>
      <c r="K18" s="3738"/>
      <c r="L18" s="108">
        <f t="shared" si="7"/>
        <v>0</v>
      </c>
      <c r="M18" s="108">
        <f t="shared" si="2"/>
        <v>0</v>
      </c>
      <c r="N18" s="203"/>
    </row>
    <row r="19" spans="1:14" ht="25">
      <c r="A19" s="2427" t="str">
        <f t="shared" ca="1" si="5"/>
        <v>R5=10;R1=1;R2=0121;R4=;COM=</v>
      </c>
      <c r="B19" s="579" t="s">
        <v>5536</v>
      </c>
      <c r="C19" s="341" t="s">
        <v>7535</v>
      </c>
      <c r="D19" s="229"/>
      <c r="E19" s="110"/>
      <c r="F19" s="110"/>
      <c r="G19" s="110"/>
      <c r="H19" s="110"/>
      <c r="I19" s="110"/>
      <c r="J19" s="3738"/>
      <c r="K19" s="3738"/>
      <c r="L19" s="110"/>
      <c r="M19" s="108">
        <f t="shared" si="2"/>
        <v>0</v>
      </c>
      <c r="N19" s="203"/>
    </row>
    <row r="20" spans="1:14">
      <c r="A20" s="2427" t="str">
        <f t="shared" ca="1" si="5"/>
        <v>R5=10;R1=1;R2=0122;R4=;COM=</v>
      </c>
      <c r="B20" s="579" t="s">
        <v>5536</v>
      </c>
      <c r="C20" s="341" t="s">
        <v>7536</v>
      </c>
      <c r="D20" s="229"/>
      <c r="E20" s="110"/>
      <c r="F20" s="110"/>
      <c r="G20" s="110"/>
      <c r="H20" s="110"/>
      <c r="I20" s="110"/>
      <c r="J20" s="3738"/>
      <c r="K20" s="3738"/>
      <c r="L20" s="110"/>
      <c r="M20" s="108">
        <f t="shared" si="2"/>
        <v>0</v>
      </c>
      <c r="N20" s="203"/>
    </row>
    <row r="21" spans="1:14" ht="25">
      <c r="A21" s="2427" t="str">
        <f t="shared" ca="1" si="5"/>
        <v/>
      </c>
      <c r="B21" s="579" t="s">
        <v>5536</v>
      </c>
      <c r="C21" s="489" t="s">
        <v>7578</v>
      </c>
      <c r="D21" s="225">
        <f>D22+D25+D26</f>
        <v>0</v>
      </c>
      <c r="E21" s="225">
        <f t="shared" ref="E21:I21" si="8">E22+E25+E26</f>
        <v>0</v>
      </c>
      <c r="F21" s="225">
        <f t="shared" si="8"/>
        <v>0</v>
      </c>
      <c r="G21" s="225">
        <f t="shared" si="8"/>
        <v>0</v>
      </c>
      <c r="H21" s="225">
        <f t="shared" si="8"/>
        <v>0</v>
      </c>
      <c r="I21" s="225">
        <f t="shared" si="8"/>
        <v>0</v>
      </c>
      <c r="J21" s="3738"/>
      <c r="K21" s="3738"/>
      <c r="L21" s="225">
        <f>L22+L25+L26</f>
        <v>0</v>
      </c>
      <c r="M21" s="108">
        <f>SUM(D21:L21)</f>
        <v>0</v>
      </c>
      <c r="N21" s="203"/>
    </row>
    <row r="22" spans="1:14" ht="37.5">
      <c r="A22" s="2427" t="str">
        <f t="shared" ca="1" si="5"/>
        <v/>
      </c>
      <c r="B22" s="579" t="s">
        <v>5536</v>
      </c>
      <c r="C22" s="341" t="s">
        <v>7579</v>
      </c>
      <c r="D22" s="225">
        <f>D23+D24</f>
        <v>0</v>
      </c>
      <c r="E22" s="225">
        <f t="shared" ref="E22:I22" si="9">E23+E24</f>
        <v>0</v>
      </c>
      <c r="F22" s="225">
        <f t="shared" si="9"/>
        <v>0</v>
      </c>
      <c r="G22" s="225">
        <f t="shared" si="9"/>
        <v>0</v>
      </c>
      <c r="H22" s="225">
        <f t="shared" si="9"/>
        <v>0</v>
      </c>
      <c r="I22" s="225">
        <f t="shared" si="9"/>
        <v>0</v>
      </c>
      <c r="J22" s="3738"/>
      <c r="K22" s="3738"/>
      <c r="L22" s="225">
        <f>L23+L24</f>
        <v>0</v>
      </c>
      <c r="M22" s="108">
        <f t="shared" si="2"/>
        <v>0</v>
      </c>
      <c r="N22" s="203"/>
    </row>
    <row r="23" spans="1:14" ht="25">
      <c r="A23" s="2427" t="str">
        <f t="shared" ca="1" si="5"/>
        <v>R5=10;R1=1;R2=0211;R4=;COM=</v>
      </c>
      <c r="B23" s="579" t="s">
        <v>5536</v>
      </c>
      <c r="C23" s="341" t="s">
        <v>7537</v>
      </c>
      <c r="D23" s="229"/>
      <c r="E23" s="110"/>
      <c r="F23" s="110"/>
      <c r="G23" s="110"/>
      <c r="H23" s="110"/>
      <c r="I23" s="110"/>
      <c r="J23" s="3738"/>
      <c r="K23" s="3738"/>
      <c r="L23" s="110"/>
      <c r="M23" s="108">
        <f t="shared" si="2"/>
        <v>0</v>
      </c>
      <c r="N23" s="203"/>
    </row>
    <row r="24" spans="1:14" ht="57" customHeight="1">
      <c r="A24" s="2427" t="str">
        <f t="shared" ca="1" si="5"/>
        <v>R5=10;R1=1;R2=0212;R4=;COM=</v>
      </c>
      <c r="B24" s="579" t="s">
        <v>5536</v>
      </c>
      <c r="C24" s="341" t="s">
        <v>7538</v>
      </c>
      <c r="D24" s="230"/>
      <c r="E24" s="230"/>
      <c r="F24" s="230"/>
      <c r="G24" s="230"/>
      <c r="H24" s="230"/>
      <c r="I24" s="230"/>
      <c r="J24" s="3738"/>
      <c r="K24" s="3738"/>
      <c r="L24" s="230"/>
      <c r="M24" s="108">
        <f t="shared" si="2"/>
        <v>0</v>
      </c>
      <c r="N24" s="203"/>
    </row>
    <row r="25" spans="1:14" ht="37.5">
      <c r="A25" s="2427" t="str">
        <f t="shared" ca="1" si="5"/>
        <v>R5=10;R1=1;R2=0221;R4=;COM=</v>
      </c>
      <c r="B25" s="579" t="s">
        <v>5536</v>
      </c>
      <c r="C25" s="341" t="s">
        <v>7539</v>
      </c>
      <c r="D25" s="230"/>
      <c r="E25" s="230"/>
      <c r="F25" s="230"/>
      <c r="G25" s="230"/>
      <c r="H25" s="230"/>
      <c r="I25" s="230"/>
      <c r="J25" s="3738"/>
      <c r="K25" s="3738"/>
      <c r="L25" s="230"/>
      <c r="M25" s="108">
        <f t="shared" si="2"/>
        <v>0</v>
      </c>
      <c r="N25" s="203"/>
    </row>
    <row r="26" spans="1:14">
      <c r="A26" s="2427" t="str">
        <f t="shared" ca="1" si="5"/>
        <v>R5=10;R1=1;R2=0222;R4=;COM=</v>
      </c>
      <c r="B26" s="579" t="s">
        <v>5536</v>
      </c>
      <c r="C26" s="506" t="s">
        <v>7544</v>
      </c>
      <c r="D26" s="230"/>
      <c r="E26" s="230"/>
      <c r="F26" s="230"/>
      <c r="G26" s="230"/>
      <c r="H26" s="230"/>
      <c r="I26" s="230"/>
      <c r="J26" s="3738"/>
      <c r="K26" s="3738"/>
      <c r="L26" s="230"/>
      <c r="M26" s="108">
        <f t="shared" si="2"/>
        <v>0</v>
      </c>
      <c r="N26" s="203"/>
    </row>
    <row r="27" spans="1:14">
      <c r="A27" s="2427" t="str">
        <f t="shared" ca="1" si="5"/>
        <v>R5=10;R1=1;R2=0310;R4=;COM=</v>
      </c>
      <c r="B27" s="579" t="s">
        <v>5536</v>
      </c>
      <c r="C27" s="506" t="s">
        <v>7540</v>
      </c>
      <c r="D27" s="110"/>
      <c r="E27" s="110"/>
      <c r="F27" s="110"/>
      <c r="G27" s="110"/>
      <c r="H27" s="110"/>
      <c r="I27" s="110"/>
      <c r="J27" s="3738"/>
      <c r="K27" s="3738"/>
      <c r="L27" s="110"/>
      <c r="M27" s="108">
        <f t="shared" si="2"/>
        <v>0</v>
      </c>
      <c r="N27" s="203"/>
    </row>
    <row r="28" spans="1:14">
      <c r="A28" s="2427" t="str">
        <f t="shared" ca="1" si="5"/>
        <v>R5=10;R1=1;R2=0312;R4=;COM=</v>
      </c>
      <c r="B28" s="579" t="s">
        <v>5536</v>
      </c>
      <c r="C28" s="506" t="s">
        <v>7541</v>
      </c>
      <c r="D28" s="110"/>
      <c r="E28" s="110"/>
      <c r="F28" s="110"/>
      <c r="G28" s="110"/>
      <c r="H28" s="110"/>
      <c r="I28" s="110"/>
      <c r="J28" s="3738"/>
      <c r="K28" s="3738"/>
      <c r="L28" s="110"/>
      <c r="M28" s="108">
        <f t="shared" si="2"/>
        <v>0</v>
      </c>
      <c r="N28" s="203"/>
    </row>
    <row r="29" spans="1:14">
      <c r="A29" s="2427" t="str">
        <f t="shared" ca="1" si="5"/>
        <v>R5=10;R1=1;R2=0320;R4=;COM=</v>
      </c>
      <c r="B29" s="579" t="s">
        <v>5536</v>
      </c>
      <c r="C29" s="542" t="s">
        <v>7545</v>
      </c>
      <c r="D29" s="110"/>
      <c r="E29" s="110"/>
      <c r="F29" s="110"/>
      <c r="G29" s="110"/>
      <c r="H29" s="110"/>
      <c r="I29" s="110"/>
      <c r="J29" s="3738"/>
      <c r="K29" s="3738"/>
      <c r="L29" s="110"/>
      <c r="M29" s="108">
        <f t="shared" si="2"/>
        <v>0</v>
      </c>
      <c r="N29" s="203"/>
    </row>
    <row r="30" spans="1:14">
      <c r="A30" s="2427" t="str">
        <f t="shared" ca="1" si="5"/>
        <v>R5=10;R1=1;R2=0400;R4=;COM=</v>
      </c>
      <c r="B30" s="579" t="s">
        <v>5536</v>
      </c>
      <c r="C30" s="541" t="s">
        <v>7546</v>
      </c>
      <c r="D30" s="110"/>
      <c r="E30" s="110"/>
      <c r="F30" s="110"/>
      <c r="G30" s="110"/>
      <c r="H30" s="110"/>
      <c r="I30" s="110"/>
      <c r="J30" s="3738"/>
      <c r="K30" s="3738"/>
      <c r="L30" s="110"/>
      <c r="M30" s="108">
        <f t="shared" si="2"/>
        <v>0</v>
      </c>
      <c r="N30" s="203"/>
    </row>
    <row r="31" spans="1:14">
      <c r="A31" s="2427" t="str">
        <f t="shared" ca="1" si="5"/>
        <v>R5=10;R1=1;R2=0500;R4=;COM=</v>
      </c>
      <c r="B31" s="579" t="s">
        <v>5536</v>
      </c>
      <c r="C31" s="541" t="s">
        <v>7547</v>
      </c>
      <c r="D31" s="110"/>
      <c r="E31" s="110"/>
      <c r="F31" s="110"/>
      <c r="G31" s="110"/>
      <c r="H31" s="110"/>
      <c r="I31" s="110"/>
      <c r="J31" s="3738"/>
      <c r="K31" s="3738"/>
      <c r="L31" s="110"/>
      <c r="M31" s="108">
        <f t="shared" si="2"/>
        <v>0</v>
      </c>
      <c r="N31" s="203"/>
    </row>
    <row r="32" spans="1:14">
      <c r="A32" s="2427" t="str">
        <f t="shared" ca="1" si="5"/>
        <v>R5=10;R1=1;R2=0600;R4=;COM=</v>
      </c>
      <c r="B32" s="579" t="s">
        <v>5536</v>
      </c>
      <c r="C32" s="541" t="s">
        <v>7548</v>
      </c>
      <c r="D32" s="110"/>
      <c r="E32" s="110"/>
      <c r="F32" s="110"/>
      <c r="G32" s="110"/>
      <c r="H32" s="110"/>
      <c r="I32" s="110"/>
      <c r="J32" s="3738"/>
      <c r="K32" s="3738"/>
      <c r="L32" s="110"/>
      <c r="M32" s="108">
        <f t="shared" si="2"/>
        <v>0</v>
      </c>
      <c r="N32" s="203"/>
    </row>
    <row r="33" spans="1:14">
      <c r="A33" s="2427" t="str">
        <f t="shared" ca="1" si="5"/>
        <v>R5=10;R1=1;R2=0800;R4=;COM=</v>
      </c>
      <c r="B33" s="579" t="s">
        <v>5536</v>
      </c>
      <c r="C33" s="541" t="s">
        <v>7549</v>
      </c>
      <c r="D33" s="110"/>
      <c r="E33" s="110"/>
      <c r="F33" s="110"/>
      <c r="G33" s="110"/>
      <c r="H33" s="110"/>
      <c r="I33" s="110"/>
      <c r="J33" s="3738"/>
      <c r="K33" s="3738"/>
      <c r="L33" s="110"/>
      <c r="M33" s="108">
        <f t="shared" ref="M33:M58" si="10">SUM(D33:L33)</f>
        <v>0</v>
      </c>
      <c r="N33" s="203"/>
    </row>
    <row r="34" spans="1:14" ht="25">
      <c r="A34" s="2427" t="str">
        <f t="shared" ca="1" si="5"/>
        <v>R5=10;R1=1;R2=0900;R4=;COM=</v>
      </c>
      <c r="B34" s="579" t="s">
        <v>5536</v>
      </c>
      <c r="C34" s="541" t="s">
        <v>7550</v>
      </c>
      <c r="D34" s="110"/>
      <c r="E34" s="110"/>
      <c r="F34" s="110"/>
      <c r="G34" s="110"/>
      <c r="H34" s="110"/>
      <c r="I34" s="110"/>
      <c r="J34" s="3738"/>
      <c r="K34" s="3738"/>
      <c r="L34" s="110"/>
      <c r="M34" s="108">
        <f t="shared" si="10"/>
        <v>0</v>
      </c>
      <c r="N34" s="203"/>
    </row>
    <row r="35" spans="1:14" ht="25">
      <c r="A35" s="2427" t="str">
        <f t="shared" ca="1" si="5"/>
        <v>R5=10;R1=1;R2=1000;R4=;COM=</v>
      </c>
      <c r="B35" s="579" t="s">
        <v>5536</v>
      </c>
      <c r="C35" s="541" t="s">
        <v>7551</v>
      </c>
      <c r="D35" s="110"/>
      <c r="E35" s="110"/>
      <c r="F35" s="110"/>
      <c r="G35" s="110"/>
      <c r="H35" s="110"/>
      <c r="I35" s="110"/>
      <c r="J35" s="3738"/>
      <c r="K35" s="3738"/>
      <c r="L35" s="110"/>
      <c r="M35" s="108">
        <f t="shared" si="10"/>
        <v>0</v>
      </c>
      <c r="N35" s="203"/>
    </row>
    <row r="36" spans="1:14" ht="25">
      <c r="A36" s="2427" t="str">
        <f t="shared" ca="1" si="5"/>
        <v>R5=10;R1=1;R2=1100;R4=;COM=</v>
      </c>
      <c r="B36" s="579" t="s">
        <v>5536</v>
      </c>
      <c r="C36" s="541" t="s">
        <v>7552</v>
      </c>
      <c r="D36" s="110"/>
      <c r="E36" s="110"/>
      <c r="F36" s="110"/>
      <c r="G36" s="110"/>
      <c r="H36" s="110"/>
      <c r="I36" s="110"/>
      <c r="J36" s="3738"/>
      <c r="K36" s="3738"/>
      <c r="L36" s="110"/>
      <c r="M36" s="108">
        <f t="shared" si="10"/>
        <v>0</v>
      </c>
      <c r="N36" s="203"/>
    </row>
    <row r="37" spans="1:14" ht="25">
      <c r="A37" s="2427" t="str">
        <f t="shared" ca="1" si="5"/>
        <v>R5=10;R1=1;R2=1200;R4=;COM=</v>
      </c>
      <c r="B37" s="579" t="s">
        <v>5536</v>
      </c>
      <c r="C37" s="541" t="s">
        <v>7553</v>
      </c>
      <c r="D37" s="110"/>
      <c r="E37" s="110"/>
      <c r="F37" s="110"/>
      <c r="G37" s="110"/>
      <c r="H37" s="110"/>
      <c r="I37" s="110"/>
      <c r="J37" s="3738"/>
      <c r="K37" s="3738"/>
      <c r="L37" s="110"/>
      <c r="M37" s="108">
        <f t="shared" si="10"/>
        <v>0</v>
      </c>
      <c r="N37" s="203"/>
    </row>
    <row r="38" spans="1:14">
      <c r="A38" s="2427" t="str">
        <f t="shared" ca="1" si="5"/>
        <v>R5=10;R1=1;R2=1400;R4=;COM=</v>
      </c>
      <c r="B38" s="579" t="s">
        <v>5536</v>
      </c>
      <c r="C38" s="541" t="s">
        <v>7554</v>
      </c>
      <c r="D38" s="110"/>
      <c r="E38" s="110"/>
      <c r="F38" s="110"/>
      <c r="G38" s="110"/>
      <c r="H38" s="110"/>
      <c r="I38" s="110"/>
      <c r="J38" s="3738"/>
      <c r="K38" s="3738"/>
      <c r="L38" s="110"/>
      <c r="M38" s="108">
        <f t="shared" si="10"/>
        <v>0</v>
      </c>
      <c r="N38" s="203"/>
    </row>
    <row r="39" spans="1:14" s="3437" customFormat="1" ht="25">
      <c r="A39" s="2427" t="str">
        <f t="shared" ca="1" si="5"/>
        <v>R5=10;R1=1;R2=1500;R4=;COM=</v>
      </c>
      <c r="B39" s="579"/>
      <c r="C39" s="541" t="s">
        <v>7555</v>
      </c>
      <c r="D39" s="1439"/>
      <c r="E39" s="1439"/>
      <c r="F39" s="1439"/>
      <c r="G39" s="1439"/>
      <c r="H39" s="1439"/>
      <c r="I39" s="1439"/>
      <c r="J39" s="3738"/>
      <c r="K39" s="3738"/>
      <c r="L39" s="1439"/>
      <c r="M39" s="108">
        <f t="shared" si="10"/>
        <v>0</v>
      </c>
      <c r="N39" s="203"/>
    </row>
    <row r="40" spans="1:14" s="2281" customFormat="1" ht="25">
      <c r="A40" s="2427" t="str">
        <f t="shared" ca="1" si="5"/>
        <v>R5=10;R1=1;R2=1600;R4=;COM=</v>
      </c>
      <c r="B40" s="579"/>
      <c r="C40" s="541" t="s">
        <v>14358</v>
      </c>
      <c r="D40" s="110"/>
      <c r="E40" s="110"/>
      <c r="F40" s="110"/>
      <c r="G40" s="110"/>
      <c r="H40" s="110"/>
      <c r="I40" s="110"/>
      <c r="J40" s="3738"/>
      <c r="K40" s="3738"/>
      <c r="L40" s="110"/>
      <c r="M40" s="108">
        <f t="shared" si="10"/>
        <v>0</v>
      </c>
      <c r="N40" s="203"/>
    </row>
    <row r="41" spans="1:14">
      <c r="A41" s="2427" t="str">
        <f t="shared" ca="1" si="5"/>
        <v/>
      </c>
      <c r="B41" s="579" t="s">
        <v>5536</v>
      </c>
      <c r="C41" s="539" t="s">
        <v>7587</v>
      </c>
      <c r="D41" s="108">
        <f>SUM(D42,D49,D55:D68)</f>
        <v>0</v>
      </c>
      <c r="E41" s="108">
        <f t="shared" ref="E41:I41" si="11">SUM(E42,E49,E55:E68)</f>
        <v>0</v>
      </c>
      <c r="F41" s="108">
        <f t="shared" si="11"/>
        <v>0</v>
      </c>
      <c r="G41" s="108">
        <f t="shared" si="11"/>
        <v>0</v>
      </c>
      <c r="H41" s="108">
        <f t="shared" si="11"/>
        <v>0</v>
      </c>
      <c r="I41" s="108">
        <f t="shared" si="11"/>
        <v>0</v>
      </c>
      <c r="J41" s="3738"/>
      <c r="K41" s="3738"/>
      <c r="L41" s="108">
        <f>SUM(L42,L49,L55:L68)</f>
        <v>0</v>
      </c>
      <c r="M41" s="108">
        <f>SUM(D41:L41)</f>
        <v>0</v>
      </c>
      <c r="N41" s="203"/>
    </row>
    <row r="42" spans="1:14">
      <c r="A42" s="2427" t="str">
        <f t="shared" ca="1" si="5"/>
        <v/>
      </c>
      <c r="B42" s="579" t="s">
        <v>5536</v>
      </c>
      <c r="C42" s="489" t="s">
        <v>7580</v>
      </c>
      <c r="D42" s="225">
        <f>D43+D46</f>
        <v>0</v>
      </c>
      <c r="E42" s="108">
        <f>SUM(E43,E46)</f>
        <v>0</v>
      </c>
      <c r="F42" s="108">
        <f>SUM(F43,F46)</f>
        <v>0</v>
      </c>
      <c r="G42" s="108">
        <f>SUM(G43,G46)</f>
        <v>0</v>
      </c>
      <c r="H42" s="108">
        <f>SUM(H43,H46)</f>
        <v>0</v>
      </c>
      <c r="I42" s="108">
        <f>SUM(I43,I46)</f>
        <v>0</v>
      </c>
      <c r="J42" s="3738"/>
      <c r="K42" s="3738"/>
      <c r="L42" s="108">
        <f>SUM(L43,L46)</f>
        <v>0</v>
      </c>
      <c r="M42" s="108">
        <f t="shared" si="10"/>
        <v>0</v>
      </c>
      <c r="N42" s="203"/>
    </row>
    <row r="43" spans="1:14" ht="25">
      <c r="A43" s="2427" t="str">
        <f t="shared" ca="1" si="5"/>
        <v/>
      </c>
      <c r="B43" s="579" t="s">
        <v>5536</v>
      </c>
      <c r="C43" s="341" t="s">
        <v>7581</v>
      </c>
      <c r="D43" s="225">
        <f>D44+D45</f>
        <v>0</v>
      </c>
      <c r="E43" s="108">
        <f t="shared" ref="E43:L43" si="12">SUM(E44:E45)</f>
        <v>0</v>
      </c>
      <c r="F43" s="108">
        <f t="shared" si="12"/>
        <v>0</v>
      </c>
      <c r="G43" s="108">
        <f t="shared" si="12"/>
        <v>0</v>
      </c>
      <c r="H43" s="108">
        <f>SUM(H44:H45)</f>
        <v>0</v>
      </c>
      <c r="I43" s="108">
        <f t="shared" si="12"/>
        <v>0</v>
      </c>
      <c r="J43" s="3738"/>
      <c r="K43" s="3738"/>
      <c r="L43" s="108">
        <f t="shared" si="12"/>
        <v>0</v>
      </c>
      <c r="M43" s="108">
        <f t="shared" si="10"/>
        <v>0</v>
      </c>
      <c r="N43" s="203"/>
    </row>
    <row r="44" spans="1:14" ht="25">
      <c r="A44" s="2427" t="str">
        <f t="shared" ca="1" si="5"/>
        <v>R5=10;R1=2;R2=0111;R4=;COM=</v>
      </c>
      <c r="B44" s="579" t="s">
        <v>5536</v>
      </c>
      <c r="C44" s="341" t="s">
        <v>7556</v>
      </c>
      <c r="D44" s="229"/>
      <c r="E44" s="110"/>
      <c r="F44" s="110"/>
      <c r="G44" s="110"/>
      <c r="H44" s="110"/>
      <c r="I44" s="110"/>
      <c r="J44" s="3738"/>
      <c r="K44" s="3738"/>
      <c r="L44" s="110"/>
      <c r="M44" s="108">
        <f t="shared" si="10"/>
        <v>0</v>
      </c>
      <c r="N44" s="203"/>
    </row>
    <row r="45" spans="1:14" ht="25">
      <c r="A45" s="2427" t="str">
        <f t="shared" ca="1" si="5"/>
        <v>R5=10;R1=2;R2=0112;R4=;COM=</v>
      </c>
      <c r="B45" s="579" t="s">
        <v>5536</v>
      </c>
      <c r="C45" s="341" t="s">
        <v>7557</v>
      </c>
      <c r="D45" s="229"/>
      <c r="E45" s="229"/>
      <c r="F45" s="229"/>
      <c r="G45" s="229"/>
      <c r="H45" s="229"/>
      <c r="I45" s="229"/>
      <c r="J45" s="3738"/>
      <c r="K45" s="3738"/>
      <c r="L45" s="229"/>
      <c r="M45" s="108">
        <f t="shared" si="10"/>
        <v>0</v>
      </c>
      <c r="N45" s="203"/>
    </row>
    <row r="46" spans="1:14" ht="25">
      <c r="A46" s="2427" t="str">
        <f t="shared" ca="1" si="5"/>
        <v/>
      </c>
      <c r="B46" s="579" t="s">
        <v>5536</v>
      </c>
      <c r="C46" s="489" t="s">
        <v>7582</v>
      </c>
      <c r="D46" s="225">
        <f>D47+D48</f>
        <v>0</v>
      </c>
      <c r="E46" s="108">
        <f t="shared" ref="E46:L46" si="13">SUM(E47:E48)</f>
        <v>0</v>
      </c>
      <c r="F46" s="108">
        <f t="shared" si="13"/>
        <v>0</v>
      </c>
      <c r="G46" s="108">
        <f t="shared" si="13"/>
        <v>0</v>
      </c>
      <c r="H46" s="108">
        <f>SUM(H47:H48)</f>
        <v>0</v>
      </c>
      <c r="I46" s="108">
        <f t="shared" si="13"/>
        <v>0</v>
      </c>
      <c r="J46" s="3738"/>
      <c r="K46" s="3738"/>
      <c r="L46" s="108">
        <f t="shared" si="13"/>
        <v>0</v>
      </c>
      <c r="M46" s="108">
        <f t="shared" si="10"/>
        <v>0</v>
      </c>
      <c r="N46" s="203"/>
    </row>
    <row r="47" spans="1:14" ht="25">
      <c r="A47" s="2427" t="str">
        <f t="shared" ca="1" si="5"/>
        <v>R5=10;R1=2;R2=0121;R4=;COM=</v>
      </c>
      <c r="B47" s="579" t="s">
        <v>5536</v>
      </c>
      <c r="C47" s="341" t="s">
        <v>7558</v>
      </c>
      <c r="D47" s="229"/>
      <c r="E47" s="110"/>
      <c r="F47" s="110"/>
      <c r="G47" s="110"/>
      <c r="H47" s="110"/>
      <c r="I47" s="110"/>
      <c r="J47" s="3738"/>
      <c r="K47" s="3738"/>
      <c r="L47" s="110"/>
      <c r="M47" s="108">
        <f t="shared" si="10"/>
        <v>0</v>
      </c>
      <c r="N47" s="203"/>
    </row>
    <row r="48" spans="1:14" ht="25">
      <c r="A48" s="2427" t="str">
        <f t="shared" ca="1" si="5"/>
        <v>R5=10;R1=2;R2=0122;R4=;COM=</v>
      </c>
      <c r="B48" s="579" t="s">
        <v>5536</v>
      </c>
      <c r="C48" s="341" t="s">
        <v>7559</v>
      </c>
      <c r="D48" s="229"/>
      <c r="E48" s="110"/>
      <c r="F48" s="110"/>
      <c r="G48" s="110"/>
      <c r="H48" s="110"/>
      <c r="I48" s="110"/>
      <c r="J48" s="3738"/>
      <c r="K48" s="3738"/>
      <c r="L48" s="110"/>
      <c r="M48" s="108">
        <f t="shared" si="10"/>
        <v>0</v>
      </c>
      <c r="N48" s="203"/>
    </row>
    <row r="49" spans="1:14" ht="25">
      <c r="A49" s="2427" t="str">
        <f t="shared" ca="1" si="5"/>
        <v/>
      </c>
      <c r="B49" s="579" t="s">
        <v>5536</v>
      </c>
      <c r="C49" s="489" t="s">
        <v>7583</v>
      </c>
      <c r="D49" s="225">
        <f>D50+D53+D54</f>
        <v>0</v>
      </c>
      <c r="E49" s="225">
        <f t="shared" ref="E49:L49" si="14">E50+E53+E54</f>
        <v>0</v>
      </c>
      <c r="F49" s="225">
        <f t="shared" si="14"/>
        <v>0</v>
      </c>
      <c r="G49" s="225">
        <f t="shared" si="14"/>
        <v>0</v>
      </c>
      <c r="H49" s="225">
        <f t="shared" si="14"/>
        <v>0</v>
      </c>
      <c r="I49" s="225">
        <f t="shared" si="14"/>
        <v>0</v>
      </c>
      <c r="J49" s="3738"/>
      <c r="K49" s="3738"/>
      <c r="L49" s="225">
        <f t="shared" si="14"/>
        <v>0</v>
      </c>
      <c r="M49" s="108">
        <f t="shared" si="10"/>
        <v>0</v>
      </c>
      <c r="N49" s="203"/>
    </row>
    <row r="50" spans="1:14" ht="37.5">
      <c r="A50" s="2427" t="str">
        <f t="shared" ca="1" si="5"/>
        <v/>
      </c>
      <c r="B50" s="579" t="s">
        <v>5536</v>
      </c>
      <c r="C50" s="341" t="s">
        <v>7584</v>
      </c>
      <c r="D50" s="225">
        <f>D51+D52</f>
        <v>0</v>
      </c>
      <c r="E50" s="108">
        <f t="shared" ref="E50:L50" si="15">SUM(E51:E52)</f>
        <v>0</v>
      </c>
      <c r="F50" s="108">
        <f t="shared" si="15"/>
        <v>0</v>
      </c>
      <c r="G50" s="108">
        <f t="shared" si="15"/>
        <v>0</v>
      </c>
      <c r="H50" s="108">
        <f>SUM(H51:H52)</f>
        <v>0</v>
      </c>
      <c r="I50" s="108">
        <f t="shared" si="15"/>
        <v>0</v>
      </c>
      <c r="J50" s="3738"/>
      <c r="K50" s="3738"/>
      <c r="L50" s="108">
        <f t="shared" si="15"/>
        <v>0</v>
      </c>
      <c r="M50" s="108">
        <f t="shared" si="10"/>
        <v>0</v>
      </c>
      <c r="N50" s="203"/>
    </row>
    <row r="51" spans="1:14" ht="37.5">
      <c r="A51" s="2427" t="str">
        <f t="shared" ca="1" si="5"/>
        <v>R5=10;R1=2;R2=0211;R4=;COM=</v>
      </c>
      <c r="B51" s="579" t="s">
        <v>5536</v>
      </c>
      <c r="C51" s="341" t="s">
        <v>7560</v>
      </c>
      <c r="D51" s="229"/>
      <c r="E51" s="110"/>
      <c r="F51" s="110"/>
      <c r="G51" s="110"/>
      <c r="H51" s="110"/>
      <c r="I51" s="110"/>
      <c r="J51" s="3738"/>
      <c r="K51" s="3738"/>
      <c r="L51" s="110"/>
      <c r="M51" s="108">
        <f t="shared" si="10"/>
        <v>0</v>
      </c>
      <c r="N51" s="203"/>
    </row>
    <row r="52" spans="1:14" ht="37.5">
      <c r="A52" s="2427" t="str">
        <f t="shared" ca="1" si="5"/>
        <v>R5=10;R1=2;R2=0212;R4=;COM=</v>
      </c>
      <c r="B52" s="579" t="s">
        <v>5536</v>
      </c>
      <c r="C52" s="341" t="s">
        <v>7561</v>
      </c>
      <c r="D52" s="229"/>
      <c r="E52" s="229"/>
      <c r="F52" s="229"/>
      <c r="G52" s="229"/>
      <c r="H52" s="229"/>
      <c r="I52" s="229"/>
      <c r="J52" s="3738"/>
      <c r="K52" s="3738"/>
      <c r="L52" s="229"/>
      <c r="M52" s="108">
        <f t="shared" si="10"/>
        <v>0</v>
      </c>
      <c r="N52" s="203"/>
    </row>
    <row r="53" spans="1:14" ht="37.5">
      <c r="A53" s="2427" t="str">
        <f t="shared" ca="1" si="5"/>
        <v>R5=10;R1=2;R2=0221;R4=;COM=</v>
      </c>
      <c r="B53" s="579" t="s">
        <v>5536</v>
      </c>
      <c r="C53" s="341" t="s">
        <v>7562</v>
      </c>
      <c r="D53" s="230"/>
      <c r="E53" s="230"/>
      <c r="F53" s="230"/>
      <c r="G53" s="230"/>
      <c r="H53" s="230"/>
      <c r="I53" s="230"/>
      <c r="J53" s="3738"/>
      <c r="K53" s="3738"/>
      <c r="L53" s="230"/>
      <c r="M53" s="108">
        <f t="shared" si="10"/>
        <v>0</v>
      </c>
      <c r="N53" s="203"/>
    </row>
    <row r="54" spans="1:14" ht="25">
      <c r="A54" s="2427" t="str">
        <f t="shared" ca="1" si="5"/>
        <v>R5=10;R1=2;R2=0222;R4=;COM=</v>
      </c>
      <c r="B54" s="579" t="s">
        <v>5536</v>
      </c>
      <c r="C54" s="506" t="s">
        <v>7563</v>
      </c>
      <c r="D54" s="230"/>
      <c r="E54" s="230"/>
      <c r="F54" s="230"/>
      <c r="G54" s="230"/>
      <c r="H54" s="230"/>
      <c r="I54" s="230"/>
      <c r="J54" s="3738"/>
      <c r="K54" s="3738"/>
      <c r="L54" s="230"/>
      <c r="M54" s="108">
        <f t="shared" si="10"/>
        <v>0</v>
      </c>
      <c r="N54" s="203"/>
    </row>
    <row r="55" spans="1:14" ht="25">
      <c r="A55" s="2427" t="str">
        <f t="shared" ca="1" si="5"/>
        <v>R5=10;R1=2;R2=0310;R4=;COM=</v>
      </c>
      <c r="B55" s="579" t="s">
        <v>5536</v>
      </c>
      <c r="C55" s="506" t="s">
        <v>7542</v>
      </c>
      <c r="D55" s="110"/>
      <c r="E55" s="110"/>
      <c r="F55" s="110"/>
      <c r="G55" s="110"/>
      <c r="H55" s="110"/>
      <c r="I55" s="110"/>
      <c r="J55" s="3738"/>
      <c r="K55" s="3738"/>
      <c r="L55" s="110"/>
      <c r="M55" s="108">
        <f t="shared" si="10"/>
        <v>0</v>
      </c>
      <c r="N55" s="203"/>
    </row>
    <row r="56" spans="1:14" ht="25">
      <c r="A56" s="2427" t="str">
        <f t="shared" ca="1" si="5"/>
        <v>R5=10;R1=2;R2=0312;R4=;COM=</v>
      </c>
      <c r="B56" s="579" t="s">
        <v>5536</v>
      </c>
      <c r="C56" s="506" t="s">
        <v>7543</v>
      </c>
      <c r="D56" s="110"/>
      <c r="E56" s="110"/>
      <c r="F56" s="110"/>
      <c r="G56" s="110"/>
      <c r="H56" s="110"/>
      <c r="I56" s="110"/>
      <c r="J56" s="3738"/>
      <c r="K56" s="3738"/>
      <c r="L56" s="110"/>
      <c r="M56" s="108">
        <f t="shared" si="10"/>
        <v>0</v>
      </c>
      <c r="N56" s="203"/>
    </row>
    <row r="57" spans="1:14">
      <c r="A57" s="2427" t="str">
        <f t="shared" ca="1" si="5"/>
        <v>R5=10;R1=2;R2=0320;R4=;COM=</v>
      </c>
      <c r="B57" s="579" t="s">
        <v>5536</v>
      </c>
      <c r="C57" s="542" t="s">
        <v>7564</v>
      </c>
      <c r="D57" s="230"/>
      <c r="E57" s="230"/>
      <c r="F57" s="230"/>
      <c r="G57" s="230"/>
      <c r="H57" s="230"/>
      <c r="I57" s="230"/>
      <c r="J57" s="3738"/>
      <c r="K57" s="3738"/>
      <c r="L57" s="230"/>
      <c r="M57" s="108">
        <f t="shared" si="10"/>
        <v>0</v>
      </c>
      <c r="N57" s="203"/>
    </row>
    <row r="58" spans="1:14" ht="25">
      <c r="A58" s="2427" t="str">
        <f t="shared" ca="1" si="5"/>
        <v>R5=10;R1=2;R2=0400;R4=;COM=</v>
      </c>
      <c r="B58" s="579" t="s">
        <v>5536</v>
      </c>
      <c r="C58" s="541" t="s">
        <v>7565</v>
      </c>
      <c r="D58" s="110"/>
      <c r="E58" s="110"/>
      <c r="F58" s="110"/>
      <c r="G58" s="110"/>
      <c r="H58" s="110"/>
      <c r="I58" s="110"/>
      <c r="J58" s="3738"/>
      <c r="K58" s="3738"/>
      <c r="L58" s="230"/>
      <c r="M58" s="108">
        <f t="shared" si="10"/>
        <v>0</v>
      </c>
      <c r="N58" s="203"/>
    </row>
    <row r="59" spans="1:14">
      <c r="A59" s="2427" t="str">
        <f t="shared" ca="1" si="5"/>
        <v>R5=10;R1=2;R2=0500;R4=;COM=</v>
      </c>
      <c r="B59" s="579" t="s">
        <v>5536</v>
      </c>
      <c r="C59" s="541" t="s">
        <v>7566</v>
      </c>
      <c r="D59" s="110"/>
      <c r="E59" s="110"/>
      <c r="F59" s="110"/>
      <c r="G59" s="110"/>
      <c r="H59" s="110"/>
      <c r="I59" s="110"/>
      <c r="J59" s="3738"/>
      <c r="K59" s="3738"/>
      <c r="L59" s="110"/>
      <c r="M59" s="108">
        <f t="shared" ref="M59:M68" si="16">SUM(D59:L59)</f>
        <v>0</v>
      </c>
      <c r="N59" s="203"/>
    </row>
    <row r="60" spans="1:14">
      <c r="A60" s="2427" t="str">
        <f t="shared" ca="1" si="5"/>
        <v>R5=10;R1=2;R2=0600;R4=;COM=</v>
      </c>
      <c r="B60" s="579" t="s">
        <v>5536</v>
      </c>
      <c r="C60" s="541" t="s">
        <v>7567</v>
      </c>
      <c r="D60" s="110"/>
      <c r="E60" s="110"/>
      <c r="F60" s="110"/>
      <c r="G60" s="110"/>
      <c r="H60" s="110"/>
      <c r="I60" s="110"/>
      <c r="J60" s="3738"/>
      <c r="K60" s="3738"/>
      <c r="L60" s="110"/>
      <c r="M60" s="108">
        <f t="shared" si="16"/>
        <v>0</v>
      </c>
      <c r="N60" s="203"/>
    </row>
    <row r="61" spans="1:14" ht="25">
      <c r="A61" s="2427" t="str">
        <f t="shared" ca="1" si="5"/>
        <v>R5=10;R1=2;R2=0800;R4=;COM=</v>
      </c>
      <c r="B61" s="579" t="s">
        <v>5536</v>
      </c>
      <c r="C61" s="541" t="s">
        <v>7568</v>
      </c>
      <c r="D61" s="110"/>
      <c r="E61" s="110"/>
      <c r="F61" s="110"/>
      <c r="G61" s="110"/>
      <c r="H61" s="110"/>
      <c r="I61" s="110"/>
      <c r="J61" s="3738"/>
      <c r="K61" s="3738"/>
      <c r="L61" s="110"/>
      <c r="M61" s="108">
        <f t="shared" si="16"/>
        <v>0</v>
      </c>
      <c r="N61" s="203"/>
    </row>
    <row r="62" spans="1:14" ht="25">
      <c r="A62" s="2427" t="str">
        <f t="shared" ca="1" si="5"/>
        <v>R5=10;R1=2;R2=0900;R4=;COM=</v>
      </c>
      <c r="B62" s="579" t="s">
        <v>5536</v>
      </c>
      <c r="C62" s="541" t="s">
        <v>7569</v>
      </c>
      <c r="D62" s="110"/>
      <c r="E62" s="110"/>
      <c r="F62" s="110"/>
      <c r="G62" s="110"/>
      <c r="H62" s="110"/>
      <c r="I62" s="110"/>
      <c r="J62" s="3738"/>
      <c r="K62" s="3738"/>
      <c r="L62" s="110"/>
      <c r="M62" s="108">
        <f t="shared" si="16"/>
        <v>0</v>
      </c>
      <c r="N62" s="203"/>
    </row>
    <row r="63" spans="1:14" ht="25">
      <c r="A63" s="2427" t="str">
        <f t="shared" ca="1" si="5"/>
        <v>R5=10;R1=2;R2=1000;R4=;COM=</v>
      </c>
      <c r="B63" s="579" t="s">
        <v>5536</v>
      </c>
      <c r="C63" s="541" t="s">
        <v>7570</v>
      </c>
      <c r="D63" s="110"/>
      <c r="E63" s="110"/>
      <c r="F63" s="110"/>
      <c r="G63" s="110"/>
      <c r="H63" s="110"/>
      <c r="I63" s="110"/>
      <c r="J63" s="3738"/>
      <c r="K63" s="3738"/>
      <c r="L63" s="110"/>
      <c r="M63" s="108">
        <f t="shared" si="16"/>
        <v>0</v>
      </c>
      <c r="N63" s="203"/>
    </row>
    <row r="64" spans="1:14" ht="25">
      <c r="A64" s="2427" t="str">
        <f t="shared" ca="1" si="5"/>
        <v>R5=10;R1=2;R2=1100;R4=;COM=</v>
      </c>
      <c r="B64" s="579" t="s">
        <v>5536</v>
      </c>
      <c r="C64" s="541" t="s">
        <v>7571</v>
      </c>
      <c r="D64" s="110"/>
      <c r="E64" s="110"/>
      <c r="F64" s="110"/>
      <c r="G64" s="110"/>
      <c r="H64" s="110"/>
      <c r="I64" s="110"/>
      <c r="J64" s="3738"/>
      <c r="K64" s="3738"/>
      <c r="L64" s="110"/>
      <c r="M64" s="108">
        <f t="shared" si="16"/>
        <v>0</v>
      </c>
      <c r="N64" s="203"/>
    </row>
    <row r="65" spans="1:14" ht="25">
      <c r="A65" s="2427" t="str">
        <f t="shared" ca="1" si="5"/>
        <v>R5=10;R1=2;R2=1200;R4=;COM=</v>
      </c>
      <c r="B65" s="579" t="s">
        <v>5536</v>
      </c>
      <c r="C65" s="541" t="s">
        <v>7572</v>
      </c>
      <c r="D65" s="110"/>
      <c r="E65" s="110"/>
      <c r="F65" s="110"/>
      <c r="G65" s="110"/>
      <c r="H65" s="110"/>
      <c r="I65" s="110"/>
      <c r="J65" s="3738"/>
      <c r="K65" s="3738"/>
      <c r="L65" s="110"/>
      <c r="M65" s="108">
        <f t="shared" si="16"/>
        <v>0</v>
      </c>
      <c r="N65" s="203"/>
    </row>
    <row r="66" spans="1:14">
      <c r="A66" s="2427" t="str">
        <f t="shared" ca="1" si="5"/>
        <v>R5=10;R1=2;R2=1400;R4=;COM=</v>
      </c>
      <c r="B66" s="579" t="s">
        <v>5536</v>
      </c>
      <c r="C66" s="541" t="s">
        <v>7573</v>
      </c>
      <c r="D66" s="110"/>
      <c r="E66" s="110"/>
      <c r="F66" s="110"/>
      <c r="G66" s="110"/>
      <c r="H66" s="110"/>
      <c r="I66" s="110"/>
      <c r="J66" s="3738"/>
      <c r="K66" s="3738"/>
      <c r="L66" s="110"/>
      <c r="M66" s="108">
        <f t="shared" si="16"/>
        <v>0</v>
      </c>
      <c r="N66" s="203"/>
    </row>
    <row r="67" spans="1:14" s="3437" customFormat="1" ht="37.5">
      <c r="A67" s="2427" t="str">
        <f t="shared" ca="1" si="5"/>
        <v>R5=10;R1=2;R2=1500;R4=;COM=</v>
      </c>
      <c r="B67" s="579"/>
      <c r="C67" s="541" t="s">
        <v>7574</v>
      </c>
      <c r="D67" s="1439"/>
      <c r="E67" s="1439"/>
      <c r="F67" s="1439"/>
      <c r="G67" s="1439"/>
      <c r="H67" s="1439"/>
      <c r="I67" s="1439"/>
      <c r="J67" s="3738"/>
      <c r="K67" s="3738"/>
      <c r="L67" s="1439"/>
      <c r="M67" s="108">
        <f t="shared" si="16"/>
        <v>0</v>
      </c>
      <c r="N67" s="203"/>
    </row>
    <row r="68" spans="1:14" s="2625" customFormat="1" ht="25">
      <c r="A68" s="2427" t="str">
        <f t="shared" ca="1" si="5"/>
        <v>R5=10;R1=2;R2=1600;R4=;COM=</v>
      </c>
      <c r="B68" s="579"/>
      <c r="C68" s="541" t="s">
        <v>14359</v>
      </c>
      <c r="D68" s="110"/>
      <c r="E68" s="110"/>
      <c r="F68" s="110"/>
      <c r="G68" s="110"/>
      <c r="H68" s="110"/>
      <c r="I68" s="110"/>
      <c r="J68" s="3739"/>
      <c r="K68" s="3739"/>
      <c r="L68" s="110"/>
      <c r="M68" s="108">
        <f t="shared" si="16"/>
        <v>0</v>
      </c>
      <c r="N68" s="203"/>
    </row>
    <row r="69" spans="1:14">
      <c r="A69" s="2427"/>
      <c r="B69" s="579" t="s">
        <v>5536</v>
      </c>
      <c r="C69" s="227" t="s">
        <v>4274</v>
      </c>
      <c r="D69" s="108">
        <f t="shared" ref="D69:M69" si="17">SUM(D70:D65523)</f>
        <v>0</v>
      </c>
      <c r="E69" s="108">
        <f t="shared" si="17"/>
        <v>0</v>
      </c>
      <c r="F69" s="108">
        <f t="shared" si="17"/>
        <v>0</v>
      </c>
      <c r="G69" s="108">
        <f t="shared" si="17"/>
        <v>0</v>
      </c>
      <c r="H69" s="108">
        <f t="shared" si="17"/>
        <v>0</v>
      </c>
      <c r="I69" s="108">
        <f t="shared" si="17"/>
        <v>0</v>
      </c>
      <c r="J69" s="108">
        <f t="shared" si="17"/>
        <v>0</v>
      </c>
      <c r="K69" s="108">
        <f t="shared" si="17"/>
        <v>0</v>
      </c>
      <c r="L69" s="108">
        <f t="shared" si="17"/>
        <v>0</v>
      </c>
      <c r="M69" s="108">
        <f t="shared" si="17"/>
        <v>0</v>
      </c>
      <c r="N69" s="203"/>
    </row>
    <row r="70" spans="1:14">
      <c r="A70" s="2427" t="str">
        <f t="shared" ref="A70:A75" si="18">"R5=41;R6="&amp;IFERROR(MID(C70,FIND("{",C70)+1,FIND("}",C70)-FIND("{",C70)-1),"")&amp;";COM="&amp;N70</f>
        <v>R5=41;R6=;COM=</v>
      </c>
      <c r="B70" s="579"/>
      <c r="C70" s="805"/>
      <c r="D70" s="110"/>
      <c r="E70" s="110"/>
      <c r="F70" s="110"/>
      <c r="G70" s="110"/>
      <c r="H70" s="110"/>
      <c r="I70" s="110"/>
      <c r="J70" s="110"/>
      <c r="K70" s="1439"/>
      <c r="L70" s="110"/>
      <c r="M70" s="1904">
        <f t="shared" ref="M70:M75" si="19">SUM(D70:L70)</f>
        <v>0</v>
      </c>
      <c r="N70" s="203"/>
    </row>
    <row r="71" spans="1:14">
      <c r="A71" s="2427" t="str">
        <f t="shared" si="18"/>
        <v>R5=41;R6=;COM=</v>
      </c>
      <c r="B71" s="579"/>
      <c r="C71" s="805"/>
      <c r="D71" s="110"/>
      <c r="E71" s="110"/>
      <c r="F71" s="110"/>
      <c r="G71" s="110"/>
      <c r="H71" s="110"/>
      <c r="I71" s="110"/>
      <c r="J71" s="110"/>
      <c r="K71" s="1439"/>
      <c r="L71" s="110"/>
      <c r="M71" s="1904">
        <f t="shared" si="19"/>
        <v>0</v>
      </c>
      <c r="N71" s="203"/>
    </row>
    <row r="72" spans="1:14">
      <c r="A72" s="2427" t="str">
        <f t="shared" si="18"/>
        <v>R5=41;R6=;COM=</v>
      </c>
      <c r="B72" s="579"/>
      <c r="C72" s="805"/>
      <c r="D72" s="110"/>
      <c r="E72" s="110"/>
      <c r="F72" s="110"/>
      <c r="G72" s="110"/>
      <c r="H72" s="110"/>
      <c r="I72" s="110"/>
      <c r="J72" s="110"/>
      <c r="K72" s="1439"/>
      <c r="L72" s="110"/>
      <c r="M72" s="1904">
        <f t="shared" si="19"/>
        <v>0</v>
      </c>
      <c r="N72" s="203"/>
    </row>
    <row r="73" spans="1:14">
      <c r="A73" s="2427" t="str">
        <f t="shared" si="18"/>
        <v>R5=41;R6=;COM=</v>
      </c>
      <c r="B73" s="579"/>
      <c r="C73" s="805"/>
      <c r="D73" s="110"/>
      <c r="E73" s="110"/>
      <c r="F73" s="110"/>
      <c r="G73" s="110"/>
      <c r="H73" s="110"/>
      <c r="I73" s="110"/>
      <c r="J73" s="110"/>
      <c r="K73" s="1439"/>
      <c r="L73" s="110"/>
      <c r="M73" s="1904">
        <f t="shared" si="19"/>
        <v>0</v>
      </c>
      <c r="N73" s="203"/>
    </row>
    <row r="74" spans="1:14" s="2265" customFormat="1">
      <c r="A74" s="2427" t="str">
        <f t="shared" si="18"/>
        <v>R5=41;R6=;COM=</v>
      </c>
      <c r="B74" s="579"/>
      <c r="C74" s="805"/>
      <c r="D74" s="110"/>
      <c r="E74" s="110"/>
      <c r="F74" s="110"/>
      <c r="G74" s="110"/>
      <c r="H74" s="110"/>
      <c r="I74" s="110"/>
      <c r="J74" s="110"/>
      <c r="K74" s="1439"/>
      <c r="L74" s="110"/>
      <c r="M74" s="1904">
        <f t="shared" si="19"/>
        <v>0</v>
      </c>
      <c r="N74" s="203"/>
    </row>
    <row r="75" spans="1:14" s="2265" customFormat="1" ht="15" thickBot="1">
      <c r="A75" s="2427" t="str">
        <f t="shared" si="18"/>
        <v>R5=41;R6=;COM=</v>
      </c>
      <c r="B75" s="579"/>
      <c r="C75" s="2412"/>
      <c r="D75" s="152"/>
      <c r="E75" s="152"/>
      <c r="F75" s="152"/>
      <c r="G75" s="152"/>
      <c r="H75" s="152"/>
      <c r="I75" s="152"/>
      <c r="J75" s="152"/>
      <c r="K75" s="2184"/>
      <c r="L75" s="152"/>
      <c r="M75" s="1905">
        <f t="shared" si="19"/>
        <v>0</v>
      </c>
      <c r="N75" s="784"/>
    </row>
  </sheetData>
  <sheetProtection algorithmName="SHA-512" hashValue="JTEn3mT1txpYLfCX53AwZuiCjmyunEnTmHFFb/6LQSHQXryXeNePgeQaVOPcS6jMOxqEs1zmBmYPInjxaTPaRA==" saltValue="0ApvETpJt0qUqr/BNzJazw==" spinCount="100000" sheet="1" objects="1" scenarios="1" formatColumns="0" formatRows="0" autoFilter="0"/>
  <autoFilter ref="C7:N75"/>
  <customSheetViews>
    <customSheetView guid="{3769259D-9653-4B34-A2F6-4FB6F9F4E533}" scale="70" showGridLines="0" showAutoFilter="1" hiddenRows="1" hiddenColumns="1">
      <pane xSplit="3" ySplit="7" topLeftCell="D8" activePane="bottomRight" state="frozen"/>
      <selection pane="bottomRight" activeCell="C6" sqref="C6"/>
      <pageMargins left="0.7" right="0.7" top="0.75" bottom="0.75" header="0.3" footer="0.3"/>
      <autoFilter ref="B1:N1"/>
    </customSheetView>
    <customSheetView guid="{40D7A2BB-326C-4ED3-999C-17852F56D6F4}" scale="70" showGridLines="0" showAutoFilter="1" hiddenRows="1" hiddenColumns="1">
      <pane xSplit="3" ySplit="7" topLeftCell="D8" activePane="bottomRight" state="frozen"/>
      <selection pane="bottomRight" activeCell="C6" sqref="C6"/>
      <pageMargins left="0.7" right="0.7" top="0.75" bottom="0.75" header="0.3" footer="0.3"/>
      <autoFilter ref="B1:N1"/>
    </customSheetView>
    <customSheetView guid="{5D121940-0CE8-4A0E-A493-67FAAA6E0FF8}" scale="70" showGridLines="0" showAutoFilter="1" hiddenRows="1" hiddenColumns="1" topLeftCell="B2">
      <pane xSplit="2" ySplit="7" topLeftCell="D9" activePane="bottomRight" state="frozen"/>
      <selection pane="bottomRight" activeCell="C7" sqref="C7"/>
      <pageMargins left="0.7" right="0.7" top="0.75" bottom="0.75" header="0.3" footer="0.3"/>
      <autoFilter ref="B1:N1"/>
    </customSheetView>
    <customSheetView guid="{47AEACC4-6EA5-412C-AF39-A6C5357B313A}" scale="70" showGridLines="0" showAutoFilter="1" hiddenRows="1" hiddenColumns="1" topLeftCell="B2">
      <pane xSplit="2" ySplit="7" topLeftCell="D9" activePane="bottomRight" state="frozen"/>
      <selection pane="bottomRight" activeCell="D2" sqref="D2:L2"/>
      <pageMargins left="0.7" right="0.7" top="0.75" bottom="0.75" header="0.3" footer="0.3"/>
      <autoFilter ref="B1:N1"/>
    </customSheetView>
    <customSheetView guid="{4D957B38-5430-481E-B791-E0A66F913B50}" scale="70">
      <selection activeCell="C4" sqref="C4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2" ySplit="7" topLeftCell="D9" activePane="bottomRight" state="frozen"/>
      <selection pane="bottomRight" activeCell="C7" sqref="C7"/>
      <pageMargins left="0.7" right="0.7" top="0.75" bottom="0.75" header="0.3" footer="0.3"/>
      <autoFilter ref="B1:N1"/>
    </customSheetView>
  </customSheetViews>
  <mergeCells count="8">
    <mergeCell ref="J9:J68"/>
    <mergeCell ref="N4:N5"/>
    <mergeCell ref="M4:M5"/>
    <mergeCell ref="C4:C5"/>
    <mergeCell ref="D4:D5"/>
    <mergeCell ref="E4:F4"/>
    <mergeCell ref="G4:L4"/>
    <mergeCell ref="K9:K68"/>
  </mergeCells>
  <phoneticPr fontId="0" type="noConversion"/>
  <dataValidations count="2">
    <dataValidation operator="equal" allowBlank="1" showErrorMessage="1" errorTitle="Выбор элемента списка" error="Данного элемента нет в списке" sqref="D70:F75 M70:N75 N9:N69 M9:M68"/>
    <dataValidation type="list" operator="equal" allowBlank="1" showErrorMessage="1" errorTitle="Выбор элемента списка" error="Данного элемента нет в списке" sqref="C70:C75">
      <formula1>_2145_tmc</formula1>
    </dataValidation>
  </dataValidations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0" fitToWidth="2" fitToHeight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ddButtonsRowAdd">
                <anchor moveWithCells="1">
                  <from>
                    <xdr:col>3</xdr:col>
                    <xdr:colOff>1098550</xdr:colOff>
                    <xdr:row>1</xdr:row>
                    <xdr:rowOff>107950</xdr:rowOff>
                  </from>
                  <to>
                    <xdr:col>5</xdr:col>
                    <xdr:colOff>107950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R28"/>
  <sheetViews>
    <sheetView topLeftCell="B2" zoomScale="66" zoomScaleNormal="66" workbookViewId="0">
      <selection activeCell="F17" sqref="F17"/>
    </sheetView>
  </sheetViews>
  <sheetFormatPr defaultColWidth="15.453125" defaultRowHeight="14.5"/>
  <cols>
    <col min="1" max="1" width="11.81640625" style="7" hidden="1" customWidth="1"/>
    <col min="2" max="2" width="2" style="1163" customWidth="1"/>
    <col min="3" max="3" width="54.54296875" style="1163" customWidth="1"/>
    <col min="4" max="4" width="18" style="1163" customWidth="1"/>
    <col min="5" max="5" width="18" style="2422" customWidth="1"/>
    <col min="6" max="16" width="18" style="1163" customWidth="1"/>
    <col min="17" max="17" width="18" style="2422" customWidth="1"/>
    <col min="18" max="18" width="18" style="1163" customWidth="1"/>
    <col min="19" max="16384" width="15.453125" style="1163"/>
  </cols>
  <sheetData>
    <row r="1" spans="1:18" s="6" customFormat="1" ht="18" hidden="1" customHeight="1">
      <c r="A1" s="167" t="s">
        <v>4431</v>
      </c>
      <c r="E1" s="2438" t="s">
        <v>7746</v>
      </c>
      <c r="F1" s="2438" t="s">
        <v>7747</v>
      </c>
      <c r="G1" s="6" t="s">
        <v>356</v>
      </c>
      <c r="H1" s="6" t="s">
        <v>357</v>
      </c>
      <c r="I1" s="6" t="s">
        <v>358</v>
      </c>
      <c r="J1" s="6" t="s">
        <v>359</v>
      </c>
      <c r="K1" s="6" t="s">
        <v>360</v>
      </c>
      <c r="L1" s="6" t="s">
        <v>361</v>
      </c>
      <c r="M1" s="6" t="s">
        <v>362</v>
      </c>
      <c r="N1" s="6" t="s">
        <v>363</v>
      </c>
      <c r="P1" s="2438" t="s">
        <v>7748</v>
      </c>
      <c r="Q1" s="2438" t="s">
        <v>7756</v>
      </c>
    </row>
    <row r="2" spans="1:18" s="1778" customFormat="1">
      <c r="A2" s="7"/>
      <c r="B2" s="1919"/>
      <c r="C2" s="1919"/>
      <c r="D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</row>
    <row r="3" spans="1:18" ht="26">
      <c r="A3" s="9"/>
      <c r="C3" s="11" t="s">
        <v>4902</v>
      </c>
      <c r="D3"/>
      <c r="E3" s="2664"/>
      <c r="F3"/>
      <c r="G3" s="1897" t="s">
        <v>2067</v>
      </c>
      <c r="H3" s="1244">
        <f>Содержание!$D$2</f>
        <v>0</v>
      </c>
      <c r="I3" s="10"/>
      <c r="J3" s="10"/>
      <c r="K3" s="10"/>
      <c r="L3" s="10"/>
      <c r="M3" s="10"/>
      <c r="N3" s="10"/>
    </row>
    <row r="4" spans="1:18" ht="15" thickBot="1">
      <c r="A4" s="9"/>
      <c r="D4" s="10"/>
      <c r="E4" s="10"/>
      <c r="F4" s="10"/>
      <c r="G4" s="1897" t="s">
        <v>2075</v>
      </c>
      <c r="H4" s="1244" t="str">
        <f>Содержание!$D$15</f>
        <v>2022 год</v>
      </c>
      <c r="I4" s="3044" t="s">
        <v>1436</v>
      </c>
      <c r="J4" s="10"/>
      <c r="K4" s="10"/>
      <c r="L4" s="10"/>
      <c r="M4" s="10"/>
      <c r="N4" s="10"/>
      <c r="O4" s="10"/>
      <c r="P4" s="10"/>
      <c r="Q4" s="10"/>
    </row>
    <row r="5" spans="1:18" ht="78.75" customHeight="1">
      <c r="A5" s="9"/>
      <c r="C5" s="111" t="s">
        <v>4901</v>
      </c>
      <c r="D5" s="14" t="s">
        <v>1753</v>
      </c>
      <c r="E5" s="2666" t="s">
        <v>869</v>
      </c>
      <c r="F5" s="2666" t="s">
        <v>443</v>
      </c>
      <c r="G5" s="14" t="s">
        <v>4900</v>
      </c>
      <c r="H5" s="14" t="s">
        <v>3960</v>
      </c>
      <c r="I5" s="14" t="s">
        <v>5550</v>
      </c>
      <c r="J5" s="14" t="s">
        <v>4899</v>
      </c>
      <c r="K5" s="14" t="s">
        <v>3959</v>
      </c>
      <c r="L5" s="14" t="s">
        <v>4898</v>
      </c>
      <c r="M5" s="14" t="s">
        <v>4897</v>
      </c>
      <c r="N5" s="14" t="s">
        <v>5194</v>
      </c>
      <c r="O5" s="2666" t="s">
        <v>1755</v>
      </c>
      <c r="P5" s="2666" t="s">
        <v>869</v>
      </c>
      <c r="Q5" s="2666" t="s">
        <v>443</v>
      </c>
      <c r="R5" s="67" t="s">
        <v>3401</v>
      </c>
    </row>
    <row r="6" spans="1:18">
      <c r="A6" s="9"/>
      <c r="C6" s="99" t="s">
        <v>4508</v>
      </c>
      <c r="D6" s="15" t="s">
        <v>5234</v>
      </c>
      <c r="E6" s="2667" t="s">
        <v>4142</v>
      </c>
      <c r="F6" s="2667" t="s">
        <v>4142</v>
      </c>
      <c r="G6" s="16" t="s">
        <v>4896</v>
      </c>
      <c r="H6" s="16" t="s">
        <v>3661</v>
      </c>
      <c r="I6" s="16" t="s">
        <v>4895</v>
      </c>
      <c r="J6" s="16" t="s">
        <v>4894</v>
      </c>
      <c r="K6" s="16" t="s">
        <v>3660</v>
      </c>
      <c r="L6" s="16" t="s">
        <v>4893</v>
      </c>
      <c r="M6" s="16" t="s">
        <v>4892</v>
      </c>
      <c r="N6" s="16" t="s">
        <v>4891</v>
      </c>
      <c r="O6" s="15" t="s">
        <v>4163</v>
      </c>
      <c r="P6" s="15" t="s">
        <v>4142</v>
      </c>
      <c r="Q6" s="2667" t="s">
        <v>4142</v>
      </c>
      <c r="R6" s="25" t="s">
        <v>865</v>
      </c>
    </row>
    <row r="7" spans="1:18" s="674" customFormat="1" ht="10.5">
      <c r="A7" s="668"/>
      <c r="B7" s="1581"/>
      <c r="C7" s="692" t="s">
        <v>4164</v>
      </c>
      <c r="D7" s="1532" t="s">
        <v>4165</v>
      </c>
      <c r="E7" s="1532" t="s">
        <v>4166</v>
      </c>
      <c r="F7" s="1532" t="s">
        <v>5500</v>
      </c>
      <c r="G7" s="1532" t="s">
        <v>4169</v>
      </c>
      <c r="H7" s="1532" t="s">
        <v>4168</v>
      </c>
      <c r="I7" s="1532" t="s">
        <v>4178</v>
      </c>
      <c r="J7" s="1532" t="s">
        <v>4179</v>
      </c>
      <c r="K7" s="1532" t="s">
        <v>4167</v>
      </c>
      <c r="L7" s="1532" t="s">
        <v>5501</v>
      </c>
      <c r="M7" s="693" t="s">
        <v>4701</v>
      </c>
      <c r="N7" s="1532" t="s">
        <v>4702</v>
      </c>
      <c r="O7" s="693" t="s">
        <v>4703</v>
      </c>
      <c r="P7" s="1532" t="s">
        <v>5502</v>
      </c>
      <c r="Q7" s="693" t="s">
        <v>5503</v>
      </c>
      <c r="R7" s="2668" t="s">
        <v>5504</v>
      </c>
    </row>
    <row r="8" spans="1:18">
      <c r="A8" s="9"/>
      <c r="C8" s="362" t="s">
        <v>4170</v>
      </c>
      <c r="D8" s="212">
        <f>SUM(D9:D16)</f>
        <v>0</v>
      </c>
      <c r="E8" s="212">
        <f t="shared" ref="E8:H8" si="0">SUM(E9:E16)</f>
        <v>0</v>
      </c>
      <c r="F8" s="212">
        <f t="shared" si="0"/>
        <v>0</v>
      </c>
      <c r="G8" s="212">
        <f t="shared" si="0"/>
        <v>0</v>
      </c>
      <c r="H8" s="212">
        <f t="shared" si="0"/>
        <v>0</v>
      </c>
      <c r="I8" s="212">
        <f t="shared" ref="I8:Q8" si="1">SUM(I9:I16)</f>
        <v>0</v>
      </c>
      <c r="J8" s="212">
        <f t="shared" si="1"/>
        <v>0</v>
      </c>
      <c r="K8" s="212">
        <f t="shared" si="1"/>
        <v>0</v>
      </c>
      <c r="L8" s="212">
        <f t="shared" si="1"/>
        <v>0</v>
      </c>
      <c r="M8" s="212">
        <f t="shared" si="1"/>
        <v>0</v>
      </c>
      <c r="N8" s="212">
        <f t="shared" si="1"/>
        <v>0</v>
      </c>
      <c r="O8" s="212">
        <f>SUM(O9:O16)</f>
        <v>0</v>
      </c>
      <c r="P8" s="212">
        <f t="shared" si="1"/>
        <v>0</v>
      </c>
      <c r="Q8" s="212">
        <f t="shared" si="1"/>
        <v>0</v>
      </c>
      <c r="R8" s="361" t="s">
        <v>4184</v>
      </c>
    </row>
    <row r="9" spans="1:18">
      <c r="A9" s="9" t="str">
        <f t="shared" ref="A9:A16" si="2">"R2="&amp;IFERROR(MID(C9,FIND("{",C9)+1,FIND("}",C9)-FIND("{",C9)-1),"")&amp;";"&amp;"COM="&amp;R9</f>
        <v>R2=0;COM=</v>
      </c>
      <c r="B9" s="601" t="s">
        <v>5536</v>
      </c>
      <c r="C9" s="303" t="s">
        <v>4890</v>
      </c>
      <c r="D9" s="1434"/>
      <c r="E9" s="1434"/>
      <c r="F9" s="360">
        <f>D9-E9</f>
        <v>0</v>
      </c>
      <c r="G9" s="1434"/>
      <c r="H9" s="1434"/>
      <c r="I9" s="1434"/>
      <c r="J9" s="178"/>
      <c r="K9" s="178"/>
      <c r="L9" s="1434"/>
      <c r="M9" s="1434"/>
      <c r="N9" s="1434"/>
      <c r="O9" s="360">
        <f>SUM(E9:N9)</f>
        <v>0</v>
      </c>
      <c r="P9" s="178"/>
      <c r="Q9" s="360">
        <f>O9-P9</f>
        <v>0</v>
      </c>
      <c r="R9" s="26"/>
    </row>
    <row r="10" spans="1:18">
      <c r="A10" s="2427" t="str">
        <f t="shared" si="2"/>
        <v>R2=1;COM=</v>
      </c>
      <c r="B10" s="601" t="s">
        <v>5536</v>
      </c>
      <c r="C10" s="303" t="s">
        <v>4889</v>
      </c>
      <c r="D10" s="1434"/>
      <c r="E10" s="1434"/>
      <c r="F10" s="360">
        <f t="shared" ref="F10:F16" si="3">D10-E10</f>
        <v>0</v>
      </c>
      <c r="G10" s="1434"/>
      <c r="H10" s="178"/>
      <c r="I10" s="1434"/>
      <c r="J10" s="178"/>
      <c r="K10" s="178"/>
      <c r="L10" s="1434"/>
      <c r="M10" s="1434"/>
      <c r="N10" s="1434"/>
      <c r="O10" s="360">
        <f t="shared" ref="O10:O16" si="4">SUM(E10:N10)</f>
        <v>0</v>
      </c>
      <c r="P10" s="178"/>
      <c r="Q10" s="360">
        <f t="shared" ref="Q10:Q16" si="5">O10-P10</f>
        <v>0</v>
      </c>
      <c r="R10" s="90"/>
    </row>
    <row r="11" spans="1:18">
      <c r="A11" s="2427" t="str">
        <f t="shared" si="2"/>
        <v>R2=2;COM=</v>
      </c>
      <c r="B11" s="601" t="s">
        <v>5536</v>
      </c>
      <c r="C11" s="303" t="s">
        <v>4888</v>
      </c>
      <c r="D11" s="1434"/>
      <c r="E11" s="1434"/>
      <c r="F11" s="360">
        <f t="shared" si="3"/>
        <v>0</v>
      </c>
      <c r="G11" s="1434"/>
      <c r="H11" s="178"/>
      <c r="I11" s="1434"/>
      <c r="J11" s="178"/>
      <c r="K11" s="178"/>
      <c r="L11" s="1434"/>
      <c r="M11" s="1434"/>
      <c r="N11" s="1434"/>
      <c r="O11" s="360">
        <f t="shared" si="4"/>
        <v>0</v>
      </c>
      <c r="P11" s="178"/>
      <c r="Q11" s="360">
        <f t="shared" si="5"/>
        <v>0</v>
      </c>
      <c r="R11" s="90"/>
    </row>
    <row r="12" spans="1:18">
      <c r="A12" s="2427" t="str">
        <f t="shared" si="2"/>
        <v>R2=3;COM=</v>
      </c>
      <c r="B12" s="601" t="s">
        <v>5536</v>
      </c>
      <c r="C12" s="303" t="s">
        <v>4887</v>
      </c>
      <c r="D12" s="1434"/>
      <c r="E12" s="1434"/>
      <c r="F12" s="360">
        <f t="shared" si="3"/>
        <v>0</v>
      </c>
      <c r="G12" s="1434"/>
      <c r="H12" s="178"/>
      <c r="I12" s="1434"/>
      <c r="J12" s="178"/>
      <c r="K12" s="178"/>
      <c r="L12" s="1434"/>
      <c r="M12" s="1434"/>
      <c r="N12" s="1434"/>
      <c r="O12" s="360">
        <f t="shared" si="4"/>
        <v>0</v>
      </c>
      <c r="P12" s="178"/>
      <c r="Q12" s="360">
        <f t="shared" si="5"/>
        <v>0</v>
      </c>
      <c r="R12" s="90"/>
    </row>
    <row r="13" spans="1:18">
      <c r="A13" s="2427" t="str">
        <f t="shared" si="2"/>
        <v>R2=4;COM=</v>
      </c>
      <c r="B13" s="601" t="s">
        <v>5536</v>
      </c>
      <c r="C13" s="303" t="s">
        <v>4886</v>
      </c>
      <c r="D13" s="1434"/>
      <c r="E13" s="1434"/>
      <c r="F13" s="360">
        <f t="shared" si="3"/>
        <v>0</v>
      </c>
      <c r="G13" s="1434"/>
      <c r="H13" s="178"/>
      <c r="I13" s="1434"/>
      <c r="J13" s="178"/>
      <c r="K13" s="178"/>
      <c r="L13" s="1434"/>
      <c r="M13" s="1434"/>
      <c r="N13" s="1434"/>
      <c r="O13" s="360">
        <f t="shared" si="4"/>
        <v>0</v>
      </c>
      <c r="P13" s="178"/>
      <c r="Q13" s="360">
        <f t="shared" si="5"/>
        <v>0</v>
      </c>
      <c r="R13" s="90"/>
    </row>
    <row r="14" spans="1:18">
      <c r="A14" s="2427" t="str">
        <f t="shared" si="2"/>
        <v>R2=5;COM=</v>
      </c>
      <c r="B14" s="601" t="s">
        <v>5536</v>
      </c>
      <c r="C14" s="303" t="s">
        <v>4885</v>
      </c>
      <c r="D14" s="178"/>
      <c r="E14" s="178"/>
      <c r="F14" s="360">
        <f t="shared" si="3"/>
        <v>0</v>
      </c>
      <c r="G14" s="178"/>
      <c r="H14" s="178"/>
      <c r="I14" s="178"/>
      <c r="J14" s="178"/>
      <c r="K14" s="178"/>
      <c r="L14" s="178"/>
      <c r="M14" s="178"/>
      <c r="N14" s="178"/>
      <c r="O14" s="360">
        <f t="shared" si="4"/>
        <v>0</v>
      </c>
      <c r="P14" s="178"/>
      <c r="Q14" s="360">
        <f t="shared" si="5"/>
        <v>0</v>
      </c>
      <c r="R14" s="90"/>
    </row>
    <row r="15" spans="1:18" s="2422" customFormat="1">
      <c r="A15" s="2427" t="str">
        <f t="shared" si="2"/>
        <v>R2=6;COM=</v>
      </c>
      <c r="B15" s="601" t="s">
        <v>5536</v>
      </c>
      <c r="C15" s="303" t="s">
        <v>4884</v>
      </c>
      <c r="D15" s="178"/>
      <c r="E15" s="178"/>
      <c r="F15" s="360">
        <f t="shared" si="3"/>
        <v>0</v>
      </c>
      <c r="G15" s="178"/>
      <c r="H15" s="178"/>
      <c r="I15" s="178"/>
      <c r="J15" s="178"/>
      <c r="K15" s="178"/>
      <c r="L15" s="178"/>
      <c r="M15" s="178"/>
      <c r="N15" s="178"/>
      <c r="O15" s="360">
        <f t="shared" si="4"/>
        <v>0</v>
      </c>
      <c r="P15" s="178"/>
      <c r="Q15" s="360">
        <f t="shared" si="5"/>
        <v>0</v>
      </c>
      <c r="R15" s="90"/>
    </row>
    <row r="16" spans="1:18" s="2422" customFormat="1" ht="15" thickBot="1">
      <c r="A16" s="2427" t="str">
        <f t="shared" si="2"/>
        <v>R2=7;COM=</v>
      </c>
      <c r="B16" s="601" t="s">
        <v>5536</v>
      </c>
      <c r="C16" s="304" t="s">
        <v>7670</v>
      </c>
      <c r="D16" s="266"/>
      <c r="E16" s="266"/>
      <c r="F16" s="1722">
        <f t="shared" si="3"/>
        <v>0</v>
      </c>
      <c r="G16" s="266"/>
      <c r="H16" s="266"/>
      <c r="I16" s="266"/>
      <c r="J16" s="266"/>
      <c r="K16" s="266"/>
      <c r="L16" s="266"/>
      <c r="M16" s="266"/>
      <c r="N16" s="266"/>
      <c r="O16" s="1722">
        <f t="shared" si="4"/>
        <v>0</v>
      </c>
      <c r="P16" s="266"/>
      <c r="Q16" s="1722">
        <f t="shared" si="5"/>
        <v>0</v>
      </c>
      <c r="R16" s="313"/>
    </row>
    <row r="21" spans="4:6">
      <c r="D21" s="2422"/>
      <c r="F21" s="2422"/>
    </row>
    <row r="22" spans="4:6">
      <c r="D22" s="2422"/>
      <c r="F22" s="2422"/>
    </row>
    <row r="23" spans="4:6">
      <c r="D23" s="2422"/>
      <c r="F23" s="2422"/>
    </row>
    <row r="24" spans="4:6">
      <c r="D24" s="2422"/>
      <c r="F24" s="2422"/>
    </row>
    <row r="25" spans="4:6">
      <c r="D25" s="2422"/>
      <c r="F25" s="2422"/>
    </row>
    <row r="26" spans="4:6">
      <c r="D26" s="2422"/>
      <c r="F26" s="2422"/>
    </row>
    <row r="27" spans="4:6">
      <c r="D27" s="2422"/>
      <c r="F27" s="2422"/>
    </row>
    <row r="28" spans="4:6">
      <c r="D28" s="2422"/>
      <c r="F28" s="2422"/>
    </row>
  </sheetData>
  <sheetProtection algorithmName="SHA-512" hashValue="fKikWJ0POPm0OgUzqtzREBWamurVzrVp8YT9BN1+8IX1Q1QYuBxtgsigO5UBNPBeD8d2IC94kgMUwLjS9x5xZg==" saltValue="PKO8eKJTV5gzJqvyxREyJQ==" spinCount="100000" sheet="1" objects="1" scenarios="1" formatColumns="0" formatRows="0" autoFilter="0"/>
  <autoFilter ref="C7:R7"/>
  <customSheetViews>
    <customSheetView guid="{3769259D-9653-4B34-A2F6-4FB6F9F4E533}" scale="70" showGridLines="0" showAutoFilter="1" hiddenRows="1" hiddenColumns="1">
      <pane xSplit="4" ySplit="8" topLeftCell="E9" activePane="bottomRight" state="frozen"/>
      <selection pane="bottomRight" activeCell="O6" sqref="O6"/>
      <pageMargins left="0.7" right="0.7" top="0.75" bottom="0.75" header="0.3" footer="0.3"/>
      <pageSetup paperSize="9" orientation="portrait" r:id="rId1"/>
      <autoFilter ref="B1:Q1"/>
    </customSheetView>
    <customSheetView guid="{40D7A2BB-326C-4ED3-999C-17852F56D6F4}" scale="70" showGridLines="0" showAutoFilter="1" hiddenRows="1" hiddenColumns="1">
      <pane xSplit="4" ySplit="8" topLeftCell="E9" activePane="bottomRight" state="frozen"/>
      <selection pane="bottomRight" activeCell="O6" sqref="O6"/>
      <pageMargins left="0.7" right="0.7" top="0.75" bottom="0.75" header="0.3" footer="0.3"/>
      <pageSetup paperSize="9" orientation="portrait" r:id="rId2"/>
      <autoFilter ref="B1:Q1"/>
    </customSheetView>
    <customSheetView guid="{5D121940-0CE8-4A0E-A493-67FAAA6E0FF8}" scale="70" showGridLines="0" showAutoFilter="1" hiddenRows="1" hiddenColumns="1" topLeftCell="B2">
      <pane xSplit="3" ySplit="7" topLeftCell="H9" activePane="bottomRight" state="frozen"/>
      <selection pane="bottomRight" activeCell="O6" sqref="O6"/>
      <pageMargins left="0.7" right="0.7" top="0.75" bottom="0.75" header="0.3" footer="0.3"/>
      <pageSetup paperSize="9" orientation="portrait" r:id="rId3"/>
      <autoFilter ref="B1:Q1"/>
    </customSheetView>
    <customSheetView guid="{47AEACC4-6EA5-412C-AF39-A6C5357B313A}" scale="70" showGridLines="0" showAutoFilter="1" hiddenRows="1" hiddenColumns="1" topLeftCell="B2">
      <pane xSplit="3" ySplit="7" topLeftCell="G9" activePane="bottomRight" state="frozen"/>
      <selection pane="bottomRight" activeCell="O42" sqref="O42"/>
      <pageMargins left="0.7" right="0.7" top="0.75" bottom="0.75" header="0.3" footer="0.3"/>
      <pageSetup paperSize="9" orientation="portrait" r:id="rId4"/>
      <autoFilter ref="B1:Q1"/>
    </customSheetView>
    <customSheetView guid="{4D957B38-5430-481E-B791-E0A66F913B50}" scale="70">
      <selection activeCell="D7" sqref="D7"/>
      <pageMargins left="0.7" right="0.7" top="0.75" bottom="0.75" header="0.3" footer="0.3"/>
      <pageSetup paperSize="9" orientation="portrait" r:id="rId5"/>
    </customSheetView>
    <customSheetView guid="{C913A9E8-661B-40A4-A3C9-1BC5F2B2E9F0}" scale="70" showGridLines="0" showAutoFilter="1" hiddenRows="1" hiddenColumns="1" topLeftCell="B2">
      <pane xSplit="3" ySplit="7" topLeftCell="H9" activePane="bottomRight" state="frozen"/>
      <selection pane="bottomRight" activeCell="O6" sqref="O6"/>
      <pageMargins left="0.7" right="0.7" top="0.75" bottom="0.75" header="0.3" footer="0.3"/>
      <pageSetup paperSize="9" orientation="portrait" r:id="rId6"/>
      <autoFilter ref="B1:Q1"/>
    </customSheetView>
  </customSheetViews>
  <phoneticPr fontId="0" type="noConversion"/>
  <dataValidations count="1">
    <dataValidation operator="equal" allowBlank="1" showErrorMessage="1" sqref="C9:C16">
      <formula1>0</formula1>
      <formula2>0</formula2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8" fitToHeight="2" orientation="landscape" r:id="rId7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pageSetUpPr fitToPage="1"/>
  </sheetPr>
  <dimension ref="A1:S44"/>
  <sheetViews>
    <sheetView topLeftCell="B2" zoomScale="57" zoomScaleNormal="57" workbookViewId="0">
      <selection activeCell="C17" sqref="C17"/>
    </sheetView>
  </sheetViews>
  <sheetFormatPr defaultColWidth="9.453125" defaultRowHeight="12.5"/>
  <cols>
    <col min="1" max="1" width="11.81640625" style="8" hidden="1" customWidth="1"/>
    <col min="2" max="2" width="2.453125" style="8" customWidth="1"/>
    <col min="3" max="3" width="122.453125" style="8" customWidth="1"/>
    <col min="4" max="4" width="28.54296875" style="8" customWidth="1"/>
    <col min="5" max="6" width="23" style="8" customWidth="1"/>
    <col min="7" max="11" width="17.54296875" style="8" customWidth="1"/>
    <col min="12" max="12" width="42" style="8" customWidth="1"/>
    <col min="13" max="13" width="12" style="8" customWidth="1"/>
    <col min="14" max="17" width="9.453125" style="8"/>
    <col min="18" max="18" width="24.54296875" style="8" customWidth="1"/>
    <col min="19" max="16384" width="9.453125" style="8"/>
  </cols>
  <sheetData>
    <row r="1" spans="1:19" s="97" customFormat="1" ht="19.5" hidden="1" customHeight="1">
      <c r="A1" s="70" t="s">
        <v>220</v>
      </c>
      <c r="C1" s="98"/>
      <c r="D1" s="100" t="s">
        <v>364</v>
      </c>
      <c r="E1" s="100" t="s">
        <v>365</v>
      </c>
      <c r="F1" s="100" t="s">
        <v>366</v>
      </c>
      <c r="G1" s="100" t="s">
        <v>367</v>
      </c>
      <c r="H1" s="100"/>
      <c r="I1" s="100" t="s">
        <v>7656</v>
      </c>
      <c r="J1" s="100" t="s">
        <v>7657</v>
      </c>
      <c r="K1" s="100" t="s">
        <v>6793</v>
      </c>
    </row>
    <row r="2" spans="1:19" s="24" customFormat="1">
      <c r="A2" s="95"/>
      <c r="D2" s="1925" t="s">
        <v>1648</v>
      </c>
      <c r="E2" s="1925" t="s">
        <v>1648</v>
      </c>
      <c r="F2" s="1925" t="s">
        <v>1648</v>
      </c>
      <c r="G2" s="1925" t="s">
        <v>1648</v>
      </c>
      <c r="H2" s="1925" t="s">
        <v>1648</v>
      </c>
      <c r="I2" s="1925"/>
      <c r="J2" s="1925"/>
      <c r="K2" s="1925"/>
    </row>
    <row r="3" spans="1:19" ht="26">
      <c r="A3" s="96"/>
      <c r="D3"/>
      <c r="E3" s="1897" t="s">
        <v>2067</v>
      </c>
      <c r="F3" s="1244">
        <f>Содержание!$D$2</f>
        <v>0</v>
      </c>
      <c r="G3" s="512"/>
      <c r="H3" s="512"/>
      <c r="I3" s="512"/>
      <c r="J3" s="512"/>
      <c r="K3" s="512"/>
    </row>
    <row r="4" spans="1:19" ht="14.5">
      <c r="A4" s="96"/>
      <c r="C4" s="38" t="s">
        <v>3390</v>
      </c>
      <c r="D4"/>
      <c r="E4" s="1897" t="s">
        <v>2075</v>
      </c>
      <c r="F4" s="1244" t="str">
        <f>Содержание!$D$15</f>
        <v>2022 год</v>
      </c>
      <c r="G4" s="3044" t="s">
        <v>1436</v>
      </c>
      <c r="H4" s="513"/>
      <c r="I4" s="513"/>
      <c r="J4" s="513"/>
      <c r="K4" s="513"/>
    </row>
    <row r="5" spans="1:19" ht="13" thickBot="1">
      <c r="A5" s="96"/>
      <c r="D5" s="8" t="b">
        <f t="array" ref="D5">IF(SMALL(IF(""=C17:C2700,ROW(C17:C2700),2700),1)&gt;LARGE(IF(""&lt;&gt;C17:C2700,ROW(C17:C2700),0),1),TRUE,FALSE)</f>
        <v>1</v>
      </c>
    </row>
    <row r="6" spans="1:19" ht="12.75" customHeight="1">
      <c r="A6" s="96"/>
      <c r="C6" s="3732" t="s">
        <v>4655</v>
      </c>
      <c r="D6" s="3713" t="s">
        <v>3391</v>
      </c>
      <c r="E6" s="3713" t="s">
        <v>3392</v>
      </c>
      <c r="F6" s="3713"/>
      <c r="G6" s="3713" t="s">
        <v>3393</v>
      </c>
      <c r="H6" s="3713" t="s">
        <v>4170</v>
      </c>
      <c r="I6" s="3713" t="s">
        <v>6210</v>
      </c>
      <c r="J6" s="3713" t="s">
        <v>4268</v>
      </c>
      <c r="K6" s="3742" t="s">
        <v>4637</v>
      </c>
    </row>
    <row r="7" spans="1:19" ht="13">
      <c r="A7" s="96"/>
      <c r="C7" s="3744"/>
      <c r="D7" s="3710"/>
      <c r="E7" s="2471" t="s">
        <v>4661</v>
      </c>
      <c r="F7" s="2471" t="s">
        <v>4660</v>
      </c>
      <c r="G7" s="3710"/>
      <c r="H7" s="3710"/>
      <c r="I7" s="3710"/>
      <c r="J7" s="3710"/>
      <c r="K7" s="3743"/>
    </row>
    <row r="8" spans="1:19" ht="13">
      <c r="A8" s="96"/>
      <c r="C8" s="832" t="s">
        <v>8132</v>
      </c>
      <c r="D8" s="833" t="s">
        <v>4953</v>
      </c>
      <c r="E8" s="833" t="s">
        <v>4266</v>
      </c>
      <c r="F8" s="833" t="s">
        <v>4266</v>
      </c>
      <c r="G8" s="833" t="s">
        <v>4283</v>
      </c>
      <c r="H8" s="833" t="s">
        <v>3394</v>
      </c>
      <c r="I8" s="2052" t="s">
        <v>3430</v>
      </c>
      <c r="J8" s="2052" t="s">
        <v>4267</v>
      </c>
      <c r="K8" s="834" t="s">
        <v>1441</v>
      </c>
      <c r="L8" s="2232" t="s">
        <v>8480</v>
      </c>
      <c r="M8" s="2232" t="b">
        <f>IF(SUMIF($C$17:$C$65536,"{17*",H$17:H$65536)&gt;0,FALSE,TRUE)</f>
        <v>1</v>
      </c>
      <c r="N8" s="2232"/>
      <c r="O8" s="2232"/>
      <c r="P8" s="2232"/>
      <c r="R8" s="2616" t="s">
        <v>4655</v>
      </c>
      <c r="S8" s="2615"/>
    </row>
    <row r="9" spans="1:19" s="712" customFormat="1" ht="13">
      <c r="A9" s="668"/>
      <c r="B9" s="1599"/>
      <c r="C9" s="1600" t="s">
        <v>4164</v>
      </c>
      <c r="D9" s="820" t="s">
        <v>4165</v>
      </c>
      <c r="E9" s="820" t="s">
        <v>4166</v>
      </c>
      <c r="F9" s="1601" t="s">
        <v>5500</v>
      </c>
      <c r="G9" s="1601" t="s">
        <v>4169</v>
      </c>
      <c r="H9" s="1601" t="s">
        <v>4168</v>
      </c>
      <c r="I9" s="821" t="s">
        <v>4178</v>
      </c>
      <c r="J9" s="2316"/>
      <c r="K9" s="821" t="s">
        <v>4179</v>
      </c>
      <c r="L9" s="2232" t="s">
        <v>5945</v>
      </c>
      <c r="M9" s="2233" t="s">
        <v>4953</v>
      </c>
      <c r="N9" s="2233" t="s">
        <v>4266</v>
      </c>
      <c r="O9" s="2233" t="s">
        <v>4266</v>
      </c>
      <c r="P9" s="2234" t="s">
        <v>4170</v>
      </c>
      <c r="R9" s="2615" t="s">
        <v>2152</v>
      </c>
      <c r="S9" s="2617">
        <f>SUMIF(C:C,R9,I:I)</f>
        <v>0</v>
      </c>
    </row>
    <row r="10" spans="1:19" ht="13">
      <c r="A10" s="96"/>
      <c r="C10" s="822" t="s">
        <v>4170</v>
      </c>
      <c r="D10" s="823">
        <f>D16+D12+D11</f>
        <v>0</v>
      </c>
      <c r="E10" s="823">
        <f>E16+E12+E11</f>
        <v>0</v>
      </c>
      <c r="F10" s="823">
        <f>F16+F12+F11</f>
        <v>0</v>
      </c>
      <c r="G10" s="823">
        <f>G16+G12+G11</f>
        <v>0</v>
      </c>
      <c r="H10" s="823">
        <f>H16+H12+H11</f>
        <v>0</v>
      </c>
      <c r="I10" s="2316">
        <f>I16</f>
        <v>0</v>
      </c>
      <c r="J10" s="2316">
        <f>J16</f>
        <v>0</v>
      </c>
      <c r="K10" s="2472">
        <f>K16</f>
        <v>0</v>
      </c>
      <c r="L10" s="2232" t="s">
        <v>4447</v>
      </c>
      <c r="M10" s="2232" t="b">
        <f ca="1">IF(SUMIF($C$17:$G$65536,$L$10,D$17:D$65536)&gt;0,FALSE,TRUE)</f>
        <v>1</v>
      </c>
      <c r="N10" s="2232" t="b">
        <f ca="1">IF(SUMIF($C$17:$G$65536,$L$10,E$17:E$65536)&gt;0,FALSE,TRUE)</f>
        <v>1</v>
      </c>
      <c r="O10" s="2232" t="b">
        <f ca="1">IF(SUMIF($C$17:$G$65536,$L$10,F$17:F$65536)&gt;0,FALSE,TRUE)</f>
        <v>1</v>
      </c>
      <c r="P10" s="2235" t="b">
        <f ca="1">AND(M10:O10)</f>
        <v>1</v>
      </c>
      <c r="R10" s="2615" t="s">
        <v>2153</v>
      </c>
      <c r="S10" s="2617">
        <f t="shared" ref="S10:S14" si="0">SUMIF(C:C,R10,I:I)</f>
        <v>0</v>
      </c>
    </row>
    <row r="11" spans="1:19" ht="13">
      <c r="A11" s="2427" t="str">
        <f>"R2=221016020000;R9=21"</f>
        <v>R2=221016020000;R9=21</v>
      </c>
      <c r="C11" s="822" t="s">
        <v>4261</v>
      </c>
      <c r="D11" s="1158"/>
      <c r="E11" s="1158"/>
      <c r="F11" s="1158"/>
      <c r="G11" s="1158"/>
      <c r="H11" s="1180">
        <f>SUM(D11:G11)</f>
        <v>0</v>
      </c>
      <c r="I11" s="827" t="s">
        <v>3389</v>
      </c>
      <c r="J11" s="827" t="s">
        <v>3389</v>
      </c>
      <c r="K11" s="829" t="s">
        <v>3389</v>
      </c>
      <c r="L11" s="2232" t="s">
        <v>2139</v>
      </c>
      <c r="M11" s="2239">
        <f ca="1">IF($F$3="Росэнергоатом",SUMIF(C:H,L11,H:H)/5,SUMIF(C:H,L11,H:H))</f>
        <v>0</v>
      </c>
      <c r="N11" s="2239" t="b">
        <f t="shared" ref="N11:Q12" ca="1" si="1">IF($F$3="Росэнергоатом",SUMIF($C:$H,$L11,D:D)/5,SUMIF($C:$H,$L11,D:D))&lt;=10%*D$16</f>
        <v>1</v>
      </c>
      <c r="O11" s="2239" t="b">
        <f t="shared" ca="1" si="1"/>
        <v>1</v>
      </c>
      <c r="P11" s="2239" t="b">
        <f t="shared" ca="1" si="1"/>
        <v>1</v>
      </c>
      <c r="Q11" s="2239" t="b">
        <f t="shared" ca="1" si="1"/>
        <v>1</v>
      </c>
      <c r="R11" s="2615" t="s">
        <v>2154</v>
      </c>
      <c r="S11" s="2617">
        <f t="shared" si="0"/>
        <v>0</v>
      </c>
    </row>
    <row r="12" spans="1:19" ht="13">
      <c r="A12" s="9"/>
      <c r="C12" s="1602" t="s">
        <v>4657</v>
      </c>
      <c r="D12" s="824">
        <f>SUM(D13:D15)</f>
        <v>0</v>
      </c>
      <c r="E12" s="824">
        <f>SUM(E13:E15)</f>
        <v>0</v>
      </c>
      <c r="F12" s="824">
        <f>SUM(F13:F15)</f>
        <v>0</v>
      </c>
      <c r="G12" s="824">
        <f>SUM(G13:G15)</f>
        <v>0</v>
      </c>
      <c r="H12" s="1179">
        <f>SUM(H13:H15)</f>
        <v>0</v>
      </c>
      <c r="I12" s="827" t="s">
        <v>3389</v>
      </c>
      <c r="J12" s="827" t="s">
        <v>3389</v>
      </c>
      <c r="K12" s="829" t="s">
        <v>3389</v>
      </c>
      <c r="L12" s="2232" t="s">
        <v>4513</v>
      </c>
      <c r="M12" s="2239">
        <f ca="1">IF($F$3="Росэнергоатом",SUMIF(C:H,L12,H:H)/5,SUMIF(C:H,L12,H:H))</f>
        <v>0</v>
      </c>
      <c r="N12" s="2239" t="b">
        <f t="shared" ca="1" si="1"/>
        <v>1</v>
      </c>
      <c r="O12" s="2239" t="b">
        <f t="shared" ca="1" si="1"/>
        <v>1</v>
      </c>
      <c r="P12" s="2239" t="b">
        <f t="shared" ca="1" si="1"/>
        <v>1</v>
      </c>
      <c r="Q12" s="2239" t="b">
        <f t="shared" ca="1" si="1"/>
        <v>1</v>
      </c>
      <c r="R12" s="2615" t="s">
        <v>2155</v>
      </c>
      <c r="S12" s="2617">
        <f t="shared" si="0"/>
        <v>0</v>
      </c>
    </row>
    <row r="13" spans="1:19">
      <c r="A13" s="9" t="str">
        <f>"R2=900731"</f>
        <v>R2=900731</v>
      </c>
      <c r="C13" s="826" t="s">
        <v>2858</v>
      </c>
      <c r="D13" s="827" t="s">
        <v>3389</v>
      </c>
      <c r="E13" s="828"/>
      <c r="F13" s="828"/>
      <c r="G13" s="828"/>
      <c r="H13" s="1181">
        <f>SUM(D13:G13)</f>
        <v>0</v>
      </c>
      <c r="I13" s="827" t="s">
        <v>3389</v>
      </c>
      <c r="J13" s="827" t="s">
        <v>3389</v>
      </c>
      <c r="K13" s="829" t="s">
        <v>3389</v>
      </c>
      <c r="R13" s="2615" t="s">
        <v>2156</v>
      </c>
      <c r="S13" s="2617">
        <f t="shared" si="0"/>
        <v>0</v>
      </c>
    </row>
    <row r="14" spans="1:19" ht="13" thickBot="1">
      <c r="A14" s="9" t="str">
        <f>"R2=900732"</f>
        <v>R2=900732</v>
      </c>
      <c r="C14" s="826" t="s">
        <v>3340</v>
      </c>
      <c r="D14" s="828"/>
      <c r="E14" s="827" t="s">
        <v>3389</v>
      </c>
      <c r="F14" s="827" t="s">
        <v>3389</v>
      </c>
      <c r="G14" s="828"/>
      <c r="H14" s="1181">
        <f>SUM(D14:G14)</f>
        <v>0</v>
      </c>
      <c r="I14" s="827" t="s">
        <v>3389</v>
      </c>
      <c r="J14" s="827" t="s">
        <v>3389</v>
      </c>
      <c r="K14" s="829" t="s">
        <v>3389</v>
      </c>
      <c r="L14" s="2232" t="s">
        <v>4473</v>
      </c>
      <c r="M14" s="2239">
        <f ca="1">IF($F$3="Росэнергоатом",SUMIF(C:H,L14,H:H)/5,SUMIF(C:H,L14,H:H))</f>
        <v>0</v>
      </c>
      <c r="N14" s="2239" t="b">
        <f ca="1">IF($F$3="Росэнергоатом",SUMIF($C:$H,$L14,D:D)/5,SUMIF($C:$H,$L14,D:D))&lt;=10%*D$16</f>
        <v>1</v>
      </c>
      <c r="O14" s="2239" t="b">
        <f ca="1">IF($F$3="Росэнергоатом",SUMIF($C:$H,$L14,E:E)/5,SUMIF($C:$H,$L14,E:E))&lt;=10%*E$16</f>
        <v>1</v>
      </c>
      <c r="P14" s="2239" t="b">
        <f ca="1">IF($F$3="Росэнергоатом",SUMIF($C:$H,$L14,F:F)/5,SUMIF($C:$H,$L14,F:F))&lt;=10%*F$16</f>
        <v>1</v>
      </c>
      <c r="Q14" s="2239" t="b">
        <f ca="1">IF($F$3="Росэнергоатом",SUMIF($C:$H,$L14,G:G)/5,SUMIF($C:$H,$L14,G:G))&lt;=10%*G$16</f>
        <v>1</v>
      </c>
      <c r="R14" s="2615" t="s">
        <v>3260</v>
      </c>
      <c r="S14" s="2617">
        <f t="shared" si="0"/>
        <v>0</v>
      </c>
    </row>
    <row r="15" spans="1:19" ht="13.5" thickBot="1">
      <c r="A15" s="9" t="str">
        <f>"R2=900733"</f>
        <v>R2=900733</v>
      </c>
      <c r="C15" s="826" t="s">
        <v>3341</v>
      </c>
      <c r="D15" s="828"/>
      <c r="E15" s="828"/>
      <c r="F15" s="828"/>
      <c r="G15" s="827" t="s">
        <v>3389</v>
      </c>
      <c r="H15" s="1180">
        <f>SUM(D15:G15)</f>
        <v>0</v>
      </c>
      <c r="I15" s="827" t="s">
        <v>3389</v>
      </c>
      <c r="J15" s="827" t="s">
        <v>3389</v>
      </c>
      <c r="K15" s="829" t="s">
        <v>3389</v>
      </c>
      <c r="L15" s="2326" t="s">
        <v>709</v>
      </c>
      <c r="M15" s="2326" t="b">
        <f ca="1">Проверки!D434</f>
        <v>1</v>
      </c>
      <c r="R15" s="2616" t="s">
        <v>7653</v>
      </c>
      <c r="S15" s="2627">
        <f>SUM(S9:S14)</f>
        <v>0</v>
      </c>
    </row>
    <row r="16" spans="1:19" ht="13">
      <c r="A16" s="9"/>
      <c r="C16" s="1603" t="s">
        <v>4656</v>
      </c>
      <c r="D16" s="824">
        <f t="shared" ref="D16:J16" si="2">SUM(D17:D9802)</f>
        <v>0</v>
      </c>
      <c r="E16" s="824">
        <f t="shared" si="2"/>
        <v>0</v>
      </c>
      <c r="F16" s="824">
        <f t="shared" si="2"/>
        <v>0</v>
      </c>
      <c r="G16" s="824">
        <f t="shared" si="2"/>
        <v>0</v>
      </c>
      <c r="H16" s="1179">
        <f t="shared" si="2"/>
        <v>0</v>
      </c>
      <c r="I16" s="824">
        <f t="shared" si="2"/>
        <v>0</v>
      </c>
      <c r="J16" s="824">
        <f t="shared" si="2"/>
        <v>0</v>
      </c>
      <c r="K16" s="825">
        <f t="shared" ref="K16" si="3">SUM(K17:K9802)</f>
        <v>0</v>
      </c>
      <c r="L16" s="8" t="b">
        <f>AND(L17:L5000)</f>
        <v>1</v>
      </c>
      <c r="M16" s="8" t="b">
        <f>AND(M17:M5000)</f>
        <v>1</v>
      </c>
    </row>
    <row r="17" spans="1:13">
      <c r="A17" s="9" t="str">
        <f>"R2="&amp;IF(C17="","","2210"&amp;IFERROR(MID(C17,FIND("{",C17)+1,FIND("}",C17)-FIND("{",C17)-1),""))</f>
        <v>R2=</v>
      </c>
      <c r="B17" s="1604" t="s">
        <v>5536</v>
      </c>
      <c r="C17" s="830"/>
      <c r="D17" s="1158"/>
      <c r="E17" s="1158"/>
      <c r="F17" s="828"/>
      <c r="G17" s="828"/>
      <c r="H17" s="1181">
        <f t="shared" ref="H17:H28" si="4">SUM(D17:G17)</f>
        <v>0</v>
      </c>
      <c r="I17" s="1158"/>
      <c r="J17" s="2586"/>
      <c r="K17" s="2473"/>
      <c r="L17" s="8" t="b">
        <f>IF(OR(C17="{20030200} Оценочные обязательства по оплате отпусков работников (сумма выплат)",C17="{20030110} Оценочные обязательства по выплате вознаграждений по итогам работы за год (корректировка прошлого года) (сумма выплат)",C17="{30500110} Оценочные обязательства по выплате вознаграждений по итогам работы за год (корректировка прошлого года) (сумма страховых взносов)",C17="{30500200} Оценочные обязательства по оплате отпусков работников (сумма страховых взносов)"),TRUE,AND(D17&gt;=0,E17&gt;=0,F17&gt;=0,G17&gt;=0,I17&gt;=0))</f>
        <v>1</v>
      </c>
      <c r="M17" s="8" t="b">
        <f t="shared" ref="M17:M44" si="5">IF(C17&lt;&gt;"",IF(ISNA(VLOOKUP(C17,_9019_1,1,0)),FALSE,TRUE),TRUE)</f>
        <v>1</v>
      </c>
    </row>
    <row r="18" spans="1:13">
      <c r="A18" s="2427" t="str">
        <f t="shared" ref="A18:A44" si="6">"R2="&amp;IF(C18="","","2210"&amp;IFERROR(MID(C18,FIND("{",C18)+1,FIND("}",C18)-FIND("{",C18)-1),""))</f>
        <v>R2=</v>
      </c>
      <c r="B18" s="1604"/>
      <c r="C18" s="830"/>
      <c r="D18" s="1158"/>
      <c r="E18" s="1158"/>
      <c r="F18" s="1158"/>
      <c r="G18" s="1158"/>
      <c r="H18" s="1181">
        <f t="shared" si="4"/>
        <v>0</v>
      </c>
      <c r="I18" s="1158"/>
      <c r="J18" s="2586"/>
      <c r="K18" s="2473"/>
      <c r="L18" s="3003" t="b">
        <f t="shared" ref="L18:L44" si="7">IF(OR(C18="{20030200} Оценочные обязательства по оплате отпусков работников (сумма выплат)",C18="{20030110} Оценочные обязательства по выплате вознаграждений по итогам работы за год (корректировка прошлого года) (сумма выплат)",C18="{30500110} Оценочные обязательства по выплате вознаграждений по итогам работы за год (корректировка прошлого года) (сумма страховых взносов)",C18="{30500200} Оценочные обязательства по оплате отпусков работников (сумма страховых взносов)"),TRUE,AND(D18&gt;=0,E18&gt;=0,F18&gt;=0,G18&gt;=0,I18&gt;=0))</f>
        <v>1</v>
      </c>
      <c r="M18" s="8" t="b">
        <f>IF(C18&lt;&gt;"",IF(ISNA(VLOOKUP(C18,_9019_1,1,0)),FALSE,TRUE),TRUE)</f>
        <v>1</v>
      </c>
    </row>
    <row r="19" spans="1:13">
      <c r="A19" s="2427" t="str">
        <f t="shared" si="6"/>
        <v>R2=</v>
      </c>
      <c r="B19" s="1604"/>
      <c r="C19" s="830"/>
      <c r="D19" s="1158"/>
      <c r="E19" s="1158"/>
      <c r="F19" s="1158"/>
      <c r="G19" s="828"/>
      <c r="H19" s="1181">
        <f t="shared" si="4"/>
        <v>0</v>
      </c>
      <c r="I19" s="1158"/>
      <c r="J19" s="2586"/>
      <c r="K19" s="2473"/>
      <c r="L19" s="3003" t="b">
        <f t="shared" si="7"/>
        <v>1</v>
      </c>
      <c r="M19" s="8" t="b">
        <f t="shared" si="5"/>
        <v>1</v>
      </c>
    </row>
    <row r="20" spans="1:13">
      <c r="A20" s="2427" t="str">
        <f t="shared" si="6"/>
        <v>R2=</v>
      </c>
      <c r="B20" s="1604"/>
      <c r="C20" s="830"/>
      <c r="D20" s="1158"/>
      <c r="E20" s="1158"/>
      <c r="F20" s="828"/>
      <c r="G20" s="828"/>
      <c r="H20" s="1181">
        <f t="shared" si="4"/>
        <v>0</v>
      </c>
      <c r="I20" s="1158"/>
      <c r="J20" s="2586"/>
      <c r="K20" s="2473"/>
      <c r="L20" s="3003" t="b">
        <f t="shared" si="7"/>
        <v>1</v>
      </c>
      <c r="M20" s="8" t="b">
        <f t="shared" si="5"/>
        <v>1</v>
      </c>
    </row>
    <row r="21" spans="1:13">
      <c r="A21" s="2427" t="str">
        <f t="shared" si="6"/>
        <v>R2=</v>
      </c>
      <c r="B21" s="1604"/>
      <c r="C21" s="830"/>
      <c r="D21" s="1158"/>
      <c r="E21" s="1158"/>
      <c r="F21" s="1158"/>
      <c r="G21" s="1158"/>
      <c r="H21" s="1181">
        <f t="shared" si="4"/>
        <v>0</v>
      </c>
      <c r="I21" s="1158"/>
      <c r="J21" s="2586"/>
      <c r="K21" s="2473"/>
      <c r="L21" s="3003" t="b">
        <f t="shared" si="7"/>
        <v>1</v>
      </c>
      <c r="M21" s="8" t="b">
        <f t="shared" si="5"/>
        <v>1</v>
      </c>
    </row>
    <row r="22" spans="1:13">
      <c r="A22" s="2427" t="str">
        <f t="shared" si="6"/>
        <v>R2=</v>
      </c>
      <c r="B22" s="1604"/>
      <c r="C22" s="830"/>
      <c r="D22" s="1158"/>
      <c r="E22" s="1158"/>
      <c r="F22" s="1158"/>
      <c r="G22" s="1158"/>
      <c r="H22" s="1181">
        <f t="shared" si="4"/>
        <v>0</v>
      </c>
      <c r="I22" s="1158"/>
      <c r="J22" s="2586"/>
      <c r="K22" s="2473"/>
      <c r="L22" s="3003" t="b">
        <f t="shared" si="7"/>
        <v>1</v>
      </c>
      <c r="M22" s="8" t="b">
        <f t="shared" si="5"/>
        <v>1</v>
      </c>
    </row>
    <row r="23" spans="1:13">
      <c r="A23" s="2427" t="str">
        <f t="shared" si="6"/>
        <v>R2=</v>
      </c>
      <c r="B23" s="1604"/>
      <c r="C23" s="830"/>
      <c r="D23" s="1158"/>
      <c r="E23" s="1158"/>
      <c r="F23" s="1158"/>
      <c r="G23" s="1158"/>
      <c r="H23" s="1181">
        <f t="shared" si="4"/>
        <v>0</v>
      </c>
      <c r="I23" s="1158"/>
      <c r="J23" s="2586"/>
      <c r="K23" s="2473"/>
      <c r="L23" s="3003" t="b">
        <f t="shared" si="7"/>
        <v>1</v>
      </c>
      <c r="M23" s="8" t="b">
        <f t="shared" si="5"/>
        <v>1</v>
      </c>
    </row>
    <row r="24" spans="1:13">
      <c r="A24" s="2427" t="str">
        <f t="shared" si="6"/>
        <v>R2=</v>
      </c>
      <c r="B24" s="1604"/>
      <c r="C24" s="830"/>
      <c r="D24" s="1158"/>
      <c r="E24" s="1158"/>
      <c r="F24" s="1158"/>
      <c r="G24" s="828"/>
      <c r="H24" s="1181">
        <f t="shared" si="4"/>
        <v>0</v>
      </c>
      <c r="I24" s="1158"/>
      <c r="J24" s="2586"/>
      <c r="K24" s="2473"/>
      <c r="L24" s="3003" t="b">
        <f t="shared" si="7"/>
        <v>1</v>
      </c>
      <c r="M24" s="8" t="b">
        <f t="shared" si="5"/>
        <v>1</v>
      </c>
    </row>
    <row r="25" spans="1:13">
      <c r="A25" s="2427" t="str">
        <f t="shared" si="6"/>
        <v>R2=</v>
      </c>
      <c r="B25" s="1604"/>
      <c r="C25" s="830"/>
      <c r="D25" s="1158"/>
      <c r="E25" s="1158"/>
      <c r="F25" s="828"/>
      <c r="G25" s="828"/>
      <c r="H25" s="1181">
        <f t="shared" si="4"/>
        <v>0</v>
      </c>
      <c r="I25" s="1158"/>
      <c r="J25" s="2586"/>
      <c r="K25" s="2473"/>
      <c r="L25" s="3003" t="b">
        <f t="shared" si="7"/>
        <v>1</v>
      </c>
      <c r="M25" s="8" t="b">
        <f t="shared" si="5"/>
        <v>1</v>
      </c>
    </row>
    <row r="26" spans="1:13">
      <c r="A26" s="2427" t="str">
        <f t="shared" si="6"/>
        <v>R2=</v>
      </c>
      <c r="B26" s="1604"/>
      <c r="C26" s="830"/>
      <c r="D26" s="1158"/>
      <c r="E26" s="1158"/>
      <c r="F26" s="828"/>
      <c r="G26" s="828"/>
      <c r="H26" s="1181">
        <f t="shared" si="4"/>
        <v>0</v>
      </c>
      <c r="I26" s="1158"/>
      <c r="J26" s="2586"/>
      <c r="K26" s="2473"/>
      <c r="L26" s="3003" t="b">
        <f t="shared" si="7"/>
        <v>1</v>
      </c>
      <c r="M26" s="8" t="b">
        <f t="shared" si="5"/>
        <v>1</v>
      </c>
    </row>
    <row r="27" spans="1:13">
      <c r="A27" s="2427" t="str">
        <f t="shared" si="6"/>
        <v>R2=</v>
      </c>
      <c r="B27" s="1604"/>
      <c r="C27" s="830"/>
      <c r="D27" s="1158"/>
      <c r="E27" s="1158"/>
      <c r="F27" s="828"/>
      <c r="G27" s="828"/>
      <c r="H27" s="1181">
        <f t="shared" si="4"/>
        <v>0</v>
      </c>
      <c r="I27" s="1158"/>
      <c r="J27" s="2586"/>
      <c r="K27" s="2473"/>
      <c r="L27" s="3003" t="b">
        <f t="shared" si="7"/>
        <v>1</v>
      </c>
      <c r="M27" s="8" t="b">
        <f t="shared" si="5"/>
        <v>1</v>
      </c>
    </row>
    <row r="28" spans="1:13">
      <c r="A28" s="2427" t="str">
        <f t="shared" si="6"/>
        <v>R2=</v>
      </c>
      <c r="B28" s="1604"/>
      <c r="C28" s="830"/>
      <c r="D28" s="1158"/>
      <c r="E28" s="1158"/>
      <c r="F28" s="828"/>
      <c r="G28" s="828"/>
      <c r="H28" s="1181">
        <f t="shared" si="4"/>
        <v>0</v>
      </c>
      <c r="I28" s="1158"/>
      <c r="J28" s="2586"/>
      <c r="K28" s="2473"/>
      <c r="L28" s="3003" t="b">
        <f t="shared" si="7"/>
        <v>1</v>
      </c>
      <c r="M28" s="8" t="b">
        <f t="shared" si="5"/>
        <v>1</v>
      </c>
    </row>
    <row r="29" spans="1:13">
      <c r="A29" s="2427" t="str">
        <f t="shared" si="6"/>
        <v>R2=</v>
      </c>
      <c r="B29" s="1604"/>
      <c r="C29" s="830"/>
      <c r="D29" s="1158"/>
      <c r="E29" s="1158"/>
      <c r="F29" s="828"/>
      <c r="G29" s="828"/>
      <c r="H29" s="1181">
        <f t="shared" ref="H29" si="8">SUM(D29:G29)</f>
        <v>0</v>
      </c>
      <c r="I29" s="1158"/>
      <c r="J29" s="2586"/>
      <c r="K29" s="2473"/>
      <c r="L29" s="3003" t="b">
        <f t="shared" si="7"/>
        <v>1</v>
      </c>
      <c r="M29" s="8" t="b">
        <f t="shared" si="5"/>
        <v>1</v>
      </c>
    </row>
    <row r="30" spans="1:13">
      <c r="A30" s="2427" t="str">
        <f t="shared" si="6"/>
        <v>R2=</v>
      </c>
      <c r="B30" s="1604"/>
      <c r="C30" s="830"/>
      <c r="D30" s="1158"/>
      <c r="E30" s="1158"/>
      <c r="F30" s="828"/>
      <c r="G30" s="828"/>
      <c r="H30" s="1181">
        <f t="shared" ref="H30" si="9">SUM(D30:G30)</f>
        <v>0</v>
      </c>
      <c r="I30" s="1158"/>
      <c r="J30" s="2586"/>
      <c r="K30" s="2473"/>
      <c r="L30" s="3003" t="b">
        <f t="shared" si="7"/>
        <v>1</v>
      </c>
      <c r="M30" s="8" t="b">
        <f t="shared" si="5"/>
        <v>1</v>
      </c>
    </row>
    <row r="31" spans="1:13">
      <c r="A31" s="2427" t="str">
        <f t="shared" si="6"/>
        <v>R2=</v>
      </c>
      <c r="B31" s="1604"/>
      <c r="C31" s="830"/>
      <c r="D31" s="1158"/>
      <c r="E31" s="1158"/>
      <c r="F31" s="828"/>
      <c r="G31" s="828"/>
      <c r="H31" s="1181">
        <f t="shared" ref="H31" si="10">SUM(D31:G31)</f>
        <v>0</v>
      </c>
      <c r="I31" s="1158"/>
      <c r="J31" s="2586"/>
      <c r="K31" s="2473"/>
      <c r="L31" s="3003" t="b">
        <f t="shared" si="7"/>
        <v>1</v>
      </c>
      <c r="M31" s="8" t="b">
        <f t="shared" si="5"/>
        <v>1</v>
      </c>
    </row>
    <row r="32" spans="1:13">
      <c r="A32" s="2427" t="str">
        <f t="shared" si="6"/>
        <v>R2=</v>
      </c>
      <c r="B32" s="1604"/>
      <c r="C32" s="830"/>
      <c r="D32" s="1158"/>
      <c r="E32" s="1158"/>
      <c r="F32" s="828"/>
      <c r="G32" s="828"/>
      <c r="H32" s="1181">
        <f t="shared" ref="H32" si="11">SUM(D32:G32)</f>
        <v>0</v>
      </c>
      <c r="I32" s="1158"/>
      <c r="J32" s="2586"/>
      <c r="K32" s="2473"/>
      <c r="L32" s="3003" t="b">
        <f t="shared" si="7"/>
        <v>1</v>
      </c>
      <c r="M32" s="8" t="b">
        <f t="shared" si="5"/>
        <v>1</v>
      </c>
    </row>
    <row r="33" spans="1:13">
      <c r="A33" s="2427" t="str">
        <f t="shared" si="6"/>
        <v>R2=</v>
      </c>
      <c r="B33" s="1604"/>
      <c r="C33" s="830"/>
      <c r="D33" s="1158"/>
      <c r="E33" s="1158"/>
      <c r="F33" s="828"/>
      <c r="G33" s="828"/>
      <c r="H33" s="1181">
        <f t="shared" ref="H33" si="12">SUM(D33:G33)</f>
        <v>0</v>
      </c>
      <c r="I33" s="1158"/>
      <c r="J33" s="2586"/>
      <c r="K33" s="2473"/>
      <c r="L33" s="3003" t="b">
        <f t="shared" si="7"/>
        <v>1</v>
      </c>
      <c r="M33" s="8" t="b">
        <f t="shared" si="5"/>
        <v>1</v>
      </c>
    </row>
    <row r="34" spans="1:13">
      <c r="A34" s="2427" t="str">
        <f t="shared" si="6"/>
        <v>R2=</v>
      </c>
      <c r="B34" s="1604"/>
      <c r="C34" s="830"/>
      <c r="D34" s="1158"/>
      <c r="E34" s="1158"/>
      <c r="F34" s="828"/>
      <c r="G34" s="828"/>
      <c r="H34" s="1181">
        <f t="shared" ref="H34" si="13">SUM(D34:G34)</f>
        <v>0</v>
      </c>
      <c r="I34" s="1158"/>
      <c r="J34" s="2586"/>
      <c r="K34" s="2473"/>
      <c r="L34" s="3003" t="b">
        <f t="shared" si="7"/>
        <v>1</v>
      </c>
      <c r="M34" s="8" t="b">
        <f t="shared" si="5"/>
        <v>1</v>
      </c>
    </row>
    <row r="35" spans="1:13">
      <c r="A35" s="2427" t="str">
        <f t="shared" si="6"/>
        <v>R2=</v>
      </c>
      <c r="B35" s="1604"/>
      <c r="C35" s="830"/>
      <c r="D35" s="1158"/>
      <c r="E35" s="1158"/>
      <c r="F35" s="828"/>
      <c r="G35" s="828"/>
      <c r="H35" s="1181">
        <f t="shared" ref="H35" si="14">SUM(D35:G35)</f>
        <v>0</v>
      </c>
      <c r="I35" s="1158"/>
      <c r="J35" s="2586"/>
      <c r="K35" s="2473"/>
      <c r="L35" s="3003" t="b">
        <f t="shared" si="7"/>
        <v>1</v>
      </c>
      <c r="M35" s="8" t="b">
        <f t="shared" si="5"/>
        <v>1</v>
      </c>
    </row>
    <row r="36" spans="1:13">
      <c r="A36" s="2427" t="str">
        <f t="shared" si="6"/>
        <v>R2=</v>
      </c>
      <c r="B36" s="1604"/>
      <c r="C36" s="830"/>
      <c r="D36" s="1158"/>
      <c r="E36" s="1158"/>
      <c r="F36" s="828"/>
      <c r="G36" s="828"/>
      <c r="H36" s="1181">
        <f t="shared" ref="H36" si="15">SUM(D36:G36)</f>
        <v>0</v>
      </c>
      <c r="I36" s="1158"/>
      <c r="J36" s="2586"/>
      <c r="K36" s="2473"/>
      <c r="L36" s="3003" t="b">
        <f t="shared" si="7"/>
        <v>1</v>
      </c>
      <c r="M36" s="8" t="b">
        <f t="shared" si="5"/>
        <v>1</v>
      </c>
    </row>
    <row r="37" spans="1:13">
      <c r="A37" s="2427" t="str">
        <f t="shared" si="6"/>
        <v>R2=</v>
      </c>
      <c r="B37" s="1604"/>
      <c r="C37" s="830"/>
      <c r="D37" s="1158"/>
      <c r="E37" s="1158"/>
      <c r="F37" s="828"/>
      <c r="G37" s="828"/>
      <c r="H37" s="1181">
        <f t="shared" ref="H37" si="16">SUM(D37:G37)</f>
        <v>0</v>
      </c>
      <c r="I37" s="1158"/>
      <c r="J37" s="2586"/>
      <c r="K37" s="2473"/>
      <c r="L37" s="3003" t="b">
        <f t="shared" si="7"/>
        <v>1</v>
      </c>
      <c r="M37" s="8" t="b">
        <f t="shared" si="5"/>
        <v>1</v>
      </c>
    </row>
    <row r="38" spans="1:13">
      <c r="A38" s="2427" t="str">
        <f t="shared" si="6"/>
        <v>R2=</v>
      </c>
      <c r="B38" s="1604"/>
      <c r="C38" s="830"/>
      <c r="D38" s="1158"/>
      <c r="E38" s="1158"/>
      <c r="F38" s="828"/>
      <c r="G38" s="828"/>
      <c r="H38" s="1181">
        <f t="shared" ref="H38" si="17">SUM(D38:G38)</f>
        <v>0</v>
      </c>
      <c r="I38" s="1158"/>
      <c r="J38" s="2586"/>
      <c r="K38" s="2473"/>
      <c r="L38" s="3003" t="b">
        <f t="shared" si="7"/>
        <v>1</v>
      </c>
      <c r="M38" s="8" t="b">
        <f t="shared" si="5"/>
        <v>1</v>
      </c>
    </row>
    <row r="39" spans="1:13">
      <c r="A39" s="2427" t="str">
        <f t="shared" si="6"/>
        <v>R2=</v>
      </c>
      <c r="B39" s="1604"/>
      <c r="C39" s="830"/>
      <c r="D39" s="1158"/>
      <c r="E39" s="1158"/>
      <c r="F39" s="828"/>
      <c r="G39" s="828"/>
      <c r="H39" s="1181">
        <f t="shared" ref="H39" si="18">SUM(D39:G39)</f>
        <v>0</v>
      </c>
      <c r="I39" s="1158"/>
      <c r="J39" s="2586"/>
      <c r="K39" s="2473"/>
      <c r="L39" s="3003" t="b">
        <f t="shared" si="7"/>
        <v>1</v>
      </c>
      <c r="M39" s="8" t="b">
        <f t="shared" si="5"/>
        <v>1</v>
      </c>
    </row>
    <row r="40" spans="1:13">
      <c r="A40" s="2427" t="str">
        <f t="shared" si="6"/>
        <v>R2=</v>
      </c>
      <c r="B40" s="1604"/>
      <c r="C40" s="830"/>
      <c r="D40" s="1158"/>
      <c r="E40" s="1158"/>
      <c r="F40" s="828"/>
      <c r="G40" s="828"/>
      <c r="H40" s="1181">
        <f t="shared" ref="H40" si="19">SUM(D40:G40)</f>
        <v>0</v>
      </c>
      <c r="I40" s="1158"/>
      <c r="J40" s="2586"/>
      <c r="K40" s="2473"/>
      <c r="L40" s="3003" t="b">
        <f t="shared" si="7"/>
        <v>1</v>
      </c>
      <c r="M40" s="8" t="b">
        <f t="shared" si="5"/>
        <v>1</v>
      </c>
    </row>
    <row r="41" spans="1:13">
      <c r="A41" s="2427" t="str">
        <f t="shared" si="6"/>
        <v>R2=</v>
      </c>
      <c r="B41" s="1604"/>
      <c r="C41" s="830"/>
      <c r="D41" s="1158"/>
      <c r="E41" s="1158"/>
      <c r="F41" s="828"/>
      <c r="G41" s="828"/>
      <c r="H41" s="1181">
        <f t="shared" ref="H41" si="20">SUM(D41:G41)</f>
        <v>0</v>
      </c>
      <c r="I41" s="1158"/>
      <c r="J41" s="2586"/>
      <c r="K41" s="2473"/>
      <c r="L41" s="3003" t="b">
        <f t="shared" si="7"/>
        <v>1</v>
      </c>
      <c r="M41" s="8" t="b">
        <f t="shared" si="5"/>
        <v>1</v>
      </c>
    </row>
    <row r="42" spans="1:13">
      <c r="A42" s="2427" t="str">
        <f t="shared" si="6"/>
        <v>R2=</v>
      </c>
      <c r="B42" s="1604"/>
      <c r="C42" s="830"/>
      <c r="D42" s="1158"/>
      <c r="E42" s="1158"/>
      <c r="F42" s="828"/>
      <c r="G42" s="828"/>
      <c r="H42" s="1181">
        <f t="shared" ref="H42" si="21">SUM(D42:G42)</f>
        <v>0</v>
      </c>
      <c r="I42" s="1158"/>
      <c r="J42" s="2586"/>
      <c r="K42" s="2473"/>
      <c r="L42" s="3003" t="b">
        <f t="shared" si="7"/>
        <v>1</v>
      </c>
      <c r="M42" s="8" t="b">
        <f t="shared" si="5"/>
        <v>1</v>
      </c>
    </row>
    <row r="43" spans="1:13">
      <c r="A43" s="2427" t="str">
        <f t="shared" si="6"/>
        <v>R2=</v>
      </c>
      <c r="B43" s="1604"/>
      <c r="C43" s="830"/>
      <c r="D43" s="1158"/>
      <c r="E43" s="1158"/>
      <c r="F43" s="828"/>
      <c r="G43" s="828"/>
      <c r="H43" s="1181">
        <f t="shared" ref="H43" si="22">SUM(D43:G43)</f>
        <v>0</v>
      </c>
      <c r="I43" s="1158"/>
      <c r="J43" s="2586"/>
      <c r="K43" s="2473"/>
      <c r="L43" s="3003" t="b">
        <f t="shared" si="7"/>
        <v>1</v>
      </c>
      <c r="M43" s="8" t="b">
        <f t="shared" si="5"/>
        <v>1</v>
      </c>
    </row>
    <row r="44" spans="1:13" ht="13" thickBot="1">
      <c r="A44" s="2427" t="str">
        <f t="shared" si="6"/>
        <v>R2=</v>
      </c>
      <c r="B44" s="1604"/>
      <c r="C44" s="2236"/>
      <c r="D44" s="1164"/>
      <c r="E44" s="1164"/>
      <c r="F44" s="831"/>
      <c r="G44" s="831"/>
      <c r="H44" s="1182">
        <f t="shared" ref="H44" si="23">SUM(D44:G44)</f>
        <v>0</v>
      </c>
      <c r="I44" s="831"/>
      <c r="J44" s="2587"/>
      <c r="K44" s="2474"/>
      <c r="L44" s="3003" t="b">
        <f t="shared" si="7"/>
        <v>1</v>
      </c>
      <c r="M44" s="8" t="b">
        <f t="shared" si="5"/>
        <v>1</v>
      </c>
    </row>
  </sheetData>
  <sheetProtection algorithmName="SHA-512" hashValue="XXzqB67V/hECARfmJqhXt0zuZJUgjBK2nX1YJi2hLJyfOyThjf0nokkoQrk1ZLgFYN7/5vdREpCKO8JLLLoFMQ==" saltValue="s7+tuePRBmWUEo5ug5Ok9A==" spinCount="100000" sheet="1" objects="1" scenarios="1" formatColumns="0" formatRows="0" autoFilter="0"/>
  <autoFilter ref="C9:M44"/>
  <dataConsolidate/>
  <customSheetViews>
    <customSheetView guid="{3769259D-9653-4B34-A2F6-4FB6F9F4E533}" scale="85" showGridLines="0" showAutoFilter="1" hiddenRows="1" hiddenColumns="1" topLeftCell="C2">
      <selection activeCell="C2" sqref="C1:H65536"/>
      <pageMargins left="0.7" right="0.7" top="0.75" bottom="0.75" header="0.3" footer="0.3"/>
      <pageSetup orientation="portrait" r:id="rId1"/>
      <autoFilter ref="B1:H1"/>
    </customSheetView>
    <customSheetView guid="{40D7A2BB-326C-4ED3-999C-17852F56D6F4}" scale="85" showGridLines="0" showAutoFilter="1" hiddenRows="1" hiddenColumns="1" topLeftCell="C2">
      <selection activeCell="C2" sqref="C1:H65536"/>
      <pageMargins left="0.7" right="0.7" top="0.75" bottom="0.75" header="0.3" footer="0.3"/>
      <pageSetup orientation="portrait" r:id="rId2"/>
      <autoFilter ref="B1:H1"/>
    </customSheetView>
    <customSheetView guid="{5D121940-0CE8-4A0E-A493-67FAAA6E0FF8}" scale="85" showGridLines="0" showAutoFilter="1" hiddenRows="1" hiddenColumns="1" topLeftCell="B3">
      <selection activeCell="C8" sqref="C8"/>
      <pageMargins left="0.7" right="0.7" top="0.75" bottom="0.75" header="0.3" footer="0.3"/>
      <pageSetup orientation="portrait" r:id="rId3"/>
      <autoFilter ref="B1:H1"/>
    </customSheetView>
    <customSheetView guid="{47AEACC4-6EA5-412C-AF39-A6C5357B313A}" scale="85" showGridLines="0" showAutoFilter="1" hiddenRows="1" hiddenColumns="1" topLeftCell="B3">
      <selection activeCell="C17" sqref="C17"/>
      <pageMargins left="0.7" right="0.7" top="0.75" bottom="0.75" header="0.3" footer="0.3"/>
      <pageSetup orientation="portrait" r:id="rId4"/>
      <autoFilter ref="B1:H1"/>
    </customSheetView>
    <customSheetView guid="{4D957B38-5430-481E-B791-E0A66F913B50}" scale="70">
      <pane xSplit="3" ySplit="10" topLeftCell="D141" activePane="bottomRight" state="frozen"/>
      <selection pane="bottomRight" activeCell="D151" sqref="D151"/>
      <pageMargins left="0.7" right="0.7" top="0.75" bottom="0.75" header="0.3" footer="0.3"/>
      <pageSetup orientation="portrait" r:id="rId5"/>
    </customSheetView>
    <customSheetView guid="{D03DFE91-19D2-43BA-897C-B86D033537EB}" scale="70">
      <pane xSplit="3" ySplit="10" topLeftCell="D11" activePane="bottomRight" state="frozen"/>
      <selection pane="bottomRight" activeCell="C9" sqref="C9"/>
      <pageMargins left="0.7" right="0.7" top="0.75" bottom="0.75" header="0.3" footer="0.3"/>
      <pageSetup orientation="portrait" r:id="rId6"/>
    </customSheetView>
    <customSheetView guid="{1C36793E-2B7E-411E-AA99-985D5D59B75A}" scale="70">
      <pane xSplit="3" ySplit="10" topLeftCell="D11" activePane="bottomRight" state="frozen"/>
      <selection pane="bottomRight" activeCell="E13" sqref="E13"/>
      <pageMargins left="0.7" right="0.7" top="0.75" bottom="0.75" header="0.3" footer="0.3"/>
      <pageSetup orientation="portrait" r:id="rId7"/>
    </customSheetView>
    <customSheetView guid="{C913A9E8-661B-40A4-A3C9-1BC5F2B2E9F0}" scale="85" showGridLines="0" showAutoFilter="1" hiddenRows="1" hiddenColumns="1" topLeftCell="B3">
      <selection activeCell="C8" sqref="C8"/>
      <pageMargins left="0.7" right="0.7" top="0.75" bottom="0.75" header="0.3" footer="0.3"/>
      <pageSetup orientation="portrait" r:id="rId8"/>
      <autoFilter ref="B1:H1"/>
    </customSheetView>
  </customSheetViews>
  <mergeCells count="8">
    <mergeCell ref="K6:K7"/>
    <mergeCell ref="I6:I7"/>
    <mergeCell ref="C6:C7"/>
    <mergeCell ref="D6:D7"/>
    <mergeCell ref="E6:F6"/>
    <mergeCell ref="G6:G7"/>
    <mergeCell ref="H6:H7"/>
    <mergeCell ref="J6:J7"/>
  </mergeCells>
  <phoneticPr fontId="0" type="noConversion"/>
  <dataValidations count="1">
    <dataValidation type="list" allowBlank="1" showInputMessage="1" showErrorMessage="1" sqref="C17:C44">
      <formula1>_9019_1</formula1>
    </dataValidation>
  </dataValidations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47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8" r:id="rId12" name="Button 8">
              <controlPr defaultSize="0" print="0" autoFill="0" autoPict="0" macro="[0]!AddButtonsRowAdd">
                <anchor moveWithCells="1">
                  <from>
                    <xdr:col>2</xdr:col>
                    <xdr:colOff>3314700</xdr:colOff>
                    <xdr:row>1</xdr:row>
                    <xdr:rowOff>114300</xdr:rowOff>
                  </from>
                  <to>
                    <xdr:col>2</xdr:col>
                    <xdr:colOff>4756150</xdr:colOff>
                    <xdr:row>2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>
    <pageSetUpPr fitToPage="1"/>
  </sheetPr>
  <dimension ref="A1:AE162"/>
  <sheetViews>
    <sheetView topLeftCell="B2" zoomScale="40" zoomScaleNormal="40" workbookViewId="0">
      <selection activeCell="F17" sqref="F17"/>
    </sheetView>
  </sheetViews>
  <sheetFormatPr defaultColWidth="9.453125" defaultRowHeight="14.5"/>
  <cols>
    <col min="1" max="1" width="11.1796875" style="1590" hidden="1" customWidth="1"/>
    <col min="2" max="2" width="3.54296875" style="1163" customWidth="1"/>
    <col min="3" max="3" width="55" style="1612" customWidth="1"/>
    <col min="4" max="4" width="39.453125" style="1590" customWidth="1"/>
    <col min="5" max="5" width="33.54296875" style="1698" customWidth="1"/>
    <col min="6" max="7" width="17.54296875" style="8" customWidth="1"/>
    <col min="8" max="8" width="17.54296875" style="3003" customWidth="1"/>
    <col min="9" max="10" width="17.54296875" style="8" customWidth="1"/>
    <col min="11" max="11" width="9.54296875" style="8" customWidth="1"/>
    <col min="12" max="12" width="24" style="2130" customWidth="1"/>
    <col min="13" max="13" width="17.453125" style="2137" customWidth="1"/>
    <col min="14" max="16" width="9.453125" style="2137"/>
    <col min="17" max="19" width="9.453125" style="1163"/>
    <col min="20" max="20" width="11.453125" style="1163" customWidth="1"/>
    <col min="21" max="21" width="6.453125" style="1163" hidden="1" customWidth="1"/>
    <col min="22" max="22" width="9.453125" style="1163" customWidth="1"/>
    <col min="23" max="23" width="14.54296875" style="1163" customWidth="1"/>
    <col min="24" max="16384" width="9.453125" style="1163"/>
  </cols>
  <sheetData>
    <row r="1" spans="1:31" s="6" customFormat="1" ht="31.5" hidden="1" customHeight="1">
      <c r="A1" s="563" t="s">
        <v>221</v>
      </c>
      <c r="C1" s="37"/>
      <c r="D1" s="571"/>
      <c r="E1" s="2131"/>
      <c r="F1" s="100" t="s">
        <v>368</v>
      </c>
      <c r="G1" s="100" t="s">
        <v>9878</v>
      </c>
      <c r="H1" s="100" t="s">
        <v>9879</v>
      </c>
      <c r="I1" s="100" t="s">
        <v>369</v>
      </c>
      <c r="J1" s="100"/>
      <c r="K1" s="100"/>
      <c r="L1" s="2133"/>
      <c r="M1" s="2224"/>
    </row>
    <row r="2" spans="1:31" s="24" customFormat="1">
      <c r="A2" s="564"/>
      <c r="D2"/>
      <c r="E2" s="196"/>
      <c r="F2" s="1925" t="s">
        <v>1648</v>
      </c>
      <c r="G2" s="1925" t="s">
        <v>1648</v>
      </c>
      <c r="H2" s="1925"/>
      <c r="I2" s="1925" t="s">
        <v>1648</v>
      </c>
      <c r="J2" s="1925" t="s">
        <v>1648</v>
      </c>
      <c r="L2" s="2103"/>
      <c r="M2" s="2225"/>
    </row>
    <row r="3" spans="1:31" ht="26">
      <c r="A3" s="9"/>
      <c r="C3" s="1870"/>
      <c r="D3" s="3044" t="s">
        <v>1436</v>
      </c>
      <c r="F3" s="1897" t="s">
        <v>2067</v>
      </c>
      <c r="G3" s="1244">
        <f>Содержание!$D$2</f>
        <v>0</v>
      </c>
      <c r="H3" s="512"/>
      <c r="I3" s="512"/>
      <c r="K3" s="2202">
        <f ca="1">SUMIF(C$2:J$65536,_1015_общий,J:J)</f>
        <v>0</v>
      </c>
      <c r="N3" s="1163"/>
      <c r="O3" s="1163"/>
      <c r="P3" s="1163"/>
    </row>
    <row r="4" spans="1:31" ht="27.65" customHeight="1">
      <c r="A4" s="9"/>
      <c r="C4" s="38" t="s">
        <v>2855</v>
      </c>
      <c r="D4" s="38"/>
      <c r="E4" s="249"/>
      <c r="F4" s="1897" t="s">
        <v>2075</v>
      </c>
      <c r="G4" s="1244" t="str">
        <f>Содержание!$D$15</f>
        <v>2022 год</v>
      </c>
      <c r="H4" s="512"/>
      <c r="I4" s="512"/>
      <c r="J4" s="512"/>
      <c r="K4" s="513"/>
      <c r="N4" s="1163"/>
      <c r="O4" s="1163"/>
      <c r="P4" s="1163"/>
    </row>
    <row r="5" spans="1:31" ht="15" thickBot="1">
      <c r="A5" s="9"/>
      <c r="C5" s="1163"/>
      <c r="D5" s="1590" t="b">
        <f t="array" ref="D5">IF(SMALL(IF(""=C11:C2700,ROW(C11:C2700),2700),1)&gt;LARGE(IF(""&lt;&gt;C11:C2700,ROW(C11:C2700),0),1),TRUE,FALSE)</f>
        <v>1</v>
      </c>
      <c r="N5" s="1163"/>
      <c r="O5" s="1163"/>
      <c r="P5" s="1163"/>
    </row>
    <row r="6" spans="1:31" ht="19.5" customHeight="1">
      <c r="A6" s="9"/>
      <c r="C6" s="3732" t="s">
        <v>3396</v>
      </c>
      <c r="D6" s="3747" t="s">
        <v>3395</v>
      </c>
      <c r="E6" s="3749" t="s">
        <v>4655</v>
      </c>
      <c r="F6" s="3713" t="s">
        <v>3391</v>
      </c>
      <c r="G6" s="3713" t="s">
        <v>3392</v>
      </c>
      <c r="H6" s="3713"/>
      <c r="I6" s="3713" t="s">
        <v>3393</v>
      </c>
      <c r="J6" s="3711" t="s">
        <v>4170</v>
      </c>
      <c r="K6" s="2335"/>
      <c r="L6" s="3745" t="s">
        <v>5860</v>
      </c>
      <c r="N6" s="3735" t="s">
        <v>8563</v>
      </c>
      <c r="O6" s="3736"/>
      <c r="P6" s="3680"/>
      <c r="Q6" s="3680"/>
      <c r="R6" s="3680"/>
      <c r="S6" s="3680"/>
      <c r="T6" s="3680"/>
      <c r="U6" s="3680"/>
      <c r="V6" s="3680"/>
      <c r="W6" s="3751"/>
    </row>
    <row r="7" spans="1:31" ht="24" customHeight="1">
      <c r="A7" s="9"/>
      <c r="C7" s="3746"/>
      <c r="D7" s="3748"/>
      <c r="E7" s="3750"/>
      <c r="F7" s="3710"/>
      <c r="G7" s="3152" t="s">
        <v>4661</v>
      </c>
      <c r="H7" s="3152" t="s">
        <v>4660</v>
      </c>
      <c r="I7" s="3710"/>
      <c r="J7" s="3712"/>
      <c r="K7" s="2335"/>
      <c r="L7" s="3745"/>
      <c r="N7" s="3754" t="s">
        <v>3391</v>
      </c>
      <c r="O7" s="3755"/>
      <c r="P7" s="3755" t="s">
        <v>3392</v>
      </c>
      <c r="Q7" s="3755"/>
      <c r="R7" s="3755" t="s">
        <v>3393</v>
      </c>
      <c r="S7" s="3755"/>
      <c r="T7" s="3155" t="s">
        <v>4170</v>
      </c>
      <c r="V7" s="3717" t="s">
        <v>3392</v>
      </c>
      <c r="W7" s="3717"/>
    </row>
    <row r="8" spans="1:31">
      <c r="A8" s="9"/>
      <c r="C8" s="2331" t="s">
        <v>3397</v>
      </c>
      <c r="D8" s="800" t="s">
        <v>4097</v>
      </c>
      <c r="E8" s="800" t="s">
        <v>8132</v>
      </c>
      <c r="F8" s="2329" t="s">
        <v>4953</v>
      </c>
      <c r="G8" s="845" t="s">
        <v>4266</v>
      </c>
      <c r="H8" s="845" t="s">
        <v>4266</v>
      </c>
      <c r="I8" s="2329" t="s">
        <v>4283</v>
      </c>
      <c r="J8" s="2330" t="s">
        <v>3394</v>
      </c>
      <c r="K8" s="2335"/>
      <c r="L8" s="3745"/>
      <c r="N8" s="3752">
        <f>Затраты_Вход_1!D16-Затраты_Вход_2!F10</f>
        <v>0</v>
      </c>
      <c r="O8" s="3753"/>
      <c r="P8" s="3752">
        <f>ABS(G10-Затраты_Вход_1!E16)+ABS(H10-Затраты_Вход_1!F16)</f>
        <v>0</v>
      </c>
      <c r="Q8" s="3753"/>
      <c r="R8" s="3752">
        <f>Затраты_Вход_1!G16-Затраты_Вход_2!I10</f>
        <v>0</v>
      </c>
      <c r="S8" s="3753"/>
      <c r="T8" s="2034">
        <f>ABS(N8)+ABS(P8)+ABS(R8)</f>
        <v>0</v>
      </c>
      <c r="V8" s="3154" t="s">
        <v>4661</v>
      </c>
      <c r="W8" s="3154" t="s">
        <v>4660</v>
      </c>
    </row>
    <row r="9" spans="1:31" s="674" customFormat="1">
      <c r="A9" s="668"/>
      <c r="C9" s="1605" t="s">
        <v>4164</v>
      </c>
      <c r="D9" s="1606" t="s">
        <v>4165</v>
      </c>
      <c r="E9" s="1607" t="s">
        <v>4166</v>
      </c>
      <c r="F9" s="835" t="s">
        <v>5500</v>
      </c>
      <c r="G9" s="1608" t="s">
        <v>4169</v>
      </c>
      <c r="H9" s="1608" t="s">
        <v>4168</v>
      </c>
      <c r="I9" s="1608" t="s">
        <v>4178</v>
      </c>
      <c r="J9" s="1608" t="s">
        <v>4179</v>
      </c>
      <c r="K9" s="2335"/>
      <c r="L9" s="2134"/>
      <c r="M9" s="2226"/>
    </row>
    <row r="10" spans="1:31">
      <c r="A10" s="9"/>
      <c r="C10" s="1609" t="s">
        <v>2978</v>
      </c>
      <c r="D10" s="1610" t="s">
        <v>3196</v>
      </c>
      <c r="E10" s="1610" t="s">
        <v>3196</v>
      </c>
      <c r="F10" s="824">
        <f>SUM(F11:F10002)</f>
        <v>0</v>
      </c>
      <c r="G10" s="824">
        <f>SUM(G11:G10002)</f>
        <v>0</v>
      </c>
      <c r="H10" s="824">
        <f>SUM(H11:H10002)</f>
        <v>0</v>
      </c>
      <c r="I10" s="824">
        <f>SUM(I11:I10002)</f>
        <v>0</v>
      </c>
      <c r="J10" s="825">
        <f>SUM(J11:J10002)</f>
        <v>0</v>
      </c>
      <c r="K10" s="2335"/>
      <c r="L10" s="2334" t="b">
        <f>AND(L11:L65536)</f>
        <v>1</v>
      </c>
      <c r="M10" s="2227" t="b">
        <f>AND(L11:L65536)</f>
        <v>1</v>
      </c>
      <c r="N10" s="2135"/>
      <c r="O10" s="2136">
        <f ca="1">SUM(O11:O15)</f>
        <v>0</v>
      </c>
      <c r="Q10" s="2334" t="b">
        <f>AND(Q11:Q65536)</f>
        <v>1</v>
      </c>
      <c r="V10" s="2334"/>
      <c r="W10" s="2334"/>
      <c r="AC10" s="1163" t="s">
        <v>6184</v>
      </c>
    </row>
    <row r="11" spans="1:31">
      <c r="A11" s="350" t="str">
        <f>"R6="&amp;IF(C11="{000001} Нецелевые источники финансирования","0001",IFERROR(MID(C11,FIND("{",C11)+1,4),""))&amp;";R7="&amp;IFERROR(MID(C11,FIND("{",C11)+5,2),"")&amp;";R8="&amp;IFERROR(MID(D11,FIND("{",D11)+1,FIND("}",D11)-FIND("{",D11)-1),"")&amp;";R2="&amp;IF(E11="","","2210"&amp;IFERROR(MID(E11,FIND("{",E11)+1,FIND("}",E11)-FIND("{",E11)-1),""))</f>
        <v>R6=;R7=;R8=;R2=</v>
      </c>
      <c r="C11" s="836"/>
      <c r="D11" s="837"/>
      <c r="E11" s="828"/>
      <c r="F11" s="828"/>
      <c r="G11" s="828"/>
      <c r="H11" s="828"/>
      <c r="I11" s="828"/>
      <c r="J11" s="2332">
        <f t="shared" ref="J11:J16" si="0">SUM(F11:I11)</f>
        <v>0</v>
      </c>
      <c r="K11" s="2228"/>
      <c r="L11" s="2130" t="b">
        <f>IF(AND(M11&gt;=1,M11&lt;=1000),TRUE,FALSE)</f>
        <v>1</v>
      </c>
      <c r="M11" s="2228">
        <f t="shared" ref="M11:M18" si="1">IFERROR(IF(C11&gt;0,(IF(C11="{000001} Нецелевые источники финансирования",IF(OR(D11="{03004} Квалифицируемая непроектная деятельность",D11="{03006} Мероприятия по предупреждению распространения коронавирусной"),MATCH(TRUE,INDEX(_9019_1=E11,0),0),MATCH(E11,_X,0)),MATCH(TRUE,INDEX(_9019_1=E11,0),0))),100),FALSE)</f>
        <v>100</v>
      </c>
      <c r="N11" s="2135" t="s">
        <v>2160</v>
      </c>
      <c r="O11" s="2136">
        <f ca="1">SUMIF(E:I,N11,F:F)+SUMIF(E:I,N11,G:G)+SUMIF(E:I,N11,I:I)+SUMIF(E:I,N11,H:H)</f>
        <v>0</v>
      </c>
      <c r="Q11" s="2130" t="b">
        <f>IF(E11="X",TRUE,IF(SUMIF(Затраты_Вход_1!_xlnm.Print_Titles,LEFT(E11,10) &amp; "*",Затраты_Вход_1!H:H)-SUMIF(Затраты_Вход_2!E:E,LEFT(E11,10) &amp; "*",Затраты_Вход_2!J:J)&gt;=0,TRUE,FALSE))</f>
        <v>1</v>
      </c>
      <c r="U11" s="1163" t="b">
        <f t="shared" ref="U11:U17" si="2">NOT(ISNA(VLOOKUP(C11,_1015_86,1,0)))</f>
        <v>0</v>
      </c>
      <c r="AC11" s="1163">
        <f t="shared" ref="AC11:AD18" si="3">IF($D11=$AC$10,F11,0)</f>
        <v>0</v>
      </c>
      <c r="AD11" s="2830">
        <f t="shared" si="3"/>
        <v>0</v>
      </c>
      <c r="AE11" s="1163">
        <f t="shared" ref="AE11:AE18" si="4">IF($D11=$AC$10,I11,0)</f>
        <v>0</v>
      </c>
    </row>
    <row r="12" spans="1:31">
      <c r="A12" s="350" t="str">
        <f>"R6="&amp;IF(C12="{000001} Нецелевые источники финансирования","0001",IFERROR(MID(C12,FIND("{",C12)+1,4),""))&amp;";R7="&amp;IFERROR(MID(C12,FIND("{",C12)+5,2),"")&amp;";R8="&amp;IFERROR(MID(D12,FIND("{",D12)+1,FIND("}",D12)-FIND("{",D12)-1),"")&amp;";R2="&amp;IF(E12="","","2210"&amp;IFERROR(MID(E12,FIND("{",E12)+1,FIND("}",E12)-FIND("{",E12)-1),""))</f>
        <v>R6=;R7=;R8=;R2=</v>
      </c>
      <c r="B12" s="1163" t="s">
        <v>5536</v>
      </c>
      <c r="C12" s="836"/>
      <c r="D12" s="837"/>
      <c r="E12" s="828"/>
      <c r="F12" s="828"/>
      <c r="G12" s="828"/>
      <c r="H12" s="828"/>
      <c r="I12" s="828"/>
      <c r="J12" s="2332">
        <f t="shared" si="0"/>
        <v>0</v>
      </c>
      <c r="K12" s="2228"/>
      <c r="L12" s="2130" t="b">
        <f t="shared" ref="L12:L17" si="5">IF(AND(M12&gt;=1,M12&lt;=1000),TRUE,FALSE)</f>
        <v>1</v>
      </c>
      <c r="M12" s="2228">
        <f t="shared" si="1"/>
        <v>100</v>
      </c>
      <c r="N12" s="2135" t="s">
        <v>2161</v>
      </c>
      <c r="O12" s="2136">
        <f t="shared" ref="O12:O18" ca="1" si="6">SUMIF(E:I,N12,F:F)+SUMIF(E:I,N12,G:G)+SUMIF(E:I,N12,I:I)+SUMIF(E:I,N12,H:H)</f>
        <v>0</v>
      </c>
      <c r="Q12" s="2130" t="b">
        <f>IF(E12="X",TRUE,IF(SUMIF(Затраты_Вход_1!_xlnm.Print_Titles,LEFT(E12,10) &amp; "*",Затраты_Вход_1!H:H)-SUMIF(Затраты_Вход_2!E:E,LEFT(E12,10) &amp; "*",Затраты_Вход_2!J:J)&gt;=0,TRUE,FALSE))</f>
        <v>1</v>
      </c>
      <c r="U12" s="1163" t="b">
        <f t="shared" si="2"/>
        <v>0</v>
      </c>
      <c r="AC12" s="1163">
        <f t="shared" si="3"/>
        <v>0</v>
      </c>
      <c r="AD12" s="1163">
        <f t="shared" si="3"/>
        <v>0</v>
      </c>
      <c r="AE12" s="1163">
        <f t="shared" si="4"/>
        <v>0</v>
      </c>
    </row>
    <row r="13" spans="1:31">
      <c r="A13" s="350" t="str">
        <f t="shared" ref="A13:A18" si="7">"R6="&amp;IF(C13="{000001} Нецелевые источники финансирования","0001",IFERROR(MID(C13,FIND("{",C13)+1,4),""))&amp;";R7="&amp;IFERROR(MID(C13,FIND("{",C13)+5,2),"")&amp;";R8="&amp;IFERROR(MID(D13,FIND("{",D13)+1,FIND("}",D13)-FIND("{",D13)-1),"")&amp;";R2="&amp;IF(E13="","","2210"&amp;IFERROR(MID(E13,FIND("{",E13)+1,FIND("}",E13)-FIND("{",E13)-1),""))</f>
        <v>R6=;R7=;R8=;R2=</v>
      </c>
      <c r="C13" s="836"/>
      <c r="D13" s="837"/>
      <c r="E13" s="828"/>
      <c r="F13" s="828"/>
      <c r="G13" s="828"/>
      <c r="H13" s="828"/>
      <c r="I13" s="828"/>
      <c r="J13" s="2332">
        <f t="shared" si="0"/>
        <v>0</v>
      </c>
      <c r="K13" s="2228"/>
      <c r="L13" s="2130" t="b">
        <f t="shared" si="5"/>
        <v>1</v>
      </c>
      <c r="M13" s="2228">
        <f t="shared" si="1"/>
        <v>100</v>
      </c>
      <c r="N13" s="2135" t="s">
        <v>2162</v>
      </c>
      <c r="O13" s="2136">
        <f t="shared" ca="1" si="6"/>
        <v>0</v>
      </c>
      <c r="Q13" s="2130" t="b">
        <f>IF(E13="X",TRUE,IF(SUMIF(Затраты_Вход_1!_xlnm.Print_Titles,LEFT(E13,10) &amp; "*",Затраты_Вход_1!H:H)-SUMIF(Затраты_Вход_2!E:E,LEFT(E13,10) &amp; "*",Затраты_Вход_2!J:J)&gt;=0,TRUE,FALSE))</f>
        <v>1</v>
      </c>
      <c r="U13" s="1163" t="b">
        <f t="shared" si="2"/>
        <v>0</v>
      </c>
      <c r="AC13" s="1163">
        <f t="shared" si="3"/>
        <v>0</v>
      </c>
      <c r="AD13" s="1163">
        <f t="shared" si="3"/>
        <v>0</v>
      </c>
      <c r="AE13" s="1163">
        <f t="shared" si="4"/>
        <v>0</v>
      </c>
    </row>
    <row r="14" spans="1:31">
      <c r="A14" s="350" t="str">
        <f t="shared" si="7"/>
        <v>R6=;R7=;R8=;R2=</v>
      </c>
      <c r="C14" s="836"/>
      <c r="D14" s="837"/>
      <c r="E14" s="828"/>
      <c r="F14" s="828"/>
      <c r="G14" s="828"/>
      <c r="H14" s="828"/>
      <c r="I14" s="828"/>
      <c r="J14" s="2332">
        <f t="shared" si="0"/>
        <v>0</v>
      </c>
      <c r="K14" s="2228"/>
      <c r="L14" s="2130" t="b">
        <f t="shared" si="5"/>
        <v>1</v>
      </c>
      <c r="M14" s="2228">
        <f t="shared" si="1"/>
        <v>100</v>
      </c>
      <c r="N14" s="2135" t="s">
        <v>2163</v>
      </c>
      <c r="O14" s="2136">
        <f t="shared" ca="1" si="6"/>
        <v>0</v>
      </c>
      <c r="Q14" s="2130" t="b">
        <f>IF(E14="X",TRUE,IF(SUMIF(Затраты_Вход_1!_xlnm.Print_Titles,LEFT(E14,10) &amp; "*",Затраты_Вход_1!H:H)-SUMIF(Затраты_Вход_2!E:E,LEFT(E14,10) &amp; "*",Затраты_Вход_2!J:J)&gt;=0,TRUE,FALSE))</f>
        <v>1</v>
      </c>
      <c r="U14" s="1163" t="b">
        <f t="shared" si="2"/>
        <v>0</v>
      </c>
      <c r="AC14" s="1163">
        <f t="shared" si="3"/>
        <v>0</v>
      </c>
      <c r="AD14" s="1163">
        <f t="shared" si="3"/>
        <v>0</v>
      </c>
      <c r="AE14" s="1163">
        <f t="shared" si="4"/>
        <v>0</v>
      </c>
    </row>
    <row r="15" spans="1:31">
      <c r="A15" s="350" t="str">
        <f t="shared" si="7"/>
        <v>R6=;R7=;R8=;R2=</v>
      </c>
      <c r="C15" s="836"/>
      <c r="D15" s="837"/>
      <c r="E15" s="828"/>
      <c r="F15" s="828"/>
      <c r="G15" s="828"/>
      <c r="H15" s="828"/>
      <c r="I15" s="828"/>
      <c r="J15" s="2332">
        <f t="shared" si="0"/>
        <v>0</v>
      </c>
      <c r="K15" s="2228"/>
      <c r="L15" s="2130" t="b">
        <f t="shared" si="5"/>
        <v>1</v>
      </c>
      <c r="M15" s="2228">
        <f t="shared" si="1"/>
        <v>100</v>
      </c>
      <c r="N15" s="2135" t="s">
        <v>4516</v>
      </c>
      <c r="O15" s="2136">
        <f t="shared" ca="1" si="6"/>
        <v>0</v>
      </c>
      <c r="Q15" s="2130" t="b">
        <f>IF(E15="X",TRUE,IF(SUMIF(Затраты_Вход_1!_xlnm.Print_Titles,LEFT(E15,10) &amp; "*",Затраты_Вход_1!H:H)-SUMIF(Затраты_Вход_2!E:E,LEFT(E15,10) &amp; "*",Затраты_Вход_2!J:J)&gt;=0,TRUE,FALSE))</f>
        <v>1</v>
      </c>
      <c r="U15" s="1163" t="b">
        <f t="shared" si="2"/>
        <v>0</v>
      </c>
      <c r="AC15" s="1163">
        <f t="shared" si="3"/>
        <v>0</v>
      </c>
      <c r="AD15" s="1163">
        <f t="shared" si="3"/>
        <v>0</v>
      </c>
      <c r="AE15" s="1163">
        <f t="shared" si="4"/>
        <v>0</v>
      </c>
    </row>
    <row r="16" spans="1:31">
      <c r="A16" s="350" t="str">
        <f t="shared" si="7"/>
        <v>R6=;R7=;R8=;R2=</v>
      </c>
      <c r="C16" s="836"/>
      <c r="D16" s="837"/>
      <c r="E16" s="828"/>
      <c r="F16" s="828"/>
      <c r="G16" s="828"/>
      <c r="H16" s="828"/>
      <c r="I16" s="828"/>
      <c r="J16" s="2332">
        <f t="shared" si="0"/>
        <v>0</v>
      </c>
      <c r="K16" s="2228"/>
      <c r="L16" s="2130" t="b">
        <f t="shared" si="5"/>
        <v>1</v>
      </c>
      <c r="M16" s="2228">
        <f t="shared" si="1"/>
        <v>100</v>
      </c>
      <c r="N16" s="2135"/>
      <c r="O16" s="2136">
        <f t="shared" ca="1" si="6"/>
        <v>0</v>
      </c>
      <c r="Q16" s="2130" t="b">
        <f>IF(E16="X",TRUE,IF(SUMIF(Затраты_Вход_1!_xlnm.Print_Titles,LEFT(E16,10) &amp; "*",Затраты_Вход_1!H:H)-SUMIF(Затраты_Вход_2!E:E,LEFT(E16,10) &amp; "*",Затраты_Вход_2!J:J)&gt;=0,TRUE,FALSE))</f>
        <v>1</v>
      </c>
      <c r="U16" s="1163" t="b">
        <f t="shared" si="2"/>
        <v>0</v>
      </c>
      <c r="AC16" s="1163">
        <f t="shared" si="3"/>
        <v>0</v>
      </c>
      <c r="AD16" s="1163">
        <f t="shared" si="3"/>
        <v>0</v>
      </c>
      <c r="AE16" s="1163">
        <f t="shared" si="4"/>
        <v>0</v>
      </c>
    </row>
    <row r="17" spans="1:31">
      <c r="A17" s="350" t="str">
        <f t="shared" si="7"/>
        <v>R6=;R7=;R8=;R2=</v>
      </c>
      <c r="C17" s="836"/>
      <c r="D17" s="837"/>
      <c r="E17" s="828"/>
      <c r="F17" s="828"/>
      <c r="G17" s="828"/>
      <c r="H17" s="828"/>
      <c r="I17" s="828"/>
      <c r="J17" s="2332">
        <f>SUM(F17:I17)</f>
        <v>0</v>
      </c>
      <c r="K17" s="2228"/>
      <c r="L17" s="2130" t="b">
        <f t="shared" si="5"/>
        <v>1</v>
      </c>
      <c r="M17" s="2228">
        <f t="shared" si="1"/>
        <v>100</v>
      </c>
      <c r="N17" s="2135"/>
      <c r="O17" s="2136">
        <f t="shared" ca="1" si="6"/>
        <v>0</v>
      </c>
      <c r="Q17" s="2130" t="b">
        <f>IF(E17="X",TRUE,IF(SUMIF(Затраты_Вход_1!_xlnm.Print_Titles,LEFT(E17,10) &amp; "*",Затраты_Вход_1!H:H)-SUMIF(Затраты_Вход_2!E:E,LEFT(E17,10) &amp; "*",Затраты_Вход_2!J:J)&gt;=0,TRUE,FALSE))</f>
        <v>1</v>
      </c>
      <c r="U17" s="1163" t="b">
        <f t="shared" si="2"/>
        <v>0</v>
      </c>
      <c r="AC17" s="1163">
        <f t="shared" si="3"/>
        <v>0</v>
      </c>
      <c r="AD17" s="1163">
        <f t="shared" si="3"/>
        <v>0</v>
      </c>
      <c r="AE17" s="1163">
        <f t="shared" si="4"/>
        <v>0</v>
      </c>
    </row>
    <row r="18" spans="1:31" ht="15" thickBot="1">
      <c r="A18" s="350" t="str">
        <f t="shared" si="7"/>
        <v>R6=;R7=;R8=;R2=</v>
      </c>
      <c r="B18" s="1611"/>
      <c r="C18" s="2138"/>
      <c r="D18" s="2139"/>
      <c r="E18" s="2346"/>
      <c r="F18" s="1164"/>
      <c r="G18" s="831"/>
      <c r="H18" s="3153"/>
      <c r="I18" s="831"/>
      <c r="J18" s="2333">
        <f>SUM(F18:I18)</f>
        <v>0</v>
      </c>
      <c r="K18" s="2228"/>
      <c r="L18" s="2130" t="b">
        <f>IF(AND(M18&gt;=1,M18&lt;=1000),TRUE,FALSE)</f>
        <v>1</v>
      </c>
      <c r="M18" s="2228">
        <f t="shared" si="1"/>
        <v>100</v>
      </c>
      <c r="N18" s="2135"/>
      <c r="O18" s="2136">
        <f t="shared" ca="1" si="6"/>
        <v>0</v>
      </c>
      <c r="Q18" s="2130" t="b">
        <f>IF(E18="X",TRUE,IF(SUMIF(Затраты_Вход_1!_xlnm.Print_Titles,LEFT(E18,10) &amp; "*",Затраты_Вход_1!H:H)-SUMIF(Затраты_Вход_2!E:E,LEFT(E18,10) &amp; "*",Затраты_Вход_2!J:J)&gt;=0,TRUE,FALSE))</f>
        <v>1</v>
      </c>
      <c r="U18" s="1163" t="b">
        <f>NOT(ISNA(VLOOKUP(C18,_1015_86,1,0)))</f>
        <v>0</v>
      </c>
      <c r="AC18" s="1163">
        <f t="shared" si="3"/>
        <v>0</v>
      </c>
      <c r="AD18" s="1163">
        <f t="shared" si="3"/>
        <v>0</v>
      </c>
      <c r="AE18" s="1163">
        <f t="shared" si="4"/>
        <v>0</v>
      </c>
    </row>
    <row r="19" spans="1:31">
      <c r="A19" s="1163"/>
      <c r="B19" s="1612"/>
      <c r="C19" s="1590"/>
      <c r="D19" s="1612"/>
      <c r="E19" s="2132"/>
      <c r="K19" s="1163"/>
    </row>
    <row r="20" spans="1:31">
      <c r="A20" s="1163"/>
      <c r="B20" s="1612"/>
      <c r="C20" s="1590"/>
      <c r="D20" s="1612"/>
      <c r="E20" s="2132"/>
      <c r="K20" s="1163"/>
    </row>
    <row r="21" spans="1:31">
      <c r="A21" s="1163"/>
      <c r="B21" s="1612"/>
      <c r="C21" s="1590"/>
      <c r="D21" s="1612"/>
      <c r="E21" s="2132"/>
      <c r="K21" s="1163"/>
    </row>
    <row r="22" spans="1:31">
      <c r="A22" s="1163"/>
      <c r="B22" s="1612"/>
      <c r="C22" s="1590"/>
      <c r="D22" s="1612"/>
      <c r="E22" s="2132"/>
      <c r="K22" s="1163"/>
    </row>
    <row r="23" spans="1:31">
      <c r="A23" s="1163"/>
      <c r="B23" s="1612"/>
      <c r="C23" s="1590"/>
      <c r="D23" s="1612"/>
      <c r="E23" s="2132"/>
      <c r="K23" s="1163"/>
    </row>
    <row r="24" spans="1:31">
      <c r="A24" s="1163"/>
      <c r="B24" s="1612"/>
      <c r="C24" s="1590"/>
      <c r="D24" s="1612"/>
      <c r="E24" s="2132"/>
      <c r="K24" s="1163"/>
    </row>
    <row r="25" spans="1:31">
      <c r="A25" s="1163"/>
      <c r="B25" s="1612"/>
      <c r="C25" s="1590"/>
      <c r="D25" s="1612"/>
      <c r="E25" s="2132"/>
      <c r="K25" s="1163"/>
    </row>
    <row r="26" spans="1:31">
      <c r="A26" s="1163"/>
      <c r="B26" s="1612"/>
      <c r="C26" s="1590"/>
      <c r="D26" s="1612"/>
      <c r="E26" s="2132"/>
      <c r="K26" s="1163"/>
    </row>
    <row r="27" spans="1:31">
      <c r="A27" s="1163"/>
      <c r="B27" s="1612"/>
      <c r="C27" s="1590"/>
      <c r="D27" s="1612"/>
      <c r="E27" s="2132"/>
      <c r="K27" s="1163"/>
    </row>
    <row r="28" spans="1:31">
      <c r="A28" s="1163"/>
      <c r="B28" s="1612"/>
      <c r="C28" s="1590"/>
      <c r="D28" s="1612"/>
      <c r="E28" s="2132"/>
      <c r="K28" s="1163"/>
    </row>
    <row r="29" spans="1:31">
      <c r="A29" s="1163"/>
      <c r="B29" s="1612"/>
      <c r="C29" s="1590"/>
      <c r="D29" s="1612"/>
      <c r="E29" s="2132"/>
      <c r="K29" s="1163"/>
    </row>
    <row r="30" spans="1:31">
      <c r="A30" s="1163"/>
      <c r="B30" s="1612"/>
      <c r="C30" s="1590"/>
      <c r="D30" s="1612"/>
      <c r="E30" s="2132"/>
      <c r="K30" s="1163"/>
    </row>
    <row r="31" spans="1:31">
      <c r="A31" s="1163"/>
      <c r="B31" s="1612"/>
      <c r="C31" s="1590"/>
      <c r="D31" s="1612"/>
      <c r="E31" s="2132"/>
      <c r="K31" s="1163"/>
    </row>
    <row r="32" spans="1:31">
      <c r="A32" s="1163"/>
      <c r="B32" s="1612"/>
      <c r="C32" s="1590"/>
      <c r="D32" s="1612"/>
      <c r="E32" s="2132"/>
      <c r="K32" s="1163"/>
    </row>
    <row r="33" spans="1:11">
      <c r="A33" s="1163"/>
      <c r="B33" s="1612"/>
      <c r="C33" s="1590"/>
      <c r="D33" s="1612"/>
      <c r="E33" s="2132"/>
      <c r="K33" s="1163"/>
    </row>
    <row r="34" spans="1:11">
      <c r="A34" s="1163"/>
      <c r="B34" s="1612"/>
      <c r="C34" s="1590"/>
      <c r="D34" s="1612"/>
      <c r="E34" s="2132"/>
      <c r="K34" s="1163"/>
    </row>
    <row r="35" spans="1:11">
      <c r="A35" s="1163"/>
      <c r="B35" s="1612"/>
      <c r="C35" s="1590"/>
      <c r="D35" s="1612"/>
      <c r="E35" s="2132"/>
      <c r="K35" s="1163"/>
    </row>
    <row r="36" spans="1:11">
      <c r="A36" s="1163"/>
      <c r="B36" s="1612"/>
      <c r="C36" s="1590"/>
      <c r="D36" s="1612"/>
      <c r="E36" s="2132"/>
      <c r="K36" s="1163"/>
    </row>
    <row r="37" spans="1:11">
      <c r="A37" s="1163"/>
      <c r="B37" s="1612"/>
      <c r="C37" s="1590"/>
      <c r="D37" s="1612"/>
      <c r="E37" s="2132"/>
      <c r="K37" s="1163"/>
    </row>
    <row r="38" spans="1:11">
      <c r="A38" s="1163"/>
      <c r="B38" s="1612"/>
      <c r="C38" s="1590"/>
      <c r="D38" s="1612"/>
      <c r="E38" s="2132"/>
      <c r="K38" s="1163"/>
    </row>
    <row r="39" spans="1:11">
      <c r="A39" s="1163"/>
      <c r="B39" s="1612"/>
      <c r="C39" s="1590"/>
      <c r="D39" s="1612"/>
      <c r="E39" s="2132"/>
      <c r="K39" s="1163"/>
    </row>
    <row r="40" spans="1:11">
      <c r="A40" s="1163"/>
      <c r="B40" s="1612"/>
      <c r="C40" s="1590"/>
      <c r="D40" s="1612"/>
      <c r="E40" s="2132"/>
      <c r="K40" s="1163"/>
    </row>
    <row r="41" spans="1:11">
      <c r="A41" s="1163"/>
      <c r="B41" s="1612"/>
      <c r="C41" s="1590"/>
      <c r="D41" s="1612"/>
      <c r="E41" s="2132"/>
      <c r="K41" s="1163"/>
    </row>
    <row r="42" spans="1:11">
      <c r="A42" s="1163"/>
      <c r="B42" s="1612"/>
      <c r="C42" s="1590"/>
      <c r="D42" s="1612"/>
      <c r="E42" s="2132"/>
      <c r="K42" s="1163"/>
    </row>
    <row r="43" spans="1:11">
      <c r="A43" s="1163"/>
      <c r="B43" s="1612"/>
      <c r="C43" s="1590"/>
      <c r="D43" s="1612"/>
      <c r="E43" s="2132"/>
      <c r="K43" s="1163"/>
    </row>
    <row r="44" spans="1:11">
      <c r="A44" s="1163"/>
      <c r="B44" s="1612"/>
      <c r="C44" s="1590"/>
      <c r="D44" s="1612"/>
      <c r="E44" s="2132"/>
      <c r="K44" s="1163"/>
    </row>
    <row r="45" spans="1:11">
      <c r="A45" s="1163"/>
      <c r="B45" s="1612"/>
      <c r="C45" s="1590"/>
      <c r="D45" s="1612"/>
      <c r="E45" s="2132"/>
      <c r="K45" s="1163"/>
    </row>
    <row r="46" spans="1:11">
      <c r="A46" s="1163"/>
      <c r="B46" s="1612"/>
      <c r="C46" s="1590"/>
      <c r="D46" s="1612"/>
      <c r="E46" s="2132"/>
      <c r="K46" s="1163"/>
    </row>
    <row r="47" spans="1:11">
      <c r="A47" s="1163"/>
      <c r="B47" s="1612"/>
      <c r="C47" s="1590"/>
      <c r="D47" s="1612"/>
      <c r="E47" s="2132"/>
      <c r="K47" s="1163"/>
    </row>
    <row r="48" spans="1:11">
      <c r="A48" s="1163"/>
      <c r="B48" s="1612"/>
      <c r="C48" s="1590"/>
      <c r="D48" s="1612"/>
      <c r="E48" s="2132"/>
      <c r="K48" s="1163"/>
    </row>
    <row r="49" spans="1:11">
      <c r="A49" s="1163"/>
      <c r="B49" s="1612"/>
      <c r="C49" s="1590"/>
      <c r="D49" s="1612"/>
      <c r="E49" s="2132"/>
      <c r="K49" s="1163"/>
    </row>
    <row r="50" spans="1:11">
      <c r="A50" s="1163"/>
      <c r="B50" s="1612"/>
      <c r="C50" s="1590"/>
      <c r="D50" s="1612"/>
      <c r="E50" s="2132"/>
      <c r="K50" s="1163"/>
    </row>
    <row r="51" spans="1:11">
      <c r="A51" s="1163"/>
      <c r="B51" s="1612"/>
      <c r="C51" s="1590"/>
      <c r="D51" s="1612"/>
      <c r="E51" s="2132"/>
      <c r="K51" s="1163"/>
    </row>
    <row r="52" spans="1:11">
      <c r="A52" s="1163"/>
      <c r="B52" s="1612"/>
      <c r="C52" s="1590"/>
      <c r="D52" s="1612"/>
      <c r="E52" s="2132"/>
      <c r="K52" s="1163"/>
    </row>
    <row r="53" spans="1:11">
      <c r="A53" s="1163"/>
      <c r="B53" s="1612"/>
      <c r="C53" s="1590"/>
      <c r="D53" s="1612"/>
      <c r="E53" s="2132"/>
      <c r="K53" s="1163"/>
    </row>
    <row r="54" spans="1:11">
      <c r="A54" s="1163"/>
      <c r="B54" s="1612"/>
      <c r="C54" s="1590"/>
      <c r="D54" s="1612"/>
      <c r="E54" s="2132"/>
      <c r="K54" s="1163"/>
    </row>
    <row r="55" spans="1:11">
      <c r="A55" s="1163"/>
      <c r="B55" s="1612"/>
      <c r="C55" s="1590"/>
      <c r="D55" s="1612"/>
      <c r="E55" s="2132"/>
      <c r="K55" s="1163"/>
    </row>
    <row r="56" spans="1:11">
      <c r="A56" s="1163"/>
      <c r="B56" s="1612"/>
      <c r="C56" s="1590"/>
      <c r="D56" s="1612"/>
      <c r="E56" s="2132"/>
      <c r="K56" s="1163"/>
    </row>
    <row r="57" spans="1:11">
      <c r="A57" s="1163"/>
      <c r="B57" s="1612"/>
      <c r="C57" s="1590"/>
      <c r="D57" s="1612"/>
      <c r="E57" s="2132"/>
      <c r="K57" s="1163"/>
    </row>
    <row r="58" spans="1:11">
      <c r="A58" s="1163"/>
      <c r="B58" s="1612"/>
      <c r="C58" s="1590"/>
      <c r="D58" s="1612"/>
      <c r="E58" s="2132"/>
      <c r="K58" s="1163"/>
    </row>
    <row r="59" spans="1:11">
      <c r="A59" s="1163"/>
      <c r="B59" s="1612"/>
      <c r="C59" s="1590"/>
      <c r="D59" s="1612"/>
      <c r="E59" s="2132"/>
      <c r="K59" s="1163"/>
    </row>
    <row r="60" spans="1:11">
      <c r="A60" s="1163"/>
      <c r="B60" s="1612"/>
      <c r="C60" s="1590"/>
      <c r="D60" s="1612"/>
      <c r="E60" s="2132"/>
      <c r="K60" s="1163"/>
    </row>
    <row r="61" spans="1:11">
      <c r="A61" s="1163"/>
      <c r="B61" s="1612"/>
      <c r="C61" s="1590"/>
      <c r="D61" s="1612"/>
      <c r="E61" s="2132"/>
      <c r="K61" s="1163"/>
    </row>
    <row r="62" spans="1:11">
      <c r="A62" s="1163"/>
      <c r="B62" s="1612"/>
      <c r="C62" s="1590"/>
      <c r="D62" s="1612"/>
      <c r="E62" s="2132"/>
      <c r="K62" s="1163"/>
    </row>
    <row r="63" spans="1:11">
      <c r="A63" s="1163"/>
      <c r="B63" s="1612"/>
      <c r="C63" s="1590"/>
      <c r="D63" s="1612"/>
      <c r="E63" s="2132"/>
      <c r="K63" s="1163"/>
    </row>
    <row r="64" spans="1:11">
      <c r="A64" s="1163"/>
      <c r="B64" s="1612"/>
      <c r="C64" s="1590"/>
      <c r="D64" s="1612"/>
      <c r="E64" s="2132"/>
      <c r="K64" s="1163"/>
    </row>
    <row r="65" spans="1:11">
      <c r="A65" s="1163"/>
      <c r="B65" s="1612"/>
      <c r="C65" s="1590"/>
      <c r="D65" s="1612"/>
      <c r="E65" s="2132"/>
      <c r="K65" s="1163"/>
    </row>
    <row r="66" spans="1:11">
      <c r="A66" s="1163"/>
      <c r="B66" s="1612"/>
      <c r="C66" s="1590"/>
      <c r="D66" s="1612"/>
      <c r="E66" s="2132"/>
      <c r="K66" s="1163"/>
    </row>
    <row r="67" spans="1:11">
      <c r="A67" s="1163"/>
      <c r="B67" s="1612"/>
      <c r="C67" s="1590"/>
      <c r="D67" s="1612"/>
      <c r="E67" s="2132"/>
      <c r="K67" s="1163"/>
    </row>
    <row r="68" spans="1:11">
      <c r="A68" s="1163"/>
      <c r="B68" s="1612"/>
      <c r="C68" s="1590"/>
      <c r="D68" s="1612"/>
      <c r="E68" s="2132"/>
      <c r="K68" s="1163"/>
    </row>
    <row r="69" spans="1:11">
      <c r="A69" s="1163"/>
      <c r="B69" s="1612"/>
      <c r="C69" s="1590"/>
      <c r="D69" s="1612"/>
      <c r="E69" s="2132"/>
      <c r="K69" s="1163"/>
    </row>
    <row r="70" spans="1:11">
      <c r="A70" s="1163"/>
      <c r="B70" s="1612"/>
      <c r="C70" s="1590"/>
      <c r="D70" s="1612"/>
      <c r="E70" s="2132"/>
      <c r="K70" s="1163"/>
    </row>
    <row r="71" spans="1:11">
      <c r="A71" s="1163"/>
      <c r="B71" s="1612"/>
      <c r="C71" s="1590"/>
      <c r="D71" s="1612"/>
      <c r="E71" s="2132"/>
      <c r="K71" s="1163"/>
    </row>
    <row r="72" spans="1:11">
      <c r="A72" s="1163"/>
      <c r="B72" s="1612"/>
      <c r="C72" s="1590"/>
      <c r="D72" s="1612"/>
      <c r="E72" s="2132"/>
      <c r="K72" s="1163"/>
    </row>
    <row r="73" spans="1:11">
      <c r="A73" s="1163"/>
      <c r="B73" s="1612"/>
      <c r="C73" s="1590"/>
      <c r="D73" s="1612"/>
      <c r="E73" s="2132"/>
      <c r="K73" s="1163"/>
    </row>
    <row r="74" spans="1:11">
      <c r="A74" s="1163"/>
      <c r="B74" s="1612"/>
      <c r="C74" s="1590"/>
      <c r="D74" s="1612"/>
      <c r="E74" s="2132"/>
      <c r="K74" s="1163"/>
    </row>
    <row r="75" spans="1:11">
      <c r="A75" s="1163"/>
      <c r="B75" s="1612"/>
      <c r="C75" s="1590"/>
      <c r="D75" s="1612"/>
      <c r="E75" s="2132"/>
      <c r="K75" s="1163"/>
    </row>
    <row r="76" spans="1:11">
      <c r="A76" s="1163"/>
      <c r="B76" s="1612"/>
      <c r="C76" s="1590"/>
      <c r="D76" s="1612"/>
      <c r="E76" s="2132"/>
      <c r="K76" s="1163"/>
    </row>
    <row r="77" spans="1:11">
      <c r="A77" s="1163"/>
      <c r="B77" s="1612"/>
      <c r="C77" s="1590"/>
      <c r="D77" s="1612"/>
      <c r="E77" s="2132"/>
      <c r="K77" s="1163"/>
    </row>
    <row r="78" spans="1:11">
      <c r="A78" s="1163"/>
      <c r="B78" s="1612"/>
      <c r="C78" s="1590"/>
      <c r="D78" s="1612"/>
      <c r="E78" s="2132"/>
      <c r="K78" s="1163"/>
    </row>
    <row r="79" spans="1:11">
      <c r="A79" s="1163"/>
      <c r="B79" s="1612"/>
      <c r="C79" s="1590"/>
      <c r="D79" s="1612"/>
      <c r="E79" s="2132"/>
      <c r="K79" s="1163"/>
    </row>
    <row r="80" spans="1:11">
      <c r="A80" s="1163"/>
      <c r="B80" s="1612"/>
      <c r="C80" s="1590"/>
      <c r="D80" s="1612"/>
      <c r="E80" s="2132"/>
      <c r="K80" s="1163"/>
    </row>
    <row r="81" spans="1:11">
      <c r="A81" s="1163"/>
      <c r="B81" s="1612"/>
      <c r="C81" s="1590"/>
      <c r="D81" s="1612"/>
      <c r="E81" s="2132"/>
      <c r="K81" s="1163"/>
    </row>
    <row r="82" spans="1:11">
      <c r="A82" s="1163"/>
      <c r="B82" s="1612"/>
      <c r="C82" s="1590"/>
      <c r="D82" s="1612"/>
      <c r="E82" s="2132"/>
      <c r="K82" s="1163"/>
    </row>
    <row r="83" spans="1:11">
      <c r="A83" s="1163"/>
      <c r="B83" s="1612"/>
      <c r="C83" s="1590"/>
      <c r="D83" s="1612"/>
      <c r="E83" s="2132"/>
      <c r="K83" s="1163"/>
    </row>
    <row r="84" spans="1:11">
      <c r="A84" s="1163"/>
      <c r="B84" s="1612"/>
      <c r="C84" s="1590"/>
      <c r="D84" s="1612"/>
      <c r="E84" s="2132"/>
      <c r="K84" s="1163"/>
    </row>
    <row r="85" spans="1:11">
      <c r="A85" s="1163"/>
      <c r="B85" s="1612"/>
      <c r="C85" s="1590"/>
      <c r="D85" s="1612"/>
      <c r="E85" s="2132"/>
      <c r="K85" s="1163"/>
    </row>
    <row r="86" spans="1:11">
      <c r="A86" s="1163"/>
      <c r="B86" s="1612"/>
      <c r="C86" s="1590"/>
      <c r="D86" s="1612"/>
      <c r="E86" s="2132"/>
      <c r="K86" s="1163"/>
    </row>
    <row r="87" spans="1:11">
      <c r="A87" s="1163"/>
      <c r="B87" s="1612"/>
      <c r="C87" s="1590"/>
      <c r="D87" s="1612"/>
      <c r="E87" s="2132"/>
      <c r="K87" s="1163"/>
    </row>
    <row r="88" spans="1:11">
      <c r="A88" s="1163"/>
      <c r="B88" s="1612"/>
      <c r="C88" s="1590"/>
      <c r="D88" s="1612"/>
      <c r="E88" s="2132"/>
      <c r="K88" s="1163"/>
    </row>
    <row r="89" spans="1:11">
      <c r="A89" s="1163"/>
      <c r="B89" s="1612"/>
      <c r="C89" s="1590"/>
      <c r="D89" s="1612"/>
      <c r="E89" s="2132"/>
      <c r="K89" s="1163"/>
    </row>
    <row r="90" spans="1:11">
      <c r="A90" s="1163"/>
      <c r="B90" s="1612"/>
      <c r="C90" s="1590"/>
      <c r="D90" s="1612"/>
      <c r="E90" s="2132"/>
      <c r="K90" s="1163"/>
    </row>
    <row r="91" spans="1:11">
      <c r="A91" s="1163"/>
      <c r="B91" s="1612"/>
      <c r="C91" s="1590"/>
      <c r="D91" s="1612"/>
      <c r="E91" s="2132"/>
      <c r="K91" s="1163"/>
    </row>
    <row r="92" spans="1:11">
      <c r="A92" s="1163"/>
      <c r="B92" s="1612"/>
      <c r="C92" s="1590"/>
      <c r="D92" s="1612"/>
      <c r="E92" s="2132"/>
      <c r="K92" s="1163"/>
    </row>
    <row r="93" spans="1:11">
      <c r="A93" s="1163"/>
      <c r="B93" s="1612"/>
      <c r="C93" s="1590"/>
      <c r="D93" s="1612"/>
      <c r="E93" s="2132"/>
      <c r="K93" s="1163"/>
    </row>
    <row r="94" spans="1:11">
      <c r="A94" s="1163"/>
      <c r="B94" s="1612"/>
      <c r="C94" s="1590"/>
      <c r="D94" s="1612"/>
      <c r="E94" s="2132"/>
      <c r="K94" s="1163"/>
    </row>
    <row r="95" spans="1:11">
      <c r="A95" s="1163"/>
      <c r="B95" s="1612"/>
      <c r="C95" s="1590"/>
      <c r="D95" s="1612"/>
      <c r="E95" s="2132"/>
      <c r="K95" s="1163"/>
    </row>
    <row r="96" spans="1:11">
      <c r="A96" s="1163"/>
      <c r="B96" s="1612"/>
      <c r="C96" s="1590"/>
      <c r="D96" s="1612"/>
      <c r="E96" s="2132"/>
      <c r="K96" s="1163"/>
    </row>
    <row r="97" spans="1:11">
      <c r="A97" s="1163"/>
      <c r="B97" s="1612"/>
      <c r="C97" s="1590"/>
      <c r="D97" s="1612"/>
      <c r="E97" s="2132"/>
      <c r="K97" s="1163"/>
    </row>
    <row r="98" spans="1:11">
      <c r="A98" s="1163"/>
      <c r="B98" s="1612"/>
      <c r="C98" s="1590"/>
      <c r="D98" s="1612"/>
      <c r="E98" s="2132"/>
      <c r="K98" s="1163"/>
    </row>
    <row r="99" spans="1:11">
      <c r="A99" s="1163"/>
      <c r="B99" s="1612"/>
      <c r="C99" s="1590"/>
      <c r="D99" s="1612"/>
      <c r="E99" s="2132"/>
      <c r="K99" s="1163"/>
    </row>
    <row r="100" spans="1:11">
      <c r="A100" s="1163"/>
      <c r="B100" s="1612"/>
      <c r="C100" s="1590"/>
      <c r="D100" s="1612"/>
      <c r="E100" s="2132"/>
      <c r="K100" s="1163"/>
    </row>
    <row r="101" spans="1:11">
      <c r="A101" s="1163"/>
      <c r="B101" s="1612"/>
      <c r="C101" s="1590"/>
      <c r="D101" s="1612"/>
      <c r="E101" s="2132"/>
      <c r="K101" s="1163"/>
    </row>
    <row r="102" spans="1:11">
      <c r="A102" s="1163"/>
      <c r="B102" s="1612"/>
      <c r="C102" s="1590"/>
      <c r="D102" s="1612"/>
      <c r="E102" s="2132"/>
      <c r="K102" s="1163"/>
    </row>
    <row r="103" spans="1:11">
      <c r="A103" s="1163"/>
      <c r="B103" s="1612"/>
      <c r="C103" s="1590"/>
      <c r="D103" s="1612"/>
      <c r="E103" s="2132"/>
      <c r="K103" s="1163"/>
    </row>
    <row r="104" spans="1:11">
      <c r="A104" s="1163"/>
      <c r="B104" s="1612"/>
      <c r="C104" s="1590"/>
      <c r="D104" s="1612"/>
      <c r="E104" s="2132"/>
      <c r="K104" s="1163"/>
    </row>
    <row r="105" spans="1:11">
      <c r="A105" s="1163"/>
      <c r="B105" s="1612"/>
      <c r="C105" s="1590"/>
      <c r="D105" s="1612"/>
      <c r="E105" s="2132"/>
      <c r="K105" s="1163"/>
    </row>
    <row r="106" spans="1:11">
      <c r="A106" s="1163"/>
      <c r="B106" s="1612"/>
      <c r="C106" s="1590"/>
      <c r="D106" s="1612"/>
      <c r="E106" s="2132"/>
      <c r="K106" s="1163"/>
    </row>
    <row r="107" spans="1:11">
      <c r="A107" s="1163"/>
      <c r="B107" s="1612"/>
      <c r="C107" s="1590"/>
      <c r="D107" s="1612"/>
      <c r="E107" s="2132"/>
      <c r="K107" s="1163"/>
    </row>
    <row r="108" spans="1:11">
      <c r="A108" s="1163"/>
      <c r="B108" s="1612"/>
      <c r="C108" s="1590"/>
      <c r="D108" s="1612"/>
      <c r="E108" s="2132"/>
      <c r="K108" s="1163"/>
    </row>
    <row r="109" spans="1:11">
      <c r="A109" s="1163"/>
      <c r="B109" s="1612"/>
      <c r="C109" s="1590"/>
      <c r="D109" s="1612"/>
      <c r="E109" s="2132"/>
      <c r="K109" s="1163"/>
    </row>
    <row r="110" spans="1:11">
      <c r="A110" s="1163"/>
      <c r="B110" s="1612"/>
      <c r="C110" s="1590"/>
      <c r="D110" s="1612"/>
      <c r="E110" s="2132"/>
      <c r="K110" s="1163"/>
    </row>
    <row r="111" spans="1:11">
      <c r="A111" s="1163"/>
      <c r="B111" s="1612"/>
      <c r="C111" s="1590"/>
      <c r="D111" s="1612"/>
      <c r="E111" s="2132"/>
      <c r="K111" s="1163"/>
    </row>
    <row r="112" spans="1:11">
      <c r="A112" s="1163"/>
      <c r="B112" s="1612"/>
      <c r="C112" s="1590"/>
      <c r="D112" s="1612"/>
      <c r="E112" s="2132"/>
      <c r="K112" s="1163"/>
    </row>
    <row r="113" spans="1:11">
      <c r="A113" s="1163"/>
      <c r="B113" s="1612"/>
      <c r="C113" s="1590"/>
      <c r="D113" s="1612"/>
      <c r="E113" s="2132"/>
      <c r="K113" s="1163"/>
    </row>
    <row r="114" spans="1:11">
      <c r="A114" s="1163"/>
      <c r="B114" s="1612"/>
      <c r="C114" s="1590"/>
      <c r="D114" s="1612"/>
      <c r="E114" s="2132"/>
      <c r="K114" s="1163"/>
    </row>
    <row r="115" spans="1:11">
      <c r="A115" s="1163"/>
      <c r="B115" s="1612"/>
      <c r="C115" s="1590"/>
      <c r="D115" s="1612"/>
      <c r="E115" s="2132"/>
      <c r="K115" s="1163"/>
    </row>
    <row r="116" spans="1:11">
      <c r="A116" s="1163"/>
      <c r="B116" s="1612"/>
      <c r="C116" s="1590"/>
      <c r="D116" s="1612"/>
      <c r="E116" s="2132"/>
      <c r="K116" s="1163"/>
    </row>
    <row r="117" spans="1:11">
      <c r="A117" s="1163"/>
      <c r="B117" s="1612"/>
      <c r="C117" s="1590"/>
      <c r="D117" s="1612"/>
      <c r="E117" s="2132"/>
      <c r="K117" s="1163"/>
    </row>
    <row r="118" spans="1:11">
      <c r="A118" s="1163"/>
      <c r="B118" s="1612"/>
      <c r="C118" s="1590"/>
      <c r="D118" s="1612"/>
      <c r="E118" s="2132"/>
      <c r="K118" s="1163"/>
    </row>
    <row r="119" spans="1:11">
      <c r="A119" s="1163"/>
      <c r="B119" s="1612"/>
      <c r="C119" s="1590"/>
      <c r="D119" s="1612"/>
      <c r="E119" s="2132"/>
      <c r="K119" s="1163"/>
    </row>
    <row r="120" spans="1:11">
      <c r="A120" s="1163"/>
      <c r="B120" s="1612"/>
      <c r="C120" s="1590"/>
      <c r="D120" s="1612"/>
      <c r="E120" s="2132"/>
      <c r="K120" s="1163"/>
    </row>
    <row r="121" spans="1:11">
      <c r="A121" s="1163"/>
      <c r="B121" s="1612"/>
      <c r="C121" s="1590"/>
      <c r="D121" s="1612"/>
      <c r="E121" s="2132"/>
      <c r="K121" s="1163"/>
    </row>
    <row r="122" spans="1:11">
      <c r="A122" s="1163"/>
      <c r="B122" s="1612"/>
      <c r="C122" s="1590"/>
      <c r="D122" s="1612"/>
      <c r="E122" s="2132"/>
      <c r="K122" s="1163"/>
    </row>
    <row r="123" spans="1:11">
      <c r="A123" s="1163"/>
      <c r="B123" s="1612"/>
      <c r="C123" s="1590"/>
      <c r="D123" s="1612"/>
      <c r="E123" s="2132"/>
      <c r="K123" s="1163"/>
    </row>
    <row r="124" spans="1:11">
      <c r="A124" s="1163"/>
      <c r="B124" s="1612"/>
      <c r="C124" s="1590"/>
      <c r="D124" s="1612"/>
      <c r="E124" s="2132"/>
      <c r="K124" s="1163"/>
    </row>
    <row r="125" spans="1:11">
      <c r="A125" s="1163"/>
      <c r="B125" s="1612"/>
      <c r="C125" s="1590"/>
      <c r="D125" s="1612"/>
      <c r="E125" s="2132"/>
      <c r="K125" s="1163"/>
    </row>
    <row r="126" spans="1:11">
      <c r="A126" s="1163"/>
      <c r="B126" s="1612"/>
      <c r="C126" s="1590"/>
      <c r="D126" s="1612"/>
      <c r="E126" s="2132"/>
      <c r="K126" s="1163"/>
    </row>
    <row r="127" spans="1:11">
      <c r="A127" s="1163"/>
      <c r="B127" s="1612"/>
      <c r="C127" s="1590"/>
      <c r="D127" s="1612"/>
      <c r="E127" s="2132"/>
      <c r="K127" s="1163"/>
    </row>
    <row r="128" spans="1:11">
      <c r="A128" s="1163"/>
      <c r="B128" s="1612"/>
      <c r="C128" s="1590"/>
      <c r="D128" s="1612"/>
      <c r="E128" s="2132"/>
      <c r="K128" s="1163"/>
    </row>
    <row r="129" spans="1:11">
      <c r="A129" s="1163"/>
      <c r="B129" s="1612"/>
      <c r="C129" s="1590"/>
      <c r="D129" s="1612"/>
      <c r="E129" s="2132"/>
      <c r="K129" s="1163"/>
    </row>
    <row r="130" spans="1:11">
      <c r="A130" s="1163"/>
      <c r="B130" s="1612"/>
      <c r="C130" s="1590"/>
      <c r="D130" s="1612"/>
      <c r="E130" s="2132"/>
      <c r="K130" s="1163"/>
    </row>
    <row r="131" spans="1:11">
      <c r="A131" s="1163"/>
      <c r="B131" s="1612"/>
      <c r="C131" s="1590"/>
      <c r="D131" s="1612"/>
      <c r="E131" s="2132"/>
      <c r="K131" s="1163"/>
    </row>
    <row r="132" spans="1:11">
      <c r="A132" s="1163"/>
      <c r="B132" s="1612"/>
      <c r="C132" s="1590"/>
      <c r="D132" s="1612"/>
      <c r="E132" s="2132"/>
      <c r="K132" s="1163"/>
    </row>
    <row r="133" spans="1:11">
      <c r="A133" s="1163"/>
      <c r="B133" s="1612"/>
      <c r="C133" s="1590"/>
      <c r="D133" s="1612"/>
      <c r="E133" s="2132"/>
      <c r="K133" s="1163"/>
    </row>
    <row r="134" spans="1:11">
      <c r="A134" s="1163"/>
      <c r="B134" s="1612"/>
      <c r="C134" s="1590"/>
      <c r="D134" s="1612"/>
      <c r="E134" s="2132"/>
      <c r="K134" s="1163"/>
    </row>
    <row r="135" spans="1:11">
      <c r="A135" s="1163"/>
      <c r="B135" s="1612"/>
      <c r="C135" s="1590"/>
      <c r="D135" s="1612"/>
      <c r="E135" s="2132"/>
      <c r="K135" s="1163"/>
    </row>
    <row r="136" spans="1:11">
      <c r="A136" s="1163"/>
      <c r="B136" s="1612"/>
      <c r="C136" s="1590"/>
      <c r="D136" s="1612"/>
      <c r="E136" s="2132"/>
      <c r="K136" s="1163"/>
    </row>
    <row r="137" spans="1:11">
      <c r="A137" s="1163"/>
      <c r="B137" s="1612"/>
      <c r="C137" s="1590"/>
      <c r="D137" s="1612"/>
      <c r="E137" s="2132"/>
      <c r="K137" s="1163"/>
    </row>
    <row r="138" spans="1:11">
      <c r="A138" s="1163"/>
      <c r="B138" s="1612"/>
      <c r="C138" s="1590"/>
      <c r="D138" s="1612"/>
      <c r="E138" s="2132"/>
      <c r="K138" s="1163"/>
    </row>
    <row r="139" spans="1:11">
      <c r="A139" s="1163"/>
      <c r="B139" s="1612"/>
      <c r="C139" s="1590"/>
      <c r="D139" s="1612"/>
      <c r="E139" s="2132"/>
      <c r="K139" s="1163"/>
    </row>
    <row r="140" spans="1:11">
      <c r="A140" s="1163"/>
      <c r="B140" s="1612"/>
      <c r="C140" s="1590"/>
      <c r="D140" s="1612"/>
      <c r="E140" s="2132"/>
      <c r="K140" s="1163"/>
    </row>
    <row r="141" spans="1:11">
      <c r="A141" s="1163"/>
      <c r="B141" s="1612"/>
      <c r="C141" s="1590"/>
      <c r="D141" s="1612"/>
      <c r="E141" s="2132"/>
      <c r="K141" s="1163"/>
    </row>
    <row r="142" spans="1:11">
      <c r="A142" s="1163"/>
      <c r="B142" s="1612"/>
      <c r="C142" s="1590"/>
      <c r="D142" s="1612"/>
      <c r="E142" s="2132"/>
      <c r="K142" s="1163"/>
    </row>
    <row r="143" spans="1:11">
      <c r="A143" s="1163"/>
      <c r="B143" s="1612"/>
      <c r="C143" s="1590"/>
      <c r="D143" s="1612"/>
      <c r="E143" s="2132"/>
      <c r="K143" s="1163"/>
    </row>
    <row r="144" spans="1:11">
      <c r="A144" s="1163"/>
      <c r="B144" s="1612"/>
      <c r="C144" s="1590"/>
      <c r="D144" s="1612"/>
      <c r="E144" s="2132"/>
      <c r="K144" s="1163"/>
    </row>
    <row r="145" spans="1:11">
      <c r="A145" s="1163"/>
      <c r="B145" s="1612"/>
      <c r="C145" s="1590"/>
      <c r="D145" s="1612"/>
      <c r="E145" s="2132"/>
      <c r="K145" s="1163"/>
    </row>
    <row r="146" spans="1:11">
      <c r="A146" s="1163"/>
      <c r="B146" s="1612"/>
      <c r="C146" s="1590"/>
      <c r="D146" s="1612"/>
      <c r="E146" s="2132"/>
      <c r="K146" s="1163"/>
    </row>
    <row r="147" spans="1:11">
      <c r="A147" s="1163"/>
      <c r="B147" s="1612"/>
      <c r="C147" s="1590"/>
      <c r="D147" s="1612"/>
      <c r="E147" s="2132"/>
      <c r="K147" s="1163"/>
    </row>
    <row r="148" spans="1:11">
      <c r="A148" s="1163"/>
      <c r="B148" s="1612"/>
      <c r="C148" s="1590"/>
      <c r="D148" s="1612"/>
      <c r="E148" s="2132"/>
      <c r="K148" s="1163"/>
    </row>
    <row r="149" spans="1:11">
      <c r="A149" s="1163"/>
      <c r="B149" s="1612"/>
      <c r="C149" s="1590"/>
      <c r="D149" s="1612"/>
      <c r="E149" s="2132"/>
      <c r="K149" s="1163"/>
    </row>
    <row r="150" spans="1:11">
      <c r="A150" s="1163"/>
      <c r="B150" s="1612"/>
      <c r="C150" s="1590"/>
      <c r="D150" s="1612"/>
      <c r="E150" s="2132"/>
      <c r="K150" s="1163"/>
    </row>
    <row r="151" spans="1:11">
      <c r="A151" s="1163"/>
      <c r="B151" s="1612"/>
      <c r="C151" s="1590"/>
      <c r="D151" s="1612"/>
      <c r="E151" s="2132"/>
      <c r="K151" s="1163"/>
    </row>
    <row r="152" spans="1:11">
      <c r="A152" s="1163"/>
      <c r="B152" s="1612"/>
      <c r="C152" s="1590"/>
      <c r="D152" s="1612"/>
      <c r="E152" s="2132"/>
      <c r="K152" s="1163"/>
    </row>
    <row r="153" spans="1:11">
      <c r="A153" s="1163"/>
      <c r="B153" s="1612"/>
      <c r="C153" s="1590"/>
      <c r="D153" s="1612"/>
      <c r="E153" s="2132"/>
      <c r="K153" s="1163"/>
    </row>
    <row r="154" spans="1:11">
      <c r="A154" s="1163"/>
      <c r="B154" s="1612"/>
      <c r="C154" s="1590"/>
      <c r="D154" s="1612"/>
      <c r="E154" s="2132"/>
      <c r="K154" s="1163"/>
    </row>
    <row r="155" spans="1:11">
      <c r="A155" s="1163"/>
      <c r="B155" s="1612"/>
      <c r="C155" s="1590"/>
      <c r="D155" s="1612"/>
      <c r="E155" s="2132"/>
      <c r="K155" s="1163"/>
    </row>
    <row r="156" spans="1:11">
      <c r="A156" s="1163"/>
      <c r="B156" s="1612"/>
      <c r="C156" s="1590"/>
      <c r="D156" s="1612"/>
      <c r="E156" s="2132"/>
      <c r="K156" s="1163"/>
    </row>
    <row r="157" spans="1:11">
      <c r="A157" s="1163"/>
      <c r="B157" s="1612"/>
      <c r="C157" s="1590"/>
      <c r="D157" s="1612"/>
      <c r="E157" s="2132"/>
      <c r="K157" s="1163"/>
    </row>
    <row r="158" spans="1:11">
      <c r="A158" s="1163"/>
      <c r="B158" s="1612"/>
      <c r="C158" s="1590"/>
      <c r="D158" s="1612"/>
      <c r="E158" s="2132"/>
      <c r="K158" s="1163"/>
    </row>
    <row r="159" spans="1:11">
      <c r="A159" s="1163"/>
      <c r="B159" s="1612"/>
      <c r="C159" s="1590"/>
      <c r="D159" s="1612"/>
      <c r="E159" s="2132"/>
      <c r="K159" s="1163"/>
    </row>
    <row r="160" spans="1:11">
      <c r="A160" s="1163"/>
      <c r="B160" s="1612"/>
      <c r="C160" s="1590"/>
      <c r="D160" s="1612"/>
      <c r="E160" s="2132"/>
      <c r="K160" s="1163"/>
    </row>
    <row r="161" spans="1:11">
      <c r="A161" s="1163"/>
      <c r="B161" s="1612"/>
      <c r="C161" s="1590"/>
      <c r="D161" s="1612"/>
      <c r="E161" s="2132"/>
      <c r="K161" s="1163"/>
    </row>
    <row r="162" spans="1:11">
      <c r="A162" s="1163"/>
      <c r="B162" s="1612"/>
      <c r="C162" s="1590"/>
      <c r="D162" s="1612"/>
      <c r="E162" s="2132"/>
      <c r="K162" s="1163"/>
    </row>
  </sheetData>
  <sheetProtection algorithmName="SHA-512" hashValue="r1MOom3B3W/LmLmepw6ghnK5qt+QnwB1Yp0VvGSL3hGWmiPP2SitwA9H8/1AOkOQaV/M2VNUu27NIzuk0BmLTA==" saltValue="CCT2360StYGckEnfaeEt8Q==" spinCount="100000" sheet="1" objects="1" scenarios="1" formatColumns="0" formatRows="0" autoFilter="0"/>
  <autoFilter ref="C9:L9"/>
  <dataConsolidate/>
  <customSheetViews>
    <customSheetView guid="{3769259D-9653-4B34-A2F6-4FB6F9F4E533}" scale="80" showGridLines="0" showAutoFilter="1" hiddenRows="1" hiddenColumns="1">
      <pane xSplit="5" ySplit="10" topLeftCell="H11" activePane="bottomRight" state="frozen"/>
      <selection pane="bottomRight" activeCell="C11" sqref="C11"/>
      <pageMargins left="0.7" right="0.7" top="0.75" bottom="0.75" header="0.3" footer="0.3"/>
      <pageSetup orientation="portrait" r:id="rId1"/>
      <autoFilter ref="B1:I1"/>
    </customSheetView>
    <customSheetView guid="{40D7A2BB-326C-4ED3-999C-17852F56D6F4}" scale="80" showGridLines="0" showAutoFilter="1" hiddenRows="1" hiddenColumns="1">
      <pane xSplit="5" ySplit="10" topLeftCell="H11" activePane="bottomRight" state="frozen"/>
      <selection pane="bottomRight" activeCell="C11" sqref="C11"/>
      <pageMargins left="0.7" right="0.7" top="0.75" bottom="0.75" header="0.3" footer="0.3"/>
      <pageSetup orientation="portrait" r:id="rId2"/>
      <autoFilter ref="B1:I1"/>
    </customSheetView>
    <customSheetView guid="{5D121940-0CE8-4A0E-A493-67FAAA6E0FF8}" scale="80" showGridLines="0" showAutoFilter="1" hiddenRows="1" hiddenColumns="1" topLeftCell="B2">
      <pane xSplit="4" ySplit="9" topLeftCell="F11" activePane="bottomRight" state="frozen"/>
      <selection pane="bottomRight" activeCell="C11" sqref="C11"/>
      <pageMargins left="0.7" right="0.7" top="0.75" bottom="0.75" header="0.3" footer="0.3"/>
      <pageSetup orientation="portrait" r:id="rId3"/>
      <autoFilter ref="B1:I1"/>
    </customSheetView>
    <customSheetView guid="{47AEACC4-6EA5-412C-AF39-A6C5357B313A}" scale="80" showGridLines="0" showAutoFilter="1" hiddenRows="1" hiddenColumns="1" topLeftCell="B2">
      <pane xSplit="4" ySplit="9" topLeftCell="F11" activePane="bottomRight" state="frozen"/>
      <selection pane="bottomRight" activeCell="C11" sqref="C11"/>
      <pageMargins left="0.7" right="0.7" top="0.75" bottom="0.75" header="0.3" footer="0.3"/>
      <pageSetup orientation="portrait" r:id="rId4"/>
      <autoFilter ref="B1:I1"/>
    </customSheetView>
    <customSheetView guid="{4D957B38-5430-481E-B791-E0A66F913B50}" scale="70">
      <selection activeCell="E23" sqref="E23"/>
      <pageMargins left="0.7" right="0.7" top="0.75" bottom="0.75" header="0.3" footer="0.3"/>
      <pageSetup orientation="portrait" r:id="rId5"/>
    </customSheetView>
    <customSheetView guid="{D03DFE91-19D2-43BA-897C-B86D033537EB}" scale="70">
      <pane xSplit="4" ySplit="9" topLeftCell="E10" activePane="bottomRight" state="frozen"/>
      <selection pane="bottomRight" activeCell="K33" sqref="K33"/>
      <pageMargins left="0.7" right="0.7" top="0.75" bottom="0.75" header="0.3" footer="0.3"/>
      <pageSetup orientation="portrait" r:id="rId6"/>
    </customSheetView>
    <customSheetView guid="{1C36793E-2B7E-411E-AA99-985D5D59B75A}" scale="70">
      <selection activeCell="F46" sqref="F46"/>
      <pageMargins left="0.7" right="0.7" top="0.75" bottom="0.75" header="0.3" footer="0.3"/>
      <pageSetup orientation="portrait" r:id="rId7"/>
    </customSheetView>
    <customSheetView guid="{C913A9E8-661B-40A4-A3C9-1BC5F2B2E9F0}" scale="80" showGridLines="0" showAutoFilter="1" hiddenRows="1" hiddenColumns="1" topLeftCell="B2">
      <pane xSplit="4" ySplit="9" topLeftCell="F11" activePane="bottomRight" state="frozen"/>
      <selection pane="bottomRight" activeCell="E8" sqref="E8"/>
      <pageMargins left="0.7" right="0.7" top="0.75" bottom="0.75" header="0.3" footer="0.3"/>
      <pageSetup orientation="portrait" r:id="rId8"/>
      <autoFilter ref="B1:I1"/>
    </customSheetView>
  </customSheetViews>
  <mergeCells count="16">
    <mergeCell ref="N6:W6"/>
    <mergeCell ref="V7:W7"/>
    <mergeCell ref="R8:S8"/>
    <mergeCell ref="P8:Q8"/>
    <mergeCell ref="N8:O8"/>
    <mergeCell ref="N7:O7"/>
    <mergeCell ref="P7:Q7"/>
    <mergeCell ref="R7:S7"/>
    <mergeCell ref="L6:L8"/>
    <mergeCell ref="C6:C7"/>
    <mergeCell ref="D6:D7"/>
    <mergeCell ref="E6:E7"/>
    <mergeCell ref="J6:J7"/>
    <mergeCell ref="F6:F7"/>
    <mergeCell ref="I6:I7"/>
    <mergeCell ref="G6:H6"/>
  </mergeCells>
  <phoneticPr fontId="0" type="noConversion"/>
  <dataValidations count="4">
    <dataValidation type="list" allowBlank="1" showInputMessage="1" showErrorMessage="1" sqref="D11:D18">
      <formula1>_1010</formula1>
    </dataValidation>
    <dataValidation type="list" allowBlank="1" showInputMessage="1" showErrorMessage="1" sqref="C13:C17">
      <formula1>IF($C$1="Госкорпорация Росатом",_1015_opex,_1015_общий)</formula1>
    </dataValidation>
    <dataValidation type="list" allowBlank="1" showInputMessage="1" showErrorMessage="1" sqref="C11:C12 C18">
      <formula1>IF($G$3="Госкорпорация Росатом",_1015_opex,_1015_общий)</formula1>
    </dataValidation>
    <dataValidation type="list" allowBlank="1" showInputMessage="1" showErrorMessage="1" sqref="E11:E18">
      <formula1>IF(C11="{000001} Нецелевые источники финансирования",IF(OR(D11="{03004} Квалифицируемая непроектная деятельность",D11="{03006} Мероприятия по предупреждению распространения коронавирусной"),_9019_1,_X),_9019_1)</formula1>
    </dataValidation>
  </dataValidations>
  <hyperlinks>
    <hyperlink ref="D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45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34" r:id="rId12" name="Button 10">
              <controlPr defaultSize="0" print="0" autoFill="0" autoPict="0" macro="[0]!AddButtonsRowAdd">
                <anchor moveWithCells="1">
                  <from>
                    <xdr:col>4</xdr:col>
                    <xdr:colOff>342900</xdr:colOff>
                    <xdr:row>2</xdr:row>
                    <xdr:rowOff>69850</xdr:rowOff>
                  </from>
                  <to>
                    <xdr:col>4</xdr:col>
                    <xdr:colOff>1784350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pageSetUpPr fitToPage="1"/>
  </sheetPr>
  <dimension ref="A1:T62"/>
  <sheetViews>
    <sheetView topLeftCell="B5" zoomScale="55" zoomScaleNormal="55" workbookViewId="0">
      <selection activeCell="K22" sqref="K22"/>
    </sheetView>
  </sheetViews>
  <sheetFormatPr defaultColWidth="60" defaultRowHeight="14.5"/>
  <cols>
    <col min="1" max="1" width="28" style="2436" hidden="1" customWidth="1"/>
    <col min="2" max="2" width="3.81640625" style="1163" customWidth="1"/>
    <col min="3" max="3" width="50.54296875" style="1163" customWidth="1"/>
    <col min="4" max="4" width="22" style="1163" customWidth="1"/>
    <col min="5" max="5" width="21" style="1163" customWidth="1"/>
    <col min="6" max="7" width="22" style="1163" customWidth="1"/>
    <col min="8" max="9" width="9.453125" style="1163" customWidth="1"/>
    <col min="10" max="10" width="34.453125" style="1163" customWidth="1"/>
    <col min="11" max="11" width="24" style="1163" customWidth="1"/>
    <col min="12" max="12" width="26" style="1163" customWidth="1"/>
    <col min="13" max="13" width="9.453125" style="1163" customWidth="1"/>
    <col min="14" max="14" width="10.54296875" style="1163" hidden="1" customWidth="1"/>
    <col min="15" max="16" width="8.453125" style="1163" hidden="1" customWidth="1"/>
    <col min="17" max="17" width="3.54296875" style="1163" hidden="1" customWidth="1"/>
    <col min="18" max="18" width="5" style="1163" hidden="1" customWidth="1"/>
    <col min="19" max="20" width="9.453125" style="1163" hidden="1" customWidth="1"/>
    <col min="21" max="253" width="9.453125" style="1163" customWidth="1"/>
    <col min="254" max="254" width="3.54296875" style="1163" customWidth="1"/>
    <col min="255" max="255" width="2.453125" style="1163" customWidth="1"/>
    <col min="256" max="16384" width="60" style="1163"/>
  </cols>
  <sheetData>
    <row r="1" spans="1:20" s="6" customFormat="1" hidden="1">
      <c r="A1" s="2431" t="s">
        <v>919</v>
      </c>
      <c r="C1" s="37"/>
      <c r="D1" s="100" t="s">
        <v>370</v>
      </c>
      <c r="E1" s="100" t="s">
        <v>371</v>
      </c>
      <c r="F1" s="100" t="s">
        <v>372</v>
      </c>
      <c r="P1" s="100" t="s">
        <v>7429</v>
      </c>
      <c r="Q1" s="100" t="s">
        <v>7430</v>
      </c>
      <c r="R1" s="2423" t="s">
        <v>14921</v>
      </c>
      <c r="S1" s="100" t="s">
        <v>10163</v>
      </c>
      <c r="T1" s="100" t="s">
        <v>10164</v>
      </c>
    </row>
    <row r="2" spans="1:20" ht="15" thickBot="1">
      <c r="A2" s="2432"/>
      <c r="D2"/>
    </row>
    <row r="3" spans="1:20" ht="36.75" customHeight="1">
      <c r="A3" s="2432"/>
      <c r="B3" s="1897" t="s">
        <v>2067</v>
      </c>
      <c r="C3" s="1244">
        <f>Содержание!$D$2</f>
        <v>0</v>
      </c>
      <c r="D3" s="3762" t="s">
        <v>1302</v>
      </c>
      <c r="E3" s="3763"/>
      <c r="F3" s="3763"/>
      <c r="G3" s="3764"/>
      <c r="J3" s="1126" t="s">
        <v>1291</v>
      </c>
      <c r="K3" s="1126" t="s">
        <v>916</v>
      </c>
      <c r="L3" s="1126" t="s">
        <v>917</v>
      </c>
    </row>
    <row r="4" spans="1:20" ht="91.5" thickBot="1">
      <c r="A4" s="2432"/>
      <c r="B4" s="1897" t="s">
        <v>2075</v>
      </c>
      <c r="C4" s="1244" t="str">
        <f>Содержание!$D$15</f>
        <v>2022 год</v>
      </c>
      <c r="D4" s="514">
        <f>Затраты_Вход_1!D10+Затраты_Выход!D12+(ОСВ_авт!E69-ОСВ_авт!F69)</f>
        <v>0</v>
      </c>
      <c r="E4" s="514">
        <f>Затраты_Вход_1!E10+Затраты_Вход_1!F10+Затраты_Выход!E12</f>
        <v>0</v>
      </c>
      <c r="F4" s="514">
        <f>Затраты_Вход_1!G10+Затраты_Выход!F12+(ОСВ_авт!E79-ОСВ_авт!F79)</f>
        <v>0</v>
      </c>
      <c r="G4" s="514">
        <f>ABS(D4)+ABS(E4)+ABS(F4)</f>
        <v>0</v>
      </c>
      <c r="J4" s="1127" t="b">
        <f>ABS(-'90'!K9-SUM(Затраты_Выход!D29, '21'!K10,'41_01'!M10, '43'!I8, '45'!N8,'40'!F9,'16'!K8,D48,E48)-K21-K22)&lt;=5</f>
        <v>1</v>
      </c>
      <c r="K4" s="1127" t="b">
        <f>ABS(-ОФР!E12+E29)&lt;=5</f>
        <v>1</v>
      </c>
      <c r="L4" s="1127" t="b">
        <f>ABS(-ОФР!E11+F29)&lt;=5</f>
        <v>1</v>
      </c>
    </row>
    <row r="5" spans="1:20">
      <c r="A5" s="2432"/>
      <c r="C5" s="734"/>
      <c r="D5" s="580" t="s">
        <v>2903</v>
      </c>
      <c r="E5" s="580"/>
      <c r="F5" s="580"/>
      <c r="G5" s="580"/>
    </row>
    <row r="6" spans="1:20">
      <c r="A6" s="2432"/>
      <c r="C6" s="734" t="s">
        <v>3398</v>
      </c>
      <c r="D6" s="580"/>
      <c r="E6" s="580"/>
      <c r="F6" s="580"/>
      <c r="G6" s="580"/>
      <c r="H6" s="3044" t="s">
        <v>1436</v>
      </c>
    </row>
    <row r="7" spans="1:20" ht="15" thickBot="1">
      <c r="A7" s="2432"/>
      <c r="D7" s="1577" t="s">
        <v>1648</v>
      </c>
      <c r="E7" s="1577" t="s">
        <v>1648</v>
      </c>
      <c r="F7" s="1577" t="s">
        <v>1648</v>
      </c>
      <c r="G7" s="1577" t="s">
        <v>1648</v>
      </c>
    </row>
    <row r="8" spans="1:20" ht="25.5" customHeight="1">
      <c r="A8" s="2433"/>
      <c r="C8" s="3732" t="s">
        <v>4655</v>
      </c>
      <c r="D8" s="3713" t="s">
        <v>3391</v>
      </c>
      <c r="E8" s="3713" t="s">
        <v>3392</v>
      </c>
      <c r="F8" s="3713" t="s">
        <v>3393</v>
      </c>
      <c r="G8" s="3711" t="s">
        <v>4170</v>
      </c>
      <c r="J8" s="3756" t="s">
        <v>6076</v>
      </c>
      <c r="K8" s="3757"/>
    </row>
    <row r="9" spans="1:20" ht="18" customHeight="1" thickBot="1">
      <c r="A9" s="2433"/>
      <c r="C9" s="3744"/>
      <c r="D9" s="3710"/>
      <c r="E9" s="3710"/>
      <c r="F9" s="3710"/>
      <c r="G9" s="3712"/>
      <c r="J9" s="2107"/>
      <c r="K9" s="2108"/>
    </row>
    <row r="10" spans="1:20">
      <c r="A10" s="2433"/>
      <c r="C10" s="832">
        <v>10019</v>
      </c>
      <c r="D10" s="833" t="s">
        <v>4953</v>
      </c>
      <c r="E10" s="833" t="s">
        <v>4266</v>
      </c>
      <c r="F10" s="833" t="s">
        <v>4283</v>
      </c>
      <c r="G10" s="3765"/>
      <c r="J10" s="2105" t="s">
        <v>61</v>
      </c>
      <c r="K10" s="2106">
        <f>(D20+'10'!F9+'15'!F8+'16'!E8)*0</f>
        <v>0</v>
      </c>
    </row>
    <row r="11" spans="1:20" s="724" customFormat="1" ht="13">
      <c r="A11" s="2434"/>
      <c r="C11" s="847" t="s">
        <v>4164</v>
      </c>
      <c r="D11" s="1613" t="s">
        <v>4165</v>
      </c>
      <c r="E11" s="1613" t="s">
        <v>4166</v>
      </c>
      <c r="F11" s="1613" t="s">
        <v>5500</v>
      </c>
      <c r="G11" s="848" t="s">
        <v>4169</v>
      </c>
      <c r="J11" s="1131" t="s">
        <v>62</v>
      </c>
      <c r="K11" s="1135">
        <f>Затраты_Вход_1!K16-Затраты_Выход!G22-'97'!H9</f>
        <v>0</v>
      </c>
    </row>
    <row r="12" spans="1:20" s="8" customFormat="1" ht="13">
      <c r="A12" s="2435"/>
      <c r="C12" s="849" t="s">
        <v>2849</v>
      </c>
      <c r="D12" s="1614">
        <f>D17+D25+D13</f>
        <v>0</v>
      </c>
      <c r="E12" s="1614">
        <f>E17+E25+E13</f>
        <v>0</v>
      </c>
      <c r="F12" s="1614">
        <f>F17+F25+F13</f>
        <v>0</v>
      </c>
      <c r="G12" s="1615">
        <f>G17+G25+G13</f>
        <v>0</v>
      </c>
      <c r="J12" s="1131" t="s">
        <v>5287</v>
      </c>
      <c r="K12" s="1135">
        <f>D26+'40'!D9</f>
        <v>0</v>
      </c>
    </row>
    <row r="13" spans="1:20" s="8" customFormat="1" ht="13">
      <c r="A13" s="2435"/>
      <c r="C13" s="849" t="s">
        <v>2973</v>
      </c>
      <c r="D13" s="1614">
        <f>SUM(D14:D16)</f>
        <v>0</v>
      </c>
      <c r="E13" s="1614">
        <f>SUM(E14:E16)</f>
        <v>0</v>
      </c>
      <c r="F13" s="1614">
        <f>SUM(F14:F16)</f>
        <v>0</v>
      </c>
      <c r="G13" s="1615">
        <f>SUM(G14:G16)</f>
        <v>0</v>
      </c>
      <c r="J13" s="1131" t="s">
        <v>63</v>
      </c>
      <c r="K13" s="1135">
        <f>D27+'43'!E8</f>
        <v>0</v>
      </c>
    </row>
    <row r="14" spans="1:20" s="8" customFormat="1" ht="13">
      <c r="A14" s="2433" t="str">
        <f>"R2=900731"</f>
        <v>R2=900731</v>
      </c>
      <c r="C14" s="826" t="s">
        <v>2858</v>
      </c>
      <c r="D14" s="1614" t="s">
        <v>3389</v>
      </c>
      <c r="E14" s="1614">
        <f>-Затраты_Вход_1!D14</f>
        <v>0</v>
      </c>
      <c r="F14" s="1614">
        <f>-Затраты_Вход_1!D15</f>
        <v>0</v>
      </c>
      <c r="G14" s="825">
        <f>SUM(D14:F14)</f>
        <v>0</v>
      </c>
      <c r="J14" s="1131" t="s">
        <v>64</v>
      </c>
      <c r="K14" s="1135">
        <f>D28+'45'!H8</f>
        <v>0</v>
      </c>
    </row>
    <row r="15" spans="1:20" s="8" customFormat="1" ht="13">
      <c r="A15" s="2433" t="str">
        <f>"R2=900732"</f>
        <v>R2=900732</v>
      </c>
      <c r="C15" s="826" t="s">
        <v>3340</v>
      </c>
      <c r="D15" s="1614">
        <f>-(Затраты_Вход_1!E13+Затраты_Вход_1!F13)</f>
        <v>0</v>
      </c>
      <c r="E15" s="1614" t="s">
        <v>3389</v>
      </c>
      <c r="F15" s="1614">
        <f>-(Затраты_Вход_1!E15+Затраты_Вход_1!F15)</f>
        <v>0</v>
      </c>
      <c r="G15" s="825">
        <f>SUM(D15:F15)</f>
        <v>0</v>
      </c>
      <c r="J15" s="1131" t="s">
        <v>5819</v>
      </c>
      <c r="K15" s="1135">
        <f>D30+'21'!F10</f>
        <v>0</v>
      </c>
    </row>
    <row r="16" spans="1:20" s="8" customFormat="1" ht="13">
      <c r="A16" s="2433" t="str">
        <f>"R2=900733"</f>
        <v>R2=900733</v>
      </c>
      <c r="C16" s="826" t="s">
        <v>3341</v>
      </c>
      <c r="D16" s="1614">
        <f>-Затраты_Вход_1!G13</f>
        <v>0</v>
      </c>
      <c r="E16" s="1614">
        <f>-Затраты_Вход_1!G14</f>
        <v>0</v>
      </c>
      <c r="F16" s="1614" t="s">
        <v>3389</v>
      </c>
      <c r="G16" s="825">
        <f>SUM(D16:F16)</f>
        <v>0</v>
      </c>
      <c r="J16" s="1131" t="s">
        <v>6191</v>
      </c>
      <c r="K16" s="1135">
        <f>ABS(D23+SUMIF('96_движ'!D:D,"20_23_25_29",'96_движ'!L:L))+ABS(E23+SUMIF('96_движ'!D:D,"26",'96_движ'!L:L))+ABS(F23+SUMIF('96_движ'!D:D,"44",'96_движ'!L:L))</f>
        <v>0</v>
      </c>
    </row>
    <row r="17" spans="1:11" s="8" customFormat="1" ht="13.5" thickBot="1">
      <c r="A17" s="2435" t="str">
        <f ca="1">IF(CELL("защита",D17),"","R2="&amp;IFERROR(MID(C17,FIND("{",C17)+1,FIND("}",C17)-FIND("{",C17)-1),""))</f>
        <v/>
      </c>
      <c r="C17" s="849" t="s">
        <v>4524</v>
      </c>
      <c r="D17" s="1616">
        <f>SUM(D18:D24)</f>
        <v>0</v>
      </c>
      <c r="E17" s="1616">
        <f>SUM(E18:E24)</f>
        <v>0</v>
      </c>
      <c r="F17" s="1616">
        <f>SUM(F18:F24)</f>
        <v>0</v>
      </c>
      <c r="G17" s="850">
        <f>SUM(D17:F17)</f>
        <v>0</v>
      </c>
      <c r="J17" s="1131" t="s">
        <v>7634</v>
      </c>
      <c r="K17" s="1136">
        <f>ABS(D18+E18+F18+'97'!M9-Затраты_Вход_1!I16+'08'!H8)</f>
        <v>0</v>
      </c>
    </row>
    <row r="18" spans="1:11" s="8" customFormat="1" ht="13.5" thickBot="1">
      <c r="A18" s="2435" t="str">
        <f t="shared" ref="A18:A30" ca="1" si="0">IF(CELL("защита",D18),"","R2="&amp;IFERROR(MID(C18,FIND("{",C18)+1,FIND("}",C18)-FIND("{",C18)-1),""))</f>
        <v>R2=F_M0723</v>
      </c>
      <c r="B18" s="1604" t="s">
        <v>5536</v>
      </c>
      <c r="C18" s="826" t="s">
        <v>7622</v>
      </c>
      <c r="D18" s="828"/>
      <c r="E18" s="828"/>
      <c r="F18" s="828"/>
      <c r="G18" s="829">
        <f t="shared" ref="G18:G29" si="1">SUM(D18:F18)</f>
        <v>0</v>
      </c>
      <c r="K18" s="1879" t="b">
        <f>ABS(SUM(K10:K17))&lt;10</f>
        <v>1</v>
      </c>
    </row>
    <row r="19" spans="1:11" s="8" customFormat="1" ht="13">
      <c r="A19" s="2435" t="str">
        <f t="shared" ca="1" si="0"/>
        <v>R2=F_M0719</v>
      </c>
      <c r="B19" s="1604"/>
      <c r="C19" s="826" t="s">
        <v>7633</v>
      </c>
      <c r="D19" s="828"/>
      <c r="E19" s="828"/>
      <c r="F19" s="828"/>
      <c r="G19" s="829"/>
      <c r="K19" s="2611"/>
    </row>
    <row r="20" spans="1:11" s="8" customFormat="1" ht="13" thickBot="1">
      <c r="A20" s="2435" t="str">
        <f t="shared" ca="1" si="0"/>
        <v>R2=F_M0731</v>
      </c>
      <c r="B20" s="1604" t="s">
        <v>5536</v>
      </c>
      <c r="C20" s="2068" t="s">
        <v>7623</v>
      </c>
      <c r="D20" s="828"/>
      <c r="E20" s="828"/>
      <c r="F20" s="828"/>
      <c r="G20" s="829">
        <f t="shared" si="1"/>
        <v>0</v>
      </c>
    </row>
    <row r="21" spans="1:11" s="8" customFormat="1" ht="13.5" thickBot="1">
      <c r="A21" s="2435" t="str">
        <f t="shared" ca="1" si="0"/>
        <v>R2=F_M0729</v>
      </c>
      <c r="B21" s="1604" t="s">
        <v>5536</v>
      </c>
      <c r="C21" s="826" t="s">
        <v>7624</v>
      </c>
      <c r="D21" s="828"/>
      <c r="E21" s="828"/>
      <c r="F21" s="828"/>
      <c r="G21" s="829">
        <f t="shared" si="1"/>
        <v>0</v>
      </c>
      <c r="J21" s="1126" t="s">
        <v>6082</v>
      </c>
      <c r="K21" s="2288"/>
    </row>
    <row r="22" spans="1:11" s="8" customFormat="1" ht="13">
      <c r="A22" s="2435" t="str">
        <f t="shared" ca="1" si="0"/>
        <v>R2=F_M0727</v>
      </c>
      <c r="B22" s="1604" t="s">
        <v>5536</v>
      </c>
      <c r="C22" s="826" t="s">
        <v>7632</v>
      </c>
      <c r="D22" s="828"/>
      <c r="E22" s="828"/>
      <c r="F22" s="828"/>
      <c r="G22" s="829">
        <f t="shared" si="1"/>
        <v>0</v>
      </c>
      <c r="J22" s="1126" t="s">
        <v>14881</v>
      </c>
      <c r="K22" s="2288"/>
    </row>
    <row r="23" spans="1:11" s="8" customFormat="1" ht="12.5">
      <c r="A23" s="2435" t="str">
        <f t="shared" ca="1" si="0"/>
        <v>R2=F_M0728</v>
      </c>
      <c r="B23" s="1604"/>
      <c r="C23" s="826" t="s">
        <v>7631</v>
      </c>
      <c r="D23" s="828"/>
      <c r="E23" s="828"/>
      <c r="F23" s="828"/>
      <c r="G23" s="829">
        <f t="shared" si="1"/>
        <v>0</v>
      </c>
    </row>
    <row r="24" spans="1:11" s="8" customFormat="1" ht="12.5">
      <c r="A24" s="2435" t="str">
        <f t="shared" ca="1" si="0"/>
        <v>R2=F_M0732</v>
      </c>
      <c r="B24" s="1604" t="s">
        <v>5536</v>
      </c>
      <c r="C24" s="826" t="s">
        <v>7625</v>
      </c>
      <c r="D24" s="828"/>
      <c r="E24" s="828"/>
      <c r="F24" s="828"/>
      <c r="G24" s="829">
        <f t="shared" si="1"/>
        <v>0</v>
      </c>
    </row>
    <row r="25" spans="1:11" s="8" customFormat="1" ht="13">
      <c r="A25" s="2435" t="str">
        <f t="shared" ca="1" si="0"/>
        <v/>
      </c>
      <c r="B25" s="1604" t="s">
        <v>5536</v>
      </c>
      <c r="C25" s="849" t="s">
        <v>2066</v>
      </c>
      <c r="D25" s="1616">
        <f>SUM(D26:D30)</f>
        <v>0</v>
      </c>
      <c r="E25" s="1616">
        <f>SUM(E26:E30)</f>
        <v>0</v>
      </c>
      <c r="F25" s="1616">
        <f>SUM(F26:F30)</f>
        <v>0</v>
      </c>
      <c r="G25" s="850">
        <f>SUM(D25:F25)</f>
        <v>0</v>
      </c>
    </row>
    <row r="26" spans="1:11" s="8" customFormat="1" ht="12.5">
      <c r="A26" s="2435" t="str">
        <f t="shared" ca="1" si="0"/>
        <v>R2=F_M0752</v>
      </c>
      <c r="B26" s="1604" t="s">
        <v>5536</v>
      </c>
      <c r="C26" s="1112" t="s">
        <v>7626</v>
      </c>
      <c r="D26" s="828"/>
      <c r="E26" s="828"/>
      <c r="F26" s="828"/>
      <c r="G26" s="829">
        <f t="shared" si="1"/>
        <v>0</v>
      </c>
    </row>
    <row r="27" spans="1:11" s="8" customFormat="1" ht="12.5">
      <c r="A27" s="2435" t="str">
        <f t="shared" ca="1" si="0"/>
        <v>R2=F_M0724</v>
      </c>
      <c r="B27" s="1604" t="s">
        <v>5536</v>
      </c>
      <c r="C27" s="1112" t="s">
        <v>7627</v>
      </c>
      <c r="D27" s="828"/>
      <c r="E27" s="828"/>
      <c r="F27" s="828"/>
      <c r="G27" s="829">
        <f t="shared" si="1"/>
        <v>0</v>
      </c>
    </row>
    <row r="28" spans="1:11" s="8" customFormat="1" ht="12.5">
      <c r="A28" s="2435" t="str">
        <f t="shared" ca="1" si="0"/>
        <v>R2=F_M0726</v>
      </c>
      <c r="B28" s="1604" t="s">
        <v>5536</v>
      </c>
      <c r="C28" s="1112" t="s">
        <v>7628</v>
      </c>
      <c r="D28" s="828"/>
      <c r="E28" s="828"/>
      <c r="F28" s="828"/>
      <c r="G28" s="829">
        <f t="shared" si="1"/>
        <v>0</v>
      </c>
    </row>
    <row r="29" spans="1:11">
      <c r="A29" s="2435" t="str">
        <f t="shared" ca="1" si="0"/>
        <v>R2=F_M0730</v>
      </c>
      <c r="B29" s="1604" t="s">
        <v>5536</v>
      </c>
      <c r="C29" s="1112" t="s">
        <v>7629</v>
      </c>
      <c r="D29" s="828"/>
      <c r="E29" s="828"/>
      <c r="F29" s="828"/>
      <c r="G29" s="829">
        <f t="shared" si="1"/>
        <v>0</v>
      </c>
      <c r="J29" s="8"/>
      <c r="K29" s="8"/>
    </row>
    <row r="30" spans="1:11">
      <c r="A30" s="2435" t="str">
        <f t="shared" ca="1" si="0"/>
        <v>R2=F_M0750</v>
      </c>
      <c r="B30" s="1604" t="s">
        <v>5536</v>
      </c>
      <c r="C30" s="1112" t="s">
        <v>7630</v>
      </c>
      <c r="D30" s="851"/>
      <c r="E30" s="851"/>
      <c r="F30" s="851"/>
      <c r="G30" s="829">
        <f>SUM(D30:F30)</f>
        <v>0</v>
      </c>
      <c r="J30" s="8"/>
      <c r="K30" s="8"/>
    </row>
    <row r="31" spans="1:11" ht="15" thickBot="1">
      <c r="A31" s="2435" t="str">
        <f t="shared" ref="A31" ca="1" si="2">IF(CELL("защита",D31),"","R2="&amp;IF(ISERROR(MID(C31,FIND("{",C31)+1,FIND("}",C31)-FIND("{",C31)-1)),"",MID(C31,FIND("{",C31)+1,FIND("}",C31)-FIND("{",C31)-1)))</f>
        <v/>
      </c>
      <c r="B31" s="1604"/>
      <c r="C31" s="852" t="s">
        <v>89</v>
      </c>
      <c r="D31" s="1617">
        <f>Затраты_Вход_1!D10+Затраты_Выход!D12</f>
        <v>0</v>
      </c>
      <c r="E31" s="1617">
        <f>Затраты_Вход_1!E10+Затраты_Вход_1!F10+Затраты_Выход!E12</f>
        <v>0</v>
      </c>
      <c r="F31" s="1617">
        <f>Затраты_Вход_1!G10+Затраты_Выход!F12</f>
        <v>0</v>
      </c>
      <c r="G31" s="853">
        <f>SUM(D31:F31)</f>
        <v>0</v>
      </c>
    </row>
    <row r="32" spans="1:11">
      <c r="A32" s="2435"/>
      <c r="D32" s="1618"/>
    </row>
    <row r="33" spans="1:11" ht="15" thickBot="1">
      <c r="A33" s="2435"/>
      <c r="C33" s="734" t="s">
        <v>705</v>
      </c>
    </row>
    <row r="34" spans="1:11">
      <c r="A34" s="2435"/>
      <c r="C34" s="3758" t="s">
        <v>4655</v>
      </c>
      <c r="D34" s="3760" t="s">
        <v>3335</v>
      </c>
      <c r="E34" s="3761"/>
    </row>
    <row r="35" spans="1:11">
      <c r="A35" s="2435"/>
      <c r="C35" s="3759"/>
      <c r="D35" s="842">
        <v>91</v>
      </c>
      <c r="E35" s="843" t="s">
        <v>4659</v>
      </c>
    </row>
    <row r="36" spans="1:11">
      <c r="A36" s="2435"/>
      <c r="C36" s="844">
        <v>10019</v>
      </c>
      <c r="D36" s="845"/>
      <c r="E36" s="846"/>
    </row>
    <row r="37" spans="1:11">
      <c r="A37" s="2435"/>
      <c r="C37" s="1619" t="s">
        <v>2157</v>
      </c>
      <c r="D37" s="838"/>
      <c r="E37" s="839"/>
    </row>
    <row r="38" spans="1:11">
      <c r="A38" s="2435"/>
      <c r="C38" s="1619" t="s">
        <v>2158</v>
      </c>
      <c r="D38" s="838"/>
      <c r="E38" s="839"/>
      <c r="K38" s="2137" t="b">
        <f>AND(K39:K43)</f>
        <v>1</v>
      </c>
    </row>
    <row r="39" spans="1:11" ht="29">
      <c r="A39" s="2435"/>
      <c r="C39" s="1619" t="s">
        <v>2159</v>
      </c>
      <c r="D39" s="838"/>
      <c r="E39" s="839"/>
      <c r="K39" s="2137" t="b">
        <f>AND(D37&lt;=0,E37&lt;=0)</f>
        <v>1</v>
      </c>
    </row>
    <row r="40" spans="1:11" ht="29">
      <c r="A40" s="2435"/>
      <c r="C40" s="1619" t="s">
        <v>2164</v>
      </c>
      <c r="D40" s="838"/>
      <c r="E40" s="839"/>
      <c r="K40" s="2137" t="b">
        <f>AND(D38&lt;=0,E38&lt;=0)</f>
        <v>1</v>
      </c>
    </row>
    <row r="41" spans="1:11">
      <c r="A41" s="2435"/>
      <c r="C41" s="1619" t="s">
        <v>3243</v>
      </c>
      <c r="D41" s="851"/>
      <c r="E41" s="839"/>
      <c r="K41" s="2137" t="b">
        <f>AND(D39&lt;=0,E39&lt;=0)</f>
        <v>1</v>
      </c>
    </row>
    <row r="42" spans="1:11" ht="29">
      <c r="C42" s="2848" t="s">
        <v>7130</v>
      </c>
      <c r="D42" s="2849"/>
      <c r="E42" s="2850"/>
      <c r="K42" s="2137" t="b">
        <f>AND(D40&lt;=0,E40&lt;=0)</f>
        <v>1</v>
      </c>
    </row>
    <row r="43" spans="1:11" ht="29.5" thickBot="1">
      <c r="C43" s="1620" t="s">
        <v>7131</v>
      </c>
      <c r="D43" s="840"/>
      <c r="E43" s="841"/>
      <c r="K43" s="2137" t="b">
        <f>AND(D41&lt;=0,E41&lt;=0)</f>
        <v>1</v>
      </c>
    </row>
    <row r="44" spans="1:11">
      <c r="C44" s="2549"/>
    </row>
    <row r="45" spans="1:11">
      <c r="C45" s="734" t="s">
        <v>10104</v>
      </c>
    </row>
    <row r="46" spans="1:11">
      <c r="C46" s="3290"/>
      <c r="D46" s="3290" t="s">
        <v>5162</v>
      </c>
      <c r="E46" s="3290" t="s">
        <v>5163</v>
      </c>
    </row>
    <row r="47" spans="1:11">
      <c r="C47" s="3291" t="s">
        <v>4170</v>
      </c>
      <c r="D47" s="3289">
        <f>SUM('14'!G8,'14'!G68,'14'!G69,'14'!G70,'14'!G71,'14'!G72)</f>
        <v>0</v>
      </c>
      <c r="E47" s="3289">
        <f>SUM('14'!H8,'14'!H68,'14'!H69,'14'!H70,'14'!H71,'14'!H72)</f>
        <v>0</v>
      </c>
    </row>
    <row r="48" spans="1:11">
      <c r="C48" s="3292" t="s">
        <v>10103</v>
      </c>
      <c r="D48" s="3289">
        <f>D47-D49</f>
        <v>0</v>
      </c>
      <c r="E48" s="3289">
        <f>E47-E49</f>
        <v>0</v>
      </c>
    </row>
    <row r="49" spans="1:20">
      <c r="C49" s="3292" t="s">
        <v>7624</v>
      </c>
      <c r="D49" s="3293"/>
      <c r="E49" s="3293"/>
    </row>
    <row r="52" spans="1:20">
      <c r="A52" s="2435" t="s">
        <v>10165</v>
      </c>
      <c r="S52" s="2545">
        <f>D48</f>
        <v>0</v>
      </c>
      <c r="T52" s="2545">
        <f>E48</f>
        <v>0</v>
      </c>
    </row>
    <row r="53" spans="1:20">
      <c r="A53" s="2435" t="s">
        <v>10162</v>
      </c>
      <c r="O53" s="2422"/>
      <c r="P53" s="2422"/>
      <c r="Q53" s="2422"/>
      <c r="S53" s="2545">
        <f>D49</f>
        <v>0</v>
      </c>
      <c r="T53" s="2545">
        <f>E49</f>
        <v>0</v>
      </c>
    </row>
    <row r="54" spans="1:20">
      <c r="A54" s="2435" t="s">
        <v>14922</v>
      </c>
      <c r="R54" s="2545">
        <f>K21</f>
        <v>0</v>
      </c>
    </row>
    <row r="55" spans="1:20">
      <c r="A55" s="2435" t="str">
        <f t="shared" ref="A55:A61" si="3">"R2="&amp;IFERROR("2210"&amp;MID(O55,SEARCH("{????????}",O55)+1,8),IFERROR(MID(O55,SEARCH("{??????}",O55)+1,6),""))</f>
        <v>R2=221040010000</v>
      </c>
      <c r="O55" s="1163" t="str">
        <f t="shared" ref="O55:Q61" si="4">C37</f>
        <v>{40010000} Амортизация ОС</v>
      </c>
      <c r="P55" s="2830">
        <f t="shared" si="4"/>
        <v>0</v>
      </c>
      <c r="Q55" s="2830">
        <f t="shared" si="4"/>
        <v>0</v>
      </c>
    </row>
    <row r="56" spans="1:20">
      <c r="A56" s="2435" t="str">
        <f t="shared" si="3"/>
        <v>R2=221040020000</v>
      </c>
      <c r="O56" s="2830" t="str">
        <f t="shared" si="4"/>
        <v>{40020000} Амортизация НМА</v>
      </c>
      <c r="P56" s="2830">
        <f t="shared" si="4"/>
        <v>0</v>
      </c>
      <c r="Q56" s="2830">
        <f t="shared" si="4"/>
        <v>0</v>
      </c>
    </row>
    <row r="57" spans="1:20">
      <c r="A57" s="2435" t="str">
        <f t="shared" si="3"/>
        <v>R2=221040030000</v>
      </c>
      <c r="O57" s="2830" t="str">
        <f t="shared" si="4"/>
        <v>{40030000} Амортизация имущества, предоставляемого в пользование (аренда, лизинг)</v>
      </c>
      <c r="P57" s="2830">
        <f t="shared" si="4"/>
        <v>0</v>
      </c>
      <c r="Q57" s="2830">
        <f t="shared" si="4"/>
        <v>0</v>
      </c>
    </row>
    <row r="58" spans="1:20">
      <c r="A58" s="2435" t="str">
        <f t="shared" si="3"/>
        <v>R2=221052010100</v>
      </c>
      <c r="O58" s="2830" t="str">
        <f t="shared" si="4"/>
        <v>{52010100} Списание на расходы стоимости НИОКР по перечню, установленному Правительством РФ</v>
      </c>
      <c r="P58" s="2830">
        <f t="shared" si="4"/>
        <v>0</v>
      </c>
      <c r="Q58" s="2830">
        <f t="shared" si="4"/>
        <v>0</v>
      </c>
    </row>
    <row r="59" spans="1:20">
      <c r="A59" s="2435" t="str">
        <f t="shared" si="3"/>
        <v>R2=221052010300</v>
      </c>
      <c r="O59" s="2830" t="str">
        <f t="shared" si="4"/>
        <v>{52010300} Списание на расходы стоимости НИОКР</v>
      </c>
      <c r="P59" s="2830">
        <f t="shared" si="4"/>
        <v>0</v>
      </c>
      <c r="Q59" s="2830">
        <f t="shared" si="4"/>
        <v>0</v>
      </c>
    </row>
    <row r="60" spans="1:20">
      <c r="A60" s="2435" t="str">
        <f t="shared" si="3"/>
        <v>R2=221040040000</v>
      </c>
      <c r="O60" s="2830" t="str">
        <f t="shared" si="4"/>
        <v>{40040000} Амортизация ОС, приобретенных за счет отраслевых резервов, субсидий и МТП</v>
      </c>
      <c r="P60" s="2830">
        <f t="shared" si="4"/>
        <v>0</v>
      </c>
      <c r="Q60" s="2830">
        <f t="shared" si="4"/>
        <v>0</v>
      </c>
    </row>
    <row r="61" spans="1:20">
      <c r="A61" s="2435" t="str">
        <f t="shared" si="3"/>
        <v>R2=221040050000</v>
      </c>
      <c r="O61" s="2830" t="str">
        <f t="shared" si="4"/>
        <v>{40050000} Амортизация НМА, приобретенных за счет отраслевых резервов, субсидий и МТП</v>
      </c>
      <c r="P61" s="2830">
        <f t="shared" si="4"/>
        <v>0</v>
      </c>
      <c r="Q61" s="2830">
        <f t="shared" si="4"/>
        <v>0</v>
      </c>
    </row>
    <row r="62" spans="1:20">
      <c r="A62" s="2435" t="s">
        <v>14923</v>
      </c>
      <c r="R62" s="2545">
        <f>K22</f>
        <v>0</v>
      </c>
    </row>
  </sheetData>
  <sheetProtection algorithmName="SHA-512" hashValue="0GpReCwlKwCkcqW/lqJFiccQKedmTE/AWLCiNi9Dtyeg8EgOsM2CWlaL6XkkuJBzA1+wANBTjhq83bezBHl3tA==" saltValue="JRei/+WMOo6RaEzs+53vYA==" spinCount="100000" sheet="1" objects="1" scenarios="1" formatColumns="0" formatRows="0" autoFilter="0"/>
  <autoFilter ref="C11:G11"/>
  <customSheetViews>
    <customSheetView guid="{3769259D-9653-4B34-A2F6-4FB6F9F4E533}" scale="85" showGridLines="0" showAutoFilter="1" hiddenRows="1" hiddenColumns="1" topLeftCell="B2">
      <selection activeCell="H36" sqref="H36"/>
      <pageMargins left="0.7" right="0.7" top="0.75" bottom="0.75" header="0.3" footer="0.3"/>
      <pageSetup paperSize="9" orientation="portrait" r:id="rId1"/>
      <autoFilter ref="B1:F1"/>
    </customSheetView>
    <customSheetView guid="{40D7A2BB-326C-4ED3-999C-17852F56D6F4}" scale="85" showGridLines="0" showAutoFilter="1" hiddenRows="1" hiddenColumns="1" topLeftCell="B2">
      <selection activeCell="H36" sqref="H36"/>
      <pageMargins left="0.7" right="0.7" top="0.75" bottom="0.75" header="0.3" footer="0.3"/>
      <pageSetup paperSize="9" orientation="portrait" r:id="rId2"/>
      <autoFilter ref="B1:F1"/>
    </customSheetView>
    <customSheetView guid="{5D121940-0CE8-4A0E-A493-67FAAA6E0FF8}" scale="85" showGridLines="0" showAutoFilter="1" hiddenRows="1" hiddenColumns="1" topLeftCell="B5">
      <selection activeCell="C33" sqref="C33"/>
      <pageMargins left="0.7" right="0.7" top="0.75" bottom="0.75" header="0.3" footer="0.3"/>
      <pageSetup paperSize="9" orientation="portrait" r:id="rId3"/>
      <autoFilter ref="B1:F1"/>
    </customSheetView>
    <customSheetView guid="{47AEACC4-6EA5-412C-AF39-A6C5357B313A}" scale="85" showGridLines="0" showAutoFilter="1" hiddenRows="1" hiddenColumns="1" topLeftCell="B5">
      <selection activeCell="D19" sqref="D19"/>
      <pageMargins left="0.7" right="0.7" top="0.75" bottom="0.75" header="0.3" footer="0.3"/>
      <pageSetup paperSize="9" orientation="portrait" r:id="rId4"/>
      <autoFilter ref="B1:F1"/>
    </customSheetView>
    <customSheetView guid="{4D957B38-5430-481E-B791-E0A66F913B50}" scale="70">
      <pageMargins left="0.7" right="0.7" top="0.75" bottom="0.75" header="0.3" footer="0.3"/>
    </customSheetView>
    <customSheetView guid="{D03DFE91-19D2-43BA-897C-B86D033537EB}" scale="70">
      <selection activeCell="E13" sqref="E13"/>
      <pageMargins left="0.7" right="0.7" top="0.75" bottom="0.75" header="0.3" footer="0.3"/>
    </customSheetView>
    <customSheetView guid="{1C36793E-2B7E-411E-AA99-985D5D59B75A}" scale="70">
      <selection activeCell="I35" sqref="I35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5">
      <selection activeCell="C33" sqref="C33"/>
      <pageMargins left="0.7" right="0.7" top="0.75" bottom="0.75" header="0.3" footer="0.3"/>
      <pageSetup paperSize="9" orientation="portrait" r:id="rId5"/>
      <autoFilter ref="B1:F1"/>
    </customSheetView>
  </customSheetViews>
  <mergeCells count="9">
    <mergeCell ref="J8:K8"/>
    <mergeCell ref="C34:C35"/>
    <mergeCell ref="D34:E34"/>
    <mergeCell ref="D3:G3"/>
    <mergeCell ref="C8:C9"/>
    <mergeCell ref="E8:E9"/>
    <mergeCell ref="D8:D9"/>
    <mergeCell ref="F8:F9"/>
    <mergeCell ref="G8:G10"/>
  </mergeCells>
  <phoneticPr fontId="0" type="noConversion"/>
  <hyperlinks>
    <hyperlink ref="H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74" orientation="landscape" r:id="rId6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pageSetUpPr fitToPage="1"/>
  </sheetPr>
  <dimension ref="A1:O10"/>
  <sheetViews>
    <sheetView topLeftCell="B2" zoomScale="73" zoomScaleNormal="73" workbookViewId="0">
      <selection activeCell="F17" sqref="F17"/>
    </sheetView>
  </sheetViews>
  <sheetFormatPr defaultColWidth="9.453125" defaultRowHeight="14.5"/>
  <cols>
    <col min="1" max="1" width="10" style="271" hidden="1" customWidth="1"/>
    <col min="2" max="2" width="3" style="32" customWidth="1"/>
    <col min="3" max="3" width="55" style="32" customWidth="1"/>
    <col min="4" max="5" width="15.453125" style="32" customWidth="1"/>
    <col min="6" max="6" width="25.453125" style="32" customWidth="1"/>
    <col min="7" max="7" width="15.453125" style="32" customWidth="1"/>
    <col min="8" max="8" width="23.453125" style="32" customWidth="1"/>
    <col min="9" max="9" width="23.453125" style="32" bestFit="1" customWidth="1"/>
    <col min="10" max="10" width="18" style="32" bestFit="1" customWidth="1"/>
    <col min="11" max="11" width="18" style="32" customWidth="1"/>
    <col min="12" max="13" width="15.453125" style="32" customWidth="1"/>
    <col min="14" max="14" width="26.54296875" style="32" bestFit="1" customWidth="1"/>
    <col min="15" max="15" width="25.453125" style="32" customWidth="1"/>
    <col min="16" max="229" width="9.453125" style="32"/>
    <col min="230" max="230" width="5.54296875" style="32" customWidth="1"/>
    <col min="231" max="231" width="31.453125" style="32" customWidth="1"/>
    <col min="232" max="248" width="15.453125" style="32" customWidth="1"/>
    <col min="249" max="249" width="28.54296875" style="32" customWidth="1"/>
    <col min="250" max="252" width="8.54296875" style="32" customWidth="1"/>
    <col min="253" max="16384" width="9.453125" style="32"/>
  </cols>
  <sheetData>
    <row r="1" spans="1:15" s="10" customFormat="1" ht="20.25" hidden="1" customHeight="1">
      <c r="A1" s="537" t="s">
        <v>4260</v>
      </c>
      <c r="B1" s="22"/>
      <c r="C1" s="22"/>
      <c r="D1" s="100" t="s">
        <v>1226</v>
      </c>
      <c r="E1" s="100" t="s">
        <v>373</v>
      </c>
      <c r="F1" s="100" t="s">
        <v>320</v>
      </c>
      <c r="G1" s="100" t="s">
        <v>1228</v>
      </c>
      <c r="H1" s="100" t="s">
        <v>327</v>
      </c>
      <c r="I1" s="100" t="s">
        <v>374</v>
      </c>
      <c r="J1" s="100" t="s">
        <v>334</v>
      </c>
      <c r="K1" s="100" t="s">
        <v>375</v>
      </c>
      <c r="L1" s="100" t="s">
        <v>1229</v>
      </c>
      <c r="M1" s="100" t="s">
        <v>299</v>
      </c>
    </row>
    <row r="2" spans="1:15" s="774" customFormat="1" ht="12.75" customHeight="1">
      <c r="A2" s="534"/>
      <c r="C2" s="1926" t="e">
        <f>IF(VLOOKUP(Содержание!D2,Список_компаний!$A:$I,8,FALSE)="да","+","-")</f>
        <v>#N/A</v>
      </c>
      <c r="D2" s="774" t="s">
        <v>1648</v>
      </c>
      <c r="E2" s="774" t="s">
        <v>1648</v>
      </c>
      <c r="F2" s="774" t="s">
        <v>1648</v>
      </c>
      <c r="G2" s="774" t="s">
        <v>1648</v>
      </c>
      <c r="H2" s="774" t="s">
        <v>1648</v>
      </c>
      <c r="I2" s="774" t="s">
        <v>1648</v>
      </c>
      <c r="J2" s="774" t="s">
        <v>1648</v>
      </c>
      <c r="K2" s="774" t="s">
        <v>1648</v>
      </c>
      <c r="L2" s="774" t="s">
        <v>1648</v>
      </c>
      <c r="M2" s="774" t="s">
        <v>1648</v>
      </c>
    </row>
    <row r="3" spans="1:15" s="10" customFormat="1" ht="26.5" thickBot="1">
      <c r="A3" s="534"/>
      <c r="D3"/>
      <c r="E3" s="1897" t="s">
        <v>2067</v>
      </c>
      <c r="F3" s="1244">
        <f>Содержание!$D$2</f>
        <v>0</v>
      </c>
      <c r="I3" s="735" t="s">
        <v>2857</v>
      </c>
    </row>
    <row r="4" spans="1:15" s="24" customFormat="1" ht="26.5" thickBot="1">
      <c r="A4" s="538"/>
      <c r="B4" s="235"/>
      <c r="C4" s="235" t="s">
        <v>4047</v>
      </c>
      <c r="D4"/>
      <c r="E4" s="1897" t="s">
        <v>2075</v>
      </c>
      <c r="F4" s="1244" t="str">
        <f>Содержание!$D$15</f>
        <v>2022 год</v>
      </c>
      <c r="G4" s="3044" t="s">
        <v>1436</v>
      </c>
      <c r="H4" s="20"/>
      <c r="I4" s="1157" t="b">
        <f>ABS(H10+Затраты_Вход_1!D11)&lt;=1</f>
        <v>1</v>
      </c>
      <c r="J4" s="20"/>
      <c r="K4" s="20"/>
      <c r="L4" s="20"/>
      <c r="M4" s="20"/>
    </row>
    <row r="5" spans="1:15" s="24" customFormat="1" ht="13.5" thickBot="1">
      <c r="A5" s="538"/>
      <c r="B5" s="235"/>
      <c r="C5" s="235"/>
    </row>
    <row r="6" spans="1:15" s="24" customFormat="1" ht="12.75" customHeight="1" thickBot="1">
      <c r="A6" s="538"/>
      <c r="B6" s="113"/>
      <c r="C6" s="3768" t="s">
        <v>4064</v>
      </c>
      <c r="D6" s="3770" t="s">
        <v>5225</v>
      </c>
      <c r="E6" s="3770" t="s">
        <v>5556</v>
      </c>
      <c r="F6" s="3770"/>
      <c r="G6" s="3770"/>
      <c r="H6" s="3770" t="s">
        <v>5557</v>
      </c>
      <c r="I6" s="3770"/>
      <c r="J6" s="3770"/>
      <c r="K6" s="3770"/>
      <c r="L6" s="3770"/>
      <c r="M6" s="3770" t="s">
        <v>5233</v>
      </c>
      <c r="N6" s="3766" t="s">
        <v>4183</v>
      </c>
    </row>
    <row r="7" spans="1:15" s="24" customFormat="1" ht="30.75" customHeight="1" thickBot="1">
      <c r="A7" s="538"/>
      <c r="B7" s="113"/>
      <c r="C7" s="3769"/>
      <c r="D7" s="3771"/>
      <c r="E7" s="1169" t="s">
        <v>4048</v>
      </c>
      <c r="F7" s="1169" t="s">
        <v>1665</v>
      </c>
      <c r="G7" s="1169" t="s">
        <v>1669</v>
      </c>
      <c r="H7" s="1169" t="s">
        <v>1670</v>
      </c>
      <c r="I7" s="1169" t="s">
        <v>1673</v>
      </c>
      <c r="J7" s="1169" t="s">
        <v>1678</v>
      </c>
      <c r="K7" s="1169" t="s">
        <v>4054</v>
      </c>
      <c r="L7" s="1169" t="s">
        <v>5559</v>
      </c>
      <c r="M7" s="3771"/>
      <c r="N7" s="3767"/>
      <c r="O7" s="2808" t="s">
        <v>8359</v>
      </c>
    </row>
    <row r="8" spans="1:15" s="24" customFormat="1" ht="13">
      <c r="A8" s="538"/>
      <c r="B8" s="113"/>
      <c r="C8" s="857">
        <v>2145</v>
      </c>
      <c r="D8" s="858" t="s">
        <v>672</v>
      </c>
      <c r="E8" s="858" t="s">
        <v>5565</v>
      </c>
      <c r="F8" s="858" t="s">
        <v>5566</v>
      </c>
      <c r="G8" s="859" t="s">
        <v>5571</v>
      </c>
      <c r="H8" s="859" t="s">
        <v>5573</v>
      </c>
      <c r="I8" s="858" t="s">
        <v>4049</v>
      </c>
      <c r="J8" s="859" t="s">
        <v>5579</v>
      </c>
      <c r="K8" s="858" t="s">
        <v>4061</v>
      </c>
      <c r="L8" s="858" t="s">
        <v>5580</v>
      </c>
      <c r="M8" s="858" t="s">
        <v>4163</v>
      </c>
      <c r="N8" s="860"/>
    </row>
    <row r="9" spans="1:15" s="695" customFormat="1" ht="12.5">
      <c r="A9" s="538"/>
      <c r="C9" s="854" t="s">
        <v>4164</v>
      </c>
      <c r="D9" s="855" t="s">
        <v>4165</v>
      </c>
      <c r="E9" s="855" t="s">
        <v>4166</v>
      </c>
      <c r="F9" s="855" t="s">
        <v>5500</v>
      </c>
      <c r="G9" s="855" t="s">
        <v>4169</v>
      </c>
      <c r="H9" s="855" t="s">
        <v>4168</v>
      </c>
      <c r="I9" s="855" t="s">
        <v>4178</v>
      </c>
      <c r="J9" s="855" t="s">
        <v>4179</v>
      </c>
      <c r="K9" s="855" t="s">
        <v>4167</v>
      </c>
      <c r="L9" s="855" t="s">
        <v>5501</v>
      </c>
      <c r="M9" s="855" t="s">
        <v>4701</v>
      </c>
      <c r="N9" s="855" t="s">
        <v>4702</v>
      </c>
    </row>
    <row r="10" spans="1:15" s="397" customFormat="1" ht="13" thickBot="1">
      <c r="A10" s="96" t="str">
        <f>"R60=1;COM="&amp;N10</f>
        <v>R60=1;COM=</v>
      </c>
      <c r="B10" s="113"/>
      <c r="C10" s="1621" t="s">
        <v>4170</v>
      </c>
      <c r="D10" s="856"/>
      <c r="E10" s="856"/>
      <c r="F10" s="856"/>
      <c r="G10" s="856"/>
      <c r="H10" s="856"/>
      <c r="I10" s="856"/>
      <c r="J10" s="856"/>
      <c r="K10" s="856"/>
      <c r="L10" s="856"/>
      <c r="M10" s="1183">
        <f>SUM(D10:L10)</f>
        <v>0</v>
      </c>
      <c r="N10" s="1184"/>
      <c r="O10" s="2811" t="b">
        <f>AND(F10&gt;=0,G10&gt;=0,H10&lt;=0,J10&lt;=0,K10&lt;=0,L10&lt;=0)</f>
        <v>1</v>
      </c>
    </row>
  </sheetData>
  <sheetProtection algorithmName="SHA-512" hashValue="Vx4ISl1KOIXQUuWhQHbZf0AHg0tHVTr7wbl4ucMbvgYbPbCE6+tL3pu4knX0zcfi5BpIMJ7bxMgZmlUM7HZ3QQ==" saltValue="TxvON82uMyrf001jAhHizw==" spinCount="100000" sheet="1" objects="1" scenarios="1" formatColumns="0" formatRows="0" autoFilter="0"/>
  <autoFilter ref="C9:N9"/>
  <customSheetViews>
    <customSheetView guid="{3769259D-9653-4B34-A2F6-4FB6F9F4E533}" scale="85" showGridLines="0" showAutoFilter="1" hiddenRows="1" hiddenColumns="1">
      <pane xSplit="4" ySplit="10" topLeftCell="E11" activePane="bottomRight" state="frozen"/>
      <selection pane="bottomRight" activeCell="C17" sqref="C17"/>
      <pageMargins left="0.7" right="0.7" top="0.75" bottom="0.75" header="0.3" footer="0.3"/>
      <autoFilter ref="B1:L1"/>
    </customSheetView>
    <customSheetView guid="{40D7A2BB-326C-4ED3-999C-17852F56D6F4}" scale="85" showGridLines="0" showAutoFilter="1" hiddenRows="1" hiddenColumns="1">
      <pane xSplit="4" ySplit="10" topLeftCell="E11" activePane="bottomRight" state="frozen"/>
      <selection pane="bottomRight" activeCell="C17" sqref="C17"/>
      <pageMargins left="0.7" right="0.7" top="0.75" bottom="0.75" header="0.3" footer="0.3"/>
      <autoFilter ref="B1:L1"/>
    </customSheetView>
    <customSheetView guid="{5D121940-0CE8-4A0E-A493-67FAAA6E0FF8}" scale="85" showGridLines="0" showAutoFilter="1" hiddenRows="1" hiddenColumns="1" topLeftCell="B2">
      <pane xSplit="3" ySplit="9" topLeftCell="H11" activePane="bottomRight" state="frozen"/>
      <selection pane="bottomRight" activeCell="C8" sqref="C8"/>
      <pageMargins left="0.7" right="0.7" top="0.75" bottom="0.75" header="0.3" footer="0.3"/>
      <autoFilter ref="B1:L1"/>
    </customSheetView>
    <customSheetView guid="{47AEACC4-6EA5-412C-AF39-A6C5357B313A}" scale="85" showGridLines="0" showAutoFilter="1" hiddenRows="1" hiddenColumns="1" topLeftCell="B2">
      <pane xSplit="3" ySplit="9" topLeftCell="E11" activePane="bottomRight" state="frozen"/>
      <selection pane="bottomRight" activeCell="G10" sqref="G10"/>
      <pageMargins left="0.7" right="0.7" top="0.75" bottom="0.75" header="0.3" footer="0.3"/>
      <autoFilter ref="B1:L1"/>
    </customSheetView>
    <customSheetView guid="{4D957B38-5430-481E-B791-E0A66F913B50}" scale="70" topLeftCell="B1">
      <selection activeCell="N29" sqref="N29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3" ySplit="9" topLeftCell="H11" activePane="bottomRight" state="frozen"/>
      <selection pane="bottomRight" activeCell="C8" sqref="C8"/>
      <pageMargins left="0.7" right="0.7" top="0.75" bottom="0.75" header="0.3" footer="0.3"/>
      <autoFilter ref="B1:L1"/>
    </customSheetView>
  </customSheetViews>
  <mergeCells count="6">
    <mergeCell ref="N6:N7"/>
    <mergeCell ref="C6:C7"/>
    <mergeCell ref="D6:D7"/>
    <mergeCell ref="E6:G6"/>
    <mergeCell ref="H6:L6"/>
    <mergeCell ref="M6:M7"/>
  </mergeCells>
  <phoneticPr fontId="0" type="noConversion"/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8" fitToHeight="2" orientation="landscape" horizontalDpi="4294967294" verticalDpi="4294967294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L9"/>
  <sheetViews>
    <sheetView topLeftCell="B2" workbookViewId="0">
      <selection activeCell="F17" sqref="F17"/>
    </sheetView>
  </sheetViews>
  <sheetFormatPr defaultColWidth="9.453125" defaultRowHeight="14.5"/>
  <cols>
    <col min="1" max="1" width="11.1796875" style="1163" hidden="1" customWidth="1"/>
    <col min="2" max="2" width="4" style="1163" customWidth="1"/>
    <col min="3" max="3" width="48.54296875" style="1163" bestFit="1" customWidth="1"/>
    <col min="4" max="5" width="20.54296875" style="1163" customWidth="1"/>
    <col min="6" max="6" width="24" style="1163" customWidth="1"/>
    <col min="7" max="8" width="24.453125" style="1163" customWidth="1"/>
    <col min="9" max="10" width="20.54296875" style="1163" customWidth="1"/>
    <col min="11" max="11" width="17" style="1163" customWidth="1"/>
    <col min="12" max="12" width="23.54296875" style="1163" customWidth="1"/>
    <col min="13" max="16384" width="9.453125" style="1163"/>
  </cols>
  <sheetData>
    <row r="1" spans="1:12" ht="18" hidden="1" customHeight="1">
      <c r="A1" s="167" t="s">
        <v>4271</v>
      </c>
      <c r="B1" s="22"/>
      <c r="C1" s="22"/>
      <c r="D1" s="6" t="s">
        <v>320</v>
      </c>
      <c r="E1" s="6" t="s">
        <v>1228</v>
      </c>
      <c r="F1" s="6" t="s">
        <v>375</v>
      </c>
      <c r="G1" s="6" t="s">
        <v>374</v>
      </c>
      <c r="H1" s="6" t="s">
        <v>354</v>
      </c>
      <c r="I1" s="6" t="s">
        <v>327</v>
      </c>
      <c r="J1" s="6" t="s">
        <v>1229</v>
      </c>
      <c r="K1"/>
    </row>
    <row r="2" spans="1:12" s="1778" customFormat="1">
      <c r="A2" s="7"/>
      <c r="B2" s="1919"/>
      <c r="C2" s="1927" t="e">
        <f>IF(VLOOKUP(Содержание!D2,Список_компаний!$A:$I,8,FALSE)="да","+","-")</f>
        <v>#N/A</v>
      </c>
      <c r="D2" s="1778" t="s">
        <v>1648</v>
      </c>
      <c r="E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</row>
    <row r="3" spans="1:12" ht="26">
      <c r="A3" s="9"/>
      <c r="B3" s="24"/>
      <c r="C3" s="235" t="s">
        <v>3973</v>
      </c>
      <c r="D3" s="1897" t="s">
        <v>2067</v>
      </c>
      <c r="E3" s="1244">
        <f>Содержание!$D$2</f>
        <v>0</v>
      </c>
      <c r="F3" s="20"/>
      <c r="G3" s="20"/>
      <c r="H3" s="20"/>
      <c r="I3" s="20"/>
      <c r="J3" s="20"/>
    </row>
    <row r="4" spans="1:12" ht="15" thickBot="1">
      <c r="A4" s="9"/>
      <c r="B4" s="24"/>
      <c r="C4" s="24"/>
      <c r="D4" s="1897" t="s">
        <v>2075</v>
      </c>
      <c r="E4" s="1244" t="str">
        <f>Содержание!$D$15</f>
        <v>2022 год</v>
      </c>
      <c r="F4" s="3044" t="s">
        <v>1436</v>
      </c>
      <c r="G4" s="24"/>
      <c r="H4" s="24"/>
      <c r="I4" s="24"/>
      <c r="J4" s="24"/>
    </row>
    <row r="5" spans="1:12" ht="15.75" customHeight="1" thickBot="1">
      <c r="A5" s="9"/>
      <c r="B5" s="24"/>
      <c r="C5" s="3732" t="s">
        <v>6112</v>
      </c>
      <c r="D5" s="3679" t="s">
        <v>5556</v>
      </c>
      <c r="E5" s="3773"/>
      <c r="F5" s="3679" t="s">
        <v>5557</v>
      </c>
      <c r="G5" s="3773"/>
      <c r="H5" s="3773"/>
      <c r="I5" s="3773"/>
      <c r="J5" s="3773"/>
      <c r="K5" s="3772" t="s">
        <v>4183</v>
      </c>
    </row>
    <row r="6" spans="1:12" ht="39">
      <c r="A6" s="9"/>
      <c r="B6" s="24"/>
      <c r="C6" s="3732"/>
      <c r="D6" s="15" t="s">
        <v>1665</v>
      </c>
      <c r="E6" s="15" t="s">
        <v>1669</v>
      </c>
      <c r="F6" s="15" t="s">
        <v>4054</v>
      </c>
      <c r="G6" s="15" t="s">
        <v>1673</v>
      </c>
      <c r="H6" s="15" t="s">
        <v>4055</v>
      </c>
      <c r="I6" s="15" t="s">
        <v>1670</v>
      </c>
      <c r="J6" s="15" t="s">
        <v>5559</v>
      </c>
      <c r="K6" s="3772"/>
      <c r="L6" s="2808" t="s">
        <v>8359</v>
      </c>
    </row>
    <row r="7" spans="1:12">
      <c r="A7" s="9"/>
      <c r="B7" s="24"/>
      <c r="C7" s="71">
        <v>2145</v>
      </c>
      <c r="D7" s="16" t="s">
        <v>5566</v>
      </c>
      <c r="E7" s="16" t="s">
        <v>5571</v>
      </c>
      <c r="F7" s="16" t="s">
        <v>4061</v>
      </c>
      <c r="G7" s="16" t="s">
        <v>4049</v>
      </c>
      <c r="H7" s="16" t="s">
        <v>4041</v>
      </c>
      <c r="I7" s="16" t="s">
        <v>5573</v>
      </c>
      <c r="J7" s="16" t="s">
        <v>5580</v>
      </c>
      <c r="K7" s="27" t="s">
        <v>692</v>
      </c>
    </row>
    <row r="8" spans="1:12" s="674" customFormat="1" ht="10.5">
      <c r="A8" s="668"/>
      <c r="B8" s="673"/>
      <c r="C8" s="696" t="s">
        <v>4164</v>
      </c>
      <c r="D8" s="677" t="s">
        <v>4166</v>
      </c>
      <c r="E8" s="677" t="s">
        <v>5500</v>
      </c>
      <c r="F8" s="677" t="s">
        <v>4169</v>
      </c>
      <c r="G8" s="677" t="s">
        <v>4168</v>
      </c>
      <c r="H8" s="677" t="s">
        <v>4178</v>
      </c>
      <c r="I8" s="677" t="s">
        <v>4179</v>
      </c>
      <c r="J8" s="677" t="s">
        <v>4167</v>
      </c>
      <c r="K8" s="806" t="s">
        <v>4701</v>
      </c>
    </row>
    <row r="9" spans="1:12" ht="15" thickBot="1">
      <c r="A9" s="9" t="str">
        <f>"R60=1;COM="&amp;K9</f>
        <v>R60=1;COM=</v>
      </c>
      <c r="B9" s="24"/>
      <c r="C9" s="807" t="s">
        <v>4170</v>
      </c>
      <c r="D9" s="318"/>
      <c r="E9" s="318"/>
      <c r="F9" s="318"/>
      <c r="G9" s="318"/>
      <c r="H9" s="318"/>
      <c r="I9" s="318"/>
      <c r="J9" s="318"/>
      <c r="K9" s="1185"/>
      <c r="L9" s="2130" t="b">
        <f>AND(TRUE)</f>
        <v>1</v>
      </c>
    </row>
  </sheetData>
  <sheetProtection algorithmName="SHA-512" hashValue="DxJfPKQewV0MjZPEYjicQJFDFq8RnnYpjjG/aUKyAVAmysa6962CfAaN+zSZvKJhUbneJXKtBz4s/wiHLFIItw==" saltValue="Xth0SO/fQCx+5p21RSzcTQ==" spinCount="100000" sheet="1" objects="1" scenarios="1" formatColumns="0" formatRows="0" autoFilter="0"/>
  <autoFilter ref="C8:L8"/>
  <customSheetViews>
    <customSheetView guid="{3769259D-9653-4B34-A2F6-4FB6F9F4E533}" scale="80" showGridLines="0" showAutoFilter="1" hiddenRows="1" hiddenColumns="1">
      <pane xSplit="3" ySplit="8" topLeftCell="G9" activePane="bottomRight" state="frozen"/>
      <selection pane="bottomRight" activeCell="C7" sqref="C7"/>
      <pageMargins left="0.7" right="0.7" top="0.75" bottom="0.75" header="0.3" footer="0.3"/>
      <autoFilter ref="B1:K1"/>
    </customSheetView>
    <customSheetView guid="{40D7A2BB-326C-4ED3-999C-17852F56D6F4}" scale="80" showGridLines="0" showAutoFilter="1" hiddenRows="1" hiddenColumns="1">
      <pane xSplit="3" ySplit="8" topLeftCell="G9" activePane="bottomRight" state="frozen"/>
      <selection pane="bottomRight" activeCell="C7" sqref="C7"/>
      <pageMargins left="0.7" right="0.7" top="0.75" bottom="0.75" header="0.3" footer="0.3"/>
      <autoFilter ref="B1:K1"/>
    </customSheetView>
    <customSheetView guid="{5D121940-0CE8-4A0E-A493-67FAAA6E0FF8}" scale="80" showGridLines="0" showAutoFilter="1" hiddenRows="1" hiddenColumns="1" topLeftCell="B2">
      <pane xSplit="2" ySplit="7" topLeftCell="G9" activePane="bottomRight" state="frozen"/>
      <selection pane="bottomRight" activeCell="C7" sqref="C7"/>
      <pageMargins left="0.7" right="0.7" top="0.75" bottom="0.75" header="0.3" footer="0.3"/>
      <autoFilter ref="B1:K1"/>
    </customSheetView>
    <customSheetView guid="{47AEACC4-6EA5-412C-AF39-A6C5357B313A}" scale="80" showGridLines="0" showAutoFilter="1" hiddenRows="1" hiddenColumns="1" topLeftCell="B2">
      <pane xSplit="2" ySplit="7" topLeftCell="D9" activePane="bottomRight" state="frozen"/>
      <selection pane="bottomRight" activeCell="C8" sqref="C8"/>
      <pageMargins left="0.7" right="0.7" top="0.75" bottom="0.75" header="0.3" footer="0.3"/>
      <autoFilter ref="B1:K1"/>
    </customSheetView>
    <customSheetView guid="{C913A9E8-661B-40A4-A3C9-1BC5F2B2E9F0}" scale="80" showGridLines="0" showAutoFilter="1" hiddenRows="1" hiddenColumns="1" topLeftCell="B2">
      <pane xSplit="2" ySplit="7" topLeftCell="G9" activePane="bottomRight" state="frozen"/>
      <selection pane="bottomRight" activeCell="C7" sqref="C7"/>
      <pageMargins left="0.7" right="0.7" top="0.75" bottom="0.75" header="0.3" footer="0.3"/>
      <autoFilter ref="B1:K1"/>
    </customSheetView>
  </customSheetViews>
  <mergeCells count="4">
    <mergeCell ref="K5:K6"/>
    <mergeCell ref="C5:C6"/>
    <mergeCell ref="D5:E5"/>
    <mergeCell ref="F5:J5"/>
  </mergeCells>
  <phoneticPr fontId="0" type="noConversion"/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8" orientation="landscape" horizontalDpi="4294967294" verticalDpi="4294967294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>
    <pageSetUpPr fitToPage="1"/>
  </sheetPr>
  <dimension ref="A1:AB20"/>
  <sheetViews>
    <sheetView topLeftCell="N2" zoomScale="56" zoomScaleNormal="56" workbookViewId="0">
      <selection activeCell="P38" sqref="P38"/>
    </sheetView>
  </sheetViews>
  <sheetFormatPr defaultColWidth="9.453125" defaultRowHeight="14.5"/>
  <cols>
    <col min="1" max="1" width="4.54296875" style="1564" hidden="1" customWidth="1"/>
    <col min="2" max="2" width="5.453125" style="1163" customWidth="1"/>
    <col min="3" max="3" width="58.54296875" style="1163" customWidth="1"/>
    <col min="4" max="4" width="41.453125" style="1163" customWidth="1"/>
    <col min="5" max="5" width="17.453125" style="1163" customWidth="1"/>
    <col min="6" max="6" width="21.54296875" style="1163" customWidth="1"/>
    <col min="7" max="7" width="22.54296875" style="1163" customWidth="1"/>
    <col min="8" max="8" width="26.54296875" style="1163" customWidth="1"/>
    <col min="9" max="9" width="22.453125" style="1163" customWidth="1"/>
    <col min="10" max="11" width="21.453125" style="1163" customWidth="1"/>
    <col min="12" max="12" width="19.54296875" style="1163" customWidth="1"/>
    <col min="13" max="20" width="25.453125" style="1163" customWidth="1"/>
    <col min="21" max="21" width="29.54296875" style="1163" customWidth="1"/>
    <col min="22" max="22" width="37.54296875" style="1163" customWidth="1"/>
    <col min="23" max="23" width="0" style="1163" hidden="1" customWidth="1"/>
    <col min="24" max="25" width="9.453125" style="1163" hidden="1" customWidth="1"/>
    <col min="26" max="26" width="9.453125" style="1163"/>
    <col min="27" max="27" width="23" style="1163" customWidth="1"/>
    <col min="28" max="28" width="19" style="1163" customWidth="1"/>
    <col min="29" max="16384" width="9.453125" style="1163"/>
  </cols>
  <sheetData>
    <row r="1" spans="1:28" ht="12.75" hidden="1" customHeight="1">
      <c r="A1" s="167" t="s">
        <v>2817</v>
      </c>
      <c r="B1" s="6"/>
      <c r="C1" s="37"/>
      <c r="D1" s="6"/>
      <c r="E1" s="6" t="s">
        <v>1226</v>
      </c>
      <c r="F1" s="6" t="s">
        <v>376</v>
      </c>
      <c r="G1" s="6" t="s">
        <v>377</v>
      </c>
      <c r="H1" s="6" t="s">
        <v>378</v>
      </c>
      <c r="I1" s="6" t="s">
        <v>379</v>
      </c>
      <c r="J1" s="6" t="s">
        <v>380</v>
      </c>
      <c r="K1" s="6" t="s">
        <v>381</v>
      </c>
      <c r="L1" s="6" t="s">
        <v>1228</v>
      </c>
      <c r="M1" s="6" t="s">
        <v>375</v>
      </c>
      <c r="N1" s="6" t="s">
        <v>331</v>
      </c>
      <c r="O1" s="6" t="s">
        <v>354</v>
      </c>
      <c r="P1" s="6" t="s">
        <v>325</v>
      </c>
      <c r="Q1" s="6" t="s">
        <v>326</v>
      </c>
      <c r="R1" s="6" t="s">
        <v>382</v>
      </c>
      <c r="S1" s="6" t="s">
        <v>383</v>
      </c>
      <c r="T1" s="6" t="s">
        <v>1229</v>
      </c>
      <c r="U1" s="6" t="s">
        <v>299</v>
      </c>
    </row>
    <row r="2" spans="1:28" s="1778" customFormat="1">
      <c r="A2" s="534"/>
      <c r="B2" s="1927" t="e">
        <f>IF(VLOOKUP(Содержание!D2,Список_компаний!$A:$I,9,FALSE)="да","+","-")</f>
        <v>#N/A</v>
      </c>
      <c r="C2" s="1927"/>
      <c r="D2" s="1919"/>
      <c r="E2" s="1919" t="s">
        <v>1648</v>
      </c>
      <c r="F2" s="1919" t="s">
        <v>1648</v>
      </c>
      <c r="G2" s="1919" t="s">
        <v>1648</v>
      </c>
      <c r="H2" s="1919" t="s">
        <v>1648</v>
      </c>
      <c r="I2" s="1919" t="s">
        <v>1648</v>
      </c>
      <c r="J2" s="1919" t="s">
        <v>1648</v>
      </c>
      <c r="K2" s="1919" t="s">
        <v>1648</v>
      </c>
      <c r="L2" s="1919" t="s">
        <v>1648</v>
      </c>
      <c r="M2" s="1919" t="s">
        <v>1648</v>
      </c>
      <c r="N2" s="1919" t="s">
        <v>1648</v>
      </c>
      <c r="O2" s="1919" t="s">
        <v>1648</v>
      </c>
      <c r="P2" s="1919" t="s">
        <v>1648</v>
      </c>
      <c r="Q2" s="1919" t="s">
        <v>1648</v>
      </c>
      <c r="R2" s="1919" t="s">
        <v>1648</v>
      </c>
      <c r="S2" s="1919" t="s">
        <v>1648</v>
      </c>
      <c r="T2" s="1919" t="s">
        <v>1648</v>
      </c>
      <c r="U2" s="1919" t="s">
        <v>1648</v>
      </c>
    </row>
    <row r="3" spans="1:28" ht="26">
      <c r="A3" s="544"/>
      <c r="B3" s="10"/>
      <c r="C3" s="10"/>
      <c r="D3" s="10"/>
      <c r="E3" s="10"/>
      <c r="F3"/>
      <c r="G3" s="1897" t="s">
        <v>2067</v>
      </c>
      <c r="H3" s="1244">
        <f>Содержание!$D$2</f>
        <v>0</v>
      </c>
      <c r="I3" s="3044" t="s">
        <v>1436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8" ht="15" thickBot="1">
      <c r="A4" s="538"/>
      <c r="B4" s="24"/>
      <c r="C4" s="235" t="s">
        <v>4051</v>
      </c>
      <c r="D4" t="b">
        <f t="array" ref="D4">IF(SMALL(IF(""=C11:C2700,ROW(C11:C2700),2700),1)&gt;LARGE(IF(""&lt;&gt;C11:C2700,ROW(C11:C2700),0),1),TRUE,FALSE)</f>
        <v>1</v>
      </c>
      <c r="E4" s="20"/>
      <c r="F4" s="20"/>
      <c r="G4" s="1897" t="s">
        <v>2075</v>
      </c>
      <c r="H4" s="1244" t="str">
        <f>Содержание!$D$15</f>
        <v>2022 год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4"/>
    </row>
    <row r="5" spans="1:28" ht="15.75" customHeight="1" thickBot="1">
      <c r="A5" s="1928"/>
      <c r="B5" s="24"/>
      <c r="C5" s="3675" t="s">
        <v>6112</v>
      </c>
      <c r="D5" s="3677" t="s">
        <v>4052</v>
      </c>
      <c r="E5" s="3677" t="s">
        <v>5225</v>
      </c>
      <c r="F5" s="3679" t="s">
        <v>5556</v>
      </c>
      <c r="G5" s="3773"/>
      <c r="H5" s="3773"/>
      <c r="I5" s="3773"/>
      <c r="J5" s="3773"/>
      <c r="K5" s="3773"/>
      <c r="L5" s="3773"/>
      <c r="M5" s="3779" t="s">
        <v>5557</v>
      </c>
      <c r="N5" s="3780"/>
      <c r="O5" s="3780"/>
      <c r="P5" s="3780"/>
      <c r="Q5" s="3780"/>
      <c r="R5" s="3780"/>
      <c r="S5" s="3780"/>
      <c r="T5" s="3780"/>
      <c r="U5" s="3677" t="s">
        <v>5233</v>
      </c>
      <c r="V5" s="3772" t="s">
        <v>4183</v>
      </c>
    </row>
    <row r="6" spans="1:28" ht="15.75" customHeight="1" thickBot="1">
      <c r="A6" s="538"/>
      <c r="B6" s="24"/>
      <c r="C6" s="3675"/>
      <c r="D6" s="3677"/>
      <c r="E6" s="3677"/>
      <c r="F6" s="3774" t="s">
        <v>4053</v>
      </c>
      <c r="G6" s="3774"/>
      <c r="H6" s="3774"/>
      <c r="I6" s="3775" t="s">
        <v>1689</v>
      </c>
      <c r="J6" s="3776" t="s">
        <v>3953</v>
      </c>
      <c r="K6" s="3776" t="s">
        <v>3952</v>
      </c>
      <c r="L6" s="3775" t="s">
        <v>1669</v>
      </c>
      <c r="M6" s="3775" t="s">
        <v>4054</v>
      </c>
      <c r="N6" s="3775" t="s">
        <v>1675</v>
      </c>
      <c r="O6" s="3775" t="s">
        <v>4055</v>
      </c>
      <c r="P6" s="3710" t="s">
        <v>1687</v>
      </c>
      <c r="Q6" s="3710" t="s">
        <v>1686</v>
      </c>
      <c r="R6" s="3776" t="s">
        <v>3954</v>
      </c>
      <c r="S6" s="3776" t="s">
        <v>3951</v>
      </c>
      <c r="T6" s="3775" t="s">
        <v>5559</v>
      </c>
      <c r="U6" s="3677"/>
      <c r="V6" s="3772"/>
    </row>
    <row r="7" spans="1:28" ht="39">
      <c r="A7" s="538"/>
      <c r="B7" s="24"/>
      <c r="C7" s="3675"/>
      <c r="D7" s="3677"/>
      <c r="E7" s="3677"/>
      <c r="F7" s="39" t="s">
        <v>4056</v>
      </c>
      <c r="G7" s="39" t="s">
        <v>4057</v>
      </c>
      <c r="H7" s="15" t="s">
        <v>4058</v>
      </c>
      <c r="I7" s="3775"/>
      <c r="J7" s="3777"/>
      <c r="K7" s="3777"/>
      <c r="L7" s="3775"/>
      <c r="M7" s="3775"/>
      <c r="N7" s="3775"/>
      <c r="O7" s="3775"/>
      <c r="P7" s="3710"/>
      <c r="Q7" s="3710"/>
      <c r="R7" s="3777"/>
      <c r="S7" s="3777"/>
      <c r="T7" s="3775"/>
      <c r="U7" s="3677"/>
      <c r="V7" s="3778"/>
      <c r="AA7" s="2808" t="s">
        <v>8359</v>
      </c>
      <c r="AB7" s="3495" t="s">
        <v>14646</v>
      </c>
    </row>
    <row r="8" spans="1:28">
      <c r="A8" s="538"/>
      <c r="B8" s="24"/>
      <c r="C8" s="71">
        <v>2145</v>
      </c>
      <c r="D8" s="16">
        <v>2142</v>
      </c>
      <c r="E8" s="16" t="s">
        <v>672</v>
      </c>
      <c r="F8" s="16" t="s">
        <v>3950</v>
      </c>
      <c r="G8" s="16" t="s">
        <v>3955</v>
      </c>
      <c r="H8" s="16" t="s">
        <v>4060</v>
      </c>
      <c r="I8" s="16" t="s">
        <v>1688</v>
      </c>
      <c r="J8" s="16" t="s">
        <v>3956</v>
      </c>
      <c r="K8" s="16" t="s">
        <v>3957</v>
      </c>
      <c r="L8" s="16" t="s">
        <v>5571</v>
      </c>
      <c r="M8" s="16" t="s">
        <v>4061</v>
      </c>
      <c r="N8" s="16" t="s">
        <v>4050</v>
      </c>
      <c r="O8" s="16" t="s">
        <v>4041</v>
      </c>
      <c r="P8" s="16" t="s">
        <v>5572</v>
      </c>
      <c r="Q8" s="16" t="s">
        <v>4042</v>
      </c>
      <c r="R8" s="16" t="s">
        <v>3958</v>
      </c>
      <c r="S8" s="16" t="s">
        <v>2782</v>
      </c>
      <c r="T8" s="16" t="s">
        <v>5580</v>
      </c>
      <c r="U8" s="16" t="s">
        <v>4163</v>
      </c>
      <c r="V8" s="27"/>
    </row>
    <row r="9" spans="1:28" s="674" customFormat="1" ht="12.5">
      <c r="A9" s="538"/>
      <c r="B9" s="1581"/>
      <c r="C9" s="1384" t="s">
        <v>4164</v>
      </c>
      <c r="D9" s="1385" t="s">
        <v>4165</v>
      </c>
      <c r="E9" s="1386" t="s">
        <v>4166</v>
      </c>
      <c r="F9" s="1386" t="s">
        <v>5500</v>
      </c>
      <c r="G9" s="1386" t="s">
        <v>4169</v>
      </c>
      <c r="H9" s="1386" t="s">
        <v>4168</v>
      </c>
      <c r="I9" s="1386" t="s">
        <v>4178</v>
      </c>
      <c r="J9" s="1386" t="s">
        <v>4179</v>
      </c>
      <c r="K9" s="1386" t="s">
        <v>4167</v>
      </c>
      <c r="L9" s="1386" t="s">
        <v>5501</v>
      </c>
      <c r="M9" s="1386" t="s">
        <v>4701</v>
      </c>
      <c r="N9" s="1386" t="s">
        <v>4702</v>
      </c>
      <c r="O9" s="1386" t="s">
        <v>4703</v>
      </c>
      <c r="P9" s="1386" t="s">
        <v>5502</v>
      </c>
      <c r="Q9" s="1386" t="s">
        <v>5503</v>
      </c>
      <c r="R9" s="1386" t="s">
        <v>5504</v>
      </c>
      <c r="S9" s="1386" t="s">
        <v>4853</v>
      </c>
      <c r="T9" s="1386" t="s">
        <v>4852</v>
      </c>
      <c r="U9" s="1386" t="s">
        <v>5505</v>
      </c>
      <c r="V9" s="808" t="s">
        <v>4851</v>
      </c>
    </row>
    <row r="10" spans="1:28">
      <c r="A10" s="668"/>
      <c r="B10" s="24"/>
      <c r="C10" s="1383" t="s">
        <v>4170</v>
      </c>
      <c r="D10" s="1381" t="s">
        <v>4184</v>
      </c>
      <c r="E10" s="1381">
        <f t="shared" ref="E10:U10" si="0">SUM(E11:E12991)</f>
        <v>0</v>
      </c>
      <c r="F10" s="1381">
        <f t="shared" si="0"/>
        <v>0</v>
      </c>
      <c r="G10" s="1381">
        <f t="shared" si="0"/>
        <v>0</v>
      </c>
      <c r="H10" s="1381">
        <f t="shared" si="0"/>
        <v>0</v>
      </c>
      <c r="I10" s="1381">
        <f t="shared" si="0"/>
        <v>0</v>
      </c>
      <c r="J10" s="1381">
        <f t="shared" si="0"/>
        <v>0</v>
      </c>
      <c r="K10" s="1381">
        <f t="shared" si="0"/>
        <v>0</v>
      </c>
      <c r="L10" s="1381">
        <f t="shared" si="0"/>
        <v>0</v>
      </c>
      <c r="M10" s="1381">
        <f t="shared" si="0"/>
        <v>0</v>
      </c>
      <c r="N10" s="1381">
        <f t="shared" si="0"/>
        <v>0</v>
      </c>
      <c r="O10" s="1381">
        <f t="shared" si="0"/>
        <v>0</v>
      </c>
      <c r="P10" s="1381">
        <f t="shared" si="0"/>
        <v>0</v>
      </c>
      <c r="Q10" s="1381">
        <f t="shared" si="0"/>
        <v>0</v>
      </c>
      <c r="R10" s="1381">
        <f t="shared" si="0"/>
        <v>0</v>
      </c>
      <c r="S10" s="1381">
        <f t="shared" si="0"/>
        <v>0</v>
      </c>
      <c r="T10" s="1381">
        <f t="shared" si="0"/>
        <v>0</v>
      </c>
      <c r="U10" s="1381">
        <f t="shared" si="0"/>
        <v>0</v>
      </c>
      <c r="V10" s="1626" t="s">
        <v>3066</v>
      </c>
      <c r="X10" s="1163" t="b">
        <f>AND(X11:X99)</f>
        <v>1</v>
      </c>
      <c r="Z10" s="2130" t="b">
        <f>AND(Z11:Z5000)</f>
        <v>1</v>
      </c>
      <c r="AA10" s="2130" t="b">
        <f>AND(AA11:AA5000)</f>
        <v>1</v>
      </c>
      <c r="AB10" s="2130" t="b">
        <f>AND(AB11:AB5000)</f>
        <v>1</v>
      </c>
    </row>
    <row r="11" spans="1:28" ht="30.75" customHeight="1">
      <c r="A11" s="9" t="str">
        <f t="shared" ref="A11:A18" si="1">"R6="&amp;IFERROR(MID(C11,FIND("{",C11)+1,FIND("}",C11)-FIND("{",C11)-1),"")&amp;";R7="&amp;IFERROR(MID(D11,FIND("{",D11)+1,FIND("}",D11)-FIND("{",D11)-1),"")&amp;";R4=21301"&amp;";COM="&amp;V11</f>
        <v>R6=;R7=;R4=21301;COM=</v>
      </c>
      <c r="B11" s="601"/>
      <c r="C11" s="653"/>
      <c r="D11" s="1387"/>
      <c r="E11" s="110"/>
      <c r="F11" s="110"/>
      <c r="G11" s="110"/>
      <c r="H11" s="110"/>
      <c r="I11" s="110"/>
      <c r="J11" s="1439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382">
        <f>SUM(E11:T11)</f>
        <v>0</v>
      </c>
      <c r="V11" s="1186"/>
      <c r="X11" s="1163" t="b">
        <f t="shared" ref="X11:X16" si="2">IF(OR(E11&lt;-1000,U11&lt;-1000),FALSE,TRUE)</f>
        <v>1</v>
      </c>
      <c r="Z11" s="2130" t="b">
        <f>(ROUND(SUMIF(C:C,C11,U:U)+SUMIF('41_02'!_xlnm.Print_Titles,C11,'41_02'!O:O),0))=ROUND(SUMIFS(НЗП_ГП!H:H,НЗП_ГП!C:C,41,НЗП_ГП!D:D,C11),0)</f>
        <v>1</v>
      </c>
      <c r="AA11" s="2130" t="b">
        <f>AND(F11&gt;=0,G11&gt;=0,H11&gt;=0,I11&gt;=0,J11&gt;=0,K11&gt;=0,L11&gt;=0,M11&lt;=0,N11&lt;=0,O11&lt;=0,P11&lt;=0,Q11&lt;=0,R11&lt;=0,S11&lt;=0,T11&lt;=0)</f>
        <v>1</v>
      </c>
      <c r="AB11" s="2130" t="b">
        <f>IF(C11="",TRUE,IF(SUMIFS(U:U,C:C,C11,D:D,D11)&gt;=0,TRUE,FALSE))</f>
        <v>1</v>
      </c>
    </row>
    <row r="12" spans="1:28">
      <c r="A12" s="9" t="str">
        <f t="shared" si="1"/>
        <v>R6=;R7=;R4=21301;COM=</v>
      </c>
      <c r="B12" s="601"/>
      <c r="C12" s="653"/>
      <c r="D12" s="1387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382">
        <f t="shared" ref="U12:U18" si="3">SUM(E12:T12)</f>
        <v>0</v>
      </c>
      <c r="V12" s="1186"/>
      <c r="X12" s="1163" t="b">
        <f t="shared" si="2"/>
        <v>1</v>
      </c>
      <c r="Z12" s="2130" t="b">
        <f>(ROUND(SUMIF(C:C,C12,U:U)+SUMIF('41_02'!_xlnm.Print_Titles,C12,'41_02'!O:O),0))=ROUND(SUMIFS(НЗП_ГП!H:H,НЗП_ГП!C:C,41,НЗП_ГП!D:D,C12),0)</f>
        <v>1</v>
      </c>
      <c r="AA12" s="2130" t="b">
        <f t="shared" ref="AA12:AA18" si="4">AND(F12&gt;=0,G12&gt;=0,H12&gt;=0,I12&gt;=0,J12&gt;=0,K12&gt;=0,L12&gt;=0,M12&lt;=0,N12&lt;=0,O12&lt;=0,P12&lt;=0,Q12&lt;=0,R12&lt;=0,S12&lt;=0,T12&lt;=0)</f>
        <v>1</v>
      </c>
      <c r="AB12" s="2130" t="b">
        <f t="shared" ref="AB12:AB18" si="5">IF(C12="",TRUE,IF(SUMIFS(U:U,C:C,C12,D:D,D12)&gt;=0,TRUE,FALSE))</f>
        <v>1</v>
      </c>
    </row>
    <row r="13" spans="1:28">
      <c r="A13" s="9" t="str">
        <f t="shared" si="1"/>
        <v>R6=;R7=;R4=21301;COM=</v>
      </c>
      <c r="B13" s="601"/>
      <c r="C13" s="653"/>
      <c r="D13" s="1387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382">
        <f t="shared" si="3"/>
        <v>0</v>
      </c>
      <c r="V13" s="1186"/>
      <c r="X13" s="1163" t="b">
        <f t="shared" si="2"/>
        <v>1</v>
      </c>
      <c r="Z13" s="2130" t="b">
        <f>(ROUND(SUMIF(C:C,C13,U:U)+SUMIF('41_02'!_xlnm.Print_Titles,C13,'41_02'!O:O),0))=ROUND(SUMIFS(НЗП_ГП!H:H,НЗП_ГП!C:C,41,НЗП_ГП!D:D,C13),0)</f>
        <v>1</v>
      </c>
      <c r="AA13" s="2130" t="b">
        <f t="shared" si="4"/>
        <v>1</v>
      </c>
      <c r="AB13" s="2130" t="b">
        <f t="shared" si="5"/>
        <v>1</v>
      </c>
    </row>
    <row r="14" spans="1:28">
      <c r="A14" s="9" t="str">
        <f t="shared" si="1"/>
        <v>R6=;R7=;R4=21301;COM=</v>
      </c>
      <c r="B14" s="601"/>
      <c r="C14" s="653"/>
      <c r="D14" s="1387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382">
        <f t="shared" si="3"/>
        <v>0</v>
      </c>
      <c r="V14" s="1186"/>
      <c r="X14" s="1163" t="b">
        <f t="shared" si="2"/>
        <v>1</v>
      </c>
      <c r="Z14" s="2130" t="b">
        <f>(ROUND(SUMIF(C:C,C14,U:U)+SUMIF('41_02'!_xlnm.Print_Titles,C14,'41_02'!O:O),0))=ROUND(SUMIFS(НЗП_ГП!H:H,НЗП_ГП!C:C,41,НЗП_ГП!D:D,C14),0)</f>
        <v>1</v>
      </c>
      <c r="AA14" s="2130" t="b">
        <f t="shared" si="4"/>
        <v>1</v>
      </c>
      <c r="AB14" s="2130" t="b">
        <f t="shared" si="5"/>
        <v>1</v>
      </c>
    </row>
    <row r="15" spans="1:28">
      <c r="A15" s="9" t="str">
        <f t="shared" si="1"/>
        <v>R6=;R7=;R4=21301;COM=</v>
      </c>
      <c r="B15" s="601"/>
      <c r="C15" s="653"/>
      <c r="D15" s="1387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382">
        <f t="shared" si="3"/>
        <v>0</v>
      </c>
      <c r="V15" s="1186"/>
      <c r="X15" s="1163" t="b">
        <f t="shared" si="2"/>
        <v>1</v>
      </c>
      <c r="Z15" s="2130" t="b">
        <f>(ROUND(SUMIF(C:C,C15,U:U)+SUMIF('41_02'!_xlnm.Print_Titles,C15,'41_02'!O:O),0))=ROUND(SUMIFS(НЗП_ГП!H:H,НЗП_ГП!C:C,41,НЗП_ГП!D:D,C15),0)</f>
        <v>1</v>
      </c>
      <c r="AA15" s="2130" t="b">
        <f t="shared" si="4"/>
        <v>1</v>
      </c>
      <c r="AB15" s="2130" t="b">
        <f t="shared" si="5"/>
        <v>1</v>
      </c>
    </row>
    <row r="16" spans="1:28">
      <c r="A16" s="9" t="str">
        <f t="shared" si="1"/>
        <v>R6=;R7=;R4=21301;COM=</v>
      </c>
      <c r="B16" s="601"/>
      <c r="C16" s="653"/>
      <c r="D16" s="1387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382">
        <f t="shared" si="3"/>
        <v>0</v>
      </c>
      <c r="V16" s="1186"/>
      <c r="X16" s="1163" t="b">
        <f t="shared" si="2"/>
        <v>1</v>
      </c>
      <c r="Z16" s="2130" t="b">
        <f>(ROUND(SUMIF(C:C,C16,U:U)+SUMIF('41_02'!_xlnm.Print_Titles,C16,'41_02'!O:O),0))=ROUND(SUMIFS(НЗП_ГП!H:H,НЗП_ГП!C:C,41,НЗП_ГП!D:D,C16),0)</f>
        <v>1</v>
      </c>
      <c r="AA16" s="2130" t="b">
        <f t="shared" si="4"/>
        <v>1</v>
      </c>
      <c r="AB16" s="2130" t="b">
        <f t="shared" si="5"/>
        <v>1</v>
      </c>
    </row>
    <row r="17" spans="1:28">
      <c r="A17" s="9" t="str">
        <f t="shared" si="1"/>
        <v>R6=;R7=;R4=21301;COM=</v>
      </c>
      <c r="B17" s="601"/>
      <c r="C17" s="653"/>
      <c r="D17" s="1387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382">
        <f t="shared" si="3"/>
        <v>0</v>
      </c>
      <c r="V17" s="1186"/>
      <c r="X17" s="1163" t="b">
        <f>IF(OR(E17&lt;-1000,U17&lt;-1000),FALSE,TRUE)</f>
        <v>1</v>
      </c>
      <c r="Z17" s="2130" t="b">
        <f>(ROUND(SUMIF(C:C,C17,U:U)+SUMIF('41_02'!_xlnm.Print_Titles,C17,'41_02'!O:O),0))=ROUND(SUMIFS(НЗП_ГП!H:H,НЗП_ГП!C:C,41,НЗП_ГП!D:D,C17),0)</f>
        <v>1</v>
      </c>
      <c r="AA17" s="2130" t="b">
        <f t="shared" si="4"/>
        <v>1</v>
      </c>
      <c r="AB17" s="2130" t="b">
        <f t="shared" si="5"/>
        <v>1</v>
      </c>
    </row>
    <row r="18" spans="1:28" ht="15" thickBot="1">
      <c r="A18" s="9" t="str">
        <f t="shared" si="1"/>
        <v>R6=;R7=;R4=21301;COM=</v>
      </c>
      <c r="B18" s="601"/>
      <c r="C18" s="2403"/>
      <c r="D18" s="1388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2924">
        <f t="shared" si="3"/>
        <v>0</v>
      </c>
      <c r="V18" s="1187"/>
      <c r="X18" s="1163" t="b">
        <f>IF(OR(E18&lt;-1000,U18&lt;-1000),FALSE,TRUE)</f>
        <v>1</v>
      </c>
      <c r="Z18" s="2130" t="b">
        <f>(ROUND(SUMIF(C:C,C18,U:U)+SUMIF('41_02'!_xlnm.Print_Titles,C18,'41_02'!O:O),0))=ROUND(SUMIFS(НЗП_ГП!H:H,НЗП_ГП!C:C,41,НЗП_ГП!D:D,C18),0)</f>
        <v>1</v>
      </c>
      <c r="AA18" s="2130" t="b">
        <f t="shared" si="4"/>
        <v>1</v>
      </c>
      <c r="AB18" s="2130" t="b">
        <f t="shared" si="5"/>
        <v>1</v>
      </c>
    </row>
    <row r="19" spans="1:28">
      <c r="A19" s="1163"/>
    </row>
    <row r="20" spans="1:28">
      <c r="A20" s="1163"/>
    </row>
  </sheetData>
  <sheetProtection algorithmName="SHA-512" hashValue="FmDKZC4UE2m0zCKWlGazvqBMpmMTMr4UHGXOHL0z92fFUslA/JyFrc+ujuDvzPoPmz89BxPEB07zURO+zSnJ9w==" saltValue="RV0pDj3PeBcLxwDain5BhA==" spinCount="100000" sheet="1" objects="1" scenarios="1" formatColumns="0" formatRows="0" autoFilter="0"/>
  <autoFilter ref="C9:AA9"/>
  <dataConsolidate/>
  <customSheetViews>
    <customSheetView guid="{3769259D-9653-4B34-A2F6-4FB6F9F4E533}" scale="70" showGridLines="0" showAutoFilter="1" hiddenRows="1" hiddenColumns="1">
      <pane xSplit="5" ySplit="9" topLeftCell="F10" activePane="bottomRight" state="frozen"/>
      <selection pane="bottomRight" activeCell="F29" sqref="F29"/>
      <pageMargins left="0.7" right="0.7" top="0.75" bottom="0.75" header="0.3" footer="0.3"/>
      <autoFilter ref="B1:V1"/>
    </customSheetView>
    <customSheetView guid="{40D7A2BB-326C-4ED3-999C-17852F56D6F4}" scale="70" showGridLines="0" showAutoFilter="1" hiddenRows="1" hiddenColumns="1">
      <pane xSplit="5" ySplit="9" topLeftCell="F10" activePane="bottomRight" state="frozen"/>
      <selection pane="bottomRight" activeCell="F29" sqref="F29"/>
      <pageMargins left="0.7" right="0.7" top="0.75" bottom="0.75" header="0.3" footer="0.3"/>
      <autoFilter ref="B1:V1"/>
    </customSheetView>
    <customSheetView guid="{5D121940-0CE8-4A0E-A493-67FAAA6E0FF8}" scale="70" showGridLines="0" showAutoFilter="1" hiddenRows="1" hiddenColumns="1" topLeftCell="B2">
      <pane xSplit="4" ySplit="9" topLeftCell="U11" activePane="bottomRight" state="frozen"/>
      <selection pane="bottomRight" activeCell="Y2" sqref="Y1:Y65536"/>
      <pageMargins left="0.7" right="0.7" top="0.75" bottom="0.75" header="0.3" footer="0.3"/>
      <autoFilter ref="B1:V1"/>
    </customSheetView>
    <customSheetView guid="{47AEACC4-6EA5-412C-AF39-A6C5357B313A}" scale="70" showGridLines="0" showAutoFilter="1" hiddenRows="1" hiddenColumns="1" topLeftCell="B2">
      <pane xSplit="4" ySplit="9" topLeftCell="J11" activePane="bottomRight" state="frozen"/>
      <selection pane="bottomRight" activeCell="B12" sqref="B12"/>
      <pageMargins left="0.7" right="0.7" top="0.75" bottom="0.75" header="0.3" footer="0.3"/>
      <autoFilter ref="B1:V1"/>
    </customSheetView>
    <customSheetView guid="{4D957B38-5430-481E-B791-E0A66F913B50}" scale="70" topLeftCell="C1">
      <selection activeCell="I4" sqref="I4"/>
      <pageMargins left="0.7" right="0.7" top="0.75" bottom="0.75" header="0.3" footer="0.3"/>
    </customSheetView>
    <customSheetView guid="{1C36793E-2B7E-411E-AA99-985D5D59B75A}" scale="70" topLeftCell="E1">
      <selection activeCell="G23" sqref="G23"/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4" ySplit="9" topLeftCell="R11" activePane="bottomRight" state="frozen"/>
      <selection pane="bottomRight" activeCell="C9" sqref="C9"/>
      <pageMargins left="0.7" right="0.7" top="0.75" bottom="0.75" header="0.3" footer="0.3"/>
      <autoFilter ref="B1:V1"/>
    </customSheetView>
  </customSheetViews>
  <mergeCells count="20">
    <mergeCell ref="N6:N7"/>
    <mergeCell ref="M5:T5"/>
    <mergeCell ref="L6:L7"/>
    <mergeCell ref="S6:S7"/>
    <mergeCell ref="M6:M7"/>
    <mergeCell ref="Q6:Q7"/>
    <mergeCell ref="V5:V7"/>
    <mergeCell ref="R6:R7"/>
    <mergeCell ref="T6:T7"/>
    <mergeCell ref="O6:O7"/>
    <mergeCell ref="P6:P7"/>
    <mergeCell ref="U5:U7"/>
    <mergeCell ref="C5:C7"/>
    <mergeCell ref="D5:D7"/>
    <mergeCell ref="E5:E7"/>
    <mergeCell ref="F5:L5"/>
    <mergeCell ref="F6:H6"/>
    <mergeCell ref="I6:I7"/>
    <mergeCell ref="J6:J7"/>
    <mergeCell ref="K6:K7"/>
  </mergeCells>
  <phoneticPr fontId="0" type="noConversion"/>
  <dataValidations count="2">
    <dataValidation type="list" allowBlank="1" showInputMessage="1" showErrorMessage="1" sqref="D11:D18">
      <formula1>_2142</formula1>
    </dataValidation>
    <dataValidation type="list" allowBlank="1" showInputMessage="1" showErrorMessage="1" sqref="C11:C18">
      <formula1>_2145_tmc</formula1>
    </dataValidation>
  </dataValidations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AddButtonsRowAdd">
                <anchor moveWithCells="1">
                  <from>
                    <xdr:col>9</xdr:col>
                    <xdr:colOff>76200</xdr:colOff>
                    <xdr:row>2</xdr:row>
                    <xdr:rowOff>0</xdr:rowOff>
                  </from>
                  <to>
                    <xdr:col>10</xdr:col>
                    <xdr:colOff>107950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6">
    <pageSetUpPr fitToPage="1"/>
  </sheetPr>
  <dimension ref="A1:X29"/>
  <sheetViews>
    <sheetView topLeftCell="B2" zoomScale="48" zoomScaleNormal="48" workbookViewId="0">
      <selection activeCell="F17" sqref="F17"/>
    </sheetView>
  </sheetViews>
  <sheetFormatPr defaultColWidth="15.453125" defaultRowHeight="14.5"/>
  <cols>
    <col min="1" max="1" width="6" style="522" hidden="1" customWidth="1"/>
    <col min="2" max="2" width="3.54296875" style="32" customWidth="1"/>
    <col min="3" max="3" width="25.54296875" style="32" customWidth="1"/>
    <col min="4" max="4" width="30.54296875" style="32" customWidth="1"/>
    <col min="5" max="6" width="23.54296875" style="32" customWidth="1"/>
    <col min="7" max="15" width="17.453125" style="32" customWidth="1"/>
    <col min="16" max="16" width="25.453125" style="32" customWidth="1"/>
    <col min="17" max="17" width="23.54296875" style="32" customWidth="1"/>
    <col min="18" max="238" width="9.453125" style="32" customWidth="1"/>
    <col min="239" max="239" width="5.54296875" style="32" customWidth="1"/>
    <col min="240" max="240" width="44.453125" style="32" customWidth="1"/>
    <col min="241" max="16384" width="15.453125" style="32"/>
  </cols>
  <sheetData>
    <row r="1" spans="1:17" s="10" customFormat="1" ht="20.25" hidden="1" customHeight="1">
      <c r="A1" s="167" t="s">
        <v>2824</v>
      </c>
      <c r="B1" s="22"/>
      <c r="C1" s="6"/>
      <c r="D1" s="37"/>
      <c r="E1" s="237" t="s">
        <v>1226</v>
      </c>
      <c r="F1" s="237" t="s">
        <v>376</v>
      </c>
      <c r="G1" s="237" t="s">
        <v>377</v>
      </c>
      <c r="H1" s="237" t="s">
        <v>380</v>
      </c>
      <c r="I1" s="237" t="s">
        <v>381</v>
      </c>
      <c r="J1" s="237" t="s">
        <v>1228</v>
      </c>
      <c r="K1" s="237" t="s">
        <v>329</v>
      </c>
      <c r="L1" s="237" t="s">
        <v>382</v>
      </c>
      <c r="M1" s="237" t="s">
        <v>383</v>
      </c>
      <c r="N1" s="237" t="s">
        <v>1229</v>
      </c>
      <c r="O1" s="237" t="s">
        <v>299</v>
      </c>
    </row>
    <row r="2" spans="1:17" s="749" customFormat="1" ht="12.5">
      <c r="A2" s="564"/>
      <c r="B2" s="1920"/>
      <c r="C2" s="1926" t="e">
        <f>IF(VLOOKUP(Содержание!D2,Список_компаний!$A:$I,9,FALSE)="да","+","-")</f>
        <v>#N/A</v>
      </c>
      <c r="D2" s="1929"/>
      <c r="E2" s="1929" t="s">
        <v>1648</v>
      </c>
      <c r="F2" s="1929" t="s">
        <v>3066</v>
      </c>
      <c r="G2" s="1929" t="s">
        <v>3066</v>
      </c>
      <c r="H2" s="1929" t="s">
        <v>1648</v>
      </c>
      <c r="I2" s="1929" t="s">
        <v>1648</v>
      </c>
      <c r="J2" s="1929" t="s">
        <v>1648</v>
      </c>
      <c r="K2" s="1929" t="s">
        <v>1648</v>
      </c>
      <c r="L2" s="1929" t="s">
        <v>1648</v>
      </c>
      <c r="M2" s="1929" t="s">
        <v>1648</v>
      </c>
      <c r="N2" s="1929" t="s">
        <v>1648</v>
      </c>
      <c r="O2" s="1929" t="s">
        <v>1648</v>
      </c>
    </row>
    <row r="3" spans="1:17" s="24" customFormat="1">
      <c r="A3" s="564"/>
      <c r="B3" s="23"/>
      <c r="C3" s="20"/>
      <c r="D3" s="20"/>
      <c r="E3" s="20"/>
      <c r="F3" s="20"/>
      <c r="G3" s="20"/>
      <c r="H3" s="1203"/>
      <c r="I3" s="20"/>
      <c r="J3" s="20"/>
      <c r="K3" s="20"/>
      <c r="L3" s="20"/>
      <c r="M3" s="20"/>
      <c r="N3" s="20"/>
      <c r="O3" s="20"/>
    </row>
    <row r="4" spans="1:17" s="24" customFormat="1" ht="26">
      <c r="A4" s="564"/>
      <c r="B4" s="23"/>
      <c r="C4" s="20"/>
      <c r="D4" s="20"/>
      <c r="E4"/>
      <c r="F4" s="1897" t="s">
        <v>2067</v>
      </c>
      <c r="G4" s="1244">
        <f>Содержание!$D$2</f>
        <v>0</v>
      </c>
      <c r="H4" s="20"/>
      <c r="I4" s="20"/>
      <c r="J4" s="20"/>
      <c r="K4" s="20"/>
      <c r="L4" s="20"/>
      <c r="M4" s="20"/>
      <c r="N4" s="20"/>
      <c r="O4" s="20"/>
    </row>
    <row r="5" spans="1:17" s="24" customFormat="1">
      <c r="A5" s="564"/>
      <c r="B5" s="23"/>
      <c r="C5" s="20"/>
      <c r="D5" s="20"/>
      <c r="E5" s="3044" t="s">
        <v>1436</v>
      </c>
      <c r="F5" s="1897" t="s">
        <v>2075</v>
      </c>
      <c r="G5" s="1244" t="str">
        <f>Содержание!$D$15</f>
        <v>2022 год</v>
      </c>
      <c r="H5" s="20"/>
      <c r="I5" s="20"/>
      <c r="J5" s="20"/>
      <c r="K5" s="20"/>
      <c r="L5" s="20"/>
      <c r="M5" s="20"/>
      <c r="N5" s="20"/>
      <c r="O5" s="20"/>
    </row>
    <row r="6" spans="1:17" s="24" customFormat="1" ht="13">
      <c r="A6" s="9"/>
      <c r="B6" s="113"/>
      <c r="C6" s="235" t="s">
        <v>4062</v>
      </c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1:17" s="24" customFormat="1" ht="12.5">
      <c r="A7" s="9"/>
      <c r="B7" s="113"/>
      <c r="D7" s="8"/>
    </row>
    <row r="8" spans="1:17" s="642" customFormat="1" ht="13.5" thickBot="1">
      <c r="A8" s="643"/>
      <c r="B8" s="647"/>
      <c r="D8" s="641" t="b">
        <f t="array" ref="D8">IF(SMALL(IF(""=C14:C2700,ROW(C14:C2700),2700),1)&gt;LARGE(IF(""&lt;&gt;C14:C2700,ROW(C14:C2700),0),1),TRUE,FALSE)</f>
        <v>1</v>
      </c>
    </row>
    <row r="9" spans="1:17" s="24" customFormat="1" ht="37.5" customHeight="1">
      <c r="A9" s="9"/>
      <c r="B9" s="113"/>
      <c r="C9" s="3785" t="s">
        <v>6112</v>
      </c>
      <c r="D9" s="3783" t="s">
        <v>4052</v>
      </c>
      <c r="E9" s="3783" t="s">
        <v>5225</v>
      </c>
      <c r="F9" s="3679" t="s">
        <v>5556</v>
      </c>
      <c r="G9" s="3773"/>
      <c r="H9" s="3773"/>
      <c r="I9" s="3773"/>
      <c r="J9" s="3787"/>
      <c r="K9" s="3679" t="s">
        <v>5557</v>
      </c>
      <c r="L9" s="3773"/>
      <c r="M9" s="3773"/>
      <c r="N9" s="3787"/>
      <c r="O9" s="3783" t="s">
        <v>5233</v>
      </c>
      <c r="P9" s="3781" t="s">
        <v>4183</v>
      </c>
    </row>
    <row r="10" spans="1:17" s="24" customFormat="1" ht="57" customHeight="1">
      <c r="A10" s="9"/>
      <c r="B10" s="113"/>
      <c r="C10" s="3786"/>
      <c r="D10" s="3784"/>
      <c r="E10" s="3784"/>
      <c r="F10" s="39" t="s">
        <v>4056</v>
      </c>
      <c r="G10" s="39" t="s">
        <v>4057</v>
      </c>
      <c r="H10" s="39" t="s">
        <v>3953</v>
      </c>
      <c r="I10" s="39" t="s">
        <v>3952</v>
      </c>
      <c r="J10" s="39" t="s">
        <v>1669</v>
      </c>
      <c r="K10" s="15" t="s">
        <v>1672</v>
      </c>
      <c r="L10" s="39" t="s">
        <v>3954</v>
      </c>
      <c r="M10" s="39" t="s">
        <v>3951</v>
      </c>
      <c r="N10" s="39" t="s">
        <v>5559</v>
      </c>
      <c r="O10" s="3784"/>
      <c r="P10" s="3782"/>
      <c r="Q10" s="2808" t="s">
        <v>8359</v>
      </c>
    </row>
    <row r="11" spans="1:17" s="24" customFormat="1" ht="13">
      <c r="A11" s="9"/>
      <c r="B11" s="113"/>
      <c r="C11" s="71">
        <v>2145</v>
      </c>
      <c r="D11" s="16">
        <v>2142</v>
      </c>
      <c r="E11" s="16" t="s">
        <v>672</v>
      </c>
      <c r="F11" s="16" t="s">
        <v>3950</v>
      </c>
      <c r="G11" s="16" t="s">
        <v>3955</v>
      </c>
      <c r="H11" s="16" t="s">
        <v>3956</v>
      </c>
      <c r="I11" s="16" t="s">
        <v>3957</v>
      </c>
      <c r="J11" s="16" t="s">
        <v>5571</v>
      </c>
      <c r="K11" s="16" t="s">
        <v>5575</v>
      </c>
      <c r="L11" s="16" t="s">
        <v>3958</v>
      </c>
      <c r="M11" s="16" t="s">
        <v>2782</v>
      </c>
      <c r="N11" s="16" t="s">
        <v>5580</v>
      </c>
      <c r="O11" s="27" t="s">
        <v>4163</v>
      </c>
      <c r="P11" s="27"/>
    </row>
    <row r="12" spans="1:17" s="673" customFormat="1" ht="10.5">
      <c r="A12" s="668"/>
      <c r="B12" s="1581"/>
      <c r="C12" s="730" t="s">
        <v>4164</v>
      </c>
      <c r="D12" s="684" t="s">
        <v>4165</v>
      </c>
      <c r="E12" s="1597" t="s">
        <v>4166</v>
      </c>
      <c r="F12" s="1597" t="s">
        <v>5500</v>
      </c>
      <c r="G12" s="1597" t="s">
        <v>4169</v>
      </c>
      <c r="H12" s="1597" t="s">
        <v>4168</v>
      </c>
      <c r="I12" s="1597" t="s">
        <v>4178</v>
      </c>
      <c r="J12" s="1597" t="s">
        <v>4179</v>
      </c>
      <c r="K12" s="1597" t="s">
        <v>4167</v>
      </c>
      <c r="L12" s="1597" t="s">
        <v>5501</v>
      </c>
      <c r="M12" s="1597" t="s">
        <v>4701</v>
      </c>
      <c r="N12" s="1597" t="s">
        <v>4702</v>
      </c>
      <c r="O12" s="808" t="s">
        <v>4703</v>
      </c>
      <c r="P12" s="808" t="s">
        <v>5502</v>
      </c>
    </row>
    <row r="13" spans="1:17" s="24" customFormat="1" ht="13">
      <c r="A13" s="9"/>
      <c r="B13" s="113"/>
      <c r="C13" s="811" t="s">
        <v>4170</v>
      </c>
      <c r="D13" s="812" t="s">
        <v>4184</v>
      </c>
      <c r="E13" s="813">
        <f>SUM(E14:E10004)</f>
        <v>0</v>
      </c>
      <c r="F13" s="813">
        <f t="shared" ref="F13:O13" si="0">SUM(F14:F10004)</f>
        <v>0</v>
      </c>
      <c r="G13" s="813">
        <f t="shared" si="0"/>
        <v>0</v>
      </c>
      <c r="H13" s="813">
        <f t="shared" si="0"/>
        <v>0</v>
      </c>
      <c r="I13" s="813">
        <f t="shared" si="0"/>
        <v>0</v>
      </c>
      <c r="J13" s="813">
        <f t="shared" si="0"/>
        <v>0</v>
      </c>
      <c r="K13" s="813">
        <f t="shared" si="0"/>
        <v>0</v>
      </c>
      <c r="L13" s="813">
        <f t="shared" si="0"/>
        <v>0</v>
      </c>
      <c r="M13" s="813">
        <f t="shared" si="0"/>
        <v>0</v>
      </c>
      <c r="N13" s="813">
        <f t="shared" si="0"/>
        <v>0</v>
      </c>
      <c r="O13" s="813">
        <f t="shared" si="0"/>
        <v>0</v>
      </c>
      <c r="P13" s="1192" t="s">
        <v>3196</v>
      </c>
      <c r="Q13" s="2103" t="b">
        <f>AND(Q14:Q5000)</f>
        <v>1</v>
      </c>
    </row>
    <row r="14" spans="1:17" s="524" customFormat="1">
      <c r="A14" s="9" t="str">
        <f t="shared" ref="A14:A19" si="1">"R6="&amp;IFERROR(MID(C14,FIND("{",C14)+1,FIND("}",C14)-FIND("{",C14)-1),"")&amp;";R7="&amp;IFERROR(MID(D14,FIND("{",D14)+1,FIND("}",D14)-FIND("{",D14)-1),"")&amp;";R4=21432"&amp;";COM="&amp;P14</f>
        <v>R6=;R7=;R4=21432;COM=</v>
      </c>
      <c r="B14" s="1627" t="s">
        <v>5536</v>
      </c>
      <c r="C14" s="814"/>
      <c r="D14" s="815"/>
      <c r="E14" s="816"/>
      <c r="F14" s="816"/>
      <c r="G14" s="816"/>
      <c r="H14" s="816"/>
      <c r="I14" s="816"/>
      <c r="J14" s="816"/>
      <c r="K14" s="816"/>
      <c r="L14" s="816"/>
      <c r="M14" s="816"/>
      <c r="N14" s="816"/>
      <c r="O14" s="1190">
        <f t="shared" ref="O14:O19" si="2">SUM(E14:N14)</f>
        <v>0</v>
      </c>
      <c r="P14" s="1188"/>
      <c r="Q14" s="2810" t="b">
        <f>AND(F14&gt;=0,G14&gt;=0,H14&gt;=0,I14&gt;=0,J14&gt;=0,K14&lt;=0,L14&lt;=0,M14&lt;=0,N14&lt;=0)</f>
        <v>1</v>
      </c>
    </row>
    <row r="15" spans="1:17" s="524" customFormat="1">
      <c r="A15" s="9" t="str">
        <f t="shared" si="1"/>
        <v>R6=;R7=;R4=21432;COM=</v>
      </c>
      <c r="B15" s="1627" t="s">
        <v>5536</v>
      </c>
      <c r="C15" s="814"/>
      <c r="D15" s="815"/>
      <c r="E15" s="816"/>
      <c r="F15" s="816"/>
      <c r="G15" s="816"/>
      <c r="H15" s="816"/>
      <c r="I15" s="816"/>
      <c r="J15" s="816"/>
      <c r="K15" s="816"/>
      <c r="L15" s="816"/>
      <c r="M15" s="816"/>
      <c r="N15" s="816"/>
      <c r="O15" s="1190">
        <f t="shared" si="2"/>
        <v>0</v>
      </c>
      <c r="P15" s="1188"/>
      <c r="Q15" s="2810" t="b">
        <f t="shared" ref="Q15:Q18" si="3">AND(F15&gt;=0,G15&gt;=0,H15&gt;=0,I15&gt;=0,J15&gt;=0,K15&lt;=0,L15&lt;=0,M15&lt;=0,N15&lt;=0)</f>
        <v>1</v>
      </c>
    </row>
    <row r="16" spans="1:17" s="524" customFormat="1">
      <c r="A16" s="9" t="str">
        <f t="shared" si="1"/>
        <v>R6=;R7=;R4=21432;COM=</v>
      </c>
      <c r="B16" s="1627"/>
      <c r="C16" s="814"/>
      <c r="D16" s="815"/>
      <c r="E16" s="816"/>
      <c r="F16" s="816"/>
      <c r="G16" s="816"/>
      <c r="H16" s="816"/>
      <c r="I16" s="816"/>
      <c r="J16" s="816"/>
      <c r="K16" s="816"/>
      <c r="L16" s="816"/>
      <c r="M16" s="816"/>
      <c r="N16" s="816"/>
      <c r="O16" s="1190">
        <f t="shared" si="2"/>
        <v>0</v>
      </c>
      <c r="P16" s="1188"/>
      <c r="Q16" s="2810" t="b">
        <f t="shared" si="3"/>
        <v>1</v>
      </c>
    </row>
    <row r="17" spans="1:24" s="524" customFormat="1">
      <c r="A17" s="9" t="str">
        <f t="shared" si="1"/>
        <v>R6=;R7=;R4=21432;COM=</v>
      </c>
      <c r="B17" s="1627"/>
      <c r="C17" s="814"/>
      <c r="D17" s="815"/>
      <c r="E17" s="816"/>
      <c r="F17" s="816"/>
      <c r="G17" s="816"/>
      <c r="H17" s="816"/>
      <c r="I17" s="816"/>
      <c r="J17" s="816"/>
      <c r="K17" s="816"/>
      <c r="L17" s="816"/>
      <c r="M17" s="816"/>
      <c r="N17" s="816"/>
      <c r="O17" s="1190">
        <f t="shared" si="2"/>
        <v>0</v>
      </c>
      <c r="P17" s="1188"/>
      <c r="Q17" s="2810" t="b">
        <f t="shared" si="3"/>
        <v>1</v>
      </c>
    </row>
    <row r="18" spans="1:24" s="524" customFormat="1">
      <c r="A18" s="2427" t="str">
        <f t="shared" si="1"/>
        <v>R6=;R7=;R4=21432;COM=</v>
      </c>
      <c r="B18" s="1627"/>
      <c r="C18" s="814"/>
      <c r="D18" s="815"/>
      <c r="E18" s="816"/>
      <c r="F18" s="816"/>
      <c r="G18" s="816"/>
      <c r="H18" s="816"/>
      <c r="I18" s="816"/>
      <c r="J18" s="816"/>
      <c r="K18" s="816"/>
      <c r="L18" s="816"/>
      <c r="M18" s="816"/>
      <c r="N18" s="816"/>
      <c r="O18" s="1190">
        <f t="shared" si="2"/>
        <v>0</v>
      </c>
      <c r="P18" s="1188"/>
      <c r="Q18" s="2810" t="b">
        <f t="shared" si="3"/>
        <v>1</v>
      </c>
    </row>
    <row r="19" spans="1:24" s="524" customFormat="1" ht="15" thickBot="1">
      <c r="A19" s="2427" t="str">
        <f t="shared" si="1"/>
        <v>R6=;R7=;R4=21432;COM=</v>
      </c>
      <c r="B19" s="1627"/>
      <c r="C19" s="1558"/>
      <c r="D19" s="809"/>
      <c r="E19" s="810"/>
      <c r="F19" s="810"/>
      <c r="G19" s="810"/>
      <c r="H19" s="810"/>
      <c r="I19" s="810"/>
      <c r="J19" s="810"/>
      <c r="K19" s="810"/>
      <c r="L19" s="810"/>
      <c r="M19" s="810"/>
      <c r="N19" s="810"/>
      <c r="O19" s="1191">
        <f t="shared" si="2"/>
        <v>0</v>
      </c>
      <c r="P19" s="1189"/>
      <c r="Q19" s="2810" t="b">
        <f t="shared" ref="Q19" si="4">AND(F19&gt;=0,G19&gt;=0,H19&gt;=0,I19&gt;=0,J19&gt;=0,K19&lt;=0,L19&lt;=0,M19&lt;=0,N19&lt;=0)</f>
        <v>1</v>
      </c>
    </row>
    <row r="27" spans="1:24">
      <c r="X27" s="522"/>
    </row>
    <row r="28" spans="1:24">
      <c r="X28" s="522"/>
    </row>
    <row r="29" spans="1:24">
      <c r="X29" s="522"/>
    </row>
  </sheetData>
  <sheetProtection algorithmName="SHA-512" hashValue="fql8qddR5IA9nEKoqL05kveI8qTJVgs2fYXdTcXtFMPVCEv7/tP9N2SdLrA0BWgxQV9By8J69Lqo+XfdgrCITQ==" saltValue="AkEwI3zN8z89xkF3EhfmQw==" spinCount="100000" sheet="1" objects="1" scenarios="1" formatColumns="0" formatRows="0" autoFilter="0"/>
  <autoFilter ref="C12:Q12"/>
  <customSheetViews>
    <customSheetView guid="{3769259D-9653-4B34-A2F6-4FB6F9F4E533}" scale="70" showGridLines="0" showAutoFilter="1" hiddenRows="1" hiddenColumns="1">
      <pane xSplit="5" ySplit="12" topLeftCell="J13" activePane="bottomRight" state="frozen"/>
      <selection pane="bottomRight" activeCell="C17" sqref="C17"/>
      <pageMargins left="0.7" right="0.7" top="0.75" bottom="0.75" header="0.3" footer="0.3"/>
      <pageSetup paperSize="9" orientation="portrait" r:id="rId1"/>
      <autoFilter ref="B1:Q1"/>
    </customSheetView>
    <customSheetView guid="{40D7A2BB-326C-4ED3-999C-17852F56D6F4}" scale="70" showGridLines="0" showAutoFilter="1" hiddenRows="1" hiddenColumns="1">
      <pane xSplit="5" ySplit="12" topLeftCell="J13" activePane="bottomRight" state="frozen"/>
      <selection pane="bottomRight" activeCell="C17" sqref="C17"/>
      <pageMargins left="0.7" right="0.7" top="0.75" bottom="0.75" header="0.3" footer="0.3"/>
      <pageSetup paperSize="9" orientation="portrait" r:id="rId2"/>
      <autoFilter ref="B1:Q1"/>
    </customSheetView>
    <customSheetView guid="{5D121940-0CE8-4A0E-A493-67FAAA6E0FF8}" scale="70" showGridLines="0" showAutoFilter="1" hiddenRows="1" hiddenColumns="1" topLeftCell="B2">
      <pane xSplit="4" ySplit="11" topLeftCell="H13" activePane="bottomRight" state="frozen"/>
      <selection pane="bottomRight" activeCell="C11" sqref="C11"/>
      <pageMargins left="0.7" right="0.7" top="0.75" bottom="0.75" header="0.3" footer="0.3"/>
      <pageSetup paperSize="9" orientation="portrait" r:id="rId3"/>
      <autoFilter ref="B1:Q1"/>
    </customSheetView>
    <customSheetView guid="{47AEACC4-6EA5-412C-AF39-A6C5357B313A}" scale="70" showGridLines="0" showAutoFilter="1" hiddenRows="1" hiddenColumns="1" topLeftCell="B2">
      <pane xSplit="4" ySplit="11" topLeftCell="F13" activePane="bottomRight" state="frozen"/>
      <selection pane="bottomRight" activeCell="J37" sqref="J37"/>
      <pageMargins left="0.7" right="0.7" top="0.75" bottom="0.75" header="0.3" footer="0.3"/>
      <pageSetup paperSize="9" orientation="portrait" r:id="rId4"/>
      <autoFilter ref="B1:Q1"/>
    </customSheetView>
    <customSheetView guid="{4D957B38-5430-481E-B791-E0A66F913B50}" scale="70" topLeftCell="D1">
      <selection activeCell="H4" sqref="H4"/>
      <pageMargins left="0.7" right="0.7" top="0.75" bottom="0.75" header="0.3" footer="0.3"/>
      <pageSetup paperSize="9" orientation="portrait" r:id="rId5"/>
    </customSheetView>
    <customSheetView guid="{1C36793E-2B7E-411E-AA99-985D5D59B75A}" scale="70">
      <pageMargins left="0.7" right="0.7" top="0.75" bottom="0.75" header="0.3" footer="0.3"/>
      <pageSetup paperSize="9" orientation="portrait" r:id="rId6"/>
    </customSheetView>
    <customSheetView guid="{C913A9E8-661B-40A4-A3C9-1BC5F2B2E9F0}" scale="70" showGridLines="0" showAutoFilter="1" hiddenRows="1" hiddenColumns="1" topLeftCell="B2">
      <pane xSplit="4" ySplit="11" topLeftCell="H13" activePane="bottomRight" state="frozen"/>
      <selection pane="bottomRight" activeCell="C11" sqref="C11"/>
      <pageMargins left="0.7" right="0.7" top="0.75" bottom="0.75" header="0.3" footer="0.3"/>
      <pageSetup paperSize="9" orientation="portrait" r:id="rId7"/>
      <autoFilter ref="B1:Q1"/>
    </customSheetView>
  </customSheetViews>
  <mergeCells count="7">
    <mergeCell ref="P9:P10"/>
    <mergeCell ref="O9:O10"/>
    <mergeCell ref="C9:C10"/>
    <mergeCell ref="D9:D10"/>
    <mergeCell ref="E9:E10"/>
    <mergeCell ref="F9:J9"/>
    <mergeCell ref="K9:N9"/>
  </mergeCells>
  <phoneticPr fontId="0" type="noConversion"/>
  <dataValidations count="4">
    <dataValidation type="list" operator="equal" allowBlank="1" showErrorMessage="1" errorTitle="Выбор элемента списка" error="Данного элемента нет в списке" sqref="IG65532:IG65535">
      <formula1>_2142_</formula1>
    </dataValidation>
    <dataValidation type="list" operator="equal" allowBlank="1" showErrorMessage="1" errorTitle="Выбор элемента списка" error="Данного элемента нет в списке" sqref="IF65532:IF65535">
      <formula1>_2140_</formula1>
    </dataValidation>
    <dataValidation type="list" operator="equal" allowBlank="1" showErrorMessage="1" errorTitle="Выбор элемента списка" error="Данного элемента нет в списке" sqref="D14:D19">
      <formula1>_2142</formula1>
    </dataValidation>
    <dataValidation type="list" operator="equal" allowBlank="1" showErrorMessage="1" errorTitle="Выбор элемента списка" error="Данного элемента нет в списке" sqref="C14:C19">
      <formula1>_2145_tmc</formula1>
    </dataValidation>
  </dataValidations>
  <hyperlinks>
    <hyperlink ref="E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9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11" name="Button 1">
              <controlPr defaultSize="0" print="0" autoFill="0" autoPict="0" macro="[0]!AddButtonsRowAdd">
                <anchor moveWithCells="1">
                  <from>
                    <xdr:col>7</xdr:col>
                    <xdr:colOff>565150</xdr:colOff>
                    <xdr:row>3</xdr:row>
                    <xdr:rowOff>0</xdr:rowOff>
                  </from>
                  <to>
                    <xdr:col>8</xdr:col>
                    <xdr:colOff>831850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pageSetUpPr fitToPage="1"/>
  </sheetPr>
  <dimension ref="A1:Q15"/>
  <sheetViews>
    <sheetView topLeftCell="B2" workbookViewId="0">
      <selection activeCell="F17" sqref="F17"/>
    </sheetView>
  </sheetViews>
  <sheetFormatPr defaultColWidth="9.453125" defaultRowHeight="14.5"/>
  <cols>
    <col min="1" max="1" width="7.1796875" style="32" hidden="1" customWidth="1"/>
    <col min="2" max="2" width="3.453125" style="32" customWidth="1"/>
    <col min="3" max="3" width="49.54296875" style="32" customWidth="1"/>
    <col min="4" max="10" width="16.54296875" style="32" customWidth="1"/>
    <col min="11" max="11" width="19.453125" style="32" customWidth="1"/>
    <col min="12" max="14" width="16.54296875" style="32" customWidth="1"/>
    <col min="15" max="16" width="9.453125" style="32"/>
    <col min="17" max="17" width="25.453125" style="32" customWidth="1"/>
    <col min="18" max="16384" width="9.453125" style="32"/>
  </cols>
  <sheetData>
    <row r="1" spans="1:17" s="10" customFormat="1" ht="10.5" hidden="1" customHeight="1">
      <c r="A1" s="167" t="s">
        <v>4281</v>
      </c>
      <c r="B1" s="22"/>
      <c r="C1" s="22"/>
      <c r="D1" s="6" t="s">
        <v>1226</v>
      </c>
      <c r="E1" s="6" t="s">
        <v>320</v>
      </c>
      <c r="F1" s="6" t="s">
        <v>384</v>
      </c>
      <c r="G1" s="6" t="s">
        <v>385</v>
      </c>
      <c r="H1" s="6" t="s">
        <v>1228</v>
      </c>
      <c r="I1" s="6" t="s">
        <v>375</v>
      </c>
      <c r="J1" s="6" t="s">
        <v>331</v>
      </c>
      <c r="K1" s="6" t="s">
        <v>354</v>
      </c>
      <c r="L1" s="6" t="s">
        <v>1229</v>
      </c>
      <c r="M1" s="6" t="s">
        <v>299</v>
      </c>
    </row>
    <row r="2" spans="1:17" s="774" customFormat="1" ht="25.5" customHeight="1">
      <c r="A2" s="7"/>
      <c r="C2" s="1926" t="e">
        <f>IF(VLOOKUP(Содержание!D2,Список_компаний!$A:$I,9,FALSE)="да","+","-")</f>
        <v>#N/A</v>
      </c>
      <c r="D2" s="774" t="s">
        <v>1648</v>
      </c>
      <c r="E2" s="774" t="s">
        <v>1648</v>
      </c>
      <c r="F2" s="1897" t="s">
        <v>2067</v>
      </c>
      <c r="G2" s="1244">
        <f>Содержание!$D$2</f>
        <v>0</v>
      </c>
      <c r="H2" s="774" t="s">
        <v>1648</v>
      </c>
      <c r="I2" s="774" t="s">
        <v>1648</v>
      </c>
      <c r="J2" s="774" t="s">
        <v>1648</v>
      </c>
      <c r="K2" s="774" t="s">
        <v>1648</v>
      </c>
      <c r="L2" s="774" t="s">
        <v>1648</v>
      </c>
      <c r="M2" s="774" t="s">
        <v>1648</v>
      </c>
    </row>
    <row r="3" spans="1:17" s="24" customFormat="1" ht="65.25" customHeight="1" thickBot="1">
      <c r="A3" s="9"/>
      <c r="C3" s="235" t="s">
        <v>4063</v>
      </c>
      <c r="D3" s="3023" t="b">
        <f t="array" ref="D3">IF(SMALL(IF(""=C9:C2700,ROW(C9:C2700),2700),1)&gt;LARGE(IF(""&lt;&gt;C9:C2700,ROW(C9:C2700),0),1),TRUE,FALSE)</f>
        <v>1</v>
      </c>
      <c r="E3" s="3044" t="s">
        <v>1436</v>
      </c>
      <c r="F3" s="1897" t="s">
        <v>2075</v>
      </c>
      <c r="G3" s="1244" t="str">
        <f>Содержание!$D$15</f>
        <v>2022 год</v>
      </c>
      <c r="H3" s="20"/>
      <c r="I3" s="20"/>
      <c r="J3" s="20"/>
      <c r="K3" s="20"/>
      <c r="L3" s="20"/>
      <c r="M3" s="420"/>
      <c r="N3" s="20"/>
    </row>
    <row r="4" spans="1:17" s="24" customFormat="1" ht="21" customHeight="1" thickBot="1">
      <c r="A4" s="9"/>
      <c r="C4" s="3732" t="s">
        <v>6112</v>
      </c>
      <c r="D4" s="3677" t="s">
        <v>5225</v>
      </c>
      <c r="E4" s="3679" t="s">
        <v>5556</v>
      </c>
      <c r="F4" s="3773"/>
      <c r="G4" s="3773"/>
      <c r="H4" s="3773"/>
      <c r="I4" s="3679" t="s">
        <v>5557</v>
      </c>
      <c r="J4" s="3773"/>
      <c r="K4" s="3773"/>
      <c r="L4" s="3773"/>
      <c r="M4" s="3677" t="s">
        <v>5233</v>
      </c>
      <c r="N4" s="3772" t="s">
        <v>4183</v>
      </c>
    </row>
    <row r="5" spans="1:17" s="24" customFormat="1" ht="48" customHeight="1">
      <c r="A5" s="9"/>
      <c r="C5" s="3744"/>
      <c r="D5" s="3677"/>
      <c r="E5" s="15" t="s">
        <v>1665</v>
      </c>
      <c r="F5" s="15" t="s">
        <v>4065</v>
      </c>
      <c r="G5" s="15" t="s">
        <v>1666</v>
      </c>
      <c r="H5" s="15" t="s">
        <v>1669</v>
      </c>
      <c r="I5" s="15" t="s">
        <v>4054</v>
      </c>
      <c r="J5" s="15" t="s">
        <v>1675</v>
      </c>
      <c r="K5" s="15" t="s">
        <v>4055</v>
      </c>
      <c r="L5" s="15" t="s">
        <v>5559</v>
      </c>
      <c r="M5" s="3677"/>
      <c r="N5" s="3772"/>
      <c r="Q5" s="2808" t="s">
        <v>8359</v>
      </c>
    </row>
    <row r="6" spans="1:17" s="24" customFormat="1" ht="13">
      <c r="A6" s="9"/>
      <c r="C6" s="398">
        <v>2145</v>
      </c>
      <c r="D6" s="16" t="s">
        <v>672</v>
      </c>
      <c r="E6" s="16" t="s">
        <v>5566</v>
      </c>
      <c r="F6" s="16" t="s">
        <v>4066</v>
      </c>
      <c r="G6" s="16" t="s">
        <v>4067</v>
      </c>
      <c r="H6" s="16" t="s">
        <v>5571</v>
      </c>
      <c r="I6" s="16" t="s">
        <v>4061</v>
      </c>
      <c r="J6" s="16" t="s">
        <v>4050</v>
      </c>
      <c r="K6" s="16" t="s">
        <v>4041</v>
      </c>
      <c r="L6" s="16" t="s">
        <v>5580</v>
      </c>
      <c r="M6" s="16" t="s">
        <v>4163</v>
      </c>
      <c r="N6" s="27"/>
    </row>
    <row r="7" spans="1:17" s="673" customFormat="1" ht="12.5">
      <c r="A7" s="9"/>
      <c r="B7" s="1581"/>
      <c r="C7" s="692" t="s">
        <v>4164</v>
      </c>
      <c r="D7" s="677" t="s">
        <v>4165</v>
      </c>
      <c r="E7" s="677" t="s">
        <v>4166</v>
      </c>
      <c r="F7" s="677" t="s">
        <v>5500</v>
      </c>
      <c r="G7" s="677" t="s">
        <v>4169</v>
      </c>
      <c r="H7" s="677" t="s">
        <v>4168</v>
      </c>
      <c r="I7" s="677" t="s">
        <v>4178</v>
      </c>
      <c r="J7" s="677" t="s">
        <v>4179</v>
      </c>
      <c r="K7" s="677" t="s">
        <v>4167</v>
      </c>
      <c r="L7" s="677" t="s">
        <v>5501</v>
      </c>
      <c r="M7" s="677" t="s">
        <v>4701</v>
      </c>
      <c r="N7" s="806" t="s">
        <v>4702</v>
      </c>
    </row>
    <row r="8" spans="1:17" s="24" customFormat="1" ht="13">
      <c r="A8" s="668"/>
      <c r="C8" s="238" t="s">
        <v>4170</v>
      </c>
      <c r="D8" s="236">
        <f t="shared" ref="D8:M8" si="0">SUM(D9:D9999)</f>
        <v>0</v>
      </c>
      <c r="E8" s="236">
        <f t="shared" si="0"/>
        <v>0</v>
      </c>
      <c r="F8" s="236">
        <f t="shared" si="0"/>
        <v>0</v>
      </c>
      <c r="G8" s="236">
        <f t="shared" si="0"/>
        <v>0</v>
      </c>
      <c r="H8" s="236">
        <f t="shared" si="0"/>
        <v>0</v>
      </c>
      <c r="I8" s="236">
        <f t="shared" si="0"/>
        <v>0</v>
      </c>
      <c r="J8" s="236">
        <f t="shared" si="0"/>
        <v>0</v>
      </c>
      <c r="K8" s="236">
        <f t="shared" si="0"/>
        <v>0</v>
      </c>
      <c r="L8" s="236">
        <f t="shared" si="0"/>
        <v>0</v>
      </c>
      <c r="M8" s="17">
        <f t="shared" si="0"/>
        <v>0</v>
      </c>
      <c r="N8" s="1629"/>
      <c r="P8" s="2103" t="b">
        <f>AND(P9:P5000)</f>
        <v>1</v>
      </c>
      <c r="Q8" s="2103" t="b">
        <f>AND(Q9:Q5000)</f>
        <v>1</v>
      </c>
    </row>
    <row r="9" spans="1:17" s="24" customFormat="1" ht="68.25" customHeight="1">
      <c r="A9" s="9" t="str">
        <f t="shared" ref="A9:A14" si="1">"R6="&amp;IFERROR(MID(C9,FIND("{",C9)+1,FIND("}",C9)-FIND("{",C9)-1),"")&amp;";COM="&amp;N9</f>
        <v>R6=;COM=</v>
      </c>
      <c r="B9" s="601" t="s">
        <v>2903</v>
      </c>
      <c r="C9" s="865"/>
      <c r="D9" s="866"/>
      <c r="E9" s="866"/>
      <c r="F9" s="866"/>
      <c r="G9" s="866"/>
      <c r="H9" s="866"/>
      <c r="I9" s="866"/>
      <c r="J9" s="866"/>
      <c r="K9" s="866"/>
      <c r="L9" s="866"/>
      <c r="M9" s="1193">
        <f>SUM(C9:L9)</f>
        <v>0</v>
      </c>
      <c r="N9" s="1194"/>
      <c r="O9" s="2035" t="b">
        <f t="shared" ref="O9:O14" si="2">IF(OR(H9&gt;1000,L9&lt;-1000),IF(LEN(N9)&gt;5,TRUE,FALSE),TRUE)</f>
        <v>1</v>
      </c>
      <c r="P9" s="2130" t="b">
        <f>ROUND(SUMIF(C:C,C9,M:M),0)=ROUND(SUMIFS(НЗП_ГП!H:H,НЗП_ГП!C:C,43,НЗП_ГП!D:D,C9),0)</f>
        <v>1</v>
      </c>
      <c r="Q9" s="2103" t="b">
        <f>AND(E9&gt;=0,G9&gt;=0,H9&gt;=0,I9&lt;=0,J9&lt;=0,K9&lt;=0,L9&lt;=0)</f>
        <v>1</v>
      </c>
    </row>
    <row r="10" spans="1:17" s="24" customFormat="1">
      <c r="A10" s="9" t="str">
        <f t="shared" si="1"/>
        <v>R6=;COM=</v>
      </c>
      <c r="B10" s="601"/>
      <c r="C10" s="865"/>
      <c r="D10" s="866"/>
      <c r="E10" s="866"/>
      <c r="F10" s="866"/>
      <c r="G10" s="866"/>
      <c r="H10" s="866"/>
      <c r="I10" s="866"/>
      <c r="J10" s="866"/>
      <c r="K10" s="866"/>
      <c r="L10" s="866"/>
      <c r="M10" s="1193">
        <f t="shared" ref="M10:M14" si="3">SUM(C10:L10)</f>
        <v>0</v>
      </c>
      <c r="N10" s="1194"/>
      <c r="O10" s="2035" t="b">
        <f t="shared" si="2"/>
        <v>1</v>
      </c>
      <c r="P10" s="2130" t="b">
        <f>ROUND(SUMIF(C:C,C10,M:M),0)=ROUND(SUMIFS(НЗП_ГП!H:H,НЗП_ГП!C:C,43,НЗП_ГП!D:D,C10),0)</f>
        <v>1</v>
      </c>
      <c r="Q10" s="2103" t="b">
        <f t="shared" ref="Q10:Q14" si="4">AND(E10&gt;=0,G10&gt;=0,H10&gt;=0,I10&lt;=0,J10&lt;=0,K10&lt;=0,L10&lt;=0)</f>
        <v>1</v>
      </c>
    </row>
    <row r="11" spans="1:17" s="24" customFormat="1">
      <c r="A11" s="9" t="str">
        <f t="shared" si="1"/>
        <v>R6=;COM=</v>
      </c>
      <c r="B11" s="601"/>
      <c r="C11" s="865"/>
      <c r="D11" s="866"/>
      <c r="E11" s="866"/>
      <c r="F11" s="866"/>
      <c r="G11" s="866"/>
      <c r="H11" s="866"/>
      <c r="I11" s="866"/>
      <c r="J11" s="866"/>
      <c r="K11" s="866"/>
      <c r="L11" s="866"/>
      <c r="M11" s="1193">
        <f t="shared" si="3"/>
        <v>0</v>
      </c>
      <c r="N11" s="1559"/>
      <c r="O11" s="2035" t="b">
        <f t="shared" si="2"/>
        <v>1</v>
      </c>
      <c r="P11" s="2130" t="b">
        <f>ROUND(SUMIF(C:C,C11,M:M),0)=ROUND(SUMIFS(НЗП_ГП!H:H,НЗП_ГП!C:C,43,НЗП_ГП!D:D,C11),0)</f>
        <v>1</v>
      </c>
      <c r="Q11" s="2103" t="b">
        <f t="shared" si="4"/>
        <v>1</v>
      </c>
    </row>
    <row r="12" spans="1:17" s="24" customFormat="1">
      <c r="A12" s="9" t="str">
        <f t="shared" si="1"/>
        <v>R6=;COM=</v>
      </c>
      <c r="B12" s="601"/>
      <c r="C12" s="865"/>
      <c r="D12" s="866"/>
      <c r="E12" s="866"/>
      <c r="F12" s="866"/>
      <c r="G12" s="866"/>
      <c r="H12" s="866"/>
      <c r="I12" s="866"/>
      <c r="J12" s="866"/>
      <c r="K12" s="866"/>
      <c r="L12" s="866"/>
      <c r="M12" s="1193">
        <f t="shared" si="3"/>
        <v>0</v>
      </c>
      <c r="N12" s="1559"/>
      <c r="O12" s="2035" t="b">
        <f t="shared" si="2"/>
        <v>1</v>
      </c>
      <c r="P12" s="2130" t="b">
        <f>ROUND(SUMIF(C:C,C12,M:M),0)=ROUND(SUMIFS(НЗП_ГП!H:H,НЗП_ГП!C:C,43,НЗП_ГП!D:D,C12),0)</f>
        <v>1</v>
      </c>
      <c r="Q12" s="2103" t="b">
        <f t="shared" si="4"/>
        <v>1</v>
      </c>
    </row>
    <row r="13" spans="1:17" s="24" customFormat="1">
      <c r="A13" s="9" t="str">
        <f t="shared" si="1"/>
        <v>R6=;COM=</v>
      </c>
      <c r="B13" s="601"/>
      <c r="C13" s="865"/>
      <c r="D13" s="866"/>
      <c r="E13" s="866"/>
      <c r="F13" s="866"/>
      <c r="G13" s="866"/>
      <c r="H13" s="866"/>
      <c r="I13" s="866"/>
      <c r="J13" s="866"/>
      <c r="K13" s="866"/>
      <c r="L13" s="866"/>
      <c r="M13" s="1193">
        <f t="shared" si="3"/>
        <v>0</v>
      </c>
      <c r="N13" s="1559"/>
      <c r="O13" s="2035" t="b">
        <f t="shared" si="2"/>
        <v>1</v>
      </c>
      <c r="P13" s="2130" t="b">
        <f>ROUND(SUMIF(C:C,C13,M:M),0)=ROUND(SUMIFS(НЗП_ГП!H:H,НЗП_ГП!C:C,43,НЗП_ГП!D:D,C13),0)</f>
        <v>1</v>
      </c>
      <c r="Q13" s="2103" t="b">
        <f t="shared" si="4"/>
        <v>1</v>
      </c>
    </row>
    <row r="14" spans="1:17" ht="15" thickBot="1">
      <c r="A14" s="9" t="str">
        <f t="shared" si="1"/>
        <v>R6=;COM=</v>
      </c>
      <c r="C14" s="1877"/>
      <c r="D14" s="867"/>
      <c r="E14" s="867"/>
      <c r="F14" s="867"/>
      <c r="G14" s="867"/>
      <c r="H14" s="867"/>
      <c r="I14" s="867"/>
      <c r="J14" s="867"/>
      <c r="K14" s="867"/>
      <c r="L14" s="867"/>
      <c r="M14" s="80">
        <f t="shared" si="3"/>
        <v>0</v>
      </c>
      <c r="N14" s="1560"/>
      <c r="O14" s="2035" t="b">
        <f t="shared" si="2"/>
        <v>1</v>
      </c>
      <c r="P14" s="2130" t="b">
        <f>ROUND(SUMIF(C:C,C14,M:M),0)=ROUND(SUMIFS(НЗП_ГП!H:H,НЗП_ГП!C:C,43,НЗП_ГП!D:D,C14),0)</f>
        <v>1</v>
      </c>
      <c r="Q14" s="2103" t="b">
        <f t="shared" si="4"/>
        <v>1</v>
      </c>
    </row>
    <row r="15" spans="1:17">
      <c r="Q15" s="2103"/>
    </row>
  </sheetData>
  <sheetProtection algorithmName="SHA-512" hashValue="WQ6BnxMf6JPQBCSnE9nwD13/juOJaSM/ecjZx2/C0RTYoclLANPqXGpvY+Ma/T4H9vApqdrdpR+2mRFzEOGjvg==" saltValue="6ltbPR8rM67kmZe95SHnAg==" spinCount="100000" sheet="1" objects="1" scenarios="1" formatColumns="0" formatRows="0" autoFilter="0"/>
  <autoFilter ref="C7:P7"/>
  <customSheetViews>
    <customSheetView guid="{3769259D-9653-4B34-A2F6-4FB6F9F4E533}" scale="85" showGridLines="0" showAutoFilter="1" hiddenRows="1" hiddenColumns="1">
      <pane xSplit="3" ySplit="7" topLeftCell="I8" activePane="bottomRight" state="frozen"/>
      <selection pane="bottomRight" activeCell="G21" sqref="G21:R22"/>
      <pageMargins left="0.7" right="0.7" top="0.75" bottom="0.75" header="0.3" footer="0.3"/>
      <pageSetup paperSize="9" orientation="portrait" horizontalDpi="300" verticalDpi="0" copies="0" r:id="rId1"/>
      <autoFilter ref="B1:N1"/>
    </customSheetView>
    <customSheetView guid="{40D7A2BB-326C-4ED3-999C-17852F56D6F4}" scale="85" showGridLines="0" showAutoFilter="1" hiddenRows="1" hiddenColumns="1">
      <pane xSplit="3" ySplit="7" topLeftCell="I8" activePane="bottomRight" state="frozen"/>
      <selection pane="bottomRight" activeCell="G21" sqref="G21:R22"/>
      <pageMargins left="0.7" right="0.7" top="0.75" bottom="0.75" header="0.3" footer="0.3"/>
      <pageSetup paperSize="9" orientation="portrait" horizontalDpi="300" verticalDpi="0" copies="0" r:id="rId2"/>
      <autoFilter ref="B1:N1"/>
    </customSheetView>
    <customSheetView guid="{5D121940-0CE8-4A0E-A493-67FAAA6E0FF8}" scale="85" showGridLines="0" showAutoFilter="1" hiddenRows="1" hiddenColumns="1" topLeftCell="B2">
      <pane xSplit="2" ySplit="7" topLeftCell="M9" activePane="bottomRight" state="frozen"/>
      <selection pane="bottomRight" activeCell="K39" sqref="K39:AA39"/>
      <pageMargins left="0.7" right="0.7" top="0.75" bottom="0.75" header="0.3" footer="0.3"/>
      <pageSetup paperSize="9" orientation="portrait" horizontalDpi="300" verticalDpi="0" copies="0" r:id="rId3"/>
      <autoFilter ref="B1:N1"/>
    </customSheetView>
    <customSheetView guid="{47AEACC4-6EA5-412C-AF39-A6C5357B313A}" scale="85" showGridLines="0" showAutoFilter="1" hiddenRows="1" hiddenColumns="1" topLeftCell="B2">
      <pane xSplit="2" ySplit="7" topLeftCell="F9" activePane="bottomRight" state="frozen"/>
      <selection pane="bottomRight" activeCell="F9" sqref="F9"/>
      <pageMargins left="0.7" right="0.7" top="0.75" bottom="0.75" header="0.3" footer="0.3"/>
      <pageSetup paperSize="9" orientation="portrait" horizontalDpi="300" verticalDpi="0" copies="0" r:id="rId4"/>
      <autoFilter ref="B1:N1"/>
    </customSheetView>
    <customSheetView guid="{4D957B38-5430-481E-B791-E0A66F913B50}" scale="70">
      <selection activeCell="K9" sqref="K9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2" ySplit="7" topLeftCell="G9" activePane="bottomRight" state="frozen"/>
      <selection pane="bottomRight" activeCell="C7" sqref="C7"/>
      <pageMargins left="0.7" right="0.7" top="0.75" bottom="0.75" header="0.3" footer="0.3"/>
      <pageSetup paperSize="9" orientation="portrait" horizontalDpi="300" verticalDpi="0" copies="0" r:id="rId5"/>
      <autoFilter ref="B1:N1"/>
    </customSheetView>
  </customSheetViews>
  <mergeCells count="6">
    <mergeCell ref="N4:N5"/>
    <mergeCell ref="C4:C5"/>
    <mergeCell ref="D4:D5"/>
    <mergeCell ref="E4:H4"/>
    <mergeCell ref="I4:L4"/>
    <mergeCell ref="M4:M5"/>
  </mergeCells>
  <phoneticPr fontId="0" type="noConversion"/>
  <dataValidations count="1">
    <dataValidation type="list" operator="equal" allowBlank="1" showErrorMessage="1" errorTitle="Выбор элемента списка" error="Данного элемента нет в списке" sqref="C9:C14">
      <formula1>_2145_tmc</formula1>
    </dataValidation>
  </dataValidations>
  <hyperlinks>
    <hyperlink ref="E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9" name="Button 1">
              <controlPr defaultSize="0" print="0" autoFill="0" autoPict="0" macro="[0]!AddButtonsRowAdd">
                <anchor moveWithCells="1">
                  <from>
                    <xdr:col>2</xdr:col>
                    <xdr:colOff>3003550</xdr:colOff>
                    <xdr:row>1</xdr:row>
                    <xdr:rowOff>76200</xdr:rowOff>
                  </from>
                  <to>
                    <xdr:col>3</xdr:col>
                    <xdr:colOff>1098550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8">
    <pageSetUpPr fitToPage="1"/>
  </sheetPr>
  <dimension ref="A1:W16"/>
  <sheetViews>
    <sheetView topLeftCell="B2" zoomScale="66" zoomScaleNormal="66" workbookViewId="0">
      <selection activeCell="F17" sqref="F17"/>
    </sheetView>
  </sheetViews>
  <sheetFormatPr defaultColWidth="10.453125" defaultRowHeight="14.5"/>
  <cols>
    <col min="1" max="1" width="6.1796875" style="32" hidden="1" customWidth="1"/>
    <col min="2" max="2" width="2.54296875" style="32" customWidth="1"/>
    <col min="3" max="3" width="30.453125" style="32" bestFit="1" customWidth="1"/>
    <col min="4" max="4" width="50" style="32" customWidth="1"/>
    <col min="5" max="18" width="17.453125" style="32" customWidth="1"/>
    <col min="19" max="19" width="46" style="32" customWidth="1"/>
    <col min="20" max="21" width="9.453125" style="32" customWidth="1"/>
    <col min="22" max="22" width="23.453125" style="32" customWidth="1"/>
    <col min="23" max="23" width="25.54296875" style="32" customWidth="1"/>
    <col min="24" max="244" width="9.453125" style="32" customWidth="1"/>
    <col min="245" max="245" width="5.54296875" style="32" customWidth="1"/>
    <col min="246" max="246" width="24.453125" style="32" customWidth="1"/>
    <col min="247" max="247" width="16.453125" style="32" customWidth="1"/>
    <col min="248" max="248" width="15.453125" style="32" customWidth="1"/>
    <col min="249" max="16384" width="10.453125" style="32"/>
  </cols>
  <sheetData>
    <row r="1" spans="1:23" ht="10.5" hidden="1" customHeight="1">
      <c r="A1" s="167" t="s">
        <v>4284</v>
      </c>
      <c r="B1" s="22"/>
      <c r="C1" s="22"/>
      <c r="D1" s="22"/>
      <c r="E1" s="6" t="s">
        <v>1226</v>
      </c>
      <c r="F1" s="6" t="s">
        <v>386</v>
      </c>
      <c r="G1" s="6" t="s">
        <v>387</v>
      </c>
      <c r="H1" s="6" t="s">
        <v>320</v>
      </c>
      <c r="I1" s="6" t="s">
        <v>384</v>
      </c>
      <c r="J1" s="6" t="s">
        <v>323</v>
      </c>
      <c r="K1" s="6" t="s">
        <v>388</v>
      </c>
      <c r="L1" s="6" t="s">
        <v>324</v>
      </c>
      <c r="M1" s="6" t="s">
        <v>1228</v>
      </c>
      <c r="N1" s="6" t="s">
        <v>375</v>
      </c>
      <c r="O1" s="6" t="s">
        <v>1229</v>
      </c>
      <c r="P1" s="6" t="s">
        <v>389</v>
      </c>
      <c r="Q1" s="6" t="s">
        <v>7749</v>
      </c>
      <c r="R1" s="6" t="s">
        <v>299</v>
      </c>
      <c r="S1" s="6"/>
    </row>
    <row r="2" spans="1:23" s="1778" customFormat="1" ht="26">
      <c r="A2" s="7"/>
      <c r="B2" s="1919"/>
      <c r="C2" s="1927" t="e">
        <f>IF(VLOOKUP(Содержание!D2,Список_компаний!$A:$I,9,FALSE)="да","+","-")</f>
        <v>#N/A</v>
      </c>
      <c r="D2"/>
      <c r="E2" s="1778" t="s">
        <v>1648</v>
      </c>
      <c r="F2" s="1897" t="s">
        <v>2067</v>
      </c>
      <c r="G2" s="1244">
        <f>Содержание!$D$2</f>
        <v>0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919"/>
      <c r="R2" s="1778" t="s">
        <v>1648</v>
      </c>
      <c r="S2" s="1919"/>
    </row>
    <row r="3" spans="1:23" ht="30" customHeight="1" thickBot="1">
      <c r="A3" s="7"/>
      <c r="B3" s="24"/>
      <c r="C3" s="11" t="s">
        <v>4068</v>
      </c>
      <c r="D3" t="b">
        <f t="array" ref="D3">IF(SMALL(IF(""=C9:C2700,ROW(C9:C2700),2700),1)&gt;LARGE(IF(""&lt;&gt;C9:C2700,ROW(C9:C2700),0),1),TRUE,FALSE)</f>
        <v>1</v>
      </c>
      <c r="E3"/>
      <c r="F3" s="1897" t="s">
        <v>2075</v>
      </c>
      <c r="G3" s="1244" t="str">
        <f>Содержание!$D$15</f>
        <v>2022 год</v>
      </c>
      <c r="H3" s="3044" t="s">
        <v>1436</v>
      </c>
      <c r="I3" s="10"/>
      <c r="J3" s="10"/>
      <c r="K3" s="10"/>
      <c r="L3" s="10"/>
      <c r="M3" s="10"/>
      <c r="N3" s="10"/>
      <c r="O3" s="24"/>
      <c r="P3" s="24"/>
      <c r="Q3" s="24"/>
      <c r="R3" s="24"/>
      <c r="S3" s="24"/>
    </row>
    <row r="4" spans="1:23" ht="15.75" customHeight="1" thickBot="1">
      <c r="A4" s="9"/>
      <c r="B4" s="24"/>
      <c r="C4" s="3675" t="s">
        <v>4069</v>
      </c>
      <c r="D4" s="3677" t="s">
        <v>6112</v>
      </c>
      <c r="E4" s="3677" t="s">
        <v>5225</v>
      </c>
      <c r="F4" s="3735" t="s">
        <v>5556</v>
      </c>
      <c r="G4" s="3736"/>
      <c r="H4" s="3736"/>
      <c r="I4" s="3736"/>
      <c r="J4" s="3736"/>
      <c r="K4" s="3736"/>
      <c r="L4" s="3736"/>
      <c r="M4" s="3736"/>
      <c r="N4" s="3735" t="s">
        <v>5557</v>
      </c>
      <c r="O4" s="3736"/>
      <c r="P4" s="3713" t="s">
        <v>2975</v>
      </c>
      <c r="Q4" s="3713" t="s">
        <v>92</v>
      </c>
      <c r="R4" s="3713" t="s">
        <v>5233</v>
      </c>
      <c r="S4" s="3711" t="s">
        <v>4183</v>
      </c>
    </row>
    <row r="5" spans="1:23" ht="51" customHeight="1">
      <c r="A5" s="9"/>
      <c r="B5" s="24"/>
      <c r="C5" s="3675"/>
      <c r="D5" s="3677"/>
      <c r="E5" s="3677"/>
      <c r="F5" s="16" t="s">
        <v>1685</v>
      </c>
      <c r="G5" s="16" t="s">
        <v>1679</v>
      </c>
      <c r="H5" s="16" t="s">
        <v>1665</v>
      </c>
      <c r="I5" s="16" t="s">
        <v>4065</v>
      </c>
      <c r="J5" s="16" t="s">
        <v>4070</v>
      </c>
      <c r="K5" s="16" t="s">
        <v>1668</v>
      </c>
      <c r="L5" s="16" t="s">
        <v>1667</v>
      </c>
      <c r="M5" s="16" t="s">
        <v>1669</v>
      </c>
      <c r="N5" s="16" t="s">
        <v>4054</v>
      </c>
      <c r="O5" s="16" t="s">
        <v>5559</v>
      </c>
      <c r="P5" s="3713"/>
      <c r="Q5" s="3713"/>
      <c r="R5" s="3713"/>
      <c r="S5" s="3711"/>
      <c r="V5" s="2766" t="s">
        <v>8359</v>
      </c>
      <c r="W5" s="3336" t="s">
        <v>10270</v>
      </c>
    </row>
    <row r="6" spans="1:23">
      <c r="A6" s="9"/>
      <c r="B6" s="24"/>
      <c r="C6" s="99" t="s">
        <v>893</v>
      </c>
      <c r="D6" s="15">
        <v>2145</v>
      </c>
      <c r="E6" s="16" t="s">
        <v>672</v>
      </c>
      <c r="F6" s="16" t="s">
        <v>1684</v>
      </c>
      <c r="G6" s="16" t="s">
        <v>2818</v>
      </c>
      <c r="H6" s="16" t="s">
        <v>5566</v>
      </c>
      <c r="I6" s="16" t="s">
        <v>4066</v>
      </c>
      <c r="J6" s="16" t="s">
        <v>5569</v>
      </c>
      <c r="K6" s="16" t="s">
        <v>4071</v>
      </c>
      <c r="L6" s="16" t="s">
        <v>5570</v>
      </c>
      <c r="M6" s="16" t="s">
        <v>5571</v>
      </c>
      <c r="N6" s="16" t="s">
        <v>4061</v>
      </c>
      <c r="O6" s="16" t="s">
        <v>5580</v>
      </c>
      <c r="P6" s="16"/>
      <c r="Q6" s="16"/>
      <c r="R6" s="16" t="s">
        <v>4163</v>
      </c>
      <c r="S6" s="27"/>
    </row>
    <row r="7" spans="1:23" s="673" customFormat="1" ht="12.5">
      <c r="A7" s="9"/>
      <c r="B7" s="1581"/>
      <c r="C7" s="681" t="s">
        <v>4164</v>
      </c>
      <c r="D7" s="707" t="s">
        <v>4165</v>
      </c>
      <c r="E7" s="1582" t="s">
        <v>4166</v>
      </c>
      <c r="F7" s="1582" t="s">
        <v>5500</v>
      </c>
      <c r="G7" s="1582" t="s">
        <v>4169</v>
      </c>
      <c r="H7" s="1582" t="s">
        <v>4168</v>
      </c>
      <c r="I7" s="1582" t="s">
        <v>4178</v>
      </c>
      <c r="J7" s="1582" t="s">
        <v>4179</v>
      </c>
      <c r="K7" s="1582" t="s">
        <v>4167</v>
      </c>
      <c r="L7" s="1582" t="s">
        <v>5501</v>
      </c>
      <c r="M7" s="1582" t="s">
        <v>4701</v>
      </c>
      <c r="N7" s="1582" t="s">
        <v>4702</v>
      </c>
      <c r="O7" s="1582" t="s">
        <v>4703</v>
      </c>
      <c r="P7" s="1582" t="s">
        <v>5502</v>
      </c>
      <c r="Q7" s="1582" t="s">
        <v>5503</v>
      </c>
      <c r="R7" s="684" t="s">
        <v>5504</v>
      </c>
      <c r="S7" s="1584" t="s">
        <v>4853</v>
      </c>
    </row>
    <row r="8" spans="1:23" s="24" customFormat="1" ht="13">
      <c r="A8" s="9"/>
      <c r="C8" s="240" t="s">
        <v>4170</v>
      </c>
      <c r="D8" s="241" t="s">
        <v>4184</v>
      </c>
      <c r="E8" s="17">
        <f t="shared" ref="E8:P8" si="0">SUM(E9:E10001)</f>
        <v>0</v>
      </c>
      <c r="F8" s="17">
        <f t="shared" si="0"/>
        <v>0</v>
      </c>
      <c r="G8" s="17">
        <f t="shared" si="0"/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241" t="s">
        <v>4184</v>
      </c>
      <c r="R8" s="17">
        <f>SUM(R9:R10001)</f>
        <v>0</v>
      </c>
      <c r="S8" s="242" t="s">
        <v>4184</v>
      </c>
      <c r="U8" s="2103" t="b">
        <f>AND(U9:U5000)</f>
        <v>1</v>
      </c>
      <c r="V8" s="2103" t="b">
        <f>AND(V9:V5000)</f>
        <v>1</v>
      </c>
      <c r="W8" s="3010" t="b">
        <f>AND(W9:W5000)</f>
        <v>1</v>
      </c>
    </row>
    <row r="9" spans="1:23" s="24" customFormat="1" ht="27.75" customHeight="1">
      <c r="A9" s="9" t="str">
        <f t="shared" ref="A9:A16" si="1">"R5="&amp;IFERROR(MID(C9,FIND("{",C9)+1,FIND("}",C9)-FIND("{",C9)-1),"")&amp;";R6="&amp;IFERROR(MID(D9,FIND("{",D9)+1,FIND("}",D9)-FIND("{",D9)-1),"")&amp;";COM="&amp;S9</f>
        <v>R5=;R6=;COM=</v>
      </c>
      <c r="B9" s="601"/>
      <c r="C9" s="1441"/>
      <c r="D9" s="1442"/>
      <c r="E9" s="1431"/>
      <c r="F9" s="1138"/>
      <c r="G9" s="1138"/>
      <c r="H9" s="1138"/>
      <c r="I9" s="1138"/>
      <c r="J9" s="1138"/>
      <c r="K9" s="1138"/>
      <c r="L9" s="1431"/>
      <c r="M9" s="1431"/>
      <c r="N9" s="1431"/>
      <c r="O9" s="1431"/>
      <c r="P9" s="1138"/>
      <c r="Q9" s="1138"/>
      <c r="R9" s="1139">
        <f>SUM(E9:O9)</f>
        <v>0</v>
      </c>
      <c r="S9" s="1140"/>
      <c r="T9" s="2230" t="b">
        <f>IF(OR(M9&gt;1000,O9&lt;-1000),IF(LEN(S9)&gt;5,TRUE,FALSE),TRUE)</f>
        <v>1</v>
      </c>
      <c r="U9" s="2103" t="b">
        <f>ROUND(SUMIF(D:D,D9,R:R),0)=ROUND(SUMIFS(НЗП_ГП!H:H,НЗП_ГП!C:C,45,НЗП_ГП!D:D,D9),0)</f>
        <v>1</v>
      </c>
      <c r="V9" s="2103" t="b">
        <f>AND(F9&gt;=0,G9&gt;=0,H9&gt;=0,I9&gt;=0,J9&gt;=0,K9&gt;=0,L9&gt;=0,M9&gt;=0,N9&lt;=0,O9&lt;=0)</f>
        <v>1</v>
      </c>
      <c r="W9" s="3010" t="b">
        <f>AND(R9&gt;=0,E9&gt;=0)</f>
        <v>1</v>
      </c>
    </row>
    <row r="10" spans="1:23" s="24" customFormat="1">
      <c r="A10" s="9" t="str">
        <f t="shared" si="1"/>
        <v>R5=;R6=;COM=</v>
      </c>
      <c r="B10" s="601"/>
      <c r="C10" s="1441"/>
      <c r="D10" s="1442"/>
      <c r="E10" s="1138"/>
      <c r="F10" s="1138"/>
      <c r="G10" s="1138"/>
      <c r="H10" s="1138"/>
      <c r="I10" s="1138"/>
      <c r="J10" s="1138"/>
      <c r="K10" s="1138"/>
      <c r="L10" s="1431"/>
      <c r="M10" s="1431"/>
      <c r="N10" s="1431"/>
      <c r="O10" s="1431"/>
      <c r="P10" s="1138"/>
      <c r="Q10" s="1138"/>
      <c r="R10" s="1139">
        <f t="shared" ref="R10:R16" si="2">SUM(E10:O10)</f>
        <v>0</v>
      </c>
      <c r="S10" s="1140"/>
      <c r="T10" s="2230" t="b">
        <f t="shared" ref="T10:T15" si="3">IF(OR(M10&gt;1000,O10&lt;-1000),IF(LEN(S10)&gt;5,TRUE,FALSE),TRUE)</f>
        <v>1</v>
      </c>
      <c r="U10" s="2103" t="b">
        <f>ROUND(SUMIF(D:D,D10,R:R),0)=ROUND(SUMIFS(НЗП_ГП!H:H,НЗП_ГП!C:C,45,НЗП_ГП!D:D,D10),0)</f>
        <v>1</v>
      </c>
      <c r="V10" s="2103" t="b">
        <f t="shared" ref="V10:V16" si="4">AND(F10&gt;=0,G10&gt;=0,H10&gt;=0,I10&gt;=0,J10&gt;=0,K10&gt;=0,L10&gt;=0,M10&gt;=0,N10&lt;=0,O10&lt;=0)</f>
        <v>1</v>
      </c>
      <c r="W10" s="3010" t="b">
        <f t="shared" ref="W10:W16" si="5">AND(R10&gt;=0,E10&gt;=0)</f>
        <v>1</v>
      </c>
    </row>
    <row r="11" spans="1:23" s="24" customFormat="1">
      <c r="A11" s="9" t="str">
        <f t="shared" si="1"/>
        <v>R5=;R6=;COM=</v>
      </c>
      <c r="B11" s="601" t="s">
        <v>5536</v>
      </c>
      <c r="C11" s="1441"/>
      <c r="D11" s="1442"/>
      <c r="E11" s="1138"/>
      <c r="F11" s="1138"/>
      <c r="G11" s="1138"/>
      <c r="H11" s="1138"/>
      <c r="I11" s="1138"/>
      <c r="J11" s="1138"/>
      <c r="K11" s="1138"/>
      <c r="L11" s="1138"/>
      <c r="M11" s="1138"/>
      <c r="N11" s="1138"/>
      <c r="O11" s="1138"/>
      <c r="P11" s="1138"/>
      <c r="Q11" s="1138"/>
      <c r="R11" s="1139">
        <f t="shared" si="2"/>
        <v>0</v>
      </c>
      <c r="S11" s="1140"/>
      <c r="T11" s="2230" t="b">
        <f t="shared" si="3"/>
        <v>1</v>
      </c>
      <c r="U11" s="2103" t="b">
        <f>ROUND(SUMIF(D:D,D11,R:R),0)=ROUND(SUMIFS(НЗП_ГП!H:H,НЗП_ГП!C:C,45,НЗП_ГП!D:D,D11),0)</f>
        <v>1</v>
      </c>
      <c r="V11" s="2103" t="b">
        <f t="shared" si="4"/>
        <v>1</v>
      </c>
      <c r="W11" s="3010" t="b">
        <f t="shared" si="5"/>
        <v>1</v>
      </c>
    </row>
    <row r="12" spans="1:23" s="24" customFormat="1">
      <c r="A12" s="9" t="str">
        <f t="shared" si="1"/>
        <v>R5=;R6=;COM=</v>
      </c>
      <c r="B12" s="601"/>
      <c r="C12" s="1441"/>
      <c r="D12" s="1442"/>
      <c r="E12" s="1138"/>
      <c r="F12" s="1138"/>
      <c r="G12" s="1138"/>
      <c r="H12" s="1138"/>
      <c r="I12" s="1138"/>
      <c r="J12" s="1138"/>
      <c r="K12" s="1138"/>
      <c r="L12" s="1138"/>
      <c r="M12" s="1138"/>
      <c r="N12" s="1138"/>
      <c r="O12" s="1138"/>
      <c r="P12" s="1138"/>
      <c r="Q12" s="1138"/>
      <c r="R12" s="1139">
        <f t="shared" si="2"/>
        <v>0</v>
      </c>
      <c r="S12" s="1140"/>
      <c r="T12" s="2230" t="b">
        <f t="shared" si="3"/>
        <v>1</v>
      </c>
      <c r="U12" s="2103" t="b">
        <f>ROUND(SUMIF(D:D,D12,R:R),0)=ROUND(SUMIFS(НЗП_ГП!H:H,НЗП_ГП!C:C,45,НЗП_ГП!D:D,D12),0)</f>
        <v>1</v>
      </c>
      <c r="V12" s="2103" t="b">
        <f t="shared" si="4"/>
        <v>1</v>
      </c>
      <c r="W12" s="3010" t="b">
        <f t="shared" si="5"/>
        <v>1</v>
      </c>
    </row>
    <row r="13" spans="1:23" s="24" customFormat="1">
      <c r="A13" s="9" t="str">
        <f t="shared" si="1"/>
        <v>R5=;R6=;COM=</v>
      </c>
      <c r="B13" s="601"/>
      <c r="C13" s="1441"/>
      <c r="D13" s="1442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9">
        <f t="shared" si="2"/>
        <v>0</v>
      </c>
      <c r="S13" s="1140"/>
      <c r="T13" s="2230" t="b">
        <f t="shared" si="3"/>
        <v>1</v>
      </c>
      <c r="U13" s="2103" t="b">
        <f>ROUND(SUMIF(D:D,D13,R:R),0)=ROUND(SUMIFS(НЗП_ГП!H:H,НЗП_ГП!C:C,45,НЗП_ГП!D:D,D13),0)</f>
        <v>1</v>
      </c>
      <c r="V13" s="2103" t="b">
        <f t="shared" si="4"/>
        <v>1</v>
      </c>
      <c r="W13" s="3010" t="b">
        <f t="shared" si="5"/>
        <v>1</v>
      </c>
    </row>
    <row r="14" spans="1:23" s="24" customFormat="1">
      <c r="A14" s="9" t="str">
        <f t="shared" si="1"/>
        <v>R5=;R6=;COM=</v>
      </c>
      <c r="B14" s="601"/>
      <c r="C14" s="1441"/>
      <c r="D14" s="1442"/>
      <c r="E14" s="1138"/>
      <c r="F14" s="1138"/>
      <c r="G14" s="1138"/>
      <c r="H14" s="1138"/>
      <c r="I14" s="1138"/>
      <c r="J14" s="1138"/>
      <c r="K14" s="1138"/>
      <c r="L14" s="1138"/>
      <c r="M14" s="1138"/>
      <c r="N14" s="1138"/>
      <c r="O14" s="1138"/>
      <c r="P14" s="1138"/>
      <c r="Q14" s="1138"/>
      <c r="R14" s="1139">
        <f t="shared" si="2"/>
        <v>0</v>
      </c>
      <c r="S14" s="1140"/>
      <c r="T14" s="2230" t="b">
        <f t="shared" si="3"/>
        <v>1</v>
      </c>
      <c r="U14" s="2103" t="b">
        <f>ROUND(SUMIF(D:D,D14,R:R),0)=ROUND(SUMIFS(НЗП_ГП!H:H,НЗП_ГП!C:C,45,НЗП_ГП!D:D,D14),0)</f>
        <v>1</v>
      </c>
      <c r="V14" s="2103" t="b">
        <f t="shared" si="4"/>
        <v>1</v>
      </c>
      <c r="W14" s="3010" t="b">
        <f t="shared" si="5"/>
        <v>1</v>
      </c>
    </row>
    <row r="15" spans="1:23" s="24" customFormat="1">
      <c r="A15" s="9" t="str">
        <f t="shared" si="1"/>
        <v>R5=;R6=;COM=</v>
      </c>
      <c r="B15" s="601"/>
      <c r="C15" s="1441"/>
      <c r="D15" s="1442"/>
      <c r="E15" s="1138"/>
      <c r="F15" s="1138"/>
      <c r="G15" s="1138"/>
      <c r="H15" s="1138"/>
      <c r="I15" s="1138"/>
      <c r="J15" s="1138"/>
      <c r="K15" s="1138"/>
      <c r="L15" s="1138"/>
      <c r="M15" s="1138"/>
      <c r="N15" s="1138"/>
      <c r="O15" s="1138"/>
      <c r="P15" s="1138"/>
      <c r="Q15" s="1138"/>
      <c r="R15" s="1139">
        <f t="shared" si="2"/>
        <v>0</v>
      </c>
      <c r="S15" s="1140"/>
      <c r="T15" s="2230" t="b">
        <f t="shared" si="3"/>
        <v>1</v>
      </c>
      <c r="U15" s="2103" t="b">
        <f>ROUND(SUMIF(D:D,D15,R:R),0)=ROUND(SUMIFS(НЗП_ГП!H:H,НЗП_ГП!C:C,45,НЗП_ГП!D:D,D15),0)</f>
        <v>1</v>
      </c>
      <c r="V15" s="2103" t="b">
        <f t="shared" si="4"/>
        <v>1</v>
      </c>
      <c r="W15" s="3010" t="b">
        <f t="shared" si="5"/>
        <v>1</v>
      </c>
    </row>
    <row r="16" spans="1:23" s="24" customFormat="1" ht="15" thickBot="1">
      <c r="A16" s="9" t="str">
        <f t="shared" si="1"/>
        <v>R5=;R6=;COM=</v>
      </c>
      <c r="B16" s="601"/>
      <c r="C16" s="1141"/>
      <c r="D16" s="2404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2923">
        <f t="shared" si="2"/>
        <v>0</v>
      </c>
      <c r="S16" s="1110"/>
      <c r="T16" s="2230" t="b">
        <f t="shared" ref="T16" si="6">IF(OR(M16&gt;1000,O16&lt;-1000),IF(LEN(S16)&gt;5,TRUE,FALSE),TRUE)</f>
        <v>1</v>
      </c>
      <c r="U16" s="2103" t="b">
        <f>ROUND(SUMIF(D:D,D16,R:R),0)=ROUND(SUMIFS(НЗП_ГП!H:H,НЗП_ГП!C:C,45,НЗП_ГП!D:D,D16),0)</f>
        <v>1</v>
      </c>
      <c r="V16" s="2103" t="b">
        <f t="shared" si="4"/>
        <v>1</v>
      </c>
      <c r="W16" s="3010" t="b">
        <f t="shared" si="5"/>
        <v>1</v>
      </c>
    </row>
  </sheetData>
  <sheetProtection algorithmName="SHA-512" hashValue="OCJY4+9n0SLteJ5hu6TS9No60ge+gfxjkvTMZI9AvyAnyV0nirdAYGpzZ/YIgKX0psQur2z7YQK8uCeudqNIRw==" saltValue="nZyrRfzxQ20rxHaJKPhZFg==" spinCount="100000" sheet="1" objects="1" scenarios="1" formatColumns="0" formatRows="0" autoFilter="0"/>
  <autoFilter ref="C7:V7"/>
  <customSheetViews>
    <customSheetView guid="{3769259D-9653-4B34-A2F6-4FB6F9F4E533}" scale="70" showGridLines="0" showAutoFilter="1" hiddenRows="1" hiddenColumns="1">
      <pane xSplit="4" ySplit="7" topLeftCell="E8" activePane="bottomRight" state="frozen"/>
      <selection pane="bottomRight" activeCell="C17" sqref="C17"/>
      <pageMargins left="0.7" right="0.7" top="0.75" bottom="0.75" header="0.3" footer="0.3"/>
      <pageSetup paperSize="9" orientation="portrait" horizontalDpi="0" verticalDpi="0" r:id="rId1"/>
      <autoFilter ref="B1:T1"/>
    </customSheetView>
    <customSheetView guid="{40D7A2BB-326C-4ED3-999C-17852F56D6F4}" scale="70" showGridLines="0" showAutoFilter="1" hiddenRows="1" hiddenColumns="1">
      <pane xSplit="4" ySplit="7" topLeftCell="E8" activePane="bottomRight" state="frozen"/>
      <selection pane="bottomRight" activeCell="C17" sqref="C17"/>
      <pageMargins left="0.7" right="0.7" top="0.75" bottom="0.75" header="0.3" footer="0.3"/>
      <pageSetup paperSize="9" orientation="portrait" horizontalDpi="0" verticalDpi="0" r:id="rId2"/>
      <autoFilter ref="B1:T1"/>
    </customSheetView>
    <customSheetView guid="{5D121940-0CE8-4A0E-A493-67FAAA6E0FF8}" scale="70" showGridLines="0" showAutoFilter="1" hiddenRows="1" hiddenColumns="1" topLeftCell="B2">
      <pane xSplit="3" ySplit="8" topLeftCell="P10" activePane="bottomRight" state="frozen"/>
      <selection pane="bottomRight" activeCell="Q44" sqref="Q43:Y44"/>
      <pageMargins left="0.7" right="0.7" top="0.75" bottom="0.75" header="0.3" footer="0.3"/>
      <pageSetup paperSize="9" orientation="portrait" horizontalDpi="0" verticalDpi="0" r:id="rId3"/>
      <autoFilter ref="B1:T1"/>
    </customSheetView>
    <customSheetView guid="{47AEACC4-6EA5-412C-AF39-A6C5357B313A}" scale="70" showGridLines="0" showAutoFilter="1" hiddenRows="1" hiddenColumns="1" topLeftCell="B2">
      <pane xSplit="3" ySplit="8" topLeftCell="E10" activePane="bottomRight" state="frozen"/>
      <selection pane="bottomRight" activeCell="K31" sqref="K31"/>
      <pageMargins left="0.7" right="0.7" top="0.75" bottom="0.75" header="0.3" footer="0.3"/>
      <pageSetup paperSize="9" orientation="portrait" horizontalDpi="0" verticalDpi="0" r:id="rId4"/>
      <autoFilter ref="B1:T1"/>
    </customSheetView>
    <customSheetView guid="{4D957B38-5430-481E-B791-E0A66F913B50}" scale="70">
      <selection activeCell="J9" sqref="J9"/>
      <pageMargins left="0.7" right="0.7" top="0.75" bottom="0.75" header="0.3" footer="0.3"/>
    </customSheetView>
    <customSheetView guid="{1C36793E-2B7E-411E-AA99-985D5D59B75A}" scale="70">
      <selection activeCell="C15" sqref="C15"/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B2">
      <pane xSplit="3" ySplit="8" topLeftCell="L10" activePane="bottomRight" state="frozen"/>
      <selection pane="bottomRight" activeCell="D8" sqref="D8"/>
      <pageMargins left="0.7" right="0.7" top="0.75" bottom="0.75" header="0.3" footer="0.3"/>
      <pageSetup paperSize="9" orientation="portrait" horizontalDpi="0" verticalDpi="0" r:id="rId5"/>
      <autoFilter ref="B1:T1"/>
    </customSheetView>
  </customSheetViews>
  <mergeCells count="9">
    <mergeCell ref="S4:S5"/>
    <mergeCell ref="C4:C5"/>
    <mergeCell ref="D4:D5"/>
    <mergeCell ref="E4:E5"/>
    <mergeCell ref="F4:M4"/>
    <mergeCell ref="N4:O4"/>
    <mergeCell ref="R4:R5"/>
    <mergeCell ref="P4:P5"/>
    <mergeCell ref="Q4:Q5"/>
  </mergeCells>
  <phoneticPr fontId="0" type="noConversion"/>
  <dataValidations count="4">
    <dataValidation type="list" operator="equal" allowBlank="1" showErrorMessage="1" errorTitle="Выбор элемента списка" error="Данного элемента нет в списке" sqref="IL11:IL16">
      <formula1>_2140_</formula1>
    </dataValidation>
    <dataValidation type="list" operator="equal" allowBlank="1" showErrorMessage="1" errorTitle="Выбор элемента списка" error="Данного элемента нет в списке" sqref="IK11:IK16">
      <formula1>_2115_2220_45_</formula1>
    </dataValidation>
    <dataValidation type="list" operator="equal" allowBlank="1" showErrorMessage="1" errorTitle="Выбор элемента списка" error="Данного элемента нет в списке" sqref="C9:C16">
      <formula1>_2018_45</formula1>
    </dataValidation>
    <dataValidation type="list" allowBlank="1" showInputMessage="1" showErrorMessage="1" sqref="D9:D16">
      <formula1>_2145_tmc</formula1>
    </dataValidation>
  </dataValidations>
  <hyperlinks>
    <hyperlink ref="H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8" fitToWidth="2" orientation="landscape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84" r:id="rId9" name="Button 20">
              <controlPr defaultSize="0" print="0" autoFill="0" autoPict="0" macro="[0]!AddButtonsRowAdd">
                <anchor moveWithCells="1">
                  <from>
                    <xdr:col>3</xdr:col>
                    <xdr:colOff>1555750</xdr:colOff>
                    <xdr:row>1</xdr:row>
                    <xdr:rowOff>38100</xdr:rowOff>
                  </from>
                  <to>
                    <xdr:col>3</xdr:col>
                    <xdr:colOff>2965450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10" name="Button 44">
              <controlPr defaultSize="0" print="0" autoFill="0" autoPict="0" macro="[0]!AddButtonsRowAdd">
                <anchor moveWithCells="1">
                  <from>
                    <xdr:col>3</xdr:col>
                    <xdr:colOff>1555750</xdr:colOff>
                    <xdr:row>1</xdr:row>
                    <xdr:rowOff>38100</xdr:rowOff>
                  </from>
                  <to>
                    <xdr:col>3</xdr:col>
                    <xdr:colOff>2965450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F69"/>
  <sheetViews>
    <sheetView topLeftCell="B2" zoomScale="54" zoomScaleNormal="54" workbookViewId="0">
      <selection activeCell="F17" sqref="F17"/>
    </sheetView>
  </sheetViews>
  <sheetFormatPr defaultColWidth="9.453125" defaultRowHeight="14.5"/>
  <cols>
    <col min="1" max="1" width="26.1796875" style="1163" hidden="1" customWidth="1"/>
    <col min="2" max="2" width="11.54296875" style="1163" customWidth="1"/>
    <col min="3" max="3" width="19.453125" style="1163" customWidth="1"/>
    <col min="4" max="4" width="55.54296875" style="1163" customWidth="1"/>
    <col min="5" max="5" width="40.54296875" style="1163" customWidth="1"/>
    <col min="6" max="7" width="20.453125" style="1163" customWidth="1"/>
    <col min="8" max="12" width="16.54296875" style="1163" customWidth="1"/>
    <col min="13" max="15" width="16.54296875" style="2732" customWidth="1"/>
    <col min="16" max="16" width="32.54296875" style="1163" customWidth="1"/>
    <col min="17" max="17" width="11" style="1163" customWidth="1"/>
    <col min="18" max="18" width="9.453125" style="1163"/>
    <col min="19" max="20" width="9.453125" style="2830"/>
    <col min="21" max="21" width="16.54296875" style="2830" customWidth="1"/>
    <col min="22" max="22" width="14.54296875" style="2830" customWidth="1"/>
    <col min="23" max="23" width="14.54296875" style="1163" customWidth="1"/>
    <col min="24" max="26" width="11.54296875" style="1630" customWidth="1"/>
    <col min="27" max="27" width="11" style="1630" customWidth="1"/>
    <col min="28" max="28" width="9.453125" style="2067"/>
    <col min="29" max="29" width="9.453125" style="1163"/>
    <col min="30" max="30" width="9.453125" style="2135"/>
    <col min="31" max="16384" width="9.453125" style="1163"/>
  </cols>
  <sheetData>
    <row r="1" spans="1:32" ht="21" hidden="1" customHeight="1">
      <c r="A1" s="70" t="s">
        <v>423</v>
      </c>
      <c r="B1" s="6"/>
      <c r="C1" s="6"/>
      <c r="D1" s="6"/>
      <c r="E1" s="6"/>
      <c r="F1" s="6"/>
      <c r="G1" s="6"/>
      <c r="H1" s="6" t="s">
        <v>390</v>
      </c>
      <c r="I1" s="6" t="s">
        <v>6473</v>
      </c>
      <c r="J1" s="2426" t="s">
        <v>6474</v>
      </c>
      <c r="K1" s="2426" t="s">
        <v>6475</v>
      </c>
      <c r="L1" s="2426" t="s">
        <v>6476</v>
      </c>
      <c r="M1" s="2438"/>
      <c r="N1" s="2438"/>
      <c r="O1" s="2438"/>
      <c r="P1" s="6"/>
    </row>
    <row r="2" spans="1:32" s="1778" customFormat="1">
      <c r="A2" s="7"/>
      <c r="E2"/>
      <c r="H2" s="1778" t="s">
        <v>1648</v>
      </c>
      <c r="X2" s="1930"/>
      <c r="Y2" s="1930"/>
      <c r="Z2" s="1930"/>
      <c r="AA2" s="1930"/>
      <c r="AB2" s="2067"/>
      <c r="AD2" s="2135"/>
    </row>
    <row r="3" spans="1:32" ht="42.75" customHeight="1">
      <c r="A3" s="7"/>
      <c r="E3" s="1203"/>
      <c r="H3" s="1897" t="s">
        <v>2067</v>
      </c>
      <c r="I3" s="1244">
        <f>Содержание!$D$2</f>
        <v>0</v>
      </c>
      <c r="J3" s="2353"/>
      <c r="K3" s="2353"/>
      <c r="L3" s="2353"/>
      <c r="M3" s="2353"/>
      <c r="N3" s="2353"/>
      <c r="O3" s="2353"/>
    </row>
    <row r="4" spans="1:32" ht="46.5" customHeight="1">
      <c r="A4" s="7"/>
      <c r="C4" s="523" t="s">
        <v>1653</v>
      </c>
      <c r="D4" s="523"/>
      <c r="E4" s="486"/>
      <c r="F4" s="3044" t="s">
        <v>1436</v>
      </c>
      <c r="G4" s="1202"/>
      <c r="H4" s="1897" t="s">
        <v>2075</v>
      </c>
      <c r="I4" s="1244" t="str">
        <f>Содержание!$D$15</f>
        <v>2022 год</v>
      </c>
      <c r="J4" s="2353"/>
      <c r="K4" s="2353"/>
      <c r="L4" s="2353"/>
      <c r="M4" s="2353"/>
      <c r="N4" s="2353"/>
      <c r="O4" s="2353"/>
    </row>
    <row r="5" spans="1:32" ht="15" thickBot="1">
      <c r="A5" s="7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32" ht="130">
      <c r="A6" s="7"/>
      <c r="C6" s="436" t="s">
        <v>1654</v>
      </c>
      <c r="D6" s="3067" t="s">
        <v>6112</v>
      </c>
      <c r="E6" s="435" t="s">
        <v>3991</v>
      </c>
      <c r="F6" s="435" t="s">
        <v>3512</v>
      </c>
      <c r="G6" s="3159" t="s">
        <v>9889</v>
      </c>
      <c r="H6" s="435" t="s">
        <v>5233</v>
      </c>
      <c r="I6" s="3067" t="s">
        <v>5560</v>
      </c>
      <c r="J6" s="3067" t="s">
        <v>5561</v>
      </c>
      <c r="K6" s="3067" t="s">
        <v>5562</v>
      </c>
      <c r="L6" s="3067" t="s">
        <v>5563</v>
      </c>
      <c r="M6" s="2838" t="s">
        <v>7706</v>
      </c>
      <c r="N6" s="2838" t="s">
        <v>7707</v>
      </c>
      <c r="O6" s="3160" t="s">
        <v>8394</v>
      </c>
      <c r="P6" s="434" t="s">
        <v>3401</v>
      </c>
      <c r="Q6" s="3067" t="s">
        <v>5308</v>
      </c>
      <c r="R6" s="2732"/>
      <c r="U6" s="3310" t="s">
        <v>7525</v>
      </c>
      <c r="V6" s="3498" t="s">
        <v>14672</v>
      </c>
      <c r="W6" s="1163" t="b">
        <f>AND(W9:AF10,S9,T9)</f>
        <v>1</v>
      </c>
    </row>
    <row r="7" spans="1:32" ht="15" customHeight="1">
      <c r="A7" s="7"/>
      <c r="C7" s="68" t="s">
        <v>1655</v>
      </c>
      <c r="D7" s="3068" t="s">
        <v>6414</v>
      </c>
      <c r="E7" s="174">
        <v>6004</v>
      </c>
      <c r="F7" s="174">
        <v>6004</v>
      </c>
      <c r="G7" s="2389">
        <v>6004</v>
      </c>
      <c r="H7" s="174" t="s">
        <v>673</v>
      </c>
      <c r="I7" s="3068" t="s">
        <v>5581</v>
      </c>
      <c r="J7" s="3068">
        <v>1008</v>
      </c>
      <c r="K7" s="3068" t="s">
        <v>5582</v>
      </c>
      <c r="L7" s="3068" t="s">
        <v>5582</v>
      </c>
      <c r="M7" s="2052"/>
      <c r="N7" s="2052"/>
      <c r="O7" s="845" t="s">
        <v>5247</v>
      </c>
      <c r="P7" s="433"/>
      <c r="Q7" s="3068"/>
      <c r="R7" s="674"/>
      <c r="S7" s="674"/>
      <c r="T7" s="674"/>
      <c r="U7" s="674"/>
      <c r="V7" s="674"/>
      <c r="W7" s="3788" t="s">
        <v>422</v>
      </c>
      <c r="X7" s="3788"/>
      <c r="Y7" s="3788"/>
      <c r="Z7" s="3788"/>
      <c r="AA7" s="3788"/>
      <c r="AB7" s="3788"/>
      <c r="AC7" s="3788"/>
      <c r="AD7" s="3788"/>
      <c r="AE7" s="3788"/>
      <c r="AF7" s="3788"/>
    </row>
    <row r="8" spans="1:32" s="674" customFormat="1" ht="13">
      <c r="A8" s="668"/>
      <c r="B8" s="1581"/>
      <c r="C8" s="1124" t="s">
        <v>4164</v>
      </c>
      <c r="D8" s="1124" t="s">
        <v>4165</v>
      </c>
      <c r="E8" s="1124" t="s">
        <v>4166</v>
      </c>
      <c r="F8" s="1124" t="s">
        <v>5500</v>
      </c>
      <c r="G8" s="1124" t="s">
        <v>4169</v>
      </c>
      <c r="H8" s="1124" t="s">
        <v>4168</v>
      </c>
      <c r="I8" s="1124" t="s">
        <v>4178</v>
      </c>
      <c r="J8" s="1124" t="s">
        <v>4179</v>
      </c>
      <c r="K8" s="1124" t="s">
        <v>4167</v>
      </c>
      <c r="L8" s="1124" t="s">
        <v>5501</v>
      </c>
      <c r="M8" s="1124" t="s">
        <v>4701</v>
      </c>
      <c r="N8" s="1124" t="s">
        <v>4702</v>
      </c>
      <c r="O8" s="1124" t="s">
        <v>4703</v>
      </c>
      <c r="P8" s="1124" t="s">
        <v>5502</v>
      </c>
      <c r="Q8" s="1124" t="s">
        <v>5503</v>
      </c>
      <c r="W8" s="1623" t="s">
        <v>4953</v>
      </c>
      <c r="X8" s="1624">
        <v>21</v>
      </c>
      <c r="Y8" s="1624">
        <v>41</v>
      </c>
      <c r="Z8" s="1624">
        <v>43</v>
      </c>
      <c r="AA8" s="1625">
        <v>45</v>
      </c>
      <c r="AB8" s="1624" t="s">
        <v>3441</v>
      </c>
      <c r="AC8" s="1624" t="s">
        <v>3443</v>
      </c>
      <c r="AD8" s="1624" t="s">
        <v>3445</v>
      </c>
      <c r="AE8" s="1624" t="s">
        <v>3447</v>
      </c>
      <c r="AF8" s="1624" t="s">
        <v>3449</v>
      </c>
    </row>
    <row r="9" spans="1:32" s="646" customFormat="1" ht="15" thickBot="1">
      <c r="A9" s="9"/>
      <c r="C9" s="1125" t="s">
        <v>4184</v>
      </c>
      <c r="D9" s="432" t="s">
        <v>3389</v>
      </c>
      <c r="E9" s="432" t="s">
        <v>3389</v>
      </c>
      <c r="F9" s="789" t="s">
        <v>4184</v>
      </c>
      <c r="G9" s="789" t="s">
        <v>4184</v>
      </c>
      <c r="H9" s="790">
        <f>SUM(H10:H10001)</f>
        <v>0</v>
      </c>
      <c r="I9" s="790">
        <f t="shared" ref="I9:L9" si="0">SUM(I10:I10001)</f>
        <v>0</v>
      </c>
      <c r="J9" s="790">
        <f t="shared" si="0"/>
        <v>0</v>
      </c>
      <c r="K9" s="790">
        <f t="shared" si="0"/>
        <v>0</v>
      </c>
      <c r="L9" s="790">
        <f t="shared" si="0"/>
        <v>0</v>
      </c>
      <c r="M9" s="431" t="s">
        <v>4184</v>
      </c>
      <c r="N9" s="431" t="s">
        <v>4184</v>
      </c>
      <c r="O9" s="431" t="s">
        <v>4184</v>
      </c>
      <c r="P9" s="431" t="s">
        <v>4184</v>
      </c>
      <c r="Q9" s="431" t="s">
        <v>4184</v>
      </c>
      <c r="R9" s="2841" t="b">
        <f>AND(R10:R5000)</f>
        <v>1</v>
      </c>
      <c r="S9" s="2841" t="b">
        <f>AND(S10:S5000)</f>
        <v>1</v>
      </c>
      <c r="T9" s="2841" t="b">
        <f>AND(T10:T5000)</f>
        <v>1</v>
      </c>
      <c r="U9" s="2841" t="b">
        <f>AND(U10:U5000)</f>
        <v>1</v>
      </c>
      <c r="V9" s="2841" t="b">
        <f>AND(V10:V5000)</f>
        <v>1</v>
      </c>
      <c r="W9" s="1631" t="b">
        <f>AND(ABS(ОСВ_авт!$F$69)-ABS(SUMIF($C:$C,"20_23_25_29",$H:$H))&lt;5,ABS(SUMIF($C:$C,"20_23_25_29",$H:$H)-ABS(ОСВ_авт!$F$69))&lt;5)</f>
        <v>1</v>
      </c>
      <c r="X9" s="1631" t="b">
        <f>AND(ABS(ОСВ_авт!F70)-ABS(SUMIF($C:$C,"21",$H:$H))&lt;5,ABS(SUMIF($C:$C,"21",$H:$H)-ABS(ОСВ_авт!F70)&lt;5))</f>
        <v>1</v>
      </c>
      <c r="Y9" s="1631" t="b">
        <f>AND(ABS(ОСВ_авт!F74)-ABS(SUMIF($C:$C,"41",$H:$H))&lt;5,ABS(SUMIF($C:$C,"41",$H:$H))-ABS(ОСВ_авт!F74)&lt;5)</f>
        <v>1</v>
      </c>
      <c r="Z9" s="1631" t="b">
        <f>AND(ABS(ОСВ_авт!$F$78)-ABS(SUMIF($C:$C,"43",$H:$H))&lt;5,ABS(SUMIF($C:$C,"43",$H:$H))-ABS(ОСВ_авт!$F$78)&lt;5)</f>
        <v>1</v>
      </c>
      <c r="AA9" s="1631" t="b">
        <f>AND(ABS(ОСВ_авт!$F$80)-ABS(SUMIF($C:$C,"45",$H:$H))&lt;5,ABS(SUMIF($C:$C,"45",$H:$H))-ABS(ОСВ_авт!$F$80)&lt;5)</f>
        <v>1</v>
      </c>
      <c r="AB9" s="1631" t="b">
        <f>AND(ABS(ОСВ_авт!$F$46)-ABS(SUMIF($C:$C,"14.02",$H:$H))&lt;5,ABS(SUMIF($C:$C,"14.02",$H:$H))-ABS(ОСВ_авт!$F$46)&lt;5)</f>
        <v>1</v>
      </c>
      <c r="AC9" s="1631" t="b">
        <f>AND(ABS(ОСВ_авт!$F$47)-ABS(SUMIF($C:$C,"14.03",$H:$H))&lt;5,ABS(SUMIF($C:$C,"14.03",$H:$H))-ABS(ОСВ_авт!$F$47)&lt;5)</f>
        <v>1</v>
      </c>
      <c r="AD9" s="1631" t="b">
        <f>AND(ABS(ОСВ_авт!$F$48)-ABS(SUMIF($C:$C,"14.04",$H:$H))&lt;5,ABS(SUMIF($C:$C,"14.04",$H:$H))-ABS(ОСВ_авт!$F$48)&lt;5)</f>
        <v>1</v>
      </c>
      <c r="AE9" s="1631" t="b">
        <f>AND(ABS(ОСВ_авт!$F$49)-ABS(SUMIF($C:$C,"14.05",$H:$H))&lt;5,ABS(SUMIF($C:$C,"14.05",$H:$H))-ABS(ОСВ_авт!$F$49)&lt;5)</f>
        <v>1</v>
      </c>
      <c r="AF9" s="1631" t="b">
        <f>AND(ABS(ОСВ_авт!$F$50)-ABS(SUMIF($C:$C,"14.06",$H:$H))&lt;5,ABS(SUMIF($C:$C,"14.06",$H:$H))-ABS(ОСВ_авт!$F$50)&lt;5)</f>
        <v>1</v>
      </c>
    </row>
    <row r="10" spans="1:32" ht="15" thickTop="1">
      <c r="A10" s="9" t="str">
        <f t="shared" ref="A10:A21" si="1">"R4="&amp;IFERROR(MID(D10,FIND("{",D10)+1,FIND("}",D10)-FIND("{",D10)-1),"")&amp;";R5="&amp;C10&amp;";R42="&amp;MID(IF(G10&lt;&gt;"",G10,F10),1,30)&amp;";R36="&amp;MID(G10,1,30)&amp;";R43="&amp;MID(F10,1,30)&amp;";R48="&amp;MID(O10,1,30)&amp;";R51="&amp;MID(N10,1,30)&amp;";COM="&amp;P10</f>
        <v>R4=;R5=;R42=;R36=;R43=;R48=;R51=;COM=</v>
      </c>
      <c r="B10" s="601"/>
      <c r="C10" s="1882"/>
      <c r="D10" s="1883"/>
      <c r="E10" s="2063"/>
      <c r="F10" s="789" t="str">
        <f>IF(E10="Не расшифровывается","Не расшифровывается",IF(E10="","",VLOOKUP(E10,Список_компаний!$A$3:$B$299,2,FALSE)))</f>
        <v/>
      </c>
      <c r="G10" s="789" t="str">
        <f>IF(E10="Не расшифровывается","Не расшифровывается",IF(E10="","",VLOOKUP(E10,Список_компаний!$A$3:$C$299,3,FALSE)))</f>
        <v/>
      </c>
      <c r="H10" s="788"/>
      <c r="I10" s="2354"/>
      <c r="J10" s="2354"/>
      <c r="K10" s="2354"/>
      <c r="L10" s="2354"/>
      <c r="M10" s="2674"/>
      <c r="N10" s="1321"/>
      <c r="O10" s="1321"/>
      <c r="P10" s="2357"/>
      <c r="Q10" s="2356" t="b">
        <f t="shared" ref="Q10" si="2">IF(H10&gt;0,H10&gt;=N(I10)+N(J10)+N(K10)+N(L10),H10&lt;=N(I10)+N(J10)+N(K10)+N(L10))</f>
        <v>1</v>
      </c>
      <c r="R10" s="2841" t="b">
        <f>AND(OR(ISNA(VLOOKUP(F10,_icompindex,1,0)),AND(M10&lt;&gt;"",OR(N10&lt;&gt;"",O10&lt;&gt;"")),(E10="Росэнергоатом")),IFERROR(VLOOKUP(E10,Список_компаний!A:N,12,0)="",TRUE))</f>
        <v>1</v>
      </c>
      <c r="S10" s="2841" t="b">
        <f>AND(IF(SUMIFS(H:H,C:C,C10,D:D,D10,E:E,E10)+SUMIFS(H:H,C:C,VLOOKUP(C10,$W$12:$X$21,2,0),D:D,D10,E:E,E10)&lt;-5,FALSE,TRUE),IF(H10&lt;&gt;0,IF(E10="",FALSE,TRUE),TRUE))</f>
        <v>1</v>
      </c>
      <c r="T10" s="2841" t="b">
        <f>IF(LEFT(C10,2)="14",ABS(SUMIFS($H$10:$H$10000,$C$10:$C$10000,C10,$D$10:$D$10000,D10)-SUMIFS('14'!$J$73:$J$9998,'14'!$C$73:$C$9998,VLOOKUP(C10,$W$12:$Y$16,3,0),'14'!$D$73:$D$9998,НЗП_ГП!D10))&lt;5,TRUE)</f>
        <v>1</v>
      </c>
      <c r="U10" s="2841" t="b">
        <f t="shared" ref="U10:U21" si="3">AND(IF(C10&lt;&gt;"",IF(ISNA(VLOOKUP(C10,_счета,1,0)),FALSE,TRUE),TRUE),IF(D10&lt;&gt;"",IF(ISNA(VLOOKUP(D10,_2145,1,0)),FALSE,TRUE),TRUE),IF(E10&lt;&gt;"",IF(ISNA(VLOOKUP(E10,_comp_нзп,1,0)),FALSE,TRUE),TRUE))</f>
        <v>1</v>
      </c>
      <c r="V10" s="2841" t="b">
        <f>IF(C10=45,IF(OR(O10=10015,O10=10000),FALSE,TRUE),TRUE)</f>
        <v>1</v>
      </c>
      <c r="X10" s="1632" t="b">
        <f>ROUND('21'!$M$10,0)=ROUND(SUMIF($C:$C,"21",$H:$H),0)</f>
        <v>1</v>
      </c>
      <c r="Y10" s="1633" t="b">
        <f>'41_01'!Z10</f>
        <v>1</v>
      </c>
      <c r="Z10" s="1630" t="b">
        <f>'43'!P8</f>
        <v>1</v>
      </c>
      <c r="AA10" s="1630" t="b">
        <f>'45'!U8</f>
        <v>1</v>
      </c>
      <c r="AB10" s="2057" t="str">
        <f t="shared" ref="AB10:AB19" si="4">D10&amp;AD10</f>
        <v/>
      </c>
      <c r="AC10" s="1618"/>
      <c r="AD10" s="2135" t="str">
        <f>IF(F10&lt;&gt;"",IF(VLOOKUP(F10,Список_компаний!B:I,8,0)="Да","Да","Нет"),"")</f>
        <v/>
      </c>
    </row>
    <row r="11" spans="1:32" ht="15.5">
      <c r="A11" s="2427" t="str">
        <f t="shared" si="1"/>
        <v>R4=;R5=;R42=;R36=;R43=;R48=;R51=;COM=</v>
      </c>
      <c r="B11" s="601"/>
      <c r="C11" s="1882"/>
      <c r="D11" s="1883"/>
      <c r="E11" s="2063"/>
      <c r="F11" s="789" t="str">
        <f>IF(E11="Не расшифровывается","Не расшифровывается",IF(E11="","",VLOOKUP(E11,Список_компаний!$A$3:$B$299,2,FALSE)))</f>
        <v/>
      </c>
      <c r="G11" s="789" t="str">
        <f>IF(E11="Не расшифровывается","Не расшифровывается",IF(E11="","",VLOOKUP(E11,Список_компаний!$A$3:$C$299,3,FALSE)))</f>
        <v/>
      </c>
      <c r="H11" s="220"/>
      <c r="I11" s="2354"/>
      <c r="J11" s="2354"/>
      <c r="K11" s="2354"/>
      <c r="L11" s="2354"/>
      <c r="M11" s="2674"/>
      <c r="N11" s="1321"/>
      <c r="O11" s="1321"/>
      <c r="P11" s="2357"/>
      <c r="Q11" s="2356" t="b">
        <f>IF(H11&gt;0,H11&gt;=N(I11)+N(J11)+N(K11)+N(L11),H11&lt;=N(I11)+N(J11)+N(K11)+N(L11))</f>
        <v>1</v>
      </c>
      <c r="R11" s="2841" t="b">
        <f>AND(OR(ISNA(VLOOKUP(F11,_icompindex,1,0)),AND(M11&lt;&gt;"",OR(N11&lt;&gt;"",O11&lt;&gt;"")),(E11="Росэнергоатом")),IFERROR(VLOOKUP(E11,Список_компаний!A:N,12,0)="",TRUE))</f>
        <v>1</v>
      </c>
      <c r="S11" s="2841" t="b">
        <f t="shared" ref="S11:S21" si="5">AND(IF(SUMIFS(H:H,C:C,C11,D:D,D11,E:E,E11)+SUMIFS(H:H,C:C,VLOOKUP(C11,$W$12:$X$21,2,0),D:D,D11,E:E,E11)&lt;-5,FALSE,TRUE),IF(H11&lt;&gt;0,IF(E11="",FALSE,TRUE),TRUE))</f>
        <v>1</v>
      </c>
      <c r="T11" s="2841" t="b">
        <f>IF(LEFT(C11,2)="14",ABS(SUMIFS($H$10:$H$10000,$C$10:$C$10000,C11,$D$10:$D$10000,D11)-SUMIFS('14'!$J$73:$J$9998,'14'!$C$73:$C$9998,VLOOKUP(C11,$W$12:$Y$16,3,0),'14'!$D$73:$D$9998,НЗП_ГП!D11))&lt;5,TRUE)</f>
        <v>1</v>
      </c>
      <c r="U11" s="2841" t="b">
        <f t="shared" si="3"/>
        <v>1</v>
      </c>
      <c r="V11" s="2841" t="b">
        <f t="shared" ref="V11:V21" si="6">IF(C11=45,IF(OR(O11=10015,O11=10000),FALSE,TRUE),TRUE)</f>
        <v>1</v>
      </c>
      <c r="X11" s="1634"/>
      <c r="Y11" s="1635"/>
      <c r="AB11" s="2057" t="str">
        <f t="shared" si="4"/>
        <v/>
      </c>
      <c r="AC11" s="1618"/>
      <c r="AD11" s="2135" t="str">
        <f>IF(F11&lt;&gt;"",IF(VLOOKUP(F11,Список_компаний!B:I,8,0)="Да","Да","Нет"),"")</f>
        <v/>
      </c>
    </row>
    <row r="12" spans="1:32">
      <c r="A12" s="2427" t="str">
        <f t="shared" si="1"/>
        <v>R4=;R5=;R42=;R36=;R43=;R48=;R51=;COM=</v>
      </c>
      <c r="B12" s="601"/>
      <c r="C12" s="1882"/>
      <c r="D12" s="1883"/>
      <c r="E12" s="2063"/>
      <c r="F12" s="789" t="str">
        <f>IF(E12="Не расшифровывается","Не расшифровывается",IF(E12="","",VLOOKUP(E12,Список_компаний!$A$3:$B$299,2,FALSE)))</f>
        <v/>
      </c>
      <c r="G12" s="789" t="str">
        <f>IF(E12="Не расшифровывается","Не расшифровывается",IF(E12="","",VLOOKUP(E12,Список_компаний!$A$3:$C$299,3,FALSE)))</f>
        <v/>
      </c>
      <c r="H12" s="220"/>
      <c r="I12" s="2354"/>
      <c r="J12" s="2354"/>
      <c r="K12" s="2354"/>
      <c r="L12" s="2354"/>
      <c r="M12" s="2674"/>
      <c r="N12" s="1321"/>
      <c r="O12" s="1321"/>
      <c r="P12" s="2357"/>
      <c r="Q12" s="2356" t="b">
        <f t="shared" ref="Q12:Q19" si="7">IF(H12&gt;0,H12&gt;=N(I12)+N(J12)+N(K12)+N(L12),H12&lt;=N(I12)+N(J12)+N(K12)+N(L12))</f>
        <v>1</v>
      </c>
      <c r="R12" s="2841" t="b">
        <f>AND(OR(ISNA(VLOOKUP(F12,_icompindex,1,0)),AND(M12&lt;&gt;"",OR(N12&lt;&gt;"",O12&lt;&gt;"")),(E12="Росэнергоатом")),IFERROR(VLOOKUP(E12,Список_компаний!A:N,12,0)="",TRUE))</f>
        <v>1</v>
      </c>
      <c r="S12" s="2841" t="b">
        <f t="shared" si="5"/>
        <v>1</v>
      </c>
      <c r="T12" s="2841" t="b">
        <f>IF(LEFT(C12,2)="14",ABS(SUMIFS($H$10:$H$10000,$C$10:$C$10000,C12,$D$10:$D$10000,D12)-SUMIFS('14'!$J$73:$J$9998,'14'!$C$73:$C$9998,VLOOKUP(C12,$W$12:$Y$16,3,0),'14'!$D$73:$D$9998,НЗП_ГП!D12))&lt;5,TRUE)</f>
        <v>1</v>
      </c>
      <c r="U12" s="2841" t="b">
        <f t="shared" si="3"/>
        <v>1</v>
      </c>
      <c r="V12" s="2841" t="b">
        <f t="shared" si="6"/>
        <v>1</v>
      </c>
      <c r="W12" s="2964" t="s">
        <v>3441</v>
      </c>
      <c r="X12" s="2964">
        <v>41</v>
      </c>
      <c r="Y12" s="1630" t="s">
        <v>4529</v>
      </c>
      <c r="AB12" s="2057" t="str">
        <f t="shared" si="4"/>
        <v/>
      </c>
      <c r="AC12" s="1618"/>
      <c r="AD12" s="2135" t="str">
        <f>IF(F12&lt;&gt;"",IF(VLOOKUP(F12,Список_компаний!B:I,8,0)="Да","Да","Нет"),"")</f>
        <v/>
      </c>
    </row>
    <row r="13" spans="1:32">
      <c r="A13" s="2427" t="str">
        <f t="shared" si="1"/>
        <v>R4=;R5=;R42=;R36=;R43=;R48=;R51=;COM=</v>
      </c>
      <c r="B13" s="601"/>
      <c r="C13" s="1882"/>
      <c r="D13" s="1883"/>
      <c r="E13" s="2063"/>
      <c r="F13" s="789" t="str">
        <f>IF(E13="Не расшифровывается","Не расшифровывается",IF(E13="","",VLOOKUP(E13,Список_компаний!$A$3:$B$299,2,FALSE)))</f>
        <v/>
      </c>
      <c r="G13" s="789" t="str">
        <f>IF(E13="Не расшифровывается","Не расшифровывается",IF(E13="","",VLOOKUP(E13,Список_компаний!$A$3:$C$299,3,FALSE)))</f>
        <v/>
      </c>
      <c r="H13" s="220"/>
      <c r="I13" s="2354"/>
      <c r="J13" s="2354"/>
      <c r="K13" s="2354"/>
      <c r="L13" s="2354"/>
      <c r="M13" s="2674"/>
      <c r="N13" s="1321"/>
      <c r="O13" s="1321"/>
      <c r="P13" s="2357"/>
      <c r="Q13" s="2356" t="b">
        <f t="shared" si="7"/>
        <v>1</v>
      </c>
      <c r="R13" s="2841" t="b">
        <f>AND(OR(ISNA(VLOOKUP(F13,_icompindex,1,0)),AND(M13&lt;&gt;"",OR(N13&lt;&gt;"",O13&lt;&gt;"")),(E13="Росэнергоатом")),IFERROR(VLOOKUP(E13,Список_компаний!A:N,12,0)="",TRUE))</f>
        <v>1</v>
      </c>
      <c r="S13" s="2841" t="b">
        <f t="shared" si="5"/>
        <v>1</v>
      </c>
      <c r="T13" s="2841" t="b">
        <f>IF(LEFT(C13,2)="14",ABS(SUMIFS($H$10:$H$10000,$C$10:$C$10000,C13,$D$10:$D$10000,D13)-SUMIFS('14'!$J$73:$J$9998,'14'!$C$73:$C$9998,VLOOKUP(C13,$W$12:$Y$16,3,0),'14'!$D$73:$D$9998,НЗП_ГП!D13))&lt;5,TRUE)</f>
        <v>1</v>
      </c>
      <c r="U13" s="2841" t="b">
        <f t="shared" si="3"/>
        <v>1</v>
      </c>
      <c r="V13" s="2841" t="b">
        <f t="shared" si="6"/>
        <v>1</v>
      </c>
      <c r="W13" s="2964" t="s">
        <v>3443</v>
      </c>
      <c r="X13" s="2964">
        <v>43</v>
      </c>
      <c r="Y13" s="1630" t="s">
        <v>4530</v>
      </c>
      <c r="AB13" s="2057" t="str">
        <f t="shared" si="4"/>
        <v/>
      </c>
      <c r="AC13" s="1618"/>
      <c r="AD13" s="2135" t="str">
        <f>IF(F13&lt;&gt;"",IF(VLOOKUP(F13,Список_компаний!B:I,8,0)="Да","Да","Нет"),"")</f>
        <v/>
      </c>
    </row>
    <row r="14" spans="1:32">
      <c r="A14" s="2427" t="str">
        <f t="shared" si="1"/>
        <v>R4=;R5=;R42=;R36=;R43=;R48=;R51=;COM=</v>
      </c>
      <c r="B14" s="601"/>
      <c r="C14" s="1882"/>
      <c r="D14" s="1883"/>
      <c r="E14" s="2063"/>
      <c r="F14" s="789" t="str">
        <f>IF(E14="Не расшифровывается","Не расшифровывается",IF(E14="","",VLOOKUP(E14,Список_компаний!$A$3:$B$299,2,FALSE)))</f>
        <v/>
      </c>
      <c r="G14" s="789" t="str">
        <f>IF(E14="Не расшифровывается","Не расшифровывается",IF(E14="","",VLOOKUP(E14,Список_компаний!$A$3:$C$299,3,FALSE)))</f>
        <v/>
      </c>
      <c r="H14" s="220"/>
      <c r="I14" s="2354"/>
      <c r="J14" s="2354"/>
      <c r="K14" s="2354"/>
      <c r="L14" s="2354"/>
      <c r="M14" s="2674"/>
      <c r="N14" s="1321"/>
      <c r="O14" s="1321"/>
      <c r="P14" s="2357"/>
      <c r="Q14" s="2356" t="b">
        <f t="shared" si="7"/>
        <v>1</v>
      </c>
      <c r="R14" s="2841" t="b">
        <f>AND(OR(ISNA(VLOOKUP(F14,_icompindex,1,0)),AND(M14&lt;&gt;"",OR(N14&lt;&gt;"",O14&lt;&gt;"")),(E14="Росэнергоатом")),IFERROR(VLOOKUP(E14,Список_компаний!A:N,12,0)="",TRUE))</f>
        <v>1</v>
      </c>
      <c r="S14" s="2841" t="b">
        <f t="shared" si="5"/>
        <v>1</v>
      </c>
      <c r="T14" s="2841" t="b">
        <f>IF(LEFT(C14,2)="14",ABS(SUMIFS($H$10:$H$10000,$C$10:$C$10000,C14,$D$10:$D$10000,D14)-SUMIFS('14'!$J$73:$J$9998,'14'!$C$73:$C$9998,VLOOKUP(C14,$W$12:$Y$16,3,0),'14'!$D$73:$D$9998,НЗП_ГП!D14))&lt;5,TRUE)</f>
        <v>1</v>
      </c>
      <c r="U14" s="2841" t="b">
        <f t="shared" si="3"/>
        <v>1</v>
      </c>
      <c r="V14" s="2841" t="b">
        <f t="shared" si="6"/>
        <v>1</v>
      </c>
      <c r="W14" s="2964" t="s">
        <v>3445</v>
      </c>
      <c r="X14" s="2964">
        <v>45</v>
      </c>
      <c r="Y14" s="1630" t="s">
        <v>4531</v>
      </c>
      <c r="AB14" s="2057" t="str">
        <f t="shared" si="4"/>
        <v/>
      </c>
      <c r="AC14" s="1618"/>
      <c r="AD14" s="2135" t="str">
        <f>IF(F14&lt;&gt;"",IF(VLOOKUP(F14,Список_компаний!B:I,8,0)="Да","Да","Нет"),"")</f>
        <v/>
      </c>
    </row>
    <row r="15" spans="1:32">
      <c r="A15" s="2427" t="str">
        <f t="shared" si="1"/>
        <v>R4=;R5=;R42=;R36=;R43=;R48=;R51=;COM=</v>
      </c>
      <c r="B15" s="601"/>
      <c r="C15" s="1882"/>
      <c r="D15" s="1883"/>
      <c r="E15" s="2063"/>
      <c r="F15" s="789" t="str">
        <f>IF(E15="Не расшифровывается","Не расшифровывается",IF(E15="","",VLOOKUP(E15,Список_компаний!$A$3:$B$299,2,FALSE)))</f>
        <v/>
      </c>
      <c r="G15" s="789" t="str">
        <f>IF(E15="Не расшифровывается","Не расшифровывается",IF(E15="","",VLOOKUP(E15,Список_компаний!$A$3:$C$299,3,FALSE)))</f>
        <v/>
      </c>
      <c r="H15" s="220"/>
      <c r="I15" s="2354"/>
      <c r="J15" s="2354"/>
      <c r="K15" s="2354"/>
      <c r="L15" s="2354"/>
      <c r="M15" s="2674"/>
      <c r="N15" s="1321"/>
      <c r="O15" s="1321"/>
      <c r="P15" s="2357"/>
      <c r="Q15" s="2356" t="b">
        <f t="shared" si="7"/>
        <v>1</v>
      </c>
      <c r="R15" s="2841" t="b">
        <f>AND(OR(ISNA(VLOOKUP(F15,_icompindex,1,0)),AND(M15&lt;&gt;"",OR(N15&lt;&gt;"",O15&lt;&gt;"")),(E15="Росэнергоатом")),IFERROR(VLOOKUP(E15,Список_компаний!A:N,12,0)="",TRUE))</f>
        <v>1</v>
      </c>
      <c r="S15" s="2841" t="b">
        <f t="shared" si="5"/>
        <v>1</v>
      </c>
      <c r="T15" s="2841" t="b">
        <f>IF(LEFT(C15,2)="14",ABS(SUMIFS($H$10:$H$10000,$C$10:$C$10000,C15,$D$10:$D$10000,D15)-SUMIFS('14'!$J$73:$J$9998,'14'!$C$73:$C$9998,VLOOKUP(C15,$W$12:$Y$16,3,0),'14'!$D$73:$D$9998,НЗП_ГП!D15))&lt;5,TRUE)</f>
        <v>1</v>
      </c>
      <c r="U15" s="2841" t="b">
        <f t="shared" si="3"/>
        <v>1</v>
      </c>
      <c r="V15" s="2841" t="b">
        <f t="shared" si="6"/>
        <v>1</v>
      </c>
      <c r="W15" s="2964" t="s">
        <v>3447</v>
      </c>
      <c r="X15" s="2964" t="s">
        <v>4953</v>
      </c>
      <c r="Y15" s="1630" t="s">
        <v>4527</v>
      </c>
      <c r="AB15" s="2057" t="str">
        <f t="shared" si="4"/>
        <v/>
      </c>
      <c r="AC15" s="1618"/>
      <c r="AD15" s="2135" t="str">
        <f>IF(F15&lt;&gt;"",IF(VLOOKUP(F15,Список_компаний!B:I,8,0)="Да","Да","Нет"),"")</f>
        <v/>
      </c>
    </row>
    <row r="16" spans="1:32">
      <c r="A16" s="2427" t="str">
        <f t="shared" si="1"/>
        <v>R4=;R5=;R42=;R36=;R43=;R48=;R51=;COM=</v>
      </c>
      <c r="B16" s="601"/>
      <c r="C16" s="1882"/>
      <c r="D16" s="1883"/>
      <c r="E16" s="2063"/>
      <c r="F16" s="789" t="str">
        <f>IF(E16="Не расшифровывается","Не расшифровывается",IF(E16="","",VLOOKUP(E16,Список_компаний!$A$3:$B$299,2,FALSE)))</f>
        <v/>
      </c>
      <c r="G16" s="789" t="str">
        <f>IF(E16="Не расшифровывается","Не расшифровывается",IF(E16="","",VLOOKUP(E16,Список_компаний!$A$3:$C$299,3,FALSE)))</f>
        <v/>
      </c>
      <c r="H16" s="220"/>
      <c r="I16" s="2354"/>
      <c r="J16" s="2354"/>
      <c r="K16" s="2354"/>
      <c r="L16" s="2354"/>
      <c r="M16" s="2674"/>
      <c r="N16" s="1321"/>
      <c r="O16" s="1321"/>
      <c r="P16" s="2357"/>
      <c r="Q16" s="2356" t="b">
        <f t="shared" si="7"/>
        <v>1</v>
      </c>
      <c r="R16" s="2841" t="b">
        <f>AND(OR(ISNA(VLOOKUP(F16,_icompindex,1,0)),AND(M16&lt;&gt;"",OR(N16&lt;&gt;"",O16&lt;&gt;"")),(E16="Росэнергоатом")),IFERROR(VLOOKUP(E16,Список_компаний!A:N,12,0)="",TRUE))</f>
        <v>1</v>
      </c>
      <c r="S16" s="2841" t="b">
        <f t="shared" si="5"/>
        <v>1</v>
      </c>
      <c r="T16" s="2841" t="b">
        <f>IF(LEFT(C16,2)="14",ABS(SUMIFS($H$10:$H$10000,$C$10:$C$10000,C16,$D$10:$D$10000,D16)-SUMIFS('14'!$J$73:$J$9998,'14'!$C$73:$C$9998,VLOOKUP(C16,$W$12:$Y$16,3,0),'14'!$D$73:$D$9998,НЗП_ГП!D16))&lt;5,TRUE)</f>
        <v>1</v>
      </c>
      <c r="U16" s="2841" t="b">
        <f t="shared" si="3"/>
        <v>1</v>
      </c>
      <c r="V16" s="2841" t="b">
        <f t="shared" si="6"/>
        <v>1</v>
      </c>
      <c r="W16" s="2964" t="s">
        <v>3449</v>
      </c>
      <c r="X16" s="2964">
        <v>21</v>
      </c>
      <c r="Y16" s="1630" t="s">
        <v>4528</v>
      </c>
      <c r="AB16" s="2057" t="str">
        <f t="shared" si="4"/>
        <v/>
      </c>
      <c r="AC16" s="1618"/>
      <c r="AD16" s="2135" t="str">
        <f>IF(F16&lt;&gt;"",IF(VLOOKUP(F16,Список_компаний!B:I,8,0)="Да","Да","Нет"),"")</f>
        <v/>
      </c>
    </row>
    <row r="17" spans="1:30">
      <c r="A17" s="2427" t="str">
        <f t="shared" si="1"/>
        <v>R4=;R5=;R42=;R36=;R43=;R48=;R51=;COM=</v>
      </c>
      <c r="B17" s="601"/>
      <c r="C17" s="1882"/>
      <c r="D17" s="1883"/>
      <c r="E17" s="2063"/>
      <c r="F17" s="789" t="str">
        <f>IF(E17="Не расшифровывается","Не расшифровывается",IF(E17="","",VLOOKUP(E17,Список_компаний!$A$3:$B$299,2,FALSE)))</f>
        <v/>
      </c>
      <c r="G17" s="789" t="str">
        <f>IF(E17="Не расшифровывается","Не расшифровывается",IF(E17="","",VLOOKUP(E17,Список_компаний!$A$3:$C$299,3,FALSE)))</f>
        <v/>
      </c>
      <c r="H17" s="220"/>
      <c r="I17" s="2354"/>
      <c r="J17" s="2354"/>
      <c r="K17" s="2354"/>
      <c r="L17" s="2354"/>
      <c r="M17" s="2674"/>
      <c r="N17" s="1321"/>
      <c r="O17" s="1321"/>
      <c r="P17" s="2357"/>
      <c r="Q17" s="2356" t="b">
        <f t="shared" si="7"/>
        <v>1</v>
      </c>
      <c r="R17" s="2841" t="b">
        <f>AND(OR(ISNA(VLOOKUP(F17,_icompindex,1,0)),AND(M17&lt;&gt;"",OR(N17&lt;&gt;"",O17&lt;&gt;"")),(E17="Росэнергоатом")),IFERROR(VLOOKUP(E17,Список_компаний!A:N,12,0)="",TRUE))</f>
        <v>1</v>
      </c>
      <c r="S17" s="2841" t="b">
        <f t="shared" si="5"/>
        <v>1</v>
      </c>
      <c r="T17" s="2841" t="b">
        <f>IF(LEFT(C17,2)="14",ABS(SUMIFS($H$10:$H$10000,$C$10:$C$10000,C17,$D$10:$D$10000,D17)-SUMIFS('14'!$J$73:$J$9998,'14'!$C$73:$C$9998,VLOOKUP(C17,$W$12:$Y$16,3,0),'14'!$D$73:$D$9998,НЗП_ГП!D17))&lt;5,TRUE)</f>
        <v>1</v>
      </c>
      <c r="U17" s="2841" t="b">
        <f t="shared" si="3"/>
        <v>1</v>
      </c>
      <c r="V17" s="2841" t="b">
        <f t="shared" si="6"/>
        <v>1</v>
      </c>
      <c r="W17" s="2964">
        <v>41</v>
      </c>
      <c r="X17" s="2964" t="s">
        <v>3441</v>
      </c>
      <c r="AB17" s="2057" t="str">
        <f t="shared" si="4"/>
        <v/>
      </c>
      <c r="AC17" s="1618"/>
      <c r="AD17" s="2135" t="str">
        <f>IF(F17&lt;&gt;"",IF(VLOOKUP(F17,Список_компаний!B:I,8,0)="Да","Да","Нет"),"")</f>
        <v/>
      </c>
    </row>
    <row r="18" spans="1:30">
      <c r="A18" s="2427" t="str">
        <f t="shared" si="1"/>
        <v>R4=;R5=;R42=;R36=;R43=;R48=;R51=;COM=</v>
      </c>
      <c r="B18" s="601"/>
      <c r="C18" s="1882"/>
      <c r="D18" s="1883"/>
      <c r="E18" s="2063"/>
      <c r="F18" s="789" t="str">
        <f>IF(E18="Не расшифровывается","Не расшифровывается",IF(E18="","",VLOOKUP(E18,Список_компаний!$A$3:$B$299,2,FALSE)))</f>
        <v/>
      </c>
      <c r="G18" s="789" t="str">
        <f>IF(E18="Не расшифровывается","Не расшифровывается",IF(E18="","",VLOOKUP(E18,Список_компаний!$A$3:$C$299,3,FALSE)))</f>
        <v/>
      </c>
      <c r="H18" s="220"/>
      <c r="I18" s="2355"/>
      <c r="J18" s="2355"/>
      <c r="K18" s="2355"/>
      <c r="L18" s="2355"/>
      <c r="M18" s="2674"/>
      <c r="N18" s="1321"/>
      <c r="O18" s="1321"/>
      <c r="P18" s="2357"/>
      <c r="Q18" s="2356" t="b">
        <f t="shared" si="7"/>
        <v>1</v>
      </c>
      <c r="R18" s="2841" t="b">
        <f>AND(OR(ISNA(VLOOKUP(F18,_icompindex,1,0)),AND(M18&lt;&gt;"",OR(N18&lt;&gt;"",O18&lt;&gt;"")),(E18="Росэнергоатом")),IFERROR(VLOOKUP(E18,Список_компаний!A:N,12,0)="",TRUE))</f>
        <v>1</v>
      </c>
      <c r="S18" s="2841" t="b">
        <f t="shared" si="5"/>
        <v>1</v>
      </c>
      <c r="T18" s="2841" t="b">
        <f>IF(LEFT(C18,2)="14",ABS(SUMIFS($H$10:$H$10000,$C$10:$C$10000,C18,$D$10:$D$10000,D18)-SUMIFS('14'!$J$73:$J$9998,'14'!$C$73:$C$9998,VLOOKUP(C18,$W$12:$Y$16,3,0),'14'!$D$73:$D$9998,НЗП_ГП!D18))&lt;5,TRUE)</f>
        <v>1</v>
      </c>
      <c r="U18" s="2841" t="b">
        <f t="shared" si="3"/>
        <v>1</v>
      </c>
      <c r="V18" s="2841" t="b">
        <f t="shared" si="6"/>
        <v>1</v>
      </c>
      <c r="W18" s="2964">
        <v>43</v>
      </c>
      <c r="X18" s="2964" t="s">
        <v>3443</v>
      </c>
      <c r="AB18" s="2057" t="str">
        <f t="shared" si="4"/>
        <v/>
      </c>
      <c r="AC18" s="1618"/>
      <c r="AD18" s="2135" t="str">
        <f>IF(F18&lt;&gt;"",IF(VLOOKUP(F18,Список_компаний!B:I,8,0)="Да","Да","Нет"),"")</f>
        <v/>
      </c>
    </row>
    <row r="19" spans="1:30" s="2830" customFormat="1">
      <c r="A19" s="2427" t="str">
        <f t="shared" si="1"/>
        <v>R4=;R5=;R42=;R36=;R43=;R48=;R51=;COM=</v>
      </c>
      <c r="B19" s="601"/>
      <c r="C19" s="1882"/>
      <c r="D19" s="1883"/>
      <c r="E19" s="2063"/>
      <c r="F19" s="789" t="str">
        <f>IF(E19="Не расшифровывается","Не расшифровывается",IF(E19="","",VLOOKUP(E19,Список_компаний!$A$3:$B$299,2,FALSE)))</f>
        <v/>
      </c>
      <c r="G19" s="789" t="str">
        <f>IF(E19="Не расшифровывается","Не расшифровывается",IF(E19="","",VLOOKUP(E19,Список_компаний!$A$3:$C$299,3,FALSE)))</f>
        <v/>
      </c>
      <c r="H19" s="220"/>
      <c r="I19" s="2355"/>
      <c r="J19" s="2355"/>
      <c r="K19" s="2355"/>
      <c r="L19" s="2355"/>
      <c r="M19" s="2674"/>
      <c r="N19" s="1321"/>
      <c r="O19" s="1321"/>
      <c r="P19" s="2357"/>
      <c r="Q19" s="2356" t="b">
        <f t="shared" si="7"/>
        <v>1</v>
      </c>
      <c r="R19" s="2841" t="b">
        <f>AND(OR(ISNA(VLOOKUP(F19,_icompindex,1,0)),AND(M19&lt;&gt;"",OR(N19&lt;&gt;"",O19&lt;&gt;"")),(E19="Росэнергоатом")),IFERROR(VLOOKUP(E19,Список_компаний!A:N,12,0)="",TRUE))</f>
        <v>1</v>
      </c>
      <c r="S19" s="2841" t="b">
        <f t="shared" si="5"/>
        <v>1</v>
      </c>
      <c r="T19" s="2841" t="b">
        <f>IF(LEFT(C19,2)="14",ABS(SUMIFS($H$10:$H$10000,$C$10:$C$10000,C19,$D$10:$D$10000,D19)-SUMIFS('14'!$J$73:$J$9998,'14'!$C$73:$C$9998,VLOOKUP(C19,$W$12:$Y$16,3,0),'14'!$D$73:$D$9998,НЗП_ГП!D19))&lt;5,TRUE)</f>
        <v>1</v>
      </c>
      <c r="U19" s="2841" t="b">
        <f t="shared" si="3"/>
        <v>1</v>
      </c>
      <c r="V19" s="2841" t="b">
        <f t="shared" si="6"/>
        <v>1</v>
      </c>
      <c r="W19" s="2964">
        <v>45</v>
      </c>
      <c r="X19" s="2964" t="s">
        <v>3445</v>
      </c>
      <c r="Y19" s="1630"/>
      <c r="Z19" s="1630"/>
      <c r="AA19" s="1630"/>
      <c r="AB19" s="2057" t="str">
        <f t="shared" si="4"/>
        <v/>
      </c>
      <c r="AC19" s="1618"/>
      <c r="AD19" s="2135" t="str">
        <f>IF(F19&lt;&gt;"",IF(VLOOKUP(F19,Список_компаний!B:I,8,0)="Да","Да","Нет"),"")</f>
        <v/>
      </c>
    </row>
    <row r="20" spans="1:30" s="2830" customFormat="1">
      <c r="A20" s="2427" t="str">
        <f t="shared" si="1"/>
        <v>R4=;R5=;R42=;R36=;R43=;R48=;R51=;COM=</v>
      </c>
      <c r="B20" s="601"/>
      <c r="C20" s="1882"/>
      <c r="D20" s="1883"/>
      <c r="E20" s="2063"/>
      <c r="F20" s="789" t="str">
        <f>IF(E20="Не расшифровывается","Не расшифровывается",IF(E20="","",VLOOKUP(E20,Список_компаний!$A$3:$B$299,2,FALSE)))</f>
        <v/>
      </c>
      <c r="G20" s="789" t="str">
        <f>IF(E20="Не расшифровывается","Не расшифровывается",IF(E20="","",VLOOKUP(E20,Список_компаний!$A$3:$C$299,3,FALSE)))</f>
        <v/>
      </c>
      <c r="H20" s="220"/>
      <c r="I20" s="2355"/>
      <c r="J20" s="2355"/>
      <c r="K20" s="2355"/>
      <c r="L20" s="2355"/>
      <c r="M20" s="2674"/>
      <c r="N20" s="1321"/>
      <c r="O20" s="1321"/>
      <c r="P20" s="2357"/>
      <c r="Q20" s="2356" t="b">
        <f t="shared" ref="Q20" si="8">IF(H20&gt;0,H20&gt;=N(I20)+N(J20)+N(K20)+N(L20),H20&lt;=N(I20)+N(J20)+N(K20)+N(L20))</f>
        <v>1</v>
      </c>
      <c r="R20" s="2841" t="b">
        <f>AND(OR(ISNA(VLOOKUP(F20,_icompindex,1,0)),AND(M20&lt;&gt;"",OR(N20&lt;&gt;"",O20&lt;&gt;"")),(E20="Росэнергоатом")),IFERROR(VLOOKUP(E20,Список_компаний!A:N,12,0)="",TRUE))</f>
        <v>1</v>
      </c>
      <c r="S20" s="2841" t="b">
        <f t="shared" si="5"/>
        <v>1</v>
      </c>
      <c r="T20" s="2841" t="b">
        <f>IF(LEFT(C20,2)="14",ABS(SUMIFS($H$10:$H$10000,$C$10:$C$10000,C20,$D$10:$D$10000,D20)-SUMIFS('14'!$J$73:$J$9998,'14'!$C$73:$C$9998,VLOOKUP(C20,$W$12:$Y$16,3,0),'14'!$D$73:$D$9998,НЗП_ГП!D20))&lt;5,TRUE)</f>
        <v>1</v>
      </c>
      <c r="U20" s="2841" t="b">
        <f t="shared" si="3"/>
        <v>1</v>
      </c>
      <c r="V20" s="2841" t="b">
        <f t="shared" si="6"/>
        <v>1</v>
      </c>
      <c r="W20" s="2964"/>
      <c r="X20" s="2964"/>
      <c r="Y20" s="1630"/>
      <c r="Z20" s="1630"/>
      <c r="AA20" s="1630"/>
      <c r="AB20" s="2057" t="str">
        <f t="shared" ref="AB20" si="9">D20&amp;AD20</f>
        <v/>
      </c>
      <c r="AC20" s="1618"/>
      <c r="AD20" s="2135" t="str">
        <f>IF(F20&lt;&gt;"",IF(VLOOKUP(F20,Список_компаний!B:I,8,0)="Да","Да","Нет"),"")</f>
        <v/>
      </c>
    </row>
    <row r="21" spans="1:30" s="2830" customFormat="1" ht="15" thickBot="1">
      <c r="A21" s="2427" t="str">
        <f t="shared" si="1"/>
        <v>R4=;R5=;R42=;R36=;R43=;R48=;R51=;COM=</v>
      </c>
      <c r="B21" s="601"/>
      <c r="C21" s="2396"/>
      <c r="D21" s="2441"/>
      <c r="E21" s="2063"/>
      <c r="F21" s="432" t="str">
        <f>IF(E21="Не расшифровывается","Не расшифровывается",IF(E21="","",VLOOKUP(E21,Список_компаний!$A$3:$B$299,2,FALSE)))</f>
        <v/>
      </c>
      <c r="G21" s="2971" t="str">
        <f>IF(E21="Не расшифровывается","Не расшифровывается",IF(E21="","",VLOOKUP(E21,Список_компаний!$A$3:$C$299,3,FALSE)))</f>
        <v/>
      </c>
      <c r="H21" s="2397"/>
      <c r="I21" s="2398"/>
      <c r="J21" s="2398"/>
      <c r="K21" s="2398"/>
      <c r="L21" s="2398"/>
      <c r="M21" s="2839"/>
      <c r="N21" s="2840"/>
      <c r="O21" s="2840"/>
      <c r="P21" s="2399"/>
      <c r="Q21" s="2356" t="b">
        <f t="shared" ref="Q21" si="10">IF(H21&gt;0,H21&gt;=N(I21)+N(J21)+N(K21)+N(L21),H21&lt;=N(I21)+N(J21)+N(K21)+N(L21))</f>
        <v>1</v>
      </c>
      <c r="R21" s="2841" t="b">
        <f>AND(OR(ISNA(VLOOKUP(F21,_icompindex,1,0)),AND(M21&lt;&gt;"",OR(N21&lt;&gt;"",O21&lt;&gt;"")),(E21="Росэнергоатом")),IFERROR(VLOOKUP(E21,Список_компаний!A:N,12,0)="",TRUE))</f>
        <v>1</v>
      </c>
      <c r="S21" s="2841" t="b">
        <f t="shared" si="5"/>
        <v>1</v>
      </c>
      <c r="T21" s="2841" t="b">
        <f>IF(LEFT(C21,2)="14",ABS(SUMIFS($H$10:$H$10000,$C$10:$C$10000,C21,$D$10:$D$10000,D21)-SUMIFS('14'!$J$73:$J$9998,'14'!$C$73:$C$9998,VLOOKUP(C21,$W$12:$Y$16,3,0),'14'!$D$73:$D$9998,НЗП_ГП!D21))&lt;5,TRUE)</f>
        <v>1</v>
      </c>
      <c r="U21" s="2841" t="b">
        <f t="shared" si="3"/>
        <v>1</v>
      </c>
      <c r="V21" s="2841" t="b">
        <f t="shared" si="6"/>
        <v>1</v>
      </c>
      <c r="W21" s="2964"/>
      <c r="X21" s="2964"/>
      <c r="Y21" s="1630"/>
      <c r="Z21" s="1630"/>
      <c r="AA21" s="1630"/>
      <c r="AB21" s="2057" t="str">
        <f t="shared" ref="AB21" si="11">D21&amp;AD21</f>
        <v/>
      </c>
      <c r="AC21" s="1618"/>
      <c r="AD21" s="2135" t="str">
        <f>IF(F21&lt;&gt;"",IF(VLOOKUP(F21,Список_компаний!B:I,8,0)="Да","Да","Нет"),"")</f>
        <v/>
      </c>
    </row>
    <row r="22" spans="1:30">
      <c r="A22" s="9"/>
    </row>
    <row r="23" spans="1:30">
      <c r="A23" s="9"/>
    </row>
    <row r="24" spans="1:30">
      <c r="A24" s="9"/>
    </row>
    <row r="25" spans="1:30">
      <c r="A25" s="9"/>
    </row>
    <row r="26" spans="1:30">
      <c r="A26" s="9"/>
    </row>
    <row r="27" spans="1:30">
      <c r="A27" s="9"/>
    </row>
    <row r="28" spans="1:30">
      <c r="A28" s="9"/>
    </row>
    <row r="29" spans="1:30">
      <c r="A29" s="9"/>
    </row>
    <row r="30" spans="1:30">
      <c r="A30" s="9"/>
    </row>
    <row r="31" spans="1:30">
      <c r="A31" s="9"/>
    </row>
    <row r="32" spans="1:30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</sheetData>
  <sheetProtection algorithmName="SHA-512" hashValue="djbXqpN4XNoCSSzyakFYk07pgdU8mLuBFZDj3m2r3fSm9uEbNpU6tc0fE92zNdYnYAnZ4Xjo+t0hH2YtzunYKQ==" saltValue="eUV35vD4O5AaH6FMSl5Dcg==" spinCount="100000" sheet="1" objects="1" scenarios="1" formatColumns="0" formatRows="0" autoFilter="0"/>
  <autoFilter ref="C8:AF8"/>
  <dataConsolidate/>
  <customSheetViews>
    <customSheetView guid="{3769259D-9653-4B34-A2F6-4FB6F9F4E533}" showGridLines="0" showAutoFilter="1" hiddenRows="1" hiddenColumns="1" topLeftCell="B2">
      <selection activeCell="C17" sqref="C17"/>
      <pageMargins left="0.7" right="0.7" top="0.75" bottom="0.75" header="0.3" footer="0.3"/>
      <autoFilter ref="B1:G1"/>
    </customSheetView>
    <customSheetView guid="{40D7A2BB-326C-4ED3-999C-17852F56D6F4}" showGridLines="0" showAutoFilter="1" hiddenRows="1" hiddenColumns="1" topLeftCell="B2">
      <selection activeCell="C17" sqref="C17"/>
      <pageMargins left="0.7" right="0.7" top="0.75" bottom="0.75" header="0.3" footer="0.3"/>
      <autoFilter ref="B1:G1"/>
    </customSheetView>
    <customSheetView guid="{5D121940-0CE8-4A0E-A493-67FAAA6E0FF8}" showGridLines="0" showAutoFilter="1" hiddenRows="1" hiddenColumns="1" topLeftCell="D3">
      <selection activeCell="C8" sqref="C8:H8"/>
      <pageMargins left="0.7" right="0.7" top="0.75" bottom="0.75" header="0.3" footer="0.3"/>
      <autoFilter ref="B1:G1"/>
    </customSheetView>
    <customSheetView guid="{47AEACC4-6EA5-412C-AF39-A6C5357B313A}" showGridLines="0" showAutoFilter="1" hiddenRows="1" hiddenColumns="1" topLeftCell="B3">
      <selection activeCell="C9" sqref="C9"/>
      <pageMargins left="0.7" right="0.7" top="0.75" bottom="0.75" header="0.3" footer="0.3"/>
      <autoFilter ref="B1:G1"/>
    </customSheetView>
    <customSheetView guid="{4D957B38-5430-481E-B791-E0A66F913B50}" scale="70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D3">
      <selection activeCell="C8" sqref="C8:H8"/>
      <pageMargins left="0.7" right="0.7" top="0.75" bottom="0.75" header="0.3" footer="0.3"/>
      <autoFilter ref="B1:G1"/>
    </customSheetView>
  </customSheetViews>
  <mergeCells count="1">
    <mergeCell ref="W7:AF7"/>
  </mergeCells>
  <phoneticPr fontId="0" type="noConversion"/>
  <conditionalFormatting sqref="P9:Q9 C9:G9 F10:F18">
    <cfRule type="cellIs" dxfId="46" priority="17" stopIfTrue="1" operator="lessThan">
      <formula>0</formula>
    </cfRule>
  </conditionalFormatting>
  <conditionalFormatting sqref="Q10:Q18 Q21">
    <cfRule type="cellIs" dxfId="45" priority="13" stopIfTrue="1" operator="lessThan">
      <formula>0</formula>
    </cfRule>
  </conditionalFormatting>
  <conditionalFormatting sqref="G10:G18">
    <cfRule type="cellIs" dxfId="44" priority="12" stopIfTrue="1" operator="lessThan">
      <formula>0</formula>
    </cfRule>
  </conditionalFormatting>
  <conditionalFormatting sqref="M9">
    <cfRule type="cellIs" dxfId="43" priority="11" stopIfTrue="1" operator="lessThan">
      <formula>0</formula>
    </cfRule>
  </conditionalFormatting>
  <conditionalFormatting sqref="N9">
    <cfRule type="cellIs" dxfId="42" priority="10" stopIfTrue="1" operator="lessThan">
      <formula>0</formula>
    </cfRule>
  </conditionalFormatting>
  <conditionalFormatting sqref="O9">
    <cfRule type="cellIs" dxfId="41" priority="9" stopIfTrue="1" operator="lessThan">
      <formula>0</formula>
    </cfRule>
  </conditionalFormatting>
  <conditionalFormatting sqref="F19">
    <cfRule type="cellIs" dxfId="40" priority="8" stopIfTrue="1" operator="lessThan">
      <formula>0</formula>
    </cfRule>
  </conditionalFormatting>
  <conditionalFormatting sqref="Q19">
    <cfRule type="cellIs" dxfId="39" priority="7" stopIfTrue="1" operator="lessThan">
      <formula>0</formula>
    </cfRule>
  </conditionalFormatting>
  <conditionalFormatting sqref="G19">
    <cfRule type="cellIs" dxfId="38" priority="6" stopIfTrue="1" operator="lessThan">
      <formula>0</formula>
    </cfRule>
  </conditionalFormatting>
  <conditionalFormatting sqref="F21">
    <cfRule type="cellIs" dxfId="37" priority="5" stopIfTrue="1" operator="lessThan">
      <formula>0</formula>
    </cfRule>
  </conditionalFormatting>
  <conditionalFormatting sqref="G21">
    <cfRule type="cellIs" dxfId="36" priority="4" stopIfTrue="1" operator="lessThan">
      <formula>0</formula>
    </cfRule>
  </conditionalFormatting>
  <conditionalFormatting sqref="F20">
    <cfRule type="cellIs" dxfId="35" priority="3" stopIfTrue="1" operator="lessThan">
      <formula>0</formula>
    </cfRule>
  </conditionalFormatting>
  <conditionalFormatting sqref="Q20">
    <cfRule type="cellIs" dxfId="34" priority="2" stopIfTrue="1" operator="lessThan">
      <formula>0</formula>
    </cfRule>
  </conditionalFormatting>
  <conditionalFormatting sqref="G20">
    <cfRule type="cellIs" dxfId="33" priority="1" stopIfTrue="1" operator="lessThan">
      <formula>0</formula>
    </cfRule>
  </conditionalFormatting>
  <dataValidations count="3">
    <dataValidation type="list" allowBlank="1" showInputMessage="1" showErrorMessage="1" sqref="C10:C21">
      <formula1>_счета</formula1>
    </dataValidation>
    <dataValidation type="list" allowBlank="1" showInputMessage="1" showErrorMessage="1" sqref="D10:D21">
      <formula1>IF(OR(C10=41,C10=43,C10=45),_2145_tmc,_2145)</formula1>
    </dataValidation>
    <dataValidation type="list" allowBlank="1" showInputMessage="1" showErrorMessage="1" sqref="E10:E21">
      <formula1>_comp_нзп</formula1>
    </dataValidation>
  </dataValidations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AddButtonsRowAdd">
                <anchor moveWithCells="1">
                  <from>
                    <xdr:col>3</xdr:col>
                    <xdr:colOff>450850</xdr:colOff>
                    <xdr:row>2</xdr:row>
                    <xdr:rowOff>31750</xdr:rowOff>
                  </from>
                  <to>
                    <xdr:col>3</xdr:col>
                    <xdr:colOff>1898650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pageSetUpPr fitToPage="1"/>
  </sheetPr>
  <dimension ref="A1:DE42"/>
  <sheetViews>
    <sheetView topLeftCell="CC1" zoomScale="38" zoomScaleNormal="38" workbookViewId="0">
      <selection activeCell="DC9" sqref="DC9"/>
    </sheetView>
  </sheetViews>
  <sheetFormatPr defaultColWidth="9.453125" defaultRowHeight="14.5"/>
  <cols>
    <col min="1" max="1" width="162" style="7" hidden="1" customWidth="1"/>
    <col min="2" max="2" width="15.54296875" style="32" customWidth="1"/>
    <col min="3" max="3" width="20.453125" style="32" customWidth="1"/>
    <col min="4" max="9" width="20.54296875" style="32" customWidth="1"/>
    <col min="10" max="10" width="42.54296875" style="32" customWidth="1"/>
    <col min="11" max="12" width="27.54296875" style="32" customWidth="1"/>
    <col min="13" max="13" width="11.54296875" style="32" customWidth="1"/>
    <col min="14" max="14" width="14" style="32" customWidth="1"/>
    <col min="15" max="15" width="26.54296875" style="32" customWidth="1"/>
    <col min="16" max="16" width="32.453125" style="32" customWidth="1"/>
    <col min="17" max="17" width="25" style="32" customWidth="1"/>
    <col min="18" max="18" width="13" style="32" customWidth="1"/>
    <col min="19" max="19" width="17.54296875" style="32" customWidth="1"/>
    <col min="20" max="20" width="14.54296875" style="32" customWidth="1"/>
    <col min="21" max="21" width="15.453125" style="32" customWidth="1"/>
    <col min="22" max="22" width="16" style="32" customWidth="1"/>
    <col min="23" max="24" width="16.453125" style="32" customWidth="1"/>
    <col min="25" max="26" width="15.453125" style="32" customWidth="1"/>
    <col min="27" max="27" width="17.54296875" style="32" customWidth="1"/>
    <col min="28" max="28" width="13" style="32" customWidth="1"/>
    <col min="29" max="29" width="22.54296875" style="32" customWidth="1"/>
    <col min="30" max="31" width="13" style="32" customWidth="1"/>
    <col min="32" max="32" width="14" style="32" customWidth="1"/>
    <col min="33" max="33" width="15" style="32" customWidth="1"/>
    <col min="34" max="34" width="21.453125" style="32" customWidth="1"/>
    <col min="35" max="35" width="26.453125" style="32" customWidth="1"/>
    <col min="36" max="37" width="21.453125" style="32" customWidth="1"/>
    <col min="38" max="38" width="27.54296875" style="32" customWidth="1"/>
    <col min="39" max="39" width="16.54296875" style="32" customWidth="1"/>
    <col min="40" max="40" width="13" style="32" customWidth="1"/>
    <col min="41" max="41" width="19" style="32" customWidth="1"/>
    <col min="42" max="42" width="8.453125" style="32" customWidth="1"/>
    <col min="43" max="48" width="9.453125" style="32"/>
    <col min="49" max="49" width="11.453125" style="32" customWidth="1"/>
    <col min="50" max="50" width="18.453125" style="32" customWidth="1"/>
    <col min="51" max="52" width="9.453125" style="32"/>
    <col min="53" max="54" width="18.54296875" style="32" customWidth="1"/>
    <col min="55" max="56" width="17" style="32" customWidth="1"/>
    <col min="57" max="57" width="16.54296875" style="32" customWidth="1"/>
    <col min="58" max="58" width="14.54296875" style="32" customWidth="1"/>
    <col min="59" max="59" width="17" style="32" customWidth="1"/>
    <col min="60" max="60" width="9.453125" style="32"/>
    <col min="61" max="61" width="4.453125" style="32" customWidth="1"/>
    <col min="62" max="62" width="12.54296875" style="32" customWidth="1"/>
    <col min="63" max="63" width="20.54296875" style="32" customWidth="1"/>
    <col min="64" max="64" width="25.54296875" style="32" customWidth="1"/>
    <col min="65" max="65" width="13.54296875" style="32" customWidth="1"/>
    <col min="66" max="66" width="14.453125" style="32" customWidth="1"/>
    <col min="67" max="67" width="17.453125" style="32" customWidth="1"/>
    <col min="68" max="68" width="19.54296875" style="32" customWidth="1"/>
    <col min="69" max="69" width="17.453125" style="32" customWidth="1"/>
    <col min="70" max="70" width="13.453125" style="32" customWidth="1"/>
    <col min="71" max="71" width="18.54296875" style="32" customWidth="1"/>
    <col min="72" max="72" width="24.453125" style="32" customWidth="1"/>
    <col min="73" max="73" width="22.54296875" style="32" customWidth="1"/>
    <col min="74" max="74" width="16.54296875" style="32" customWidth="1"/>
    <col min="75" max="76" width="9.453125" style="32"/>
    <col min="77" max="77" width="27.453125" style="32" customWidth="1"/>
    <col min="78" max="78" width="16" style="32" customWidth="1"/>
    <col min="79" max="79" width="19.453125" style="32" customWidth="1"/>
    <col min="80" max="80" width="24.54296875" style="32" customWidth="1"/>
    <col min="81" max="81" width="18.453125" style="32" customWidth="1"/>
    <col min="82" max="82" width="11.54296875" style="32" customWidth="1"/>
    <col min="83" max="83" width="20.54296875" style="32" customWidth="1"/>
    <col min="84" max="86" width="9.453125" style="32"/>
    <col min="87" max="87" width="20.54296875" style="32" customWidth="1"/>
    <col min="88" max="89" width="9.453125" style="32"/>
    <col min="90" max="90" width="40.1796875" style="32" customWidth="1"/>
    <col min="91" max="94" width="9.453125" style="32"/>
    <col min="95" max="95" width="26.54296875" style="32" customWidth="1"/>
    <col min="96" max="96" width="9.453125" style="32"/>
    <col min="97" max="97" width="21.54296875" style="32" customWidth="1"/>
    <col min="98" max="98" width="9.453125" style="32"/>
    <col min="99" max="99" width="12.1796875" style="32" customWidth="1"/>
    <col min="100" max="100" width="9.453125" style="32"/>
    <col min="101" max="101" width="12.1796875" style="32" customWidth="1"/>
    <col min="102" max="102" width="14" style="32" customWidth="1"/>
    <col min="103" max="103" width="19.453125" style="32" customWidth="1"/>
    <col min="104" max="104" width="9.453125" style="32"/>
    <col min="105" max="105" width="19.1796875" style="32" customWidth="1"/>
    <col min="106" max="106" width="9.453125" style="32"/>
    <col min="107" max="107" width="27.1796875" style="32" customWidth="1"/>
    <col min="108" max="108" width="22.81640625" style="32" customWidth="1"/>
    <col min="109" max="109" width="23.453125" style="32" customWidth="1"/>
    <col min="110" max="16384" width="9.453125" style="32"/>
  </cols>
  <sheetData>
    <row r="1" spans="1:109" s="6" customFormat="1" ht="42" customHeight="1">
      <c r="A1" s="167" t="s">
        <v>424</v>
      </c>
      <c r="J1" s="37"/>
      <c r="L1" s="2438"/>
      <c r="N1" s="2426" t="s">
        <v>4941</v>
      </c>
      <c r="O1" s="2426"/>
      <c r="P1" s="2426" t="s">
        <v>6420</v>
      </c>
      <c r="Q1" s="2426" t="s">
        <v>4942</v>
      </c>
      <c r="R1" s="2438" t="s">
        <v>14289</v>
      </c>
      <c r="S1" s="2438" t="s">
        <v>14218</v>
      </c>
      <c r="T1" s="2426" t="s">
        <v>1007</v>
      </c>
      <c r="U1" s="2426"/>
      <c r="V1" s="2426"/>
      <c r="W1" s="2426" t="s">
        <v>4943</v>
      </c>
      <c r="X1" s="2426" t="s">
        <v>4944</v>
      </c>
      <c r="Y1" s="2426" t="s">
        <v>8786</v>
      </c>
      <c r="Z1" s="2438" t="s">
        <v>8787</v>
      </c>
      <c r="AA1" s="2426"/>
      <c r="AB1" s="2426" t="s">
        <v>6421</v>
      </c>
      <c r="AC1" s="2426" t="s">
        <v>4945</v>
      </c>
      <c r="AD1" s="2426" t="s">
        <v>5078</v>
      </c>
      <c r="AE1" s="2426" t="s">
        <v>5079</v>
      </c>
      <c r="AF1" s="2426" t="s">
        <v>5080</v>
      </c>
      <c r="AG1" s="2426" t="s">
        <v>5081</v>
      </c>
      <c r="AH1" s="2426" t="s">
        <v>6422</v>
      </c>
      <c r="AI1" s="2438" t="s">
        <v>8626</v>
      </c>
      <c r="AJ1" s="2438"/>
      <c r="AK1" s="2438"/>
      <c r="AL1" s="2438"/>
      <c r="AM1" s="2426"/>
      <c r="BB1" s="2438"/>
      <c r="BD1" s="2438"/>
      <c r="BI1" s="6" t="s">
        <v>693</v>
      </c>
      <c r="BJ1" s="2438"/>
      <c r="BK1" s="2438"/>
      <c r="BL1" s="2438"/>
    </row>
    <row r="2" spans="1:109" s="1930" customFormat="1" ht="24.75" customHeight="1">
      <c r="A2" s="741"/>
      <c r="C2" s="1927" t="e">
        <f>IF(VLOOKUP(Содержание!D2,Список_компаний!$A:$I,9,FALSE)="да","+","-")</f>
        <v>#N/A</v>
      </c>
      <c r="F2"/>
      <c r="G2" s="2358"/>
      <c r="J2" s="1931"/>
    </row>
    <row r="3" spans="1:109" s="24" customFormat="1" ht="26">
      <c r="A3" s="9"/>
      <c r="D3" s="105" t="s">
        <v>6069</v>
      </c>
      <c r="H3" s="1897" t="s">
        <v>2067</v>
      </c>
      <c r="I3" s="1244">
        <f>Содержание!$D$2</f>
        <v>0</v>
      </c>
      <c r="J3"/>
    </row>
    <row r="4" spans="1:109" s="24" customFormat="1" ht="15" thickBot="1">
      <c r="A4" s="9"/>
      <c r="D4" s="2127" t="b">
        <f>AND(B10:B4995)</f>
        <v>1</v>
      </c>
      <c r="E4" s="24" t="b">
        <f t="array" ref="E4">IF(SMALL(IF(""=D10:D2700,ROW(D10:D2700),2700),1)&gt;LARGE(IF(""&lt;&gt;D10:D2700,ROW(D10:D2700),0),1),TRUE,FALSE)</f>
        <v>1</v>
      </c>
      <c r="H4" s="1897" t="s">
        <v>2075</v>
      </c>
      <c r="I4" s="1244" t="str">
        <f>Содержание!$D$15</f>
        <v>2022 год</v>
      </c>
      <c r="J4" s="3044" t="s">
        <v>1436</v>
      </c>
    </row>
    <row r="5" spans="1:109" s="24" customFormat="1" ht="63" customHeight="1">
      <c r="A5" s="9"/>
      <c r="C5" s="3675" t="s">
        <v>57</v>
      </c>
      <c r="D5" s="3677" t="s">
        <v>5382</v>
      </c>
      <c r="E5" s="3677" t="s">
        <v>5381</v>
      </c>
      <c r="F5" s="3677" t="s">
        <v>5531</v>
      </c>
      <c r="G5" s="3783" t="s">
        <v>9890</v>
      </c>
      <c r="H5" s="3783" t="s">
        <v>5383</v>
      </c>
      <c r="I5" s="3677" t="s">
        <v>5260</v>
      </c>
      <c r="J5" s="3677" t="s">
        <v>6112</v>
      </c>
      <c r="K5" s="3790" t="s">
        <v>4098</v>
      </c>
      <c r="L5" s="3790" t="s">
        <v>10322</v>
      </c>
      <c r="M5" s="3806" t="s">
        <v>1654</v>
      </c>
      <c r="N5" s="3811" t="s">
        <v>4112</v>
      </c>
      <c r="O5" s="3812"/>
      <c r="P5" s="3813"/>
      <c r="Q5" s="2682" t="s">
        <v>8160</v>
      </c>
      <c r="R5" s="3814" t="s">
        <v>14211</v>
      </c>
      <c r="S5" s="3400" t="s">
        <v>14212</v>
      </c>
      <c r="T5" s="2682" t="s">
        <v>6911</v>
      </c>
      <c r="U5" s="3814" t="s">
        <v>4111</v>
      </c>
      <c r="V5" s="3814" t="s">
        <v>4110</v>
      </c>
      <c r="W5" s="3814" t="s">
        <v>4109</v>
      </c>
      <c r="X5" s="3814" t="s">
        <v>6910</v>
      </c>
      <c r="Y5" s="3808" t="s">
        <v>6763</v>
      </c>
      <c r="Z5" s="3809"/>
      <c r="AA5" s="3814" t="s">
        <v>4108</v>
      </c>
      <c r="AB5" s="3814" t="s">
        <v>6062</v>
      </c>
      <c r="AC5" s="3814" t="s">
        <v>4107</v>
      </c>
      <c r="AD5" s="3816" t="s">
        <v>4106</v>
      </c>
      <c r="AE5" s="3817"/>
      <c r="AF5" s="3810" t="s">
        <v>4105</v>
      </c>
      <c r="AG5" s="3810"/>
      <c r="AH5" s="3814" t="s">
        <v>4104</v>
      </c>
      <c r="AI5" s="3794" t="s">
        <v>8719</v>
      </c>
      <c r="AJ5" s="3795" t="s">
        <v>8172</v>
      </c>
      <c r="AK5" s="3795" t="s">
        <v>5531</v>
      </c>
      <c r="AL5" s="3796" t="s">
        <v>9890</v>
      </c>
      <c r="AM5" s="3801" t="s">
        <v>4183</v>
      </c>
      <c r="DC5" s="1880"/>
    </row>
    <row r="6" spans="1:109" s="24" customFormat="1" ht="65">
      <c r="A6" s="9"/>
      <c r="C6" s="3804"/>
      <c r="D6" s="3775"/>
      <c r="E6" s="3775"/>
      <c r="F6" s="3775"/>
      <c r="G6" s="3777"/>
      <c r="H6" s="3777"/>
      <c r="I6" s="3775"/>
      <c r="J6" s="3775"/>
      <c r="K6" s="3791"/>
      <c r="L6" s="3791"/>
      <c r="M6" s="3807"/>
      <c r="N6" s="2251" t="s">
        <v>1491</v>
      </c>
      <c r="O6" s="2251" t="s">
        <v>4103</v>
      </c>
      <c r="P6" s="2251" t="s">
        <v>6068</v>
      </c>
      <c r="Q6" s="2251" t="s">
        <v>1491</v>
      </c>
      <c r="R6" s="3815"/>
      <c r="S6" s="2251"/>
      <c r="T6" s="423"/>
      <c r="U6" s="3775"/>
      <c r="V6" s="3775"/>
      <c r="W6" s="3775"/>
      <c r="X6" s="3775"/>
      <c r="Y6" s="2639" t="s">
        <v>7684</v>
      </c>
      <c r="Z6" s="2639" t="s">
        <v>5396</v>
      </c>
      <c r="AA6" s="3775"/>
      <c r="AB6" s="3775"/>
      <c r="AC6" s="3775"/>
      <c r="AD6" s="174" t="s">
        <v>4102</v>
      </c>
      <c r="AE6" s="174" t="s">
        <v>4101</v>
      </c>
      <c r="AF6" s="174" t="s">
        <v>4100</v>
      </c>
      <c r="AG6" s="2254" t="s">
        <v>4099</v>
      </c>
      <c r="AH6" s="3775"/>
      <c r="AI6" s="3777"/>
      <c r="AJ6" s="3775"/>
      <c r="AK6" s="3775"/>
      <c r="AL6" s="3777"/>
      <c r="AM6" s="3802"/>
      <c r="BA6" s="3799" t="s">
        <v>7685</v>
      </c>
      <c r="BB6" s="3799"/>
      <c r="BC6" s="3799" t="s">
        <v>7159</v>
      </c>
      <c r="BD6" s="3799"/>
      <c r="BE6" s="3797" t="s">
        <v>8467</v>
      </c>
      <c r="BF6" s="3797" t="s">
        <v>9682</v>
      </c>
      <c r="BG6" s="3798" t="s">
        <v>8564</v>
      </c>
      <c r="BH6" s="3020"/>
      <c r="BI6" s="3020"/>
      <c r="BJ6" s="3798" t="s">
        <v>8176</v>
      </c>
      <c r="BK6" s="3798" t="s">
        <v>8177</v>
      </c>
      <c r="BL6" s="3797" t="s">
        <v>8468</v>
      </c>
      <c r="BM6" s="3020"/>
      <c r="BN6" s="3020"/>
      <c r="BO6" s="3020"/>
      <c r="BP6" s="3020"/>
      <c r="BQ6" s="3020"/>
      <c r="BR6" s="3020"/>
      <c r="BS6" s="3020"/>
      <c r="BT6" s="3020"/>
      <c r="BU6" s="3020"/>
      <c r="BV6" s="3020"/>
      <c r="BW6" s="3797" t="s">
        <v>9790</v>
      </c>
      <c r="BX6" s="3797" t="s">
        <v>10305</v>
      </c>
      <c r="BY6" s="3797" t="s">
        <v>9791</v>
      </c>
      <c r="BZ6" s="3797" t="s">
        <v>9792</v>
      </c>
      <c r="CA6" s="3797" t="s">
        <v>10306</v>
      </c>
      <c r="CB6" s="2038"/>
      <c r="CC6" s="3818" t="s">
        <v>8877</v>
      </c>
      <c r="CD6" s="3818"/>
      <c r="CE6" s="3818"/>
      <c r="CM6" s="3335"/>
    </row>
    <row r="7" spans="1:109" s="24" customFormat="1" ht="23.9" customHeight="1">
      <c r="A7" s="9"/>
      <c r="C7" s="832"/>
      <c r="D7" s="833" t="s">
        <v>4219</v>
      </c>
      <c r="E7" s="833" t="s">
        <v>5247</v>
      </c>
      <c r="F7" s="833" t="s">
        <v>5247</v>
      </c>
      <c r="G7" s="833" t="s">
        <v>5247</v>
      </c>
      <c r="H7" s="833" t="s">
        <v>4219</v>
      </c>
      <c r="I7" s="833" t="s">
        <v>5250</v>
      </c>
      <c r="J7" s="833">
        <v>2145</v>
      </c>
      <c r="K7" s="2259" t="s">
        <v>4097</v>
      </c>
      <c r="L7" s="3399" t="s">
        <v>14210</v>
      </c>
      <c r="M7" s="423"/>
      <c r="N7" s="2259" t="s">
        <v>5536</v>
      </c>
      <c r="O7" s="423"/>
      <c r="P7" s="2260" t="s">
        <v>5536</v>
      </c>
      <c r="Q7" s="423"/>
      <c r="R7" s="423"/>
      <c r="S7" s="2251"/>
      <c r="T7" s="423"/>
      <c r="U7" s="423"/>
      <c r="V7" s="423"/>
      <c r="W7" s="423"/>
      <c r="X7" s="423"/>
      <c r="Y7" s="423"/>
      <c r="Z7" s="2640"/>
      <c r="AA7" s="174"/>
      <c r="AB7" s="174"/>
      <c r="AC7" s="174"/>
      <c r="AD7" s="174"/>
      <c r="AE7" s="174"/>
      <c r="AF7" s="174"/>
      <c r="AG7" s="174"/>
      <c r="AH7" s="795"/>
      <c r="AI7" s="2883">
        <v>9221</v>
      </c>
      <c r="AJ7" s="2769"/>
      <c r="AK7" s="2769"/>
      <c r="AL7" s="2769"/>
      <c r="AM7" s="2255"/>
      <c r="BA7" s="3799"/>
      <c r="BB7" s="3799"/>
      <c r="BC7" s="3799"/>
      <c r="BD7" s="3799"/>
      <c r="BE7" s="3797"/>
      <c r="BF7" s="3797"/>
      <c r="BG7" s="3798"/>
      <c r="BH7" s="3020"/>
      <c r="BI7" s="3020"/>
      <c r="BJ7" s="3798"/>
      <c r="BK7" s="3798"/>
      <c r="BL7" s="3797"/>
      <c r="BM7" s="3020"/>
      <c r="BN7" s="3020"/>
      <c r="BO7" s="3020"/>
      <c r="BP7" s="3020"/>
      <c r="BQ7" s="3020"/>
      <c r="BR7" s="3020"/>
      <c r="BS7" s="3020"/>
      <c r="BT7" s="3020"/>
      <c r="BU7" s="3020"/>
      <c r="BV7" s="3020"/>
      <c r="BW7" s="3797"/>
      <c r="BX7" s="3797"/>
      <c r="BY7" s="3797"/>
      <c r="BZ7" s="3797"/>
      <c r="CA7" s="3797"/>
      <c r="CB7" s="3065" t="s">
        <v>9638</v>
      </c>
      <c r="CC7" s="3803" t="s">
        <v>8886</v>
      </c>
      <c r="CD7" s="3803" t="s">
        <v>8885</v>
      </c>
      <c r="CE7" s="3803" t="s">
        <v>8878</v>
      </c>
      <c r="CF7" s="524"/>
      <c r="CG7" s="524"/>
      <c r="CH7" s="524"/>
      <c r="CM7" s="3335"/>
      <c r="CW7" s="3789" t="s">
        <v>14240</v>
      </c>
      <c r="CX7" s="3789"/>
      <c r="CY7" s="3789"/>
      <c r="DD7" s="3805" t="s">
        <v>14865</v>
      </c>
      <c r="DE7" s="3805"/>
    </row>
    <row r="8" spans="1:109" s="698" customFormat="1" ht="67.400000000000006" customHeight="1">
      <c r="A8" s="668"/>
      <c r="B8" s="680"/>
      <c r="C8" s="1600" t="s">
        <v>4164</v>
      </c>
      <c r="D8" s="1636" t="s">
        <v>4165</v>
      </c>
      <c r="E8" s="1636" t="s">
        <v>4166</v>
      </c>
      <c r="F8" s="1636" t="s">
        <v>5500</v>
      </c>
      <c r="G8" s="1636" t="s">
        <v>4169</v>
      </c>
      <c r="H8" s="1636" t="s">
        <v>4168</v>
      </c>
      <c r="I8" s="1636" t="s">
        <v>4178</v>
      </c>
      <c r="J8" s="1636" t="s">
        <v>4179</v>
      </c>
      <c r="K8" s="1636" t="s">
        <v>4167</v>
      </c>
      <c r="L8" s="1636" t="s">
        <v>5501</v>
      </c>
      <c r="M8" s="1636" t="s">
        <v>4701</v>
      </c>
      <c r="N8" s="1636" t="s">
        <v>4702</v>
      </c>
      <c r="O8" s="1636" t="s">
        <v>4703</v>
      </c>
      <c r="P8" s="1636" t="s">
        <v>5502</v>
      </c>
      <c r="Q8" s="1636" t="s">
        <v>5503</v>
      </c>
      <c r="R8" s="1636" t="s">
        <v>5504</v>
      </c>
      <c r="S8" s="1636" t="s">
        <v>4853</v>
      </c>
      <c r="T8" s="1636" t="s">
        <v>4852</v>
      </c>
      <c r="U8" s="1636" t="s">
        <v>5505</v>
      </c>
      <c r="V8" s="1636" t="s">
        <v>4851</v>
      </c>
      <c r="W8" s="3589" t="s">
        <v>5506</v>
      </c>
      <c r="X8" s="1636" t="s">
        <v>4850</v>
      </c>
      <c r="Y8" s="1636" t="s">
        <v>3303</v>
      </c>
      <c r="Z8" s="1636" t="s">
        <v>3304</v>
      </c>
      <c r="AA8" s="1636" t="s">
        <v>3305</v>
      </c>
      <c r="AB8" s="1636" t="s">
        <v>3306</v>
      </c>
      <c r="AC8" s="1636" t="s">
        <v>3307</v>
      </c>
      <c r="AD8" s="1636" t="s">
        <v>3308</v>
      </c>
      <c r="AE8" s="1636" t="s">
        <v>3309</v>
      </c>
      <c r="AF8" s="1636" t="s">
        <v>3310</v>
      </c>
      <c r="AG8" s="1636" t="s">
        <v>3311</v>
      </c>
      <c r="AH8" s="3589" t="s">
        <v>3312</v>
      </c>
      <c r="AI8" s="1636" t="s">
        <v>3313</v>
      </c>
      <c r="AJ8" s="1636" t="s">
        <v>3314</v>
      </c>
      <c r="AK8" s="1636" t="s">
        <v>3315</v>
      </c>
      <c r="AL8" s="1636" t="s">
        <v>3316</v>
      </c>
      <c r="AM8" s="1636" t="s">
        <v>3317</v>
      </c>
      <c r="AN8" s="2247"/>
      <c r="AO8" s="2247"/>
      <c r="AP8" s="2247"/>
      <c r="BA8" s="3799"/>
      <c r="BB8" s="3799"/>
      <c r="BC8" s="3799"/>
      <c r="BD8" s="3799"/>
      <c r="BE8" s="3797"/>
      <c r="BF8" s="3797"/>
      <c r="BG8" s="3798"/>
      <c r="BH8" s="3021"/>
      <c r="BI8" s="3021"/>
      <c r="BJ8" s="3798"/>
      <c r="BK8" s="3798"/>
      <c r="BL8" s="3797"/>
      <c r="BM8" s="3020"/>
      <c r="BN8" s="3800" t="s">
        <v>8175</v>
      </c>
      <c r="BO8" s="3800"/>
      <c r="BP8" s="3800"/>
      <c r="BQ8" s="3800"/>
      <c r="BR8" s="3800"/>
      <c r="BS8" s="3800"/>
      <c r="BT8" s="3800"/>
      <c r="BU8" s="3800"/>
      <c r="BV8" s="3800"/>
      <c r="BW8" s="3797"/>
      <c r="BX8" s="3797"/>
      <c r="BY8" s="3797"/>
      <c r="BZ8" s="3797"/>
      <c r="CA8" s="3797"/>
      <c r="CB8" s="448"/>
      <c r="CC8" s="3803"/>
      <c r="CD8" s="3803"/>
      <c r="CE8" s="3803"/>
      <c r="CL8" s="3065" t="s">
        <v>10258</v>
      </c>
      <c r="CM8" s="3335" t="s">
        <v>10257</v>
      </c>
      <c r="CN8" s="698" t="s">
        <v>10256</v>
      </c>
      <c r="CQ8" s="3065" t="s">
        <v>14907</v>
      </c>
      <c r="CS8" s="3065" t="s">
        <v>10319</v>
      </c>
      <c r="CU8" s="24"/>
      <c r="CW8" s="3409" t="s">
        <v>14260</v>
      </c>
      <c r="CX8" s="3409" t="s">
        <v>14261</v>
      </c>
      <c r="CY8" s="3409" t="s">
        <v>14262</v>
      </c>
      <c r="DA8" s="3065" t="s">
        <v>14296</v>
      </c>
      <c r="DC8" s="3065" t="s">
        <v>15154</v>
      </c>
      <c r="DD8" s="3530" t="s">
        <v>14866</v>
      </c>
      <c r="DE8" s="3530" t="s">
        <v>14867</v>
      </c>
    </row>
    <row r="9" spans="1:109" s="698" customFormat="1" ht="15" customHeight="1">
      <c r="A9" s="668"/>
      <c r="B9" s="680"/>
      <c r="C9" s="2437" t="s">
        <v>3389</v>
      </c>
      <c r="D9" s="1639" t="s">
        <v>3389</v>
      </c>
      <c r="E9" s="1639" t="s">
        <v>3389</v>
      </c>
      <c r="F9" s="1639" t="s">
        <v>3389</v>
      </c>
      <c r="G9" s="1639" t="s">
        <v>3389</v>
      </c>
      <c r="H9" s="1639" t="s">
        <v>3389</v>
      </c>
      <c r="I9" s="1639" t="s">
        <v>3389</v>
      </c>
      <c r="J9" s="1639" t="s">
        <v>3389</v>
      </c>
      <c r="K9" s="1639" t="s">
        <v>3389</v>
      </c>
      <c r="L9" s="1639" t="s">
        <v>3389</v>
      </c>
      <c r="M9" s="1639" t="s">
        <v>3389</v>
      </c>
      <c r="N9" s="1639" t="s">
        <v>3389</v>
      </c>
      <c r="O9" s="1639" t="s">
        <v>3389</v>
      </c>
      <c r="P9" s="1639" t="s">
        <v>3389</v>
      </c>
      <c r="Q9" s="1639" t="s">
        <v>3389</v>
      </c>
      <c r="R9" s="1639" t="s">
        <v>3389</v>
      </c>
      <c r="S9" s="1319">
        <f>SUM(S10:S9997)</f>
        <v>0</v>
      </c>
      <c r="T9" s="1319">
        <f>SUM(T10:T9997)</f>
        <v>0</v>
      </c>
      <c r="U9" s="1639" t="s">
        <v>4184</v>
      </c>
      <c r="V9" s="1639" t="s">
        <v>4184</v>
      </c>
      <c r="W9" s="1319">
        <f>SUM(W10:W9997)</f>
        <v>0</v>
      </c>
      <c r="X9" s="1319">
        <f>SUM(X10:X9997)</f>
        <v>0</v>
      </c>
      <c r="Y9" s="1319">
        <f>SUM(Y10:Y9997)</f>
        <v>0</v>
      </c>
      <c r="Z9" s="1319">
        <f>SUM(Z10:Z9997)</f>
        <v>0</v>
      </c>
      <c r="AA9" s="1639" t="s">
        <v>4184</v>
      </c>
      <c r="AB9" s="1639" t="s">
        <v>4184</v>
      </c>
      <c r="AC9" s="1319">
        <f t="shared" ref="AC9:AH9" si="0">SUM(AC10:AC9997)</f>
        <v>0</v>
      </c>
      <c r="AD9" s="1319">
        <f t="shared" si="0"/>
        <v>0</v>
      </c>
      <c r="AE9" s="1319">
        <f t="shared" si="0"/>
        <v>0</v>
      </c>
      <c r="AF9" s="1319">
        <f t="shared" si="0"/>
        <v>0</v>
      </c>
      <c r="AG9" s="1319">
        <f t="shared" si="0"/>
        <v>0</v>
      </c>
      <c r="AH9" s="1319">
        <f t="shared" si="0"/>
        <v>0</v>
      </c>
      <c r="AI9" s="2256" t="s">
        <v>4184</v>
      </c>
      <c r="AJ9" s="2256" t="s">
        <v>4184</v>
      </c>
      <c r="AK9" s="2256" t="s">
        <v>4184</v>
      </c>
      <c r="AL9" s="2256" t="s">
        <v>4184</v>
      </c>
      <c r="AM9" s="2256" t="s">
        <v>4184</v>
      </c>
      <c r="AN9" s="2250"/>
      <c r="AO9" s="2250"/>
      <c r="AP9" s="2247"/>
      <c r="AY9" s="3036" t="b">
        <f>AND(AY10:AY64995)</f>
        <v>1</v>
      </c>
      <c r="AZ9" s="3036"/>
      <c r="BA9" s="2771" t="s">
        <v>5396</v>
      </c>
      <c r="BB9" s="2771" t="s">
        <v>7684</v>
      </c>
      <c r="BC9" s="2771" t="s">
        <v>7684</v>
      </c>
      <c r="BD9" s="2771" t="s">
        <v>5396</v>
      </c>
      <c r="BE9" s="3036" t="b">
        <f>AND(BE10:BE64995)</f>
        <v>1</v>
      </c>
      <c r="BF9" s="2258" t="b">
        <f ca="1">AND(BF10:BF64995)</f>
        <v>1</v>
      </c>
      <c r="BG9" s="3036" t="b">
        <f>AND(BG10:BG64995)</f>
        <v>1</v>
      </c>
      <c r="BJ9" s="2774"/>
      <c r="BK9" s="2774"/>
      <c r="BL9" s="3036" t="b">
        <f>AND(BL10:BL64995)</f>
        <v>1</v>
      </c>
      <c r="BN9" s="2756" t="s">
        <v>8134</v>
      </c>
      <c r="BO9" s="2756" t="s">
        <v>8135</v>
      </c>
      <c r="BP9" s="2756" t="s">
        <v>8136</v>
      </c>
      <c r="BQ9" s="2756" t="s">
        <v>8137</v>
      </c>
      <c r="BR9" s="2756" t="s">
        <v>8138</v>
      </c>
      <c r="BS9" s="2756" t="s">
        <v>8139</v>
      </c>
      <c r="BT9" s="2756" t="s">
        <v>8565</v>
      </c>
      <c r="BU9" s="2756" t="s">
        <v>8140</v>
      </c>
      <c r="BV9" s="2756" t="s">
        <v>8141</v>
      </c>
      <c r="CA9" s="3036" t="b">
        <f>AND(CA10:CA64995)</f>
        <v>1</v>
      </c>
      <c r="CB9" s="3036" t="b">
        <f>AND(CB10:CB64995)</f>
        <v>1</v>
      </c>
      <c r="CI9" s="3792" t="s">
        <v>8879</v>
      </c>
      <c r="CJ9" s="3793"/>
      <c r="CL9" s="3036" t="b">
        <f>AND(CL10:CL64995)</f>
        <v>1</v>
      </c>
      <c r="CM9" s="3036"/>
      <c r="CQ9" s="3036" t="b">
        <f>AND(CQ10:CQ64995)</f>
        <v>1</v>
      </c>
      <c r="CR9" s="3036"/>
      <c r="CS9" s="3036" t="b">
        <f t="shared" ref="CS9" si="1">AND(CS10:CS64995)</f>
        <v>1</v>
      </c>
      <c r="CT9" s="3036"/>
      <c r="CU9" s="3036"/>
      <c r="CW9" s="3036" t="b">
        <f t="shared" ref="CW9:DA9" ca="1" si="2">AND(CW10:CW64995)</f>
        <v>1</v>
      </c>
      <c r="CX9" s="3036" t="b">
        <f t="shared" ca="1" si="2"/>
        <v>1</v>
      </c>
      <c r="CY9" s="3036" t="b">
        <f t="shared" ca="1" si="2"/>
        <v>1</v>
      </c>
      <c r="DA9" s="3036" t="b">
        <f t="shared" si="2"/>
        <v>1</v>
      </c>
      <c r="DC9" s="3036" t="b">
        <f t="shared" ref="DC9" si="3">AND(DC10:DC64995)</f>
        <v>1</v>
      </c>
      <c r="DD9" s="3531"/>
      <c r="DE9" s="3531"/>
    </row>
    <row r="10" spans="1:109" s="24" customFormat="1">
      <c r="A10" s="2804" t="str">
        <f>"R55="&amp;MID(D10,1,100)&amp;";R50="&amp;MID(C10,1,100)&amp;";R42="&amp;MID(IF(G10&lt;&gt;"",G10,F10),1,30)&amp;";R57="&amp;MID(E10,1,60)&amp;";R4="&amp;H10&amp;";R11="&amp;IFERROR(MID(I10,FIND("{",I10)+1,FIND("}",I10)-FIND("{",I10)-1),"")&amp;";R21="&amp;MID(M10,1,13)&amp;";R24="&amp;IFERROR(MID(J10,FIND("{",J10)+1,FIND("}",J10)-FIND("{",J10)-1),"")&amp;";R23="&amp;IFERROR(MID(K10,FIND("{",K10)+1,FIND("}",K10)-FIND("{",K10)-1),"")&amp;";R14="&amp;IFERROR(MID(O10,FIND("{",O10)+1,FIND("}",O10)-FIND("{",O10)-1),"")&amp;";R16="&amp;IFERROR(MID(AI10,FIND("{",AI10)+1,FIND("}",AI10)-FIND("{",AI10)-1),AI10)&amp;";R18="&amp;U10&amp;";R19="&amp;V10&amp;";R2="&amp;IFERROR(MID(AA10,FIND("{",AA10)+1,FIND("}",AA10)-FIND("{",AA10)-1),"")&amp;";R37="&amp;IFERROR(MID(L10,FIND("{",L10)+1,FIND("}",L10)-FIND("{",L10)-1),"")&amp;";R36="&amp;MID(G10,1,30)&amp;";R43="&amp;MID(F10,1,30)&amp;";R48="&amp;MID(AL10,1,30)&amp;";R51="&amp;MID(AK10,1,30)&amp;";COM="&amp;AM10</f>
        <v>R55=;R50=;R42=;R57=;R4=;R11=;R21=;R24=;R23=;R14=;R16=;R18=;R19=;R2=;R37=;R36=;R43=;R48=;R51=;COM=</v>
      </c>
      <c r="B10" s="207" t="b">
        <f>IF(COUNTIF(D10,"*№*"),FALSE,TRUE)</f>
        <v>1</v>
      </c>
      <c r="C10" s="1868" t="str">
        <f>IF(H10="","",D10&amp;" "&amp;F10&amp;" "&amp;TEXT(H10,"дд.ММ.гггг")&amp;" "&amp;MID(AI10,1,4))</f>
        <v/>
      </c>
      <c r="D10" s="1001"/>
      <c r="E10" s="1637"/>
      <c r="F10" s="2517"/>
      <c r="G10" s="2517"/>
      <c r="H10" s="2270"/>
      <c r="I10" s="1638"/>
      <c r="J10" s="1637"/>
      <c r="K10" s="1637"/>
      <c r="L10" s="1637"/>
      <c r="M10" s="2241"/>
      <c r="N10" s="2243"/>
      <c r="O10" s="2241"/>
      <c r="P10" s="2243"/>
      <c r="Q10" s="2243"/>
      <c r="R10" s="2249" t="str">
        <f t="shared" ref="R10:R40" si="4">IFERROR((N10-Q10+AE10-AD10+AG10-AF10)/(Q10+AD10+AF10),"-")</f>
        <v>-</v>
      </c>
      <c r="S10" s="2248"/>
      <c r="T10" s="2243"/>
      <c r="U10" s="876"/>
      <c r="V10" s="876"/>
      <c r="W10" s="2252"/>
      <c r="X10" s="2252"/>
      <c r="Y10" s="2252"/>
      <c r="Z10" s="2252"/>
      <c r="AA10" s="2253"/>
      <c r="AB10" s="2240" t="str">
        <f t="shared" ref="AB10:AB38" si="5">IFERROR((S10+W10)/Q10,"-")</f>
        <v>-</v>
      </c>
      <c r="AC10" s="2252"/>
      <c r="AD10" s="2252"/>
      <c r="AE10" s="2252"/>
      <c r="AF10" s="2252"/>
      <c r="AG10" s="2252"/>
      <c r="AH10" s="2252"/>
      <c r="AI10" s="2884"/>
      <c r="AJ10" s="1637"/>
      <c r="AK10" s="2517"/>
      <c r="AL10" s="2517"/>
      <c r="AM10" s="2770"/>
      <c r="AN10" s="2596" t="b">
        <f>ABS(IF(AX10="Компания внешняя",(SUMIFS($Y:$Y,$C:$C,$C10,M:M,"46")+SUMIFS($Z:$Z,$C:$C,$C10,M:M,"46")+SUMIFS('60,62,63,76_контр'!V:V,'60,62,63,76_контр'!G:G,Долгосроч_договоры!D10,'60,62,63,76_контр'!E:E,Долгосроч_договоры!F10,'60,62,63,76_контр'!H:H,Долгосроч_договоры!H10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0" s="24" t="b">
        <f>SUMIFS($S:$S,$J:$J,$J10,M:M,"20_23_25_29")&lt;=SUMIFS(НЗП_ГП!$H:$H,НЗП_ГП!$D:$D,$J10,НЗП_ГП!$C:$C,"20_23_25_29")</f>
        <v>1</v>
      </c>
      <c r="AP10" s="1575">
        <f t="shared" ref="AP10:AP38" si="6">S10</f>
        <v>0</v>
      </c>
      <c r="AQ10" s="2038" t="b">
        <f>IF(E10&gt;0,OR(AND($F10&lt;&gt;"",$G10=""),AND($F10="",$G10&lt;&gt;""),AND($F10&lt;&gt;"",$G10&lt;&gt;"")),TRUE)</f>
        <v>1</v>
      </c>
      <c r="AR10" s="2038" t="b">
        <f>IF(AND(TEXT(M10,"#")="46",AX10="Компания внешняя"),AND(N10&lt;&gt;"",O10&lt;&gt;"",W10&lt;&gt;"",X10&lt;&gt;"",IF(O10="{01} да",TRUE,P10&lt;&gt;""),Q10&lt;&gt;""),OR(M10="20_23_25_29",M10="Оборудование",M10="",AX10="Компания ВГО"))</f>
        <v>1</v>
      </c>
      <c r="AS10" s="2038" t="b">
        <f>IF(M10="20_23_25_29",AND(N10&lt;&gt;"",O10&lt;&gt;"",W10&lt;&gt;"",X10&lt;&gt;"",IF(O10="{01} да",TRUE,P10&lt;&gt;""),Q10&lt;&gt;""),OR(TEXT(M10,"#")="46",M10="Оборудование",M10=""))</f>
        <v>1</v>
      </c>
      <c r="AT10" s="2103" t="b">
        <f t="shared" ref="AT10:AT38" si="7">IF(E10&lt;&gt;"",M10&lt;&gt;"",TRUE)</f>
        <v>1</v>
      </c>
      <c r="AU10" s="2262" t="b">
        <f>IFERROR(AV10=AW10,"ложь")</f>
        <v>1</v>
      </c>
      <c r="AV10" s="24" t="str">
        <f>IF(LEN(E10)&gt;0,E10,"-")</f>
        <v>-</v>
      </c>
      <c r="AW10" s="24" t="str">
        <f>IF(ISNA(VLOOKUP($F10,F:AV,43,0)),"-",VLOOKUP($F10,F:AV,43,0))</f>
        <v>-</v>
      </c>
      <c r="AX10" s="24" t="str">
        <f t="shared" ref="AX10:AX38" si="8">IF(F10&lt;&gt;"",(IF((IFERROR(VLOOKUP(F10,_icompindex,1,FALSE)="F13","-")="-"),"Компания внешняя","Компания ВГО")),"")</f>
        <v/>
      </c>
      <c r="AY10" s="2038" t="b">
        <f>IF(N10&gt;=X10,TRUE,FALSE)</f>
        <v>1</v>
      </c>
      <c r="AZ10" s="2038"/>
      <c r="BA10" s="2772">
        <f>SUMIFS('60,62,63,76_контр'!V:V,'60,62,63,76_контр'!G:G,D10,'60,62,63,76_контр'!H:H,H10,'60,62,63,76_контр'!I:I,"{255222} Авансы полученные",'60,62,63,76_контр'!N:N,"{20} Краткосрочная")</f>
        <v>0</v>
      </c>
      <c r="BB10" s="2772">
        <f>SUMIFS('60,62,63,76_контр'!V:V,'60,62,63,76_контр'!G:G,D10,'60,62,63,76_контр'!H:H,H10,'60,62,63,76_контр'!I:I,"{255222} Авансы полученные",'60,62,63,76_контр'!N:N,"{10} Долгосрочная")</f>
        <v>0</v>
      </c>
      <c r="BC10" s="2772">
        <f>IF(ISERROR(VLOOKUP(F10,Список_компаний!B:K,7,0)),SUMIFS(Долгосроч_договоры!Y:Y,Долгосроч_договоры!D:D,D10,Долгосроч_договоры!H:H,H10),IF(VLOOKUP(F10,Список_компаний!B:K,7,0)=0,SUMIFS(Долгосроч_договоры!Y:Y,Долгосроч_договоры!D:D,D10,Долгосроч_договоры!H:H,H10),0))</f>
        <v>0</v>
      </c>
      <c r="BD10" s="2772">
        <f>IF(ISERROR(VLOOKUP(F10,Список_компаний!B:K,7,0)),SUMIFS(Долгосроч_договоры!Z:Z,Долгосроч_договоры!D:D,D10,Долгосроч_договоры!H:H,H10),IF(VLOOKUP(F10,Список_компаний!B:K,7,0)=0,SUMIFS(Долгосроч_договоры!Z:Z,Долгосроч_договоры!D:D,D10,Долгосроч_договоры!H:H,H10),0))</f>
        <v>0</v>
      </c>
      <c r="BE10" s="2103" t="b">
        <f>IF(BV10="проверка",AND(IF((ABS(BA10+BD10))&gt;5,FALSE,TRUE),IF((ABS(BB10+BC10))&gt;5,FALSE,TRUE)),TRUE)</f>
        <v>1</v>
      </c>
      <c r="BF10" s="2493" t="b">
        <f ca="1">IF(ISBLANK(D10),TRUE,AND(IF(ISNUMBER(VLOOKUP(AI10,$CI$10:$CJ$13,2,0)),TRUE,FALSE),AND(AND(CELL("формат",U10)="D1",U10&gt;29340),AND(CELL("формат",V10)="D1",V10&gt;29340)),IF(O10="{02} нет",IF(P10&gt;0,TRUE,FALSE),TRUE),K10&gt;0,AND(Q10&gt;=0,NOT(ISBLANK(Q10))),O10&gt;0,AND(AJ10&gt;=0,NOT(ISBLANK(AJ10))),AND(AK10&gt;=0,NOT(ISBLANK(AK10))),AND(AL10&gt;0,NOT(ISBLANK(AL10)),ISNUMBER(AL10)),AND(G10&gt;0,NOT(ISBLANK(G10)),ISNUMBER(G10))))</f>
        <v>1</v>
      </c>
      <c r="BG10" s="2761" t="b">
        <f>IF(M10=46,TRUE,IF(X10&gt;=T10,TRUE,FALSE))</f>
        <v>1</v>
      </c>
      <c r="BI10" s="24" t="str">
        <f>"X"</f>
        <v>X</v>
      </c>
      <c r="BJ10" s="2772">
        <f t="shared" ref="BJ10:BJ39" si="9">SUMIFS(AH:AH,C:C,C10)</f>
        <v>0</v>
      </c>
      <c r="BK10" s="2772">
        <f>SUMIFS('46'!Z:Z,'46'!C:C,C10)+SUMIFS('46'!AA:AA,'46'!C:C,C10)</f>
        <v>0</v>
      </c>
      <c r="BL10" s="2103" t="b">
        <f>SUM(ABS(BJ10-BK10))&lt;5</f>
        <v>1</v>
      </c>
      <c r="BN10" s="2755">
        <f>IF(OR(IF(TEXT(LEFT(F10,1),"0")="0",TRUE,FALSE),ISERROR(F10*1)),F10,F10*1)</f>
        <v>0</v>
      </c>
      <c r="BO10" s="2755" t="str">
        <f>IF(OR(BN10=3801085668,BN10=7704765961),"-",IF(ISNA(VLOOKUP(BN10,_icompindex,1,0)),"-",VLOOKUP(BN10,_icompindex,1,0)))</f>
        <v>-</v>
      </c>
      <c r="BP10" s="2755" t="str">
        <f>IF(BQ10="","Да","Нет")</f>
        <v>Да</v>
      </c>
      <c r="BQ10" s="2958" t="str">
        <f>IF(BO10="-","",IF(VLOOKUP(BO10,Список_компаний!$B$8:$I$301,7,0)=0,"Нет","Да"))</f>
        <v/>
      </c>
      <c r="BR10" s="2958" t="str">
        <f>IF(BO10="-","",VLOOKUP(BO10,Список_компаний!$B$8:$I$301,8,0))</f>
        <v/>
      </c>
      <c r="BS10" s="2958" t="str">
        <f>IF(AND(BQ10="",BR10=""),"",IF(AND(BQ10="Нет",BR10="Да"),"Да","Нет"))</f>
        <v/>
      </c>
      <c r="BT10" s="2958" t="str">
        <f>IF(Содержание!$D$4="-","",IF(VLOOKUP(Содержание!$D$4,Список_компаний!$B$8:$I$301,7,0)=0,"Нет","Да"))</f>
        <v/>
      </c>
      <c r="BU10" s="2958" t="str">
        <f>IF(AND(BT10="Да",BS10="Да"),"Да","Нет")</f>
        <v>Нет</v>
      </c>
      <c r="BV10" s="2755" t="str">
        <f>IF(BP10="Да","проверка",IF(BU10="Да","проверка",TRUE))</f>
        <v>проверка</v>
      </c>
      <c r="BW10" s="2772">
        <f>SUMIFS(T:T,G:G,G10,J:J,J10,K:K,K10)</f>
        <v>0</v>
      </c>
      <c r="BX10" s="2772">
        <f>SUMIFS(Зарубежная_выручка!C:C,Зарубежная_выручка!I:I,G10,Зарубежная_выручка!F:F,K10,Зарубежная_выручка!E:E,J10)</f>
        <v>0</v>
      </c>
      <c r="BY10" s="2772">
        <f>SUMIFS('90_ОРВГ'!K:K,'90_ОРВГ'!E:E,G10,'90_ОРВГ'!G:G,K10,'90_ОРВГ'!I:I,J10)+SUMIFS('90_ОРВГ'!M:M,'90_ОРВГ'!E:E,G10,'90_ОРВГ'!G:G,K10,'90_ОРВГ'!I:I,J10)+SUMIFS('90_ОРВГ'!K:K,'90_ОРВГ'!R:R,G10,'90_ОРВГ'!G:G,K10,'90_ОРВГ'!I:I,J10)+SUMIFS('90_ОРВГ'!M:M,'90_ОРВГ'!R:R,G10,'90_ОРВГ'!G:G,K10,'90_ОРВГ'!I:I,J10)</f>
        <v>0</v>
      </c>
      <c r="BZ10" s="2772">
        <f>SUMIFS('90_контр'!I:I,'90_контр'!H:H,G10,'90_контр'!C:C,J10)</f>
        <v>0</v>
      </c>
      <c r="CA10" s="2103" t="b">
        <f>(BX10+BZ10+BY10+BW10)&lt;5</f>
        <v>1</v>
      </c>
      <c r="CB10" s="2038" t="b">
        <f>IF(D10="",TRUE,H10&lt;&gt;"")</f>
        <v>1</v>
      </c>
      <c r="CC10" s="2999" t="str">
        <f>IF(CD10=0,"",IF(COUNTIF(CD$9:CD10,CD10)=1,MAX(CC$9:CC9)+1,""))</f>
        <v/>
      </c>
      <c r="CD10" s="2999" t="str">
        <f>IF(OR(M10=46,M10="46"),J10,"")</f>
        <v/>
      </c>
      <c r="CE10" s="2999" t="str">
        <f t="shared" ref="CE10:CE42" ca="1" si="10">IF(MAX(Колво_уникальных_долгосроч_догов)&lt;ROW(1:1),"",VLOOKUP(ROW(1:1),Перечень_видов_долгосроч_дог,2))</f>
        <v/>
      </c>
      <c r="CI10" s="2954" t="s">
        <v>8716</v>
      </c>
      <c r="CJ10" s="2957">
        <v>0.18</v>
      </c>
      <c r="CL10" s="2038" t="b">
        <f>(CN10-CM10)&lt;5</f>
        <v>1</v>
      </c>
      <c r="CM10" s="2772">
        <f>SUMIFS(НЗП_ГП!$H$10:$H$5000,НЗП_ГП!$D$10:$D$5000,J10)</f>
        <v>0</v>
      </c>
      <c r="CN10" s="2772">
        <f>SUMIFS(S10:S5000,J10:J5000,J10)</f>
        <v>0</v>
      </c>
      <c r="CQ10" s="2038" t="b">
        <f>(Q10-W10-(IF(ISNUMBER(S10),S10,0)))&gt;-5</f>
        <v>1</v>
      </c>
      <c r="CR10" s="2038"/>
      <c r="CS10" s="2038" t="b">
        <f>IF(ISBLANK(D10),TRUE,IF(Долгосроч_договоры!AH10&lt;&gt;0,IF(OR(M10=46,M10="46"),TRUE,FALSE),TRUE))</f>
        <v>1</v>
      </c>
      <c r="CT10" s="2038"/>
      <c r="CU10" s="2038"/>
      <c r="CW10" s="2038" t="b">
        <f ca="1">IF(ISBLANK(H10),TRUE,IF(CELL("формат",H10)="D1",AND(LEN(TEXT(H10,"ДД.мм.ГГГГ"))=10,NOT(ISERR(SEARCH("??.??.????",TEXT(H10,"ДД.мм.ГГГГ"))))),AND(NOT(ISERROR(DATEVALUE(H10))),LEN(H10)=10,NOT(ISERR(SEARCH("??.??.????",TEXT(H10,"ДД.мм.ГГГГ")))))))</f>
        <v>1</v>
      </c>
      <c r="CX10" s="2038" t="b">
        <f ca="1">IF(ISBLANK(U10),TRUE,IF(CELL("формат",U10)="D1",AND(LEN(TEXT(U10,"ДД.мм.ГГГГ"))=10,NOT(ISERR(SEARCH("??.??.????",TEXT(U10,"ДД.мм.ГГГГ"))))),AND(NOT(ISERROR(DATEVALUE(U10))),LEN(U10)=10,NOT(ISERR(SEARCH("??.??.????",TEXT(U10,"ДД.мм.ГГГГ")))))))</f>
        <v>1</v>
      </c>
      <c r="CY10" s="2038" t="b">
        <f ca="1">IF(ISBLANK(V10),TRUE,IF(CELL("формат",V10)="D1",AND(LEN(TEXT(V10,"ДД.мм.ГГГГ"))=10,NOT(ISERR(SEARCH("??.??.????",TEXT(V10,"ДД.мм.ГГГГ"))))),AND(NOT(ISERROR(DATEVALUE(V10))),LEN(V10)=10,NOT(ISERR(SEARCH("??.??.????",TEXT(V10,"ДД.мм.ГГГГ")))))))</f>
        <v>1</v>
      </c>
      <c r="DA10" s="2038" t="b">
        <f>IF(COUNTIF(D10,"*№*")=1,FALSE,IF(COUNTIF(D10,"*договор*")=1,FALSE,IF(COUNTIF(D10,"*контракт*")=1,FALSE,TRUE)))</f>
        <v>1</v>
      </c>
      <c r="DC10" s="2038" t="b">
        <f>IF(AI10="{02} Ставка 20%",ROUND(AH10/120*100,0)&lt;=X10,IF(AI10="{01} Ставка 18%",ROUND(AH10/118*100,0)&lt;=X10,IF(OR(AI10="{04} НДС не облагается",AI10="{05} НДС 0%"),ROUND(AH10/100*100,0)&lt;=X10,TRUE)))</f>
        <v>1</v>
      </c>
      <c r="DD10" s="2772">
        <f>SUMIFS('46'!O:O,'46'!_xlnm.Print_Titles,C10,'46'!J:J,J10)</f>
        <v>0</v>
      </c>
      <c r="DE10" s="2772">
        <f>SUMIFS('46'!Z:Z,'46'!_xlnm.Print_Titles,C10,'46'!J:J,J10)+SUMIFS('46'!AA:AA,'46'!_xlnm.Print_Titles,C10,'46'!J:J,J10)</f>
        <v>0</v>
      </c>
    </row>
    <row r="11" spans="1:109" s="24" customFormat="1">
      <c r="A11" s="2804" t="str">
        <f t="shared" ref="A11:A40" si="11">"R55="&amp;MID(D11,1,100)&amp;";R50="&amp;MID(C11,1,100)&amp;";R42="&amp;MID(IF(G11&lt;&gt;"",G11,F11),1,30)&amp;";R57="&amp;MID(E11,1,60)&amp;";R4="&amp;H11&amp;";R11="&amp;IFERROR(MID(I11,FIND("{",I11)+1,FIND("}",I11)-FIND("{",I11)-1),"")&amp;";R21="&amp;MID(M11,1,13)&amp;";R24="&amp;IFERROR(MID(J11,FIND("{",J11)+1,FIND("}",J11)-FIND("{",J11)-1),"")&amp;";R23="&amp;IFERROR(MID(K11,FIND("{",K11)+1,FIND("}",K11)-FIND("{",K11)-1),"")&amp;";R14="&amp;IFERROR(MID(O11,FIND("{",O11)+1,FIND("}",O11)-FIND("{",O11)-1),"")&amp;";R16="&amp;IFERROR(MID(AI11,FIND("{",AI11)+1,FIND("}",AI11)-FIND("{",AI11)-1),AI11)&amp;";R18="&amp;U11&amp;";R19="&amp;V11&amp;";R2="&amp;IFERROR(MID(AA11,FIND("{",AA11)+1,FIND("}",AA11)-FIND("{",AA11)-1),"")&amp;";R37="&amp;IFERROR(MID(L11,FIND("{",L11)+1,FIND("}",L11)-FIND("{",L11)-1),"")&amp;";R36="&amp;MID(G11,1,30)&amp;";R43="&amp;MID(F11,1,30)&amp;";R48="&amp;MID(AL11,1,30)&amp;";R51="&amp;MID(AK11,1,30)&amp;";COM="&amp;AM11</f>
        <v>R55=;R50=;R42=;R57=;R4=;R11=;R21=;R24=;R23=;R14=;R16=;R18=;R19=;R2=;R37=;R36=;R43=;R48=;R51=;COM=</v>
      </c>
      <c r="B11" s="207" t="b">
        <f t="shared" ref="B11:B38" si="12">IF(COUNTIF(D11,"*№*"),FALSE,TRUE)</f>
        <v>1</v>
      </c>
      <c r="C11" s="1868" t="str">
        <f t="shared" ref="C11:C40" si="13">IF(H11="","",D11&amp;" "&amp;F11&amp;" "&amp;TEXT(H11,"дд.ММ.гггг")&amp;" "&amp;MID(AI11,1,4))</f>
        <v/>
      </c>
      <c r="D11" s="1001"/>
      <c r="E11" s="1637"/>
      <c r="F11" s="2517"/>
      <c r="G11" s="2517"/>
      <c r="H11" s="2270"/>
      <c r="I11" s="1638"/>
      <c r="J11" s="1637"/>
      <c r="K11" s="1637"/>
      <c r="L11" s="1637"/>
      <c r="M11" s="2241"/>
      <c r="N11" s="2243"/>
      <c r="O11" s="2241"/>
      <c r="P11" s="2243"/>
      <c r="Q11" s="2243"/>
      <c r="R11" s="2249" t="str">
        <f t="shared" si="4"/>
        <v>-</v>
      </c>
      <c r="S11" s="2248"/>
      <c r="T11" s="2243"/>
      <c r="U11" s="876"/>
      <c r="V11" s="876"/>
      <c r="W11" s="2252"/>
      <c r="X11" s="2252"/>
      <c r="Y11" s="2252"/>
      <c r="Z11" s="2252"/>
      <c r="AA11" s="2253"/>
      <c r="AB11" s="2240" t="str">
        <f t="shared" si="5"/>
        <v>-</v>
      </c>
      <c r="AC11" s="2252"/>
      <c r="AD11" s="2252"/>
      <c r="AE11" s="2252"/>
      <c r="AF11" s="2252"/>
      <c r="AG11" s="2252"/>
      <c r="AH11" s="2252"/>
      <c r="AI11" s="2884"/>
      <c r="AJ11" s="1637"/>
      <c r="AK11" s="2517"/>
      <c r="AL11" s="2517"/>
      <c r="AM11" s="2770"/>
      <c r="AN11" s="2596" t="b">
        <f>ABS(IF(AX11="Компания внешняя",(SUMIFS($Y:$Y,$C:$C,$C11,M:M,"46")+SUMIFS($Z:$Z,$C:$C,$C11,M:M,"46")+SUMIFS('60,62,63,76_контр'!V:V,'60,62,63,76_контр'!G:G,Долгосроч_договоры!D11,'60,62,63,76_контр'!E:E,Долгосроч_договоры!F11,'60,62,63,76_контр'!H:H,Долгосроч_договоры!H11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1" s="24" t="b">
        <f>SUMIFS($S:$S,$J:$J,$J11,M:M,"20_23_25_29")&lt;=SUMIFS(НЗП_ГП!$H:$H,НЗП_ГП!$D:$D,$J11,НЗП_ГП!$C:$C,"20_23_25_29")</f>
        <v>1</v>
      </c>
      <c r="AP11" s="1575">
        <f t="shared" si="6"/>
        <v>0</v>
      </c>
      <c r="AQ11" s="2038" t="b">
        <f t="shared" ref="AQ11:AQ38" si="14">IF(E11&gt;0,OR(AND($F11&lt;&gt;"",$G11=""),AND($F11="",$G11&lt;&gt;""),AND($F11&lt;&gt;"",$G11&lt;&gt;"")),TRUE)</f>
        <v>1</v>
      </c>
      <c r="AR11" s="2038" t="b">
        <f t="shared" ref="AR11:AR38" si="15">IF(AND(TEXT(M11,"#")="46",AX11="Компания внешняя"),AND(N11&lt;&gt;"",O11&lt;&gt;"",W11&lt;&gt;"",X11&lt;&gt;"",IF(O11="{01} да",TRUE,P11&lt;&gt;""),Q11&lt;&gt;""),OR(M11="20_23_25_29",M11="Оборудование",M11="",AX11="Компания ВГО"))</f>
        <v>1</v>
      </c>
      <c r="AS11" s="2038" t="b">
        <f t="shared" ref="AS11:AS38" si="16">IF(M11="20_23_25_29",AND(N11&lt;&gt;"",O11&lt;&gt;"",W11&lt;&gt;"",X11&lt;&gt;"",IF(O11="{01} да",TRUE,P11&lt;&gt;""),Q11&lt;&gt;""),OR(TEXT(M11,"#")="46",M11="Оборудование",M11=""))</f>
        <v>1</v>
      </c>
      <c r="AT11" s="2103" t="b">
        <f t="shared" si="7"/>
        <v>1</v>
      </c>
      <c r="AU11" s="2262" t="b">
        <f t="shared" ref="AU11:AU16" si="17">IFERROR(AV11=AW11,"ложь")</f>
        <v>1</v>
      </c>
      <c r="AV11" s="24" t="str">
        <f t="shared" ref="AV11:AV38" si="18">IF(LEN(E11)&gt;0,E11,"-")</f>
        <v>-</v>
      </c>
      <c r="AW11" s="24" t="str">
        <f t="shared" ref="AW11:AW40" si="19">IF(ISNA(VLOOKUP($F11,F:AV,43,0)),"-",VLOOKUP($F11,F:AV,43,0))</f>
        <v>-</v>
      </c>
      <c r="AX11" s="24" t="str">
        <f t="shared" si="8"/>
        <v/>
      </c>
      <c r="AY11" s="2038" t="b">
        <f t="shared" ref="AY11:AY38" si="20">IF(N11&gt;=X11,TRUE,FALSE)</f>
        <v>1</v>
      </c>
      <c r="AZ11" s="2038"/>
      <c r="BA11" s="2772">
        <f>SUMIFS('60,62,63,76_контр'!V:V,'60,62,63,76_контр'!G:G,D11,'60,62,63,76_контр'!H:H,H11,'60,62,63,76_контр'!I:I,"{255222} Авансы полученные",'60,62,63,76_контр'!N:N,"{20} Краткосрочная")</f>
        <v>0</v>
      </c>
      <c r="BB11" s="2772">
        <f>SUMIFS('60,62,63,76_контр'!V:V,'60,62,63,76_контр'!G:G,D11,'60,62,63,76_контр'!H:H,H11,'60,62,63,76_контр'!I:I,"{255222} Авансы полученные",'60,62,63,76_контр'!N:N,"{10} Долгосрочная")</f>
        <v>0</v>
      </c>
      <c r="BC11" s="2772">
        <f>IF(ISERROR(VLOOKUP(F11,Список_компаний!B:K,7,0)),SUMIFS(Долгосроч_договоры!Y:Y,Долгосроч_договоры!D:D,D11,Долгосроч_договоры!H:H,H11),IF(VLOOKUP(F11,Список_компаний!B:K,7,0)=0,SUMIFS(Долгосроч_договоры!Y:Y,Долгосроч_договоры!D:D,D11,Долгосроч_договоры!H:H,H11),0))</f>
        <v>0</v>
      </c>
      <c r="BD11" s="2772">
        <f>IF(ISERROR(VLOOKUP(F11,Список_компаний!B:K,7,0)),SUMIFS(Долгосроч_договоры!Z:Z,Долгосроч_договоры!D:D,D11,Долгосроч_договоры!H:H,H11),IF(VLOOKUP(F11,Список_компаний!B:K,7,0)=0,SUMIFS(Долгосроч_договоры!Z:Z,Долгосроч_договоры!D:D,D11,Долгосроч_договоры!H:H,H11),0))</f>
        <v>0</v>
      </c>
      <c r="BE11" s="2103" t="b">
        <f t="shared" ref="BE11:BE38" si="21">IF(BV11="проверка",AND(IF((ABS(BA11+BD11))&gt;5,FALSE,TRUE),IF((ABS(BB11+BC11))&gt;5,FALSE,TRUE)),TRUE)</f>
        <v>1</v>
      </c>
      <c r="BF11" s="2493" t="b">
        <f t="shared" ref="BF11:BF40" ca="1" si="22">IF(ISBLANK(D11),TRUE,AND(IF(ISNUMBER(VLOOKUP(AI11,$CI$10:$CJ$13,2,0)),TRUE,FALSE),AND(AND(CELL("формат",U11)="D1",U11&gt;29340),AND(CELL("формат",V11)="D1",V11&gt;29340)),IF(O11="{02} нет",IF(P11&gt;0,TRUE,FALSE),TRUE),K11&gt;0,AND(Q11&gt;=0,NOT(ISBLANK(Q11))),O11&gt;0,AND(AJ11&gt;=0,NOT(ISBLANK(AJ11))),AND(AK11&gt;=0,NOT(ISBLANK(AK11))),AND(AL11&gt;0,NOT(ISBLANK(AL11)),ISNUMBER(AL11)),AND(G11&gt;0,NOT(ISBLANK(G11)),ISNUMBER(G11))))</f>
        <v>1</v>
      </c>
      <c r="BG11" s="2761" t="b">
        <f t="shared" ref="BG11:BG38" si="23">IF(M11=46,TRUE,IF(X11&gt;=T11,TRUE,FALSE))</f>
        <v>1</v>
      </c>
      <c r="BI11" s="24" t="str">
        <f t="shared" ref="BI11:BI42" si="24">"X"</f>
        <v>X</v>
      </c>
      <c r="BJ11" s="2772">
        <f t="shared" si="9"/>
        <v>0</v>
      </c>
      <c r="BK11" s="2772">
        <f>SUMIFS('46'!Z:Z,'46'!C:C,C11)+SUMIFS('46'!AA:AA,'46'!C:C,C11)</f>
        <v>0</v>
      </c>
      <c r="BL11" s="3010" t="b">
        <f t="shared" ref="BL11:BL40" si="25">SUM(ABS(BJ11-BK11))&lt;5</f>
        <v>1</v>
      </c>
      <c r="BN11" s="2755">
        <f t="shared" ref="BN11:BN38" si="26">IF(OR(IF(TEXT(LEFT(F11,1),"0")="0",TRUE,FALSE),ISERROR(F11*1)),F11,F11*1)</f>
        <v>0</v>
      </c>
      <c r="BO11" s="2755" t="str">
        <f t="shared" ref="BO11:BO38" si="27">IF(OR(BN11=3801085668,BN11=7704765961),"-",IF(ISNA(VLOOKUP(BN11,_icompindex,1,0)),"-",VLOOKUP(BN11,_icompindex,1,0)))</f>
        <v>-</v>
      </c>
      <c r="BP11" s="2755" t="str">
        <f t="shared" ref="BP11:BP38" si="28">IF(BQ11="","Да","Нет")</f>
        <v>Да</v>
      </c>
      <c r="BQ11" s="2958" t="str">
        <f>IF(BO11="-","",IF(VLOOKUP(BO11,Список_компаний!$B$8:$I$301,7,0)=0,"Нет","Да"))</f>
        <v/>
      </c>
      <c r="BR11" s="2958" t="str">
        <f>IF(BO11="-","",VLOOKUP(BO11,Список_компаний!$B$8:$I$301,8,0))</f>
        <v/>
      </c>
      <c r="BS11" s="2958" t="str">
        <f t="shared" ref="BS11:BS38" si="29">IF(AND(BQ11="",BR11=""),"",IF(AND(BQ11="Нет",BR11="Да"),"Да","Нет"))</f>
        <v/>
      </c>
      <c r="BT11" s="2958" t="str">
        <f>IF(Содержание!$D$4="-","",IF(VLOOKUP(Содержание!$D$4,Список_компаний!$B$8:$I$301,7,0)=0,"Нет","Да"))</f>
        <v/>
      </c>
      <c r="BU11" s="2958" t="str">
        <f t="shared" ref="BU11:BU38" si="30">IF(AND(BT11="Да",BS11="Да"),"Да","Нет")</f>
        <v>Нет</v>
      </c>
      <c r="BV11" s="2755" t="str">
        <f t="shared" ref="BV11:BV38" si="31">IF(BP11="Да","проверка",IF(BU11="Да","проверка",TRUE))</f>
        <v>проверка</v>
      </c>
      <c r="BW11" s="2772">
        <f t="shared" ref="BW11:BW40" si="32">SUMIFS(T:T,G:G,G11,J:J,J11,K:K,K11)</f>
        <v>0</v>
      </c>
      <c r="BX11" s="2772">
        <f>SUMIFS(Зарубежная_выручка!C:C,Зарубежная_выручка!I:I,G11,Зарубежная_выручка!F:F,K11,Зарубежная_выручка!E:E,J11)</f>
        <v>0</v>
      </c>
      <c r="BY11" s="2772">
        <f>SUMIFS('90_ОРВГ'!K:K,'90_ОРВГ'!E:E,G11,'90_ОРВГ'!G:G,K11,'90_ОРВГ'!I:I,J11)+SUMIFS('90_ОРВГ'!M:M,'90_ОРВГ'!E:E,G11,'90_ОРВГ'!G:G,K11,'90_ОРВГ'!I:I,J11)+SUMIFS('90_ОРВГ'!K:K,'90_ОРВГ'!R:R,G11,'90_ОРВГ'!G:G,K11,'90_ОРВГ'!I:I,J11)+SUMIFS('90_ОРВГ'!M:M,'90_ОРВГ'!R:R,G11,'90_ОРВГ'!G:G,K11,'90_ОРВГ'!I:I,J11)</f>
        <v>0</v>
      </c>
      <c r="BZ11" s="2772">
        <f>SUMIFS('90_контр'!I:I,'90_контр'!H:H,G11,'90_контр'!C:C,J11)</f>
        <v>0</v>
      </c>
      <c r="CA11" s="3010" t="b">
        <f t="shared" ref="CA11:CA40" si="33">(BX11+BZ11+BY11+BW11)&lt;5</f>
        <v>1</v>
      </c>
      <c r="CB11" s="2038" t="b">
        <f>IF(D11="",TRUE,H11&lt;&gt;"")</f>
        <v>1</v>
      </c>
      <c r="CC11" s="2999" t="str">
        <f>IF(CD11=0,"",IF(COUNTIF(CD$9:CD11,CD11)=1,MAX(CC$9:CC10)+1,""))</f>
        <v/>
      </c>
      <c r="CD11" s="2999" t="str">
        <f t="shared" ref="CD11:CD40" si="34">IF(OR(M11=46,M11="46"),J11,"")</f>
        <v/>
      </c>
      <c r="CE11" s="2999" t="str">
        <f t="shared" ca="1" si="10"/>
        <v/>
      </c>
      <c r="CI11" s="2954" t="s">
        <v>8717</v>
      </c>
      <c r="CJ11" s="2957">
        <v>0.2</v>
      </c>
      <c r="CL11" s="2038" t="b">
        <f t="shared" ref="CL11:CL40" si="35">(CN11-CM11)&lt;5</f>
        <v>1</v>
      </c>
      <c r="CM11" s="2772">
        <f>SUMIFS(НЗП_ГП!$H$10:$H$5000,НЗП_ГП!$D$10:$D$5000,J11)</f>
        <v>0</v>
      </c>
      <c r="CN11" s="2772">
        <f t="shared" ref="CN11:CN40" si="36">SUMIFS(S11:S5001,J11:J5001,J11)</f>
        <v>0</v>
      </c>
      <c r="CQ11" s="2038" t="b">
        <f t="shared" ref="CQ11:CQ42" si="37">(Q11-W11-(IF(ISNUMBER(S11),S11,0)))&gt;-5</f>
        <v>1</v>
      </c>
      <c r="CR11" s="2038"/>
      <c r="CS11" s="2038" t="b">
        <f>IF(ISBLANK(D11),TRUE,IF(Долгосроч_договоры!AH11&lt;&gt;0,IF(OR(M11=46,M11="46"),TRUE,FALSE),TRUE))</f>
        <v>1</v>
      </c>
      <c r="CT11" s="2038"/>
      <c r="CU11" s="2038"/>
      <c r="CW11" s="2038" t="b">
        <f t="shared" ref="CW11:CW42" ca="1" si="38">IF(ISBLANK(H11),TRUE,IF(CELL("формат",H11)="D1",AND(LEN(TEXT(H11,"ДД.мм.ГГГГ"))=10,NOT(ISERR(SEARCH("??.??.????",TEXT(H11,"ДД.мм.ГГГГ"))))),AND(NOT(ISERROR(DATEVALUE(H11))),LEN(H11)=10,NOT(ISERR(SEARCH("??.??.????",TEXT(H11,"ДД.мм.ГГГГ")))))))</f>
        <v>1</v>
      </c>
      <c r="CX11" s="2038" t="b">
        <f t="shared" ref="CX11:CX42" ca="1" si="39">IF(ISBLANK(U11),TRUE,IF(CELL("формат",U11)="D1",AND(LEN(TEXT(U11,"ДД.мм.ГГГГ"))=10,NOT(ISERR(SEARCH("??.??.????",TEXT(U11,"ДД.мм.ГГГГ"))))),AND(NOT(ISERROR(DATEVALUE(U11))),LEN(U11)=10,NOT(ISERR(SEARCH("??.??.????",TEXT(U11,"ДД.мм.ГГГГ")))))))</f>
        <v>1</v>
      </c>
      <c r="CY11" s="2038" t="b">
        <f t="shared" ref="CY11:CY42" ca="1" si="40">IF(ISBLANK(V11),TRUE,IF(CELL("формат",V11)="D1",AND(LEN(TEXT(V11,"ДД.мм.ГГГГ"))=10,NOT(ISERR(SEARCH("??.??.????",TEXT(V11,"ДД.мм.ГГГГ"))))),AND(NOT(ISERROR(DATEVALUE(V11))),LEN(V11)=10,NOT(ISERR(SEARCH("??.??.????",TEXT(V11,"ДД.мм.ГГГГ")))))))</f>
        <v>1</v>
      </c>
      <c r="DA11" s="2038" t="b">
        <f t="shared" ref="DA11:DA42" si="41">IF(COUNTIF(D11,"*№*")=1,FALSE,IF(COUNTIF(D11,"*договор*")=1,FALSE,IF(COUNTIF(D11,"*контракт*")=1,FALSE,TRUE)))</f>
        <v>1</v>
      </c>
      <c r="DC11" s="2038" t="b">
        <f t="shared" ref="DC11:DC42" si="42">IF(AI11="{02} Ставка 20%",ROUND(AH11/120*100,0)&lt;=X11,IF(AI11="{01} Ставка 18%",ROUND(AH11/118*100,0)&lt;=X11,IF(OR(AI11="{04} НДС не облагается",AI11="{05} НДС 0%"),ROUND(AH11/100*100,0)&lt;=X11,TRUE)))</f>
        <v>1</v>
      </c>
      <c r="DD11" s="2772">
        <f>SUMIFS('46'!O:O,'46'!_xlnm.Print_Titles,C11,'46'!J:J,J11)</f>
        <v>0</v>
      </c>
      <c r="DE11" s="2772">
        <f>SUMIFS('46'!Z:Z,'46'!_xlnm.Print_Titles,C11,'46'!J:J,J11)+SUMIFS('46'!AA:AA,'46'!_xlnm.Print_Titles,C11,'46'!J:J,J11)</f>
        <v>0</v>
      </c>
    </row>
    <row r="12" spans="1:109" s="24" customFormat="1">
      <c r="A12" s="2804" t="str">
        <f t="shared" si="11"/>
        <v>R55=;R50=;R42=;R57=;R4=;R11=;R21=;R24=;R23=;R14=;R16=;R18=;R19=;R2=;R37=;R36=;R43=;R48=;R51=;COM=</v>
      </c>
      <c r="B12" s="207" t="b">
        <f t="shared" si="12"/>
        <v>1</v>
      </c>
      <c r="C12" s="1868" t="str">
        <f t="shared" si="13"/>
        <v/>
      </c>
      <c r="D12" s="1001"/>
      <c r="E12" s="1637"/>
      <c r="F12" s="2517"/>
      <c r="G12" s="2517"/>
      <c r="H12" s="2270"/>
      <c r="I12" s="1638"/>
      <c r="J12" s="1637"/>
      <c r="K12" s="1637"/>
      <c r="L12" s="1637"/>
      <c r="M12" s="2241"/>
      <c r="N12" s="2243"/>
      <c r="O12" s="2241"/>
      <c r="P12" s="2243"/>
      <c r="Q12" s="2243"/>
      <c r="R12" s="2249" t="str">
        <f t="shared" si="4"/>
        <v>-</v>
      </c>
      <c r="S12" s="2248"/>
      <c r="T12" s="2243"/>
      <c r="U12" s="876"/>
      <c r="V12" s="876"/>
      <c r="W12" s="2252"/>
      <c r="X12" s="2252"/>
      <c r="Y12" s="2252"/>
      <c r="Z12" s="2252"/>
      <c r="AA12" s="2253"/>
      <c r="AB12" s="2240" t="str">
        <f t="shared" si="5"/>
        <v>-</v>
      </c>
      <c r="AC12" s="2252"/>
      <c r="AD12" s="2252"/>
      <c r="AE12" s="2252"/>
      <c r="AF12" s="2252"/>
      <c r="AG12" s="2252"/>
      <c r="AH12" s="2252"/>
      <c r="AI12" s="2884"/>
      <c r="AJ12" s="1637"/>
      <c r="AK12" s="2517"/>
      <c r="AL12" s="2517"/>
      <c r="AM12" s="2770"/>
      <c r="AN12" s="2596" t="b">
        <f>ABS(IF(AX12="Компания внешняя",(SUMIFS($Y:$Y,$C:$C,$C12,M:M,"46")+SUMIFS($Z:$Z,$C:$C,$C12,M:M,"46")+SUMIFS('60,62,63,76_контр'!V:V,'60,62,63,76_контр'!G:G,Долгосроч_договоры!D12,'60,62,63,76_контр'!E:E,Долгосроч_договоры!F12,'60,62,63,76_контр'!H:H,Долгосроч_договоры!H12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2" s="24" t="b">
        <f>SUMIFS($S:$S,$J:$J,$J12,M:M,"20_23_25_29")&lt;=SUMIFS(НЗП_ГП!$H:$H,НЗП_ГП!$D:$D,$J12,НЗП_ГП!$C:$C,"20_23_25_29")</f>
        <v>1</v>
      </c>
      <c r="AP12" s="1575">
        <f t="shared" si="6"/>
        <v>0</v>
      </c>
      <c r="AQ12" s="2038" t="b">
        <f t="shared" si="14"/>
        <v>1</v>
      </c>
      <c r="AR12" s="2038" t="b">
        <f t="shared" si="15"/>
        <v>1</v>
      </c>
      <c r="AS12" s="2038" t="b">
        <f t="shared" si="16"/>
        <v>1</v>
      </c>
      <c r="AT12" s="2103" t="b">
        <f t="shared" si="7"/>
        <v>1</v>
      </c>
      <c r="AU12" s="2262" t="b">
        <f t="shared" si="17"/>
        <v>1</v>
      </c>
      <c r="AV12" s="24" t="str">
        <f t="shared" si="18"/>
        <v>-</v>
      </c>
      <c r="AW12" s="24" t="str">
        <f t="shared" si="19"/>
        <v>-</v>
      </c>
      <c r="AX12" s="24" t="str">
        <f t="shared" si="8"/>
        <v/>
      </c>
      <c r="AY12" s="2038" t="b">
        <f t="shared" si="20"/>
        <v>1</v>
      </c>
      <c r="AZ12" s="2038"/>
      <c r="BA12" s="2772">
        <f>SUMIFS('60,62,63,76_контр'!V:V,'60,62,63,76_контр'!G:G,D12,'60,62,63,76_контр'!H:H,H12,'60,62,63,76_контр'!I:I,"{255222} Авансы полученные",'60,62,63,76_контр'!N:N,"{20} Краткосрочная")</f>
        <v>0</v>
      </c>
      <c r="BB12" s="2772">
        <f>SUMIFS('60,62,63,76_контр'!V:V,'60,62,63,76_контр'!G:G,D12,'60,62,63,76_контр'!H:H,H12,'60,62,63,76_контр'!I:I,"{255222} Авансы полученные",'60,62,63,76_контр'!N:N,"{10} Долгосрочная")</f>
        <v>0</v>
      </c>
      <c r="BC12" s="2772">
        <f>IF(ISERROR(VLOOKUP(F12,Список_компаний!B:K,7,0)),SUMIFS(Долгосроч_договоры!Y:Y,Долгосроч_договоры!D:D,D12,Долгосроч_договоры!H:H,H12),IF(VLOOKUP(F12,Список_компаний!B:K,7,0)=0,SUMIFS(Долгосроч_договоры!Y:Y,Долгосроч_договоры!D:D,D12,Долгосроч_договоры!H:H,H12),0))</f>
        <v>0</v>
      </c>
      <c r="BD12" s="2772">
        <f>IF(ISERROR(VLOOKUP(F12,Список_компаний!B:K,7,0)),SUMIFS(Долгосроч_договоры!Z:Z,Долгосроч_договоры!D:D,D12,Долгосроч_договоры!H:H,H12),IF(VLOOKUP(F12,Список_компаний!B:K,7,0)=0,SUMIFS(Долгосроч_договоры!Z:Z,Долгосроч_договоры!D:D,D12,Долгосроч_договоры!H:H,H12),0))</f>
        <v>0</v>
      </c>
      <c r="BE12" s="2103" t="b">
        <f t="shared" si="21"/>
        <v>1</v>
      </c>
      <c r="BF12" s="2493" t="b">
        <f t="shared" ca="1" si="22"/>
        <v>1</v>
      </c>
      <c r="BG12" s="2761" t="b">
        <f t="shared" si="23"/>
        <v>1</v>
      </c>
      <c r="BI12" s="24" t="str">
        <f t="shared" si="24"/>
        <v>X</v>
      </c>
      <c r="BJ12" s="2772">
        <f t="shared" si="9"/>
        <v>0</v>
      </c>
      <c r="BK12" s="2772">
        <f>SUMIFS('46'!Z:Z,'46'!C:C,C12)+SUMIFS('46'!AA:AA,'46'!C:C,C12)</f>
        <v>0</v>
      </c>
      <c r="BL12" s="3010" t="b">
        <f t="shared" si="25"/>
        <v>1</v>
      </c>
      <c r="BN12" s="2755">
        <f t="shared" si="26"/>
        <v>0</v>
      </c>
      <c r="BO12" s="2755" t="str">
        <f t="shared" si="27"/>
        <v>-</v>
      </c>
      <c r="BP12" s="2755" t="str">
        <f t="shared" si="28"/>
        <v>Да</v>
      </c>
      <c r="BQ12" s="2958" t="str">
        <f>IF(BO12="-","",IF(VLOOKUP(BO12,Список_компаний!$B$8:$I$301,7,0)=0,"Нет","Да"))</f>
        <v/>
      </c>
      <c r="BR12" s="2958" t="str">
        <f>IF(BO12="-","",VLOOKUP(BO12,Список_компаний!$B$8:$I$301,8,0))</f>
        <v/>
      </c>
      <c r="BS12" s="2958" t="str">
        <f t="shared" si="29"/>
        <v/>
      </c>
      <c r="BT12" s="2958" t="str">
        <f>IF(Содержание!$D$4="-","",IF(VLOOKUP(Содержание!$D$4,Список_компаний!$B$8:$I$301,7,0)=0,"Нет","Да"))</f>
        <v/>
      </c>
      <c r="BU12" s="2958" t="str">
        <f t="shared" si="30"/>
        <v>Нет</v>
      </c>
      <c r="BV12" s="2755" t="str">
        <f t="shared" si="31"/>
        <v>проверка</v>
      </c>
      <c r="BW12" s="2772">
        <f t="shared" si="32"/>
        <v>0</v>
      </c>
      <c r="BX12" s="2772">
        <f>SUMIFS(Зарубежная_выручка!C:C,Зарубежная_выручка!I:I,G12,Зарубежная_выручка!F:F,K12,Зарубежная_выручка!E:E,J12)</f>
        <v>0</v>
      </c>
      <c r="BY12" s="2772">
        <f>SUMIFS('90_ОРВГ'!K:K,'90_ОРВГ'!E:E,G12,'90_ОРВГ'!G:G,K12,'90_ОРВГ'!I:I,J12)+SUMIFS('90_ОРВГ'!M:M,'90_ОРВГ'!E:E,G12,'90_ОРВГ'!G:G,K12,'90_ОРВГ'!I:I,J12)+SUMIFS('90_ОРВГ'!K:K,'90_ОРВГ'!R:R,G12,'90_ОРВГ'!G:G,K12,'90_ОРВГ'!I:I,J12)+SUMIFS('90_ОРВГ'!M:M,'90_ОРВГ'!R:R,G12,'90_ОРВГ'!G:G,K12,'90_ОРВГ'!I:I,J12)</f>
        <v>0</v>
      </c>
      <c r="BZ12" s="2772">
        <f>SUMIFS('90_контр'!I:I,'90_контр'!H:H,G12,'90_контр'!C:C,J12)</f>
        <v>0</v>
      </c>
      <c r="CA12" s="3010" t="b">
        <f>(BX12+BZ12+BY12+BW12)&lt;5</f>
        <v>1</v>
      </c>
      <c r="CB12" s="2038" t="b">
        <f t="shared" ref="CB12:CB40" si="43">IF(D12="",TRUE,H12&lt;&gt;"")</f>
        <v>1</v>
      </c>
      <c r="CC12" s="2999" t="str">
        <f>IF(CD12=0,"",IF(COUNTIF(CD$9:CD12,CD12)=1,MAX(CC$9:CC11)+1,""))</f>
        <v/>
      </c>
      <c r="CD12" s="2999" t="str">
        <f t="shared" si="34"/>
        <v/>
      </c>
      <c r="CE12" s="2999" t="str">
        <f t="shared" ca="1" si="10"/>
        <v/>
      </c>
      <c r="CI12" s="2954" t="s">
        <v>8718</v>
      </c>
      <c r="CJ12" s="2957">
        <v>0</v>
      </c>
      <c r="CL12" s="2038" t="b">
        <f t="shared" si="35"/>
        <v>1</v>
      </c>
      <c r="CM12" s="2772">
        <f>SUMIFS(НЗП_ГП!$H$10:$H$5000,НЗП_ГП!$D$10:$D$5000,J12)</f>
        <v>0</v>
      </c>
      <c r="CN12" s="2772">
        <f t="shared" si="36"/>
        <v>0</v>
      </c>
      <c r="CQ12" s="2038" t="b">
        <f t="shared" si="37"/>
        <v>1</v>
      </c>
      <c r="CR12" s="2038"/>
      <c r="CS12" s="2038" t="b">
        <f>IF(ISBLANK(D12),TRUE,IF(Долгосроч_договоры!AH12&lt;&gt;0,IF(OR(M12=46,M12="46"),TRUE,FALSE),TRUE))</f>
        <v>1</v>
      </c>
      <c r="CT12" s="2038"/>
      <c r="CU12" s="2038"/>
      <c r="CW12" s="2038" t="b">
        <f t="shared" ca="1" si="38"/>
        <v>1</v>
      </c>
      <c r="CX12" s="2038" t="b">
        <f t="shared" ca="1" si="39"/>
        <v>1</v>
      </c>
      <c r="CY12" s="2038" t="b">
        <f t="shared" ca="1" si="40"/>
        <v>1</v>
      </c>
      <c r="DA12" s="2038" t="b">
        <f t="shared" si="41"/>
        <v>1</v>
      </c>
      <c r="DC12" s="2038" t="b">
        <f t="shared" si="42"/>
        <v>1</v>
      </c>
      <c r="DD12" s="2772">
        <f>SUMIFS('46'!O:O,'46'!_xlnm.Print_Titles,C12,'46'!J:J,J12)</f>
        <v>0</v>
      </c>
      <c r="DE12" s="2772">
        <f>SUMIFS('46'!Z:Z,'46'!_xlnm.Print_Titles,C12,'46'!J:J,J12)+SUMIFS('46'!AA:AA,'46'!_xlnm.Print_Titles,C12,'46'!J:J,J12)</f>
        <v>0</v>
      </c>
    </row>
    <row r="13" spans="1:109" s="24" customFormat="1">
      <c r="A13" s="2804" t="str">
        <f t="shared" si="11"/>
        <v>R55=;R50=;R42=;R57=;R4=;R11=;R21=;R24=;R23=;R14=;R16=;R18=;R19=;R2=;R37=;R36=;R43=;R48=;R51=;COM=</v>
      </c>
      <c r="B13" s="207" t="b">
        <f t="shared" si="12"/>
        <v>1</v>
      </c>
      <c r="C13" s="1868" t="str">
        <f t="shared" si="13"/>
        <v/>
      </c>
      <c r="D13" s="1001"/>
      <c r="E13" s="1637"/>
      <c r="F13" s="2517"/>
      <c r="G13" s="2517"/>
      <c r="H13" s="2270"/>
      <c r="I13" s="1638"/>
      <c r="J13" s="1637"/>
      <c r="K13" s="1637"/>
      <c r="L13" s="1637"/>
      <c r="M13" s="2241"/>
      <c r="N13" s="2243"/>
      <c r="O13" s="2241"/>
      <c r="P13" s="2243"/>
      <c r="Q13" s="2243"/>
      <c r="R13" s="2249" t="str">
        <f t="shared" si="4"/>
        <v>-</v>
      </c>
      <c r="S13" s="2248"/>
      <c r="T13" s="2243"/>
      <c r="U13" s="876"/>
      <c r="V13" s="876"/>
      <c r="W13" s="2252"/>
      <c r="X13" s="2252"/>
      <c r="Y13" s="2252"/>
      <c r="Z13" s="2252"/>
      <c r="AA13" s="2253"/>
      <c r="AB13" s="2240" t="str">
        <f t="shared" si="5"/>
        <v>-</v>
      </c>
      <c r="AC13" s="2252"/>
      <c r="AD13" s="2252"/>
      <c r="AE13" s="2252"/>
      <c r="AF13" s="2252"/>
      <c r="AG13" s="2252"/>
      <c r="AH13" s="2252"/>
      <c r="AI13" s="2884"/>
      <c r="AJ13" s="1637"/>
      <c r="AK13" s="2517"/>
      <c r="AL13" s="2517"/>
      <c r="AM13" s="2770"/>
      <c r="AN13" s="2596" t="b">
        <f>ABS(IF(AX13="Компания внешняя",(SUMIFS($Y:$Y,$C:$C,$C13,M:M,"46")+SUMIFS($Z:$Z,$C:$C,$C13,M:M,"46")+SUMIFS('60,62,63,76_контр'!V:V,'60,62,63,76_контр'!G:G,Долгосроч_договоры!D13,'60,62,63,76_контр'!E:E,Долгосроч_договоры!F13,'60,62,63,76_контр'!H:H,Долгосроч_договоры!H13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3" s="24" t="b">
        <f>SUMIFS($S:$S,$J:$J,$J13,M:M,"20_23_25_29")&lt;=SUMIFS(НЗП_ГП!$H:$H,НЗП_ГП!$D:$D,$J13,НЗП_ГП!$C:$C,"20_23_25_29")</f>
        <v>1</v>
      </c>
      <c r="AP13" s="1575">
        <f t="shared" si="6"/>
        <v>0</v>
      </c>
      <c r="AQ13" s="2038" t="b">
        <f t="shared" si="14"/>
        <v>1</v>
      </c>
      <c r="AR13" s="2038" t="b">
        <f t="shared" si="15"/>
        <v>1</v>
      </c>
      <c r="AS13" s="2038" t="b">
        <f t="shared" si="16"/>
        <v>1</v>
      </c>
      <c r="AT13" s="2103" t="b">
        <f t="shared" si="7"/>
        <v>1</v>
      </c>
      <c r="AU13" s="2262" t="b">
        <f t="shared" si="17"/>
        <v>1</v>
      </c>
      <c r="AV13" s="24" t="str">
        <f t="shared" si="18"/>
        <v>-</v>
      </c>
      <c r="AW13" s="24" t="str">
        <f t="shared" si="19"/>
        <v>-</v>
      </c>
      <c r="AX13" s="24" t="str">
        <f t="shared" si="8"/>
        <v/>
      </c>
      <c r="AY13" s="2038" t="b">
        <f t="shared" si="20"/>
        <v>1</v>
      </c>
      <c r="AZ13" s="2038"/>
      <c r="BA13" s="2772">
        <f>SUMIFS('60,62,63,76_контр'!V:V,'60,62,63,76_контр'!G:G,D13,'60,62,63,76_контр'!H:H,H13,'60,62,63,76_контр'!I:I,"{255222} Авансы полученные",'60,62,63,76_контр'!N:N,"{20} Краткосрочная")</f>
        <v>0</v>
      </c>
      <c r="BB13" s="2772">
        <f>SUMIFS('60,62,63,76_контр'!V:V,'60,62,63,76_контр'!G:G,D13,'60,62,63,76_контр'!H:H,H13,'60,62,63,76_контр'!I:I,"{255222} Авансы полученные",'60,62,63,76_контр'!N:N,"{10} Долгосрочная")</f>
        <v>0</v>
      </c>
      <c r="BC13" s="2772">
        <f>IF(ISERROR(VLOOKUP(F13,Список_компаний!B:K,7,0)),SUMIFS(Долгосроч_договоры!Y:Y,Долгосроч_договоры!D:D,D13,Долгосроч_договоры!H:H,H13),IF(VLOOKUP(F13,Список_компаний!B:K,7,0)=0,SUMIFS(Долгосроч_договоры!Y:Y,Долгосроч_договоры!D:D,D13,Долгосроч_договоры!H:H,H13),0))</f>
        <v>0</v>
      </c>
      <c r="BD13" s="2772">
        <f>IF(ISERROR(VLOOKUP(F13,Список_компаний!B:K,7,0)),SUMIFS(Долгосроч_договоры!Z:Z,Долгосроч_договоры!D:D,D13,Долгосроч_договоры!H:H,H13),IF(VLOOKUP(F13,Список_компаний!B:K,7,0)=0,SUMIFS(Долгосроч_договоры!Z:Z,Долгосроч_договоры!D:D,D13,Долгосроч_договоры!H:H,H13),0))</f>
        <v>0</v>
      </c>
      <c r="BE13" s="2103" t="b">
        <f t="shared" si="21"/>
        <v>1</v>
      </c>
      <c r="BF13" s="2493" t="b">
        <f t="shared" ca="1" si="22"/>
        <v>1</v>
      </c>
      <c r="BG13" s="2761" t="b">
        <f t="shared" si="23"/>
        <v>1</v>
      </c>
      <c r="BI13" s="24" t="str">
        <f t="shared" si="24"/>
        <v>X</v>
      </c>
      <c r="BJ13" s="2772">
        <f t="shared" si="9"/>
        <v>0</v>
      </c>
      <c r="BK13" s="2772">
        <f>SUMIFS('46'!Z:Z,'46'!C:C,C13)+SUMIFS('46'!AA:AA,'46'!C:C,C13)</f>
        <v>0</v>
      </c>
      <c r="BL13" s="3010" t="b">
        <f t="shared" si="25"/>
        <v>1</v>
      </c>
      <c r="BN13" s="2755">
        <f t="shared" si="26"/>
        <v>0</v>
      </c>
      <c r="BO13" s="2755" t="str">
        <f t="shared" si="27"/>
        <v>-</v>
      </c>
      <c r="BP13" s="2755" t="str">
        <f t="shared" si="28"/>
        <v>Да</v>
      </c>
      <c r="BQ13" s="2958" t="str">
        <f>IF(BO13="-","",IF(VLOOKUP(BO13,Список_компаний!$B$8:$I$301,7,0)=0,"Нет","Да"))</f>
        <v/>
      </c>
      <c r="BR13" s="2958" t="str">
        <f>IF(BO13="-","",VLOOKUP(BO13,Список_компаний!$B$8:$I$301,8,0))</f>
        <v/>
      </c>
      <c r="BS13" s="2958" t="str">
        <f t="shared" si="29"/>
        <v/>
      </c>
      <c r="BT13" s="2958" t="str">
        <f>IF(Содержание!$D$4="-","",IF(VLOOKUP(Содержание!$D$4,Список_компаний!$B$8:$I$301,7,0)=0,"Нет","Да"))</f>
        <v/>
      </c>
      <c r="BU13" s="2958" t="str">
        <f t="shared" si="30"/>
        <v>Нет</v>
      </c>
      <c r="BV13" s="2755" t="str">
        <f t="shared" si="31"/>
        <v>проверка</v>
      </c>
      <c r="BW13" s="2772">
        <f t="shared" si="32"/>
        <v>0</v>
      </c>
      <c r="BX13" s="2772">
        <f>SUMIFS(Зарубежная_выручка!C:C,Зарубежная_выручка!I:I,G13,Зарубежная_выручка!F:F,K13,Зарубежная_выручка!E:E,J13)</f>
        <v>0</v>
      </c>
      <c r="BY13" s="2772">
        <f>SUMIFS('90_ОРВГ'!K:K,'90_ОРВГ'!E:E,G13,'90_ОРВГ'!G:G,K13,'90_ОРВГ'!I:I,J13)+SUMIFS('90_ОРВГ'!M:M,'90_ОРВГ'!E:E,G13,'90_ОРВГ'!G:G,K13,'90_ОРВГ'!I:I,J13)+SUMIFS('90_ОРВГ'!K:K,'90_ОРВГ'!R:R,G13,'90_ОРВГ'!G:G,K13,'90_ОРВГ'!I:I,J13)+SUMIFS('90_ОРВГ'!M:M,'90_ОРВГ'!R:R,G13,'90_ОРВГ'!G:G,K13,'90_ОРВГ'!I:I,J13)</f>
        <v>0</v>
      </c>
      <c r="BZ13" s="2772">
        <f>SUMIFS('90_контр'!I:I,'90_контр'!H:H,G13,'90_контр'!C:C,J13)</f>
        <v>0</v>
      </c>
      <c r="CA13" s="3010" t="b">
        <f t="shared" si="33"/>
        <v>1</v>
      </c>
      <c r="CB13" s="2038" t="b">
        <f t="shared" si="43"/>
        <v>1</v>
      </c>
      <c r="CC13" s="2999" t="str">
        <f>IF(CD13=0,"",IF(COUNTIF(CD$9:CD13,CD13)=1,MAX(CC$9:CC12)+1,""))</f>
        <v/>
      </c>
      <c r="CD13" s="2999" t="str">
        <f t="shared" si="34"/>
        <v/>
      </c>
      <c r="CE13" s="2999" t="str">
        <f t="shared" ca="1" si="10"/>
        <v/>
      </c>
      <c r="CI13" s="2954" t="s">
        <v>8737</v>
      </c>
      <c r="CJ13" s="2957">
        <v>0</v>
      </c>
      <c r="CL13" s="2038" t="b">
        <f t="shared" si="35"/>
        <v>1</v>
      </c>
      <c r="CM13" s="2772">
        <f>SUMIFS(НЗП_ГП!$H$10:$H$5000,НЗП_ГП!$D$10:$D$5000,J13)</f>
        <v>0</v>
      </c>
      <c r="CN13" s="2772">
        <f t="shared" si="36"/>
        <v>0</v>
      </c>
      <c r="CQ13" s="2038" t="b">
        <f t="shared" si="37"/>
        <v>1</v>
      </c>
      <c r="CR13" s="2038"/>
      <c r="CS13" s="2038" t="b">
        <f>IF(ISBLANK(D13),TRUE,IF(Долгосроч_договоры!AH13&lt;&gt;0,IF(OR(M13=46,M13="46"),TRUE,FALSE),TRUE))</f>
        <v>1</v>
      </c>
      <c r="CT13" s="2038"/>
      <c r="CU13" s="2038"/>
      <c r="CW13" s="2038" t="b">
        <f t="shared" ca="1" si="38"/>
        <v>1</v>
      </c>
      <c r="CX13" s="2038" t="b">
        <f t="shared" ca="1" si="39"/>
        <v>1</v>
      </c>
      <c r="CY13" s="2038" t="b">
        <f t="shared" ca="1" si="40"/>
        <v>1</v>
      </c>
      <c r="DA13" s="2038" t="b">
        <f t="shared" si="41"/>
        <v>1</v>
      </c>
      <c r="DC13" s="2038" t="b">
        <f t="shared" si="42"/>
        <v>1</v>
      </c>
      <c r="DD13" s="2772">
        <f>SUMIFS('46'!O:O,'46'!_xlnm.Print_Titles,C13,'46'!J:J,J13)</f>
        <v>0</v>
      </c>
      <c r="DE13" s="2772">
        <f>SUMIFS('46'!Z:Z,'46'!_xlnm.Print_Titles,C13,'46'!J:J,J13)+SUMIFS('46'!AA:AA,'46'!_xlnm.Print_Titles,C13,'46'!J:J,J13)</f>
        <v>0</v>
      </c>
    </row>
    <row r="14" spans="1:109" s="24" customFormat="1" ht="15.75" customHeight="1">
      <c r="A14" s="2804" t="str">
        <f t="shared" si="11"/>
        <v>R55=;R50=;R42=;R57=;R4=;R11=;R21=;R24=;R23=;R14=;R16=;R18=;R19=;R2=;R37=;R36=;R43=;R48=;R51=;COM=</v>
      </c>
      <c r="B14" s="207" t="b">
        <f t="shared" si="12"/>
        <v>1</v>
      </c>
      <c r="C14" s="1868" t="str">
        <f t="shared" si="13"/>
        <v/>
      </c>
      <c r="D14" s="1637"/>
      <c r="E14" s="1637"/>
      <c r="F14" s="2517"/>
      <c r="G14" s="2517"/>
      <c r="H14" s="2270"/>
      <c r="I14" s="1638"/>
      <c r="J14" s="1637"/>
      <c r="K14" s="1637"/>
      <c r="L14" s="1637"/>
      <c r="M14" s="2241"/>
      <c r="N14" s="2243"/>
      <c r="O14" s="2241"/>
      <c r="P14" s="2243"/>
      <c r="Q14" s="2243"/>
      <c r="R14" s="2249" t="str">
        <f t="shared" si="4"/>
        <v>-</v>
      </c>
      <c r="S14" s="2248"/>
      <c r="T14" s="2243"/>
      <c r="U14" s="876"/>
      <c r="V14" s="876"/>
      <c r="W14" s="2252"/>
      <c r="X14" s="2252"/>
      <c r="Y14" s="2252"/>
      <c r="Z14" s="2252"/>
      <c r="AA14" s="2253"/>
      <c r="AB14" s="2240" t="str">
        <f t="shared" si="5"/>
        <v>-</v>
      </c>
      <c r="AC14" s="2252"/>
      <c r="AD14" s="2252"/>
      <c r="AE14" s="2252"/>
      <c r="AF14" s="2252"/>
      <c r="AG14" s="2252"/>
      <c r="AH14" s="2252"/>
      <c r="AI14" s="2884"/>
      <c r="AJ14" s="1637"/>
      <c r="AK14" s="2517"/>
      <c r="AL14" s="2517"/>
      <c r="AM14" s="2770"/>
      <c r="AN14" s="2596" t="b">
        <f>ABS(IF(AX14="Компания внешняя",(SUMIFS($Y:$Y,$C:$C,$C14,M:M,"46")+SUMIFS($Z:$Z,$C:$C,$C14,M:M,"46")+SUMIFS('60,62,63,76_контр'!V:V,'60,62,63,76_контр'!G:G,Долгосроч_договоры!D14,'60,62,63,76_контр'!E:E,Долгосроч_договоры!F14,'60,62,63,76_контр'!H:H,Долгосроч_договоры!H14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4" s="24" t="b">
        <f>SUMIFS($S:$S,$J:$J,$J14,M:M,"20_23_25_29")&lt;=SUMIFS(НЗП_ГП!$H:$H,НЗП_ГП!$D:$D,$J14,НЗП_ГП!$C:$C,"20_23_25_29")</f>
        <v>1</v>
      </c>
      <c r="AP14" s="1575">
        <f t="shared" si="6"/>
        <v>0</v>
      </c>
      <c r="AQ14" s="2038" t="b">
        <f t="shared" si="14"/>
        <v>1</v>
      </c>
      <c r="AR14" s="2038" t="b">
        <f t="shared" si="15"/>
        <v>1</v>
      </c>
      <c r="AS14" s="2038" t="b">
        <f t="shared" si="16"/>
        <v>1</v>
      </c>
      <c r="AT14" s="2103" t="b">
        <f t="shared" si="7"/>
        <v>1</v>
      </c>
      <c r="AU14" s="2262" t="b">
        <f t="shared" si="17"/>
        <v>1</v>
      </c>
      <c r="AV14" s="24" t="str">
        <f t="shared" si="18"/>
        <v>-</v>
      </c>
      <c r="AW14" s="24" t="str">
        <f t="shared" si="19"/>
        <v>-</v>
      </c>
      <c r="AX14" s="24" t="str">
        <f t="shared" si="8"/>
        <v/>
      </c>
      <c r="AY14" s="2038" t="b">
        <f t="shared" si="20"/>
        <v>1</v>
      </c>
      <c r="AZ14" s="2038"/>
      <c r="BA14" s="2772">
        <f>SUMIFS('60,62,63,76_контр'!V:V,'60,62,63,76_контр'!G:G,D14,'60,62,63,76_контр'!H:H,H14,'60,62,63,76_контр'!I:I,"{255222} Авансы полученные",'60,62,63,76_контр'!N:N,"{20} Краткосрочная")</f>
        <v>0</v>
      </c>
      <c r="BB14" s="2772">
        <f>SUMIFS('60,62,63,76_контр'!V:V,'60,62,63,76_контр'!G:G,D14,'60,62,63,76_контр'!H:H,H14,'60,62,63,76_контр'!I:I,"{255222} Авансы полученные",'60,62,63,76_контр'!N:N,"{10} Долгосрочная")</f>
        <v>0</v>
      </c>
      <c r="BC14" s="2772">
        <f>IF(ISERROR(VLOOKUP(F14,Список_компаний!B:K,7,0)),SUMIFS(Долгосроч_договоры!Y:Y,Долгосроч_договоры!D:D,D14,Долгосроч_договоры!H:H,H14),IF(VLOOKUP(F14,Список_компаний!B:K,7,0)=0,SUMIFS(Долгосроч_договоры!Y:Y,Долгосроч_договоры!D:D,D14,Долгосроч_договоры!H:H,H14),0))</f>
        <v>0</v>
      </c>
      <c r="BD14" s="2772">
        <f>IF(ISERROR(VLOOKUP(F14,Список_компаний!B:K,7,0)),SUMIFS(Долгосроч_договоры!Z:Z,Долгосроч_договоры!D:D,D14,Долгосроч_договоры!H:H,H14),IF(VLOOKUP(F14,Список_компаний!B:K,7,0)=0,SUMIFS(Долгосроч_договоры!Z:Z,Долгосроч_договоры!D:D,D14,Долгосроч_договоры!H:H,H14),0))</f>
        <v>0</v>
      </c>
      <c r="BE14" s="2103" t="b">
        <f t="shared" si="21"/>
        <v>1</v>
      </c>
      <c r="BF14" s="2493" t="b">
        <f t="shared" ca="1" si="22"/>
        <v>1</v>
      </c>
      <c r="BG14" s="2761" t="b">
        <f t="shared" si="23"/>
        <v>1</v>
      </c>
      <c r="BI14" s="24" t="str">
        <f t="shared" si="24"/>
        <v>X</v>
      </c>
      <c r="BJ14" s="2772">
        <f t="shared" si="9"/>
        <v>0</v>
      </c>
      <c r="BK14" s="2772">
        <f>SUMIFS('46'!Z:Z,'46'!C:C,C14)+SUMIFS('46'!AA:AA,'46'!C:C,C14)</f>
        <v>0</v>
      </c>
      <c r="BL14" s="3010" t="b">
        <f t="shared" si="25"/>
        <v>1</v>
      </c>
      <c r="BN14" s="2755">
        <f t="shared" si="26"/>
        <v>0</v>
      </c>
      <c r="BO14" s="2755" t="str">
        <f t="shared" si="27"/>
        <v>-</v>
      </c>
      <c r="BP14" s="2755" t="str">
        <f t="shared" si="28"/>
        <v>Да</v>
      </c>
      <c r="BQ14" s="2958" t="str">
        <f>IF(BO14="-","",IF(VLOOKUP(BO14,Список_компаний!$B$8:$I$301,7,0)=0,"Нет","Да"))</f>
        <v/>
      </c>
      <c r="BR14" s="2958" t="str">
        <f>IF(BO14="-","",VLOOKUP(BO14,Список_компаний!$B$8:$I$301,8,0))</f>
        <v/>
      </c>
      <c r="BS14" s="2958" t="str">
        <f t="shared" si="29"/>
        <v/>
      </c>
      <c r="BT14" s="2958" t="str">
        <f>IF(Содержание!$D$4="-","",IF(VLOOKUP(Содержание!$D$4,Список_компаний!$B$8:$I$301,7,0)=0,"Нет","Да"))</f>
        <v/>
      </c>
      <c r="BU14" s="2958" t="str">
        <f t="shared" si="30"/>
        <v>Нет</v>
      </c>
      <c r="BV14" s="2755" t="str">
        <f t="shared" si="31"/>
        <v>проверка</v>
      </c>
      <c r="BW14" s="2772">
        <f t="shared" si="32"/>
        <v>0</v>
      </c>
      <c r="BX14" s="2772">
        <f>SUMIFS(Зарубежная_выручка!C:C,Зарубежная_выручка!I:I,G14,Зарубежная_выручка!F:F,K14,Зарубежная_выручка!E:E,J14)</f>
        <v>0</v>
      </c>
      <c r="BY14" s="2772">
        <f>SUMIFS('90_ОРВГ'!K:K,'90_ОРВГ'!E:E,G14,'90_ОРВГ'!G:G,K14,'90_ОРВГ'!I:I,J14)+SUMIFS('90_ОРВГ'!M:M,'90_ОРВГ'!E:E,G14,'90_ОРВГ'!G:G,K14,'90_ОРВГ'!I:I,J14)+SUMIFS('90_ОРВГ'!K:K,'90_ОРВГ'!R:R,G14,'90_ОРВГ'!G:G,K14,'90_ОРВГ'!I:I,J14)+SUMIFS('90_ОРВГ'!M:M,'90_ОРВГ'!R:R,G14,'90_ОРВГ'!G:G,K14,'90_ОРВГ'!I:I,J14)</f>
        <v>0</v>
      </c>
      <c r="BZ14" s="2772">
        <f>SUMIFS('90_контр'!I:I,'90_контр'!H:H,G14,'90_контр'!C:C,J14)</f>
        <v>0</v>
      </c>
      <c r="CA14" s="3010" t="b">
        <f t="shared" si="33"/>
        <v>1</v>
      </c>
      <c r="CB14" s="2038" t="b">
        <f t="shared" si="43"/>
        <v>1</v>
      </c>
      <c r="CC14" s="2999" t="str">
        <f>IF(CD14=0,"",IF(COUNTIF(CD$9:CD14,CD14)=1,MAX(CC$9:CC13)+1,""))</f>
        <v/>
      </c>
      <c r="CD14" s="2999" t="str">
        <f t="shared" si="34"/>
        <v/>
      </c>
      <c r="CE14" s="2999" t="str">
        <f t="shared" ca="1" si="10"/>
        <v/>
      </c>
      <c r="CL14" s="2038" t="b">
        <f t="shared" si="35"/>
        <v>1</v>
      </c>
      <c r="CM14" s="2772">
        <f>SUMIFS(НЗП_ГП!$H$10:$H$5000,НЗП_ГП!$D$10:$D$5000,J14)</f>
        <v>0</v>
      </c>
      <c r="CN14" s="2772">
        <f t="shared" si="36"/>
        <v>0</v>
      </c>
      <c r="CQ14" s="2038" t="b">
        <f t="shared" si="37"/>
        <v>1</v>
      </c>
      <c r="CR14" s="2038"/>
      <c r="CS14" s="2038" t="b">
        <f>IF(ISBLANK(D14),TRUE,IF(Долгосроч_договоры!AH14&lt;&gt;0,IF(OR(M14=46,M14="46"),TRUE,FALSE),TRUE))</f>
        <v>1</v>
      </c>
      <c r="CT14" s="2038"/>
      <c r="CU14" s="2038"/>
      <c r="CW14" s="2038" t="b">
        <f t="shared" ca="1" si="38"/>
        <v>1</v>
      </c>
      <c r="CX14" s="2038" t="b">
        <f t="shared" ca="1" si="39"/>
        <v>1</v>
      </c>
      <c r="CY14" s="2038" t="b">
        <f t="shared" ca="1" si="40"/>
        <v>1</v>
      </c>
      <c r="DA14" s="2038" t="b">
        <f t="shared" si="41"/>
        <v>1</v>
      </c>
      <c r="DC14" s="2038" t="b">
        <f t="shared" si="42"/>
        <v>1</v>
      </c>
      <c r="DD14" s="2772">
        <f>SUMIFS('46'!O:O,'46'!_xlnm.Print_Titles,C14,'46'!J:J,J14)</f>
        <v>0</v>
      </c>
      <c r="DE14" s="2772">
        <f>SUMIFS('46'!Z:Z,'46'!_xlnm.Print_Titles,C14,'46'!J:J,J14)+SUMIFS('46'!AA:AA,'46'!_xlnm.Print_Titles,C14,'46'!J:J,J14)</f>
        <v>0</v>
      </c>
    </row>
    <row r="15" spans="1:109" s="24" customFormat="1">
      <c r="A15" s="2804" t="str">
        <f t="shared" si="11"/>
        <v>R55=;R50=;R42=;R57=;R4=;R11=;R21=;R24=;R23=;R14=;R16=;R18=;R19=;R2=;R37=;R36=;R43=;R48=;R51=;COM=</v>
      </c>
      <c r="B15" s="207" t="b">
        <f t="shared" si="12"/>
        <v>1</v>
      </c>
      <c r="C15" s="1868" t="str">
        <f t="shared" si="13"/>
        <v/>
      </c>
      <c r="D15" s="1637"/>
      <c r="E15" s="1637"/>
      <c r="F15" s="2517"/>
      <c r="G15" s="2517"/>
      <c r="H15" s="2270"/>
      <c r="I15" s="1638"/>
      <c r="J15" s="1637"/>
      <c r="K15" s="1637"/>
      <c r="L15" s="1637"/>
      <c r="M15" s="2241"/>
      <c r="N15" s="2243"/>
      <c r="O15" s="2241"/>
      <c r="P15" s="2243"/>
      <c r="Q15" s="2243"/>
      <c r="R15" s="2249" t="str">
        <f t="shared" si="4"/>
        <v>-</v>
      </c>
      <c r="S15" s="2248"/>
      <c r="T15" s="2243"/>
      <c r="U15" s="876"/>
      <c r="V15" s="876"/>
      <c r="W15" s="2252"/>
      <c r="X15" s="2252"/>
      <c r="Y15" s="2252"/>
      <c r="Z15" s="2252"/>
      <c r="AA15" s="2253"/>
      <c r="AB15" s="2240" t="str">
        <f t="shared" si="5"/>
        <v>-</v>
      </c>
      <c r="AC15" s="2252"/>
      <c r="AD15" s="2252"/>
      <c r="AE15" s="2252"/>
      <c r="AF15" s="2252"/>
      <c r="AG15" s="2252"/>
      <c r="AH15" s="2252"/>
      <c r="AI15" s="2884"/>
      <c r="AJ15" s="1637"/>
      <c r="AK15" s="2517"/>
      <c r="AL15" s="2517"/>
      <c r="AM15" s="2770"/>
      <c r="AN15" s="2596" t="b">
        <f>ABS(IF(AX15="Компания внешняя",(SUMIFS($Y:$Y,$C:$C,$C15,M:M,"46")+SUMIFS($Z:$Z,$C:$C,$C15,M:M,"46")+SUMIFS('60,62,63,76_контр'!V:V,'60,62,63,76_контр'!G:G,Долгосроч_договоры!D15,'60,62,63,76_контр'!E:E,Долгосроч_договоры!F15,'60,62,63,76_контр'!H:H,Долгосроч_договоры!H15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5" s="24" t="b">
        <f>SUMIFS($S:$S,$J:$J,$J15,M:M,"20_23_25_29")&lt;=SUMIFS(НЗП_ГП!$H:$H,НЗП_ГП!$D:$D,$J15,НЗП_ГП!$C:$C,"20_23_25_29")</f>
        <v>1</v>
      </c>
      <c r="AP15" s="1575">
        <f t="shared" si="6"/>
        <v>0</v>
      </c>
      <c r="AQ15" s="2038" t="b">
        <f t="shared" si="14"/>
        <v>1</v>
      </c>
      <c r="AR15" s="2038" t="b">
        <f t="shared" si="15"/>
        <v>1</v>
      </c>
      <c r="AS15" s="2038" t="b">
        <f t="shared" si="16"/>
        <v>1</v>
      </c>
      <c r="AT15" s="2103" t="b">
        <f t="shared" si="7"/>
        <v>1</v>
      </c>
      <c r="AU15" s="2262" t="b">
        <f t="shared" si="17"/>
        <v>1</v>
      </c>
      <c r="AV15" s="24" t="str">
        <f t="shared" si="18"/>
        <v>-</v>
      </c>
      <c r="AW15" s="24" t="str">
        <f t="shared" si="19"/>
        <v>-</v>
      </c>
      <c r="AX15" s="24" t="str">
        <f t="shared" si="8"/>
        <v/>
      </c>
      <c r="AY15" s="2038" t="b">
        <f t="shared" si="20"/>
        <v>1</v>
      </c>
      <c r="AZ15" s="2038"/>
      <c r="BA15" s="2772">
        <f>SUMIFS('60,62,63,76_контр'!V:V,'60,62,63,76_контр'!G:G,D15,'60,62,63,76_контр'!H:H,H15,'60,62,63,76_контр'!I:I,"{255222} Авансы полученные",'60,62,63,76_контр'!N:N,"{20} Краткосрочная")</f>
        <v>0</v>
      </c>
      <c r="BB15" s="2772">
        <f>SUMIFS('60,62,63,76_контр'!V:V,'60,62,63,76_контр'!G:G,D15,'60,62,63,76_контр'!H:H,H15,'60,62,63,76_контр'!I:I,"{255222} Авансы полученные",'60,62,63,76_контр'!N:N,"{10} Долгосрочная")</f>
        <v>0</v>
      </c>
      <c r="BC15" s="2772">
        <f>IF(ISERROR(VLOOKUP(F15,Список_компаний!B:K,7,0)),SUMIFS(Долгосроч_договоры!Y:Y,Долгосроч_договоры!D:D,D15,Долгосроч_договоры!H:H,H15),IF(VLOOKUP(F15,Список_компаний!B:K,7,0)=0,SUMIFS(Долгосроч_договоры!Y:Y,Долгосроч_договоры!D:D,D15,Долгосроч_договоры!H:H,H15),0))</f>
        <v>0</v>
      </c>
      <c r="BD15" s="2772">
        <f>IF(ISERROR(VLOOKUP(F15,Список_компаний!B:K,7,0)),SUMIFS(Долгосроч_договоры!Z:Z,Долгосроч_договоры!D:D,D15,Долгосроч_договоры!H:H,H15),IF(VLOOKUP(F15,Список_компаний!B:K,7,0)=0,SUMIFS(Долгосроч_договоры!Z:Z,Долгосроч_договоры!D:D,D15,Долгосроч_договоры!H:H,H15),0))</f>
        <v>0</v>
      </c>
      <c r="BE15" s="2103" t="b">
        <f t="shared" si="21"/>
        <v>1</v>
      </c>
      <c r="BF15" s="2493" t="b">
        <f t="shared" ca="1" si="22"/>
        <v>1</v>
      </c>
      <c r="BG15" s="2761" t="b">
        <f t="shared" si="23"/>
        <v>1</v>
      </c>
      <c r="BI15" s="24" t="str">
        <f t="shared" si="24"/>
        <v>X</v>
      </c>
      <c r="BJ15" s="2772">
        <f t="shared" si="9"/>
        <v>0</v>
      </c>
      <c r="BK15" s="2772">
        <f>SUMIFS('46'!Z:Z,'46'!C:C,C15)+SUMIFS('46'!AA:AA,'46'!C:C,C15)</f>
        <v>0</v>
      </c>
      <c r="BL15" s="3010" t="b">
        <f t="shared" si="25"/>
        <v>1</v>
      </c>
      <c r="BN15" s="2755">
        <f t="shared" si="26"/>
        <v>0</v>
      </c>
      <c r="BO15" s="2755" t="str">
        <f t="shared" si="27"/>
        <v>-</v>
      </c>
      <c r="BP15" s="2755" t="str">
        <f t="shared" si="28"/>
        <v>Да</v>
      </c>
      <c r="BQ15" s="2958" t="str">
        <f>IF(BO15="-","",IF(VLOOKUP(BO15,Список_компаний!$B$8:$I$301,7,0)=0,"Нет","Да"))</f>
        <v/>
      </c>
      <c r="BR15" s="2958" t="str">
        <f>IF(BO15="-","",VLOOKUP(BO15,Список_компаний!$B$8:$I$301,8,0))</f>
        <v/>
      </c>
      <c r="BS15" s="2958" t="str">
        <f t="shared" si="29"/>
        <v/>
      </c>
      <c r="BT15" s="2958" t="str">
        <f>IF(Содержание!$D$4="-","",IF(VLOOKUP(Содержание!$D$4,Список_компаний!$B$8:$I$301,7,0)=0,"Нет","Да"))</f>
        <v/>
      </c>
      <c r="BU15" s="2958" t="str">
        <f t="shared" si="30"/>
        <v>Нет</v>
      </c>
      <c r="BV15" s="2755" t="str">
        <f t="shared" si="31"/>
        <v>проверка</v>
      </c>
      <c r="BW15" s="2772">
        <f t="shared" si="32"/>
        <v>0</v>
      </c>
      <c r="BX15" s="2772">
        <f>SUMIFS(Зарубежная_выручка!C:C,Зарубежная_выручка!I:I,G15,Зарубежная_выручка!F:F,K15,Зарубежная_выручка!E:E,J15)</f>
        <v>0</v>
      </c>
      <c r="BY15" s="2772">
        <f>SUMIFS('90_ОРВГ'!K:K,'90_ОРВГ'!E:E,G15,'90_ОРВГ'!G:G,K15,'90_ОРВГ'!I:I,J15)+SUMIFS('90_ОРВГ'!M:M,'90_ОРВГ'!E:E,G15,'90_ОРВГ'!G:G,K15,'90_ОРВГ'!I:I,J15)+SUMIFS('90_ОРВГ'!K:K,'90_ОРВГ'!R:R,G15,'90_ОРВГ'!G:G,K15,'90_ОРВГ'!I:I,J15)+SUMIFS('90_ОРВГ'!M:M,'90_ОРВГ'!R:R,G15,'90_ОРВГ'!G:G,K15,'90_ОРВГ'!I:I,J15)</f>
        <v>0</v>
      </c>
      <c r="BZ15" s="2772">
        <f>SUMIFS('90_контр'!I:I,'90_контр'!H:H,G15,'90_контр'!C:C,J15)</f>
        <v>0</v>
      </c>
      <c r="CA15" s="3010" t="b">
        <f t="shared" si="33"/>
        <v>1</v>
      </c>
      <c r="CB15" s="2038" t="b">
        <f t="shared" si="43"/>
        <v>1</v>
      </c>
      <c r="CC15" s="2999" t="str">
        <f>IF(CD15=0,"",IF(COUNTIF(CD$9:CD15,CD15)=1,MAX(CC$9:CC14)+1,""))</f>
        <v/>
      </c>
      <c r="CD15" s="2999" t="str">
        <f t="shared" si="34"/>
        <v/>
      </c>
      <c r="CE15" s="2999" t="str">
        <f t="shared" ca="1" si="10"/>
        <v/>
      </c>
      <c r="CL15" s="2038" t="b">
        <f t="shared" si="35"/>
        <v>1</v>
      </c>
      <c r="CM15" s="2772">
        <f>SUMIFS(НЗП_ГП!$H$10:$H$5000,НЗП_ГП!$D$10:$D$5000,J15)</f>
        <v>0</v>
      </c>
      <c r="CN15" s="2772">
        <f t="shared" si="36"/>
        <v>0</v>
      </c>
      <c r="CQ15" s="2038" t="b">
        <f t="shared" si="37"/>
        <v>1</v>
      </c>
      <c r="CR15" s="2038"/>
      <c r="CS15" s="2038" t="b">
        <f>IF(ISBLANK(D15),TRUE,IF(Долгосроч_договоры!AH15&lt;&gt;0,IF(OR(M15=46,M15="46"),TRUE,FALSE),TRUE))</f>
        <v>1</v>
      </c>
      <c r="CT15" s="2038"/>
      <c r="CU15" s="2038"/>
      <c r="CW15" s="2038" t="b">
        <f t="shared" ca="1" si="38"/>
        <v>1</v>
      </c>
      <c r="CX15" s="2038" t="b">
        <f t="shared" ca="1" si="39"/>
        <v>1</v>
      </c>
      <c r="CY15" s="2038" t="b">
        <f t="shared" ca="1" si="40"/>
        <v>1</v>
      </c>
      <c r="DA15" s="2038" t="b">
        <f t="shared" si="41"/>
        <v>1</v>
      </c>
      <c r="DC15" s="2038" t="b">
        <f t="shared" si="42"/>
        <v>1</v>
      </c>
      <c r="DD15" s="2772">
        <f>SUMIFS('46'!O:O,'46'!_xlnm.Print_Titles,C15,'46'!J:J,J15)</f>
        <v>0</v>
      </c>
      <c r="DE15" s="2772">
        <f>SUMIFS('46'!Z:Z,'46'!_xlnm.Print_Titles,C15,'46'!J:J,J15)+SUMIFS('46'!AA:AA,'46'!_xlnm.Print_Titles,C15,'46'!J:J,J15)</f>
        <v>0</v>
      </c>
    </row>
    <row r="16" spans="1:109" s="24" customFormat="1">
      <c r="A16" s="2804" t="str">
        <f t="shared" si="11"/>
        <v>R55=;R50=;R42=;R57=;R4=;R11=;R21=;R24=;R23=;R14=;R16=;R18=;R19=;R2=;R37=;R36=;R43=;R48=;R51=;COM=</v>
      </c>
      <c r="B16" s="207" t="b">
        <f t="shared" si="12"/>
        <v>1</v>
      </c>
      <c r="C16" s="1868" t="str">
        <f t="shared" si="13"/>
        <v/>
      </c>
      <c r="D16" s="1637"/>
      <c r="E16" s="1637"/>
      <c r="F16" s="2517"/>
      <c r="G16" s="2517"/>
      <c r="H16" s="2270"/>
      <c r="I16" s="1638"/>
      <c r="J16" s="1637"/>
      <c r="K16" s="1637"/>
      <c r="L16" s="1637"/>
      <c r="M16" s="2241"/>
      <c r="N16" s="2243"/>
      <c r="O16" s="2241"/>
      <c r="P16" s="2243"/>
      <c r="Q16" s="2243"/>
      <c r="R16" s="2249" t="str">
        <f t="shared" si="4"/>
        <v>-</v>
      </c>
      <c r="S16" s="2248"/>
      <c r="T16" s="2243"/>
      <c r="U16" s="876"/>
      <c r="V16" s="876"/>
      <c r="W16" s="2252"/>
      <c r="X16" s="2252"/>
      <c r="Y16" s="2252"/>
      <c r="Z16" s="2252"/>
      <c r="AA16" s="2253"/>
      <c r="AB16" s="2240" t="str">
        <f t="shared" si="5"/>
        <v>-</v>
      </c>
      <c r="AC16" s="2252"/>
      <c r="AD16" s="2252"/>
      <c r="AE16" s="2252"/>
      <c r="AF16" s="2252"/>
      <c r="AG16" s="2252"/>
      <c r="AH16" s="2252"/>
      <c r="AI16" s="2884"/>
      <c r="AJ16" s="1637"/>
      <c r="AK16" s="2517"/>
      <c r="AL16" s="2517"/>
      <c r="AM16" s="2770"/>
      <c r="AN16" s="2596" t="b">
        <f>ABS(IF(AX16="Компания внешняя",(SUMIFS($Y:$Y,$C:$C,$C16,M:M,"46")+SUMIFS($Z:$Z,$C:$C,$C16,M:M,"46")+SUMIFS('60,62,63,76_контр'!V:V,'60,62,63,76_контр'!G:G,Долгосроч_договоры!D16,'60,62,63,76_контр'!E:E,Долгосроч_договоры!F16,'60,62,63,76_контр'!H:H,Долгосроч_договоры!H16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6" s="24" t="b">
        <f>SUMIFS($S:$S,$J:$J,$J16,M:M,"20_23_25_29")&lt;=SUMIFS(НЗП_ГП!$H:$H,НЗП_ГП!$D:$D,$J16,НЗП_ГП!$C:$C,"20_23_25_29")</f>
        <v>1</v>
      </c>
      <c r="AP16" s="1575">
        <f t="shared" si="6"/>
        <v>0</v>
      </c>
      <c r="AQ16" s="2038" t="b">
        <f t="shared" si="14"/>
        <v>1</v>
      </c>
      <c r="AR16" s="2038" t="b">
        <f t="shared" si="15"/>
        <v>1</v>
      </c>
      <c r="AS16" s="2038" t="b">
        <f t="shared" si="16"/>
        <v>1</v>
      </c>
      <c r="AT16" s="2103" t="b">
        <f t="shared" si="7"/>
        <v>1</v>
      </c>
      <c r="AU16" s="2262" t="b">
        <f t="shared" si="17"/>
        <v>1</v>
      </c>
      <c r="AV16" s="24" t="str">
        <f t="shared" si="18"/>
        <v>-</v>
      </c>
      <c r="AW16" s="24" t="str">
        <f t="shared" si="19"/>
        <v>-</v>
      </c>
      <c r="AX16" s="24" t="str">
        <f t="shared" si="8"/>
        <v/>
      </c>
      <c r="AY16" s="2038" t="b">
        <f t="shared" si="20"/>
        <v>1</v>
      </c>
      <c r="AZ16" s="2038"/>
      <c r="BA16" s="2772">
        <f>SUMIFS('60,62,63,76_контр'!V:V,'60,62,63,76_контр'!G:G,D16,'60,62,63,76_контр'!H:H,H16,'60,62,63,76_контр'!I:I,"{255222} Авансы полученные",'60,62,63,76_контр'!N:N,"{20} Краткосрочная")</f>
        <v>0</v>
      </c>
      <c r="BB16" s="2772">
        <f>SUMIFS('60,62,63,76_контр'!V:V,'60,62,63,76_контр'!G:G,D16,'60,62,63,76_контр'!H:H,H16,'60,62,63,76_контр'!I:I,"{255222} Авансы полученные",'60,62,63,76_контр'!N:N,"{10} Долгосрочная")</f>
        <v>0</v>
      </c>
      <c r="BC16" s="2772">
        <f>IF(ISERROR(VLOOKUP(F16,Список_компаний!B:K,7,0)),SUMIFS(Долгосроч_договоры!Y:Y,Долгосроч_договоры!D:D,D16,Долгосроч_договоры!H:H,H16),IF(VLOOKUP(F16,Список_компаний!B:K,7,0)=0,SUMIFS(Долгосроч_договоры!Y:Y,Долгосроч_договоры!D:D,D16,Долгосроч_договоры!H:H,H16),0))</f>
        <v>0</v>
      </c>
      <c r="BD16" s="2772">
        <f>IF(ISERROR(VLOOKUP(F16,Список_компаний!B:K,7,0)),SUMIFS(Долгосроч_договоры!Z:Z,Долгосроч_договоры!D:D,D16,Долгосроч_договоры!H:H,H16),IF(VLOOKUP(F16,Список_компаний!B:K,7,0)=0,SUMIFS(Долгосроч_договоры!Z:Z,Долгосроч_договоры!D:D,D16,Долгосроч_договоры!H:H,H16),0))</f>
        <v>0</v>
      </c>
      <c r="BE16" s="2103" t="b">
        <f t="shared" si="21"/>
        <v>1</v>
      </c>
      <c r="BF16" s="2493" t="b">
        <f t="shared" ca="1" si="22"/>
        <v>1</v>
      </c>
      <c r="BG16" s="2761" t="b">
        <f t="shared" si="23"/>
        <v>1</v>
      </c>
      <c r="BI16" s="24" t="str">
        <f t="shared" si="24"/>
        <v>X</v>
      </c>
      <c r="BJ16" s="2772">
        <f t="shared" si="9"/>
        <v>0</v>
      </c>
      <c r="BK16" s="2772">
        <f>SUMIFS('46'!Z:Z,'46'!C:C,C16)+SUMIFS('46'!AA:AA,'46'!C:C,C16)</f>
        <v>0</v>
      </c>
      <c r="BL16" s="3010" t="b">
        <f t="shared" si="25"/>
        <v>1</v>
      </c>
      <c r="BN16" s="2755">
        <f t="shared" si="26"/>
        <v>0</v>
      </c>
      <c r="BO16" s="2755" t="str">
        <f t="shared" si="27"/>
        <v>-</v>
      </c>
      <c r="BP16" s="2755" t="str">
        <f t="shared" si="28"/>
        <v>Да</v>
      </c>
      <c r="BQ16" s="2958" t="str">
        <f>IF(BO16="-","",IF(VLOOKUP(BO16,Список_компаний!$B$8:$I$301,7,0)=0,"Нет","Да"))</f>
        <v/>
      </c>
      <c r="BR16" s="2958" t="str">
        <f>IF(BO16="-","",VLOOKUP(BO16,Список_компаний!$B$8:$I$301,8,0))</f>
        <v/>
      </c>
      <c r="BS16" s="2958" t="str">
        <f t="shared" si="29"/>
        <v/>
      </c>
      <c r="BT16" s="2958" t="str">
        <f>IF(Содержание!$D$4="-","",IF(VLOOKUP(Содержание!$D$4,Список_компаний!$B$8:$I$301,7,0)=0,"Нет","Да"))</f>
        <v/>
      </c>
      <c r="BU16" s="2958" t="str">
        <f t="shared" si="30"/>
        <v>Нет</v>
      </c>
      <c r="BV16" s="2755" t="str">
        <f t="shared" si="31"/>
        <v>проверка</v>
      </c>
      <c r="BW16" s="2772">
        <f t="shared" si="32"/>
        <v>0</v>
      </c>
      <c r="BX16" s="2772">
        <f>SUMIFS(Зарубежная_выручка!C:C,Зарубежная_выручка!I:I,G16,Зарубежная_выручка!F:F,K16,Зарубежная_выручка!E:E,J16)</f>
        <v>0</v>
      </c>
      <c r="BY16" s="2772">
        <f>SUMIFS('90_ОРВГ'!K:K,'90_ОРВГ'!E:E,G16,'90_ОРВГ'!G:G,K16,'90_ОРВГ'!I:I,J16)+SUMIFS('90_ОРВГ'!M:M,'90_ОРВГ'!E:E,G16,'90_ОРВГ'!G:G,K16,'90_ОРВГ'!I:I,J16)+SUMIFS('90_ОРВГ'!K:K,'90_ОРВГ'!R:R,G16,'90_ОРВГ'!G:G,K16,'90_ОРВГ'!I:I,J16)+SUMIFS('90_ОРВГ'!M:M,'90_ОРВГ'!R:R,G16,'90_ОРВГ'!G:G,K16,'90_ОРВГ'!I:I,J16)</f>
        <v>0</v>
      </c>
      <c r="BZ16" s="2772">
        <f>SUMIFS('90_контр'!I:I,'90_контр'!H:H,G16,'90_контр'!C:C,J16)</f>
        <v>0</v>
      </c>
      <c r="CA16" s="3010" t="b">
        <f t="shared" si="33"/>
        <v>1</v>
      </c>
      <c r="CB16" s="2038" t="b">
        <f t="shared" si="43"/>
        <v>1</v>
      </c>
      <c r="CC16" s="2999" t="str">
        <f>IF(CD16=0,"",IF(COUNTIF(CD$9:CD16,CD16)=1,MAX(CC$9:CC15)+1,""))</f>
        <v/>
      </c>
      <c r="CD16" s="2999" t="str">
        <f t="shared" si="34"/>
        <v/>
      </c>
      <c r="CE16" s="2999" t="str">
        <f t="shared" ca="1" si="10"/>
        <v/>
      </c>
      <c r="CL16" s="2038" t="b">
        <f t="shared" si="35"/>
        <v>1</v>
      </c>
      <c r="CM16" s="2772">
        <f>SUMIFS(НЗП_ГП!$H$10:$H$5000,НЗП_ГП!$D$10:$D$5000,J16)</f>
        <v>0</v>
      </c>
      <c r="CN16" s="2772">
        <f t="shared" si="36"/>
        <v>0</v>
      </c>
      <c r="CQ16" s="2038" t="b">
        <f t="shared" si="37"/>
        <v>1</v>
      </c>
      <c r="CR16" s="2038"/>
      <c r="CS16" s="2038" t="b">
        <f>IF(ISBLANK(D16),TRUE,IF(Долгосроч_договоры!AH16&lt;&gt;0,IF(OR(M16=46,M16="46"),TRUE,FALSE),TRUE))</f>
        <v>1</v>
      </c>
      <c r="CT16" s="2038"/>
      <c r="CU16" s="2038"/>
      <c r="CW16" s="2038" t="b">
        <f t="shared" ca="1" si="38"/>
        <v>1</v>
      </c>
      <c r="CX16" s="2038" t="b">
        <f t="shared" ca="1" si="39"/>
        <v>1</v>
      </c>
      <c r="CY16" s="2038" t="b">
        <f t="shared" ca="1" si="40"/>
        <v>1</v>
      </c>
      <c r="DA16" s="2038" t="b">
        <f t="shared" si="41"/>
        <v>1</v>
      </c>
      <c r="DC16" s="2038" t="b">
        <f t="shared" si="42"/>
        <v>1</v>
      </c>
      <c r="DD16" s="2772">
        <f>SUMIFS('46'!O:O,'46'!_xlnm.Print_Titles,C16,'46'!J:J,J16)</f>
        <v>0</v>
      </c>
      <c r="DE16" s="2772">
        <f>SUMIFS('46'!Z:Z,'46'!_xlnm.Print_Titles,C16,'46'!J:J,J16)+SUMIFS('46'!AA:AA,'46'!_xlnm.Print_Titles,C16,'46'!J:J,J16)</f>
        <v>0</v>
      </c>
    </row>
    <row r="17" spans="1:109" s="24" customFormat="1">
      <c r="A17" s="2804" t="str">
        <f t="shared" si="11"/>
        <v>R55=;R50=;R42=;R57=;R4=;R11=;R21=;R24=;R23=;R14=;R16=;R18=;R19=;R2=;R37=;R36=;R43=;R48=;R51=;COM=</v>
      </c>
      <c r="B17" s="207" t="b">
        <f t="shared" si="12"/>
        <v>1</v>
      </c>
      <c r="C17" s="1868" t="str">
        <f t="shared" si="13"/>
        <v/>
      </c>
      <c r="D17" s="1637"/>
      <c r="E17" s="1637"/>
      <c r="F17" s="2517"/>
      <c r="G17" s="2517"/>
      <c r="H17" s="1638"/>
      <c r="I17" s="1638"/>
      <c r="J17" s="1637"/>
      <c r="K17" s="1637"/>
      <c r="L17" s="1637"/>
      <c r="M17" s="2241"/>
      <c r="N17" s="2243"/>
      <c r="O17" s="2241"/>
      <c r="P17" s="2243"/>
      <c r="Q17" s="2243"/>
      <c r="R17" s="2249" t="str">
        <f t="shared" si="4"/>
        <v>-</v>
      </c>
      <c r="S17" s="2248"/>
      <c r="T17" s="2243"/>
      <c r="U17" s="876"/>
      <c r="V17" s="876"/>
      <c r="W17" s="2252"/>
      <c r="X17" s="2252"/>
      <c r="Y17" s="2252"/>
      <c r="Z17" s="2252"/>
      <c r="AA17" s="2253"/>
      <c r="AB17" s="2240" t="str">
        <f t="shared" si="5"/>
        <v>-</v>
      </c>
      <c r="AC17" s="2252"/>
      <c r="AD17" s="2252"/>
      <c r="AE17" s="2252"/>
      <c r="AF17" s="2252"/>
      <c r="AG17" s="2252"/>
      <c r="AH17" s="2252"/>
      <c r="AI17" s="2884"/>
      <c r="AJ17" s="1637"/>
      <c r="AK17" s="2517"/>
      <c r="AL17" s="2517"/>
      <c r="AM17" s="2770"/>
      <c r="AN17" s="2596" t="b">
        <f>ABS(IF(AX17="Компания внешняя",(SUMIFS($Y:$Y,$C:$C,$C17,M:M,"46")+SUMIFS($Z:$Z,$C:$C,$C17,M:M,"46")+SUMIFS('60,62,63,76_контр'!V:V,'60,62,63,76_контр'!G:G,Долгосроч_договоры!D17,'60,62,63,76_контр'!E:E,Долгосроч_договоры!F17,'60,62,63,76_контр'!H:H,Долгосроч_договоры!H17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7" s="24" t="b">
        <f>SUMIFS($S:$S,$J:$J,$J17,M:M,"20_23_25_29")&lt;=SUMIFS(НЗП_ГП!$H:$H,НЗП_ГП!$D:$D,$J17,НЗП_ГП!$C:$C,"20_23_25_29")</f>
        <v>1</v>
      </c>
      <c r="AP17" s="1575">
        <f t="shared" si="6"/>
        <v>0</v>
      </c>
      <c r="AQ17" s="2038" t="b">
        <f t="shared" si="14"/>
        <v>1</v>
      </c>
      <c r="AR17" s="2038" t="b">
        <f t="shared" si="15"/>
        <v>1</v>
      </c>
      <c r="AS17" s="2038" t="b">
        <f t="shared" si="16"/>
        <v>1</v>
      </c>
      <c r="AT17" s="2103" t="b">
        <f t="shared" si="7"/>
        <v>1</v>
      </c>
      <c r="AU17" s="2262" t="b">
        <f t="shared" ref="AU17:AU38" si="44">IFERROR(AV17=AW17,"ложь")</f>
        <v>1</v>
      </c>
      <c r="AV17" s="24" t="str">
        <f t="shared" si="18"/>
        <v>-</v>
      </c>
      <c r="AW17" s="24" t="str">
        <f t="shared" si="19"/>
        <v>-</v>
      </c>
      <c r="AX17" s="24" t="str">
        <f t="shared" si="8"/>
        <v/>
      </c>
      <c r="AY17" s="2038" t="b">
        <f t="shared" si="20"/>
        <v>1</v>
      </c>
      <c r="AZ17" s="2038"/>
      <c r="BA17" s="2772">
        <f>SUMIFS('60,62,63,76_контр'!V:V,'60,62,63,76_контр'!G:G,D17,'60,62,63,76_контр'!H:H,H17,'60,62,63,76_контр'!I:I,"{255222} Авансы полученные",'60,62,63,76_контр'!N:N,"{20} Краткосрочная")</f>
        <v>0</v>
      </c>
      <c r="BB17" s="2772">
        <f>SUMIFS('60,62,63,76_контр'!V:V,'60,62,63,76_контр'!G:G,D17,'60,62,63,76_контр'!H:H,H17,'60,62,63,76_контр'!I:I,"{255222} Авансы полученные",'60,62,63,76_контр'!N:N,"{10} Долгосрочная")</f>
        <v>0</v>
      </c>
      <c r="BC17" s="2772">
        <f>IF(ISERROR(VLOOKUP(F17,Список_компаний!B:K,7,0)),SUMIFS(Долгосроч_договоры!Y:Y,Долгосроч_договоры!D:D,D17,Долгосроч_договоры!H:H,H17),IF(VLOOKUP(F17,Список_компаний!B:K,7,0)=0,SUMIFS(Долгосроч_договоры!Y:Y,Долгосроч_договоры!D:D,D17,Долгосроч_договоры!H:H,H17),0))</f>
        <v>0</v>
      </c>
      <c r="BD17" s="2772">
        <f>IF(ISERROR(VLOOKUP(F17,Список_компаний!B:K,7,0)),SUMIFS(Долгосроч_договоры!Z:Z,Долгосроч_договоры!D:D,D17,Долгосроч_договоры!H:H,H17),IF(VLOOKUP(F17,Список_компаний!B:K,7,0)=0,SUMIFS(Долгосроч_договоры!Z:Z,Долгосроч_договоры!D:D,D17,Долгосроч_договоры!H:H,H17),0))</f>
        <v>0</v>
      </c>
      <c r="BE17" s="2103" t="b">
        <f t="shared" si="21"/>
        <v>1</v>
      </c>
      <c r="BF17" s="2493" t="b">
        <f t="shared" ca="1" si="22"/>
        <v>1</v>
      </c>
      <c r="BG17" s="2761" t="b">
        <f t="shared" si="23"/>
        <v>1</v>
      </c>
      <c r="BI17" s="24" t="str">
        <f t="shared" si="24"/>
        <v>X</v>
      </c>
      <c r="BJ17" s="2772">
        <f t="shared" si="9"/>
        <v>0</v>
      </c>
      <c r="BK17" s="2772">
        <f>SUMIFS('46'!Z:Z,'46'!C:C,C17)+SUMIFS('46'!AA:AA,'46'!C:C,C17)</f>
        <v>0</v>
      </c>
      <c r="BL17" s="3010" t="b">
        <f t="shared" si="25"/>
        <v>1</v>
      </c>
      <c r="BN17" s="2755">
        <f t="shared" si="26"/>
        <v>0</v>
      </c>
      <c r="BO17" s="2755" t="str">
        <f t="shared" si="27"/>
        <v>-</v>
      </c>
      <c r="BP17" s="2755" t="str">
        <f t="shared" si="28"/>
        <v>Да</v>
      </c>
      <c r="BQ17" s="2958" t="str">
        <f>IF(BO17="-","",IF(VLOOKUP(BO17,Список_компаний!$B$8:$I$301,7,0)=0,"Нет","Да"))</f>
        <v/>
      </c>
      <c r="BR17" s="2958" t="str">
        <f>IF(BO17="-","",VLOOKUP(BO17,Список_компаний!$B$8:$I$301,8,0))</f>
        <v/>
      </c>
      <c r="BS17" s="2958" t="str">
        <f t="shared" si="29"/>
        <v/>
      </c>
      <c r="BT17" s="2958" t="str">
        <f>IF(Содержание!$D$4="-","",IF(VLOOKUP(Содержание!$D$4,Список_компаний!$B$8:$I$301,7,0)=0,"Нет","Да"))</f>
        <v/>
      </c>
      <c r="BU17" s="2958" t="str">
        <f t="shared" si="30"/>
        <v>Нет</v>
      </c>
      <c r="BV17" s="2755" t="str">
        <f t="shared" si="31"/>
        <v>проверка</v>
      </c>
      <c r="BW17" s="2772">
        <f t="shared" si="32"/>
        <v>0</v>
      </c>
      <c r="BX17" s="2772">
        <f>SUMIFS(Зарубежная_выручка!C:C,Зарубежная_выручка!I:I,G17,Зарубежная_выручка!F:F,K17,Зарубежная_выручка!E:E,J17)</f>
        <v>0</v>
      </c>
      <c r="BY17" s="2772">
        <f>SUMIFS('90_ОРВГ'!K:K,'90_ОРВГ'!E:E,G17,'90_ОРВГ'!G:G,K17,'90_ОРВГ'!I:I,J17)+SUMIFS('90_ОРВГ'!M:M,'90_ОРВГ'!E:E,G17,'90_ОРВГ'!G:G,K17,'90_ОРВГ'!I:I,J17)+SUMIFS('90_ОРВГ'!K:K,'90_ОРВГ'!R:R,G17,'90_ОРВГ'!G:G,K17,'90_ОРВГ'!I:I,J17)+SUMIFS('90_ОРВГ'!M:M,'90_ОРВГ'!R:R,G17,'90_ОРВГ'!G:G,K17,'90_ОРВГ'!I:I,J17)</f>
        <v>0</v>
      </c>
      <c r="BZ17" s="2772">
        <f>SUMIFS('90_контр'!I:I,'90_контр'!H:H,G17,'90_контр'!C:C,J17)</f>
        <v>0</v>
      </c>
      <c r="CA17" s="3010" t="b">
        <f t="shared" si="33"/>
        <v>1</v>
      </c>
      <c r="CB17" s="2038" t="b">
        <f t="shared" si="43"/>
        <v>1</v>
      </c>
      <c r="CC17" s="2999" t="str">
        <f>IF(CD17=0,"",IF(COUNTIF(CD$9:CD17,CD17)=1,MAX(CC$9:CC16)+1,""))</f>
        <v/>
      </c>
      <c r="CD17" s="2999" t="str">
        <f t="shared" si="34"/>
        <v/>
      </c>
      <c r="CE17" s="2999" t="str">
        <f t="shared" ca="1" si="10"/>
        <v/>
      </c>
      <c r="CL17" s="2038" t="b">
        <f t="shared" si="35"/>
        <v>1</v>
      </c>
      <c r="CM17" s="2772">
        <f>SUMIFS(НЗП_ГП!$H$10:$H$5000,НЗП_ГП!$D$10:$D$5000,J17)</f>
        <v>0</v>
      </c>
      <c r="CN17" s="2772">
        <f t="shared" si="36"/>
        <v>0</v>
      </c>
      <c r="CQ17" s="2038" t="b">
        <f t="shared" si="37"/>
        <v>1</v>
      </c>
      <c r="CR17" s="2038"/>
      <c r="CS17" s="2038" t="b">
        <f>IF(ISBLANK(D17),TRUE,IF(Долгосроч_договоры!AH17&lt;&gt;0,IF(OR(M17=46,M17="46"),TRUE,FALSE),TRUE))</f>
        <v>1</v>
      </c>
      <c r="CT17" s="2038"/>
      <c r="CU17" s="2038"/>
      <c r="CW17" s="2038" t="b">
        <f t="shared" ca="1" si="38"/>
        <v>1</v>
      </c>
      <c r="CX17" s="2038" t="b">
        <f t="shared" ca="1" si="39"/>
        <v>1</v>
      </c>
      <c r="CY17" s="2038" t="b">
        <f t="shared" ca="1" si="40"/>
        <v>1</v>
      </c>
      <c r="DA17" s="2038" t="b">
        <f t="shared" si="41"/>
        <v>1</v>
      </c>
      <c r="DC17" s="2038" t="b">
        <f t="shared" si="42"/>
        <v>1</v>
      </c>
      <c r="DD17" s="2772">
        <f>SUMIFS('46'!O:O,'46'!_xlnm.Print_Titles,C17,'46'!J:J,J17)</f>
        <v>0</v>
      </c>
      <c r="DE17" s="2772">
        <f>SUMIFS('46'!Z:Z,'46'!_xlnm.Print_Titles,C17,'46'!J:J,J17)+SUMIFS('46'!AA:AA,'46'!_xlnm.Print_Titles,C17,'46'!J:J,J17)</f>
        <v>0</v>
      </c>
    </row>
    <row r="18" spans="1:109" s="24" customFormat="1">
      <c r="A18" s="2804" t="str">
        <f t="shared" si="11"/>
        <v>R55=;R50=;R42=;R57=;R4=;R11=;R21=;R24=;R23=;R14=;R16=;R18=;R19=;R2=;R37=;R36=;R43=;R48=;R51=;COM=</v>
      </c>
      <c r="B18" s="207" t="b">
        <f t="shared" si="12"/>
        <v>1</v>
      </c>
      <c r="C18" s="1868" t="str">
        <f t="shared" si="13"/>
        <v/>
      </c>
      <c r="D18" s="1637"/>
      <c r="E18" s="1637"/>
      <c r="F18" s="2517"/>
      <c r="G18" s="2517"/>
      <c r="H18" s="1638"/>
      <c r="I18" s="1638"/>
      <c r="J18" s="1637"/>
      <c r="K18" s="1637"/>
      <c r="L18" s="1637"/>
      <c r="M18" s="2241"/>
      <c r="N18" s="2243"/>
      <c r="O18" s="2241"/>
      <c r="P18" s="2243"/>
      <c r="Q18" s="2243"/>
      <c r="R18" s="2249" t="str">
        <f t="shared" si="4"/>
        <v>-</v>
      </c>
      <c r="S18" s="2248"/>
      <c r="T18" s="2243"/>
      <c r="U18" s="876"/>
      <c r="V18" s="876"/>
      <c r="W18" s="2252"/>
      <c r="X18" s="2252"/>
      <c r="Y18" s="2252"/>
      <c r="Z18" s="2252"/>
      <c r="AA18" s="2253"/>
      <c r="AB18" s="2240" t="str">
        <f t="shared" si="5"/>
        <v>-</v>
      </c>
      <c r="AC18" s="2252"/>
      <c r="AD18" s="2252"/>
      <c r="AE18" s="2252"/>
      <c r="AF18" s="2252"/>
      <c r="AG18" s="2252"/>
      <c r="AH18" s="2252"/>
      <c r="AI18" s="2884"/>
      <c r="AJ18" s="1637"/>
      <c r="AK18" s="2517"/>
      <c r="AL18" s="2517"/>
      <c r="AM18" s="2770"/>
      <c r="AN18" s="2596" t="b">
        <f>ABS(IF(AX18="Компания внешняя",(SUMIFS($Y:$Y,$C:$C,$C18,M:M,"46")+SUMIFS($Z:$Z,$C:$C,$C18,M:M,"46")+SUMIFS('60,62,63,76_контр'!V:V,'60,62,63,76_контр'!G:G,Долгосроч_договоры!D18,'60,62,63,76_контр'!E:E,Долгосроч_договоры!F18,'60,62,63,76_контр'!H:H,Долгосроч_договоры!H18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8" s="24" t="b">
        <f>SUMIFS($S:$S,$J:$J,$J18,M:M,"20_23_25_29")&lt;=SUMIFS(НЗП_ГП!$H:$H,НЗП_ГП!$D:$D,$J18,НЗП_ГП!$C:$C,"20_23_25_29")</f>
        <v>1</v>
      </c>
      <c r="AP18" s="1575">
        <f t="shared" si="6"/>
        <v>0</v>
      </c>
      <c r="AQ18" s="2038" t="b">
        <f t="shared" si="14"/>
        <v>1</v>
      </c>
      <c r="AR18" s="2038" t="b">
        <f t="shared" si="15"/>
        <v>1</v>
      </c>
      <c r="AS18" s="2038" t="b">
        <f t="shared" si="16"/>
        <v>1</v>
      </c>
      <c r="AT18" s="2103" t="b">
        <f t="shared" si="7"/>
        <v>1</v>
      </c>
      <c r="AU18" s="2262" t="b">
        <f t="shared" si="44"/>
        <v>1</v>
      </c>
      <c r="AV18" s="24" t="str">
        <f t="shared" si="18"/>
        <v>-</v>
      </c>
      <c r="AW18" s="24" t="str">
        <f t="shared" si="19"/>
        <v>-</v>
      </c>
      <c r="AX18" s="24" t="str">
        <f t="shared" si="8"/>
        <v/>
      </c>
      <c r="AY18" s="2038" t="b">
        <f t="shared" si="20"/>
        <v>1</v>
      </c>
      <c r="AZ18" s="2038"/>
      <c r="BA18" s="2772">
        <f>SUMIFS('60,62,63,76_контр'!V:V,'60,62,63,76_контр'!G:G,D18,'60,62,63,76_контр'!H:H,H18,'60,62,63,76_контр'!I:I,"{255222} Авансы полученные",'60,62,63,76_контр'!N:N,"{20} Краткосрочная")</f>
        <v>0</v>
      </c>
      <c r="BB18" s="2772">
        <f>SUMIFS('60,62,63,76_контр'!V:V,'60,62,63,76_контр'!G:G,D18,'60,62,63,76_контр'!H:H,H18,'60,62,63,76_контр'!I:I,"{255222} Авансы полученные",'60,62,63,76_контр'!N:N,"{10} Долгосрочная")</f>
        <v>0</v>
      </c>
      <c r="BC18" s="2772">
        <f>IF(ISERROR(VLOOKUP(F18,Список_компаний!B:K,7,0)),SUMIFS(Долгосроч_договоры!Y:Y,Долгосроч_договоры!D:D,D18,Долгосроч_договоры!H:H,H18),IF(VLOOKUP(F18,Список_компаний!B:K,7,0)=0,SUMIFS(Долгосроч_договоры!Y:Y,Долгосроч_договоры!D:D,D18,Долгосроч_договоры!H:H,H18),0))</f>
        <v>0</v>
      </c>
      <c r="BD18" s="2772">
        <f>IF(ISERROR(VLOOKUP(F18,Список_компаний!B:K,7,0)),SUMIFS(Долгосроч_договоры!Z:Z,Долгосроч_договоры!D:D,D18,Долгосроч_договоры!H:H,H18),IF(VLOOKUP(F18,Список_компаний!B:K,7,0)=0,SUMIFS(Долгосроч_договоры!Z:Z,Долгосроч_договоры!D:D,D18,Долгосроч_договоры!H:H,H18),0))</f>
        <v>0</v>
      </c>
      <c r="BE18" s="2103" t="b">
        <f t="shared" si="21"/>
        <v>1</v>
      </c>
      <c r="BF18" s="2493" t="b">
        <f t="shared" ca="1" si="22"/>
        <v>1</v>
      </c>
      <c r="BG18" s="2761" t="b">
        <f t="shared" si="23"/>
        <v>1</v>
      </c>
      <c r="BI18" s="24" t="str">
        <f t="shared" si="24"/>
        <v>X</v>
      </c>
      <c r="BJ18" s="2772">
        <f t="shared" si="9"/>
        <v>0</v>
      </c>
      <c r="BK18" s="2772">
        <f>SUMIFS('46'!Z:Z,'46'!C:C,C18)+SUMIFS('46'!AA:AA,'46'!C:C,C18)</f>
        <v>0</v>
      </c>
      <c r="BL18" s="3010" t="b">
        <f t="shared" si="25"/>
        <v>1</v>
      </c>
      <c r="BN18" s="2755">
        <f t="shared" si="26"/>
        <v>0</v>
      </c>
      <c r="BO18" s="2755" t="str">
        <f t="shared" si="27"/>
        <v>-</v>
      </c>
      <c r="BP18" s="2755" t="str">
        <f t="shared" si="28"/>
        <v>Да</v>
      </c>
      <c r="BQ18" s="2958" t="str">
        <f>IF(BO18="-","",IF(VLOOKUP(BO18,Список_компаний!$B$8:$I$301,7,0)=0,"Нет","Да"))</f>
        <v/>
      </c>
      <c r="BR18" s="2958" t="str">
        <f>IF(BO18="-","",VLOOKUP(BO18,Список_компаний!$B$8:$I$301,8,0))</f>
        <v/>
      </c>
      <c r="BS18" s="2958" t="str">
        <f t="shared" si="29"/>
        <v/>
      </c>
      <c r="BT18" s="2958" t="str">
        <f>IF(Содержание!$D$4="-","",IF(VLOOKUP(Содержание!$D$4,Список_компаний!$B$8:$I$301,7,0)=0,"Нет","Да"))</f>
        <v/>
      </c>
      <c r="BU18" s="2958" t="str">
        <f t="shared" si="30"/>
        <v>Нет</v>
      </c>
      <c r="BV18" s="2755" t="str">
        <f t="shared" si="31"/>
        <v>проверка</v>
      </c>
      <c r="BW18" s="2772">
        <f t="shared" si="32"/>
        <v>0</v>
      </c>
      <c r="BX18" s="2772">
        <f>SUMIFS(Зарубежная_выручка!C:C,Зарубежная_выручка!I:I,G18,Зарубежная_выручка!F:F,K18,Зарубежная_выручка!E:E,J18)</f>
        <v>0</v>
      </c>
      <c r="BY18" s="2772">
        <f>SUMIFS('90_ОРВГ'!K:K,'90_ОРВГ'!E:E,G18,'90_ОРВГ'!G:G,K18,'90_ОРВГ'!I:I,J18)+SUMIFS('90_ОРВГ'!M:M,'90_ОРВГ'!E:E,G18,'90_ОРВГ'!G:G,K18,'90_ОРВГ'!I:I,J18)+SUMIFS('90_ОРВГ'!K:K,'90_ОРВГ'!R:R,G18,'90_ОРВГ'!G:G,K18,'90_ОРВГ'!I:I,J18)+SUMIFS('90_ОРВГ'!M:M,'90_ОРВГ'!R:R,G18,'90_ОРВГ'!G:G,K18,'90_ОРВГ'!I:I,J18)</f>
        <v>0</v>
      </c>
      <c r="BZ18" s="2772">
        <f>SUMIFS('90_контр'!I:I,'90_контр'!H:H,G18,'90_контр'!C:C,J18)</f>
        <v>0</v>
      </c>
      <c r="CA18" s="3010" t="b">
        <f t="shared" si="33"/>
        <v>1</v>
      </c>
      <c r="CB18" s="2038" t="b">
        <f t="shared" si="43"/>
        <v>1</v>
      </c>
      <c r="CC18" s="2999" t="str">
        <f>IF(CD18=0,"",IF(COUNTIF(CD$9:CD18,CD18)=1,MAX(CC$9:CC17)+1,""))</f>
        <v/>
      </c>
      <c r="CD18" s="2999" t="str">
        <f t="shared" si="34"/>
        <v/>
      </c>
      <c r="CE18" s="2999" t="str">
        <f t="shared" ca="1" si="10"/>
        <v/>
      </c>
      <c r="CL18" s="2038" t="b">
        <f t="shared" si="35"/>
        <v>1</v>
      </c>
      <c r="CM18" s="2772">
        <f>SUMIFS(НЗП_ГП!$H$10:$H$5000,НЗП_ГП!$D$10:$D$5000,J18)</f>
        <v>0</v>
      </c>
      <c r="CN18" s="2772">
        <f t="shared" si="36"/>
        <v>0</v>
      </c>
      <c r="CQ18" s="2038" t="b">
        <f t="shared" si="37"/>
        <v>1</v>
      </c>
      <c r="CR18" s="2038"/>
      <c r="CS18" s="2038" t="b">
        <f>IF(ISBLANK(D18),TRUE,IF(Долгосроч_договоры!AH18&lt;&gt;0,IF(OR(M18=46,M18="46"),TRUE,FALSE),TRUE))</f>
        <v>1</v>
      </c>
      <c r="CT18" s="2038"/>
      <c r="CU18" s="2038"/>
      <c r="CW18" s="2038" t="b">
        <f t="shared" ca="1" si="38"/>
        <v>1</v>
      </c>
      <c r="CX18" s="2038" t="b">
        <f t="shared" ca="1" si="39"/>
        <v>1</v>
      </c>
      <c r="CY18" s="2038" t="b">
        <f t="shared" ca="1" si="40"/>
        <v>1</v>
      </c>
      <c r="DA18" s="2038" t="b">
        <f t="shared" si="41"/>
        <v>1</v>
      </c>
      <c r="DC18" s="2038" t="b">
        <f t="shared" si="42"/>
        <v>1</v>
      </c>
      <c r="DD18" s="2772">
        <f>SUMIFS('46'!O:O,'46'!_xlnm.Print_Titles,C18,'46'!J:J,J18)</f>
        <v>0</v>
      </c>
      <c r="DE18" s="2772">
        <f>SUMIFS('46'!Z:Z,'46'!_xlnm.Print_Titles,C18,'46'!J:J,J18)+SUMIFS('46'!AA:AA,'46'!_xlnm.Print_Titles,C18,'46'!J:J,J18)</f>
        <v>0</v>
      </c>
    </row>
    <row r="19" spans="1:109" s="24" customFormat="1">
      <c r="A19" s="2804" t="str">
        <f t="shared" si="11"/>
        <v>R55=;R50=;R42=;R57=;R4=;R11=;R21=;R24=;R23=;R14=;R16=;R18=;R19=;R2=;R37=;R36=;R43=;R48=;R51=;COM=</v>
      </c>
      <c r="B19" s="207" t="b">
        <f t="shared" si="12"/>
        <v>1</v>
      </c>
      <c r="C19" s="1868" t="str">
        <f t="shared" si="13"/>
        <v/>
      </c>
      <c r="D19" s="1637"/>
      <c r="E19" s="1637"/>
      <c r="F19" s="2517"/>
      <c r="G19" s="2517"/>
      <c r="H19" s="1638"/>
      <c r="I19" s="1638"/>
      <c r="J19" s="1637"/>
      <c r="K19" s="1637"/>
      <c r="L19" s="1637"/>
      <c r="M19" s="2241"/>
      <c r="N19" s="2243"/>
      <c r="O19" s="2241"/>
      <c r="P19" s="2243"/>
      <c r="Q19" s="2243"/>
      <c r="R19" s="2249" t="str">
        <f t="shared" si="4"/>
        <v>-</v>
      </c>
      <c r="S19" s="2248"/>
      <c r="T19" s="2243"/>
      <c r="U19" s="876"/>
      <c r="V19" s="876"/>
      <c r="W19" s="2252"/>
      <c r="X19" s="2252"/>
      <c r="Y19" s="2252"/>
      <c r="Z19" s="2252"/>
      <c r="AA19" s="2253"/>
      <c r="AB19" s="2240" t="str">
        <f t="shared" si="5"/>
        <v>-</v>
      </c>
      <c r="AC19" s="2252"/>
      <c r="AD19" s="2252"/>
      <c r="AE19" s="2252"/>
      <c r="AF19" s="2252"/>
      <c r="AG19" s="2252"/>
      <c r="AH19" s="2252"/>
      <c r="AI19" s="2884"/>
      <c r="AJ19" s="1637"/>
      <c r="AK19" s="2517"/>
      <c r="AL19" s="2517"/>
      <c r="AM19" s="2770"/>
      <c r="AN19" s="2596" t="b">
        <f>ABS(IF(AX19="Компания внешняя",(SUMIFS($Y:$Y,$C:$C,$C19,M:M,"46")+SUMIFS($Z:$Z,$C:$C,$C19,M:M,"46")+SUMIFS('60,62,63,76_контр'!V:V,'60,62,63,76_контр'!G:G,Долгосроч_договоры!D19,'60,62,63,76_контр'!E:E,Долгосроч_договоры!F19,'60,62,63,76_контр'!H:H,Долгосроч_договоры!H19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19" s="24" t="b">
        <f>SUMIFS($S:$S,$J:$J,$J19,M:M,"20_23_25_29")&lt;=SUMIFS(НЗП_ГП!$H:$H,НЗП_ГП!$D:$D,$J19,НЗП_ГП!$C:$C,"20_23_25_29")</f>
        <v>1</v>
      </c>
      <c r="AP19" s="1575">
        <f t="shared" si="6"/>
        <v>0</v>
      </c>
      <c r="AQ19" s="2038" t="b">
        <f t="shared" si="14"/>
        <v>1</v>
      </c>
      <c r="AR19" s="2038" t="b">
        <f t="shared" si="15"/>
        <v>1</v>
      </c>
      <c r="AS19" s="2038" t="b">
        <f t="shared" si="16"/>
        <v>1</v>
      </c>
      <c r="AT19" s="2103" t="b">
        <f t="shared" si="7"/>
        <v>1</v>
      </c>
      <c r="AU19" s="2262" t="b">
        <f t="shared" si="44"/>
        <v>1</v>
      </c>
      <c r="AV19" s="24" t="str">
        <f t="shared" si="18"/>
        <v>-</v>
      </c>
      <c r="AW19" s="24" t="str">
        <f t="shared" si="19"/>
        <v>-</v>
      </c>
      <c r="AX19" s="24" t="str">
        <f t="shared" si="8"/>
        <v/>
      </c>
      <c r="AY19" s="2038" t="b">
        <f t="shared" si="20"/>
        <v>1</v>
      </c>
      <c r="AZ19" s="2038"/>
      <c r="BA19" s="2772">
        <f>SUMIFS('60,62,63,76_контр'!V:V,'60,62,63,76_контр'!G:G,D19,'60,62,63,76_контр'!H:H,H19,'60,62,63,76_контр'!I:I,"{255222} Авансы полученные",'60,62,63,76_контр'!N:N,"{20} Краткосрочная")</f>
        <v>0</v>
      </c>
      <c r="BB19" s="2772">
        <f>SUMIFS('60,62,63,76_контр'!V:V,'60,62,63,76_контр'!G:G,D19,'60,62,63,76_контр'!H:H,H19,'60,62,63,76_контр'!I:I,"{255222} Авансы полученные",'60,62,63,76_контр'!N:N,"{10} Долгосрочная")</f>
        <v>0</v>
      </c>
      <c r="BC19" s="2772">
        <f>IF(ISERROR(VLOOKUP(F19,Список_компаний!B:K,7,0)),SUMIFS(Долгосроч_договоры!Y:Y,Долгосроч_договоры!D:D,D19,Долгосроч_договоры!H:H,H19),IF(VLOOKUP(F19,Список_компаний!B:K,7,0)=0,SUMIFS(Долгосроч_договоры!Y:Y,Долгосроч_договоры!D:D,D19,Долгосроч_договоры!H:H,H19),0))</f>
        <v>0</v>
      </c>
      <c r="BD19" s="2772">
        <f>IF(ISERROR(VLOOKUP(F19,Список_компаний!B:K,7,0)),SUMIFS(Долгосроч_договоры!Z:Z,Долгосроч_договоры!D:D,D19,Долгосроч_договоры!H:H,H19),IF(VLOOKUP(F19,Список_компаний!B:K,7,0)=0,SUMIFS(Долгосроч_договоры!Z:Z,Долгосроч_договоры!D:D,D19,Долгосроч_договоры!H:H,H19),0))</f>
        <v>0</v>
      </c>
      <c r="BE19" s="2103" t="b">
        <f t="shared" si="21"/>
        <v>1</v>
      </c>
      <c r="BF19" s="2493" t="b">
        <f t="shared" ca="1" si="22"/>
        <v>1</v>
      </c>
      <c r="BG19" s="2761" t="b">
        <f t="shared" si="23"/>
        <v>1</v>
      </c>
      <c r="BI19" s="24" t="str">
        <f t="shared" si="24"/>
        <v>X</v>
      </c>
      <c r="BJ19" s="2772">
        <f t="shared" si="9"/>
        <v>0</v>
      </c>
      <c r="BK19" s="2772">
        <f>SUMIFS('46'!Z:Z,'46'!C:C,C19)+SUMIFS('46'!AA:AA,'46'!C:C,C19)</f>
        <v>0</v>
      </c>
      <c r="BL19" s="3010" t="b">
        <f t="shared" si="25"/>
        <v>1</v>
      </c>
      <c r="BN19" s="2755">
        <f t="shared" si="26"/>
        <v>0</v>
      </c>
      <c r="BO19" s="2755" t="str">
        <f t="shared" si="27"/>
        <v>-</v>
      </c>
      <c r="BP19" s="2755" t="str">
        <f t="shared" si="28"/>
        <v>Да</v>
      </c>
      <c r="BQ19" s="2958" t="str">
        <f>IF(BO19="-","",IF(VLOOKUP(BO19,Список_компаний!$B$8:$I$301,7,0)=0,"Нет","Да"))</f>
        <v/>
      </c>
      <c r="BR19" s="2958" t="str">
        <f>IF(BO19="-","",VLOOKUP(BO19,Список_компаний!$B$8:$I$301,8,0))</f>
        <v/>
      </c>
      <c r="BS19" s="2958" t="str">
        <f t="shared" si="29"/>
        <v/>
      </c>
      <c r="BT19" s="2958" t="str">
        <f>IF(Содержание!$D$4="-","",IF(VLOOKUP(Содержание!$D$4,Список_компаний!$B$8:$I$301,7,0)=0,"Нет","Да"))</f>
        <v/>
      </c>
      <c r="BU19" s="2958" t="str">
        <f t="shared" si="30"/>
        <v>Нет</v>
      </c>
      <c r="BV19" s="2755" t="str">
        <f t="shared" si="31"/>
        <v>проверка</v>
      </c>
      <c r="BW19" s="2772">
        <f t="shared" si="32"/>
        <v>0</v>
      </c>
      <c r="BX19" s="2772">
        <f>SUMIFS(Зарубежная_выручка!C:C,Зарубежная_выручка!I:I,G19,Зарубежная_выручка!F:F,K19,Зарубежная_выручка!E:E,J19)</f>
        <v>0</v>
      </c>
      <c r="BY19" s="2772">
        <f>SUMIFS('90_ОРВГ'!K:K,'90_ОРВГ'!E:E,G19,'90_ОРВГ'!G:G,K19,'90_ОРВГ'!I:I,J19)+SUMIFS('90_ОРВГ'!M:M,'90_ОРВГ'!E:E,G19,'90_ОРВГ'!G:G,K19,'90_ОРВГ'!I:I,J19)+SUMIFS('90_ОРВГ'!K:K,'90_ОРВГ'!R:R,G19,'90_ОРВГ'!G:G,K19,'90_ОРВГ'!I:I,J19)+SUMIFS('90_ОРВГ'!M:M,'90_ОРВГ'!R:R,G19,'90_ОРВГ'!G:G,K19,'90_ОРВГ'!I:I,J19)</f>
        <v>0</v>
      </c>
      <c r="BZ19" s="2772">
        <f>SUMIFS('90_контр'!I:I,'90_контр'!H:H,G19,'90_контр'!C:C,J19)</f>
        <v>0</v>
      </c>
      <c r="CA19" s="3010" t="b">
        <f t="shared" si="33"/>
        <v>1</v>
      </c>
      <c r="CB19" s="2038" t="b">
        <f t="shared" si="43"/>
        <v>1</v>
      </c>
      <c r="CC19" s="2999" t="str">
        <f>IF(CD19=0,"",IF(COUNTIF(CD$9:CD19,CD19)=1,MAX(CC$9:CC18)+1,""))</f>
        <v/>
      </c>
      <c r="CD19" s="2999" t="str">
        <f t="shared" si="34"/>
        <v/>
      </c>
      <c r="CE19" s="2999" t="str">
        <f t="shared" ca="1" si="10"/>
        <v/>
      </c>
      <c r="CL19" s="2038" t="b">
        <f t="shared" si="35"/>
        <v>1</v>
      </c>
      <c r="CM19" s="2772">
        <f>SUMIFS(НЗП_ГП!$H$10:$H$5000,НЗП_ГП!$D$10:$D$5000,J19)</f>
        <v>0</v>
      </c>
      <c r="CN19" s="2772">
        <f t="shared" si="36"/>
        <v>0</v>
      </c>
      <c r="CQ19" s="2038" t="b">
        <f t="shared" si="37"/>
        <v>1</v>
      </c>
      <c r="CR19" s="2038"/>
      <c r="CS19" s="2038" t="b">
        <f>IF(ISBLANK(D19),TRUE,IF(Долгосроч_договоры!AH19&lt;&gt;0,IF(OR(M19=46,M19="46"),TRUE,FALSE),TRUE))</f>
        <v>1</v>
      </c>
      <c r="CT19" s="2038"/>
      <c r="CU19" s="2038"/>
      <c r="CW19" s="2038" t="b">
        <f t="shared" ca="1" si="38"/>
        <v>1</v>
      </c>
      <c r="CX19" s="2038" t="b">
        <f t="shared" ca="1" si="39"/>
        <v>1</v>
      </c>
      <c r="CY19" s="2038" t="b">
        <f t="shared" ca="1" si="40"/>
        <v>1</v>
      </c>
      <c r="DA19" s="2038" t="b">
        <f t="shared" si="41"/>
        <v>1</v>
      </c>
      <c r="DC19" s="2038" t="b">
        <f t="shared" si="42"/>
        <v>1</v>
      </c>
      <c r="DD19" s="2772">
        <f>SUMIFS('46'!O:O,'46'!_xlnm.Print_Titles,C19,'46'!J:J,J19)</f>
        <v>0</v>
      </c>
      <c r="DE19" s="2772">
        <f>SUMIFS('46'!Z:Z,'46'!_xlnm.Print_Titles,C19,'46'!J:J,J19)+SUMIFS('46'!AA:AA,'46'!_xlnm.Print_Titles,C19,'46'!J:J,J19)</f>
        <v>0</v>
      </c>
    </row>
    <row r="20" spans="1:109" s="24" customFormat="1">
      <c r="A20" s="2804" t="str">
        <f t="shared" si="11"/>
        <v>R55=;R50=;R42=;R57=;R4=;R11=;R21=;R24=;R23=;R14=;R16=;R18=;R19=;R2=;R37=;R36=;R43=;R48=;R51=;COM=</v>
      </c>
      <c r="B20" s="207" t="b">
        <f t="shared" si="12"/>
        <v>1</v>
      </c>
      <c r="C20" s="1868" t="str">
        <f t="shared" si="13"/>
        <v/>
      </c>
      <c r="D20" s="1637"/>
      <c r="E20" s="1637"/>
      <c r="F20" s="2517"/>
      <c r="G20" s="2517"/>
      <c r="H20" s="1638"/>
      <c r="I20" s="1638"/>
      <c r="J20" s="1637"/>
      <c r="K20" s="1637"/>
      <c r="L20" s="1637"/>
      <c r="M20" s="2241"/>
      <c r="N20" s="2243"/>
      <c r="O20" s="2241" t="s">
        <v>5536</v>
      </c>
      <c r="P20" s="2243"/>
      <c r="Q20" s="2243"/>
      <c r="R20" s="2249" t="str">
        <f t="shared" si="4"/>
        <v>-</v>
      </c>
      <c r="S20" s="2248"/>
      <c r="T20" s="2243"/>
      <c r="U20" s="876"/>
      <c r="V20" s="876"/>
      <c r="W20" s="2252"/>
      <c r="X20" s="2252"/>
      <c r="Y20" s="2252"/>
      <c r="Z20" s="2252"/>
      <c r="AA20" s="2253"/>
      <c r="AB20" s="2240" t="str">
        <f t="shared" si="5"/>
        <v>-</v>
      </c>
      <c r="AC20" s="2252"/>
      <c r="AD20" s="2252"/>
      <c r="AE20" s="2252"/>
      <c r="AF20" s="2252"/>
      <c r="AG20" s="2252"/>
      <c r="AH20" s="2252"/>
      <c r="AI20" s="2884"/>
      <c r="AJ20" s="1637"/>
      <c r="AK20" s="2517"/>
      <c r="AL20" s="2517"/>
      <c r="AM20" s="2770"/>
      <c r="AN20" s="2596" t="b">
        <f>ABS(IF(AX20="Компания внешняя",(SUMIFS($Y:$Y,$C:$C,$C20,M:M,"46")+SUMIFS($Z:$Z,$C:$C,$C20,M:M,"46")+SUMIFS('60,62,63,76_контр'!V:V,'60,62,63,76_контр'!G:G,Долгосроч_договоры!D20,'60,62,63,76_контр'!E:E,Долгосроч_договоры!F20,'60,62,63,76_контр'!H:H,Долгосроч_договоры!H20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0" s="24" t="b">
        <f>SUMIFS($S:$S,$J:$J,$J20,M:M,"20_23_25_29")&lt;=SUMIFS(НЗП_ГП!$H:$H,НЗП_ГП!$D:$D,$J20,НЗП_ГП!$C:$C,"20_23_25_29")</f>
        <v>1</v>
      </c>
      <c r="AP20" s="1575">
        <f t="shared" si="6"/>
        <v>0</v>
      </c>
      <c r="AQ20" s="2038" t="b">
        <f t="shared" si="14"/>
        <v>1</v>
      </c>
      <c r="AR20" s="2038" t="b">
        <f t="shared" si="15"/>
        <v>1</v>
      </c>
      <c r="AS20" s="2038" t="b">
        <f t="shared" si="16"/>
        <v>1</v>
      </c>
      <c r="AT20" s="2103" t="b">
        <f t="shared" si="7"/>
        <v>1</v>
      </c>
      <c r="AU20" s="2262" t="b">
        <f t="shared" si="44"/>
        <v>1</v>
      </c>
      <c r="AV20" s="24" t="str">
        <f t="shared" si="18"/>
        <v>-</v>
      </c>
      <c r="AW20" s="24" t="str">
        <f t="shared" si="19"/>
        <v>-</v>
      </c>
      <c r="AX20" s="24" t="str">
        <f t="shared" si="8"/>
        <v/>
      </c>
      <c r="AY20" s="2038" t="b">
        <f t="shared" si="20"/>
        <v>1</v>
      </c>
      <c r="AZ20" s="2038"/>
      <c r="BA20" s="2772">
        <f>SUMIFS('60,62,63,76_контр'!V:V,'60,62,63,76_контр'!G:G,D20,'60,62,63,76_контр'!H:H,H20,'60,62,63,76_контр'!I:I,"{255222} Авансы полученные",'60,62,63,76_контр'!N:N,"{20} Краткосрочная")</f>
        <v>0</v>
      </c>
      <c r="BB20" s="2772">
        <f>SUMIFS('60,62,63,76_контр'!V:V,'60,62,63,76_контр'!G:G,D20,'60,62,63,76_контр'!H:H,H20,'60,62,63,76_контр'!I:I,"{255222} Авансы полученные",'60,62,63,76_контр'!N:N,"{10} Долгосрочная")</f>
        <v>0</v>
      </c>
      <c r="BC20" s="2772">
        <f>IF(ISERROR(VLOOKUP(F20,Список_компаний!B:K,7,0)),SUMIFS(Долгосроч_договоры!Y:Y,Долгосроч_договоры!D:D,D20,Долгосроч_договоры!H:H,H20),IF(VLOOKUP(F20,Список_компаний!B:K,7,0)=0,SUMIFS(Долгосроч_договоры!Y:Y,Долгосроч_договоры!D:D,D20,Долгосроч_договоры!H:H,H20),0))</f>
        <v>0</v>
      </c>
      <c r="BD20" s="2772">
        <f>IF(ISERROR(VLOOKUP(F20,Список_компаний!B:K,7,0)),SUMIFS(Долгосроч_договоры!Z:Z,Долгосроч_договоры!D:D,D20,Долгосроч_договоры!H:H,H20),IF(VLOOKUP(F20,Список_компаний!B:K,7,0)=0,SUMIFS(Долгосроч_договоры!Z:Z,Долгосроч_договоры!D:D,D20,Долгосроч_договоры!H:H,H20),0))</f>
        <v>0</v>
      </c>
      <c r="BE20" s="2103" t="b">
        <f t="shared" si="21"/>
        <v>1</v>
      </c>
      <c r="BF20" s="2493" t="b">
        <f t="shared" ca="1" si="22"/>
        <v>1</v>
      </c>
      <c r="BG20" s="2761" t="b">
        <f t="shared" si="23"/>
        <v>1</v>
      </c>
      <c r="BI20" s="24" t="str">
        <f t="shared" si="24"/>
        <v>X</v>
      </c>
      <c r="BJ20" s="2772">
        <f t="shared" si="9"/>
        <v>0</v>
      </c>
      <c r="BK20" s="2772">
        <f>SUMIFS('46'!Z:Z,'46'!C:C,C20)+SUMIFS('46'!AA:AA,'46'!C:C,C20)</f>
        <v>0</v>
      </c>
      <c r="BL20" s="3010" t="b">
        <f t="shared" si="25"/>
        <v>1</v>
      </c>
      <c r="BN20" s="2755">
        <f t="shared" si="26"/>
        <v>0</v>
      </c>
      <c r="BO20" s="2755" t="str">
        <f t="shared" si="27"/>
        <v>-</v>
      </c>
      <c r="BP20" s="2755" t="str">
        <f t="shared" si="28"/>
        <v>Да</v>
      </c>
      <c r="BQ20" s="2958" t="str">
        <f>IF(BO20="-","",IF(VLOOKUP(BO20,Список_компаний!$B$8:$I$301,7,0)=0,"Нет","Да"))</f>
        <v/>
      </c>
      <c r="BR20" s="2958" t="str">
        <f>IF(BO20="-","",VLOOKUP(BO20,Список_компаний!$B$8:$I$301,8,0))</f>
        <v/>
      </c>
      <c r="BS20" s="2958" t="str">
        <f t="shared" si="29"/>
        <v/>
      </c>
      <c r="BT20" s="2958" t="str">
        <f>IF(Содержание!$D$4="-","",IF(VLOOKUP(Содержание!$D$4,Список_компаний!$B$8:$I$301,7,0)=0,"Нет","Да"))</f>
        <v/>
      </c>
      <c r="BU20" s="2958" t="str">
        <f t="shared" si="30"/>
        <v>Нет</v>
      </c>
      <c r="BV20" s="2755" t="str">
        <f t="shared" si="31"/>
        <v>проверка</v>
      </c>
      <c r="BW20" s="2772">
        <f t="shared" si="32"/>
        <v>0</v>
      </c>
      <c r="BX20" s="2772">
        <f>SUMIFS(Зарубежная_выручка!C:C,Зарубежная_выручка!I:I,G20,Зарубежная_выручка!F:F,K20,Зарубежная_выручка!E:E,J20)</f>
        <v>0</v>
      </c>
      <c r="BY20" s="2772">
        <f>SUMIFS('90_ОРВГ'!K:K,'90_ОРВГ'!E:E,G20,'90_ОРВГ'!G:G,K20,'90_ОРВГ'!I:I,J20)+SUMIFS('90_ОРВГ'!M:M,'90_ОРВГ'!E:E,G20,'90_ОРВГ'!G:G,K20,'90_ОРВГ'!I:I,J20)+SUMIFS('90_ОРВГ'!K:K,'90_ОРВГ'!R:R,G20,'90_ОРВГ'!G:G,K20,'90_ОРВГ'!I:I,J20)+SUMIFS('90_ОРВГ'!M:M,'90_ОРВГ'!R:R,G20,'90_ОРВГ'!G:G,K20,'90_ОРВГ'!I:I,J20)</f>
        <v>0</v>
      </c>
      <c r="BZ20" s="2772">
        <f>SUMIFS('90_контр'!I:I,'90_контр'!H:H,G20,'90_контр'!C:C,J20)</f>
        <v>0</v>
      </c>
      <c r="CA20" s="3010" t="b">
        <f t="shared" si="33"/>
        <v>1</v>
      </c>
      <c r="CB20" s="2038" t="b">
        <f t="shared" si="43"/>
        <v>1</v>
      </c>
      <c r="CC20" s="2999" t="str">
        <f>IF(CD20=0,"",IF(COUNTIF(CD$9:CD20,CD20)=1,MAX(CC$9:CC19)+1,""))</f>
        <v/>
      </c>
      <c r="CD20" s="2999" t="str">
        <f t="shared" si="34"/>
        <v/>
      </c>
      <c r="CE20" s="2999" t="str">
        <f t="shared" ca="1" si="10"/>
        <v/>
      </c>
      <c r="CL20" s="2038" t="b">
        <f t="shared" si="35"/>
        <v>1</v>
      </c>
      <c r="CM20" s="2772">
        <f>SUMIFS(НЗП_ГП!$H$10:$H$5000,НЗП_ГП!$D$10:$D$5000,J20)</f>
        <v>0</v>
      </c>
      <c r="CN20" s="2772">
        <f t="shared" si="36"/>
        <v>0</v>
      </c>
      <c r="CQ20" s="2038" t="b">
        <f t="shared" si="37"/>
        <v>1</v>
      </c>
      <c r="CR20" s="2038"/>
      <c r="CS20" s="2038" t="b">
        <f>IF(ISBLANK(D20),TRUE,IF(Долгосроч_договоры!AH20&lt;&gt;0,IF(OR(M20=46,M20="46"),TRUE,FALSE),TRUE))</f>
        <v>1</v>
      </c>
      <c r="CT20" s="2038"/>
      <c r="CU20" s="2038"/>
      <c r="CW20" s="2038" t="b">
        <f t="shared" ca="1" si="38"/>
        <v>1</v>
      </c>
      <c r="CX20" s="2038" t="b">
        <f t="shared" ca="1" si="39"/>
        <v>1</v>
      </c>
      <c r="CY20" s="2038" t="b">
        <f t="shared" ca="1" si="40"/>
        <v>1</v>
      </c>
      <c r="DA20" s="2038" t="b">
        <f t="shared" si="41"/>
        <v>1</v>
      </c>
      <c r="DC20" s="2038" t="b">
        <f t="shared" si="42"/>
        <v>1</v>
      </c>
      <c r="DD20" s="2772">
        <f>SUMIFS('46'!O:O,'46'!_xlnm.Print_Titles,C20,'46'!J:J,J20)</f>
        <v>0</v>
      </c>
      <c r="DE20" s="2772">
        <f>SUMIFS('46'!Z:Z,'46'!_xlnm.Print_Titles,C20,'46'!J:J,J20)+SUMIFS('46'!AA:AA,'46'!_xlnm.Print_Titles,C20,'46'!J:J,J20)</f>
        <v>0</v>
      </c>
    </row>
    <row r="21" spans="1:109" s="24" customFormat="1">
      <c r="A21" s="2804" t="str">
        <f t="shared" si="11"/>
        <v>R55=;R50=;R42=;R57=;R4=;R11=;R21=;R24=;R23=;R14=;R16=;R18=;R19=;R2=;R37=;R36=;R43=;R48=;R51=;COM=</v>
      </c>
      <c r="B21" s="207" t="b">
        <f t="shared" si="12"/>
        <v>1</v>
      </c>
      <c r="C21" s="1868" t="str">
        <f t="shared" si="13"/>
        <v/>
      </c>
      <c r="D21" s="1637"/>
      <c r="E21" s="1637"/>
      <c r="F21" s="2517"/>
      <c r="G21" s="2517"/>
      <c r="H21" s="1638"/>
      <c r="I21" s="1638"/>
      <c r="J21" s="1637"/>
      <c r="K21" s="1637"/>
      <c r="L21" s="1637"/>
      <c r="M21" s="2241"/>
      <c r="N21" s="2243"/>
      <c r="O21" s="2241"/>
      <c r="P21" s="2243"/>
      <c r="Q21" s="2243"/>
      <c r="R21" s="2249" t="str">
        <f t="shared" si="4"/>
        <v>-</v>
      </c>
      <c r="S21" s="2248"/>
      <c r="T21" s="2243"/>
      <c r="U21" s="876"/>
      <c r="V21" s="876"/>
      <c r="W21" s="2252"/>
      <c r="X21" s="2252"/>
      <c r="Y21" s="2252"/>
      <c r="Z21" s="2252"/>
      <c r="AA21" s="2253"/>
      <c r="AB21" s="2240" t="str">
        <f t="shared" si="5"/>
        <v>-</v>
      </c>
      <c r="AC21" s="2252"/>
      <c r="AD21" s="2252"/>
      <c r="AE21" s="2252"/>
      <c r="AF21" s="2252"/>
      <c r="AG21" s="2252"/>
      <c r="AH21" s="2252"/>
      <c r="AI21" s="2884"/>
      <c r="AJ21" s="1637"/>
      <c r="AK21" s="2517"/>
      <c r="AL21" s="2517"/>
      <c r="AM21" s="2770"/>
      <c r="AN21" s="2596" t="b">
        <f>ABS(IF(AX21="Компания внешняя",(SUMIFS($Y:$Y,$C:$C,$C21,M:M,"46")+SUMIFS($Z:$Z,$C:$C,$C21,M:M,"46")+SUMIFS('60,62,63,76_контр'!V:V,'60,62,63,76_контр'!G:G,Долгосроч_договоры!D21,'60,62,63,76_контр'!E:E,Долгосроч_договоры!F21,'60,62,63,76_контр'!H:H,Долгосроч_договоры!H21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1" s="24" t="b">
        <f>SUMIFS($S:$S,$J:$J,$J21,M:M,"20_23_25_29")&lt;=SUMIFS(НЗП_ГП!$H:$H,НЗП_ГП!$D:$D,$J21,НЗП_ГП!$C:$C,"20_23_25_29")</f>
        <v>1</v>
      </c>
      <c r="AP21" s="1575">
        <f t="shared" si="6"/>
        <v>0</v>
      </c>
      <c r="AQ21" s="2038" t="b">
        <f t="shared" si="14"/>
        <v>1</v>
      </c>
      <c r="AR21" s="2038" t="b">
        <f t="shared" si="15"/>
        <v>1</v>
      </c>
      <c r="AS21" s="2038" t="b">
        <f t="shared" si="16"/>
        <v>1</v>
      </c>
      <c r="AT21" s="2103" t="b">
        <f t="shared" si="7"/>
        <v>1</v>
      </c>
      <c r="AU21" s="2262" t="b">
        <f t="shared" si="44"/>
        <v>1</v>
      </c>
      <c r="AV21" s="24" t="str">
        <f t="shared" si="18"/>
        <v>-</v>
      </c>
      <c r="AW21" s="24" t="str">
        <f t="shared" si="19"/>
        <v>-</v>
      </c>
      <c r="AX21" s="24" t="str">
        <f t="shared" si="8"/>
        <v/>
      </c>
      <c r="AY21" s="2038" t="b">
        <f t="shared" si="20"/>
        <v>1</v>
      </c>
      <c r="AZ21" s="2038"/>
      <c r="BA21" s="2772">
        <f>SUMIFS('60,62,63,76_контр'!V:V,'60,62,63,76_контр'!G:G,D21,'60,62,63,76_контр'!H:H,H21,'60,62,63,76_контр'!I:I,"{255222} Авансы полученные",'60,62,63,76_контр'!N:N,"{20} Краткосрочная")</f>
        <v>0</v>
      </c>
      <c r="BB21" s="2772">
        <f>SUMIFS('60,62,63,76_контр'!V:V,'60,62,63,76_контр'!G:G,D21,'60,62,63,76_контр'!H:H,H21,'60,62,63,76_контр'!I:I,"{255222} Авансы полученные",'60,62,63,76_контр'!N:N,"{10} Долгосрочная")</f>
        <v>0</v>
      </c>
      <c r="BC21" s="2772">
        <f>IF(ISERROR(VLOOKUP(F21,Список_компаний!B:K,7,0)),SUMIFS(Долгосроч_договоры!Y:Y,Долгосроч_договоры!D:D,D21,Долгосроч_договоры!H:H,H21),IF(VLOOKUP(F21,Список_компаний!B:K,7,0)=0,SUMIFS(Долгосроч_договоры!Y:Y,Долгосроч_договоры!D:D,D21,Долгосроч_договоры!H:H,H21),0))</f>
        <v>0</v>
      </c>
      <c r="BD21" s="2772">
        <f>IF(ISERROR(VLOOKUP(F21,Список_компаний!B:K,7,0)),SUMIFS(Долгосроч_договоры!Z:Z,Долгосроч_договоры!D:D,D21,Долгосроч_договоры!H:H,H21),IF(VLOOKUP(F21,Список_компаний!B:K,7,0)=0,SUMIFS(Долгосроч_договоры!Z:Z,Долгосроч_договоры!D:D,D21,Долгосроч_договоры!H:H,H21),0))</f>
        <v>0</v>
      </c>
      <c r="BE21" s="2103" t="b">
        <f t="shared" si="21"/>
        <v>1</v>
      </c>
      <c r="BF21" s="2493" t="b">
        <f t="shared" ca="1" si="22"/>
        <v>1</v>
      </c>
      <c r="BG21" s="2761" t="b">
        <f t="shared" si="23"/>
        <v>1</v>
      </c>
      <c r="BI21" s="24" t="str">
        <f t="shared" si="24"/>
        <v>X</v>
      </c>
      <c r="BJ21" s="2772">
        <f t="shared" si="9"/>
        <v>0</v>
      </c>
      <c r="BK21" s="2772">
        <f>SUMIFS('46'!Z:Z,'46'!C:C,C21)+SUMIFS('46'!AA:AA,'46'!C:C,C21)</f>
        <v>0</v>
      </c>
      <c r="BL21" s="3010" t="b">
        <f t="shared" si="25"/>
        <v>1</v>
      </c>
      <c r="BN21" s="2755">
        <f t="shared" si="26"/>
        <v>0</v>
      </c>
      <c r="BO21" s="2755" t="str">
        <f t="shared" si="27"/>
        <v>-</v>
      </c>
      <c r="BP21" s="2755" t="str">
        <f t="shared" si="28"/>
        <v>Да</v>
      </c>
      <c r="BQ21" s="2958" t="str">
        <f>IF(BO21="-","",IF(VLOOKUP(BO21,Список_компаний!$B$8:$I$301,7,0)=0,"Нет","Да"))</f>
        <v/>
      </c>
      <c r="BR21" s="2958" t="str">
        <f>IF(BO21="-","",VLOOKUP(BO21,Список_компаний!$B$8:$I$301,8,0))</f>
        <v/>
      </c>
      <c r="BS21" s="2958" t="str">
        <f t="shared" si="29"/>
        <v/>
      </c>
      <c r="BT21" s="2958" t="str">
        <f>IF(Содержание!$D$4="-","",IF(VLOOKUP(Содержание!$D$4,Список_компаний!$B$8:$I$301,7,0)=0,"Нет","Да"))</f>
        <v/>
      </c>
      <c r="BU21" s="2958" t="str">
        <f t="shared" si="30"/>
        <v>Нет</v>
      </c>
      <c r="BV21" s="2755" t="str">
        <f t="shared" si="31"/>
        <v>проверка</v>
      </c>
      <c r="BW21" s="2772">
        <f t="shared" si="32"/>
        <v>0</v>
      </c>
      <c r="BX21" s="2772">
        <f>SUMIFS(Зарубежная_выручка!C:C,Зарубежная_выручка!I:I,G21,Зарубежная_выручка!F:F,K21,Зарубежная_выручка!E:E,J21)</f>
        <v>0</v>
      </c>
      <c r="BY21" s="2772">
        <f>SUMIFS('90_ОРВГ'!K:K,'90_ОРВГ'!E:E,G21,'90_ОРВГ'!G:G,K21,'90_ОРВГ'!I:I,J21)+SUMIFS('90_ОРВГ'!M:M,'90_ОРВГ'!E:E,G21,'90_ОРВГ'!G:G,K21,'90_ОРВГ'!I:I,J21)+SUMIFS('90_ОРВГ'!K:K,'90_ОРВГ'!R:R,G21,'90_ОРВГ'!G:G,K21,'90_ОРВГ'!I:I,J21)+SUMIFS('90_ОРВГ'!M:M,'90_ОРВГ'!R:R,G21,'90_ОРВГ'!G:G,K21,'90_ОРВГ'!I:I,J21)</f>
        <v>0</v>
      </c>
      <c r="BZ21" s="2772">
        <f>SUMIFS('90_контр'!I:I,'90_контр'!H:H,G21,'90_контр'!C:C,J21)</f>
        <v>0</v>
      </c>
      <c r="CA21" s="3010" t="b">
        <f t="shared" si="33"/>
        <v>1</v>
      </c>
      <c r="CB21" s="2038" t="b">
        <f t="shared" si="43"/>
        <v>1</v>
      </c>
      <c r="CC21" s="2999" t="str">
        <f>IF(CD21=0,"",IF(COUNTIF(CD$9:CD21,CD21)=1,MAX(CC$9:CC20)+1,""))</f>
        <v/>
      </c>
      <c r="CD21" s="2999" t="str">
        <f t="shared" si="34"/>
        <v/>
      </c>
      <c r="CE21" s="2999" t="str">
        <f t="shared" ca="1" si="10"/>
        <v/>
      </c>
      <c r="CL21" s="2038" t="b">
        <f t="shared" si="35"/>
        <v>1</v>
      </c>
      <c r="CM21" s="2772">
        <f>SUMIFS(НЗП_ГП!$H$10:$H$5000,НЗП_ГП!$D$10:$D$5000,J21)</f>
        <v>0</v>
      </c>
      <c r="CN21" s="2772">
        <f t="shared" si="36"/>
        <v>0</v>
      </c>
      <c r="CQ21" s="2038" t="b">
        <f t="shared" si="37"/>
        <v>1</v>
      </c>
      <c r="CR21" s="2038"/>
      <c r="CS21" s="2038" t="b">
        <f>IF(ISBLANK(D21),TRUE,IF(Долгосроч_договоры!AH21&lt;&gt;0,IF(OR(M21=46,M21="46"),TRUE,FALSE),TRUE))</f>
        <v>1</v>
      </c>
      <c r="CT21" s="2038"/>
      <c r="CU21" s="2038"/>
      <c r="CW21" s="2038" t="b">
        <f t="shared" ca="1" si="38"/>
        <v>1</v>
      </c>
      <c r="CX21" s="2038" t="b">
        <f t="shared" ca="1" si="39"/>
        <v>1</v>
      </c>
      <c r="CY21" s="2038" t="b">
        <f t="shared" ca="1" si="40"/>
        <v>1</v>
      </c>
      <c r="DA21" s="2038" t="b">
        <f t="shared" si="41"/>
        <v>1</v>
      </c>
      <c r="DC21" s="2038" t="b">
        <f t="shared" si="42"/>
        <v>1</v>
      </c>
      <c r="DD21" s="2772">
        <f>SUMIFS('46'!O:O,'46'!_xlnm.Print_Titles,C21,'46'!J:J,J21)</f>
        <v>0</v>
      </c>
      <c r="DE21" s="2772">
        <f>SUMIFS('46'!Z:Z,'46'!_xlnm.Print_Titles,C21,'46'!J:J,J21)+SUMIFS('46'!AA:AA,'46'!_xlnm.Print_Titles,C21,'46'!J:J,J21)</f>
        <v>0</v>
      </c>
    </row>
    <row r="22" spans="1:109" s="24" customFormat="1">
      <c r="A22" s="2804" t="str">
        <f t="shared" si="11"/>
        <v>R55=;R50=;R42=;R57=;R4=;R11=;R21=;R24=;R23=;R14=;R16=;R18=;R19=;R2=;R37=;R36=;R43=;R48=;R51=;COM=</v>
      </c>
      <c r="B22" s="207" t="b">
        <f t="shared" si="12"/>
        <v>1</v>
      </c>
      <c r="C22" s="1868" t="str">
        <f t="shared" si="13"/>
        <v/>
      </c>
      <c r="D22" s="1637"/>
      <c r="E22" s="1637"/>
      <c r="F22" s="2517"/>
      <c r="G22" s="2517"/>
      <c r="H22" s="1638"/>
      <c r="I22" s="1638"/>
      <c r="J22" s="1637"/>
      <c r="K22" s="1637"/>
      <c r="L22" s="1637"/>
      <c r="M22" s="2241"/>
      <c r="N22" s="2243"/>
      <c r="O22" s="2241"/>
      <c r="P22" s="2243"/>
      <c r="Q22" s="2243"/>
      <c r="R22" s="2249" t="str">
        <f t="shared" si="4"/>
        <v>-</v>
      </c>
      <c r="S22" s="2248"/>
      <c r="T22" s="2243"/>
      <c r="U22" s="876"/>
      <c r="V22" s="876"/>
      <c r="W22" s="2252"/>
      <c r="X22" s="2252"/>
      <c r="Y22" s="2252"/>
      <c r="Z22" s="2252"/>
      <c r="AA22" s="2253"/>
      <c r="AB22" s="2240" t="str">
        <f t="shared" si="5"/>
        <v>-</v>
      </c>
      <c r="AC22" s="2252"/>
      <c r="AD22" s="2252"/>
      <c r="AE22" s="2252"/>
      <c r="AF22" s="2252"/>
      <c r="AG22" s="2252"/>
      <c r="AH22" s="2252"/>
      <c r="AI22" s="2884"/>
      <c r="AJ22" s="1637"/>
      <c r="AK22" s="2517"/>
      <c r="AL22" s="2517"/>
      <c r="AM22" s="2770"/>
      <c r="AN22" s="2596" t="b">
        <f>ABS(IF(AX22="Компания внешняя",(SUMIFS($Y:$Y,$C:$C,$C22,M:M,"46")+SUMIFS($Z:$Z,$C:$C,$C22,M:M,"46")+SUMIFS('60,62,63,76_контр'!V:V,'60,62,63,76_контр'!G:G,Долгосроч_договоры!D22,'60,62,63,76_контр'!E:E,Долгосроч_договоры!F22,'60,62,63,76_контр'!H:H,Долгосроч_договоры!H22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2" s="24" t="b">
        <f>SUMIFS($S:$S,$J:$J,$J22,M:M,"20_23_25_29")&lt;=SUMIFS(НЗП_ГП!$H:$H,НЗП_ГП!$D:$D,$J22,НЗП_ГП!$C:$C,"20_23_25_29")</f>
        <v>1</v>
      </c>
      <c r="AP22" s="1575">
        <f t="shared" si="6"/>
        <v>0</v>
      </c>
      <c r="AQ22" s="2038" t="b">
        <f t="shared" si="14"/>
        <v>1</v>
      </c>
      <c r="AR22" s="2038" t="b">
        <f t="shared" si="15"/>
        <v>1</v>
      </c>
      <c r="AS22" s="2038" t="b">
        <f t="shared" si="16"/>
        <v>1</v>
      </c>
      <c r="AT22" s="2103" t="b">
        <f t="shared" si="7"/>
        <v>1</v>
      </c>
      <c r="AU22" s="2262" t="b">
        <f t="shared" si="44"/>
        <v>1</v>
      </c>
      <c r="AV22" s="24" t="str">
        <f t="shared" si="18"/>
        <v>-</v>
      </c>
      <c r="AW22" s="24" t="str">
        <f t="shared" si="19"/>
        <v>-</v>
      </c>
      <c r="AX22" s="24" t="str">
        <f t="shared" si="8"/>
        <v/>
      </c>
      <c r="AY22" s="2038" t="b">
        <f t="shared" si="20"/>
        <v>1</v>
      </c>
      <c r="AZ22" s="2038"/>
      <c r="BA22" s="2772">
        <f>SUMIFS('60,62,63,76_контр'!V:V,'60,62,63,76_контр'!G:G,D22,'60,62,63,76_контр'!H:H,H22,'60,62,63,76_контр'!I:I,"{255222} Авансы полученные",'60,62,63,76_контр'!N:N,"{20} Краткосрочная")</f>
        <v>0</v>
      </c>
      <c r="BB22" s="2772">
        <f>SUMIFS('60,62,63,76_контр'!V:V,'60,62,63,76_контр'!G:G,D22,'60,62,63,76_контр'!H:H,H22,'60,62,63,76_контр'!I:I,"{255222} Авансы полученные",'60,62,63,76_контр'!N:N,"{10} Долгосрочная")</f>
        <v>0</v>
      </c>
      <c r="BC22" s="2772">
        <f>IF(ISERROR(VLOOKUP(F22,Список_компаний!B:K,7,0)),SUMIFS(Долгосроч_договоры!Y:Y,Долгосроч_договоры!D:D,D22,Долгосроч_договоры!H:H,H22),IF(VLOOKUP(F22,Список_компаний!B:K,7,0)=0,SUMIFS(Долгосроч_договоры!Y:Y,Долгосроч_договоры!D:D,D22,Долгосроч_договоры!H:H,H22),0))</f>
        <v>0</v>
      </c>
      <c r="BD22" s="2772">
        <f>IF(ISERROR(VLOOKUP(F22,Список_компаний!B:K,7,0)),SUMIFS(Долгосроч_договоры!Z:Z,Долгосроч_договоры!D:D,D22,Долгосроч_договоры!H:H,H22),IF(VLOOKUP(F22,Список_компаний!B:K,7,0)=0,SUMIFS(Долгосроч_договоры!Z:Z,Долгосроч_договоры!D:D,D22,Долгосроч_договоры!H:H,H22),0))</f>
        <v>0</v>
      </c>
      <c r="BE22" s="2103" t="b">
        <f t="shared" si="21"/>
        <v>1</v>
      </c>
      <c r="BF22" s="2493" t="b">
        <f t="shared" ca="1" si="22"/>
        <v>1</v>
      </c>
      <c r="BG22" s="2761" t="b">
        <f t="shared" si="23"/>
        <v>1</v>
      </c>
      <c r="BI22" s="24" t="str">
        <f t="shared" si="24"/>
        <v>X</v>
      </c>
      <c r="BJ22" s="2772">
        <f t="shared" si="9"/>
        <v>0</v>
      </c>
      <c r="BK22" s="2772">
        <f>SUMIFS('46'!Z:Z,'46'!C:C,C22)+SUMIFS('46'!AA:AA,'46'!C:C,C22)</f>
        <v>0</v>
      </c>
      <c r="BL22" s="3010" t="b">
        <f t="shared" si="25"/>
        <v>1</v>
      </c>
      <c r="BN22" s="2755">
        <f t="shared" si="26"/>
        <v>0</v>
      </c>
      <c r="BO22" s="2755" t="str">
        <f t="shared" si="27"/>
        <v>-</v>
      </c>
      <c r="BP22" s="2755" t="str">
        <f t="shared" si="28"/>
        <v>Да</v>
      </c>
      <c r="BQ22" s="2958" t="str">
        <f>IF(BO22="-","",IF(VLOOKUP(BO22,Список_компаний!$B$8:$I$301,7,0)=0,"Нет","Да"))</f>
        <v/>
      </c>
      <c r="BR22" s="2958" t="str">
        <f>IF(BO22="-","",VLOOKUP(BO22,Список_компаний!$B$8:$I$301,8,0))</f>
        <v/>
      </c>
      <c r="BS22" s="2958" t="str">
        <f t="shared" si="29"/>
        <v/>
      </c>
      <c r="BT22" s="2958" t="str">
        <f>IF(Содержание!$D$4="-","",IF(VLOOKUP(Содержание!$D$4,Список_компаний!$B$8:$I$301,7,0)=0,"Нет","Да"))</f>
        <v/>
      </c>
      <c r="BU22" s="2958" t="str">
        <f t="shared" si="30"/>
        <v>Нет</v>
      </c>
      <c r="BV22" s="2755" t="str">
        <f t="shared" si="31"/>
        <v>проверка</v>
      </c>
      <c r="BW22" s="2772">
        <f t="shared" si="32"/>
        <v>0</v>
      </c>
      <c r="BX22" s="2772">
        <f>SUMIFS(Зарубежная_выручка!C:C,Зарубежная_выручка!I:I,G22,Зарубежная_выручка!F:F,K22,Зарубежная_выручка!E:E,J22)</f>
        <v>0</v>
      </c>
      <c r="BY22" s="2772">
        <f>SUMIFS('90_ОРВГ'!K:K,'90_ОРВГ'!E:E,G22,'90_ОРВГ'!G:G,K22,'90_ОРВГ'!I:I,J22)+SUMIFS('90_ОРВГ'!M:M,'90_ОРВГ'!E:E,G22,'90_ОРВГ'!G:G,K22,'90_ОРВГ'!I:I,J22)+SUMIFS('90_ОРВГ'!K:K,'90_ОРВГ'!R:R,G22,'90_ОРВГ'!G:G,K22,'90_ОРВГ'!I:I,J22)+SUMIFS('90_ОРВГ'!M:M,'90_ОРВГ'!R:R,G22,'90_ОРВГ'!G:G,K22,'90_ОРВГ'!I:I,J22)</f>
        <v>0</v>
      </c>
      <c r="BZ22" s="2772">
        <f>SUMIFS('90_контр'!I:I,'90_контр'!H:H,G22,'90_контр'!C:C,J22)</f>
        <v>0</v>
      </c>
      <c r="CA22" s="3010" t="b">
        <f t="shared" si="33"/>
        <v>1</v>
      </c>
      <c r="CB22" s="2038" t="b">
        <f t="shared" si="43"/>
        <v>1</v>
      </c>
      <c r="CC22" s="2999" t="str">
        <f>IF(CD22=0,"",IF(COUNTIF(CD$9:CD22,CD22)=1,MAX(CC$9:CC21)+1,""))</f>
        <v/>
      </c>
      <c r="CD22" s="2999" t="str">
        <f t="shared" si="34"/>
        <v/>
      </c>
      <c r="CE22" s="2999" t="str">
        <f t="shared" ca="1" si="10"/>
        <v/>
      </c>
      <c r="CL22" s="2038" t="b">
        <f t="shared" si="35"/>
        <v>1</v>
      </c>
      <c r="CM22" s="2772">
        <f>SUMIFS(НЗП_ГП!$H$10:$H$5000,НЗП_ГП!$D$10:$D$5000,J22)</f>
        <v>0</v>
      </c>
      <c r="CN22" s="2772">
        <f t="shared" si="36"/>
        <v>0</v>
      </c>
      <c r="CQ22" s="2038" t="b">
        <f t="shared" si="37"/>
        <v>1</v>
      </c>
      <c r="CR22" s="2038"/>
      <c r="CS22" s="2038" t="b">
        <f>IF(ISBLANK(D22),TRUE,IF(Долгосроч_договоры!AH22&lt;&gt;0,IF(OR(M22=46,M22="46"),TRUE,FALSE),TRUE))</f>
        <v>1</v>
      </c>
      <c r="CT22" s="2038"/>
      <c r="CU22" s="2038"/>
      <c r="CW22" s="2038" t="b">
        <f t="shared" ca="1" si="38"/>
        <v>1</v>
      </c>
      <c r="CX22" s="2038" t="b">
        <f t="shared" ca="1" si="39"/>
        <v>1</v>
      </c>
      <c r="CY22" s="2038" t="b">
        <f t="shared" ca="1" si="40"/>
        <v>1</v>
      </c>
      <c r="DA22" s="2038" t="b">
        <f t="shared" si="41"/>
        <v>1</v>
      </c>
      <c r="DC22" s="2038" t="b">
        <f t="shared" si="42"/>
        <v>1</v>
      </c>
      <c r="DD22" s="2772">
        <f>SUMIFS('46'!O:O,'46'!_xlnm.Print_Titles,C22,'46'!J:J,J22)</f>
        <v>0</v>
      </c>
      <c r="DE22" s="2772">
        <f>SUMIFS('46'!Z:Z,'46'!_xlnm.Print_Titles,C22,'46'!J:J,J22)+SUMIFS('46'!AA:AA,'46'!_xlnm.Print_Titles,C22,'46'!J:J,J22)</f>
        <v>0</v>
      </c>
    </row>
    <row r="23" spans="1:109" s="24" customFormat="1">
      <c r="A23" s="2804" t="str">
        <f t="shared" si="11"/>
        <v>R55=;R50=;R42=;R57=;R4=;R11=;R21=;R24=;R23=;R14=;R16=;R18=;R19=;R2=;R37=;R36=;R43=;R48=;R51=;COM=</v>
      </c>
      <c r="B23" s="207" t="b">
        <f t="shared" si="12"/>
        <v>1</v>
      </c>
      <c r="C23" s="1868" t="str">
        <f t="shared" si="13"/>
        <v/>
      </c>
      <c r="D23" s="1637"/>
      <c r="E23" s="1637"/>
      <c r="F23" s="2517"/>
      <c r="G23" s="2517"/>
      <c r="H23" s="1638"/>
      <c r="I23" s="1638"/>
      <c r="J23" s="1637"/>
      <c r="K23" s="1637"/>
      <c r="L23" s="1637"/>
      <c r="M23" s="2241"/>
      <c r="N23" s="2243"/>
      <c r="O23" s="2241"/>
      <c r="P23" s="2243"/>
      <c r="Q23" s="2243"/>
      <c r="R23" s="2249" t="str">
        <f t="shared" si="4"/>
        <v>-</v>
      </c>
      <c r="S23" s="2248"/>
      <c r="T23" s="2243"/>
      <c r="U23" s="876"/>
      <c r="V23" s="876"/>
      <c r="W23" s="2252"/>
      <c r="X23" s="2252"/>
      <c r="Y23" s="2252"/>
      <c r="Z23" s="2252"/>
      <c r="AA23" s="2253"/>
      <c r="AB23" s="2240" t="str">
        <f t="shared" si="5"/>
        <v>-</v>
      </c>
      <c r="AC23" s="2252"/>
      <c r="AD23" s="2252"/>
      <c r="AE23" s="2252"/>
      <c r="AF23" s="2252"/>
      <c r="AG23" s="2252"/>
      <c r="AH23" s="2252"/>
      <c r="AI23" s="2884"/>
      <c r="AJ23" s="1637"/>
      <c r="AK23" s="2517"/>
      <c r="AL23" s="2517"/>
      <c r="AM23" s="2770"/>
      <c r="AN23" s="2596" t="b">
        <f>ABS(IF(AX23="Компания внешняя",(SUMIFS($Y:$Y,$C:$C,$C23,M:M,"46")+SUMIFS($Z:$Z,$C:$C,$C23,M:M,"46")+SUMIFS('60,62,63,76_контр'!V:V,'60,62,63,76_контр'!G:G,Долгосроч_договоры!D23,'60,62,63,76_контр'!E:E,Долгосроч_договоры!F23,'60,62,63,76_контр'!H:H,Долгосроч_договоры!H23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3" s="24" t="b">
        <f>SUMIFS($S:$S,$J:$J,$J23,M:M,"20_23_25_29")&lt;=SUMIFS(НЗП_ГП!$H:$H,НЗП_ГП!$D:$D,$J23,НЗП_ГП!$C:$C,"20_23_25_29")</f>
        <v>1</v>
      </c>
      <c r="AP23" s="1575">
        <f t="shared" si="6"/>
        <v>0</v>
      </c>
      <c r="AQ23" s="2038" t="b">
        <f t="shared" si="14"/>
        <v>1</v>
      </c>
      <c r="AR23" s="2038" t="b">
        <f t="shared" si="15"/>
        <v>1</v>
      </c>
      <c r="AS23" s="2038" t="b">
        <f t="shared" si="16"/>
        <v>1</v>
      </c>
      <c r="AT23" s="2103" t="b">
        <f t="shared" si="7"/>
        <v>1</v>
      </c>
      <c r="AU23" s="2262" t="b">
        <f t="shared" si="44"/>
        <v>1</v>
      </c>
      <c r="AV23" s="24" t="str">
        <f t="shared" si="18"/>
        <v>-</v>
      </c>
      <c r="AW23" s="24" t="str">
        <f t="shared" si="19"/>
        <v>-</v>
      </c>
      <c r="AX23" s="24" t="str">
        <f t="shared" si="8"/>
        <v/>
      </c>
      <c r="AY23" s="2038" t="b">
        <f t="shared" si="20"/>
        <v>1</v>
      </c>
      <c r="AZ23" s="2038"/>
      <c r="BA23" s="2772">
        <f>SUMIFS('60,62,63,76_контр'!V:V,'60,62,63,76_контр'!G:G,D23,'60,62,63,76_контр'!H:H,H23,'60,62,63,76_контр'!I:I,"{255222} Авансы полученные",'60,62,63,76_контр'!N:N,"{20} Краткосрочная")</f>
        <v>0</v>
      </c>
      <c r="BB23" s="2772">
        <f>SUMIFS('60,62,63,76_контр'!V:V,'60,62,63,76_контр'!G:G,D23,'60,62,63,76_контр'!H:H,H23,'60,62,63,76_контр'!I:I,"{255222} Авансы полученные",'60,62,63,76_контр'!N:N,"{10} Долгосрочная")</f>
        <v>0</v>
      </c>
      <c r="BC23" s="2772">
        <f>IF(ISERROR(VLOOKUP(F23,Список_компаний!B:K,7,0)),SUMIFS(Долгосроч_договоры!Y:Y,Долгосроч_договоры!D:D,D23,Долгосроч_договоры!H:H,H23),IF(VLOOKUP(F23,Список_компаний!B:K,7,0)=0,SUMIFS(Долгосроч_договоры!Y:Y,Долгосроч_договоры!D:D,D23,Долгосроч_договоры!H:H,H23),0))</f>
        <v>0</v>
      </c>
      <c r="BD23" s="2772">
        <f>IF(ISERROR(VLOOKUP(F23,Список_компаний!B:K,7,0)),SUMIFS(Долгосроч_договоры!Z:Z,Долгосроч_договоры!D:D,D23,Долгосроч_договоры!H:H,H23),IF(VLOOKUP(F23,Список_компаний!B:K,7,0)=0,SUMIFS(Долгосроч_договоры!Z:Z,Долгосроч_договоры!D:D,D23,Долгосроч_договоры!H:H,H23),0))</f>
        <v>0</v>
      </c>
      <c r="BE23" s="2103" t="b">
        <f t="shared" si="21"/>
        <v>1</v>
      </c>
      <c r="BF23" s="2493" t="b">
        <f t="shared" ca="1" si="22"/>
        <v>1</v>
      </c>
      <c r="BG23" s="2761" t="b">
        <f t="shared" si="23"/>
        <v>1</v>
      </c>
      <c r="BI23" s="24" t="str">
        <f t="shared" si="24"/>
        <v>X</v>
      </c>
      <c r="BJ23" s="2772">
        <f t="shared" si="9"/>
        <v>0</v>
      </c>
      <c r="BK23" s="2772">
        <f>SUMIFS('46'!Z:Z,'46'!C:C,C23)+SUMIFS('46'!AA:AA,'46'!C:C,C23)</f>
        <v>0</v>
      </c>
      <c r="BL23" s="3010" t="b">
        <f t="shared" si="25"/>
        <v>1</v>
      </c>
      <c r="BN23" s="2755">
        <f t="shared" si="26"/>
        <v>0</v>
      </c>
      <c r="BO23" s="2755" t="str">
        <f t="shared" si="27"/>
        <v>-</v>
      </c>
      <c r="BP23" s="2755" t="str">
        <f t="shared" si="28"/>
        <v>Да</v>
      </c>
      <c r="BQ23" s="2958" t="str">
        <f>IF(BO23="-","",IF(VLOOKUP(BO23,Список_компаний!$B$8:$I$301,7,0)=0,"Нет","Да"))</f>
        <v/>
      </c>
      <c r="BR23" s="2958" t="str">
        <f>IF(BO23="-","",VLOOKUP(BO23,Список_компаний!$B$8:$I$301,8,0))</f>
        <v/>
      </c>
      <c r="BS23" s="2958" t="str">
        <f t="shared" si="29"/>
        <v/>
      </c>
      <c r="BT23" s="2958" t="str">
        <f>IF(Содержание!$D$4="-","",IF(VLOOKUP(Содержание!$D$4,Список_компаний!$B$8:$I$301,7,0)=0,"Нет","Да"))</f>
        <v/>
      </c>
      <c r="BU23" s="2958" t="str">
        <f t="shared" si="30"/>
        <v>Нет</v>
      </c>
      <c r="BV23" s="2755" t="str">
        <f t="shared" si="31"/>
        <v>проверка</v>
      </c>
      <c r="BW23" s="2772">
        <f t="shared" si="32"/>
        <v>0</v>
      </c>
      <c r="BX23" s="2772">
        <f>SUMIFS(Зарубежная_выручка!C:C,Зарубежная_выручка!I:I,G23,Зарубежная_выручка!F:F,K23,Зарубежная_выручка!E:E,J23)</f>
        <v>0</v>
      </c>
      <c r="BY23" s="2772">
        <f>SUMIFS('90_ОРВГ'!K:K,'90_ОРВГ'!E:E,G23,'90_ОРВГ'!G:G,K23,'90_ОРВГ'!I:I,J23)+SUMIFS('90_ОРВГ'!M:M,'90_ОРВГ'!E:E,G23,'90_ОРВГ'!G:G,K23,'90_ОРВГ'!I:I,J23)+SUMIFS('90_ОРВГ'!K:K,'90_ОРВГ'!R:R,G23,'90_ОРВГ'!G:G,K23,'90_ОРВГ'!I:I,J23)+SUMIFS('90_ОРВГ'!M:M,'90_ОРВГ'!R:R,G23,'90_ОРВГ'!G:G,K23,'90_ОРВГ'!I:I,J23)</f>
        <v>0</v>
      </c>
      <c r="BZ23" s="2772">
        <f>SUMIFS('90_контр'!I:I,'90_контр'!H:H,G23,'90_контр'!C:C,J23)</f>
        <v>0</v>
      </c>
      <c r="CA23" s="3010" t="b">
        <f t="shared" si="33"/>
        <v>1</v>
      </c>
      <c r="CB23" s="2038" t="b">
        <f t="shared" si="43"/>
        <v>1</v>
      </c>
      <c r="CC23" s="2999" t="str">
        <f>IF(CD23=0,"",IF(COUNTIF(CD$9:CD23,CD23)=1,MAX(CC$9:CC22)+1,""))</f>
        <v/>
      </c>
      <c r="CD23" s="2999" t="str">
        <f t="shared" si="34"/>
        <v/>
      </c>
      <c r="CE23" s="2999" t="str">
        <f t="shared" ca="1" si="10"/>
        <v/>
      </c>
      <c r="CL23" s="2038" t="b">
        <f t="shared" si="35"/>
        <v>1</v>
      </c>
      <c r="CM23" s="2772">
        <f>SUMIFS(НЗП_ГП!$H$10:$H$5000,НЗП_ГП!$D$10:$D$5000,J23)</f>
        <v>0</v>
      </c>
      <c r="CN23" s="2772">
        <f t="shared" si="36"/>
        <v>0</v>
      </c>
      <c r="CQ23" s="2038" t="b">
        <f t="shared" si="37"/>
        <v>1</v>
      </c>
      <c r="CR23" s="2038"/>
      <c r="CS23" s="2038" t="b">
        <f>IF(ISBLANK(D23),TRUE,IF(Долгосроч_договоры!AH23&lt;&gt;0,IF(OR(M23=46,M23="46"),TRUE,FALSE),TRUE))</f>
        <v>1</v>
      </c>
      <c r="CT23" s="2038"/>
      <c r="CU23" s="2038"/>
      <c r="CW23" s="2038" t="b">
        <f t="shared" ca="1" si="38"/>
        <v>1</v>
      </c>
      <c r="CX23" s="2038" t="b">
        <f t="shared" ca="1" si="39"/>
        <v>1</v>
      </c>
      <c r="CY23" s="2038" t="b">
        <f t="shared" ca="1" si="40"/>
        <v>1</v>
      </c>
      <c r="DA23" s="2038" t="b">
        <f t="shared" si="41"/>
        <v>1</v>
      </c>
      <c r="DC23" s="2038" t="b">
        <f t="shared" si="42"/>
        <v>1</v>
      </c>
      <c r="DD23" s="2772">
        <f>SUMIFS('46'!O:O,'46'!_xlnm.Print_Titles,C23,'46'!J:J,J23)</f>
        <v>0</v>
      </c>
      <c r="DE23" s="2772">
        <f>SUMIFS('46'!Z:Z,'46'!_xlnm.Print_Titles,C23,'46'!J:J,J23)+SUMIFS('46'!AA:AA,'46'!_xlnm.Print_Titles,C23,'46'!J:J,J23)</f>
        <v>0</v>
      </c>
    </row>
    <row r="24" spans="1:109" s="24" customFormat="1">
      <c r="A24" s="2804" t="str">
        <f t="shared" si="11"/>
        <v>R55=;R50=;R42=;R57=;R4=;R11=;R21=;R24=;R23=;R14=;R16=;R18=;R19=;R2=;R37=;R36=;R43=;R48=;R51=;COM=</v>
      </c>
      <c r="B24" s="207" t="b">
        <f t="shared" si="12"/>
        <v>1</v>
      </c>
      <c r="C24" s="1868" t="str">
        <f t="shared" si="13"/>
        <v/>
      </c>
      <c r="D24" s="1637"/>
      <c r="E24" s="1637"/>
      <c r="F24" s="2517"/>
      <c r="G24" s="2517"/>
      <c r="H24" s="1638"/>
      <c r="I24" s="1638"/>
      <c r="J24" s="1637"/>
      <c r="K24" s="1637"/>
      <c r="L24" s="1637"/>
      <c r="M24" s="2241"/>
      <c r="N24" s="2243"/>
      <c r="O24" s="2241"/>
      <c r="P24" s="2243"/>
      <c r="Q24" s="2243"/>
      <c r="R24" s="2249" t="str">
        <f t="shared" si="4"/>
        <v>-</v>
      </c>
      <c r="S24" s="2248"/>
      <c r="T24" s="2243"/>
      <c r="U24" s="876"/>
      <c r="V24" s="876"/>
      <c r="W24" s="2252"/>
      <c r="X24" s="2252"/>
      <c r="Y24" s="2252"/>
      <c r="Z24" s="2252"/>
      <c r="AA24" s="2253"/>
      <c r="AB24" s="2240" t="str">
        <f t="shared" si="5"/>
        <v>-</v>
      </c>
      <c r="AC24" s="2252"/>
      <c r="AD24" s="2252"/>
      <c r="AE24" s="2252"/>
      <c r="AF24" s="2252"/>
      <c r="AG24" s="2252"/>
      <c r="AH24" s="2252"/>
      <c r="AI24" s="2884"/>
      <c r="AJ24" s="1637"/>
      <c r="AK24" s="2517"/>
      <c r="AL24" s="2517"/>
      <c r="AM24" s="2770"/>
      <c r="AN24" s="2596" t="b">
        <f>ABS(IF(AX24="Компания внешняя",(SUMIFS($Y:$Y,$C:$C,$C24,M:M,"46")+SUMIFS($Z:$Z,$C:$C,$C24,M:M,"46")+SUMIFS('60,62,63,76_контр'!V:V,'60,62,63,76_контр'!G:G,Долгосроч_договоры!D24,'60,62,63,76_контр'!E:E,Долгосроч_договоры!F24,'60,62,63,76_контр'!H:H,Долгосроч_договоры!H24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4" s="24" t="b">
        <f>SUMIFS($S:$S,$J:$J,$J24,M:M,"20_23_25_29")&lt;=SUMIFS(НЗП_ГП!$H:$H,НЗП_ГП!$D:$D,$J24,НЗП_ГП!$C:$C,"20_23_25_29")</f>
        <v>1</v>
      </c>
      <c r="AP24" s="1575">
        <f t="shared" si="6"/>
        <v>0</v>
      </c>
      <c r="AQ24" s="2038" t="b">
        <f t="shared" si="14"/>
        <v>1</v>
      </c>
      <c r="AR24" s="2038" t="b">
        <f t="shared" si="15"/>
        <v>1</v>
      </c>
      <c r="AS24" s="2038" t="b">
        <f t="shared" si="16"/>
        <v>1</v>
      </c>
      <c r="AT24" s="2103" t="b">
        <f t="shared" si="7"/>
        <v>1</v>
      </c>
      <c r="AU24" s="2262" t="b">
        <f t="shared" si="44"/>
        <v>1</v>
      </c>
      <c r="AV24" s="24" t="str">
        <f t="shared" si="18"/>
        <v>-</v>
      </c>
      <c r="AW24" s="24" t="str">
        <f t="shared" si="19"/>
        <v>-</v>
      </c>
      <c r="AX24" s="24" t="str">
        <f t="shared" si="8"/>
        <v/>
      </c>
      <c r="AY24" s="2038" t="b">
        <f t="shared" si="20"/>
        <v>1</v>
      </c>
      <c r="AZ24" s="2038"/>
      <c r="BA24" s="2772">
        <f>SUMIFS('60,62,63,76_контр'!V:V,'60,62,63,76_контр'!G:G,D24,'60,62,63,76_контр'!H:H,H24,'60,62,63,76_контр'!I:I,"{255222} Авансы полученные",'60,62,63,76_контр'!N:N,"{20} Краткосрочная")</f>
        <v>0</v>
      </c>
      <c r="BB24" s="2772">
        <f>SUMIFS('60,62,63,76_контр'!V:V,'60,62,63,76_контр'!G:G,D24,'60,62,63,76_контр'!H:H,H24,'60,62,63,76_контр'!I:I,"{255222} Авансы полученные",'60,62,63,76_контр'!N:N,"{10} Долгосрочная")</f>
        <v>0</v>
      </c>
      <c r="BC24" s="2772">
        <f>IF(ISERROR(VLOOKUP(F24,Список_компаний!B:K,7,0)),SUMIFS(Долгосроч_договоры!Y:Y,Долгосроч_договоры!D:D,D24,Долгосроч_договоры!H:H,H24),IF(VLOOKUP(F24,Список_компаний!B:K,7,0)=0,SUMIFS(Долгосроч_договоры!Y:Y,Долгосроч_договоры!D:D,D24,Долгосроч_договоры!H:H,H24),0))</f>
        <v>0</v>
      </c>
      <c r="BD24" s="2772">
        <f>IF(ISERROR(VLOOKUP(F24,Список_компаний!B:K,7,0)),SUMIFS(Долгосроч_договоры!Z:Z,Долгосроч_договоры!D:D,D24,Долгосроч_договоры!H:H,H24),IF(VLOOKUP(F24,Список_компаний!B:K,7,0)=0,SUMIFS(Долгосроч_договоры!Z:Z,Долгосроч_договоры!D:D,D24,Долгосроч_договоры!H:H,H24),0))</f>
        <v>0</v>
      </c>
      <c r="BE24" s="2103" t="b">
        <f t="shared" si="21"/>
        <v>1</v>
      </c>
      <c r="BF24" s="2493" t="b">
        <f t="shared" ca="1" si="22"/>
        <v>1</v>
      </c>
      <c r="BG24" s="2761" t="b">
        <f t="shared" si="23"/>
        <v>1</v>
      </c>
      <c r="BI24" s="24" t="str">
        <f t="shared" si="24"/>
        <v>X</v>
      </c>
      <c r="BJ24" s="2772">
        <f t="shared" si="9"/>
        <v>0</v>
      </c>
      <c r="BK24" s="2772">
        <f>SUMIFS('46'!Z:Z,'46'!C:C,C24)+SUMIFS('46'!AA:AA,'46'!C:C,C24)</f>
        <v>0</v>
      </c>
      <c r="BL24" s="3010" t="b">
        <f t="shared" si="25"/>
        <v>1</v>
      </c>
      <c r="BN24" s="2755">
        <f t="shared" si="26"/>
        <v>0</v>
      </c>
      <c r="BO24" s="2755" t="str">
        <f t="shared" si="27"/>
        <v>-</v>
      </c>
      <c r="BP24" s="2755" t="str">
        <f t="shared" si="28"/>
        <v>Да</v>
      </c>
      <c r="BQ24" s="2958" t="str">
        <f>IF(BO24="-","",IF(VLOOKUP(BO24,Список_компаний!$B$8:$I$301,7,0)=0,"Нет","Да"))</f>
        <v/>
      </c>
      <c r="BR24" s="2958" t="str">
        <f>IF(BO24="-","",VLOOKUP(BO24,Список_компаний!$B$8:$I$301,8,0))</f>
        <v/>
      </c>
      <c r="BS24" s="2958" t="str">
        <f t="shared" si="29"/>
        <v/>
      </c>
      <c r="BT24" s="2958" t="str">
        <f>IF(Содержание!$D$4="-","",IF(VLOOKUP(Содержание!$D$4,Список_компаний!$B$8:$I$301,7,0)=0,"Нет","Да"))</f>
        <v/>
      </c>
      <c r="BU24" s="2958" t="str">
        <f t="shared" si="30"/>
        <v>Нет</v>
      </c>
      <c r="BV24" s="2755" t="str">
        <f t="shared" si="31"/>
        <v>проверка</v>
      </c>
      <c r="BW24" s="2772">
        <f t="shared" si="32"/>
        <v>0</v>
      </c>
      <c r="BX24" s="2772">
        <f>SUMIFS(Зарубежная_выручка!C:C,Зарубежная_выручка!I:I,G24,Зарубежная_выручка!F:F,K24,Зарубежная_выручка!E:E,J24)</f>
        <v>0</v>
      </c>
      <c r="BY24" s="2772">
        <f>SUMIFS('90_ОРВГ'!K:K,'90_ОРВГ'!E:E,G24,'90_ОРВГ'!G:G,K24,'90_ОРВГ'!I:I,J24)+SUMIFS('90_ОРВГ'!M:M,'90_ОРВГ'!E:E,G24,'90_ОРВГ'!G:G,K24,'90_ОРВГ'!I:I,J24)+SUMIFS('90_ОРВГ'!K:K,'90_ОРВГ'!R:R,G24,'90_ОРВГ'!G:G,K24,'90_ОРВГ'!I:I,J24)+SUMIFS('90_ОРВГ'!M:M,'90_ОРВГ'!R:R,G24,'90_ОРВГ'!G:G,K24,'90_ОРВГ'!I:I,J24)</f>
        <v>0</v>
      </c>
      <c r="BZ24" s="2772">
        <f>SUMIFS('90_контр'!I:I,'90_контр'!H:H,G24,'90_контр'!C:C,J24)</f>
        <v>0</v>
      </c>
      <c r="CA24" s="3010" t="b">
        <f t="shared" si="33"/>
        <v>1</v>
      </c>
      <c r="CB24" s="2038" t="b">
        <f t="shared" si="43"/>
        <v>1</v>
      </c>
      <c r="CC24" s="2999" t="str">
        <f>IF(CD24=0,"",IF(COUNTIF(CD$9:CD24,CD24)=1,MAX(CC$9:CC23)+1,""))</f>
        <v/>
      </c>
      <c r="CD24" s="2999" t="str">
        <f t="shared" si="34"/>
        <v/>
      </c>
      <c r="CE24" s="2999" t="str">
        <f t="shared" ca="1" si="10"/>
        <v/>
      </c>
      <c r="CL24" s="2038" t="b">
        <f t="shared" si="35"/>
        <v>1</v>
      </c>
      <c r="CM24" s="2772">
        <f>SUMIFS(НЗП_ГП!$H$10:$H$5000,НЗП_ГП!$D$10:$D$5000,J24)</f>
        <v>0</v>
      </c>
      <c r="CN24" s="2772">
        <f t="shared" si="36"/>
        <v>0</v>
      </c>
      <c r="CQ24" s="2038" t="b">
        <f t="shared" si="37"/>
        <v>1</v>
      </c>
      <c r="CR24" s="2038"/>
      <c r="CS24" s="2038" t="b">
        <f>IF(ISBLANK(D24),TRUE,IF(Долгосроч_договоры!AH24&lt;&gt;0,IF(OR(M24=46,M24="46"),TRUE,FALSE),TRUE))</f>
        <v>1</v>
      </c>
      <c r="CT24" s="2038"/>
      <c r="CU24" s="2038"/>
      <c r="CW24" s="2038" t="b">
        <f t="shared" ca="1" si="38"/>
        <v>1</v>
      </c>
      <c r="CX24" s="2038" t="b">
        <f t="shared" ca="1" si="39"/>
        <v>1</v>
      </c>
      <c r="CY24" s="2038" t="b">
        <f t="shared" ca="1" si="40"/>
        <v>1</v>
      </c>
      <c r="DA24" s="2038" t="b">
        <f t="shared" si="41"/>
        <v>1</v>
      </c>
      <c r="DC24" s="2038" t="b">
        <f t="shared" si="42"/>
        <v>1</v>
      </c>
      <c r="DD24" s="2772">
        <f>SUMIFS('46'!O:O,'46'!_xlnm.Print_Titles,C24,'46'!J:J,J24)</f>
        <v>0</v>
      </c>
      <c r="DE24" s="2772">
        <f>SUMIFS('46'!Z:Z,'46'!_xlnm.Print_Titles,C24,'46'!J:J,J24)+SUMIFS('46'!AA:AA,'46'!_xlnm.Print_Titles,C24,'46'!J:J,J24)</f>
        <v>0</v>
      </c>
    </row>
    <row r="25" spans="1:109" s="24" customFormat="1">
      <c r="A25" s="2804" t="str">
        <f t="shared" si="11"/>
        <v>R55=;R50=;R42=;R57=;R4=;R11=;R21=;R24=;R23=;R14=;R16=;R18=;R19=;R2=;R37=;R36=;R43=;R48=;R51=;COM=</v>
      </c>
      <c r="B25" s="207" t="b">
        <f t="shared" si="12"/>
        <v>1</v>
      </c>
      <c r="C25" s="1868" t="str">
        <f t="shared" si="13"/>
        <v/>
      </c>
      <c r="D25" s="1637"/>
      <c r="E25" s="1637"/>
      <c r="F25" s="2517"/>
      <c r="G25" s="2517"/>
      <c r="H25" s="1638"/>
      <c r="I25" s="1638"/>
      <c r="J25" s="1637"/>
      <c r="K25" s="1637"/>
      <c r="L25" s="1637"/>
      <c r="M25" s="2241"/>
      <c r="N25" s="2243"/>
      <c r="O25" s="2241"/>
      <c r="P25" s="2243"/>
      <c r="Q25" s="2243"/>
      <c r="R25" s="2249" t="str">
        <f t="shared" si="4"/>
        <v>-</v>
      </c>
      <c r="S25" s="2248"/>
      <c r="T25" s="2243"/>
      <c r="U25" s="876"/>
      <c r="V25" s="876"/>
      <c r="W25" s="2252"/>
      <c r="X25" s="2252"/>
      <c r="Y25" s="2252"/>
      <c r="Z25" s="2252"/>
      <c r="AA25" s="2253"/>
      <c r="AB25" s="2240" t="str">
        <f t="shared" si="5"/>
        <v>-</v>
      </c>
      <c r="AC25" s="2252"/>
      <c r="AD25" s="2252"/>
      <c r="AE25" s="2252"/>
      <c r="AF25" s="2252"/>
      <c r="AG25" s="2252"/>
      <c r="AH25" s="2252"/>
      <c r="AI25" s="2884"/>
      <c r="AJ25" s="1637"/>
      <c r="AK25" s="2517"/>
      <c r="AL25" s="2517"/>
      <c r="AM25" s="2770"/>
      <c r="AN25" s="2596" t="b">
        <f>ABS(IF(AX25="Компания внешняя",(SUMIFS($Y:$Y,$C:$C,$C25,M:M,"46")+SUMIFS($Z:$Z,$C:$C,$C25,M:M,"46")+SUMIFS('60,62,63,76_контр'!V:V,'60,62,63,76_контр'!G:G,Долгосроч_договоры!D25,'60,62,63,76_контр'!E:E,Долгосроч_договоры!F25,'60,62,63,76_контр'!H:H,Долгосроч_договоры!H25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5" s="24" t="b">
        <f>SUMIFS($S:$S,$J:$J,$J25,M:M,"20_23_25_29")&lt;=SUMIFS(НЗП_ГП!$H:$H,НЗП_ГП!$D:$D,$J25,НЗП_ГП!$C:$C,"20_23_25_29")</f>
        <v>1</v>
      </c>
      <c r="AP25" s="1575">
        <f t="shared" si="6"/>
        <v>0</v>
      </c>
      <c r="AQ25" s="2038" t="b">
        <f t="shared" si="14"/>
        <v>1</v>
      </c>
      <c r="AR25" s="2038" t="b">
        <f t="shared" si="15"/>
        <v>1</v>
      </c>
      <c r="AS25" s="2038" t="b">
        <f t="shared" si="16"/>
        <v>1</v>
      </c>
      <c r="AT25" s="2103" t="b">
        <f t="shared" si="7"/>
        <v>1</v>
      </c>
      <c r="AU25" s="2262" t="b">
        <f t="shared" si="44"/>
        <v>1</v>
      </c>
      <c r="AV25" s="24" t="str">
        <f t="shared" si="18"/>
        <v>-</v>
      </c>
      <c r="AW25" s="24" t="str">
        <f t="shared" si="19"/>
        <v>-</v>
      </c>
      <c r="AX25" s="24" t="str">
        <f t="shared" si="8"/>
        <v/>
      </c>
      <c r="AY25" s="2038" t="b">
        <f t="shared" si="20"/>
        <v>1</v>
      </c>
      <c r="AZ25" s="2038"/>
      <c r="BA25" s="2772">
        <f>SUMIFS('60,62,63,76_контр'!V:V,'60,62,63,76_контр'!G:G,D25,'60,62,63,76_контр'!H:H,H25,'60,62,63,76_контр'!I:I,"{255222} Авансы полученные",'60,62,63,76_контр'!N:N,"{20} Краткосрочная")</f>
        <v>0</v>
      </c>
      <c r="BB25" s="2772">
        <f>SUMIFS('60,62,63,76_контр'!V:V,'60,62,63,76_контр'!G:G,D25,'60,62,63,76_контр'!H:H,H25,'60,62,63,76_контр'!I:I,"{255222} Авансы полученные",'60,62,63,76_контр'!N:N,"{10} Долгосрочная")</f>
        <v>0</v>
      </c>
      <c r="BC25" s="2772">
        <f>IF(ISERROR(VLOOKUP(F25,Список_компаний!B:K,7,0)),SUMIFS(Долгосроч_договоры!Y:Y,Долгосроч_договоры!D:D,D25,Долгосроч_договоры!H:H,H25),IF(VLOOKUP(F25,Список_компаний!B:K,7,0)=0,SUMIFS(Долгосроч_договоры!Y:Y,Долгосроч_договоры!D:D,D25,Долгосроч_договоры!H:H,H25),0))</f>
        <v>0</v>
      </c>
      <c r="BD25" s="2772">
        <f>IF(ISERROR(VLOOKUP(F25,Список_компаний!B:K,7,0)),SUMIFS(Долгосроч_договоры!Z:Z,Долгосроч_договоры!D:D,D25,Долгосроч_договоры!H:H,H25),IF(VLOOKUP(F25,Список_компаний!B:K,7,0)=0,SUMIFS(Долгосроч_договоры!Z:Z,Долгосроч_договоры!D:D,D25,Долгосроч_договоры!H:H,H25),0))</f>
        <v>0</v>
      </c>
      <c r="BE25" s="2103" t="b">
        <f t="shared" si="21"/>
        <v>1</v>
      </c>
      <c r="BF25" s="2493" t="b">
        <f t="shared" ca="1" si="22"/>
        <v>1</v>
      </c>
      <c r="BG25" s="2761" t="b">
        <f t="shared" si="23"/>
        <v>1</v>
      </c>
      <c r="BI25" s="24" t="str">
        <f t="shared" si="24"/>
        <v>X</v>
      </c>
      <c r="BJ25" s="2772">
        <f t="shared" si="9"/>
        <v>0</v>
      </c>
      <c r="BK25" s="2772">
        <f>SUMIFS('46'!Z:Z,'46'!C:C,C25)+SUMIFS('46'!AA:AA,'46'!C:C,C25)</f>
        <v>0</v>
      </c>
      <c r="BL25" s="3010" t="b">
        <f t="shared" si="25"/>
        <v>1</v>
      </c>
      <c r="BN25" s="2755">
        <f t="shared" si="26"/>
        <v>0</v>
      </c>
      <c r="BO25" s="2755" t="str">
        <f t="shared" si="27"/>
        <v>-</v>
      </c>
      <c r="BP25" s="2755" t="str">
        <f t="shared" si="28"/>
        <v>Да</v>
      </c>
      <c r="BQ25" s="2958" t="str">
        <f>IF(BO25="-","",IF(VLOOKUP(BO25,Список_компаний!$B$8:$I$301,7,0)=0,"Нет","Да"))</f>
        <v/>
      </c>
      <c r="BR25" s="2958" t="str">
        <f>IF(BO25="-","",VLOOKUP(BO25,Список_компаний!$B$8:$I$301,8,0))</f>
        <v/>
      </c>
      <c r="BS25" s="2958" t="str">
        <f t="shared" si="29"/>
        <v/>
      </c>
      <c r="BT25" s="2958" t="str">
        <f>IF(Содержание!$D$4="-","",IF(VLOOKUP(Содержание!$D$4,Список_компаний!$B$8:$I$301,7,0)=0,"Нет","Да"))</f>
        <v/>
      </c>
      <c r="BU25" s="2958" t="str">
        <f t="shared" si="30"/>
        <v>Нет</v>
      </c>
      <c r="BV25" s="2755" t="str">
        <f t="shared" si="31"/>
        <v>проверка</v>
      </c>
      <c r="BW25" s="2772">
        <f t="shared" si="32"/>
        <v>0</v>
      </c>
      <c r="BX25" s="2772">
        <f>SUMIFS(Зарубежная_выручка!C:C,Зарубежная_выручка!I:I,G25,Зарубежная_выручка!F:F,K25,Зарубежная_выручка!E:E,J25)</f>
        <v>0</v>
      </c>
      <c r="BY25" s="2772">
        <f>SUMIFS('90_ОРВГ'!K:K,'90_ОРВГ'!E:E,G25,'90_ОРВГ'!G:G,K25,'90_ОРВГ'!I:I,J25)+SUMIFS('90_ОРВГ'!M:M,'90_ОРВГ'!E:E,G25,'90_ОРВГ'!G:G,K25,'90_ОРВГ'!I:I,J25)+SUMIFS('90_ОРВГ'!K:K,'90_ОРВГ'!R:R,G25,'90_ОРВГ'!G:G,K25,'90_ОРВГ'!I:I,J25)+SUMIFS('90_ОРВГ'!M:M,'90_ОРВГ'!R:R,G25,'90_ОРВГ'!G:G,K25,'90_ОРВГ'!I:I,J25)</f>
        <v>0</v>
      </c>
      <c r="BZ25" s="2772">
        <f>SUMIFS('90_контр'!I:I,'90_контр'!H:H,G25,'90_контр'!C:C,J25)</f>
        <v>0</v>
      </c>
      <c r="CA25" s="3010" t="b">
        <f t="shared" si="33"/>
        <v>1</v>
      </c>
      <c r="CB25" s="2038" t="b">
        <f t="shared" si="43"/>
        <v>1</v>
      </c>
      <c r="CC25" s="2999" t="str">
        <f>IF(CD25=0,"",IF(COUNTIF(CD$9:CD25,CD25)=1,MAX(CC$9:CC24)+1,""))</f>
        <v/>
      </c>
      <c r="CD25" s="2999" t="str">
        <f t="shared" si="34"/>
        <v/>
      </c>
      <c r="CE25" s="2999" t="str">
        <f t="shared" ca="1" si="10"/>
        <v/>
      </c>
      <c r="CL25" s="2038" t="b">
        <f t="shared" si="35"/>
        <v>1</v>
      </c>
      <c r="CM25" s="2772">
        <f>SUMIFS(НЗП_ГП!$H$10:$H$5000,НЗП_ГП!$D$10:$D$5000,J25)</f>
        <v>0</v>
      </c>
      <c r="CN25" s="2772">
        <f t="shared" si="36"/>
        <v>0</v>
      </c>
      <c r="CQ25" s="2038" t="b">
        <f t="shared" si="37"/>
        <v>1</v>
      </c>
      <c r="CR25" s="2038"/>
      <c r="CS25" s="2038" t="b">
        <f>IF(ISBLANK(D25),TRUE,IF(Долгосроч_договоры!AH25&lt;&gt;0,IF(OR(M25=46,M25="46"),TRUE,FALSE),TRUE))</f>
        <v>1</v>
      </c>
      <c r="CT25" s="2038"/>
      <c r="CU25" s="2038"/>
      <c r="CW25" s="2038" t="b">
        <f t="shared" ca="1" si="38"/>
        <v>1</v>
      </c>
      <c r="CX25" s="2038" t="b">
        <f t="shared" ca="1" si="39"/>
        <v>1</v>
      </c>
      <c r="CY25" s="2038" t="b">
        <f t="shared" ca="1" si="40"/>
        <v>1</v>
      </c>
      <c r="DA25" s="2038" t="b">
        <f t="shared" si="41"/>
        <v>1</v>
      </c>
      <c r="DC25" s="2038" t="b">
        <f t="shared" si="42"/>
        <v>1</v>
      </c>
      <c r="DD25" s="2772">
        <f>SUMIFS('46'!O:O,'46'!_xlnm.Print_Titles,C25,'46'!J:J,J25)</f>
        <v>0</v>
      </c>
      <c r="DE25" s="2772">
        <f>SUMIFS('46'!Z:Z,'46'!_xlnm.Print_Titles,C25,'46'!J:J,J25)+SUMIFS('46'!AA:AA,'46'!_xlnm.Print_Titles,C25,'46'!J:J,J25)</f>
        <v>0</v>
      </c>
    </row>
    <row r="26" spans="1:109" s="24" customFormat="1">
      <c r="A26" s="2804" t="str">
        <f t="shared" si="11"/>
        <v>R55=;R50=;R42=;R57=;R4=;R11=;R21=;R24=;R23=;R14=;R16=;R18=;R19=;R2=;R37=;R36=;R43=;R48=;R51=;COM=</v>
      </c>
      <c r="B26" s="207" t="b">
        <f t="shared" si="12"/>
        <v>1</v>
      </c>
      <c r="C26" s="1868" t="str">
        <f t="shared" si="13"/>
        <v/>
      </c>
      <c r="D26" s="1637"/>
      <c r="E26" s="1637"/>
      <c r="F26" s="2517"/>
      <c r="G26" s="2517"/>
      <c r="H26" s="1638"/>
      <c r="I26" s="1638"/>
      <c r="J26" s="1637"/>
      <c r="K26" s="1637"/>
      <c r="L26" s="1637"/>
      <c r="M26" s="2241"/>
      <c r="N26" s="2243"/>
      <c r="O26" s="2241"/>
      <c r="P26" s="2243"/>
      <c r="Q26" s="2243"/>
      <c r="R26" s="2249" t="str">
        <f t="shared" si="4"/>
        <v>-</v>
      </c>
      <c r="S26" s="2248"/>
      <c r="T26" s="2243"/>
      <c r="U26" s="876"/>
      <c r="V26" s="876"/>
      <c r="W26" s="2252"/>
      <c r="X26" s="2252"/>
      <c r="Y26" s="2252"/>
      <c r="Z26" s="2252"/>
      <c r="AA26" s="2253"/>
      <c r="AB26" s="2240" t="str">
        <f t="shared" si="5"/>
        <v>-</v>
      </c>
      <c r="AC26" s="2252"/>
      <c r="AD26" s="2252"/>
      <c r="AE26" s="2252"/>
      <c r="AF26" s="2252"/>
      <c r="AG26" s="2252"/>
      <c r="AH26" s="2252"/>
      <c r="AI26" s="2884"/>
      <c r="AJ26" s="1637"/>
      <c r="AK26" s="2517"/>
      <c r="AL26" s="2517"/>
      <c r="AM26" s="2770"/>
      <c r="AN26" s="2596" t="b">
        <f>ABS(IF(AX26="Компания внешняя",(SUMIFS($Y:$Y,$C:$C,$C26,M:M,"46")+SUMIFS($Z:$Z,$C:$C,$C26,M:M,"46")+SUMIFS('60,62,63,76_контр'!V:V,'60,62,63,76_контр'!G:G,Долгосроч_договоры!D26,'60,62,63,76_контр'!E:E,Долгосроч_договоры!F26,'60,62,63,76_контр'!H:H,Долгосроч_договоры!H26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6" s="24" t="b">
        <f>SUMIFS($S:$S,$J:$J,$J26,M:M,"20_23_25_29")&lt;=SUMIFS(НЗП_ГП!$H:$H,НЗП_ГП!$D:$D,$J26,НЗП_ГП!$C:$C,"20_23_25_29")</f>
        <v>1</v>
      </c>
      <c r="AP26" s="1575">
        <f t="shared" si="6"/>
        <v>0</v>
      </c>
      <c r="AQ26" s="2038" t="b">
        <f t="shared" si="14"/>
        <v>1</v>
      </c>
      <c r="AR26" s="2038" t="b">
        <f t="shared" si="15"/>
        <v>1</v>
      </c>
      <c r="AS26" s="2038" t="b">
        <f t="shared" si="16"/>
        <v>1</v>
      </c>
      <c r="AT26" s="2103" t="b">
        <f t="shared" si="7"/>
        <v>1</v>
      </c>
      <c r="AU26" s="2262" t="b">
        <f t="shared" si="44"/>
        <v>1</v>
      </c>
      <c r="AV26" s="24" t="str">
        <f t="shared" si="18"/>
        <v>-</v>
      </c>
      <c r="AW26" s="24" t="str">
        <f t="shared" si="19"/>
        <v>-</v>
      </c>
      <c r="AX26" s="24" t="str">
        <f t="shared" si="8"/>
        <v/>
      </c>
      <c r="AY26" s="2038" t="b">
        <f t="shared" si="20"/>
        <v>1</v>
      </c>
      <c r="AZ26" s="2038"/>
      <c r="BA26" s="2772">
        <f>SUMIFS('60,62,63,76_контр'!V:V,'60,62,63,76_контр'!G:G,D26,'60,62,63,76_контр'!H:H,H26,'60,62,63,76_контр'!I:I,"{255222} Авансы полученные",'60,62,63,76_контр'!N:N,"{20} Краткосрочная")</f>
        <v>0</v>
      </c>
      <c r="BB26" s="2772">
        <f>SUMIFS('60,62,63,76_контр'!V:V,'60,62,63,76_контр'!G:G,D26,'60,62,63,76_контр'!H:H,H26,'60,62,63,76_контр'!I:I,"{255222} Авансы полученные",'60,62,63,76_контр'!N:N,"{10} Долгосрочная")</f>
        <v>0</v>
      </c>
      <c r="BC26" s="2772">
        <f>IF(ISERROR(VLOOKUP(F26,Список_компаний!B:K,7,0)),SUMIFS(Долгосроч_договоры!Y:Y,Долгосроч_договоры!D:D,D26,Долгосроч_договоры!H:H,H26),IF(VLOOKUP(F26,Список_компаний!B:K,7,0)=0,SUMIFS(Долгосроч_договоры!Y:Y,Долгосроч_договоры!D:D,D26,Долгосроч_договоры!H:H,H26),0))</f>
        <v>0</v>
      </c>
      <c r="BD26" s="2772">
        <f>IF(ISERROR(VLOOKUP(F26,Список_компаний!B:K,7,0)),SUMIFS(Долгосроч_договоры!Z:Z,Долгосроч_договоры!D:D,D26,Долгосроч_договоры!H:H,H26),IF(VLOOKUP(F26,Список_компаний!B:K,7,0)=0,SUMIFS(Долгосроч_договоры!Z:Z,Долгосроч_договоры!D:D,D26,Долгосроч_договоры!H:H,H26),0))</f>
        <v>0</v>
      </c>
      <c r="BE26" s="2103" t="b">
        <f t="shared" si="21"/>
        <v>1</v>
      </c>
      <c r="BF26" s="2493" t="b">
        <f t="shared" ca="1" si="22"/>
        <v>1</v>
      </c>
      <c r="BG26" s="2761" t="b">
        <f t="shared" si="23"/>
        <v>1</v>
      </c>
      <c r="BI26" s="24" t="str">
        <f t="shared" si="24"/>
        <v>X</v>
      </c>
      <c r="BJ26" s="2772">
        <f t="shared" si="9"/>
        <v>0</v>
      </c>
      <c r="BK26" s="2772">
        <f>SUMIFS('46'!Z:Z,'46'!C:C,C26)+SUMIFS('46'!AA:AA,'46'!C:C,C26)</f>
        <v>0</v>
      </c>
      <c r="BL26" s="3010" t="b">
        <f t="shared" si="25"/>
        <v>1</v>
      </c>
      <c r="BN26" s="2755">
        <f t="shared" si="26"/>
        <v>0</v>
      </c>
      <c r="BO26" s="2755" t="str">
        <f t="shared" si="27"/>
        <v>-</v>
      </c>
      <c r="BP26" s="2755" t="str">
        <f t="shared" si="28"/>
        <v>Да</v>
      </c>
      <c r="BQ26" s="2958" t="str">
        <f>IF(BO26="-","",IF(VLOOKUP(BO26,Список_компаний!$B$8:$I$301,7,0)=0,"Нет","Да"))</f>
        <v/>
      </c>
      <c r="BR26" s="2958" t="str">
        <f>IF(BO26="-","",VLOOKUP(BO26,Список_компаний!$B$8:$I$301,8,0))</f>
        <v/>
      </c>
      <c r="BS26" s="2958" t="str">
        <f t="shared" si="29"/>
        <v/>
      </c>
      <c r="BT26" s="2958" t="str">
        <f>IF(Содержание!$D$4="-","",IF(VLOOKUP(Содержание!$D$4,Список_компаний!$B$8:$I$301,7,0)=0,"Нет","Да"))</f>
        <v/>
      </c>
      <c r="BU26" s="2958" t="str">
        <f t="shared" si="30"/>
        <v>Нет</v>
      </c>
      <c r="BV26" s="2755" t="str">
        <f t="shared" si="31"/>
        <v>проверка</v>
      </c>
      <c r="BW26" s="2772">
        <f t="shared" si="32"/>
        <v>0</v>
      </c>
      <c r="BX26" s="2772">
        <f>SUMIFS(Зарубежная_выручка!C:C,Зарубежная_выручка!I:I,G26,Зарубежная_выручка!F:F,K26,Зарубежная_выручка!E:E,J26)</f>
        <v>0</v>
      </c>
      <c r="BY26" s="2772">
        <f>SUMIFS('90_ОРВГ'!K:K,'90_ОРВГ'!E:E,G26,'90_ОРВГ'!G:G,K26,'90_ОРВГ'!I:I,J26)+SUMIFS('90_ОРВГ'!M:M,'90_ОРВГ'!E:E,G26,'90_ОРВГ'!G:G,K26,'90_ОРВГ'!I:I,J26)+SUMIFS('90_ОРВГ'!K:K,'90_ОРВГ'!R:R,G26,'90_ОРВГ'!G:G,K26,'90_ОРВГ'!I:I,J26)+SUMIFS('90_ОРВГ'!M:M,'90_ОРВГ'!R:R,G26,'90_ОРВГ'!G:G,K26,'90_ОРВГ'!I:I,J26)</f>
        <v>0</v>
      </c>
      <c r="BZ26" s="2772">
        <f>SUMIFS('90_контр'!I:I,'90_контр'!H:H,G26,'90_контр'!C:C,J26)</f>
        <v>0</v>
      </c>
      <c r="CA26" s="3010" t="b">
        <f t="shared" si="33"/>
        <v>1</v>
      </c>
      <c r="CB26" s="2038" t="b">
        <f t="shared" si="43"/>
        <v>1</v>
      </c>
      <c r="CC26" s="2999" t="str">
        <f>IF(CD26=0,"",IF(COUNTIF(CD$9:CD26,CD26)=1,MAX(CC$9:CC25)+1,""))</f>
        <v/>
      </c>
      <c r="CD26" s="2999" t="str">
        <f t="shared" si="34"/>
        <v/>
      </c>
      <c r="CE26" s="2999" t="str">
        <f t="shared" ca="1" si="10"/>
        <v/>
      </c>
      <c r="CL26" s="2038" t="b">
        <f t="shared" si="35"/>
        <v>1</v>
      </c>
      <c r="CM26" s="2772">
        <f>SUMIFS(НЗП_ГП!$H$10:$H$5000,НЗП_ГП!$D$10:$D$5000,J26)</f>
        <v>0</v>
      </c>
      <c r="CN26" s="2772">
        <f t="shared" si="36"/>
        <v>0</v>
      </c>
      <c r="CQ26" s="2038" t="b">
        <f t="shared" si="37"/>
        <v>1</v>
      </c>
      <c r="CR26" s="2038"/>
      <c r="CS26" s="2038" t="b">
        <f>IF(ISBLANK(D26),TRUE,IF(Долгосроч_договоры!AH26&lt;&gt;0,IF(OR(M26=46,M26="46"),TRUE,FALSE),TRUE))</f>
        <v>1</v>
      </c>
      <c r="CT26" s="2038"/>
      <c r="CU26" s="2038"/>
      <c r="CW26" s="2038" t="b">
        <f t="shared" ca="1" si="38"/>
        <v>1</v>
      </c>
      <c r="CX26" s="2038" t="b">
        <f t="shared" ca="1" si="39"/>
        <v>1</v>
      </c>
      <c r="CY26" s="2038" t="b">
        <f t="shared" ca="1" si="40"/>
        <v>1</v>
      </c>
      <c r="DA26" s="2038" t="b">
        <f t="shared" si="41"/>
        <v>1</v>
      </c>
      <c r="DC26" s="2038" t="b">
        <f t="shared" si="42"/>
        <v>1</v>
      </c>
      <c r="DD26" s="2772">
        <f>SUMIFS('46'!O:O,'46'!_xlnm.Print_Titles,C26,'46'!J:J,J26)</f>
        <v>0</v>
      </c>
      <c r="DE26" s="2772">
        <f>SUMIFS('46'!Z:Z,'46'!_xlnm.Print_Titles,C26,'46'!J:J,J26)+SUMIFS('46'!AA:AA,'46'!_xlnm.Print_Titles,C26,'46'!J:J,J26)</f>
        <v>0</v>
      </c>
    </row>
    <row r="27" spans="1:109" s="24" customFormat="1">
      <c r="A27" s="2804" t="str">
        <f t="shared" si="11"/>
        <v>R55=;R50=;R42=;R57=;R4=;R11=;R21=;R24=;R23=;R14=;R16=;R18=;R19=;R2=;R37=;R36=;R43=;R48=;R51=;COM=</v>
      </c>
      <c r="B27" s="207" t="b">
        <f t="shared" si="12"/>
        <v>1</v>
      </c>
      <c r="C27" s="1868" t="str">
        <f t="shared" si="13"/>
        <v/>
      </c>
      <c r="D27" s="1637"/>
      <c r="E27" s="1637"/>
      <c r="F27" s="2517"/>
      <c r="G27" s="2517"/>
      <c r="H27" s="1638"/>
      <c r="I27" s="1638"/>
      <c r="J27" s="1637"/>
      <c r="K27" s="1637"/>
      <c r="L27" s="1637"/>
      <c r="M27" s="2241"/>
      <c r="N27" s="2243"/>
      <c r="O27" s="2241"/>
      <c r="P27" s="2243"/>
      <c r="Q27" s="2243"/>
      <c r="R27" s="2249" t="str">
        <f t="shared" si="4"/>
        <v>-</v>
      </c>
      <c r="S27" s="2248"/>
      <c r="T27" s="2243"/>
      <c r="U27" s="876"/>
      <c r="V27" s="876"/>
      <c r="W27" s="2252"/>
      <c r="X27" s="2252"/>
      <c r="Y27" s="2252"/>
      <c r="Z27" s="2252"/>
      <c r="AA27" s="2253"/>
      <c r="AB27" s="2240" t="str">
        <f t="shared" si="5"/>
        <v>-</v>
      </c>
      <c r="AC27" s="2252"/>
      <c r="AD27" s="2252"/>
      <c r="AE27" s="2252"/>
      <c r="AF27" s="2252"/>
      <c r="AG27" s="2252"/>
      <c r="AH27" s="2252"/>
      <c r="AI27" s="2884"/>
      <c r="AJ27" s="1637"/>
      <c r="AK27" s="2517"/>
      <c r="AL27" s="2517"/>
      <c r="AM27" s="2770"/>
      <c r="AN27" s="2596" t="b">
        <f>ABS(IF(AX27="Компания внешняя",(SUMIFS($Y:$Y,$C:$C,$C27,M:M,"46")+SUMIFS($Z:$Z,$C:$C,$C27,M:M,"46")+SUMIFS('60,62,63,76_контр'!V:V,'60,62,63,76_контр'!G:G,Долгосроч_договоры!D27,'60,62,63,76_контр'!E:E,Долгосроч_договоры!F27,'60,62,63,76_контр'!H:H,Долгосроч_договоры!H27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7" s="24" t="b">
        <f>SUMIFS($S:$S,$J:$J,$J27,M:M,"20_23_25_29")&lt;=SUMIFS(НЗП_ГП!$H:$H,НЗП_ГП!$D:$D,$J27,НЗП_ГП!$C:$C,"20_23_25_29")</f>
        <v>1</v>
      </c>
      <c r="AP27" s="1575">
        <f t="shared" si="6"/>
        <v>0</v>
      </c>
      <c r="AQ27" s="2038" t="b">
        <f t="shared" si="14"/>
        <v>1</v>
      </c>
      <c r="AR27" s="2038" t="b">
        <f t="shared" si="15"/>
        <v>1</v>
      </c>
      <c r="AS27" s="2038" t="b">
        <f t="shared" si="16"/>
        <v>1</v>
      </c>
      <c r="AT27" s="2103" t="b">
        <f t="shared" si="7"/>
        <v>1</v>
      </c>
      <c r="AU27" s="2262" t="b">
        <f t="shared" si="44"/>
        <v>1</v>
      </c>
      <c r="AV27" s="24" t="str">
        <f t="shared" si="18"/>
        <v>-</v>
      </c>
      <c r="AW27" s="24" t="str">
        <f t="shared" si="19"/>
        <v>-</v>
      </c>
      <c r="AX27" s="24" t="str">
        <f t="shared" si="8"/>
        <v/>
      </c>
      <c r="AY27" s="2038" t="b">
        <f t="shared" si="20"/>
        <v>1</v>
      </c>
      <c r="AZ27" s="2038"/>
      <c r="BA27" s="2772">
        <f>SUMIFS('60,62,63,76_контр'!V:V,'60,62,63,76_контр'!G:G,D27,'60,62,63,76_контр'!H:H,H27,'60,62,63,76_контр'!I:I,"{255222} Авансы полученные",'60,62,63,76_контр'!N:N,"{20} Краткосрочная")</f>
        <v>0</v>
      </c>
      <c r="BB27" s="2772">
        <f>SUMIFS('60,62,63,76_контр'!V:V,'60,62,63,76_контр'!G:G,D27,'60,62,63,76_контр'!H:H,H27,'60,62,63,76_контр'!I:I,"{255222} Авансы полученные",'60,62,63,76_контр'!N:N,"{10} Долгосрочная")</f>
        <v>0</v>
      </c>
      <c r="BC27" s="2772">
        <f>IF(ISERROR(VLOOKUP(F27,Список_компаний!B:K,7,0)),SUMIFS(Долгосроч_договоры!Y:Y,Долгосроч_договоры!D:D,D27,Долгосроч_договоры!H:H,H27),IF(VLOOKUP(F27,Список_компаний!B:K,7,0)=0,SUMIFS(Долгосроч_договоры!Y:Y,Долгосроч_договоры!D:D,D27,Долгосроч_договоры!H:H,H27),0))</f>
        <v>0</v>
      </c>
      <c r="BD27" s="2772">
        <f>IF(ISERROR(VLOOKUP(F27,Список_компаний!B:K,7,0)),SUMIFS(Долгосроч_договоры!Z:Z,Долгосроч_договоры!D:D,D27,Долгосроч_договоры!H:H,H27),IF(VLOOKUP(F27,Список_компаний!B:K,7,0)=0,SUMIFS(Долгосроч_договоры!Z:Z,Долгосроч_договоры!D:D,D27,Долгосроч_договоры!H:H,H27),0))</f>
        <v>0</v>
      </c>
      <c r="BE27" s="2103" t="b">
        <f t="shared" si="21"/>
        <v>1</v>
      </c>
      <c r="BF27" s="2493" t="b">
        <f t="shared" ca="1" si="22"/>
        <v>1</v>
      </c>
      <c r="BG27" s="2761" t="b">
        <f t="shared" si="23"/>
        <v>1</v>
      </c>
      <c r="BI27" s="24" t="str">
        <f t="shared" si="24"/>
        <v>X</v>
      </c>
      <c r="BJ27" s="2772">
        <f t="shared" si="9"/>
        <v>0</v>
      </c>
      <c r="BK27" s="2772">
        <f>SUMIFS('46'!Z:Z,'46'!C:C,C27)+SUMIFS('46'!AA:AA,'46'!C:C,C27)</f>
        <v>0</v>
      </c>
      <c r="BL27" s="3010" t="b">
        <f t="shared" si="25"/>
        <v>1</v>
      </c>
      <c r="BN27" s="2755">
        <f t="shared" si="26"/>
        <v>0</v>
      </c>
      <c r="BO27" s="2755" t="str">
        <f t="shared" si="27"/>
        <v>-</v>
      </c>
      <c r="BP27" s="2755" t="str">
        <f t="shared" si="28"/>
        <v>Да</v>
      </c>
      <c r="BQ27" s="2958" t="str">
        <f>IF(BO27="-","",IF(VLOOKUP(BO27,Список_компаний!$B$8:$I$301,7,0)=0,"Нет","Да"))</f>
        <v/>
      </c>
      <c r="BR27" s="2958" t="str">
        <f>IF(BO27="-","",VLOOKUP(BO27,Список_компаний!$B$8:$I$301,8,0))</f>
        <v/>
      </c>
      <c r="BS27" s="2958" t="str">
        <f t="shared" si="29"/>
        <v/>
      </c>
      <c r="BT27" s="2958" t="str">
        <f>IF(Содержание!$D$4="-","",IF(VLOOKUP(Содержание!$D$4,Список_компаний!$B$8:$I$301,7,0)=0,"Нет","Да"))</f>
        <v/>
      </c>
      <c r="BU27" s="2958" t="str">
        <f t="shared" si="30"/>
        <v>Нет</v>
      </c>
      <c r="BV27" s="2755" t="str">
        <f t="shared" si="31"/>
        <v>проверка</v>
      </c>
      <c r="BW27" s="2772">
        <f t="shared" si="32"/>
        <v>0</v>
      </c>
      <c r="BX27" s="2772">
        <f>SUMIFS(Зарубежная_выручка!C:C,Зарубежная_выручка!I:I,G27,Зарубежная_выручка!F:F,K27,Зарубежная_выручка!E:E,J27)</f>
        <v>0</v>
      </c>
      <c r="BY27" s="2772">
        <f>SUMIFS('90_ОРВГ'!K:K,'90_ОРВГ'!E:E,G27,'90_ОРВГ'!G:G,K27,'90_ОРВГ'!I:I,J27)+SUMIFS('90_ОРВГ'!M:M,'90_ОРВГ'!E:E,G27,'90_ОРВГ'!G:G,K27,'90_ОРВГ'!I:I,J27)+SUMIFS('90_ОРВГ'!K:K,'90_ОРВГ'!R:R,G27,'90_ОРВГ'!G:G,K27,'90_ОРВГ'!I:I,J27)+SUMIFS('90_ОРВГ'!M:M,'90_ОРВГ'!R:R,G27,'90_ОРВГ'!G:G,K27,'90_ОРВГ'!I:I,J27)</f>
        <v>0</v>
      </c>
      <c r="BZ27" s="2772">
        <f>SUMIFS('90_контр'!I:I,'90_контр'!H:H,G27,'90_контр'!C:C,J27)</f>
        <v>0</v>
      </c>
      <c r="CA27" s="3010" t="b">
        <f t="shared" si="33"/>
        <v>1</v>
      </c>
      <c r="CB27" s="2038" t="b">
        <f t="shared" si="43"/>
        <v>1</v>
      </c>
      <c r="CC27" s="2999" t="str">
        <f>IF(CD27=0,"",IF(COUNTIF(CD$9:CD27,CD27)=1,MAX(CC$9:CC26)+1,""))</f>
        <v/>
      </c>
      <c r="CD27" s="2999" t="str">
        <f t="shared" si="34"/>
        <v/>
      </c>
      <c r="CE27" s="2999" t="str">
        <f t="shared" ca="1" si="10"/>
        <v/>
      </c>
      <c r="CL27" s="2038" t="b">
        <f t="shared" si="35"/>
        <v>1</v>
      </c>
      <c r="CM27" s="2772">
        <f>SUMIFS(НЗП_ГП!$H$10:$H$5000,НЗП_ГП!$D$10:$D$5000,J27)</f>
        <v>0</v>
      </c>
      <c r="CN27" s="2772">
        <f t="shared" si="36"/>
        <v>0</v>
      </c>
      <c r="CQ27" s="2038" t="b">
        <f t="shared" si="37"/>
        <v>1</v>
      </c>
      <c r="CR27" s="2038"/>
      <c r="CS27" s="2038" t="b">
        <f>IF(ISBLANK(D27),TRUE,IF(Долгосроч_договоры!AH27&lt;&gt;0,IF(OR(M27=46,M27="46"),TRUE,FALSE),TRUE))</f>
        <v>1</v>
      </c>
      <c r="CT27" s="2038"/>
      <c r="CU27" s="2038"/>
      <c r="CW27" s="2038" t="b">
        <f t="shared" ca="1" si="38"/>
        <v>1</v>
      </c>
      <c r="CX27" s="2038" t="b">
        <f t="shared" ca="1" si="39"/>
        <v>1</v>
      </c>
      <c r="CY27" s="2038" t="b">
        <f t="shared" ca="1" si="40"/>
        <v>1</v>
      </c>
      <c r="DA27" s="2038" t="b">
        <f t="shared" si="41"/>
        <v>1</v>
      </c>
      <c r="DC27" s="2038" t="b">
        <f t="shared" si="42"/>
        <v>1</v>
      </c>
      <c r="DD27" s="2772">
        <f>SUMIFS('46'!O:O,'46'!_xlnm.Print_Titles,C27,'46'!J:J,J27)</f>
        <v>0</v>
      </c>
      <c r="DE27" s="2772">
        <f>SUMIFS('46'!Z:Z,'46'!_xlnm.Print_Titles,C27,'46'!J:J,J27)+SUMIFS('46'!AA:AA,'46'!_xlnm.Print_Titles,C27,'46'!J:J,J27)</f>
        <v>0</v>
      </c>
    </row>
    <row r="28" spans="1:109" s="24" customFormat="1">
      <c r="A28" s="2804" t="str">
        <f t="shared" si="11"/>
        <v>R55=;R50=;R42=;R57=;R4=;R11=;R21=;R24=;R23=;R14=;R16=;R18=;R19=;R2=;R37=;R36=;R43=;R48=;R51=;COM=</v>
      </c>
      <c r="B28" s="207" t="b">
        <f t="shared" si="12"/>
        <v>1</v>
      </c>
      <c r="C28" s="1868" t="str">
        <f t="shared" si="13"/>
        <v/>
      </c>
      <c r="D28" s="1637"/>
      <c r="E28" s="1637"/>
      <c r="F28" s="2517"/>
      <c r="G28" s="2517"/>
      <c r="H28" s="1638"/>
      <c r="I28" s="1638"/>
      <c r="J28" s="1637"/>
      <c r="K28" s="1637"/>
      <c r="L28" s="1637"/>
      <c r="M28" s="2241"/>
      <c r="N28" s="2243"/>
      <c r="O28" s="2241"/>
      <c r="P28" s="2243"/>
      <c r="Q28" s="2243"/>
      <c r="R28" s="2249" t="str">
        <f t="shared" si="4"/>
        <v>-</v>
      </c>
      <c r="S28" s="2248"/>
      <c r="T28" s="2243"/>
      <c r="U28" s="876"/>
      <c r="V28" s="876"/>
      <c r="W28" s="2252"/>
      <c r="X28" s="2252"/>
      <c r="Y28" s="2252"/>
      <c r="Z28" s="2252"/>
      <c r="AA28" s="2253"/>
      <c r="AB28" s="2240" t="str">
        <f t="shared" si="5"/>
        <v>-</v>
      </c>
      <c r="AC28" s="2252"/>
      <c r="AD28" s="2252"/>
      <c r="AE28" s="2252"/>
      <c r="AF28" s="2252"/>
      <c r="AG28" s="2252"/>
      <c r="AH28" s="2252"/>
      <c r="AI28" s="2884"/>
      <c r="AJ28" s="1637"/>
      <c r="AK28" s="2517"/>
      <c r="AL28" s="2517"/>
      <c r="AM28" s="2770"/>
      <c r="AN28" s="2596" t="b">
        <f>ABS(IF(AX28="Компания внешняя",(SUMIFS($Y:$Y,$C:$C,$C28,M:M,"46")+SUMIFS($Z:$Z,$C:$C,$C28,M:M,"46")+SUMIFS('60,62,63,76_контр'!V:V,'60,62,63,76_контр'!G:G,Долгосроч_договоры!D28,'60,62,63,76_контр'!E:E,Долгосроч_договоры!F28,'60,62,63,76_контр'!H:H,Долгосроч_договоры!H28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8" s="24" t="b">
        <f>SUMIFS($S:$S,$J:$J,$J28,M:M,"20_23_25_29")&lt;=SUMIFS(НЗП_ГП!$H:$H,НЗП_ГП!$D:$D,$J28,НЗП_ГП!$C:$C,"20_23_25_29")</f>
        <v>1</v>
      </c>
      <c r="AP28" s="1575">
        <f t="shared" si="6"/>
        <v>0</v>
      </c>
      <c r="AQ28" s="2038" t="b">
        <f t="shared" si="14"/>
        <v>1</v>
      </c>
      <c r="AR28" s="2038" t="b">
        <f t="shared" si="15"/>
        <v>1</v>
      </c>
      <c r="AS28" s="2038" t="b">
        <f t="shared" si="16"/>
        <v>1</v>
      </c>
      <c r="AT28" s="2103" t="b">
        <f t="shared" si="7"/>
        <v>1</v>
      </c>
      <c r="AU28" s="2262" t="b">
        <f t="shared" si="44"/>
        <v>1</v>
      </c>
      <c r="AV28" s="24" t="str">
        <f t="shared" si="18"/>
        <v>-</v>
      </c>
      <c r="AW28" s="24" t="str">
        <f t="shared" si="19"/>
        <v>-</v>
      </c>
      <c r="AX28" s="24" t="str">
        <f t="shared" si="8"/>
        <v/>
      </c>
      <c r="AY28" s="2038" t="b">
        <f t="shared" si="20"/>
        <v>1</v>
      </c>
      <c r="AZ28" s="2038"/>
      <c r="BA28" s="2772">
        <f>SUMIFS('60,62,63,76_контр'!V:V,'60,62,63,76_контр'!G:G,D28,'60,62,63,76_контр'!H:H,H28,'60,62,63,76_контр'!I:I,"{255222} Авансы полученные",'60,62,63,76_контр'!N:N,"{20} Краткосрочная")</f>
        <v>0</v>
      </c>
      <c r="BB28" s="2772">
        <f>SUMIFS('60,62,63,76_контр'!V:V,'60,62,63,76_контр'!G:G,D28,'60,62,63,76_контр'!H:H,H28,'60,62,63,76_контр'!I:I,"{255222} Авансы полученные",'60,62,63,76_контр'!N:N,"{10} Долгосрочная")</f>
        <v>0</v>
      </c>
      <c r="BC28" s="2772">
        <f>IF(ISERROR(VLOOKUP(F28,Список_компаний!B:K,7,0)),SUMIFS(Долгосроч_договоры!Y:Y,Долгосроч_договоры!D:D,D28,Долгосроч_договоры!H:H,H28),IF(VLOOKUP(F28,Список_компаний!B:K,7,0)=0,SUMIFS(Долгосроч_договоры!Y:Y,Долгосроч_договоры!D:D,D28,Долгосроч_договоры!H:H,H28),0))</f>
        <v>0</v>
      </c>
      <c r="BD28" s="2772">
        <f>IF(ISERROR(VLOOKUP(F28,Список_компаний!B:K,7,0)),SUMIFS(Долгосроч_договоры!Z:Z,Долгосроч_договоры!D:D,D28,Долгосроч_договоры!H:H,H28),IF(VLOOKUP(F28,Список_компаний!B:K,7,0)=0,SUMIFS(Долгосроч_договоры!Z:Z,Долгосроч_договоры!D:D,D28,Долгосроч_договоры!H:H,H28),0))</f>
        <v>0</v>
      </c>
      <c r="BE28" s="2103" t="b">
        <f t="shared" si="21"/>
        <v>1</v>
      </c>
      <c r="BF28" s="2493" t="b">
        <f t="shared" ca="1" si="22"/>
        <v>1</v>
      </c>
      <c r="BG28" s="2761" t="b">
        <f t="shared" si="23"/>
        <v>1</v>
      </c>
      <c r="BI28" s="24" t="str">
        <f t="shared" si="24"/>
        <v>X</v>
      </c>
      <c r="BJ28" s="2772">
        <f t="shared" si="9"/>
        <v>0</v>
      </c>
      <c r="BK28" s="2772">
        <f>SUMIFS('46'!Z:Z,'46'!C:C,C28)+SUMIFS('46'!AA:AA,'46'!C:C,C28)</f>
        <v>0</v>
      </c>
      <c r="BL28" s="3010" t="b">
        <f t="shared" si="25"/>
        <v>1</v>
      </c>
      <c r="BN28" s="2755">
        <f t="shared" si="26"/>
        <v>0</v>
      </c>
      <c r="BO28" s="2755" t="str">
        <f t="shared" si="27"/>
        <v>-</v>
      </c>
      <c r="BP28" s="2755" t="str">
        <f t="shared" si="28"/>
        <v>Да</v>
      </c>
      <c r="BQ28" s="2958" t="str">
        <f>IF(BO28="-","",IF(VLOOKUP(BO28,Список_компаний!$B$8:$I$301,7,0)=0,"Нет","Да"))</f>
        <v/>
      </c>
      <c r="BR28" s="2958" t="str">
        <f>IF(BO28="-","",VLOOKUP(BO28,Список_компаний!$B$8:$I$301,8,0))</f>
        <v/>
      </c>
      <c r="BS28" s="2958" t="str">
        <f t="shared" si="29"/>
        <v/>
      </c>
      <c r="BT28" s="2958" t="str">
        <f>IF(Содержание!$D$4="-","",IF(VLOOKUP(Содержание!$D$4,Список_компаний!$B$8:$I$301,7,0)=0,"Нет","Да"))</f>
        <v/>
      </c>
      <c r="BU28" s="2958" t="str">
        <f t="shared" si="30"/>
        <v>Нет</v>
      </c>
      <c r="BV28" s="2755" t="str">
        <f t="shared" si="31"/>
        <v>проверка</v>
      </c>
      <c r="BW28" s="2772">
        <f t="shared" si="32"/>
        <v>0</v>
      </c>
      <c r="BX28" s="2772">
        <f>SUMIFS(Зарубежная_выручка!C:C,Зарубежная_выручка!I:I,G28,Зарубежная_выручка!F:F,K28,Зарубежная_выручка!E:E,J28)</f>
        <v>0</v>
      </c>
      <c r="BY28" s="2772">
        <f>SUMIFS('90_ОРВГ'!K:K,'90_ОРВГ'!E:E,G28,'90_ОРВГ'!G:G,K28,'90_ОРВГ'!I:I,J28)+SUMIFS('90_ОРВГ'!M:M,'90_ОРВГ'!E:E,G28,'90_ОРВГ'!G:G,K28,'90_ОРВГ'!I:I,J28)+SUMIFS('90_ОРВГ'!K:K,'90_ОРВГ'!R:R,G28,'90_ОРВГ'!G:G,K28,'90_ОРВГ'!I:I,J28)+SUMIFS('90_ОРВГ'!M:M,'90_ОРВГ'!R:R,G28,'90_ОРВГ'!G:G,K28,'90_ОРВГ'!I:I,J28)</f>
        <v>0</v>
      </c>
      <c r="BZ28" s="2772">
        <f>SUMIFS('90_контр'!I:I,'90_контр'!H:H,G28,'90_контр'!C:C,J28)</f>
        <v>0</v>
      </c>
      <c r="CA28" s="3010" t="b">
        <f t="shared" si="33"/>
        <v>1</v>
      </c>
      <c r="CB28" s="2038" t="b">
        <f t="shared" si="43"/>
        <v>1</v>
      </c>
      <c r="CC28" s="2999" t="str">
        <f>IF(CD28=0,"",IF(COUNTIF(CD$9:CD28,CD28)=1,MAX(CC$9:CC27)+1,""))</f>
        <v/>
      </c>
      <c r="CD28" s="2999" t="str">
        <f t="shared" si="34"/>
        <v/>
      </c>
      <c r="CE28" s="2999" t="str">
        <f t="shared" ca="1" si="10"/>
        <v/>
      </c>
      <c r="CL28" s="2038" t="b">
        <f t="shared" si="35"/>
        <v>1</v>
      </c>
      <c r="CM28" s="2772">
        <f>SUMIFS(НЗП_ГП!$H$10:$H$5000,НЗП_ГП!$D$10:$D$5000,J28)</f>
        <v>0</v>
      </c>
      <c r="CN28" s="2772">
        <f t="shared" si="36"/>
        <v>0</v>
      </c>
      <c r="CQ28" s="2038" t="b">
        <f t="shared" si="37"/>
        <v>1</v>
      </c>
      <c r="CR28" s="2038"/>
      <c r="CS28" s="2038" t="b">
        <f>IF(ISBLANK(D28),TRUE,IF(Долгосроч_договоры!AH28&lt;&gt;0,IF(OR(M28=46,M28="46"),TRUE,FALSE),TRUE))</f>
        <v>1</v>
      </c>
      <c r="CT28" s="2038"/>
      <c r="CU28" s="2038"/>
      <c r="CW28" s="2038" t="b">
        <f t="shared" ca="1" si="38"/>
        <v>1</v>
      </c>
      <c r="CX28" s="2038" t="b">
        <f t="shared" ca="1" si="39"/>
        <v>1</v>
      </c>
      <c r="CY28" s="2038" t="b">
        <f t="shared" ca="1" si="40"/>
        <v>1</v>
      </c>
      <c r="DA28" s="2038" t="b">
        <f t="shared" si="41"/>
        <v>1</v>
      </c>
      <c r="DC28" s="2038" t="b">
        <f t="shared" si="42"/>
        <v>1</v>
      </c>
      <c r="DD28" s="2772">
        <f>SUMIFS('46'!O:O,'46'!_xlnm.Print_Titles,C28,'46'!J:J,J28)</f>
        <v>0</v>
      </c>
      <c r="DE28" s="2772">
        <f>SUMIFS('46'!Z:Z,'46'!_xlnm.Print_Titles,C28,'46'!J:J,J28)+SUMIFS('46'!AA:AA,'46'!_xlnm.Print_Titles,C28,'46'!J:J,J28)</f>
        <v>0</v>
      </c>
    </row>
    <row r="29" spans="1:109" s="24" customFormat="1">
      <c r="A29" s="2804" t="str">
        <f t="shared" si="11"/>
        <v>R55=;R50=;R42=;R57=;R4=;R11=;R21=;R24=;R23=;R14=;R16=;R18=;R19=;R2=;R37=;R36=;R43=;R48=;R51=;COM=</v>
      </c>
      <c r="B29" s="207" t="b">
        <f t="shared" si="12"/>
        <v>1</v>
      </c>
      <c r="C29" s="1868" t="str">
        <f t="shared" si="13"/>
        <v/>
      </c>
      <c r="D29" s="1637"/>
      <c r="E29" s="1637"/>
      <c r="F29" s="2517"/>
      <c r="G29" s="2517"/>
      <c r="H29" s="1638"/>
      <c r="I29" s="1638"/>
      <c r="J29" s="1637"/>
      <c r="K29" s="1637"/>
      <c r="L29" s="1637"/>
      <c r="M29" s="2241"/>
      <c r="N29" s="2243"/>
      <c r="O29" s="2241"/>
      <c r="P29" s="2243"/>
      <c r="Q29" s="2243"/>
      <c r="R29" s="2249" t="str">
        <f t="shared" si="4"/>
        <v>-</v>
      </c>
      <c r="S29" s="2248"/>
      <c r="T29" s="2243"/>
      <c r="U29" s="876"/>
      <c r="V29" s="876"/>
      <c r="W29" s="2252"/>
      <c r="X29" s="2252"/>
      <c r="Y29" s="2252"/>
      <c r="Z29" s="2252"/>
      <c r="AA29" s="2253"/>
      <c r="AB29" s="2240" t="str">
        <f t="shared" si="5"/>
        <v>-</v>
      </c>
      <c r="AC29" s="2252"/>
      <c r="AD29" s="2252"/>
      <c r="AE29" s="2252"/>
      <c r="AF29" s="2252"/>
      <c r="AG29" s="2252"/>
      <c r="AH29" s="2252"/>
      <c r="AI29" s="2884"/>
      <c r="AJ29" s="1637"/>
      <c r="AK29" s="2517"/>
      <c r="AL29" s="2517"/>
      <c r="AM29" s="2770"/>
      <c r="AN29" s="2596" t="b">
        <f>ABS(IF(AX29="Компания внешняя",(SUMIFS($Y:$Y,$C:$C,$C29,M:M,"46")+SUMIFS($Z:$Z,$C:$C,$C29,M:M,"46")+SUMIFS('60,62,63,76_контр'!V:V,'60,62,63,76_контр'!G:G,Долгосроч_договоры!D29,'60,62,63,76_контр'!E:E,Долгосроч_договоры!F29,'60,62,63,76_контр'!H:H,Долгосроч_договоры!H29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29" s="24" t="b">
        <f>SUMIFS($S:$S,$J:$J,$J29,M:M,"20_23_25_29")&lt;=SUMIFS(НЗП_ГП!$H:$H,НЗП_ГП!$D:$D,$J29,НЗП_ГП!$C:$C,"20_23_25_29")</f>
        <v>1</v>
      </c>
      <c r="AP29" s="1575">
        <f t="shared" si="6"/>
        <v>0</v>
      </c>
      <c r="AQ29" s="2038" t="b">
        <f t="shared" si="14"/>
        <v>1</v>
      </c>
      <c r="AR29" s="2038" t="b">
        <f t="shared" si="15"/>
        <v>1</v>
      </c>
      <c r="AS29" s="2038" t="b">
        <f t="shared" si="16"/>
        <v>1</v>
      </c>
      <c r="AT29" s="2103" t="b">
        <f t="shared" si="7"/>
        <v>1</v>
      </c>
      <c r="AU29" s="2262" t="b">
        <f t="shared" si="44"/>
        <v>1</v>
      </c>
      <c r="AV29" s="24" t="str">
        <f t="shared" si="18"/>
        <v>-</v>
      </c>
      <c r="AW29" s="24" t="str">
        <f t="shared" si="19"/>
        <v>-</v>
      </c>
      <c r="AX29" s="24" t="str">
        <f t="shared" si="8"/>
        <v/>
      </c>
      <c r="AY29" s="2038" t="b">
        <f t="shared" si="20"/>
        <v>1</v>
      </c>
      <c r="AZ29" s="2038"/>
      <c r="BA29" s="2772">
        <f>SUMIFS('60,62,63,76_контр'!V:V,'60,62,63,76_контр'!G:G,D29,'60,62,63,76_контр'!H:H,H29,'60,62,63,76_контр'!I:I,"{255222} Авансы полученные",'60,62,63,76_контр'!N:N,"{20} Краткосрочная")</f>
        <v>0</v>
      </c>
      <c r="BB29" s="2772">
        <f>SUMIFS('60,62,63,76_контр'!V:V,'60,62,63,76_контр'!G:G,D29,'60,62,63,76_контр'!H:H,H29,'60,62,63,76_контр'!I:I,"{255222} Авансы полученные",'60,62,63,76_контр'!N:N,"{10} Долгосрочная")</f>
        <v>0</v>
      </c>
      <c r="BC29" s="2772">
        <f>IF(ISERROR(VLOOKUP(F29,Список_компаний!B:K,7,0)),SUMIFS(Долгосроч_договоры!Y:Y,Долгосроч_договоры!D:D,D29,Долгосроч_договоры!H:H,H29),IF(VLOOKUP(F29,Список_компаний!B:K,7,0)=0,SUMIFS(Долгосроч_договоры!Y:Y,Долгосроч_договоры!D:D,D29,Долгосроч_договоры!H:H,H29),0))</f>
        <v>0</v>
      </c>
      <c r="BD29" s="2772">
        <f>IF(ISERROR(VLOOKUP(F29,Список_компаний!B:K,7,0)),SUMIFS(Долгосроч_договоры!Z:Z,Долгосроч_договоры!D:D,D29,Долгосроч_договоры!H:H,H29),IF(VLOOKUP(F29,Список_компаний!B:K,7,0)=0,SUMIFS(Долгосроч_договоры!Z:Z,Долгосроч_договоры!D:D,D29,Долгосроч_договоры!H:H,H29),0))</f>
        <v>0</v>
      </c>
      <c r="BE29" s="2103" t="b">
        <f t="shared" si="21"/>
        <v>1</v>
      </c>
      <c r="BF29" s="2493" t="b">
        <f t="shared" ca="1" si="22"/>
        <v>1</v>
      </c>
      <c r="BG29" s="2761" t="b">
        <f t="shared" si="23"/>
        <v>1</v>
      </c>
      <c r="BI29" s="24" t="str">
        <f t="shared" si="24"/>
        <v>X</v>
      </c>
      <c r="BJ29" s="2772">
        <f t="shared" si="9"/>
        <v>0</v>
      </c>
      <c r="BK29" s="2772">
        <f>SUMIFS('46'!Z:Z,'46'!C:C,C29)+SUMIFS('46'!AA:AA,'46'!C:C,C29)</f>
        <v>0</v>
      </c>
      <c r="BL29" s="3010" t="b">
        <f t="shared" si="25"/>
        <v>1</v>
      </c>
      <c r="BN29" s="2755">
        <f t="shared" si="26"/>
        <v>0</v>
      </c>
      <c r="BO29" s="2755" t="str">
        <f t="shared" si="27"/>
        <v>-</v>
      </c>
      <c r="BP29" s="2755" t="str">
        <f t="shared" si="28"/>
        <v>Да</v>
      </c>
      <c r="BQ29" s="2958" t="str">
        <f>IF(BO29="-","",IF(VLOOKUP(BO29,Список_компаний!$B$8:$I$301,7,0)=0,"Нет","Да"))</f>
        <v/>
      </c>
      <c r="BR29" s="2958" t="str">
        <f>IF(BO29="-","",VLOOKUP(BO29,Список_компаний!$B$8:$I$301,8,0))</f>
        <v/>
      </c>
      <c r="BS29" s="2958" t="str">
        <f t="shared" si="29"/>
        <v/>
      </c>
      <c r="BT29" s="2958" t="str">
        <f>IF(Содержание!$D$4="-","",IF(VLOOKUP(Содержание!$D$4,Список_компаний!$B$8:$I$301,7,0)=0,"Нет","Да"))</f>
        <v/>
      </c>
      <c r="BU29" s="2958" t="str">
        <f t="shared" si="30"/>
        <v>Нет</v>
      </c>
      <c r="BV29" s="2755" t="str">
        <f t="shared" si="31"/>
        <v>проверка</v>
      </c>
      <c r="BW29" s="2772">
        <f t="shared" si="32"/>
        <v>0</v>
      </c>
      <c r="BX29" s="2772">
        <f>SUMIFS(Зарубежная_выручка!C:C,Зарубежная_выручка!I:I,G29,Зарубежная_выручка!F:F,K29,Зарубежная_выручка!E:E,J29)</f>
        <v>0</v>
      </c>
      <c r="BY29" s="2772">
        <f>SUMIFS('90_ОРВГ'!K:K,'90_ОРВГ'!E:E,G29,'90_ОРВГ'!G:G,K29,'90_ОРВГ'!I:I,J29)+SUMIFS('90_ОРВГ'!M:M,'90_ОРВГ'!E:E,G29,'90_ОРВГ'!G:G,K29,'90_ОРВГ'!I:I,J29)+SUMIFS('90_ОРВГ'!K:K,'90_ОРВГ'!R:R,G29,'90_ОРВГ'!G:G,K29,'90_ОРВГ'!I:I,J29)+SUMIFS('90_ОРВГ'!M:M,'90_ОРВГ'!R:R,G29,'90_ОРВГ'!G:G,K29,'90_ОРВГ'!I:I,J29)</f>
        <v>0</v>
      </c>
      <c r="BZ29" s="2772">
        <f>SUMIFS('90_контр'!I:I,'90_контр'!H:H,G29,'90_контр'!C:C,J29)</f>
        <v>0</v>
      </c>
      <c r="CA29" s="3010" t="b">
        <f t="shared" si="33"/>
        <v>1</v>
      </c>
      <c r="CB29" s="2038" t="b">
        <f t="shared" si="43"/>
        <v>1</v>
      </c>
      <c r="CC29" s="2999" t="str">
        <f>IF(CD29=0,"",IF(COUNTIF(CD$9:CD29,CD29)=1,MAX(CC$9:CC28)+1,""))</f>
        <v/>
      </c>
      <c r="CD29" s="2999" t="str">
        <f t="shared" si="34"/>
        <v/>
      </c>
      <c r="CE29" s="2999" t="str">
        <f t="shared" ca="1" si="10"/>
        <v/>
      </c>
      <c r="CL29" s="2038" t="b">
        <f t="shared" si="35"/>
        <v>1</v>
      </c>
      <c r="CM29" s="2772">
        <f>SUMIFS(НЗП_ГП!$H$10:$H$5000,НЗП_ГП!$D$10:$D$5000,J29)</f>
        <v>0</v>
      </c>
      <c r="CN29" s="2772">
        <f t="shared" si="36"/>
        <v>0</v>
      </c>
      <c r="CQ29" s="2038" t="b">
        <f t="shared" si="37"/>
        <v>1</v>
      </c>
      <c r="CR29" s="2038"/>
      <c r="CS29" s="2038" t="b">
        <f>IF(ISBLANK(D29),TRUE,IF(Долгосроч_договоры!AH29&lt;&gt;0,IF(OR(M29=46,M29="46"),TRUE,FALSE),TRUE))</f>
        <v>1</v>
      </c>
      <c r="CT29" s="2038"/>
      <c r="CU29" s="2038"/>
      <c r="CW29" s="2038" t="b">
        <f t="shared" ca="1" si="38"/>
        <v>1</v>
      </c>
      <c r="CX29" s="2038" t="b">
        <f t="shared" ca="1" si="39"/>
        <v>1</v>
      </c>
      <c r="CY29" s="2038" t="b">
        <f t="shared" ca="1" si="40"/>
        <v>1</v>
      </c>
      <c r="DA29" s="2038" t="b">
        <f t="shared" si="41"/>
        <v>1</v>
      </c>
      <c r="DC29" s="2038" t="b">
        <f t="shared" si="42"/>
        <v>1</v>
      </c>
      <c r="DD29" s="2772">
        <f>SUMIFS('46'!O:O,'46'!_xlnm.Print_Titles,C29,'46'!J:J,J29)</f>
        <v>0</v>
      </c>
      <c r="DE29" s="2772">
        <f>SUMIFS('46'!Z:Z,'46'!_xlnm.Print_Titles,C29,'46'!J:J,J29)+SUMIFS('46'!AA:AA,'46'!_xlnm.Print_Titles,C29,'46'!J:J,J29)</f>
        <v>0</v>
      </c>
    </row>
    <row r="30" spans="1:109" s="24" customFormat="1">
      <c r="A30" s="2804" t="str">
        <f t="shared" si="11"/>
        <v>R55=;R50=;R42=;R57=;R4=;R11=;R21=;R24=;R23=;R14=;R16=;R18=;R19=;R2=;R37=;R36=;R43=;R48=;R51=;COM=</v>
      </c>
      <c r="B30" s="207" t="b">
        <f t="shared" si="12"/>
        <v>1</v>
      </c>
      <c r="C30" s="1868" t="str">
        <f t="shared" si="13"/>
        <v/>
      </c>
      <c r="D30" s="1637"/>
      <c r="E30" s="1637"/>
      <c r="F30" s="2517"/>
      <c r="G30" s="2517"/>
      <c r="H30" s="1638"/>
      <c r="I30" s="1638"/>
      <c r="J30" s="1637"/>
      <c r="K30" s="1637"/>
      <c r="L30" s="1637"/>
      <c r="M30" s="2241"/>
      <c r="N30" s="2243"/>
      <c r="O30" s="2241"/>
      <c r="P30" s="2243"/>
      <c r="Q30" s="2243"/>
      <c r="R30" s="2249" t="str">
        <f t="shared" si="4"/>
        <v>-</v>
      </c>
      <c r="S30" s="2248"/>
      <c r="T30" s="2243"/>
      <c r="U30" s="876"/>
      <c r="V30" s="876"/>
      <c r="W30" s="2252"/>
      <c r="X30" s="2252"/>
      <c r="Y30" s="2252"/>
      <c r="Z30" s="2252"/>
      <c r="AA30" s="2253"/>
      <c r="AB30" s="2240" t="str">
        <f t="shared" si="5"/>
        <v>-</v>
      </c>
      <c r="AC30" s="2252"/>
      <c r="AD30" s="2252"/>
      <c r="AE30" s="2252"/>
      <c r="AF30" s="2252"/>
      <c r="AG30" s="2252"/>
      <c r="AH30" s="2252"/>
      <c r="AI30" s="2884"/>
      <c r="AJ30" s="1637"/>
      <c r="AK30" s="2517"/>
      <c r="AL30" s="2517"/>
      <c r="AM30" s="2770"/>
      <c r="AN30" s="2596" t="b">
        <f>ABS(IF(AX30="Компания внешняя",(SUMIFS($Y:$Y,$C:$C,$C30,M:M,"46")+SUMIFS($Z:$Z,$C:$C,$C30,M:M,"46")+SUMIFS('60,62,63,76_контр'!V:V,'60,62,63,76_контр'!G:G,Долгосроч_договоры!D30,'60,62,63,76_контр'!E:E,Долгосроч_договоры!F30,'60,62,63,76_контр'!H:H,Долгосроч_договоры!H30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0" s="24" t="b">
        <f>SUMIFS($S:$S,$J:$J,$J30,M:M,"20_23_25_29")&lt;=SUMIFS(НЗП_ГП!$H:$H,НЗП_ГП!$D:$D,$J30,НЗП_ГП!$C:$C,"20_23_25_29")</f>
        <v>1</v>
      </c>
      <c r="AP30" s="1575">
        <f t="shared" si="6"/>
        <v>0</v>
      </c>
      <c r="AQ30" s="2038" t="b">
        <f t="shared" si="14"/>
        <v>1</v>
      </c>
      <c r="AR30" s="2038" t="b">
        <f t="shared" si="15"/>
        <v>1</v>
      </c>
      <c r="AS30" s="2038" t="b">
        <f t="shared" si="16"/>
        <v>1</v>
      </c>
      <c r="AT30" s="2103" t="b">
        <f t="shared" si="7"/>
        <v>1</v>
      </c>
      <c r="AU30" s="2262" t="b">
        <f t="shared" si="44"/>
        <v>1</v>
      </c>
      <c r="AV30" s="24" t="str">
        <f t="shared" si="18"/>
        <v>-</v>
      </c>
      <c r="AW30" s="24" t="str">
        <f t="shared" si="19"/>
        <v>-</v>
      </c>
      <c r="AX30" s="24" t="str">
        <f t="shared" si="8"/>
        <v/>
      </c>
      <c r="AY30" s="2038" t="b">
        <f t="shared" si="20"/>
        <v>1</v>
      </c>
      <c r="AZ30" s="2038"/>
      <c r="BA30" s="2772">
        <f>SUMIFS('60,62,63,76_контр'!V:V,'60,62,63,76_контр'!G:G,D30,'60,62,63,76_контр'!H:H,H30,'60,62,63,76_контр'!I:I,"{255222} Авансы полученные",'60,62,63,76_контр'!N:N,"{20} Краткосрочная")</f>
        <v>0</v>
      </c>
      <c r="BB30" s="2772">
        <f>SUMIFS('60,62,63,76_контр'!V:V,'60,62,63,76_контр'!G:G,D30,'60,62,63,76_контр'!H:H,H30,'60,62,63,76_контр'!I:I,"{255222} Авансы полученные",'60,62,63,76_контр'!N:N,"{10} Долгосрочная")</f>
        <v>0</v>
      </c>
      <c r="BC30" s="2772">
        <f>IF(ISERROR(VLOOKUP(F30,Список_компаний!B:K,7,0)),SUMIFS(Долгосроч_договоры!Y:Y,Долгосроч_договоры!D:D,D30,Долгосроч_договоры!H:H,H30),IF(VLOOKUP(F30,Список_компаний!B:K,7,0)=0,SUMIFS(Долгосроч_договоры!Y:Y,Долгосроч_договоры!D:D,D30,Долгосроч_договоры!H:H,H30),0))</f>
        <v>0</v>
      </c>
      <c r="BD30" s="2772">
        <f>IF(ISERROR(VLOOKUP(F30,Список_компаний!B:K,7,0)),SUMIFS(Долгосроч_договоры!Z:Z,Долгосроч_договоры!D:D,D30,Долгосроч_договоры!H:H,H30),IF(VLOOKUP(F30,Список_компаний!B:K,7,0)=0,SUMIFS(Долгосроч_договоры!Z:Z,Долгосроч_договоры!D:D,D30,Долгосроч_договоры!H:H,H30),0))</f>
        <v>0</v>
      </c>
      <c r="BE30" s="2103" t="b">
        <f t="shared" si="21"/>
        <v>1</v>
      </c>
      <c r="BF30" s="2493" t="b">
        <f t="shared" ca="1" si="22"/>
        <v>1</v>
      </c>
      <c r="BG30" s="2761" t="b">
        <f t="shared" si="23"/>
        <v>1</v>
      </c>
      <c r="BI30" s="24" t="str">
        <f t="shared" si="24"/>
        <v>X</v>
      </c>
      <c r="BJ30" s="2772">
        <f t="shared" si="9"/>
        <v>0</v>
      </c>
      <c r="BK30" s="2772">
        <f>SUMIFS('46'!Z:Z,'46'!C:C,C30)+SUMIFS('46'!AA:AA,'46'!C:C,C30)</f>
        <v>0</v>
      </c>
      <c r="BL30" s="3010" t="b">
        <f t="shared" si="25"/>
        <v>1</v>
      </c>
      <c r="BN30" s="2755">
        <f t="shared" si="26"/>
        <v>0</v>
      </c>
      <c r="BO30" s="2755" t="str">
        <f t="shared" si="27"/>
        <v>-</v>
      </c>
      <c r="BP30" s="2755" t="str">
        <f t="shared" si="28"/>
        <v>Да</v>
      </c>
      <c r="BQ30" s="2958" t="str">
        <f>IF(BO30="-","",IF(VLOOKUP(BO30,Список_компаний!$B$8:$I$301,7,0)=0,"Нет","Да"))</f>
        <v/>
      </c>
      <c r="BR30" s="2958" t="str">
        <f>IF(BO30="-","",VLOOKUP(BO30,Список_компаний!$B$8:$I$301,8,0))</f>
        <v/>
      </c>
      <c r="BS30" s="2958" t="str">
        <f t="shared" si="29"/>
        <v/>
      </c>
      <c r="BT30" s="2958" t="str">
        <f>IF(Содержание!$D$4="-","",IF(VLOOKUP(Содержание!$D$4,Список_компаний!$B$8:$I$301,7,0)=0,"Нет","Да"))</f>
        <v/>
      </c>
      <c r="BU30" s="2958" t="str">
        <f t="shared" si="30"/>
        <v>Нет</v>
      </c>
      <c r="BV30" s="2755" t="str">
        <f t="shared" si="31"/>
        <v>проверка</v>
      </c>
      <c r="BW30" s="2772">
        <f t="shared" si="32"/>
        <v>0</v>
      </c>
      <c r="BX30" s="2772">
        <f>SUMIFS(Зарубежная_выручка!C:C,Зарубежная_выручка!I:I,G30,Зарубежная_выручка!F:F,K30,Зарубежная_выручка!E:E,J30)</f>
        <v>0</v>
      </c>
      <c r="BY30" s="2772">
        <f>SUMIFS('90_ОРВГ'!K:K,'90_ОРВГ'!E:E,G30,'90_ОРВГ'!G:G,K30,'90_ОРВГ'!I:I,J30)+SUMIFS('90_ОРВГ'!M:M,'90_ОРВГ'!E:E,G30,'90_ОРВГ'!G:G,K30,'90_ОРВГ'!I:I,J30)+SUMIFS('90_ОРВГ'!K:K,'90_ОРВГ'!R:R,G30,'90_ОРВГ'!G:G,K30,'90_ОРВГ'!I:I,J30)+SUMIFS('90_ОРВГ'!M:M,'90_ОРВГ'!R:R,G30,'90_ОРВГ'!G:G,K30,'90_ОРВГ'!I:I,J30)</f>
        <v>0</v>
      </c>
      <c r="BZ30" s="2772">
        <f>SUMIFS('90_контр'!I:I,'90_контр'!H:H,G30,'90_контр'!C:C,J30)</f>
        <v>0</v>
      </c>
      <c r="CA30" s="3010" t="b">
        <f t="shared" si="33"/>
        <v>1</v>
      </c>
      <c r="CB30" s="2038" t="b">
        <f t="shared" si="43"/>
        <v>1</v>
      </c>
      <c r="CC30" s="2999" t="str">
        <f>IF(CD30=0,"",IF(COUNTIF(CD$9:CD30,CD30)=1,MAX(CC$9:CC29)+1,""))</f>
        <v/>
      </c>
      <c r="CD30" s="2999" t="str">
        <f t="shared" si="34"/>
        <v/>
      </c>
      <c r="CE30" s="2999" t="str">
        <f t="shared" ca="1" si="10"/>
        <v/>
      </c>
      <c r="CL30" s="2038" t="b">
        <f t="shared" si="35"/>
        <v>1</v>
      </c>
      <c r="CM30" s="2772">
        <f>SUMIFS(НЗП_ГП!$H$10:$H$5000,НЗП_ГП!$D$10:$D$5000,J30)</f>
        <v>0</v>
      </c>
      <c r="CN30" s="2772">
        <f t="shared" si="36"/>
        <v>0</v>
      </c>
      <c r="CQ30" s="2038" t="b">
        <f t="shared" si="37"/>
        <v>1</v>
      </c>
      <c r="CR30" s="2038"/>
      <c r="CS30" s="2038" t="b">
        <f>IF(ISBLANK(D30),TRUE,IF(Долгосроч_договоры!AH30&lt;&gt;0,IF(OR(M30=46,M30="46"),TRUE,FALSE),TRUE))</f>
        <v>1</v>
      </c>
      <c r="CT30" s="2038"/>
      <c r="CU30" s="2038"/>
      <c r="CW30" s="2038" t="b">
        <f t="shared" ca="1" si="38"/>
        <v>1</v>
      </c>
      <c r="CX30" s="2038" t="b">
        <f t="shared" ca="1" si="39"/>
        <v>1</v>
      </c>
      <c r="CY30" s="2038" t="b">
        <f t="shared" ca="1" si="40"/>
        <v>1</v>
      </c>
      <c r="DA30" s="2038" t="b">
        <f t="shared" si="41"/>
        <v>1</v>
      </c>
      <c r="DC30" s="2038" t="b">
        <f t="shared" si="42"/>
        <v>1</v>
      </c>
      <c r="DD30" s="2772">
        <f>SUMIFS('46'!O:O,'46'!_xlnm.Print_Titles,C30,'46'!J:J,J30)</f>
        <v>0</v>
      </c>
      <c r="DE30" s="2772">
        <f>SUMIFS('46'!Z:Z,'46'!_xlnm.Print_Titles,C30,'46'!J:J,J30)+SUMIFS('46'!AA:AA,'46'!_xlnm.Print_Titles,C30,'46'!J:J,J30)</f>
        <v>0</v>
      </c>
    </row>
    <row r="31" spans="1:109" s="24" customFormat="1">
      <c r="A31" s="2804" t="str">
        <f t="shared" si="11"/>
        <v>R55=;R50=;R42=;R57=;R4=;R11=;R21=;R24=;R23=;R14=;R16=;R18=;R19=;R2=;R37=;R36=;R43=;R48=;R51=;COM=</v>
      </c>
      <c r="B31" s="207" t="b">
        <f t="shared" si="12"/>
        <v>1</v>
      </c>
      <c r="C31" s="1868" t="str">
        <f t="shared" si="13"/>
        <v/>
      </c>
      <c r="D31" s="1637"/>
      <c r="E31" s="1637"/>
      <c r="F31" s="2517"/>
      <c r="G31" s="2517"/>
      <c r="H31" s="1638"/>
      <c r="I31" s="1638"/>
      <c r="J31" s="1637"/>
      <c r="K31" s="1637"/>
      <c r="L31" s="1637"/>
      <c r="M31" s="2241"/>
      <c r="N31" s="2243"/>
      <c r="O31" s="2241"/>
      <c r="P31" s="2243"/>
      <c r="Q31" s="2243"/>
      <c r="R31" s="2249" t="str">
        <f t="shared" si="4"/>
        <v>-</v>
      </c>
      <c r="S31" s="2248"/>
      <c r="T31" s="2243"/>
      <c r="U31" s="876"/>
      <c r="V31" s="876"/>
      <c r="W31" s="2252"/>
      <c r="X31" s="2252"/>
      <c r="Y31" s="2252"/>
      <c r="Z31" s="2252"/>
      <c r="AA31" s="2253"/>
      <c r="AB31" s="2240" t="str">
        <f t="shared" si="5"/>
        <v>-</v>
      </c>
      <c r="AC31" s="2252"/>
      <c r="AD31" s="2252"/>
      <c r="AE31" s="2252"/>
      <c r="AF31" s="2252"/>
      <c r="AG31" s="2252"/>
      <c r="AH31" s="2252"/>
      <c r="AI31" s="2884"/>
      <c r="AJ31" s="1637"/>
      <c r="AK31" s="2517"/>
      <c r="AL31" s="2517"/>
      <c r="AM31" s="2770"/>
      <c r="AN31" s="2596" t="b">
        <f>ABS(IF(AX31="Компания внешняя",(SUMIFS($Y:$Y,$C:$C,$C31,M:M,"46")+SUMIFS($Z:$Z,$C:$C,$C31,M:M,"46")+SUMIFS('60,62,63,76_контр'!V:V,'60,62,63,76_контр'!G:G,Долгосроч_договоры!D31,'60,62,63,76_контр'!E:E,Долгосроч_договоры!F31,'60,62,63,76_контр'!H:H,Долгосроч_договоры!H31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1" s="24" t="b">
        <f>SUMIFS($S:$S,$J:$J,$J31,M:M,"20_23_25_29")&lt;=SUMIFS(НЗП_ГП!$H:$H,НЗП_ГП!$D:$D,$J31,НЗП_ГП!$C:$C,"20_23_25_29")</f>
        <v>1</v>
      </c>
      <c r="AP31" s="1575">
        <f t="shared" si="6"/>
        <v>0</v>
      </c>
      <c r="AQ31" s="2038" t="b">
        <f t="shared" si="14"/>
        <v>1</v>
      </c>
      <c r="AR31" s="2038" t="b">
        <f t="shared" si="15"/>
        <v>1</v>
      </c>
      <c r="AS31" s="2038" t="b">
        <f t="shared" si="16"/>
        <v>1</v>
      </c>
      <c r="AT31" s="2103" t="b">
        <f t="shared" si="7"/>
        <v>1</v>
      </c>
      <c r="AU31" s="2262" t="b">
        <f t="shared" si="44"/>
        <v>1</v>
      </c>
      <c r="AV31" s="24" t="str">
        <f t="shared" si="18"/>
        <v>-</v>
      </c>
      <c r="AW31" s="24" t="str">
        <f t="shared" si="19"/>
        <v>-</v>
      </c>
      <c r="AX31" s="24" t="str">
        <f t="shared" si="8"/>
        <v/>
      </c>
      <c r="AY31" s="2038" t="b">
        <f t="shared" si="20"/>
        <v>1</v>
      </c>
      <c r="AZ31" s="2038"/>
      <c r="BA31" s="2772">
        <f>SUMIFS('60,62,63,76_контр'!V:V,'60,62,63,76_контр'!G:G,D31,'60,62,63,76_контр'!H:H,H31,'60,62,63,76_контр'!I:I,"{255222} Авансы полученные",'60,62,63,76_контр'!N:N,"{20} Краткосрочная")</f>
        <v>0</v>
      </c>
      <c r="BB31" s="2772">
        <f>SUMIFS('60,62,63,76_контр'!V:V,'60,62,63,76_контр'!G:G,D31,'60,62,63,76_контр'!H:H,H31,'60,62,63,76_контр'!I:I,"{255222} Авансы полученные",'60,62,63,76_контр'!N:N,"{10} Долгосрочная")</f>
        <v>0</v>
      </c>
      <c r="BC31" s="2772">
        <f>IF(ISERROR(VLOOKUP(F31,Список_компаний!B:K,7,0)),SUMIFS(Долгосроч_договоры!Y:Y,Долгосроч_договоры!D:D,D31,Долгосроч_договоры!H:H,H31),IF(VLOOKUP(F31,Список_компаний!B:K,7,0)=0,SUMIFS(Долгосроч_договоры!Y:Y,Долгосроч_договоры!D:D,D31,Долгосроч_договоры!H:H,H31),0))</f>
        <v>0</v>
      </c>
      <c r="BD31" s="2772">
        <f>IF(ISERROR(VLOOKUP(F31,Список_компаний!B:K,7,0)),SUMIFS(Долгосроч_договоры!Z:Z,Долгосроч_договоры!D:D,D31,Долгосроч_договоры!H:H,H31),IF(VLOOKUP(F31,Список_компаний!B:K,7,0)=0,SUMIFS(Долгосроч_договоры!Z:Z,Долгосроч_договоры!D:D,D31,Долгосроч_договоры!H:H,H31),0))</f>
        <v>0</v>
      </c>
      <c r="BE31" s="2103" t="b">
        <f t="shared" si="21"/>
        <v>1</v>
      </c>
      <c r="BF31" s="2493" t="b">
        <f t="shared" ca="1" si="22"/>
        <v>1</v>
      </c>
      <c r="BG31" s="2761" t="b">
        <f t="shared" si="23"/>
        <v>1</v>
      </c>
      <c r="BI31" s="24" t="str">
        <f t="shared" si="24"/>
        <v>X</v>
      </c>
      <c r="BJ31" s="2772">
        <f t="shared" si="9"/>
        <v>0</v>
      </c>
      <c r="BK31" s="2772">
        <f>SUMIFS('46'!Z:Z,'46'!C:C,C31)+SUMIFS('46'!AA:AA,'46'!C:C,C31)</f>
        <v>0</v>
      </c>
      <c r="BL31" s="3010" t="b">
        <f t="shared" si="25"/>
        <v>1</v>
      </c>
      <c r="BN31" s="2755">
        <f t="shared" si="26"/>
        <v>0</v>
      </c>
      <c r="BO31" s="2755" t="str">
        <f t="shared" si="27"/>
        <v>-</v>
      </c>
      <c r="BP31" s="2755" t="str">
        <f t="shared" si="28"/>
        <v>Да</v>
      </c>
      <c r="BQ31" s="2958" t="str">
        <f>IF(BO31="-","",IF(VLOOKUP(BO31,Список_компаний!$B$8:$I$301,7,0)=0,"Нет","Да"))</f>
        <v/>
      </c>
      <c r="BR31" s="2958" t="str">
        <f>IF(BO31="-","",VLOOKUP(BO31,Список_компаний!$B$8:$I$301,8,0))</f>
        <v/>
      </c>
      <c r="BS31" s="2958" t="str">
        <f t="shared" si="29"/>
        <v/>
      </c>
      <c r="BT31" s="2958" t="str">
        <f>IF(Содержание!$D$4="-","",IF(VLOOKUP(Содержание!$D$4,Список_компаний!$B$8:$I$301,7,0)=0,"Нет","Да"))</f>
        <v/>
      </c>
      <c r="BU31" s="2958" t="str">
        <f t="shared" si="30"/>
        <v>Нет</v>
      </c>
      <c r="BV31" s="2755" t="str">
        <f t="shared" si="31"/>
        <v>проверка</v>
      </c>
      <c r="BW31" s="2772">
        <f t="shared" si="32"/>
        <v>0</v>
      </c>
      <c r="BX31" s="2772">
        <f>SUMIFS(Зарубежная_выручка!C:C,Зарубежная_выручка!I:I,G31,Зарубежная_выручка!F:F,K31,Зарубежная_выручка!E:E,J31)</f>
        <v>0</v>
      </c>
      <c r="BY31" s="2772">
        <f>SUMIFS('90_ОРВГ'!K:K,'90_ОРВГ'!E:E,G31,'90_ОРВГ'!G:G,K31,'90_ОРВГ'!I:I,J31)+SUMIFS('90_ОРВГ'!M:M,'90_ОРВГ'!E:E,G31,'90_ОРВГ'!G:G,K31,'90_ОРВГ'!I:I,J31)+SUMIFS('90_ОРВГ'!K:K,'90_ОРВГ'!R:R,G31,'90_ОРВГ'!G:G,K31,'90_ОРВГ'!I:I,J31)+SUMIFS('90_ОРВГ'!M:M,'90_ОРВГ'!R:R,G31,'90_ОРВГ'!G:G,K31,'90_ОРВГ'!I:I,J31)</f>
        <v>0</v>
      </c>
      <c r="BZ31" s="2772">
        <f>SUMIFS('90_контр'!I:I,'90_контр'!H:H,G31,'90_контр'!C:C,J31)</f>
        <v>0</v>
      </c>
      <c r="CA31" s="3010" t="b">
        <f t="shared" si="33"/>
        <v>1</v>
      </c>
      <c r="CB31" s="2038" t="b">
        <f t="shared" si="43"/>
        <v>1</v>
      </c>
      <c r="CC31" s="2999" t="str">
        <f>IF(CD31=0,"",IF(COUNTIF(CD$9:CD31,CD31)=1,MAX(CC$9:CC30)+1,""))</f>
        <v/>
      </c>
      <c r="CD31" s="2999" t="str">
        <f t="shared" si="34"/>
        <v/>
      </c>
      <c r="CE31" s="2999" t="str">
        <f t="shared" ca="1" si="10"/>
        <v/>
      </c>
      <c r="CL31" s="2038" t="b">
        <f t="shared" si="35"/>
        <v>1</v>
      </c>
      <c r="CM31" s="2772">
        <f>SUMIFS(НЗП_ГП!$H$10:$H$5000,НЗП_ГП!$D$10:$D$5000,J31)</f>
        <v>0</v>
      </c>
      <c r="CN31" s="2772">
        <f t="shared" si="36"/>
        <v>0</v>
      </c>
      <c r="CQ31" s="2038" t="b">
        <f t="shared" si="37"/>
        <v>1</v>
      </c>
      <c r="CR31" s="2038"/>
      <c r="CS31" s="2038" t="b">
        <f>IF(ISBLANK(D31),TRUE,IF(Долгосроч_договоры!AH31&lt;&gt;0,IF(OR(M31=46,M31="46"),TRUE,FALSE),TRUE))</f>
        <v>1</v>
      </c>
      <c r="CT31" s="2038"/>
      <c r="CU31" s="2038"/>
      <c r="CW31" s="2038" t="b">
        <f t="shared" ca="1" si="38"/>
        <v>1</v>
      </c>
      <c r="CX31" s="2038" t="b">
        <f t="shared" ca="1" si="39"/>
        <v>1</v>
      </c>
      <c r="CY31" s="2038" t="b">
        <f t="shared" ca="1" si="40"/>
        <v>1</v>
      </c>
      <c r="DA31" s="2038" t="b">
        <f t="shared" si="41"/>
        <v>1</v>
      </c>
      <c r="DC31" s="2038" t="b">
        <f t="shared" si="42"/>
        <v>1</v>
      </c>
      <c r="DD31" s="2772">
        <f>SUMIFS('46'!O:O,'46'!_xlnm.Print_Titles,C31,'46'!J:J,J31)</f>
        <v>0</v>
      </c>
      <c r="DE31" s="2772">
        <f>SUMIFS('46'!Z:Z,'46'!_xlnm.Print_Titles,C31,'46'!J:J,J31)+SUMIFS('46'!AA:AA,'46'!_xlnm.Print_Titles,C31,'46'!J:J,J31)</f>
        <v>0</v>
      </c>
    </row>
    <row r="32" spans="1:109" s="24" customFormat="1">
      <c r="A32" s="2804" t="str">
        <f t="shared" si="11"/>
        <v>R55=;R50=;R42=;R57=;R4=;R11=;R21=;R24=;R23=;R14=;R16=;R18=;R19=;R2=;R37=;R36=;R43=;R48=;R51=;COM=</v>
      </c>
      <c r="B32" s="207" t="b">
        <f t="shared" si="12"/>
        <v>1</v>
      </c>
      <c r="C32" s="1868" t="str">
        <f t="shared" si="13"/>
        <v/>
      </c>
      <c r="D32" s="1637"/>
      <c r="E32" s="1637"/>
      <c r="F32" s="2517"/>
      <c r="G32" s="2517"/>
      <c r="H32" s="1638"/>
      <c r="I32" s="1638"/>
      <c r="J32" s="1637"/>
      <c r="K32" s="1637"/>
      <c r="L32" s="1637"/>
      <c r="M32" s="2241"/>
      <c r="N32" s="2243"/>
      <c r="O32" s="2241"/>
      <c r="P32" s="2243"/>
      <c r="Q32" s="2243"/>
      <c r="R32" s="2249" t="str">
        <f t="shared" si="4"/>
        <v>-</v>
      </c>
      <c r="S32" s="2248"/>
      <c r="T32" s="2243"/>
      <c r="U32" s="876"/>
      <c r="V32" s="876"/>
      <c r="W32" s="2252"/>
      <c r="X32" s="2252"/>
      <c r="Y32" s="2252"/>
      <c r="Z32" s="2252"/>
      <c r="AA32" s="2253"/>
      <c r="AB32" s="2240" t="str">
        <f t="shared" si="5"/>
        <v>-</v>
      </c>
      <c r="AC32" s="2252"/>
      <c r="AD32" s="2252"/>
      <c r="AE32" s="2252"/>
      <c r="AF32" s="2252"/>
      <c r="AG32" s="2252"/>
      <c r="AH32" s="2252"/>
      <c r="AI32" s="2884"/>
      <c r="AJ32" s="1637"/>
      <c r="AK32" s="2517"/>
      <c r="AL32" s="2517"/>
      <c r="AM32" s="2770"/>
      <c r="AN32" s="2596" t="b">
        <f>ABS(IF(AX32="Компания внешняя",(SUMIFS($Y:$Y,$C:$C,$C32,M:M,"46")+SUMIFS($Z:$Z,$C:$C,$C32,M:M,"46")+SUMIFS('60,62,63,76_контр'!V:V,'60,62,63,76_контр'!G:G,Долгосроч_договоры!D32,'60,62,63,76_контр'!E:E,Долгосроч_договоры!F32,'60,62,63,76_контр'!H:H,Долгосроч_договоры!H32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2" s="24" t="b">
        <f>SUMIFS($S:$S,$J:$J,$J32,M:M,"20_23_25_29")&lt;=SUMIFS(НЗП_ГП!$H:$H,НЗП_ГП!$D:$D,$J32,НЗП_ГП!$C:$C,"20_23_25_29")</f>
        <v>1</v>
      </c>
      <c r="AP32" s="1575">
        <f t="shared" si="6"/>
        <v>0</v>
      </c>
      <c r="AQ32" s="2038" t="b">
        <f t="shared" si="14"/>
        <v>1</v>
      </c>
      <c r="AR32" s="2038" t="b">
        <f t="shared" si="15"/>
        <v>1</v>
      </c>
      <c r="AS32" s="2038" t="b">
        <f t="shared" si="16"/>
        <v>1</v>
      </c>
      <c r="AT32" s="2103" t="b">
        <f t="shared" si="7"/>
        <v>1</v>
      </c>
      <c r="AU32" s="2262" t="b">
        <f t="shared" si="44"/>
        <v>1</v>
      </c>
      <c r="AV32" s="24" t="str">
        <f t="shared" si="18"/>
        <v>-</v>
      </c>
      <c r="AW32" s="24" t="str">
        <f t="shared" si="19"/>
        <v>-</v>
      </c>
      <c r="AX32" s="24" t="str">
        <f t="shared" si="8"/>
        <v/>
      </c>
      <c r="AY32" s="2038" t="b">
        <f t="shared" si="20"/>
        <v>1</v>
      </c>
      <c r="AZ32" s="2038"/>
      <c r="BA32" s="2772">
        <f>SUMIFS('60,62,63,76_контр'!V:V,'60,62,63,76_контр'!G:G,D32,'60,62,63,76_контр'!H:H,H32,'60,62,63,76_контр'!I:I,"{255222} Авансы полученные",'60,62,63,76_контр'!N:N,"{20} Краткосрочная")</f>
        <v>0</v>
      </c>
      <c r="BB32" s="2772">
        <f>SUMIFS('60,62,63,76_контр'!V:V,'60,62,63,76_контр'!G:G,D32,'60,62,63,76_контр'!H:H,H32,'60,62,63,76_контр'!I:I,"{255222} Авансы полученные",'60,62,63,76_контр'!N:N,"{10} Долгосрочная")</f>
        <v>0</v>
      </c>
      <c r="BC32" s="2772">
        <f>IF(ISERROR(VLOOKUP(F32,Список_компаний!B:K,7,0)),SUMIFS(Долгосроч_договоры!Y:Y,Долгосроч_договоры!D:D,D32,Долгосроч_договоры!H:H,H32),IF(VLOOKUP(F32,Список_компаний!B:K,7,0)=0,SUMIFS(Долгосроч_договоры!Y:Y,Долгосроч_договоры!D:D,D32,Долгосроч_договоры!H:H,H32),0))</f>
        <v>0</v>
      </c>
      <c r="BD32" s="2772">
        <f>IF(ISERROR(VLOOKUP(F32,Список_компаний!B:K,7,0)),SUMIFS(Долгосроч_договоры!Z:Z,Долгосроч_договоры!D:D,D32,Долгосроч_договоры!H:H,H32),IF(VLOOKUP(F32,Список_компаний!B:K,7,0)=0,SUMIFS(Долгосроч_договоры!Z:Z,Долгосроч_договоры!D:D,D32,Долгосроч_договоры!H:H,H32),0))</f>
        <v>0</v>
      </c>
      <c r="BE32" s="2103" t="b">
        <f t="shared" si="21"/>
        <v>1</v>
      </c>
      <c r="BF32" s="2493" t="b">
        <f t="shared" ca="1" si="22"/>
        <v>1</v>
      </c>
      <c r="BG32" s="2761" t="b">
        <f t="shared" si="23"/>
        <v>1</v>
      </c>
      <c r="BI32" s="24" t="str">
        <f t="shared" si="24"/>
        <v>X</v>
      </c>
      <c r="BJ32" s="2772">
        <f t="shared" si="9"/>
        <v>0</v>
      </c>
      <c r="BK32" s="2772">
        <f>SUMIFS('46'!Z:Z,'46'!C:C,C32)+SUMIFS('46'!AA:AA,'46'!C:C,C32)</f>
        <v>0</v>
      </c>
      <c r="BL32" s="3010" t="b">
        <f t="shared" si="25"/>
        <v>1</v>
      </c>
      <c r="BN32" s="2755">
        <f t="shared" si="26"/>
        <v>0</v>
      </c>
      <c r="BO32" s="2755" t="str">
        <f t="shared" si="27"/>
        <v>-</v>
      </c>
      <c r="BP32" s="2755" t="str">
        <f t="shared" si="28"/>
        <v>Да</v>
      </c>
      <c r="BQ32" s="2958" t="str">
        <f>IF(BO32="-","",IF(VLOOKUP(BO32,Список_компаний!$B$8:$I$301,7,0)=0,"Нет","Да"))</f>
        <v/>
      </c>
      <c r="BR32" s="2958" t="str">
        <f>IF(BO32="-","",VLOOKUP(BO32,Список_компаний!$B$8:$I$301,8,0))</f>
        <v/>
      </c>
      <c r="BS32" s="2958" t="str">
        <f t="shared" si="29"/>
        <v/>
      </c>
      <c r="BT32" s="2958" t="str">
        <f>IF(Содержание!$D$4="-","",IF(VLOOKUP(Содержание!$D$4,Список_компаний!$B$8:$I$301,7,0)=0,"Нет","Да"))</f>
        <v/>
      </c>
      <c r="BU32" s="2958" t="str">
        <f t="shared" si="30"/>
        <v>Нет</v>
      </c>
      <c r="BV32" s="2755" t="str">
        <f t="shared" si="31"/>
        <v>проверка</v>
      </c>
      <c r="BW32" s="2772">
        <f t="shared" si="32"/>
        <v>0</v>
      </c>
      <c r="BX32" s="2772">
        <f>SUMIFS(Зарубежная_выручка!C:C,Зарубежная_выручка!I:I,G32,Зарубежная_выручка!F:F,K32,Зарубежная_выручка!E:E,J32)</f>
        <v>0</v>
      </c>
      <c r="BY32" s="2772">
        <f>SUMIFS('90_ОРВГ'!K:K,'90_ОРВГ'!E:E,G32,'90_ОРВГ'!G:G,K32,'90_ОРВГ'!I:I,J32)+SUMIFS('90_ОРВГ'!M:M,'90_ОРВГ'!E:E,G32,'90_ОРВГ'!G:G,K32,'90_ОРВГ'!I:I,J32)+SUMIFS('90_ОРВГ'!K:K,'90_ОРВГ'!R:R,G32,'90_ОРВГ'!G:G,K32,'90_ОРВГ'!I:I,J32)+SUMIFS('90_ОРВГ'!M:M,'90_ОРВГ'!R:R,G32,'90_ОРВГ'!G:G,K32,'90_ОРВГ'!I:I,J32)</f>
        <v>0</v>
      </c>
      <c r="BZ32" s="2772">
        <f>SUMIFS('90_контр'!I:I,'90_контр'!H:H,G32,'90_контр'!C:C,J32)</f>
        <v>0</v>
      </c>
      <c r="CA32" s="3010" t="b">
        <f t="shared" si="33"/>
        <v>1</v>
      </c>
      <c r="CB32" s="2038" t="b">
        <f t="shared" si="43"/>
        <v>1</v>
      </c>
      <c r="CC32" s="2999" t="str">
        <f>IF(CD32=0,"",IF(COUNTIF(CD$9:CD32,CD32)=1,MAX(CC$9:CC31)+1,""))</f>
        <v/>
      </c>
      <c r="CD32" s="2999" t="str">
        <f t="shared" si="34"/>
        <v/>
      </c>
      <c r="CE32" s="2999" t="str">
        <f t="shared" ca="1" si="10"/>
        <v/>
      </c>
      <c r="CL32" s="2038" t="b">
        <f t="shared" si="35"/>
        <v>1</v>
      </c>
      <c r="CM32" s="2772">
        <f>SUMIFS(НЗП_ГП!$H$10:$H$5000,НЗП_ГП!$D$10:$D$5000,J32)</f>
        <v>0</v>
      </c>
      <c r="CN32" s="2772">
        <f t="shared" si="36"/>
        <v>0</v>
      </c>
      <c r="CQ32" s="2038" t="b">
        <f t="shared" si="37"/>
        <v>1</v>
      </c>
      <c r="CR32" s="2038"/>
      <c r="CS32" s="2038" t="b">
        <f>IF(ISBLANK(D32),TRUE,IF(Долгосроч_договоры!AH32&lt;&gt;0,IF(OR(M32=46,M32="46"),TRUE,FALSE),TRUE))</f>
        <v>1</v>
      </c>
      <c r="CT32" s="2038"/>
      <c r="CU32" s="2038"/>
      <c r="CW32" s="2038" t="b">
        <f t="shared" ca="1" si="38"/>
        <v>1</v>
      </c>
      <c r="CX32" s="2038" t="b">
        <f t="shared" ca="1" si="39"/>
        <v>1</v>
      </c>
      <c r="CY32" s="2038" t="b">
        <f t="shared" ca="1" si="40"/>
        <v>1</v>
      </c>
      <c r="DA32" s="2038" t="b">
        <f t="shared" si="41"/>
        <v>1</v>
      </c>
      <c r="DC32" s="2038" t="b">
        <f t="shared" si="42"/>
        <v>1</v>
      </c>
      <c r="DD32" s="2772">
        <f>SUMIFS('46'!O:O,'46'!_xlnm.Print_Titles,C32,'46'!J:J,J32)</f>
        <v>0</v>
      </c>
      <c r="DE32" s="2772">
        <f>SUMIFS('46'!Z:Z,'46'!_xlnm.Print_Titles,C32,'46'!J:J,J32)+SUMIFS('46'!AA:AA,'46'!_xlnm.Print_Titles,C32,'46'!J:J,J32)</f>
        <v>0</v>
      </c>
    </row>
    <row r="33" spans="1:109" s="24" customFormat="1">
      <c r="A33" s="2804" t="str">
        <f t="shared" si="11"/>
        <v>R55=;R50=;R42=;R57=;R4=;R11=;R21=;R24=;R23=;R14=;R16=;R18=;R19=;R2=;R37=;R36=;R43=;R48=;R51=;COM=</v>
      </c>
      <c r="B33" s="207" t="b">
        <f t="shared" si="12"/>
        <v>1</v>
      </c>
      <c r="C33" s="1868" t="str">
        <f t="shared" si="13"/>
        <v/>
      </c>
      <c r="D33" s="1637"/>
      <c r="E33" s="1637"/>
      <c r="F33" s="2517"/>
      <c r="G33" s="2517"/>
      <c r="H33" s="1638"/>
      <c r="I33" s="1638"/>
      <c r="J33" s="1637"/>
      <c r="K33" s="1637"/>
      <c r="L33" s="1637"/>
      <c r="M33" s="2241"/>
      <c r="N33" s="2243"/>
      <c r="O33" s="2241"/>
      <c r="P33" s="2243"/>
      <c r="Q33" s="2243"/>
      <c r="R33" s="2249" t="str">
        <f t="shared" si="4"/>
        <v>-</v>
      </c>
      <c r="S33" s="2248"/>
      <c r="T33" s="2243"/>
      <c r="U33" s="876"/>
      <c r="V33" s="876"/>
      <c r="W33" s="2252"/>
      <c r="X33" s="2252"/>
      <c r="Y33" s="2252"/>
      <c r="Z33" s="2252"/>
      <c r="AA33" s="2253"/>
      <c r="AB33" s="2240" t="str">
        <f t="shared" si="5"/>
        <v>-</v>
      </c>
      <c r="AC33" s="2252"/>
      <c r="AD33" s="2252"/>
      <c r="AE33" s="2252"/>
      <c r="AF33" s="2252"/>
      <c r="AG33" s="2252"/>
      <c r="AH33" s="2252"/>
      <c r="AI33" s="2884"/>
      <c r="AJ33" s="1637"/>
      <c r="AK33" s="2517"/>
      <c r="AL33" s="2517"/>
      <c r="AM33" s="2770"/>
      <c r="AN33" s="2596" t="b">
        <f>ABS(IF(AX33="Компания внешняя",(SUMIFS($Y:$Y,$C:$C,$C33,M:M,"46")+SUMIFS($Z:$Z,$C:$C,$C33,M:M,"46")+SUMIFS('60,62,63,76_контр'!V:V,'60,62,63,76_контр'!G:G,Долгосроч_договоры!D33,'60,62,63,76_контр'!E:E,Долгосроч_договоры!F33,'60,62,63,76_контр'!H:H,Долгосроч_договоры!H33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3" s="24" t="b">
        <f>SUMIFS($S:$S,$J:$J,$J33,M:M,"20_23_25_29")&lt;=SUMIFS(НЗП_ГП!$H:$H,НЗП_ГП!$D:$D,$J33,НЗП_ГП!$C:$C,"20_23_25_29")</f>
        <v>1</v>
      </c>
      <c r="AP33" s="1575">
        <f t="shared" si="6"/>
        <v>0</v>
      </c>
      <c r="AQ33" s="2038" t="b">
        <f t="shared" si="14"/>
        <v>1</v>
      </c>
      <c r="AR33" s="2038" t="b">
        <f t="shared" si="15"/>
        <v>1</v>
      </c>
      <c r="AS33" s="2038" t="b">
        <f t="shared" si="16"/>
        <v>1</v>
      </c>
      <c r="AT33" s="2103" t="b">
        <f t="shared" si="7"/>
        <v>1</v>
      </c>
      <c r="AU33" s="2262" t="b">
        <f t="shared" si="44"/>
        <v>1</v>
      </c>
      <c r="AV33" s="24" t="str">
        <f t="shared" si="18"/>
        <v>-</v>
      </c>
      <c r="AW33" s="24" t="str">
        <f t="shared" si="19"/>
        <v>-</v>
      </c>
      <c r="AX33" s="24" t="str">
        <f t="shared" si="8"/>
        <v/>
      </c>
      <c r="AY33" s="2038" t="b">
        <f t="shared" si="20"/>
        <v>1</v>
      </c>
      <c r="AZ33" s="2038"/>
      <c r="BA33" s="2772">
        <f>SUMIFS('60,62,63,76_контр'!V:V,'60,62,63,76_контр'!G:G,D33,'60,62,63,76_контр'!H:H,H33,'60,62,63,76_контр'!I:I,"{255222} Авансы полученные",'60,62,63,76_контр'!N:N,"{20} Краткосрочная")</f>
        <v>0</v>
      </c>
      <c r="BB33" s="2772">
        <f>SUMIFS('60,62,63,76_контр'!V:V,'60,62,63,76_контр'!G:G,D33,'60,62,63,76_контр'!H:H,H33,'60,62,63,76_контр'!I:I,"{255222} Авансы полученные",'60,62,63,76_контр'!N:N,"{10} Долгосрочная")</f>
        <v>0</v>
      </c>
      <c r="BC33" s="2772">
        <f>IF(ISERROR(VLOOKUP(F33,Список_компаний!B:K,7,0)),SUMIFS(Долгосроч_договоры!Y:Y,Долгосроч_договоры!D:D,D33,Долгосроч_договоры!H:H,H33),IF(VLOOKUP(F33,Список_компаний!B:K,7,0)=0,SUMIFS(Долгосроч_договоры!Y:Y,Долгосроч_договоры!D:D,D33,Долгосроч_договоры!H:H,H33),0))</f>
        <v>0</v>
      </c>
      <c r="BD33" s="2772">
        <f>IF(ISERROR(VLOOKUP(F33,Список_компаний!B:K,7,0)),SUMIFS(Долгосроч_договоры!Z:Z,Долгосроч_договоры!D:D,D33,Долгосроч_договоры!H:H,H33),IF(VLOOKUP(F33,Список_компаний!B:K,7,0)=0,SUMIFS(Долгосроч_договоры!Z:Z,Долгосроч_договоры!D:D,D33,Долгосроч_договоры!H:H,H33),0))</f>
        <v>0</v>
      </c>
      <c r="BE33" s="2103" t="b">
        <f t="shared" si="21"/>
        <v>1</v>
      </c>
      <c r="BF33" s="2493" t="b">
        <f t="shared" ca="1" si="22"/>
        <v>1</v>
      </c>
      <c r="BG33" s="2761" t="b">
        <f t="shared" si="23"/>
        <v>1</v>
      </c>
      <c r="BI33" s="24" t="str">
        <f t="shared" si="24"/>
        <v>X</v>
      </c>
      <c r="BJ33" s="2772">
        <f t="shared" si="9"/>
        <v>0</v>
      </c>
      <c r="BK33" s="2772">
        <f>SUMIFS('46'!Z:Z,'46'!C:C,C33)+SUMIFS('46'!AA:AA,'46'!C:C,C33)</f>
        <v>0</v>
      </c>
      <c r="BL33" s="3010" t="b">
        <f t="shared" si="25"/>
        <v>1</v>
      </c>
      <c r="BN33" s="2755">
        <f t="shared" si="26"/>
        <v>0</v>
      </c>
      <c r="BO33" s="2755" t="str">
        <f t="shared" si="27"/>
        <v>-</v>
      </c>
      <c r="BP33" s="2755" t="str">
        <f t="shared" si="28"/>
        <v>Да</v>
      </c>
      <c r="BQ33" s="2958" t="str">
        <f>IF(BO33="-","",IF(VLOOKUP(BO33,Список_компаний!$B$8:$I$301,7,0)=0,"Нет","Да"))</f>
        <v/>
      </c>
      <c r="BR33" s="2958" t="str">
        <f>IF(BO33="-","",VLOOKUP(BO33,Список_компаний!$B$8:$I$301,8,0))</f>
        <v/>
      </c>
      <c r="BS33" s="2958" t="str">
        <f t="shared" si="29"/>
        <v/>
      </c>
      <c r="BT33" s="2958" t="str">
        <f>IF(Содержание!$D$4="-","",IF(VLOOKUP(Содержание!$D$4,Список_компаний!$B$8:$I$301,7,0)=0,"Нет","Да"))</f>
        <v/>
      </c>
      <c r="BU33" s="2958" t="str">
        <f t="shared" si="30"/>
        <v>Нет</v>
      </c>
      <c r="BV33" s="2755" t="str">
        <f t="shared" si="31"/>
        <v>проверка</v>
      </c>
      <c r="BW33" s="2772">
        <f t="shared" si="32"/>
        <v>0</v>
      </c>
      <c r="BX33" s="2772">
        <f>SUMIFS(Зарубежная_выручка!C:C,Зарубежная_выручка!I:I,G33,Зарубежная_выручка!F:F,K33,Зарубежная_выручка!E:E,J33)</f>
        <v>0</v>
      </c>
      <c r="BY33" s="2772">
        <f>SUMIFS('90_ОРВГ'!K:K,'90_ОРВГ'!E:E,G33,'90_ОРВГ'!G:G,K33,'90_ОРВГ'!I:I,J33)+SUMIFS('90_ОРВГ'!M:M,'90_ОРВГ'!E:E,G33,'90_ОРВГ'!G:G,K33,'90_ОРВГ'!I:I,J33)+SUMIFS('90_ОРВГ'!K:K,'90_ОРВГ'!R:R,G33,'90_ОРВГ'!G:G,K33,'90_ОРВГ'!I:I,J33)+SUMIFS('90_ОРВГ'!M:M,'90_ОРВГ'!R:R,G33,'90_ОРВГ'!G:G,K33,'90_ОРВГ'!I:I,J33)</f>
        <v>0</v>
      </c>
      <c r="BZ33" s="2772">
        <f>SUMIFS('90_контр'!I:I,'90_контр'!H:H,G33,'90_контр'!C:C,J33)</f>
        <v>0</v>
      </c>
      <c r="CA33" s="3010" t="b">
        <f t="shared" si="33"/>
        <v>1</v>
      </c>
      <c r="CB33" s="2038" t="b">
        <f t="shared" si="43"/>
        <v>1</v>
      </c>
      <c r="CC33" s="2999" t="str">
        <f>IF(CD33=0,"",IF(COUNTIF(CD$9:CD33,CD33)=1,MAX(CC$9:CC32)+1,""))</f>
        <v/>
      </c>
      <c r="CD33" s="2999" t="str">
        <f t="shared" si="34"/>
        <v/>
      </c>
      <c r="CE33" s="2999" t="str">
        <f t="shared" ca="1" si="10"/>
        <v/>
      </c>
      <c r="CL33" s="2038" t="b">
        <f>(CN33-CM33)&lt;5</f>
        <v>1</v>
      </c>
      <c r="CM33" s="2772">
        <f>SUMIFS(НЗП_ГП!$H$10:$H$5000,НЗП_ГП!$D$10:$D$5000,J33)</f>
        <v>0</v>
      </c>
      <c r="CN33" s="2772">
        <f t="shared" si="36"/>
        <v>0</v>
      </c>
      <c r="CQ33" s="2038" t="b">
        <f t="shared" si="37"/>
        <v>1</v>
      </c>
      <c r="CR33" s="2038"/>
      <c r="CS33" s="2038" t="b">
        <f>IF(ISBLANK(D33),TRUE,IF(Долгосроч_договоры!AH33&lt;&gt;0,IF(OR(M33=46,M33="46"),TRUE,FALSE),TRUE))</f>
        <v>1</v>
      </c>
      <c r="CT33" s="2038"/>
      <c r="CU33" s="2038"/>
      <c r="CW33" s="2038" t="b">
        <f t="shared" ca="1" si="38"/>
        <v>1</v>
      </c>
      <c r="CX33" s="2038" t="b">
        <f t="shared" ca="1" si="39"/>
        <v>1</v>
      </c>
      <c r="CY33" s="2038" t="b">
        <f t="shared" ca="1" si="40"/>
        <v>1</v>
      </c>
      <c r="DA33" s="2038" t="b">
        <f t="shared" si="41"/>
        <v>1</v>
      </c>
      <c r="DC33" s="2038" t="b">
        <f t="shared" si="42"/>
        <v>1</v>
      </c>
      <c r="DD33" s="2772">
        <f>SUMIFS('46'!O:O,'46'!_xlnm.Print_Titles,C33,'46'!J:J,J33)</f>
        <v>0</v>
      </c>
      <c r="DE33" s="2772">
        <f>SUMIFS('46'!Z:Z,'46'!_xlnm.Print_Titles,C33,'46'!J:J,J33)+SUMIFS('46'!AA:AA,'46'!_xlnm.Print_Titles,C33,'46'!J:J,J33)</f>
        <v>0</v>
      </c>
    </row>
    <row r="34" spans="1:109" s="24" customFormat="1">
      <c r="A34" s="2804" t="str">
        <f t="shared" si="11"/>
        <v>R55=;R50=;R42=;R57=;R4=;R11=;R21=;R24=;R23=;R14=;R16=;R18=;R19=;R2=;R37=;R36=;R43=;R48=;R51=;COM=</v>
      </c>
      <c r="B34" s="207" t="b">
        <f t="shared" si="12"/>
        <v>1</v>
      </c>
      <c r="C34" s="1868" t="str">
        <f t="shared" si="13"/>
        <v/>
      </c>
      <c r="D34" s="1637"/>
      <c r="E34" s="1637"/>
      <c r="F34" s="2517"/>
      <c r="G34" s="2517"/>
      <c r="H34" s="1638"/>
      <c r="I34" s="1638"/>
      <c r="J34" s="1637"/>
      <c r="K34" s="1637"/>
      <c r="L34" s="1637"/>
      <c r="M34" s="2241"/>
      <c r="N34" s="2243"/>
      <c r="O34" s="2241"/>
      <c r="P34" s="2243"/>
      <c r="Q34" s="2243"/>
      <c r="R34" s="2249" t="str">
        <f t="shared" si="4"/>
        <v>-</v>
      </c>
      <c r="S34" s="2248"/>
      <c r="T34" s="2243"/>
      <c r="U34" s="876"/>
      <c r="V34" s="876"/>
      <c r="W34" s="2252"/>
      <c r="X34" s="2252"/>
      <c r="Y34" s="2252"/>
      <c r="Z34" s="2252"/>
      <c r="AA34" s="2253"/>
      <c r="AB34" s="2240" t="str">
        <f t="shared" si="5"/>
        <v>-</v>
      </c>
      <c r="AC34" s="2252"/>
      <c r="AD34" s="2252"/>
      <c r="AE34" s="2252"/>
      <c r="AF34" s="2252"/>
      <c r="AG34" s="2252"/>
      <c r="AH34" s="2252"/>
      <c r="AI34" s="2884"/>
      <c r="AJ34" s="1637"/>
      <c r="AK34" s="2517"/>
      <c r="AL34" s="2517"/>
      <c r="AM34" s="2770"/>
      <c r="AN34" s="2596" t="b">
        <f>ABS(IF(AX34="Компания внешняя",(SUMIFS($Y:$Y,$C:$C,$C34,M:M,"46")+SUMIFS($Z:$Z,$C:$C,$C34,M:M,"46")+SUMIFS('60,62,63,76_контр'!V:V,'60,62,63,76_контр'!G:G,Долгосроч_договоры!D34,'60,62,63,76_контр'!E:E,Долгосроч_договоры!F34,'60,62,63,76_контр'!H:H,Долгосроч_договоры!H34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4" s="24" t="b">
        <f>SUMIFS($S:$S,$J:$J,$J34,M:M,"20_23_25_29")&lt;=SUMIFS(НЗП_ГП!$H:$H,НЗП_ГП!$D:$D,$J34,НЗП_ГП!$C:$C,"20_23_25_29")</f>
        <v>1</v>
      </c>
      <c r="AP34" s="1575">
        <f t="shared" si="6"/>
        <v>0</v>
      </c>
      <c r="AQ34" s="2038" t="b">
        <f t="shared" si="14"/>
        <v>1</v>
      </c>
      <c r="AR34" s="2038" t="b">
        <f t="shared" si="15"/>
        <v>1</v>
      </c>
      <c r="AS34" s="2038" t="b">
        <f t="shared" si="16"/>
        <v>1</v>
      </c>
      <c r="AT34" s="2103" t="b">
        <f t="shared" si="7"/>
        <v>1</v>
      </c>
      <c r="AU34" s="2262" t="b">
        <f t="shared" si="44"/>
        <v>1</v>
      </c>
      <c r="AV34" s="24" t="str">
        <f t="shared" si="18"/>
        <v>-</v>
      </c>
      <c r="AW34" s="24" t="str">
        <f t="shared" si="19"/>
        <v>-</v>
      </c>
      <c r="AX34" s="24" t="str">
        <f t="shared" si="8"/>
        <v/>
      </c>
      <c r="AY34" s="2038" t="b">
        <f t="shared" si="20"/>
        <v>1</v>
      </c>
      <c r="AZ34" s="2038"/>
      <c r="BA34" s="2772">
        <f>SUMIFS('60,62,63,76_контр'!V:V,'60,62,63,76_контр'!G:G,D34,'60,62,63,76_контр'!H:H,H34,'60,62,63,76_контр'!I:I,"{255222} Авансы полученные",'60,62,63,76_контр'!N:N,"{20} Краткосрочная")</f>
        <v>0</v>
      </c>
      <c r="BB34" s="2772">
        <f>SUMIFS('60,62,63,76_контр'!V:V,'60,62,63,76_контр'!G:G,D34,'60,62,63,76_контр'!H:H,H34,'60,62,63,76_контр'!I:I,"{255222} Авансы полученные",'60,62,63,76_контр'!N:N,"{10} Долгосрочная")</f>
        <v>0</v>
      </c>
      <c r="BC34" s="2772">
        <f>IF(ISERROR(VLOOKUP(F34,Список_компаний!B:K,7,0)),SUMIFS(Долгосроч_договоры!Y:Y,Долгосроч_договоры!D:D,D34,Долгосроч_договоры!H:H,H34),IF(VLOOKUP(F34,Список_компаний!B:K,7,0)=0,SUMIFS(Долгосроч_договоры!Y:Y,Долгосроч_договоры!D:D,D34,Долгосроч_договоры!H:H,H34),0))</f>
        <v>0</v>
      </c>
      <c r="BD34" s="2772">
        <f>IF(ISERROR(VLOOKUP(F34,Список_компаний!B:K,7,0)),SUMIFS(Долгосроч_договоры!Z:Z,Долгосроч_договоры!D:D,D34,Долгосроч_договоры!H:H,H34),IF(VLOOKUP(F34,Список_компаний!B:K,7,0)=0,SUMIFS(Долгосроч_договоры!Z:Z,Долгосроч_договоры!D:D,D34,Долгосроч_договоры!H:H,H34),0))</f>
        <v>0</v>
      </c>
      <c r="BE34" s="2103" t="b">
        <f t="shared" si="21"/>
        <v>1</v>
      </c>
      <c r="BF34" s="2493" t="b">
        <f t="shared" ca="1" si="22"/>
        <v>1</v>
      </c>
      <c r="BG34" s="2761" t="b">
        <f t="shared" si="23"/>
        <v>1</v>
      </c>
      <c r="BI34" s="24" t="str">
        <f t="shared" si="24"/>
        <v>X</v>
      </c>
      <c r="BJ34" s="2772">
        <f t="shared" si="9"/>
        <v>0</v>
      </c>
      <c r="BK34" s="2772">
        <f>SUMIFS('46'!Z:Z,'46'!C:C,C34)+SUMIFS('46'!AA:AA,'46'!C:C,C34)</f>
        <v>0</v>
      </c>
      <c r="BL34" s="3010" t="b">
        <f t="shared" si="25"/>
        <v>1</v>
      </c>
      <c r="BN34" s="2755">
        <f t="shared" si="26"/>
        <v>0</v>
      </c>
      <c r="BO34" s="2755" t="str">
        <f t="shared" si="27"/>
        <v>-</v>
      </c>
      <c r="BP34" s="2755" t="str">
        <f t="shared" si="28"/>
        <v>Да</v>
      </c>
      <c r="BQ34" s="2958" t="str">
        <f>IF(BO34="-","",IF(VLOOKUP(BO34,Список_компаний!$B$8:$I$301,7,0)=0,"Нет","Да"))</f>
        <v/>
      </c>
      <c r="BR34" s="2958" t="str">
        <f>IF(BO34="-","",VLOOKUP(BO34,Список_компаний!$B$8:$I$301,8,0))</f>
        <v/>
      </c>
      <c r="BS34" s="2958" t="str">
        <f t="shared" si="29"/>
        <v/>
      </c>
      <c r="BT34" s="2958" t="str">
        <f>IF(Содержание!$D$4="-","",IF(VLOOKUP(Содержание!$D$4,Список_компаний!$B$8:$I$301,7,0)=0,"Нет","Да"))</f>
        <v/>
      </c>
      <c r="BU34" s="2958" t="str">
        <f t="shared" si="30"/>
        <v>Нет</v>
      </c>
      <c r="BV34" s="2755" t="str">
        <f t="shared" si="31"/>
        <v>проверка</v>
      </c>
      <c r="BW34" s="2772">
        <f t="shared" si="32"/>
        <v>0</v>
      </c>
      <c r="BX34" s="2772">
        <f>SUMIFS(Зарубежная_выручка!C:C,Зарубежная_выручка!I:I,G34,Зарубежная_выручка!F:F,K34,Зарубежная_выручка!E:E,J34)</f>
        <v>0</v>
      </c>
      <c r="BY34" s="2772">
        <f>SUMIFS('90_ОРВГ'!K:K,'90_ОРВГ'!E:E,G34,'90_ОРВГ'!G:G,K34,'90_ОРВГ'!I:I,J34)+SUMIFS('90_ОРВГ'!M:M,'90_ОРВГ'!E:E,G34,'90_ОРВГ'!G:G,K34,'90_ОРВГ'!I:I,J34)+SUMIFS('90_ОРВГ'!K:K,'90_ОРВГ'!R:R,G34,'90_ОРВГ'!G:G,K34,'90_ОРВГ'!I:I,J34)+SUMIFS('90_ОРВГ'!M:M,'90_ОРВГ'!R:R,G34,'90_ОРВГ'!G:G,K34,'90_ОРВГ'!I:I,J34)</f>
        <v>0</v>
      </c>
      <c r="BZ34" s="2772">
        <f>SUMIFS('90_контр'!I:I,'90_контр'!H:H,G34,'90_контр'!C:C,J34)</f>
        <v>0</v>
      </c>
      <c r="CA34" s="3010" t="b">
        <f t="shared" si="33"/>
        <v>1</v>
      </c>
      <c r="CB34" s="2038" t="b">
        <f t="shared" si="43"/>
        <v>1</v>
      </c>
      <c r="CC34" s="2999" t="str">
        <f>IF(CD34=0,"",IF(COUNTIF(CD$9:CD34,CD34)=1,MAX(CC$9:CC33)+1,""))</f>
        <v/>
      </c>
      <c r="CD34" s="2999" t="str">
        <f t="shared" si="34"/>
        <v/>
      </c>
      <c r="CE34" s="2999" t="str">
        <f t="shared" ca="1" si="10"/>
        <v/>
      </c>
      <c r="CL34" s="2038" t="b">
        <f t="shared" si="35"/>
        <v>1</v>
      </c>
      <c r="CM34" s="2772">
        <f>SUMIFS(НЗП_ГП!$H$10:$H$5000,НЗП_ГП!$D$10:$D$5000,J34)</f>
        <v>0</v>
      </c>
      <c r="CN34" s="2772">
        <f t="shared" si="36"/>
        <v>0</v>
      </c>
      <c r="CQ34" s="2038" t="b">
        <f t="shared" si="37"/>
        <v>1</v>
      </c>
      <c r="CR34" s="2038"/>
      <c r="CS34" s="2038" t="b">
        <f>IF(ISBLANK(D34),TRUE,IF(Долгосроч_договоры!AH34&lt;&gt;0,IF(OR(M34=46,M34="46"),TRUE,FALSE),TRUE))</f>
        <v>1</v>
      </c>
      <c r="CT34" s="2038"/>
      <c r="CU34" s="2038"/>
      <c r="CW34" s="2038" t="b">
        <f t="shared" ca="1" si="38"/>
        <v>1</v>
      </c>
      <c r="CX34" s="2038" t="b">
        <f t="shared" ca="1" si="39"/>
        <v>1</v>
      </c>
      <c r="CY34" s="2038" t="b">
        <f t="shared" ca="1" si="40"/>
        <v>1</v>
      </c>
      <c r="DA34" s="2038" t="b">
        <f t="shared" si="41"/>
        <v>1</v>
      </c>
      <c r="DC34" s="2038" t="b">
        <f t="shared" si="42"/>
        <v>1</v>
      </c>
      <c r="DD34" s="2772">
        <f>SUMIFS('46'!O:O,'46'!_xlnm.Print_Titles,C34,'46'!J:J,J34)</f>
        <v>0</v>
      </c>
      <c r="DE34" s="2772">
        <f>SUMIFS('46'!Z:Z,'46'!_xlnm.Print_Titles,C34,'46'!J:J,J34)+SUMIFS('46'!AA:AA,'46'!_xlnm.Print_Titles,C34,'46'!J:J,J34)</f>
        <v>0</v>
      </c>
    </row>
    <row r="35" spans="1:109" s="24" customFormat="1">
      <c r="A35" s="2804" t="str">
        <f t="shared" si="11"/>
        <v>R55=;R50=;R42=;R57=;R4=;R11=;R21=;R24=;R23=;R14=;R16=;R18=;R19=;R2=;R37=;R36=;R43=;R48=;R51=;COM=</v>
      </c>
      <c r="B35" s="207" t="b">
        <f t="shared" si="12"/>
        <v>1</v>
      </c>
      <c r="C35" s="1868" t="str">
        <f t="shared" si="13"/>
        <v/>
      </c>
      <c r="D35" s="1637"/>
      <c r="E35" s="1637"/>
      <c r="F35" s="2517"/>
      <c r="G35" s="2517"/>
      <c r="H35" s="1638"/>
      <c r="I35" s="1638"/>
      <c r="J35" s="1637"/>
      <c r="K35" s="1637"/>
      <c r="L35" s="1637"/>
      <c r="M35" s="2241"/>
      <c r="N35" s="2243"/>
      <c r="O35" s="2241"/>
      <c r="P35" s="2243"/>
      <c r="Q35" s="2243"/>
      <c r="R35" s="2249" t="str">
        <f t="shared" si="4"/>
        <v>-</v>
      </c>
      <c r="S35" s="2248"/>
      <c r="T35" s="2243"/>
      <c r="U35" s="876"/>
      <c r="V35" s="876"/>
      <c r="W35" s="2252"/>
      <c r="X35" s="2252"/>
      <c r="Y35" s="2252"/>
      <c r="Z35" s="2252"/>
      <c r="AA35" s="2253"/>
      <c r="AB35" s="2240" t="str">
        <f t="shared" si="5"/>
        <v>-</v>
      </c>
      <c r="AC35" s="2252"/>
      <c r="AD35" s="2252"/>
      <c r="AE35" s="2252"/>
      <c r="AF35" s="2252"/>
      <c r="AG35" s="2252"/>
      <c r="AH35" s="2252"/>
      <c r="AI35" s="2884"/>
      <c r="AJ35" s="1637"/>
      <c r="AK35" s="2517"/>
      <c r="AL35" s="2517"/>
      <c r="AM35" s="2770"/>
      <c r="AN35" s="2596" t="b">
        <f>ABS(IF(AX35="Компания внешняя",(SUMIFS($Y:$Y,$C:$C,$C35,M:M,"46")+SUMIFS($Z:$Z,$C:$C,$C35,M:M,"46")+SUMIFS('60,62,63,76_контр'!V:V,'60,62,63,76_контр'!G:G,Долгосроч_договоры!D35,'60,62,63,76_контр'!E:E,Долгосроч_договоры!F35,'60,62,63,76_контр'!H:H,Долгосроч_договоры!H35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5" s="24" t="b">
        <f>SUMIFS($S:$S,$J:$J,$J35,M:M,"20_23_25_29")&lt;=SUMIFS(НЗП_ГП!$H:$H,НЗП_ГП!$D:$D,$J35,НЗП_ГП!$C:$C,"20_23_25_29")</f>
        <v>1</v>
      </c>
      <c r="AP35" s="1575">
        <f t="shared" si="6"/>
        <v>0</v>
      </c>
      <c r="AQ35" s="2038" t="b">
        <f t="shared" si="14"/>
        <v>1</v>
      </c>
      <c r="AR35" s="2038" t="b">
        <f t="shared" si="15"/>
        <v>1</v>
      </c>
      <c r="AS35" s="2038" t="b">
        <f t="shared" si="16"/>
        <v>1</v>
      </c>
      <c r="AT35" s="2103" t="b">
        <f t="shared" si="7"/>
        <v>1</v>
      </c>
      <c r="AU35" s="2262" t="b">
        <f t="shared" si="44"/>
        <v>1</v>
      </c>
      <c r="AV35" s="24" t="str">
        <f t="shared" si="18"/>
        <v>-</v>
      </c>
      <c r="AW35" s="24" t="str">
        <f t="shared" si="19"/>
        <v>-</v>
      </c>
      <c r="AX35" s="24" t="str">
        <f t="shared" si="8"/>
        <v/>
      </c>
      <c r="AY35" s="2038" t="b">
        <f t="shared" si="20"/>
        <v>1</v>
      </c>
      <c r="AZ35" s="2038"/>
      <c r="BA35" s="2772">
        <f>SUMIFS('60,62,63,76_контр'!V:V,'60,62,63,76_контр'!G:G,D35,'60,62,63,76_контр'!H:H,H35,'60,62,63,76_контр'!I:I,"{255222} Авансы полученные",'60,62,63,76_контр'!N:N,"{20} Краткосрочная")</f>
        <v>0</v>
      </c>
      <c r="BB35" s="2772">
        <f>SUMIFS('60,62,63,76_контр'!V:V,'60,62,63,76_контр'!G:G,D35,'60,62,63,76_контр'!H:H,H35,'60,62,63,76_контр'!I:I,"{255222} Авансы полученные",'60,62,63,76_контр'!N:N,"{10} Долгосрочная")</f>
        <v>0</v>
      </c>
      <c r="BC35" s="2772">
        <f>IF(ISERROR(VLOOKUP(F35,Список_компаний!B:K,7,0)),SUMIFS(Долгосроч_договоры!Y:Y,Долгосроч_договоры!D:D,D35,Долгосроч_договоры!H:H,H35),IF(VLOOKUP(F35,Список_компаний!B:K,7,0)=0,SUMIFS(Долгосроч_договоры!Y:Y,Долгосроч_договоры!D:D,D35,Долгосроч_договоры!H:H,H35),0))</f>
        <v>0</v>
      </c>
      <c r="BD35" s="2772">
        <f>IF(ISERROR(VLOOKUP(F35,Список_компаний!B:K,7,0)),SUMIFS(Долгосроч_договоры!Z:Z,Долгосроч_договоры!D:D,D35,Долгосроч_договоры!H:H,H35),IF(VLOOKUP(F35,Список_компаний!B:K,7,0)=0,SUMIFS(Долгосроч_договоры!Z:Z,Долгосроч_договоры!D:D,D35,Долгосроч_договоры!H:H,H35),0))</f>
        <v>0</v>
      </c>
      <c r="BE35" s="2103" t="b">
        <f t="shared" si="21"/>
        <v>1</v>
      </c>
      <c r="BF35" s="2493" t="b">
        <f t="shared" ca="1" si="22"/>
        <v>1</v>
      </c>
      <c r="BG35" s="2761" t="b">
        <f t="shared" si="23"/>
        <v>1</v>
      </c>
      <c r="BI35" s="24" t="str">
        <f t="shared" si="24"/>
        <v>X</v>
      </c>
      <c r="BJ35" s="2772">
        <f t="shared" si="9"/>
        <v>0</v>
      </c>
      <c r="BK35" s="2772">
        <f>SUMIFS('46'!Z:Z,'46'!C:C,C35)+SUMIFS('46'!AA:AA,'46'!C:C,C35)</f>
        <v>0</v>
      </c>
      <c r="BL35" s="3010" t="b">
        <f t="shared" si="25"/>
        <v>1</v>
      </c>
      <c r="BN35" s="2755">
        <f t="shared" si="26"/>
        <v>0</v>
      </c>
      <c r="BO35" s="2755" t="str">
        <f t="shared" si="27"/>
        <v>-</v>
      </c>
      <c r="BP35" s="2755" t="str">
        <f t="shared" si="28"/>
        <v>Да</v>
      </c>
      <c r="BQ35" s="2958" t="str">
        <f>IF(BO35="-","",IF(VLOOKUP(BO35,Список_компаний!$B$8:$I$301,7,0)=0,"Нет","Да"))</f>
        <v/>
      </c>
      <c r="BR35" s="2958" t="str">
        <f>IF(BO35="-","",VLOOKUP(BO35,Список_компаний!$B$8:$I$301,8,0))</f>
        <v/>
      </c>
      <c r="BS35" s="2958" t="str">
        <f t="shared" si="29"/>
        <v/>
      </c>
      <c r="BT35" s="2958" t="str">
        <f>IF(Содержание!$D$4="-","",IF(VLOOKUP(Содержание!$D$4,Список_компаний!$B$8:$I$301,7,0)=0,"Нет","Да"))</f>
        <v/>
      </c>
      <c r="BU35" s="2958" t="str">
        <f t="shared" si="30"/>
        <v>Нет</v>
      </c>
      <c r="BV35" s="2755" t="str">
        <f t="shared" si="31"/>
        <v>проверка</v>
      </c>
      <c r="BW35" s="2772">
        <f t="shared" si="32"/>
        <v>0</v>
      </c>
      <c r="BX35" s="2772">
        <f>SUMIFS(Зарубежная_выручка!C:C,Зарубежная_выручка!I:I,G35,Зарубежная_выручка!F:F,K35,Зарубежная_выручка!E:E,J35)</f>
        <v>0</v>
      </c>
      <c r="BY35" s="2772">
        <f>SUMIFS('90_ОРВГ'!K:K,'90_ОРВГ'!E:E,G35,'90_ОРВГ'!G:G,K35,'90_ОРВГ'!I:I,J35)+SUMIFS('90_ОРВГ'!M:M,'90_ОРВГ'!E:E,G35,'90_ОРВГ'!G:G,K35,'90_ОРВГ'!I:I,J35)+SUMIFS('90_ОРВГ'!K:K,'90_ОРВГ'!R:R,G35,'90_ОРВГ'!G:G,K35,'90_ОРВГ'!I:I,J35)+SUMIFS('90_ОРВГ'!M:M,'90_ОРВГ'!R:R,G35,'90_ОРВГ'!G:G,K35,'90_ОРВГ'!I:I,J35)</f>
        <v>0</v>
      </c>
      <c r="BZ35" s="2772">
        <f>SUMIFS('90_контр'!I:I,'90_контр'!H:H,G35,'90_контр'!C:C,J35)</f>
        <v>0</v>
      </c>
      <c r="CA35" s="3010" t="b">
        <f t="shared" si="33"/>
        <v>1</v>
      </c>
      <c r="CB35" s="2038" t="b">
        <f t="shared" si="43"/>
        <v>1</v>
      </c>
      <c r="CC35" s="2999" t="str">
        <f>IF(CD35=0,"",IF(COUNTIF(CD$9:CD35,CD35)=1,MAX(CC$9:CC34)+1,""))</f>
        <v/>
      </c>
      <c r="CD35" s="2999" t="str">
        <f t="shared" si="34"/>
        <v/>
      </c>
      <c r="CE35" s="2999" t="str">
        <f t="shared" ca="1" si="10"/>
        <v/>
      </c>
      <c r="CL35" s="2038" t="b">
        <f t="shared" si="35"/>
        <v>1</v>
      </c>
      <c r="CM35" s="2772">
        <f>SUMIFS(НЗП_ГП!$H$10:$H$5000,НЗП_ГП!$D$10:$D$5000,J35)</f>
        <v>0</v>
      </c>
      <c r="CN35" s="2772">
        <f t="shared" si="36"/>
        <v>0</v>
      </c>
      <c r="CQ35" s="2038" t="b">
        <f t="shared" si="37"/>
        <v>1</v>
      </c>
      <c r="CR35" s="2038"/>
      <c r="CS35" s="2038" t="b">
        <f>IF(ISBLANK(D35),TRUE,IF(Долгосроч_договоры!AH35&lt;&gt;0,IF(OR(M35=46,M35="46"),TRUE,FALSE),TRUE))</f>
        <v>1</v>
      </c>
      <c r="CT35" s="2038"/>
      <c r="CU35" s="2038"/>
      <c r="CW35" s="2038" t="b">
        <f t="shared" ca="1" si="38"/>
        <v>1</v>
      </c>
      <c r="CX35" s="2038" t="b">
        <f t="shared" ca="1" si="39"/>
        <v>1</v>
      </c>
      <c r="CY35" s="2038" t="b">
        <f t="shared" ca="1" si="40"/>
        <v>1</v>
      </c>
      <c r="DA35" s="2038" t="b">
        <f t="shared" si="41"/>
        <v>1</v>
      </c>
      <c r="DC35" s="2038" t="b">
        <f t="shared" si="42"/>
        <v>1</v>
      </c>
      <c r="DD35" s="2772">
        <f>SUMIFS('46'!O:O,'46'!_xlnm.Print_Titles,C35,'46'!J:J,J35)</f>
        <v>0</v>
      </c>
      <c r="DE35" s="2772">
        <f>SUMIFS('46'!Z:Z,'46'!_xlnm.Print_Titles,C35,'46'!J:J,J35)+SUMIFS('46'!AA:AA,'46'!_xlnm.Print_Titles,C35,'46'!J:J,J35)</f>
        <v>0</v>
      </c>
    </row>
    <row r="36" spans="1:109" s="24" customFormat="1">
      <c r="A36" s="2804" t="str">
        <f t="shared" si="11"/>
        <v>R55=;R50=;R42=;R57=;R4=;R11=;R21=;R24=;R23=;R14=;R16=;R18=;R19=;R2=;R37=;R36=;R43=;R48=;R51=;COM=</v>
      </c>
      <c r="B36" s="207" t="b">
        <f t="shared" si="12"/>
        <v>1</v>
      </c>
      <c r="C36" s="1868" t="str">
        <f t="shared" si="13"/>
        <v/>
      </c>
      <c r="D36" s="1637"/>
      <c r="E36" s="1637"/>
      <c r="F36" s="2517"/>
      <c r="G36" s="2517"/>
      <c r="H36" s="1638"/>
      <c r="I36" s="1638"/>
      <c r="J36" s="1637"/>
      <c r="K36" s="1637"/>
      <c r="L36" s="1637"/>
      <c r="M36" s="2241"/>
      <c r="N36" s="2243"/>
      <c r="O36" s="2241"/>
      <c r="P36" s="2243"/>
      <c r="Q36" s="2243"/>
      <c r="R36" s="2249" t="str">
        <f t="shared" si="4"/>
        <v>-</v>
      </c>
      <c r="S36" s="2248"/>
      <c r="T36" s="2243"/>
      <c r="U36" s="876"/>
      <c r="V36" s="876"/>
      <c r="W36" s="2252"/>
      <c r="X36" s="2252"/>
      <c r="Y36" s="2252"/>
      <c r="Z36" s="2252"/>
      <c r="AA36" s="2253"/>
      <c r="AB36" s="2240" t="str">
        <f t="shared" si="5"/>
        <v>-</v>
      </c>
      <c r="AC36" s="2252"/>
      <c r="AD36" s="2252"/>
      <c r="AE36" s="2252"/>
      <c r="AF36" s="2252"/>
      <c r="AG36" s="2252"/>
      <c r="AH36" s="2252"/>
      <c r="AI36" s="2884"/>
      <c r="AJ36" s="1637"/>
      <c r="AK36" s="2517"/>
      <c r="AL36" s="2517"/>
      <c r="AM36" s="2770"/>
      <c r="AN36" s="2596" t="b">
        <f>ABS(IF(AX36="Компания внешняя",(SUMIFS($Y:$Y,$C:$C,$C36,M:M,"46")+SUMIFS($Z:$Z,$C:$C,$C36,M:M,"46")+SUMIFS('60,62,63,76_контр'!V:V,'60,62,63,76_контр'!G:G,Долгосроч_договоры!D36,'60,62,63,76_контр'!E:E,Долгосроч_договоры!F36,'60,62,63,76_контр'!H:H,Долгосроч_договоры!H36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6" s="24" t="b">
        <f>SUMIFS($S:$S,$J:$J,$J36,M:M,"20_23_25_29")&lt;=SUMIFS(НЗП_ГП!$H:$H,НЗП_ГП!$D:$D,$J36,НЗП_ГП!$C:$C,"20_23_25_29")</f>
        <v>1</v>
      </c>
      <c r="AP36" s="1575">
        <f t="shared" si="6"/>
        <v>0</v>
      </c>
      <c r="AQ36" s="2038" t="b">
        <f t="shared" si="14"/>
        <v>1</v>
      </c>
      <c r="AR36" s="2038" t="b">
        <f t="shared" si="15"/>
        <v>1</v>
      </c>
      <c r="AS36" s="2038" t="b">
        <f t="shared" si="16"/>
        <v>1</v>
      </c>
      <c r="AT36" s="2103" t="b">
        <f t="shared" si="7"/>
        <v>1</v>
      </c>
      <c r="AU36" s="2262" t="b">
        <f t="shared" si="44"/>
        <v>1</v>
      </c>
      <c r="AV36" s="24" t="str">
        <f t="shared" si="18"/>
        <v>-</v>
      </c>
      <c r="AW36" s="24" t="str">
        <f t="shared" si="19"/>
        <v>-</v>
      </c>
      <c r="AX36" s="24" t="str">
        <f t="shared" si="8"/>
        <v/>
      </c>
      <c r="AY36" s="2038" t="b">
        <f t="shared" si="20"/>
        <v>1</v>
      </c>
      <c r="AZ36" s="2038"/>
      <c r="BA36" s="2772">
        <f>SUMIFS('60,62,63,76_контр'!V:V,'60,62,63,76_контр'!G:G,D36,'60,62,63,76_контр'!H:H,H36,'60,62,63,76_контр'!I:I,"{255222} Авансы полученные",'60,62,63,76_контр'!N:N,"{20} Краткосрочная")</f>
        <v>0</v>
      </c>
      <c r="BB36" s="2772">
        <f>SUMIFS('60,62,63,76_контр'!V:V,'60,62,63,76_контр'!G:G,D36,'60,62,63,76_контр'!H:H,H36,'60,62,63,76_контр'!I:I,"{255222} Авансы полученные",'60,62,63,76_контр'!N:N,"{10} Долгосрочная")</f>
        <v>0</v>
      </c>
      <c r="BC36" s="2772">
        <f>IF(ISERROR(VLOOKUP(F36,Список_компаний!B:K,7,0)),SUMIFS(Долгосроч_договоры!Y:Y,Долгосроч_договоры!D:D,D36,Долгосроч_договоры!H:H,H36),IF(VLOOKUP(F36,Список_компаний!B:K,7,0)=0,SUMIFS(Долгосроч_договоры!Y:Y,Долгосроч_договоры!D:D,D36,Долгосроч_договоры!H:H,H36),0))</f>
        <v>0</v>
      </c>
      <c r="BD36" s="2772">
        <f>IF(ISERROR(VLOOKUP(F36,Список_компаний!B:K,7,0)),SUMIFS(Долгосроч_договоры!Z:Z,Долгосроч_договоры!D:D,D36,Долгосроч_договоры!H:H,H36),IF(VLOOKUP(F36,Список_компаний!B:K,7,0)=0,SUMIFS(Долгосроч_договоры!Z:Z,Долгосроч_договоры!D:D,D36,Долгосроч_договоры!H:H,H36),0))</f>
        <v>0</v>
      </c>
      <c r="BE36" s="2103" t="b">
        <f t="shared" si="21"/>
        <v>1</v>
      </c>
      <c r="BF36" s="2493" t="b">
        <f t="shared" ca="1" si="22"/>
        <v>1</v>
      </c>
      <c r="BG36" s="2761" t="b">
        <f t="shared" si="23"/>
        <v>1</v>
      </c>
      <c r="BI36" s="24" t="str">
        <f t="shared" si="24"/>
        <v>X</v>
      </c>
      <c r="BJ36" s="2772">
        <f t="shared" si="9"/>
        <v>0</v>
      </c>
      <c r="BK36" s="2772">
        <f>SUMIFS('46'!Z:Z,'46'!C:C,C36)+SUMIFS('46'!AA:AA,'46'!C:C,C36)</f>
        <v>0</v>
      </c>
      <c r="BL36" s="3010" t="b">
        <f t="shared" si="25"/>
        <v>1</v>
      </c>
      <c r="BN36" s="2755">
        <f t="shared" si="26"/>
        <v>0</v>
      </c>
      <c r="BO36" s="2755" t="str">
        <f t="shared" si="27"/>
        <v>-</v>
      </c>
      <c r="BP36" s="2755" t="str">
        <f t="shared" si="28"/>
        <v>Да</v>
      </c>
      <c r="BQ36" s="2958" t="str">
        <f>IF(BO36="-","",IF(VLOOKUP(BO36,Список_компаний!$B$8:$I$301,7,0)=0,"Нет","Да"))</f>
        <v/>
      </c>
      <c r="BR36" s="2958" t="str">
        <f>IF(BO36="-","",VLOOKUP(BO36,Список_компаний!$B$8:$I$301,8,0))</f>
        <v/>
      </c>
      <c r="BS36" s="2958" t="str">
        <f t="shared" si="29"/>
        <v/>
      </c>
      <c r="BT36" s="2958" t="str">
        <f>IF(Содержание!$D$4="-","",IF(VLOOKUP(Содержание!$D$4,Список_компаний!$B$8:$I$301,7,0)=0,"Нет","Да"))</f>
        <v/>
      </c>
      <c r="BU36" s="2958" t="str">
        <f t="shared" si="30"/>
        <v>Нет</v>
      </c>
      <c r="BV36" s="2755" t="str">
        <f t="shared" si="31"/>
        <v>проверка</v>
      </c>
      <c r="BW36" s="2772">
        <f t="shared" si="32"/>
        <v>0</v>
      </c>
      <c r="BX36" s="2772">
        <f>SUMIFS(Зарубежная_выручка!C:C,Зарубежная_выручка!I:I,G36,Зарубежная_выручка!F:F,K36,Зарубежная_выручка!E:E,J36)</f>
        <v>0</v>
      </c>
      <c r="BY36" s="2772">
        <f>SUMIFS('90_ОРВГ'!K:K,'90_ОРВГ'!E:E,G36,'90_ОРВГ'!G:G,K36,'90_ОРВГ'!I:I,J36)+SUMIFS('90_ОРВГ'!M:M,'90_ОРВГ'!E:E,G36,'90_ОРВГ'!G:G,K36,'90_ОРВГ'!I:I,J36)+SUMIFS('90_ОРВГ'!K:K,'90_ОРВГ'!R:R,G36,'90_ОРВГ'!G:G,K36,'90_ОРВГ'!I:I,J36)+SUMIFS('90_ОРВГ'!M:M,'90_ОРВГ'!R:R,G36,'90_ОРВГ'!G:G,K36,'90_ОРВГ'!I:I,J36)</f>
        <v>0</v>
      </c>
      <c r="BZ36" s="2772">
        <f>SUMIFS('90_контр'!I:I,'90_контр'!H:H,G36,'90_контр'!C:C,J36)</f>
        <v>0</v>
      </c>
      <c r="CA36" s="3010" t="b">
        <f t="shared" si="33"/>
        <v>1</v>
      </c>
      <c r="CB36" s="2038" t="b">
        <f t="shared" si="43"/>
        <v>1</v>
      </c>
      <c r="CC36" s="2999" t="str">
        <f>IF(CD36=0,"",IF(COUNTIF(CD$9:CD36,CD36)=1,MAX(CC$9:CC35)+1,""))</f>
        <v/>
      </c>
      <c r="CD36" s="2999" t="str">
        <f t="shared" si="34"/>
        <v/>
      </c>
      <c r="CE36" s="2999" t="str">
        <f t="shared" ca="1" si="10"/>
        <v/>
      </c>
      <c r="CL36" s="2038" t="b">
        <f t="shared" si="35"/>
        <v>1</v>
      </c>
      <c r="CM36" s="2772">
        <f>SUMIFS(НЗП_ГП!$H$10:$H$5000,НЗП_ГП!$D$10:$D$5000,J36)</f>
        <v>0</v>
      </c>
      <c r="CN36" s="2772">
        <f t="shared" si="36"/>
        <v>0</v>
      </c>
      <c r="CQ36" s="2038" t="b">
        <f t="shared" si="37"/>
        <v>1</v>
      </c>
      <c r="CR36" s="2038"/>
      <c r="CS36" s="2038" t="b">
        <f>IF(ISBLANK(D36),TRUE,IF(Долгосроч_договоры!AH36&lt;&gt;0,IF(OR(M36=46,M36="46"),TRUE,FALSE),TRUE))</f>
        <v>1</v>
      </c>
      <c r="CT36" s="2038"/>
      <c r="CU36" s="2038"/>
      <c r="CW36" s="2038" t="b">
        <f t="shared" ca="1" si="38"/>
        <v>1</v>
      </c>
      <c r="CX36" s="2038" t="b">
        <f t="shared" ca="1" si="39"/>
        <v>1</v>
      </c>
      <c r="CY36" s="2038" t="b">
        <f t="shared" ca="1" si="40"/>
        <v>1</v>
      </c>
      <c r="DA36" s="2038" t="b">
        <f t="shared" si="41"/>
        <v>1</v>
      </c>
      <c r="DC36" s="2038" t="b">
        <f t="shared" si="42"/>
        <v>1</v>
      </c>
      <c r="DD36" s="2772">
        <f>SUMIFS('46'!O:O,'46'!_xlnm.Print_Titles,C36,'46'!J:J,J36)</f>
        <v>0</v>
      </c>
      <c r="DE36" s="2772">
        <f>SUMIFS('46'!Z:Z,'46'!_xlnm.Print_Titles,C36,'46'!J:J,J36)+SUMIFS('46'!AA:AA,'46'!_xlnm.Print_Titles,C36,'46'!J:J,J36)</f>
        <v>0</v>
      </c>
    </row>
    <row r="37" spans="1:109" s="24" customFormat="1">
      <c r="A37" s="2804" t="str">
        <f t="shared" si="11"/>
        <v>R55=;R50=;R42=;R57=;R4=;R11=;R21=;R24=;R23=;R14=;R16=;R18=;R19=;R2=;R37=;R36=;R43=;R48=;R51=;COM=</v>
      </c>
      <c r="B37" s="207" t="b">
        <f t="shared" si="12"/>
        <v>1</v>
      </c>
      <c r="C37" s="1868" t="str">
        <f t="shared" si="13"/>
        <v/>
      </c>
      <c r="D37" s="1637"/>
      <c r="E37" s="1637"/>
      <c r="F37" s="2517"/>
      <c r="G37" s="2517"/>
      <c r="H37" s="1638"/>
      <c r="I37" s="1638"/>
      <c r="J37" s="1637"/>
      <c r="K37" s="1637"/>
      <c r="L37" s="1637"/>
      <c r="M37" s="2241"/>
      <c r="N37" s="2243"/>
      <c r="O37" s="2241" t="s">
        <v>5536</v>
      </c>
      <c r="P37" s="2243" t="s">
        <v>5536</v>
      </c>
      <c r="Q37" s="2243"/>
      <c r="R37" s="2249" t="str">
        <f t="shared" si="4"/>
        <v>-</v>
      </c>
      <c r="S37" s="2248"/>
      <c r="T37" s="2243"/>
      <c r="U37" s="876"/>
      <c r="V37" s="876"/>
      <c r="W37" s="2252"/>
      <c r="X37" s="2252"/>
      <c r="Y37" s="2252"/>
      <c r="Z37" s="2252"/>
      <c r="AA37" s="2253"/>
      <c r="AB37" s="2240" t="str">
        <f t="shared" si="5"/>
        <v>-</v>
      </c>
      <c r="AC37" s="2252"/>
      <c r="AD37" s="2252"/>
      <c r="AE37" s="2252"/>
      <c r="AF37" s="2252"/>
      <c r="AG37" s="2252"/>
      <c r="AH37" s="2252"/>
      <c r="AI37" s="2884"/>
      <c r="AJ37" s="1637"/>
      <c r="AK37" s="2517"/>
      <c r="AL37" s="2517"/>
      <c r="AM37" s="2770"/>
      <c r="AN37" s="2596" t="b">
        <f>ABS(IF(AX37="Компания внешняя",(SUMIFS($Y:$Y,$C:$C,$C37,M:M,"46")+SUMIFS($Z:$Z,$C:$C,$C37,M:M,"46")+SUMIFS('60,62,63,76_контр'!V:V,'60,62,63,76_контр'!G:G,Долгосроч_договоры!D37,'60,62,63,76_контр'!E:E,Долгосроч_договоры!F37,'60,62,63,76_контр'!H:H,Долгосроч_договоры!H37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7" s="24" t="b">
        <f>SUMIFS($S:$S,$J:$J,$J37,M:M,"20_23_25_29")&lt;=SUMIFS(НЗП_ГП!$H:$H,НЗП_ГП!$D:$D,$J37,НЗП_ГП!$C:$C,"20_23_25_29")</f>
        <v>1</v>
      </c>
      <c r="AP37" s="1575">
        <f t="shared" si="6"/>
        <v>0</v>
      </c>
      <c r="AQ37" s="2038" t="b">
        <f t="shared" si="14"/>
        <v>1</v>
      </c>
      <c r="AR37" s="2038" t="b">
        <f t="shared" si="15"/>
        <v>1</v>
      </c>
      <c r="AS37" s="2038" t="b">
        <f t="shared" si="16"/>
        <v>1</v>
      </c>
      <c r="AT37" s="2103" t="b">
        <f t="shared" si="7"/>
        <v>1</v>
      </c>
      <c r="AU37" s="2262" t="b">
        <f t="shared" si="44"/>
        <v>1</v>
      </c>
      <c r="AV37" s="24" t="str">
        <f t="shared" si="18"/>
        <v>-</v>
      </c>
      <c r="AW37" s="24" t="str">
        <f t="shared" si="19"/>
        <v>-</v>
      </c>
      <c r="AX37" s="24" t="str">
        <f t="shared" si="8"/>
        <v/>
      </c>
      <c r="AY37" s="2038" t="b">
        <f t="shared" si="20"/>
        <v>1</v>
      </c>
      <c r="AZ37" s="2038"/>
      <c r="BA37" s="2772">
        <f>SUMIFS('60,62,63,76_контр'!V:V,'60,62,63,76_контр'!G:G,D37,'60,62,63,76_контр'!H:H,H37,'60,62,63,76_контр'!I:I,"{255222} Авансы полученные",'60,62,63,76_контр'!N:N,"{20} Краткосрочная")</f>
        <v>0</v>
      </c>
      <c r="BB37" s="2772">
        <f>SUMIFS('60,62,63,76_контр'!V:V,'60,62,63,76_контр'!G:G,D37,'60,62,63,76_контр'!H:H,H37,'60,62,63,76_контр'!I:I,"{255222} Авансы полученные",'60,62,63,76_контр'!N:N,"{10} Долгосрочная")</f>
        <v>0</v>
      </c>
      <c r="BC37" s="2772">
        <f>IF(ISERROR(VLOOKUP(F37,Список_компаний!B:K,7,0)),SUMIFS(Долгосроч_договоры!Y:Y,Долгосроч_договоры!D:D,D37,Долгосроч_договоры!H:H,H37),IF(VLOOKUP(F37,Список_компаний!B:K,7,0)=0,SUMIFS(Долгосроч_договоры!Y:Y,Долгосроч_договоры!D:D,D37,Долгосроч_договоры!H:H,H37),0))</f>
        <v>0</v>
      </c>
      <c r="BD37" s="2772">
        <f>IF(ISERROR(VLOOKUP(F37,Список_компаний!B:K,7,0)),SUMIFS(Долгосроч_договоры!Z:Z,Долгосроч_договоры!D:D,D37,Долгосроч_договоры!H:H,H37),IF(VLOOKUP(F37,Список_компаний!B:K,7,0)=0,SUMIFS(Долгосроч_договоры!Z:Z,Долгосроч_договоры!D:D,D37,Долгосроч_договоры!H:H,H37),0))</f>
        <v>0</v>
      </c>
      <c r="BE37" s="2103" t="b">
        <f t="shared" si="21"/>
        <v>1</v>
      </c>
      <c r="BF37" s="2493" t="b">
        <f t="shared" ca="1" si="22"/>
        <v>1</v>
      </c>
      <c r="BG37" s="2761" t="b">
        <f t="shared" si="23"/>
        <v>1</v>
      </c>
      <c r="BI37" s="24" t="str">
        <f t="shared" si="24"/>
        <v>X</v>
      </c>
      <c r="BJ37" s="2772">
        <f t="shared" si="9"/>
        <v>0</v>
      </c>
      <c r="BK37" s="2772">
        <f>SUMIFS('46'!Z:Z,'46'!C:C,C37)+SUMIFS('46'!AA:AA,'46'!C:C,C37)</f>
        <v>0</v>
      </c>
      <c r="BL37" s="3010" t="b">
        <f t="shared" si="25"/>
        <v>1</v>
      </c>
      <c r="BN37" s="2755">
        <f t="shared" si="26"/>
        <v>0</v>
      </c>
      <c r="BO37" s="2755" t="str">
        <f t="shared" si="27"/>
        <v>-</v>
      </c>
      <c r="BP37" s="2755" t="str">
        <f t="shared" si="28"/>
        <v>Да</v>
      </c>
      <c r="BQ37" s="2958" t="str">
        <f>IF(BO37="-","",IF(VLOOKUP(BO37,Список_компаний!$B$8:$I$301,7,0)=0,"Нет","Да"))</f>
        <v/>
      </c>
      <c r="BR37" s="2958" t="str">
        <f>IF(BO37="-","",VLOOKUP(BO37,Список_компаний!$B$8:$I$301,8,0))</f>
        <v/>
      </c>
      <c r="BS37" s="2958" t="str">
        <f t="shared" si="29"/>
        <v/>
      </c>
      <c r="BT37" s="2958" t="str">
        <f>IF(Содержание!$D$4="-","",IF(VLOOKUP(Содержание!$D$4,Список_компаний!$B$8:$I$301,7,0)=0,"Нет","Да"))</f>
        <v/>
      </c>
      <c r="BU37" s="2958" t="str">
        <f t="shared" si="30"/>
        <v>Нет</v>
      </c>
      <c r="BV37" s="2755" t="str">
        <f t="shared" si="31"/>
        <v>проверка</v>
      </c>
      <c r="BW37" s="2772">
        <f t="shared" si="32"/>
        <v>0</v>
      </c>
      <c r="BX37" s="2772">
        <f>SUMIFS(Зарубежная_выручка!C:C,Зарубежная_выручка!I:I,G37,Зарубежная_выручка!F:F,K37,Зарубежная_выручка!E:E,J37)</f>
        <v>0</v>
      </c>
      <c r="BY37" s="2772">
        <f>SUMIFS('90_ОРВГ'!K:K,'90_ОРВГ'!E:E,G37,'90_ОРВГ'!G:G,K37,'90_ОРВГ'!I:I,J37)+SUMIFS('90_ОРВГ'!M:M,'90_ОРВГ'!E:E,G37,'90_ОРВГ'!G:G,K37,'90_ОРВГ'!I:I,J37)+SUMIFS('90_ОРВГ'!K:K,'90_ОРВГ'!R:R,G37,'90_ОРВГ'!G:G,K37,'90_ОРВГ'!I:I,J37)+SUMIFS('90_ОРВГ'!M:M,'90_ОРВГ'!R:R,G37,'90_ОРВГ'!G:G,K37,'90_ОРВГ'!I:I,J37)</f>
        <v>0</v>
      </c>
      <c r="BZ37" s="2772">
        <f>SUMIFS('90_контр'!I:I,'90_контр'!H:H,G37,'90_контр'!C:C,J37)</f>
        <v>0</v>
      </c>
      <c r="CA37" s="3010" t="b">
        <f t="shared" si="33"/>
        <v>1</v>
      </c>
      <c r="CB37" s="2038" t="b">
        <f t="shared" si="43"/>
        <v>1</v>
      </c>
      <c r="CC37" s="2999" t="str">
        <f>IF(CD37=0,"",IF(COUNTIF(CD$9:CD37,CD37)=1,MAX(CC$9:CC36)+1,""))</f>
        <v/>
      </c>
      <c r="CD37" s="2999" t="str">
        <f t="shared" si="34"/>
        <v/>
      </c>
      <c r="CE37" s="2999" t="str">
        <f t="shared" ca="1" si="10"/>
        <v/>
      </c>
      <c r="CL37" s="2038" t="b">
        <f t="shared" si="35"/>
        <v>1</v>
      </c>
      <c r="CM37" s="2772">
        <f>SUMIFS(НЗП_ГП!$H$10:$H$5000,НЗП_ГП!$D$10:$D$5000,J37)</f>
        <v>0</v>
      </c>
      <c r="CN37" s="2772">
        <f t="shared" si="36"/>
        <v>0</v>
      </c>
      <c r="CQ37" s="2038" t="b">
        <f t="shared" si="37"/>
        <v>1</v>
      </c>
      <c r="CR37" s="2038"/>
      <c r="CS37" s="2038" t="b">
        <f>IF(ISBLANK(D37),TRUE,IF(Долгосроч_договоры!AH37&lt;&gt;0,IF(OR(M37=46,M37="46"),TRUE,FALSE),TRUE))</f>
        <v>1</v>
      </c>
      <c r="CT37" s="2038"/>
      <c r="CU37" s="2038"/>
      <c r="CW37" s="2038" t="b">
        <f t="shared" ca="1" si="38"/>
        <v>1</v>
      </c>
      <c r="CX37" s="2038" t="b">
        <f t="shared" ca="1" si="39"/>
        <v>1</v>
      </c>
      <c r="CY37" s="2038" t="b">
        <f t="shared" ca="1" si="40"/>
        <v>1</v>
      </c>
      <c r="DA37" s="2038" t="b">
        <f t="shared" si="41"/>
        <v>1</v>
      </c>
      <c r="DC37" s="2038" t="b">
        <f t="shared" si="42"/>
        <v>1</v>
      </c>
      <c r="DD37" s="2772">
        <f>SUMIFS('46'!O:O,'46'!_xlnm.Print_Titles,C37,'46'!J:J,J37)</f>
        <v>0</v>
      </c>
      <c r="DE37" s="2772">
        <f>SUMIFS('46'!Z:Z,'46'!_xlnm.Print_Titles,C37,'46'!J:J,J37)+SUMIFS('46'!AA:AA,'46'!_xlnm.Print_Titles,C37,'46'!J:J,J37)</f>
        <v>0</v>
      </c>
    </row>
    <row r="38" spans="1:109" s="24" customFormat="1">
      <c r="A38" s="2804" t="str">
        <f t="shared" si="11"/>
        <v>R55=;R50=;R42=;R57=;R4=;R11=;R21=;R24=;R23=;R14=;R16=;R18=;R19=;R2=;R37=;R36=;R43=;R48=;R51=;COM=</v>
      </c>
      <c r="B38" s="207" t="b">
        <f t="shared" si="12"/>
        <v>1</v>
      </c>
      <c r="C38" s="1868" t="str">
        <f t="shared" si="13"/>
        <v/>
      </c>
      <c r="D38" s="1637"/>
      <c r="E38" s="1637"/>
      <c r="F38" s="2517"/>
      <c r="G38" s="2517"/>
      <c r="H38" s="1638"/>
      <c r="I38" s="1638"/>
      <c r="J38" s="1637"/>
      <c r="K38" s="1637"/>
      <c r="L38" s="1637"/>
      <c r="M38" s="2241"/>
      <c r="N38" s="2243"/>
      <c r="O38" s="2241" t="s">
        <v>5536</v>
      </c>
      <c r="P38" s="2243"/>
      <c r="Q38" s="2243"/>
      <c r="R38" s="2249" t="str">
        <f t="shared" si="4"/>
        <v>-</v>
      </c>
      <c r="S38" s="2248"/>
      <c r="T38" s="2243"/>
      <c r="U38" s="876"/>
      <c r="V38" s="876"/>
      <c r="W38" s="2252"/>
      <c r="X38" s="2252"/>
      <c r="Y38" s="2252"/>
      <c r="Z38" s="2252"/>
      <c r="AA38" s="2253"/>
      <c r="AB38" s="2240" t="str">
        <f t="shared" si="5"/>
        <v>-</v>
      </c>
      <c r="AC38" s="2252"/>
      <c r="AD38" s="2252"/>
      <c r="AE38" s="2252"/>
      <c r="AF38" s="2252"/>
      <c r="AG38" s="2252"/>
      <c r="AH38" s="2252"/>
      <c r="AI38" s="2884"/>
      <c r="AJ38" s="1637"/>
      <c r="AK38" s="2517"/>
      <c r="AL38" s="2517"/>
      <c r="AM38" s="2770"/>
      <c r="AN38" s="2596" t="b">
        <f>ABS(IF(AX38="Компания внешняя",(SUMIFS($Y:$Y,$C:$C,$C38,M:M,"46")+SUMIFS($Z:$Z,$C:$C,$C38,M:M,"46")+SUMIFS('60,62,63,76_контр'!V:V,'60,62,63,76_контр'!G:G,Долгосроч_договоры!D38,'60,62,63,76_контр'!E:E,Долгосроч_договоры!F38,'60,62,63,76_контр'!H:H,Долгосроч_договоры!H38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8" s="24" t="b">
        <f>SUMIFS($S:$S,$J:$J,$J38,M:M,"20_23_25_29")&lt;=SUMIFS(НЗП_ГП!$H:$H,НЗП_ГП!$D:$D,$J38,НЗП_ГП!$C:$C,"20_23_25_29")</f>
        <v>1</v>
      </c>
      <c r="AP38" s="1575">
        <f t="shared" si="6"/>
        <v>0</v>
      </c>
      <c r="AQ38" s="2038" t="b">
        <f t="shared" si="14"/>
        <v>1</v>
      </c>
      <c r="AR38" s="2038" t="b">
        <f t="shared" si="15"/>
        <v>1</v>
      </c>
      <c r="AS38" s="2038" t="b">
        <f t="shared" si="16"/>
        <v>1</v>
      </c>
      <c r="AT38" s="2103" t="b">
        <f t="shared" si="7"/>
        <v>1</v>
      </c>
      <c r="AU38" s="2262" t="b">
        <f t="shared" si="44"/>
        <v>1</v>
      </c>
      <c r="AV38" s="24" t="str">
        <f t="shared" si="18"/>
        <v>-</v>
      </c>
      <c r="AW38" s="24" t="str">
        <f t="shared" si="19"/>
        <v>-</v>
      </c>
      <c r="AX38" s="24" t="str">
        <f t="shared" si="8"/>
        <v/>
      </c>
      <c r="AY38" s="2038" t="b">
        <f t="shared" si="20"/>
        <v>1</v>
      </c>
      <c r="AZ38" s="2038"/>
      <c r="BA38" s="2772">
        <f>SUMIFS('60,62,63,76_контр'!V:V,'60,62,63,76_контр'!G:G,D38,'60,62,63,76_контр'!H:H,H38,'60,62,63,76_контр'!I:I,"{255222} Авансы полученные",'60,62,63,76_контр'!N:N,"{20} Краткосрочная")</f>
        <v>0</v>
      </c>
      <c r="BB38" s="2772">
        <f>SUMIFS('60,62,63,76_контр'!V:V,'60,62,63,76_контр'!G:G,D38,'60,62,63,76_контр'!H:H,H38,'60,62,63,76_контр'!I:I,"{255222} Авансы полученные",'60,62,63,76_контр'!N:N,"{10} Долгосрочная")</f>
        <v>0</v>
      </c>
      <c r="BC38" s="2772">
        <f>IF(ISERROR(VLOOKUP(F38,Список_компаний!B:K,7,0)),SUMIFS(Долгосроч_договоры!Y:Y,Долгосроч_договоры!D:D,D38,Долгосроч_договоры!H:H,H38),IF(VLOOKUP(F38,Список_компаний!B:K,7,0)=0,SUMIFS(Долгосроч_договоры!Y:Y,Долгосроч_договоры!D:D,D38,Долгосроч_договоры!H:H,H38),0))</f>
        <v>0</v>
      </c>
      <c r="BD38" s="2772">
        <f>IF(ISERROR(VLOOKUP(F38,Список_компаний!B:K,7,0)),SUMIFS(Долгосроч_договоры!Z:Z,Долгосроч_договоры!D:D,D38,Долгосроч_договоры!H:H,H38),IF(VLOOKUP(F38,Список_компаний!B:K,7,0)=0,SUMIFS(Долгосроч_договоры!Z:Z,Долгосроч_договоры!D:D,D38,Долгосроч_договоры!H:H,H38),0))</f>
        <v>0</v>
      </c>
      <c r="BE38" s="2103" t="b">
        <f t="shared" si="21"/>
        <v>1</v>
      </c>
      <c r="BF38" s="2493" t="b">
        <f t="shared" ca="1" si="22"/>
        <v>1</v>
      </c>
      <c r="BG38" s="2761" t="b">
        <f t="shared" si="23"/>
        <v>1</v>
      </c>
      <c r="BI38" s="24" t="str">
        <f t="shared" si="24"/>
        <v>X</v>
      </c>
      <c r="BJ38" s="2772">
        <f t="shared" si="9"/>
        <v>0</v>
      </c>
      <c r="BK38" s="2772">
        <f>SUMIFS('46'!Z:Z,'46'!C:C,C38)+SUMIFS('46'!AA:AA,'46'!C:C,C38)</f>
        <v>0</v>
      </c>
      <c r="BL38" s="3010" t="b">
        <f t="shared" si="25"/>
        <v>1</v>
      </c>
      <c r="BN38" s="2755">
        <f t="shared" si="26"/>
        <v>0</v>
      </c>
      <c r="BO38" s="2755" t="str">
        <f t="shared" si="27"/>
        <v>-</v>
      </c>
      <c r="BP38" s="2755" t="str">
        <f t="shared" si="28"/>
        <v>Да</v>
      </c>
      <c r="BQ38" s="2958" t="str">
        <f>IF(BO38="-","",IF(VLOOKUP(BO38,Список_компаний!$B$8:$I$301,7,0)=0,"Нет","Да"))</f>
        <v/>
      </c>
      <c r="BR38" s="2958" t="str">
        <f>IF(BO38="-","",VLOOKUP(BO38,Список_компаний!$B$8:$I$301,8,0))</f>
        <v/>
      </c>
      <c r="BS38" s="2958" t="str">
        <f t="shared" si="29"/>
        <v/>
      </c>
      <c r="BT38" s="2958" t="str">
        <f>IF(Содержание!$D$4="-","",IF(VLOOKUP(Содержание!$D$4,Список_компаний!$B$8:$I$301,7,0)=0,"Нет","Да"))</f>
        <v/>
      </c>
      <c r="BU38" s="2958" t="str">
        <f t="shared" si="30"/>
        <v>Нет</v>
      </c>
      <c r="BV38" s="2755" t="str">
        <f t="shared" si="31"/>
        <v>проверка</v>
      </c>
      <c r="BW38" s="2772">
        <f t="shared" si="32"/>
        <v>0</v>
      </c>
      <c r="BX38" s="2772">
        <f>SUMIFS(Зарубежная_выручка!C:C,Зарубежная_выручка!I:I,G38,Зарубежная_выручка!F:F,K38,Зарубежная_выручка!E:E,J38)</f>
        <v>0</v>
      </c>
      <c r="BY38" s="2772">
        <f>SUMIFS('90_ОРВГ'!K:K,'90_ОРВГ'!E:E,G38,'90_ОРВГ'!G:G,K38,'90_ОРВГ'!I:I,J38)+SUMIFS('90_ОРВГ'!M:M,'90_ОРВГ'!E:E,G38,'90_ОРВГ'!G:G,K38,'90_ОРВГ'!I:I,J38)+SUMIFS('90_ОРВГ'!K:K,'90_ОРВГ'!R:R,G38,'90_ОРВГ'!G:G,K38,'90_ОРВГ'!I:I,J38)+SUMIFS('90_ОРВГ'!M:M,'90_ОРВГ'!R:R,G38,'90_ОРВГ'!G:G,K38,'90_ОРВГ'!I:I,J38)</f>
        <v>0</v>
      </c>
      <c r="BZ38" s="2772">
        <f>SUMIFS('90_контр'!I:I,'90_контр'!H:H,G38,'90_контр'!C:C,J38)</f>
        <v>0</v>
      </c>
      <c r="CA38" s="3010" t="b">
        <f t="shared" si="33"/>
        <v>1</v>
      </c>
      <c r="CB38" s="2038" t="b">
        <f t="shared" si="43"/>
        <v>1</v>
      </c>
      <c r="CC38" s="2999" t="str">
        <f>IF(CD38=0,"",IF(COUNTIF(CD$9:CD38,CD38)=1,MAX(CC$9:CC37)+1,""))</f>
        <v/>
      </c>
      <c r="CD38" s="2999" t="str">
        <f t="shared" si="34"/>
        <v/>
      </c>
      <c r="CE38" s="2999" t="str">
        <f t="shared" ca="1" si="10"/>
        <v/>
      </c>
      <c r="CL38" s="2038" t="b">
        <f t="shared" si="35"/>
        <v>1</v>
      </c>
      <c r="CM38" s="2772">
        <f>SUMIFS(НЗП_ГП!$H$10:$H$5000,НЗП_ГП!$D$10:$D$5000,J38)</f>
        <v>0</v>
      </c>
      <c r="CN38" s="2772">
        <f t="shared" si="36"/>
        <v>0</v>
      </c>
      <c r="CQ38" s="2038" t="b">
        <f t="shared" si="37"/>
        <v>1</v>
      </c>
      <c r="CR38" s="2038"/>
      <c r="CS38" s="2038" t="b">
        <f>IF(ISBLANK(D38),TRUE,IF(Долгосроч_договоры!AH38&lt;&gt;0,IF(OR(M38=46,M38="46"),TRUE,FALSE),TRUE))</f>
        <v>1</v>
      </c>
      <c r="CT38" s="2038"/>
      <c r="CU38" s="2038"/>
      <c r="CW38" s="2038" t="b">
        <f t="shared" ca="1" si="38"/>
        <v>1</v>
      </c>
      <c r="CX38" s="2038" t="b">
        <f t="shared" ca="1" si="39"/>
        <v>1</v>
      </c>
      <c r="CY38" s="2038" t="b">
        <f t="shared" ca="1" si="40"/>
        <v>1</v>
      </c>
      <c r="DA38" s="2038" t="b">
        <f t="shared" si="41"/>
        <v>1</v>
      </c>
      <c r="DC38" s="2038" t="b">
        <f t="shared" si="42"/>
        <v>1</v>
      </c>
      <c r="DD38" s="2772">
        <f>SUMIFS('46'!O:O,'46'!_xlnm.Print_Titles,C38,'46'!J:J,J38)</f>
        <v>0</v>
      </c>
      <c r="DE38" s="2772">
        <f>SUMIFS('46'!Z:Z,'46'!_xlnm.Print_Titles,C38,'46'!J:J,J38)+SUMIFS('46'!AA:AA,'46'!_xlnm.Print_Titles,C38,'46'!J:J,J38)</f>
        <v>0</v>
      </c>
    </row>
    <row r="39" spans="1:109" s="24" customFormat="1">
      <c r="A39" s="2804" t="str">
        <f t="shared" si="11"/>
        <v>R55=;R50=;R42=;R57=;R4=;R11=;R21=;R24=;R23=;R14=;R16=;R18=;R19=;R2=;R37=;R36=;R43=;R48=;R51=;COM=</v>
      </c>
      <c r="B39" s="207" t="b">
        <f t="shared" ref="B39" si="45">IF(COUNTIF(D39,"*№*"),FALSE,TRUE)</f>
        <v>1</v>
      </c>
      <c r="C39" s="1868" t="str">
        <f t="shared" si="13"/>
        <v/>
      </c>
      <c r="D39" s="1637"/>
      <c r="E39" s="1637"/>
      <c r="F39" s="2517"/>
      <c r="G39" s="2517"/>
      <c r="H39" s="1638"/>
      <c r="I39" s="1638"/>
      <c r="J39" s="1637"/>
      <c r="K39" s="1637"/>
      <c r="L39" s="1637"/>
      <c r="M39" s="2241"/>
      <c r="N39" s="2243"/>
      <c r="O39" s="2241"/>
      <c r="P39" s="2243"/>
      <c r="Q39" s="2243"/>
      <c r="R39" s="2249" t="str">
        <f t="shared" si="4"/>
        <v>-</v>
      </c>
      <c r="S39" s="2248"/>
      <c r="T39" s="2243"/>
      <c r="U39" s="876"/>
      <c r="V39" s="876"/>
      <c r="W39" s="2252"/>
      <c r="X39" s="2252"/>
      <c r="Y39" s="2252"/>
      <c r="Z39" s="2252"/>
      <c r="AA39" s="2253"/>
      <c r="AB39" s="2240" t="str">
        <f t="shared" ref="AB39" si="46">IFERROR((S39+W39)/Q39,"-")</f>
        <v>-</v>
      </c>
      <c r="AC39" s="2252"/>
      <c r="AD39" s="2252"/>
      <c r="AE39" s="2252"/>
      <c r="AF39" s="2252"/>
      <c r="AG39" s="2252"/>
      <c r="AH39" s="2252"/>
      <c r="AI39" s="2884"/>
      <c r="AJ39" s="1637"/>
      <c r="AK39" s="2517"/>
      <c r="AL39" s="2517"/>
      <c r="AM39" s="2770"/>
      <c r="AN39" s="2596" t="b">
        <f>ABS(IF(AX39="Компания внешняя",(SUMIFS($Y:$Y,$C:$C,$C39,M:M,"46")+SUMIFS($Z:$Z,$C:$C,$C39,M:M,"46")+SUMIFS('60,62,63,76_контр'!V:V,'60,62,63,76_контр'!G:G,Долгосроч_договоры!D39,'60,62,63,76_контр'!E:E,Долгосроч_договоры!F39,'60,62,63,76_контр'!H:H,Долгосроч_договоры!H39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39" s="24" t="b">
        <f>SUMIFS($S:$S,$J:$J,$J39,M:M,"20_23_25_29")&lt;=SUMIFS(НЗП_ГП!$H:$H,НЗП_ГП!$D:$D,$J39,НЗП_ГП!$C:$C,"20_23_25_29")</f>
        <v>1</v>
      </c>
      <c r="AP39" s="1575">
        <f t="shared" ref="AP39" si="47">S39</f>
        <v>0</v>
      </c>
      <c r="AQ39" s="2038" t="b">
        <f t="shared" ref="AQ39" si="48">IF(E39&gt;0,OR(AND($F39&lt;&gt;"",$G39=""),AND($F39="",$G39&lt;&gt;""),AND($F39&lt;&gt;"",$G39&lt;&gt;"")),TRUE)</f>
        <v>1</v>
      </c>
      <c r="AR39" s="2038" t="b">
        <f t="shared" ref="AR39" si="49">IF(AND(TEXT(M39,"#")="46",AX39="Компания внешняя"),AND(N39&lt;&gt;"",O39&lt;&gt;"",W39&lt;&gt;"",X39&lt;&gt;"",IF(O39="{01} да",TRUE,P39&lt;&gt;""),Q39&lt;&gt;""),OR(M39="20_23_25_29",M39="Оборудование",M39="",AX39="Компания ВГО"))</f>
        <v>1</v>
      </c>
      <c r="AS39" s="2038" t="b">
        <f t="shared" ref="AS39" si="50">IF(M39="20_23_25_29",AND(N39&lt;&gt;"",O39&lt;&gt;"",W39&lt;&gt;"",X39&lt;&gt;"",IF(O39="{01} да",TRUE,P39&lt;&gt;""),Q39&lt;&gt;""),OR(TEXT(M39,"#")="46",M39="Оборудование",M39=""))</f>
        <v>1</v>
      </c>
      <c r="AT39" s="2103" t="b">
        <f t="shared" ref="AT39" si="51">IF(E39&lt;&gt;"",M39&lt;&gt;"",TRUE)</f>
        <v>1</v>
      </c>
      <c r="AU39" s="2262" t="b">
        <f t="shared" ref="AU39" si="52">IFERROR(AV39=AW39,"ложь")</f>
        <v>1</v>
      </c>
      <c r="AV39" s="24" t="str">
        <f t="shared" ref="AV39" si="53">IF(LEN(E39)&gt;0,E39,"-")</f>
        <v>-</v>
      </c>
      <c r="AW39" s="24" t="str">
        <f t="shared" si="19"/>
        <v>-</v>
      </c>
      <c r="AX39" s="24" t="str">
        <f t="shared" ref="AX39" si="54">IF(F39&lt;&gt;"",(IF((IFERROR(VLOOKUP(F39,_icompindex,1,FALSE)="F13","-")="-"),"Компания внешняя","Компания ВГО")),"")</f>
        <v/>
      </c>
      <c r="AY39" s="2038" t="b">
        <f t="shared" ref="AY39" si="55">IF(N39&gt;=X39,TRUE,FALSE)</f>
        <v>1</v>
      </c>
      <c r="AZ39" s="2038"/>
      <c r="BA39" s="2772">
        <f>SUMIFS('60,62,63,76_контр'!V:V,'60,62,63,76_контр'!G:G,D39,'60,62,63,76_контр'!H:H,H39,'60,62,63,76_контр'!I:I,"{255222} Авансы полученные",'60,62,63,76_контр'!N:N,"{20} Краткосрочная")</f>
        <v>0</v>
      </c>
      <c r="BB39" s="2772">
        <f>SUMIFS('60,62,63,76_контр'!V:V,'60,62,63,76_контр'!G:G,D39,'60,62,63,76_контр'!H:H,H39,'60,62,63,76_контр'!I:I,"{255222} Авансы полученные",'60,62,63,76_контр'!N:N,"{10} Долгосрочная")</f>
        <v>0</v>
      </c>
      <c r="BC39" s="2772">
        <f>IF(ISERROR(VLOOKUP(F39,Список_компаний!B:K,7,0)),SUMIFS(Долгосроч_договоры!Y:Y,Долгосроч_договоры!D:D,D39,Долгосроч_договоры!H:H,H39),IF(VLOOKUP(F39,Список_компаний!B:K,7,0)=0,SUMIFS(Долгосроч_договоры!Y:Y,Долгосроч_договоры!D:D,D39,Долгосроч_договоры!H:H,H39),0))</f>
        <v>0</v>
      </c>
      <c r="BD39" s="2772">
        <f>IF(ISERROR(VLOOKUP(F39,Список_компаний!B:K,7,0)),SUMIFS(Долгосроч_договоры!Z:Z,Долгосроч_договоры!D:D,D39,Долгосроч_договоры!H:H,H39),IF(VLOOKUP(F39,Список_компаний!B:K,7,0)=0,SUMIFS(Долгосроч_договоры!Z:Z,Долгосроч_договоры!D:D,D39,Долгосроч_договоры!H:H,H39),0))</f>
        <v>0</v>
      </c>
      <c r="BE39" s="2103" t="b">
        <f t="shared" ref="BE39" si="56">IF(BV39="проверка",AND(IF((ABS(BA39+BD39))&gt;5,FALSE,TRUE),IF((ABS(BB39+BC39))&gt;5,FALSE,TRUE)),TRUE)</f>
        <v>1</v>
      </c>
      <c r="BF39" s="2493" t="b">
        <f t="shared" ca="1" si="22"/>
        <v>1</v>
      </c>
      <c r="BG39" s="2761" t="b">
        <f t="shared" ref="BG39" si="57">IF(M39=46,TRUE,IF(X39&gt;=T39,TRUE,FALSE))</f>
        <v>1</v>
      </c>
      <c r="BI39" s="24" t="str">
        <f t="shared" si="24"/>
        <v>X</v>
      </c>
      <c r="BJ39" s="2772">
        <f t="shared" si="9"/>
        <v>0</v>
      </c>
      <c r="BK39" s="2772">
        <f>SUMIFS('46'!Z:Z,'46'!C:C,C39)+SUMIFS('46'!AA:AA,'46'!C:C,C39)</f>
        <v>0</v>
      </c>
      <c r="BL39" s="3010" t="b">
        <f t="shared" si="25"/>
        <v>1</v>
      </c>
      <c r="BN39" s="2755">
        <f t="shared" ref="BN39" si="58">IF(OR(IF(TEXT(LEFT(F39,1),"0")="0",TRUE,FALSE),ISERROR(F39*1)),F39,F39*1)</f>
        <v>0</v>
      </c>
      <c r="BO39" s="2755" t="str">
        <f t="shared" ref="BO39" si="59">IF(OR(BN39=3801085668,BN39=7704765961),"-",IF(ISNA(VLOOKUP(BN39,_icompindex,1,0)),"-",VLOOKUP(BN39,_icompindex,1,0)))</f>
        <v>-</v>
      </c>
      <c r="BP39" s="2755" t="str">
        <f t="shared" ref="BP39" si="60">IF(BQ39="","Да","Нет")</f>
        <v>Да</v>
      </c>
      <c r="BQ39" s="2958" t="str">
        <f>IF(BO39="-","",IF(VLOOKUP(BO39,Список_компаний!$B$8:$I$301,7,0)=0,"Нет","Да"))</f>
        <v/>
      </c>
      <c r="BR39" s="2958" t="str">
        <f>IF(BO39="-","",VLOOKUP(BO39,Список_компаний!$B$8:$I$301,8,0))</f>
        <v/>
      </c>
      <c r="BS39" s="2958" t="str">
        <f t="shared" ref="BS39" si="61">IF(AND(BQ39="",BR39=""),"",IF(AND(BQ39="Нет",BR39="Да"),"Да","Нет"))</f>
        <v/>
      </c>
      <c r="BT39" s="2958" t="str">
        <f>IF(Содержание!$D$4="-","",IF(VLOOKUP(Содержание!$D$4,Список_компаний!$B$8:$I$301,7,0)=0,"Нет","Да"))</f>
        <v/>
      </c>
      <c r="BU39" s="2958" t="str">
        <f t="shared" ref="BU39" si="62">IF(AND(BT39="Да",BS39="Да"),"Да","Нет")</f>
        <v>Нет</v>
      </c>
      <c r="BV39" s="2755" t="str">
        <f t="shared" ref="BV39" si="63">IF(BP39="Да","проверка",IF(BU39="Да","проверка",TRUE))</f>
        <v>проверка</v>
      </c>
      <c r="BW39" s="2772">
        <f t="shared" si="32"/>
        <v>0</v>
      </c>
      <c r="BX39" s="2772">
        <f>SUMIFS(Зарубежная_выручка!C:C,Зарубежная_выручка!I:I,G39,Зарубежная_выручка!F:F,K39,Зарубежная_выручка!E:E,J39)</f>
        <v>0</v>
      </c>
      <c r="BY39" s="2772">
        <f>SUMIFS('90_ОРВГ'!K:K,'90_ОРВГ'!E:E,G39,'90_ОРВГ'!G:G,K39,'90_ОРВГ'!I:I,J39)+SUMIFS('90_ОРВГ'!M:M,'90_ОРВГ'!E:E,G39,'90_ОРВГ'!G:G,K39,'90_ОРВГ'!I:I,J39)+SUMIFS('90_ОРВГ'!K:K,'90_ОРВГ'!R:R,G39,'90_ОРВГ'!G:G,K39,'90_ОРВГ'!I:I,J39)+SUMIFS('90_ОРВГ'!M:M,'90_ОРВГ'!R:R,G39,'90_ОРВГ'!G:G,K39,'90_ОРВГ'!I:I,J39)</f>
        <v>0</v>
      </c>
      <c r="BZ39" s="2772">
        <f>SUMIFS('90_контр'!I:I,'90_контр'!H:H,G39,'90_контр'!C:C,J39)</f>
        <v>0</v>
      </c>
      <c r="CA39" s="3010" t="b">
        <f t="shared" si="33"/>
        <v>1</v>
      </c>
      <c r="CB39" s="2038" t="b">
        <f t="shared" si="43"/>
        <v>1</v>
      </c>
      <c r="CC39" s="2999" t="str">
        <f>IF(CD39=0,"",IF(COUNTIF(CD$9:CD39,CD39)=1,MAX(CC$9:CC38)+1,""))</f>
        <v/>
      </c>
      <c r="CD39" s="2999" t="str">
        <f t="shared" si="34"/>
        <v/>
      </c>
      <c r="CE39" s="2999" t="str">
        <f t="shared" ca="1" si="10"/>
        <v/>
      </c>
      <c r="CL39" s="2038" t="b">
        <f t="shared" si="35"/>
        <v>1</v>
      </c>
      <c r="CM39" s="2772">
        <f>SUMIFS(НЗП_ГП!$H$10:$H$5000,НЗП_ГП!$D$10:$D$5000,J39)</f>
        <v>0</v>
      </c>
      <c r="CN39" s="2772">
        <f t="shared" si="36"/>
        <v>0</v>
      </c>
      <c r="CQ39" s="2038" t="b">
        <f t="shared" si="37"/>
        <v>1</v>
      </c>
      <c r="CR39" s="2038"/>
      <c r="CS39" s="2038" t="b">
        <f>IF(ISBLANK(D39),TRUE,IF(Долгосроч_договоры!AH39&lt;&gt;0,IF(OR(M39=46,M39="46"),TRUE,FALSE),TRUE))</f>
        <v>1</v>
      </c>
      <c r="CT39" s="2038"/>
      <c r="CU39" s="2038"/>
      <c r="CW39" s="2038" t="b">
        <f t="shared" ca="1" si="38"/>
        <v>1</v>
      </c>
      <c r="CX39" s="2038" t="b">
        <f t="shared" ca="1" si="39"/>
        <v>1</v>
      </c>
      <c r="CY39" s="2038" t="b">
        <f t="shared" ca="1" si="40"/>
        <v>1</v>
      </c>
      <c r="DA39" s="2038" t="b">
        <f t="shared" si="41"/>
        <v>1</v>
      </c>
      <c r="DC39" s="2038" t="b">
        <f t="shared" si="42"/>
        <v>1</v>
      </c>
      <c r="DD39" s="2772">
        <f>SUMIFS('46'!O:O,'46'!_xlnm.Print_Titles,C39,'46'!J:J,J39)</f>
        <v>0</v>
      </c>
      <c r="DE39" s="2772">
        <f>SUMIFS('46'!Z:Z,'46'!_xlnm.Print_Titles,C39,'46'!J:J,J39)+SUMIFS('46'!AA:AA,'46'!_xlnm.Print_Titles,C39,'46'!J:J,J39)</f>
        <v>0</v>
      </c>
    </row>
    <row r="40" spans="1:109" s="24" customFormat="1">
      <c r="A40" s="2804" t="str">
        <f t="shared" si="11"/>
        <v>R55=;R50=;R42=;R57=;R4=;R11=;R21=;R24=;R23=;R14=;R16=;R18=;R19=;R2=;R37=;R36=;R43=;R48=;R51=;COM=</v>
      </c>
      <c r="B40" s="207" t="b">
        <f t="shared" ref="B40" si="64">IF(COUNTIF(D40,"*№*"),FALSE,TRUE)</f>
        <v>1</v>
      </c>
      <c r="C40" s="1868" t="str">
        <f t="shared" si="13"/>
        <v/>
      </c>
      <c r="D40" s="1637"/>
      <c r="E40" s="1637"/>
      <c r="F40" s="2517"/>
      <c r="G40" s="2517"/>
      <c r="H40" s="1638"/>
      <c r="I40" s="1638"/>
      <c r="J40" s="1637"/>
      <c r="K40" s="1637"/>
      <c r="L40" s="1637"/>
      <c r="M40" s="2241"/>
      <c r="N40" s="2243"/>
      <c r="O40" s="2241"/>
      <c r="P40" s="2243"/>
      <c r="Q40" s="2243"/>
      <c r="R40" s="2249" t="str">
        <f t="shared" si="4"/>
        <v>-</v>
      </c>
      <c r="S40" s="2248"/>
      <c r="T40" s="2243"/>
      <c r="U40" s="876"/>
      <c r="V40" s="876"/>
      <c r="W40" s="2252"/>
      <c r="X40" s="2252"/>
      <c r="Y40" s="2252"/>
      <c r="Z40" s="2252"/>
      <c r="AA40" s="2253"/>
      <c r="AB40" s="2240" t="str">
        <f t="shared" ref="AB40" si="65">IFERROR((S40+W40)/Q40,"-")</f>
        <v>-</v>
      </c>
      <c r="AC40" s="2252"/>
      <c r="AD40" s="2252"/>
      <c r="AE40" s="2252"/>
      <c r="AF40" s="2252"/>
      <c r="AG40" s="2252"/>
      <c r="AH40" s="2252"/>
      <c r="AI40" s="2884"/>
      <c r="AJ40" s="1637"/>
      <c r="AK40" s="2517"/>
      <c r="AL40" s="2517"/>
      <c r="AM40" s="2770"/>
      <c r="AN40" s="2596" t="b">
        <f>ABS(IF(AX40="Компания внешняя",(SUMIFS($Y:$Y,$C:$C,$C40,M:M,"46")+SUMIFS($Z:$Z,$C:$C,$C40,M:M,"46")+SUMIFS('60,62,63,76_контр'!V:V,'60,62,63,76_контр'!G:G,Долгосроч_договоры!D40,'60,62,63,76_контр'!E:E,Долгосроч_договоры!F40,'60,62,63,76_контр'!H:H,Долгосроч_договоры!H40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40" s="24" t="b">
        <f>SUMIFS($S:$S,$J:$J,$J40,M:M,"20_23_25_29")&lt;=SUMIFS(НЗП_ГП!$H:$H,НЗП_ГП!$D:$D,$J40,НЗП_ГП!$C:$C,"20_23_25_29")</f>
        <v>1</v>
      </c>
      <c r="AP40" s="1575">
        <f t="shared" ref="AP40" si="66">S40</f>
        <v>0</v>
      </c>
      <c r="AQ40" s="2038" t="b">
        <f t="shared" ref="AQ40" si="67">IF(E40&gt;0,OR(AND($F40&lt;&gt;"",$G40=""),AND($F40="",$G40&lt;&gt;""),AND($F40&lt;&gt;"",$G40&lt;&gt;"")),TRUE)</f>
        <v>1</v>
      </c>
      <c r="AR40" s="2038" t="b">
        <f t="shared" ref="AR40" si="68">IF(AND(TEXT(M40,"#")="46",AX40="Компания внешняя"),AND(N40&lt;&gt;"",O40&lt;&gt;"",W40&lt;&gt;"",X40&lt;&gt;"",IF(O40="{01} да",TRUE,P40&lt;&gt;""),Q40&lt;&gt;""),OR(M40="20_23_25_29",M40="Оборудование",M40="",AX40="Компания ВГО"))</f>
        <v>1</v>
      </c>
      <c r="AS40" s="2038" t="b">
        <f t="shared" ref="AS40" si="69">IF(M40="20_23_25_29",AND(N40&lt;&gt;"",O40&lt;&gt;"",W40&lt;&gt;"",X40&lt;&gt;"",IF(O40="{01} да",TRUE,P40&lt;&gt;""),Q40&lt;&gt;""),OR(TEXT(M40,"#")="46",M40="Оборудование",M40=""))</f>
        <v>1</v>
      </c>
      <c r="AT40" s="3010" t="b">
        <f t="shared" ref="AT40" si="70">IF(E40&lt;&gt;"",M40&lt;&gt;"",TRUE)</f>
        <v>1</v>
      </c>
      <c r="AU40" s="2262" t="b">
        <f t="shared" ref="AU40" si="71">IFERROR(AV40=AW40,"ложь")</f>
        <v>1</v>
      </c>
      <c r="AV40" s="24" t="str">
        <f t="shared" ref="AV40" si="72">IF(LEN(E40)&gt;0,E40,"-")</f>
        <v>-</v>
      </c>
      <c r="AW40" s="24" t="str">
        <f t="shared" si="19"/>
        <v>-</v>
      </c>
      <c r="AX40" s="24" t="str">
        <f t="shared" ref="AX40" si="73">IF(F40&lt;&gt;"",(IF((IFERROR(VLOOKUP(F40,_icompindex,1,FALSE)="F13","-")="-"),"Компания внешняя","Компания ВГО")),"")</f>
        <v/>
      </c>
      <c r="AY40" s="2038" t="b">
        <f t="shared" ref="AY40" si="74">IF(N40&gt;=X40,TRUE,FALSE)</f>
        <v>1</v>
      </c>
      <c r="AZ40" s="2038"/>
      <c r="BA40" s="2772">
        <f>SUMIFS('60,62,63,76_контр'!V:V,'60,62,63,76_контр'!G:G,D40,'60,62,63,76_контр'!H:H,H40,'60,62,63,76_контр'!I:I,"{255222} Авансы полученные",'60,62,63,76_контр'!N:N,"{20} Краткосрочная")</f>
        <v>0</v>
      </c>
      <c r="BB40" s="2772">
        <f>SUMIFS('60,62,63,76_контр'!V:V,'60,62,63,76_контр'!G:G,D40,'60,62,63,76_контр'!H:H,H40,'60,62,63,76_контр'!I:I,"{255222} Авансы полученные",'60,62,63,76_контр'!N:N,"{10} Долгосрочная")</f>
        <v>0</v>
      </c>
      <c r="BC40" s="2772">
        <f>IF(ISERROR(VLOOKUP(F40,Список_компаний!B:K,7,0)),SUMIFS(Долгосроч_договоры!Y:Y,Долгосроч_договоры!D:D,D40,Долгосроч_договоры!H:H,H40),IF(VLOOKUP(F40,Список_компаний!B:K,7,0)=0,SUMIFS(Долгосроч_договоры!Y:Y,Долгосроч_договоры!D:D,D40,Долгосроч_договоры!H:H,H40),0))</f>
        <v>0</v>
      </c>
      <c r="BD40" s="2772">
        <f>IF(ISERROR(VLOOKUP(F40,Список_компаний!B:K,7,0)),SUMIFS(Долгосроч_договоры!Z:Z,Долгосроч_договоры!D:D,D40,Долгосроч_договоры!H:H,H40),IF(VLOOKUP(F40,Список_компаний!B:K,7,0)=0,SUMIFS(Долгосроч_договоры!Z:Z,Долгосроч_договоры!D:D,D40,Долгосроч_договоры!H:H,H40),0))</f>
        <v>0</v>
      </c>
      <c r="BE40" s="3010" t="b">
        <f t="shared" ref="BE40" si="75">IF(BV40="проверка",AND(IF((ABS(BA40+BD40))&gt;5,FALSE,TRUE),IF((ABS(BB40+BC40))&gt;5,FALSE,TRUE)),TRUE)</f>
        <v>1</v>
      </c>
      <c r="BF40" s="2493" t="b">
        <f t="shared" ca="1" si="22"/>
        <v>1</v>
      </c>
      <c r="BG40" s="2761" t="b">
        <f t="shared" ref="BG40" si="76">IF(M40=46,TRUE,IF(X40&gt;=T40,TRUE,FALSE))</f>
        <v>1</v>
      </c>
      <c r="BI40" s="24" t="str">
        <f t="shared" si="24"/>
        <v>X</v>
      </c>
      <c r="BJ40" s="2772">
        <f t="shared" ref="BJ40" si="77">SUMIFS(AH:AH,C:C,C40)</f>
        <v>0</v>
      </c>
      <c r="BK40" s="2772">
        <f>SUMIFS('46'!Z:Z,'46'!C:C,C40)+SUMIFS('46'!AA:AA,'46'!C:C,C40)</f>
        <v>0</v>
      </c>
      <c r="BL40" s="3010" t="b">
        <f t="shared" si="25"/>
        <v>1</v>
      </c>
      <c r="BN40" s="2755">
        <f t="shared" ref="BN40" si="78">IF(OR(IF(TEXT(LEFT(F40,1),"0")="0",TRUE,FALSE),ISERROR(F40*1)),F40,F40*1)</f>
        <v>0</v>
      </c>
      <c r="BO40" s="2755" t="str">
        <f t="shared" ref="BO40" si="79">IF(OR(BN40=3801085668,BN40=7704765961),"-",IF(ISNA(VLOOKUP(BN40,_icompindex,1,0)),"-",VLOOKUP(BN40,_icompindex,1,0)))</f>
        <v>-</v>
      </c>
      <c r="BP40" s="2755" t="str">
        <f t="shared" ref="BP40" si="80">IF(BQ40="","Да","Нет")</f>
        <v>Да</v>
      </c>
      <c r="BQ40" s="2958" t="str">
        <f>IF(BO40="-","",IF(VLOOKUP(BO40,Список_компаний!$B$8:$I$301,7,0)=0,"Нет","Да"))</f>
        <v/>
      </c>
      <c r="BR40" s="2958" t="str">
        <f>IF(BO40="-","",VLOOKUP(BO40,Список_компаний!$B$8:$I$301,8,0))</f>
        <v/>
      </c>
      <c r="BS40" s="2958" t="str">
        <f t="shared" ref="BS40" si="81">IF(AND(BQ40="",BR40=""),"",IF(AND(BQ40="Нет",BR40="Да"),"Да","Нет"))</f>
        <v/>
      </c>
      <c r="BT40" s="2958" t="str">
        <f>IF(Содержание!$D$4="-","",IF(VLOOKUP(Содержание!$D$4,Список_компаний!$B$8:$I$301,7,0)=0,"Нет","Да"))</f>
        <v/>
      </c>
      <c r="BU40" s="2958" t="str">
        <f t="shared" ref="BU40" si="82">IF(AND(BT40="Да",BS40="Да"),"Да","Нет")</f>
        <v>Нет</v>
      </c>
      <c r="BV40" s="2755" t="str">
        <f t="shared" ref="BV40" si="83">IF(BP40="Да","проверка",IF(BU40="Да","проверка",TRUE))</f>
        <v>проверка</v>
      </c>
      <c r="BW40" s="2772">
        <f t="shared" si="32"/>
        <v>0</v>
      </c>
      <c r="BX40" s="2772">
        <f>SUMIFS(Зарубежная_выручка!C:C,Зарубежная_выручка!I:I,G40,Зарубежная_выручка!F:F,K40,Зарубежная_выручка!E:E,J40)</f>
        <v>0</v>
      </c>
      <c r="BY40" s="2772">
        <f>SUMIFS('90_ОРВГ'!K:K,'90_ОРВГ'!E:E,G40,'90_ОРВГ'!G:G,K40,'90_ОРВГ'!I:I,J40)+SUMIFS('90_ОРВГ'!M:M,'90_ОРВГ'!E:E,G40,'90_ОРВГ'!G:G,K40,'90_ОРВГ'!I:I,J40)+SUMIFS('90_ОРВГ'!K:K,'90_ОРВГ'!R:R,G40,'90_ОРВГ'!G:G,K40,'90_ОРВГ'!I:I,J40)+SUMIFS('90_ОРВГ'!M:M,'90_ОРВГ'!R:R,G40,'90_ОРВГ'!G:G,K40,'90_ОРВГ'!I:I,J40)</f>
        <v>0</v>
      </c>
      <c r="BZ40" s="2772">
        <f>SUMIFS('90_контр'!I:I,'90_контр'!H:H,G40,'90_контр'!C:C,J40)</f>
        <v>0</v>
      </c>
      <c r="CA40" s="3010" t="b">
        <f t="shared" si="33"/>
        <v>1</v>
      </c>
      <c r="CB40" s="2038" t="b">
        <f t="shared" si="43"/>
        <v>1</v>
      </c>
      <c r="CC40" s="2999" t="str">
        <f>IF(CD40=0,"",IF(COUNTIF(CD$9:CD40,CD40)=1,MAX(CC$9:CC39)+1,""))</f>
        <v/>
      </c>
      <c r="CD40" s="2999" t="str">
        <f t="shared" si="34"/>
        <v/>
      </c>
      <c r="CE40" s="2999" t="str">
        <f t="shared" ca="1" si="10"/>
        <v/>
      </c>
      <c r="CL40" s="2038" t="b">
        <f t="shared" si="35"/>
        <v>1</v>
      </c>
      <c r="CM40" s="2772">
        <f>SUMIFS(НЗП_ГП!$H$10:$H$5000,НЗП_ГП!$D$10:$D$5000,J40)</f>
        <v>0</v>
      </c>
      <c r="CN40" s="2772">
        <f t="shared" si="36"/>
        <v>0</v>
      </c>
      <c r="CQ40" s="2038" t="b">
        <f t="shared" si="37"/>
        <v>1</v>
      </c>
      <c r="CR40" s="2038"/>
      <c r="CS40" s="2038" t="b">
        <f>IF(ISBLANK(D40),TRUE,IF(Долгосроч_договоры!AH40&lt;&gt;0,IF(OR(M40=46,M40="46"),TRUE,FALSE),TRUE))</f>
        <v>1</v>
      </c>
      <c r="CT40" s="2038"/>
      <c r="CU40" s="2038"/>
      <c r="CW40" s="2038" t="b">
        <f t="shared" ca="1" si="38"/>
        <v>1</v>
      </c>
      <c r="CX40" s="2038" t="b">
        <f t="shared" ca="1" si="39"/>
        <v>1</v>
      </c>
      <c r="CY40" s="2038" t="b">
        <f t="shared" ca="1" si="40"/>
        <v>1</v>
      </c>
      <c r="DA40" s="2038" t="b">
        <f t="shared" si="41"/>
        <v>1</v>
      </c>
      <c r="DC40" s="2038" t="b">
        <f t="shared" si="42"/>
        <v>1</v>
      </c>
      <c r="DD40" s="2772">
        <f>SUMIFS('46'!O:O,'46'!_xlnm.Print_Titles,C40,'46'!J:J,J40)</f>
        <v>0</v>
      </c>
      <c r="DE40" s="2772">
        <f>SUMIFS('46'!Z:Z,'46'!_xlnm.Print_Titles,C40,'46'!J:J,J40)+SUMIFS('46'!AA:AA,'46'!_xlnm.Print_Titles,C40,'46'!J:J,J40)</f>
        <v>0</v>
      </c>
    </row>
    <row r="41" spans="1:109" s="24" customFormat="1">
      <c r="A41" s="2804" t="str">
        <f t="shared" ref="A41" si="84">"R55="&amp;MID(D41,1,100)&amp;";R50="&amp;MID(C41,1,100)&amp;";R42="&amp;MID(IF(G41&lt;&gt;"",G41,F41),1,30)&amp;";R57="&amp;MID(E41,1,60)&amp;";R4="&amp;H41&amp;";R11="&amp;IFERROR(MID(I41,FIND("{",I41)+1,FIND("}",I41)-FIND("{",I41)-1),"")&amp;";R21="&amp;MID(M41,1,13)&amp;";R24="&amp;IFERROR(MID(J41,FIND("{",J41)+1,FIND("}",J41)-FIND("{",J41)-1),"")&amp;";R23="&amp;IFERROR(MID(K41,FIND("{",K41)+1,FIND("}",K41)-FIND("{",K41)-1),"")&amp;";R14="&amp;IFERROR(MID(O41,FIND("{",O41)+1,FIND("}",O41)-FIND("{",O41)-1),"")&amp;";R16="&amp;IFERROR(MID(AI41,FIND("{",AI41)+1,FIND("}",AI41)-FIND("{",AI41)-1),AI41)&amp;";R18="&amp;U41&amp;";R19="&amp;V41&amp;";R2="&amp;IFERROR(MID(AA41,FIND("{",AA41)+1,FIND("}",AA41)-FIND("{",AA41)-1),"")&amp;";R37="&amp;IFERROR(MID(L41,FIND("{",L41)+1,FIND("}",L41)-FIND("{",L41)-1),"")&amp;";R36="&amp;MID(G41,1,30)&amp;";R43="&amp;MID(F41,1,30)&amp;";R48="&amp;MID(AL41,1,30)&amp;";R51="&amp;MID(AK41,1,30)&amp;";COM="&amp;AM41</f>
        <v>R55=;R50=;R42=;R57=;R4=;R11=;R21=;R24=;R23=;R14=;R16=;R18=;R19=;R2=;R37=;R36=;R43=;R48=;R51=;COM=</v>
      </c>
      <c r="B41" s="207" t="b">
        <f t="shared" ref="B41" si="85">IF(COUNTIF(D41,"*№*"),FALSE,TRUE)</f>
        <v>1</v>
      </c>
      <c r="C41" s="1868" t="str">
        <f t="shared" ref="C41" si="86">IF(H41="","",D41&amp;" "&amp;F41&amp;" "&amp;TEXT(H41,"дд.ММ.гггг")&amp;" "&amp;MID(AI41,1,4))</f>
        <v/>
      </c>
      <c r="D41" s="1637"/>
      <c r="E41" s="1637"/>
      <c r="F41" s="2517"/>
      <c r="G41" s="2517"/>
      <c r="H41" s="1638"/>
      <c r="I41" s="1638"/>
      <c r="J41" s="1637"/>
      <c r="K41" s="1637"/>
      <c r="L41" s="1637"/>
      <c r="M41" s="2241"/>
      <c r="N41" s="2243"/>
      <c r="O41" s="2241"/>
      <c r="P41" s="2243"/>
      <c r="Q41" s="2243"/>
      <c r="R41" s="2249" t="str">
        <f t="shared" ref="R41" si="87">IFERROR((N41-Q41+AE41-AD41+AG41-AF41)/(Q41+AD41+AF41),"-")</f>
        <v>-</v>
      </c>
      <c r="S41" s="2248"/>
      <c r="T41" s="2243"/>
      <c r="U41" s="876"/>
      <c r="V41" s="876"/>
      <c r="W41" s="2252"/>
      <c r="X41" s="2252"/>
      <c r="Y41" s="2252"/>
      <c r="Z41" s="2252"/>
      <c r="AA41" s="2253"/>
      <c r="AB41" s="2240" t="str">
        <f t="shared" ref="AB41" si="88">IFERROR((S41+W41)/Q41,"-")</f>
        <v>-</v>
      </c>
      <c r="AC41" s="2252"/>
      <c r="AD41" s="2252"/>
      <c r="AE41" s="2252"/>
      <c r="AF41" s="2252"/>
      <c r="AG41" s="2252"/>
      <c r="AH41" s="2252"/>
      <c r="AI41" s="2884"/>
      <c r="AJ41" s="1637"/>
      <c r="AK41" s="2517"/>
      <c r="AL41" s="2517"/>
      <c r="AM41" s="2770"/>
      <c r="AN41" s="2596" t="b">
        <f>ABS(IF(AX41="Компания внешняя",(SUMIFS($Y:$Y,$C:$C,$C41,M:M,"46")+SUMIFS($Z:$Z,$C:$C,$C41,M:M,"46")+SUMIFS('60,62,63,76_контр'!V:V,'60,62,63,76_контр'!G:G,Долгосроч_договоры!D41,'60,62,63,76_контр'!E:E,Долгосроч_договоры!F41,'60,62,63,76_контр'!H:H,Долгосроч_договоры!H41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41" s="24" t="b">
        <f>SUMIFS($S:$S,$J:$J,$J41,M:M,"20_23_25_29")&lt;=SUMIFS(НЗП_ГП!$H:$H,НЗП_ГП!$D:$D,$J41,НЗП_ГП!$C:$C,"20_23_25_29")</f>
        <v>1</v>
      </c>
      <c r="AP41" s="1575">
        <f t="shared" ref="AP41" si="89">S41</f>
        <v>0</v>
      </c>
      <c r="AQ41" s="2038" t="b">
        <f t="shared" ref="AQ41" si="90">IF(E41&gt;0,OR(AND($F41&lt;&gt;"",$G41=""),AND($F41="",$G41&lt;&gt;""),AND($F41&lt;&gt;"",$G41&lt;&gt;"")),TRUE)</f>
        <v>1</v>
      </c>
      <c r="AR41" s="2038" t="b">
        <f t="shared" ref="AR41" si="91">IF(AND(TEXT(M41,"#")="46",AX41="Компания внешняя"),AND(N41&lt;&gt;"",O41&lt;&gt;"",W41&lt;&gt;"",X41&lt;&gt;"",IF(O41="{01} да",TRUE,P41&lt;&gt;""),Q41&lt;&gt;""),OR(M41="20_23_25_29",M41="Оборудование",M41="",AX41="Компания ВГО"))</f>
        <v>1</v>
      </c>
      <c r="AS41" s="2038" t="b">
        <f t="shared" ref="AS41" si="92">IF(M41="20_23_25_29",AND(N41&lt;&gt;"",O41&lt;&gt;"",W41&lt;&gt;"",X41&lt;&gt;"",IF(O41="{01} да",TRUE,P41&lt;&gt;""),Q41&lt;&gt;""),OR(TEXT(M41,"#")="46",M41="Оборудование",M41=""))</f>
        <v>1</v>
      </c>
      <c r="AT41" s="3010" t="b">
        <f t="shared" ref="AT41" si="93">IF(E41&lt;&gt;"",M41&lt;&gt;"",TRUE)</f>
        <v>1</v>
      </c>
      <c r="AU41" s="2262" t="b">
        <f t="shared" ref="AU41" si="94">IFERROR(AV41=AW41,"ложь")</f>
        <v>1</v>
      </c>
      <c r="AV41" s="24" t="str">
        <f t="shared" ref="AV41" si="95">IF(LEN(E41)&gt;0,E41,"-")</f>
        <v>-</v>
      </c>
      <c r="AW41" s="24" t="str">
        <f t="shared" ref="AW41" si="96">IF(ISNA(VLOOKUP($F41,F:AV,43,0)),"-",VLOOKUP($F41,F:AV,43,0))</f>
        <v>-</v>
      </c>
      <c r="AX41" s="24" t="str">
        <f t="shared" ref="AX41" si="97">IF(F41&lt;&gt;"",(IF((IFERROR(VLOOKUP(F41,_icompindex,1,FALSE)="F13","-")="-"),"Компания внешняя","Компания ВГО")),"")</f>
        <v/>
      </c>
      <c r="AY41" s="2038" t="b">
        <f t="shared" ref="AY41" si="98">IF(N41&gt;=X41,TRUE,FALSE)</f>
        <v>1</v>
      </c>
      <c r="AZ41" s="2038"/>
      <c r="BA41" s="2772">
        <f>SUMIFS('60,62,63,76_контр'!V:V,'60,62,63,76_контр'!G:G,D41,'60,62,63,76_контр'!H:H,H41,'60,62,63,76_контр'!I:I,"{255222} Авансы полученные",'60,62,63,76_контр'!N:N,"{20} Краткосрочная")</f>
        <v>0</v>
      </c>
      <c r="BB41" s="2772">
        <f>SUMIFS('60,62,63,76_контр'!V:V,'60,62,63,76_контр'!G:G,D41,'60,62,63,76_контр'!H:H,H41,'60,62,63,76_контр'!I:I,"{255222} Авансы полученные",'60,62,63,76_контр'!N:N,"{10} Долгосрочная")</f>
        <v>0</v>
      </c>
      <c r="BC41" s="2772">
        <f>IF(ISERROR(VLOOKUP(F41,Список_компаний!B:K,7,0)),SUMIFS(Долгосроч_договоры!Y:Y,Долгосроч_договоры!D:D,D41,Долгосроч_договоры!H:H,H41),IF(VLOOKUP(F41,Список_компаний!B:K,7,0)=0,SUMIFS(Долгосроч_договоры!Y:Y,Долгосроч_договоры!D:D,D41,Долгосроч_договоры!H:H,H41),0))</f>
        <v>0</v>
      </c>
      <c r="BD41" s="2772">
        <f>IF(ISERROR(VLOOKUP(F41,Список_компаний!B:K,7,0)),SUMIFS(Долгосроч_договоры!Z:Z,Долгосроч_договоры!D:D,D41,Долгосроч_договоры!H:H,H41),IF(VLOOKUP(F41,Список_компаний!B:K,7,0)=0,SUMIFS(Долгосроч_договоры!Z:Z,Долгосроч_договоры!D:D,D41,Долгосроч_договоры!H:H,H41),0))</f>
        <v>0</v>
      </c>
      <c r="BE41" s="3010" t="b">
        <f t="shared" ref="BE41" si="99">IF(BV41="проверка",AND(IF((ABS(BA41+BD41))&gt;5,FALSE,TRUE),IF((ABS(BB41+BC41))&gt;5,FALSE,TRUE)),TRUE)</f>
        <v>1</v>
      </c>
      <c r="BF41" s="2493" t="b">
        <f t="shared" ref="BF41" ca="1" si="100">IF(ISBLANK(D41),TRUE,AND(IF(ISNUMBER(VLOOKUP(AI41,$CI$10:$CJ$13,2,0)),TRUE,FALSE),AND(AND(CELL("формат",U41)="D1",U41&gt;29340),AND(CELL("формат",V41)="D1",V41&gt;29340)),IF(O41="{02} нет",IF(P41&gt;0,TRUE,FALSE),TRUE),K41&gt;0,AND(Q41&gt;=0,NOT(ISBLANK(Q41))),O41&gt;0,AND(AJ41&gt;=0,NOT(ISBLANK(AJ41))),AND(AK41&gt;=0,NOT(ISBLANK(AK41))),AND(AL41&gt;0,NOT(ISBLANK(AL41)),ISNUMBER(AL41)),AND(G41&gt;0,NOT(ISBLANK(G41)),ISNUMBER(G41))))</f>
        <v>1</v>
      </c>
      <c r="BG41" s="2761" t="b">
        <f t="shared" ref="BG41" si="101">IF(M41=46,TRUE,IF(X41&gt;=T41,TRUE,FALSE))</f>
        <v>1</v>
      </c>
      <c r="BI41" s="24" t="str">
        <f t="shared" si="24"/>
        <v>X</v>
      </c>
      <c r="BJ41" s="2772">
        <f t="shared" ref="BJ41" si="102">SUMIFS(AH:AH,C:C,C41)</f>
        <v>0</v>
      </c>
      <c r="BK41" s="2772">
        <f>SUMIFS('46'!Z:Z,'46'!C:C,C41)+SUMIFS('46'!AA:AA,'46'!C:C,C41)</f>
        <v>0</v>
      </c>
      <c r="BL41" s="3010" t="b">
        <f t="shared" ref="BL41" si="103">SUM(ABS(BJ41-BK41))&lt;5</f>
        <v>1</v>
      </c>
      <c r="BN41" s="2755">
        <f t="shared" ref="BN41" si="104">IF(OR(IF(TEXT(LEFT(F41,1),"0")="0",TRUE,FALSE),ISERROR(F41*1)),F41,F41*1)</f>
        <v>0</v>
      </c>
      <c r="BO41" s="2755" t="str">
        <f t="shared" ref="BO41" si="105">IF(OR(BN41=3801085668,BN41=7704765961),"-",IF(ISNA(VLOOKUP(BN41,_icompindex,1,0)),"-",VLOOKUP(BN41,_icompindex,1,0)))</f>
        <v>-</v>
      </c>
      <c r="BP41" s="2755" t="str">
        <f t="shared" ref="BP41" si="106">IF(BQ41="","Да","Нет")</f>
        <v>Да</v>
      </c>
      <c r="BQ41" s="2958" t="str">
        <f>IF(BO41="-","",IF(VLOOKUP(BO41,Список_компаний!$B$8:$I$301,7,0)=0,"Нет","Да"))</f>
        <v/>
      </c>
      <c r="BR41" s="2958" t="str">
        <f>IF(BO41="-","",VLOOKUP(BO41,Список_компаний!$B$8:$I$301,8,0))</f>
        <v/>
      </c>
      <c r="BS41" s="2958" t="str">
        <f t="shared" ref="BS41" si="107">IF(AND(BQ41="",BR41=""),"",IF(AND(BQ41="Нет",BR41="Да"),"Да","Нет"))</f>
        <v/>
      </c>
      <c r="BT41" s="2958" t="str">
        <f>IF(Содержание!$D$4="-","",IF(VLOOKUP(Содержание!$D$4,Список_компаний!$B$8:$I$301,7,0)=0,"Нет","Да"))</f>
        <v/>
      </c>
      <c r="BU41" s="2958" t="str">
        <f t="shared" ref="BU41" si="108">IF(AND(BT41="Да",BS41="Да"),"Да","Нет")</f>
        <v>Нет</v>
      </c>
      <c r="BV41" s="2755" t="str">
        <f t="shared" ref="BV41" si="109">IF(BP41="Да","проверка",IF(BU41="Да","проверка",TRUE))</f>
        <v>проверка</v>
      </c>
      <c r="BW41" s="2772">
        <f t="shared" ref="BW41" si="110">SUMIFS(T:T,G:G,G41,J:J,J41,K:K,K41)</f>
        <v>0</v>
      </c>
      <c r="BX41" s="2772">
        <f>SUMIFS(Зарубежная_выручка!C:C,Зарубежная_выручка!I:I,G41,Зарубежная_выручка!F:F,K41,Зарубежная_выручка!E:E,J41)</f>
        <v>0</v>
      </c>
      <c r="BY41" s="2772">
        <f>SUMIFS('90_ОРВГ'!K:K,'90_ОРВГ'!E:E,G41,'90_ОРВГ'!G:G,K41,'90_ОРВГ'!I:I,J41)+SUMIFS('90_ОРВГ'!M:M,'90_ОРВГ'!E:E,G41,'90_ОРВГ'!G:G,K41,'90_ОРВГ'!I:I,J41)+SUMIFS('90_ОРВГ'!K:K,'90_ОРВГ'!R:R,G41,'90_ОРВГ'!G:G,K41,'90_ОРВГ'!I:I,J41)+SUMIFS('90_ОРВГ'!M:M,'90_ОРВГ'!R:R,G41,'90_ОРВГ'!G:G,K41,'90_ОРВГ'!I:I,J41)</f>
        <v>0</v>
      </c>
      <c r="BZ41" s="2772">
        <f>SUMIFS('90_контр'!I:I,'90_контр'!H:H,G41,'90_контр'!C:C,J41)</f>
        <v>0</v>
      </c>
      <c r="CA41" s="3010" t="b">
        <f t="shared" ref="CA41" si="111">(BX41+BZ41+BY41+BW41)&lt;5</f>
        <v>1</v>
      </c>
      <c r="CB41" s="2038" t="b">
        <f t="shared" ref="CB41" si="112">IF(D41="",TRUE,H41&lt;&gt;"")</f>
        <v>1</v>
      </c>
      <c r="CC41" s="2999" t="str">
        <f>IF(CD41=0,"",IF(COUNTIF(CD$9:CD41,CD41)=1,MAX(CC$9:CC40)+1,""))</f>
        <v/>
      </c>
      <c r="CD41" s="2999" t="str">
        <f t="shared" ref="CD41" si="113">IF(OR(M41=46,M41="46"),J41,"")</f>
        <v/>
      </c>
      <c r="CE41" s="2999" t="str">
        <f t="shared" ca="1" si="10"/>
        <v/>
      </c>
      <c r="CL41" s="2038" t="b">
        <f t="shared" ref="CL41" si="114">(CN41-CM41)&lt;5</f>
        <v>1</v>
      </c>
      <c r="CM41" s="2772">
        <f>SUMIFS(НЗП_ГП!$H$10:$H$5000,НЗП_ГП!$D$10:$D$5000,J41)</f>
        <v>0</v>
      </c>
      <c r="CN41" s="2772">
        <f t="shared" ref="CN41" si="115">SUMIFS(S41:S5031,J41:J5031,J41)</f>
        <v>0</v>
      </c>
      <c r="CQ41" s="2038" t="b">
        <f t="shared" si="37"/>
        <v>1</v>
      </c>
      <c r="CR41" s="2038"/>
      <c r="CS41" s="2038" t="b">
        <f>IF(ISBLANK(D41),TRUE,IF(Долгосроч_договоры!AH41&lt;&gt;0,IF(OR(M41=46,M41="46"),TRUE,FALSE),TRUE))</f>
        <v>1</v>
      </c>
      <c r="CT41" s="2038"/>
      <c r="CU41" s="2038"/>
      <c r="CW41" s="2038" t="b">
        <f t="shared" ca="1" si="38"/>
        <v>1</v>
      </c>
      <c r="CX41" s="2038" t="b">
        <f t="shared" ca="1" si="39"/>
        <v>1</v>
      </c>
      <c r="CY41" s="2038" t="b">
        <f t="shared" ca="1" si="40"/>
        <v>1</v>
      </c>
      <c r="DA41" s="2038" t="b">
        <f t="shared" si="41"/>
        <v>1</v>
      </c>
      <c r="DC41" s="2038" t="b">
        <f t="shared" si="42"/>
        <v>1</v>
      </c>
      <c r="DD41" s="2772">
        <f>SUMIFS('46'!O:O,'46'!_xlnm.Print_Titles,C41,'46'!J:J,J41)</f>
        <v>0</v>
      </c>
      <c r="DE41" s="2772">
        <f>SUMIFS('46'!Z:Z,'46'!_xlnm.Print_Titles,C41,'46'!J:J,J41)+SUMIFS('46'!AA:AA,'46'!_xlnm.Print_Titles,C41,'46'!J:J,J41)</f>
        <v>0</v>
      </c>
    </row>
    <row r="42" spans="1:109" s="24" customFormat="1">
      <c r="A42" s="2804" t="str">
        <f t="shared" ref="A42" si="116">"R55="&amp;MID(D42,1,100)&amp;";R50="&amp;MID(C42,1,100)&amp;";R42="&amp;MID(IF(G42&lt;&gt;"",G42,F42),1,30)&amp;";R57="&amp;MID(E42,1,60)&amp;";R4="&amp;H42&amp;";R11="&amp;IFERROR(MID(I42,FIND("{",I42)+1,FIND("}",I42)-FIND("{",I42)-1),"")&amp;";R21="&amp;MID(M42,1,13)&amp;";R24="&amp;IFERROR(MID(J42,FIND("{",J42)+1,FIND("}",J42)-FIND("{",J42)-1),"")&amp;";R23="&amp;IFERROR(MID(K42,FIND("{",K42)+1,FIND("}",K42)-FIND("{",K42)-1),"")&amp;";R14="&amp;IFERROR(MID(O42,FIND("{",O42)+1,FIND("}",O42)-FIND("{",O42)-1),"")&amp;";R16="&amp;IFERROR(MID(AI42,FIND("{",AI42)+1,FIND("}",AI42)-FIND("{",AI42)-1),AI42)&amp;";R18="&amp;U42&amp;";R19="&amp;V42&amp;";R2="&amp;IFERROR(MID(AA42,FIND("{",AA42)+1,FIND("}",AA42)-FIND("{",AA42)-1),"")&amp;";R37="&amp;IFERROR(MID(L42,FIND("{",L42)+1,FIND("}",L42)-FIND("{",L42)-1),"")&amp;";R36="&amp;MID(G42,1,30)&amp;";R43="&amp;MID(F42,1,30)&amp;";R48="&amp;MID(AL42,1,30)&amp;";R51="&amp;MID(AK42,1,30)&amp;";COM="&amp;AM42</f>
        <v>R55=;R50=;R42=;R57=;R4=;R11=;R21=;R24=;R23=;R14=;R16=;R18=;R19=;R2=;R37=;R36=;R43=;R48=;R51=;COM=</v>
      </c>
      <c r="B42" s="207" t="b">
        <f t="shared" ref="B42" si="117">IF(COUNTIF(D42,"*№*"),FALSE,TRUE)</f>
        <v>1</v>
      </c>
      <c r="C42" s="1868" t="str">
        <f t="shared" ref="C42" si="118">IF(H42="","",D42&amp;" "&amp;F42&amp;" "&amp;TEXT(H42,"дд.ММ.гггг")&amp;" "&amp;MID(AI42,1,4))</f>
        <v/>
      </c>
      <c r="D42" s="1637"/>
      <c r="E42" s="1637"/>
      <c r="F42" s="2517"/>
      <c r="G42" s="2517"/>
      <c r="H42" s="1638"/>
      <c r="I42" s="1638"/>
      <c r="J42" s="1637"/>
      <c r="K42" s="1637"/>
      <c r="L42" s="1637"/>
      <c r="M42" s="2241"/>
      <c r="N42" s="2243"/>
      <c r="O42" s="2241"/>
      <c r="P42" s="2243"/>
      <c r="Q42" s="2243"/>
      <c r="R42" s="2249" t="str">
        <f t="shared" ref="R42" si="119">IFERROR((N42-Q42+AE42-AD42+AG42-AF42)/(Q42+AD42+AF42),"-")</f>
        <v>-</v>
      </c>
      <c r="S42" s="2248"/>
      <c r="T42" s="2243"/>
      <c r="U42" s="876"/>
      <c r="V42" s="876"/>
      <c r="W42" s="2252"/>
      <c r="X42" s="2252"/>
      <c r="Y42" s="2252"/>
      <c r="Z42" s="2252"/>
      <c r="AA42" s="2253"/>
      <c r="AB42" s="2240" t="str">
        <f t="shared" ref="AB42" si="120">IFERROR((S42+W42)/Q42,"-")</f>
        <v>-</v>
      </c>
      <c r="AC42" s="2252"/>
      <c r="AD42" s="2252"/>
      <c r="AE42" s="2252"/>
      <c r="AF42" s="2252"/>
      <c r="AG42" s="2252"/>
      <c r="AH42" s="2252"/>
      <c r="AI42" s="2884"/>
      <c r="AJ42" s="1637"/>
      <c r="AK42" s="2517"/>
      <c r="AL42" s="2517"/>
      <c r="AM42" s="2770"/>
      <c r="AN42" s="2596" t="b">
        <f>ABS(IF(AX42="Компания внешняя",(SUMIFS($Y:$Y,$C:$C,$C42,M:M,"46")+SUMIFS($Z:$Z,$C:$C,$C42,M:M,"46")+SUMIFS('60,62,63,76_контр'!V:V,'60,62,63,76_контр'!G:G,Долгосроч_договоры!D42,'60,62,63,76_контр'!E:E,Долгосроч_договоры!F42,'60,62,63,76_контр'!H:H,Долгосроч_договоры!H42,'60,62,63,76_контр'!I:I,"{255222} Авансы полученные",'60,62,63,76_контр'!J:J,"{251121} Расчеты с заказчиками по договорам строительства/услуг, выручка по которым признается по проценту готовности")),0))&lt;=10</f>
        <v>1</v>
      </c>
      <c r="AO42" s="24" t="b">
        <f>SUMIFS($S:$S,$J:$J,$J42,M:M,"20_23_25_29")&lt;=SUMIFS(НЗП_ГП!$H:$H,НЗП_ГП!$D:$D,$J42,НЗП_ГП!$C:$C,"20_23_25_29")</f>
        <v>1</v>
      </c>
      <c r="AP42" s="1575">
        <f t="shared" ref="AP42" si="121">S42</f>
        <v>0</v>
      </c>
      <c r="AQ42" s="2038" t="b">
        <f t="shared" ref="AQ42" si="122">IF(E42&gt;0,OR(AND($F42&lt;&gt;"",$G42=""),AND($F42="",$G42&lt;&gt;""),AND($F42&lt;&gt;"",$G42&lt;&gt;"")),TRUE)</f>
        <v>1</v>
      </c>
      <c r="AR42" s="2038" t="b">
        <f t="shared" ref="AR42" si="123">IF(AND(TEXT(M42,"#")="46",AX42="Компания внешняя"),AND(N42&lt;&gt;"",O42&lt;&gt;"",W42&lt;&gt;"",X42&lt;&gt;"",IF(O42="{01} да",TRUE,P42&lt;&gt;""),Q42&lt;&gt;""),OR(M42="20_23_25_29",M42="Оборудование",M42="",AX42="Компания ВГО"))</f>
        <v>1</v>
      </c>
      <c r="AS42" s="2038" t="b">
        <f t="shared" ref="AS42" si="124">IF(M42="20_23_25_29",AND(N42&lt;&gt;"",O42&lt;&gt;"",W42&lt;&gt;"",X42&lt;&gt;"",IF(O42="{01} да",TRUE,P42&lt;&gt;""),Q42&lt;&gt;""),OR(TEXT(M42,"#")="46",M42="Оборудование",M42=""))</f>
        <v>1</v>
      </c>
      <c r="AT42" s="3010" t="b">
        <f t="shared" ref="AT42" si="125">IF(E42&lt;&gt;"",M42&lt;&gt;"",TRUE)</f>
        <v>1</v>
      </c>
      <c r="AU42" s="2262" t="b">
        <f t="shared" ref="AU42" si="126">IFERROR(AV42=AW42,"ложь")</f>
        <v>1</v>
      </c>
      <c r="AV42" s="24" t="str">
        <f t="shared" ref="AV42" si="127">IF(LEN(E42)&gt;0,E42,"-")</f>
        <v>-</v>
      </c>
      <c r="AW42" s="24" t="str">
        <f t="shared" ref="AW42" si="128">IF(ISNA(VLOOKUP($F42,F:AV,43,0)),"-",VLOOKUP($F42,F:AV,43,0))</f>
        <v>-</v>
      </c>
      <c r="AX42" s="24" t="str">
        <f t="shared" ref="AX42" si="129">IF(F42&lt;&gt;"",(IF((IFERROR(VLOOKUP(F42,_icompindex,1,FALSE)="F13","-")="-"),"Компания внешняя","Компания ВГО")),"")</f>
        <v/>
      </c>
      <c r="AY42" s="2038" t="b">
        <f t="shared" ref="AY42" si="130">IF(N42&gt;=X42,TRUE,FALSE)</f>
        <v>1</v>
      </c>
      <c r="AZ42" s="2038"/>
      <c r="BA42" s="2772">
        <f>SUMIFS('60,62,63,76_контр'!V:V,'60,62,63,76_контр'!G:G,D42,'60,62,63,76_контр'!H:H,H42,'60,62,63,76_контр'!I:I,"{255222} Авансы полученные",'60,62,63,76_контр'!N:N,"{20} Краткосрочная")</f>
        <v>0</v>
      </c>
      <c r="BB42" s="2772">
        <f>SUMIFS('60,62,63,76_контр'!V:V,'60,62,63,76_контр'!G:G,D42,'60,62,63,76_контр'!H:H,H42,'60,62,63,76_контр'!I:I,"{255222} Авансы полученные",'60,62,63,76_контр'!N:N,"{10} Долгосрочная")</f>
        <v>0</v>
      </c>
      <c r="BC42" s="2772">
        <f>IF(ISERROR(VLOOKUP(F42,Список_компаний!B:K,7,0)),SUMIFS(Долгосроч_договоры!Y:Y,Долгосроч_договоры!D:D,D42,Долгосроч_договоры!H:H,H42),IF(VLOOKUP(F42,Список_компаний!B:K,7,0)=0,SUMIFS(Долгосроч_договоры!Y:Y,Долгосроч_договоры!D:D,D42,Долгосроч_договоры!H:H,H42),0))</f>
        <v>0</v>
      </c>
      <c r="BD42" s="2772">
        <f>IF(ISERROR(VLOOKUP(F42,Список_компаний!B:K,7,0)),SUMIFS(Долгосроч_договоры!Z:Z,Долгосроч_договоры!D:D,D42,Долгосроч_договоры!H:H,H42),IF(VLOOKUP(F42,Список_компаний!B:K,7,0)=0,SUMIFS(Долгосроч_договоры!Z:Z,Долгосроч_договоры!D:D,D42,Долгосроч_договоры!H:H,H42),0))</f>
        <v>0</v>
      </c>
      <c r="BE42" s="3010" t="b">
        <f t="shared" ref="BE42" si="131">IF(BV42="проверка",AND(IF((ABS(BA42+BD42))&gt;5,FALSE,TRUE),IF((ABS(BB42+BC42))&gt;5,FALSE,TRUE)),TRUE)</f>
        <v>1</v>
      </c>
      <c r="BF42" s="2493" t="b">
        <f t="shared" ref="BF42" ca="1" si="132">IF(ISBLANK(D42),TRUE,AND(IF(ISNUMBER(VLOOKUP(AI42,$CI$10:$CJ$13,2,0)),TRUE,FALSE),AND(AND(CELL("формат",U42)="D1",U42&gt;29340),AND(CELL("формат",V42)="D1",V42&gt;29340)),IF(O42="{02} нет",IF(P42&gt;0,TRUE,FALSE),TRUE),K42&gt;0,AND(Q42&gt;=0,NOT(ISBLANK(Q42))),O42&gt;0,AND(AJ42&gt;=0,NOT(ISBLANK(AJ42))),AND(AK42&gt;=0,NOT(ISBLANK(AK42))),AND(AL42&gt;0,NOT(ISBLANK(AL42)),ISNUMBER(AL42)),AND(G42&gt;0,NOT(ISBLANK(G42)),ISNUMBER(G42))))</f>
        <v>1</v>
      </c>
      <c r="BG42" s="2761" t="b">
        <f t="shared" ref="BG42" si="133">IF(M42=46,TRUE,IF(X42&gt;=T42,TRUE,FALSE))</f>
        <v>1</v>
      </c>
      <c r="BI42" s="24" t="str">
        <f t="shared" si="24"/>
        <v>X</v>
      </c>
      <c r="BJ42" s="2772">
        <f t="shared" ref="BJ42" si="134">SUMIFS(AH:AH,C:C,C42)</f>
        <v>0</v>
      </c>
      <c r="BK42" s="2772">
        <f>SUMIFS('46'!Z:Z,'46'!C:C,C42)+SUMIFS('46'!AA:AA,'46'!C:C,C42)</f>
        <v>0</v>
      </c>
      <c r="BL42" s="3010" t="b">
        <f t="shared" ref="BL42" si="135">SUM(ABS(BJ42-BK42))&lt;5</f>
        <v>1</v>
      </c>
      <c r="BN42" s="2755">
        <f t="shared" ref="BN42" si="136">IF(OR(IF(TEXT(LEFT(F42,1),"0")="0",TRUE,FALSE),ISERROR(F42*1)),F42,F42*1)</f>
        <v>0</v>
      </c>
      <c r="BO42" s="2755" t="str">
        <f t="shared" ref="BO42" si="137">IF(OR(BN42=3801085668,BN42=7704765961),"-",IF(ISNA(VLOOKUP(BN42,_icompindex,1,0)),"-",VLOOKUP(BN42,_icompindex,1,0)))</f>
        <v>-</v>
      </c>
      <c r="BP42" s="2755" t="str">
        <f t="shared" ref="BP42" si="138">IF(BQ42="","Да","Нет")</f>
        <v>Да</v>
      </c>
      <c r="BQ42" s="2958" t="str">
        <f>IF(BO42="-","",IF(VLOOKUP(BO42,Список_компаний!$B$8:$I$301,7,0)=0,"Нет","Да"))</f>
        <v/>
      </c>
      <c r="BR42" s="2958" t="str">
        <f>IF(BO42="-","",VLOOKUP(BO42,Список_компаний!$B$8:$I$301,8,0))</f>
        <v/>
      </c>
      <c r="BS42" s="2958" t="str">
        <f t="shared" ref="BS42" si="139">IF(AND(BQ42="",BR42=""),"",IF(AND(BQ42="Нет",BR42="Да"),"Да","Нет"))</f>
        <v/>
      </c>
      <c r="BT42" s="2958" t="str">
        <f>IF(Содержание!$D$4="-","",IF(VLOOKUP(Содержание!$D$4,Список_компаний!$B$8:$I$301,7,0)=0,"Нет","Да"))</f>
        <v/>
      </c>
      <c r="BU42" s="2958" t="str">
        <f t="shared" ref="BU42" si="140">IF(AND(BT42="Да",BS42="Да"),"Да","Нет")</f>
        <v>Нет</v>
      </c>
      <c r="BV42" s="2755" t="str">
        <f t="shared" ref="BV42" si="141">IF(BP42="Да","проверка",IF(BU42="Да","проверка",TRUE))</f>
        <v>проверка</v>
      </c>
      <c r="BW42" s="2772">
        <f t="shared" ref="BW42" si="142">SUMIFS(T:T,G:G,G42,J:J,J42,K:K,K42)</f>
        <v>0</v>
      </c>
      <c r="BX42" s="2772">
        <f>SUMIFS(Зарубежная_выручка!C:C,Зарубежная_выручка!I:I,G42,Зарубежная_выручка!F:F,K42,Зарубежная_выручка!E:E,J42)</f>
        <v>0</v>
      </c>
      <c r="BY42" s="2772">
        <f>SUMIFS('90_ОРВГ'!K:K,'90_ОРВГ'!E:E,G42,'90_ОРВГ'!G:G,K42,'90_ОРВГ'!I:I,J42)+SUMIFS('90_ОРВГ'!M:M,'90_ОРВГ'!E:E,G42,'90_ОРВГ'!G:G,K42,'90_ОРВГ'!I:I,J42)+SUMIFS('90_ОРВГ'!K:K,'90_ОРВГ'!R:R,G42,'90_ОРВГ'!G:G,K42,'90_ОРВГ'!I:I,J42)+SUMIFS('90_ОРВГ'!M:M,'90_ОРВГ'!R:R,G42,'90_ОРВГ'!G:G,K42,'90_ОРВГ'!I:I,J42)</f>
        <v>0</v>
      </c>
      <c r="BZ42" s="2772">
        <f>SUMIFS('90_контр'!I:I,'90_контр'!H:H,G42,'90_контр'!C:C,J42)</f>
        <v>0</v>
      </c>
      <c r="CA42" s="3010" t="b">
        <f t="shared" ref="CA42" si="143">(BX42+BZ42+BY42+BW42)&lt;5</f>
        <v>1</v>
      </c>
      <c r="CB42" s="2038" t="b">
        <f t="shared" ref="CB42" si="144">IF(D42="",TRUE,H42&lt;&gt;"")</f>
        <v>1</v>
      </c>
      <c r="CC42" s="2999" t="str">
        <f>IF(CD42=0,"",IF(COUNTIF(CD$9:CD42,CD42)=1,MAX(CC$9:CC41)+1,""))</f>
        <v/>
      </c>
      <c r="CD42" s="2999" t="str">
        <f t="shared" ref="CD42" si="145">IF(OR(M42=46,M42="46"),J42,"")</f>
        <v/>
      </c>
      <c r="CE42" s="2999" t="str">
        <f t="shared" ca="1" si="10"/>
        <v/>
      </c>
      <c r="CL42" s="2038" t="b">
        <f t="shared" ref="CL42" si="146">(CN42-CM42)&lt;5</f>
        <v>1</v>
      </c>
      <c r="CM42" s="2772">
        <f>SUMIFS(НЗП_ГП!$H$10:$H$5000,НЗП_ГП!$D$10:$D$5000,J42)</f>
        <v>0</v>
      </c>
      <c r="CN42" s="2772">
        <f t="shared" ref="CN42" si="147">SUMIFS(S42:S5032,J42:J5032,J42)</f>
        <v>0</v>
      </c>
      <c r="CQ42" s="2038" t="b">
        <f t="shared" si="37"/>
        <v>1</v>
      </c>
      <c r="CR42" s="2038"/>
      <c r="CS42" s="2038" t="b">
        <f>IF(ISBLANK(D42),TRUE,IF(Долгосроч_договоры!AH42&lt;&gt;0,IF(OR(M42=46,M42="46"),TRUE,FALSE),TRUE))</f>
        <v>1</v>
      </c>
      <c r="CT42" s="2038"/>
      <c r="CU42" s="2038"/>
      <c r="CW42" s="2038" t="b">
        <f t="shared" ca="1" si="38"/>
        <v>1</v>
      </c>
      <c r="CX42" s="2038" t="b">
        <f t="shared" ca="1" si="39"/>
        <v>1</v>
      </c>
      <c r="CY42" s="2038" t="b">
        <f t="shared" ca="1" si="40"/>
        <v>1</v>
      </c>
      <c r="DA42" s="2038" t="b">
        <f t="shared" si="41"/>
        <v>1</v>
      </c>
      <c r="DC42" s="2038" t="b">
        <f t="shared" si="42"/>
        <v>1</v>
      </c>
      <c r="DD42" s="2772">
        <f>SUMIFS('46'!O:O,'46'!_xlnm.Print_Titles,C42,'46'!J:J,J42)</f>
        <v>0</v>
      </c>
      <c r="DE42" s="2772">
        <f>SUMIFS('46'!Z:Z,'46'!_xlnm.Print_Titles,C42,'46'!J:J,J42)+SUMIFS('46'!AA:AA,'46'!_xlnm.Print_Titles,C42,'46'!J:J,J42)</f>
        <v>0</v>
      </c>
    </row>
  </sheetData>
  <sheetProtection algorithmName="SHA-512" hashValue="gsfA6GBkeAJ7BzgdEdfkzenSkRGD/3lqTdnuBAkSd0OAiMWTUHfdaNQV6DVt4PeRtdJxpGgrAyAYjnBQ+Teqcw==" saltValue="odyo3/BsCpocnlWlrIuCUQ==" spinCount="100000" sheet="1" objects="1" scenarios="1" formatColumns="0" formatRows="0" autoFilter="0"/>
  <autoFilter ref="A8:CM40">
    <filterColumn colId="52" showButton="0"/>
    <filterColumn colId="5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</autoFilter>
  <customSheetViews>
    <customSheetView guid="{3769259D-9653-4B34-A2F6-4FB6F9F4E533}" showGridLines="0" showAutoFilter="1" hiddenRows="1" hiddenColumns="1" topLeftCell="B2">
      <selection activeCell="C17" sqref="C17"/>
      <pageMargins left="0.7" right="0.7" top="0.75" bottom="0.75" header="0.3" footer="0.3"/>
      <pageSetup paperSize="9" orientation="portrait" horizontalDpi="0" verticalDpi="0" r:id="rId1"/>
      <autoFilter ref="B1:I1"/>
    </customSheetView>
    <customSheetView guid="{40D7A2BB-326C-4ED3-999C-17852F56D6F4}" showGridLines="0" showAutoFilter="1" hiddenRows="1" hiddenColumns="1" topLeftCell="B2">
      <selection activeCell="C17" sqref="C17"/>
      <pageMargins left="0.7" right="0.7" top="0.75" bottom="0.75" header="0.3" footer="0.3"/>
      <pageSetup paperSize="9" orientation="portrait" horizontalDpi="0" verticalDpi="0" r:id="rId2"/>
      <autoFilter ref="B1:I1"/>
    </customSheetView>
    <customSheetView guid="{5D121940-0CE8-4A0E-A493-67FAAA6E0FF8}" showGridLines="0" showAutoFilter="1" hiddenRows="1" hiddenColumns="1" topLeftCell="D3">
      <selection activeCell="I10" sqref="I10"/>
      <pageMargins left="0.7" right="0.7" top="0.75" bottom="0.75" header="0.3" footer="0.3"/>
      <autoFilter ref="B1:I1"/>
    </customSheetView>
    <customSheetView guid="{47AEACC4-6EA5-412C-AF39-A6C5357B313A}" showGridLines="0" showAutoFilter="1" hiddenRows="1" hiddenColumns="1" topLeftCell="B3">
      <selection activeCell="G12" sqref="G12"/>
      <pageMargins left="0.7" right="0.7" top="0.75" bottom="0.75" header="0.3" footer="0.3"/>
      <autoFilter ref="B1:I1"/>
    </customSheetView>
    <customSheetView guid="{C913A9E8-661B-40A4-A3C9-1BC5F2B2E9F0}" showGridLines="0" showAutoFilter="1" hiddenRows="1" hiddenColumns="1" topLeftCell="D3">
      <selection activeCell="I10" sqref="I10"/>
      <pageMargins left="0.7" right="0.7" top="0.75" bottom="0.75" header="0.3" footer="0.3"/>
      <autoFilter ref="B1:I1"/>
    </customSheetView>
  </customSheetViews>
  <mergeCells count="50">
    <mergeCell ref="DD7:DE7"/>
    <mergeCell ref="M5:M6"/>
    <mergeCell ref="Y5:Z5"/>
    <mergeCell ref="AF5:AG5"/>
    <mergeCell ref="N5:P5"/>
    <mergeCell ref="R5:R6"/>
    <mergeCell ref="U5:U6"/>
    <mergeCell ref="V5:V6"/>
    <mergeCell ref="W5:W6"/>
    <mergeCell ref="X5:X6"/>
    <mergeCell ref="AC5:AC6"/>
    <mergeCell ref="AD5:AE5"/>
    <mergeCell ref="AA5:AA6"/>
    <mergeCell ref="AB5:AB6"/>
    <mergeCell ref="AH5:AH6"/>
    <mergeCell ref="CC6:CE6"/>
    <mergeCell ref="C5:C6"/>
    <mergeCell ref="K5:K6"/>
    <mergeCell ref="E5:E6"/>
    <mergeCell ref="F5:F6"/>
    <mergeCell ref="D5:D6"/>
    <mergeCell ref="H5:H6"/>
    <mergeCell ref="I5:I6"/>
    <mergeCell ref="J5:J6"/>
    <mergeCell ref="G5:G6"/>
    <mergeCell ref="CC7:CC8"/>
    <mergeCell ref="CE7:CE8"/>
    <mergeCell ref="CD7:CD8"/>
    <mergeCell ref="AJ5:AJ6"/>
    <mergeCell ref="BJ6:BJ8"/>
    <mergeCell ref="BK6:BK8"/>
    <mergeCell ref="BL6:BL8"/>
    <mergeCell ref="BY6:BY8"/>
    <mergeCell ref="BW6:BW8"/>
    <mergeCell ref="CW7:CY7"/>
    <mergeCell ref="L5:L6"/>
    <mergeCell ref="CI9:CJ9"/>
    <mergeCell ref="AI5:AI6"/>
    <mergeCell ref="AK5:AK6"/>
    <mergeCell ref="AL5:AL6"/>
    <mergeCell ref="BE6:BE8"/>
    <mergeCell ref="BG6:BG8"/>
    <mergeCell ref="BC6:BD8"/>
    <mergeCell ref="BA6:BB8"/>
    <mergeCell ref="BF6:BF8"/>
    <mergeCell ref="BX6:BX8"/>
    <mergeCell ref="BZ6:BZ8"/>
    <mergeCell ref="CA6:CA8"/>
    <mergeCell ref="BN8:BV8"/>
    <mergeCell ref="AM5:AM6"/>
  </mergeCells>
  <phoneticPr fontId="0" type="noConversion"/>
  <dataValidations count="8">
    <dataValidation type="list" operator="equal" allowBlank="1" showErrorMessage="1" errorTitle="Выбор элемента списка" error="Данного элемента нет в списке" sqref="K10:K42">
      <formula1>_1010</formula1>
    </dataValidation>
    <dataValidation type="list" allowBlank="1" showInputMessage="1" showErrorMessage="1" sqref="AA10:AA42 I10:I42">
      <formula1>_6003</formula1>
    </dataValidation>
    <dataValidation type="list" allowBlank="1" showInputMessage="1" showErrorMessage="1" sqref="O10:O42">
      <formula1>_yn</formula1>
    </dataValidation>
    <dataValidation type="list" allowBlank="1" showInputMessage="1" showErrorMessage="1" sqref="M10:M42">
      <formula1>_счет20_46</formula1>
    </dataValidation>
    <dataValidation type="list" operator="equal" allowBlank="1" showErrorMessage="1" errorTitle="Выбор элемента списка" error="Данного элемента нет в списке" sqref="J10:J42">
      <formula1>_2145</formula1>
    </dataValidation>
    <dataValidation operator="equal" allowBlank="1" showInputMessage="1" prompt="Дата в формате ДД.ММ.ГГГГ (01.01.2010)" sqref="H10:H16">
      <formula1>0</formula1>
      <formula2>0</formula2>
    </dataValidation>
    <dataValidation type="list" allowBlank="1" showInputMessage="1" showErrorMessage="1" sqref="AI10:AI42">
      <formula1>_НДС</formula1>
    </dataValidation>
    <dataValidation type="list" operator="equal" allowBlank="1" showErrorMessage="1" errorTitle="Выбор элемента списка" error="Данного элемента нет в списке" sqref="L10:L42">
      <formula1>_1100</formula1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8" scale="5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6" name="Button 1">
              <controlPr defaultSize="0" print="0" autoFill="0" autoPict="0" macro="[0]!AddButtonsRowAdd">
                <anchor moveWithCells="1">
                  <from>
                    <xdr:col>6</xdr:col>
                    <xdr:colOff>838200</xdr:colOff>
                    <xdr:row>1</xdr:row>
                    <xdr:rowOff>69850</xdr:rowOff>
                  </from>
                  <to>
                    <xdr:col>7</xdr:col>
                    <xdr:colOff>228600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pageSetUpPr fitToPage="1"/>
  </sheetPr>
  <dimension ref="A1:BI37"/>
  <sheetViews>
    <sheetView topLeftCell="AV5" zoomScale="46" zoomScaleNormal="46" workbookViewId="0">
      <selection activeCell="F17" sqref="F17"/>
    </sheetView>
  </sheetViews>
  <sheetFormatPr defaultColWidth="9.453125" defaultRowHeight="14.5"/>
  <cols>
    <col min="1" max="1" width="14.1796875" style="7" hidden="1" customWidth="1"/>
    <col min="2" max="2" width="3.54296875" style="32" customWidth="1"/>
    <col min="3" max="3" width="54.453125" style="32" customWidth="1"/>
    <col min="4" max="4" width="20.54296875" style="32" customWidth="1"/>
    <col min="5" max="9" width="16.453125" style="32" customWidth="1"/>
    <col min="10" max="10" width="72" style="32" customWidth="1"/>
    <col min="11" max="20" width="20.54296875" style="32" customWidth="1"/>
    <col min="21" max="25" width="11.453125" style="32" customWidth="1"/>
    <col min="26" max="27" width="14.54296875" style="32" customWidth="1"/>
    <col min="28" max="28" width="19.81640625" style="32" customWidth="1"/>
    <col min="29" max="29" width="16.81640625" style="32" customWidth="1"/>
    <col min="30" max="30" width="25" style="32" customWidth="1"/>
    <col min="31" max="32" width="24" style="32" customWidth="1"/>
    <col min="33" max="33" width="22" style="32" customWidth="1"/>
    <col min="34" max="34" width="9.453125" style="32"/>
    <col min="35" max="37" width="11.54296875" style="1589" customWidth="1"/>
    <col min="38" max="38" width="9.453125" style="32"/>
    <col min="39" max="40" width="22.453125" style="32" customWidth="1"/>
    <col min="41" max="41" width="18" style="32" customWidth="1"/>
    <col min="42" max="42" width="29.453125" style="32" customWidth="1"/>
    <col min="43" max="43" width="26.54296875" style="32" customWidth="1"/>
    <col min="44" max="44" width="31.54296875" style="32" customWidth="1"/>
    <col min="45" max="45" width="11.453125" style="32" customWidth="1"/>
    <col min="46" max="46" width="47.453125" style="32" customWidth="1"/>
    <col min="47" max="47" width="9.453125" style="32"/>
    <col min="48" max="49" width="39.453125" style="32" customWidth="1"/>
    <col min="50" max="50" width="81" style="32" customWidth="1"/>
    <col min="51" max="51" width="9.453125" style="32"/>
    <col min="52" max="52" width="23.1796875" style="32" customWidth="1"/>
    <col min="53" max="53" width="25.54296875" style="32" customWidth="1"/>
    <col min="54" max="54" width="34" style="32" customWidth="1"/>
    <col min="55" max="55" width="27.81640625" style="32" customWidth="1"/>
    <col min="56" max="56" width="32" style="32" customWidth="1"/>
    <col min="57" max="57" width="36" style="32" customWidth="1"/>
    <col min="58" max="16384" width="9.453125" style="32"/>
  </cols>
  <sheetData>
    <row r="1" spans="1:61" s="6" customFormat="1" ht="12" hidden="1" customHeight="1">
      <c r="A1" s="167" t="s">
        <v>4289</v>
      </c>
      <c r="I1" s="2438"/>
      <c r="J1" s="37"/>
      <c r="L1" s="2438" t="s">
        <v>5084</v>
      </c>
      <c r="M1" s="2438" t="s">
        <v>10144</v>
      </c>
      <c r="N1" s="2438" t="s">
        <v>5083</v>
      </c>
      <c r="O1" s="2438" t="s">
        <v>14219</v>
      </c>
      <c r="P1" s="2438" t="s">
        <v>14220</v>
      </c>
      <c r="Q1" s="2438" t="s">
        <v>14221</v>
      </c>
      <c r="R1" s="2438" t="s">
        <v>14222</v>
      </c>
      <c r="S1" s="2438" t="s">
        <v>393</v>
      </c>
      <c r="T1" s="2438" t="s">
        <v>14223</v>
      </c>
      <c r="U1" s="2438" t="s">
        <v>14224</v>
      </c>
      <c r="V1" s="2438" t="s">
        <v>14225</v>
      </c>
      <c r="W1" s="2438" t="s">
        <v>10170</v>
      </c>
      <c r="X1" s="2438" t="s">
        <v>1070</v>
      </c>
      <c r="Y1" s="2438" t="s">
        <v>394</v>
      </c>
      <c r="Z1" s="2438"/>
      <c r="AA1" s="2438" t="s">
        <v>5100</v>
      </c>
      <c r="AB1" s="2438" t="s">
        <v>10145</v>
      </c>
      <c r="AC1" s="2438" t="s">
        <v>5099</v>
      </c>
      <c r="AD1" s="2438"/>
      <c r="AI1" s="2041"/>
      <c r="AJ1" s="2041"/>
      <c r="AK1" s="2041"/>
      <c r="AN1" s="2438"/>
      <c r="AS1" s="2438"/>
      <c r="AT1" s="2438"/>
      <c r="AU1" s="2438"/>
      <c r="AV1" s="2438"/>
      <c r="AW1" s="2438"/>
      <c r="AX1" s="2438"/>
      <c r="AY1" s="2438"/>
      <c r="AZ1" s="2438"/>
      <c r="BA1" s="2438"/>
      <c r="BB1" s="2438"/>
      <c r="BC1" s="2438"/>
      <c r="BD1" s="2438"/>
      <c r="BE1" s="2438"/>
      <c r="BF1" s="2438"/>
      <c r="BG1" s="2438"/>
      <c r="BH1" s="2438"/>
      <c r="BI1" s="2438"/>
    </row>
    <row r="2" spans="1:61" s="104" customFormat="1">
      <c r="A2" s="167"/>
      <c r="J2" s="1943"/>
      <c r="AI2" s="2042"/>
      <c r="AJ2" s="2042"/>
      <c r="AK2" s="2042"/>
    </row>
    <row r="3" spans="1:61" s="1930" customFormat="1">
      <c r="A3" s="741"/>
      <c r="C3" s="1927" t="e">
        <f>IF(VLOOKUP(Содержание!D2,Список_компаний!$A:$I,9,FALSE)="да","+","-")</f>
        <v>#N/A</v>
      </c>
      <c r="J3" s="1931"/>
      <c r="K3" s="1931" t="s">
        <v>1648</v>
      </c>
      <c r="L3" s="1931" t="s">
        <v>1648</v>
      </c>
      <c r="M3" s="1931"/>
      <c r="N3" s="1931"/>
      <c r="AI3" s="2042"/>
      <c r="AJ3" s="2042"/>
      <c r="AK3" s="2042"/>
    </row>
    <row r="4" spans="1:61" s="24" customFormat="1" ht="26.5" thickBot="1">
      <c r="A4" s="9"/>
      <c r="C4" s="105" t="s">
        <v>4072</v>
      </c>
      <c r="K4" s="1897" t="s">
        <v>2067</v>
      </c>
      <c r="L4" s="1244">
        <f>Содержание!$D$2</f>
        <v>0</v>
      </c>
      <c r="AI4" s="2043"/>
      <c r="AJ4" s="2043"/>
      <c r="AK4" s="2043"/>
    </row>
    <row r="5" spans="1:61" s="24" customFormat="1" ht="15" thickBot="1">
      <c r="A5" s="9"/>
      <c r="D5" s="24" t="b">
        <f t="array" ref="D5">IF(SMALL(IF(""=C10:C2700,ROW(C10:C2700),2700),1)&gt;LARGE(IF(""&lt;&gt;C10:C2700,ROW(C10:C2700),0),1),TRUE,FALSE)</f>
        <v>1</v>
      </c>
      <c r="G5"/>
      <c r="H5" s="2352"/>
      <c r="I5" s="3313"/>
      <c r="K5" s="2983" t="s">
        <v>2075</v>
      </c>
      <c r="L5" s="2984" t="str">
        <f>Содержание!$D$15</f>
        <v>2022 год</v>
      </c>
      <c r="M5" s="3044" t="s">
        <v>1436</v>
      </c>
      <c r="O5" s="3819" t="s">
        <v>10312</v>
      </c>
      <c r="P5" s="3820"/>
      <c r="Q5" s="3820"/>
      <c r="R5" s="3821"/>
      <c r="S5" s="3822" t="s">
        <v>10313</v>
      </c>
      <c r="T5" s="3823"/>
      <c r="U5" s="3823"/>
      <c r="V5" s="3823"/>
      <c r="AI5" s="2043"/>
      <c r="AJ5" s="2043"/>
      <c r="AK5" s="2043"/>
      <c r="BB5" s="3397"/>
    </row>
    <row r="6" spans="1:61" s="24" customFormat="1" ht="78">
      <c r="A6" s="9"/>
      <c r="C6" s="2985" t="s">
        <v>57</v>
      </c>
      <c r="D6" s="2981" t="s">
        <v>5381</v>
      </c>
      <c r="E6" s="2981" t="s">
        <v>5531</v>
      </c>
      <c r="F6" s="3161" t="s">
        <v>8394</v>
      </c>
      <c r="G6" s="2981" t="s">
        <v>3972</v>
      </c>
      <c r="H6" s="2981" t="s">
        <v>5260</v>
      </c>
      <c r="I6" s="3314" t="s">
        <v>6167</v>
      </c>
      <c r="J6" s="2981" t="s">
        <v>6112</v>
      </c>
      <c r="K6" s="2981" t="s">
        <v>1753</v>
      </c>
      <c r="L6" s="2982" t="s">
        <v>1754</v>
      </c>
      <c r="M6" s="3226" t="s">
        <v>10203</v>
      </c>
      <c r="N6" s="3226" t="s">
        <v>10035</v>
      </c>
      <c r="O6" s="3402" t="s">
        <v>14213</v>
      </c>
      <c r="P6" s="3402" t="s">
        <v>14214</v>
      </c>
      <c r="Q6" s="3402" t="s">
        <v>10315</v>
      </c>
      <c r="R6" s="3402" t="s">
        <v>10316</v>
      </c>
      <c r="S6" s="3391" t="s">
        <v>14215</v>
      </c>
      <c r="T6" s="3391" t="s">
        <v>14216</v>
      </c>
      <c r="U6" s="3391" t="s">
        <v>10315</v>
      </c>
      <c r="V6" s="3391" t="s">
        <v>10316</v>
      </c>
      <c r="W6" s="3315" t="s">
        <v>10167</v>
      </c>
      <c r="X6" s="3015" t="s">
        <v>4079</v>
      </c>
      <c r="Y6" s="2981" t="s">
        <v>5524</v>
      </c>
      <c r="Z6" s="2981" t="s">
        <v>1755</v>
      </c>
      <c r="AA6" s="2982" t="s">
        <v>1756</v>
      </c>
      <c r="AB6" s="3226" t="s">
        <v>10203</v>
      </c>
      <c r="AC6" s="3226" t="s">
        <v>10035</v>
      </c>
      <c r="AD6" s="2982" t="s">
        <v>7706</v>
      </c>
      <c r="AE6" s="2982" t="s">
        <v>7707</v>
      </c>
      <c r="AF6" s="3162" t="s">
        <v>8394</v>
      </c>
      <c r="AG6" s="2986" t="s">
        <v>4183</v>
      </c>
      <c r="AI6" s="2043"/>
      <c r="AJ6" s="2043"/>
      <c r="AK6" s="2043"/>
      <c r="AY6" s="3396" t="s">
        <v>10314</v>
      </c>
      <c r="AZ6" s="3528" t="s">
        <v>14862</v>
      </c>
      <c r="BA6" s="3528" t="s">
        <v>14863</v>
      </c>
      <c r="BB6" s="3529" t="s">
        <v>14864</v>
      </c>
      <c r="BC6" s="3395" t="s">
        <v>10320</v>
      </c>
      <c r="BD6" s="3529" t="s">
        <v>4183</v>
      </c>
      <c r="BE6" s="3529" t="s">
        <v>14908</v>
      </c>
    </row>
    <row r="7" spans="1:61" s="24" customFormat="1" ht="15" customHeight="1">
      <c r="A7" s="9"/>
      <c r="C7" s="2987" t="s">
        <v>4219</v>
      </c>
      <c r="D7" s="845" t="s">
        <v>5247</v>
      </c>
      <c r="E7" s="845" t="s">
        <v>5247</v>
      </c>
      <c r="F7" s="845" t="s">
        <v>5247</v>
      </c>
      <c r="G7" s="845" t="s">
        <v>4219</v>
      </c>
      <c r="H7" s="845" t="s">
        <v>5250</v>
      </c>
      <c r="I7" s="845">
        <v>6001</v>
      </c>
      <c r="J7" s="845">
        <v>2145</v>
      </c>
      <c r="K7" s="845" t="s">
        <v>672</v>
      </c>
      <c r="L7" s="845" t="s">
        <v>674</v>
      </c>
      <c r="M7" s="3227" t="s">
        <v>4142</v>
      </c>
      <c r="N7" s="3227" t="s">
        <v>4142</v>
      </c>
      <c r="O7" s="845" t="s">
        <v>14226</v>
      </c>
      <c r="P7" s="845" t="s">
        <v>14227</v>
      </c>
      <c r="Q7" s="845" t="s">
        <v>14226</v>
      </c>
      <c r="R7" s="845" t="s">
        <v>14227</v>
      </c>
      <c r="S7" s="845" t="s">
        <v>10168</v>
      </c>
      <c r="T7" s="845" t="s">
        <v>14228</v>
      </c>
      <c r="U7" s="845" t="s">
        <v>10168</v>
      </c>
      <c r="V7" s="845" t="s">
        <v>14228</v>
      </c>
      <c r="W7" s="845" t="s">
        <v>10169</v>
      </c>
      <c r="X7" s="845" t="s">
        <v>4087</v>
      </c>
      <c r="Y7" s="845" t="s">
        <v>2856</v>
      </c>
      <c r="Z7" s="845" t="s">
        <v>673</v>
      </c>
      <c r="AA7" s="845" t="s">
        <v>694</v>
      </c>
      <c r="AB7" s="3227" t="s">
        <v>4142</v>
      </c>
      <c r="AC7" s="3227" t="s">
        <v>4142</v>
      </c>
      <c r="AD7" s="2052"/>
      <c r="AE7" s="2052"/>
      <c r="AF7" s="845" t="s">
        <v>5247</v>
      </c>
      <c r="AG7" s="2988" t="s">
        <v>865</v>
      </c>
      <c r="AI7" s="2043"/>
      <c r="AJ7" s="2043"/>
      <c r="AK7" s="2043"/>
      <c r="AM7" s="3824"/>
      <c r="AN7" s="3824" t="s">
        <v>9613</v>
      </c>
      <c r="AO7" s="3824" t="s">
        <v>9614</v>
      </c>
      <c r="AP7" s="3824" t="s">
        <v>8546</v>
      </c>
      <c r="AQ7" s="3824" t="s">
        <v>8547</v>
      </c>
      <c r="AR7" s="3824" t="s">
        <v>10304</v>
      </c>
      <c r="AS7" s="3824" t="s">
        <v>10307</v>
      </c>
      <c r="AT7" s="3824" t="s">
        <v>9794</v>
      </c>
      <c r="AV7" s="3824" t="s">
        <v>8880</v>
      </c>
      <c r="AW7" s="3824" t="s">
        <v>8887</v>
      </c>
      <c r="AX7" s="3825" t="s">
        <v>8888</v>
      </c>
      <c r="AY7" s="845" t="s">
        <v>4073</v>
      </c>
      <c r="AZ7" s="845"/>
      <c r="BA7" s="845"/>
      <c r="BB7" s="845"/>
      <c r="BC7" s="845"/>
      <c r="BD7" s="845"/>
      <c r="BE7" s="845"/>
    </row>
    <row r="8" spans="1:61" s="698" customFormat="1" ht="12" customHeight="1">
      <c r="A8" s="668"/>
      <c r="B8" s="680"/>
      <c r="C8" s="2989" t="s">
        <v>4164</v>
      </c>
      <c r="D8" s="2989" t="s">
        <v>4165</v>
      </c>
      <c r="E8" s="2989" t="s">
        <v>4166</v>
      </c>
      <c r="F8" s="2989" t="s">
        <v>5500</v>
      </c>
      <c r="G8" s="2989" t="s">
        <v>4169</v>
      </c>
      <c r="H8" s="2989" t="s">
        <v>4168</v>
      </c>
      <c r="I8" s="2989" t="s">
        <v>4178</v>
      </c>
      <c r="J8" s="2989" t="s">
        <v>4179</v>
      </c>
      <c r="K8" s="2989" t="s">
        <v>4167</v>
      </c>
      <c r="L8" s="2989" t="s">
        <v>5501</v>
      </c>
      <c r="M8" s="2989" t="s">
        <v>4701</v>
      </c>
      <c r="N8" s="2989" t="s">
        <v>4702</v>
      </c>
      <c r="O8" s="2989" t="s">
        <v>4703</v>
      </c>
      <c r="P8" s="2989" t="s">
        <v>5502</v>
      </c>
      <c r="Q8" s="2989" t="s">
        <v>5503</v>
      </c>
      <c r="R8" s="2989" t="s">
        <v>5504</v>
      </c>
      <c r="S8" s="2989" t="s">
        <v>4853</v>
      </c>
      <c r="T8" s="2989" t="s">
        <v>4852</v>
      </c>
      <c r="U8" s="2989" t="s">
        <v>5505</v>
      </c>
      <c r="V8" s="2989" t="s">
        <v>4851</v>
      </c>
      <c r="W8" s="2989" t="s">
        <v>5506</v>
      </c>
      <c r="X8" s="2989" t="s">
        <v>4850</v>
      </c>
      <c r="Y8" s="2989" t="s">
        <v>3303</v>
      </c>
      <c r="Z8" s="2989" t="s">
        <v>3304</v>
      </c>
      <c r="AA8" s="2989" t="s">
        <v>3305</v>
      </c>
      <c r="AB8" s="2989" t="s">
        <v>3306</v>
      </c>
      <c r="AC8" s="2989" t="s">
        <v>3307</v>
      </c>
      <c r="AD8" s="2989" t="s">
        <v>3308</v>
      </c>
      <c r="AE8" s="2989" t="s">
        <v>3309</v>
      </c>
      <c r="AF8" s="2989" t="s">
        <v>3310</v>
      </c>
      <c r="AG8" s="2989" t="s">
        <v>3311</v>
      </c>
      <c r="AI8" s="2044"/>
      <c r="AJ8" s="2044"/>
      <c r="AK8" s="2044"/>
      <c r="AM8" s="3824"/>
      <c r="AN8" s="3824"/>
      <c r="AO8" s="3824"/>
      <c r="AP8" s="3824"/>
      <c r="AQ8" s="3824"/>
      <c r="AR8" s="3824"/>
      <c r="AS8" s="3824"/>
      <c r="AT8" s="3824"/>
      <c r="AV8" s="3824"/>
      <c r="AW8" s="3824"/>
      <c r="AX8" s="3825"/>
      <c r="AY8" s="2989" t="s">
        <v>4703</v>
      </c>
      <c r="AZ8" s="3527"/>
      <c r="BA8" s="3527"/>
      <c r="BB8" s="1751"/>
      <c r="BC8" s="1751"/>
      <c r="BD8" s="1751"/>
      <c r="BE8" s="1751"/>
    </row>
    <row r="9" spans="1:61" s="24" customFormat="1" ht="15.75" customHeight="1">
      <c r="A9" s="9"/>
      <c r="B9" s="1163"/>
      <c r="C9" s="2990" t="s">
        <v>4184</v>
      </c>
      <c r="D9" s="1318" t="s">
        <v>4170</v>
      </c>
      <c r="E9" s="868" t="s">
        <v>4184</v>
      </c>
      <c r="F9" s="868" t="s">
        <v>4184</v>
      </c>
      <c r="G9" s="868" t="s">
        <v>4184</v>
      </c>
      <c r="H9" s="868" t="s">
        <v>4184</v>
      </c>
      <c r="I9" s="1319" t="s">
        <v>4184</v>
      </c>
      <c r="J9" s="868" t="s">
        <v>4184</v>
      </c>
      <c r="K9" s="1319">
        <f t="shared" ref="K9:Y9" si="0">SUM(K10:K65533)</f>
        <v>0</v>
      </c>
      <c r="L9" s="1319">
        <f t="shared" si="0"/>
        <v>0</v>
      </c>
      <c r="M9" s="1319">
        <f t="shared" ref="M9:N9" si="1">SUM(M10:M65533)</f>
        <v>0</v>
      </c>
      <c r="N9" s="1319">
        <f t="shared" si="1"/>
        <v>0</v>
      </c>
      <c r="O9" s="1319">
        <f t="shared" si="0"/>
        <v>0</v>
      </c>
      <c r="P9" s="1319">
        <f t="shared" si="0"/>
        <v>0</v>
      </c>
      <c r="Q9" s="1319">
        <f t="shared" si="0"/>
        <v>0</v>
      </c>
      <c r="R9" s="1319">
        <f t="shared" si="0"/>
        <v>0</v>
      </c>
      <c r="S9" s="1319">
        <f t="shared" si="0"/>
        <v>0</v>
      </c>
      <c r="T9" s="1319">
        <f t="shared" si="0"/>
        <v>0</v>
      </c>
      <c r="U9" s="1319">
        <f t="shared" si="0"/>
        <v>0</v>
      </c>
      <c r="V9" s="1319">
        <f t="shared" si="0"/>
        <v>0</v>
      </c>
      <c r="W9" s="1319">
        <f t="shared" si="0"/>
        <v>0</v>
      </c>
      <c r="X9" s="1319">
        <f t="shared" si="0"/>
        <v>0</v>
      </c>
      <c r="Y9" s="1319">
        <f t="shared" si="0"/>
        <v>0</v>
      </c>
      <c r="Z9" s="1319">
        <f t="shared" ref="Z9" si="2">SUM(Z10:Z65533)</f>
        <v>0</v>
      </c>
      <c r="AA9" s="1319">
        <f>SUM(AA10:AA65533)</f>
        <v>0</v>
      </c>
      <c r="AB9" s="1319">
        <f t="shared" ref="AB9:AC9" si="3">SUM(AB10:AB65533)</f>
        <v>0</v>
      </c>
      <c r="AC9" s="1319">
        <f t="shared" si="3"/>
        <v>0</v>
      </c>
      <c r="AD9" s="1319"/>
      <c r="AE9" s="1319" t="s">
        <v>4184</v>
      </c>
      <c r="AF9" s="1319" t="s">
        <v>4184</v>
      </c>
      <c r="AG9" s="2991" t="s">
        <v>4184</v>
      </c>
      <c r="AI9" s="2043"/>
      <c r="AJ9" s="2043"/>
      <c r="AK9" s="2043"/>
      <c r="AM9" s="3824"/>
      <c r="AN9" s="3824"/>
      <c r="AO9" s="3824"/>
      <c r="AP9" s="3824"/>
      <c r="AQ9" s="3824"/>
      <c r="AR9" s="3824"/>
      <c r="AS9" s="2258" t="b">
        <f>AND(AS10:AS1000)</f>
        <v>1</v>
      </c>
      <c r="AT9" s="3824"/>
      <c r="AV9" s="3824"/>
      <c r="AW9" s="3824"/>
      <c r="AX9" s="2258" t="b">
        <f>AND(AX10:AX1500)</f>
        <v>1</v>
      </c>
      <c r="AY9" s="3401">
        <f>SUM(AY10:AY5000)</f>
        <v>0</v>
      </c>
      <c r="AZ9" s="3401"/>
      <c r="BA9" s="3401"/>
      <c r="BB9" s="3401">
        <f>ABS(SUM(Зарубежная_выручка!C:C))+ABS('90_ОРВГ'!K9+'90_ОРВГ'!M9)</f>
        <v>0</v>
      </c>
      <c r="BC9" s="2258" t="b">
        <f>AY9&lt;=BB9</f>
        <v>1</v>
      </c>
      <c r="BE9" s="2258" t="b">
        <f>AND(BE10:BE1500)</f>
        <v>1</v>
      </c>
    </row>
    <row r="10" spans="1:61" ht="22.5" customHeight="1">
      <c r="A10" s="9" t="str">
        <f>"R50="&amp;C10&amp;";R40="&amp;IFERROR(MID(I10,FIND("{",I10)+1,FIND("}",I10)-FIND("{",I10)-1),"")&amp;";R24="&amp;IFERROR(MID(J10,FIND("{",J10)+1,FIND("}",J10)-FIND("{",J10)-1),"")&amp;";R36="&amp;MID(F10,1,30)&amp;";R43="&amp;MID(E10,1,30)&amp;";R48="&amp;MID(AF10,1,30)&amp;";R51="&amp;MID(AE10,1,30)&amp;";COM="&amp;AG10</f>
        <v>R50=;R40=;R24=;R36=-;R43=-;R48=;R51=;COM=</v>
      </c>
      <c r="C10" s="2992"/>
      <c r="D10" s="1320" t="str">
        <f>IF(ISNA(VLOOKUP($C10,Долгосроч_договоры!$C$10:$AL$2211,34,0)),"-",VLOOKUP($C10,Долгосроч_договоры!$C$10:$AL$2211,34,0))</f>
        <v>-</v>
      </c>
      <c r="E10" s="1320" t="str">
        <f>IF(ISNA(VLOOKUP($C10,Долгосроч_договоры!$C$10:$AL$2211,35,0)),"-",VLOOKUP($C10,Долгосроч_договоры!$C$10:$AL$2211,35,0))</f>
        <v>-</v>
      </c>
      <c r="F10" s="1320" t="str">
        <f>IF(ISNA(VLOOKUP($C10,Долгосроч_договоры!$C$10:$AL$2211,36,0)),"-",VLOOKUP($C10,Долгосроч_договоры!$C$10:$AL$2211,36,0))</f>
        <v>-</v>
      </c>
      <c r="G10" s="1907" t="str">
        <f>IF(ISNA(VLOOKUP($C10,Долгосроч_договоры!$C$10:$J$2211,6,0)),"-",VLOOKUP($C10,Долгосроч_договоры!$C$10:$J$2211,6,0))</f>
        <v>-</v>
      </c>
      <c r="H10" s="1907" t="str">
        <f>IF(ISNA(VLOOKUP($C10,Долгосроч_договоры!$C$10:$J$2211,7,0)),"-",VLOOKUP($C10,Долгосроч_договоры!$C$10:$J$2211,7,0))</f>
        <v>-</v>
      </c>
      <c r="I10" s="3017"/>
      <c r="J10" s="3017"/>
      <c r="K10" s="1321"/>
      <c r="L10" s="1321"/>
      <c r="M10" s="2674"/>
      <c r="N10" s="3225">
        <f>K10-M10</f>
        <v>0</v>
      </c>
      <c r="O10" s="1321"/>
      <c r="P10" s="1321"/>
      <c r="Q10" s="1321"/>
      <c r="R10" s="1321"/>
      <c r="S10" s="1321"/>
      <c r="T10" s="1321"/>
      <c r="U10" s="1321"/>
      <c r="V10" s="1321"/>
      <c r="W10" s="1321"/>
      <c r="X10" s="1321"/>
      <c r="Y10" s="1321"/>
      <c r="Z10" s="1319">
        <f>IF(AT10&gt;0,SUM(L10:P10,S10:T10,W10:Y10),0)</f>
        <v>0</v>
      </c>
      <c r="AA10" s="1319">
        <f>IF(AT10&lt;0,SUM(L10:P10,S10:T10,W10:Y10),0)</f>
        <v>0</v>
      </c>
      <c r="AB10" s="2674"/>
      <c r="AC10" s="3225">
        <f>Z10-AB10</f>
        <v>0</v>
      </c>
      <c r="AD10" s="2674"/>
      <c r="AE10" s="1321"/>
      <c r="AF10" s="1321"/>
      <c r="AG10" s="2993"/>
      <c r="AH10" s="2035"/>
      <c r="AI10" s="2035"/>
      <c r="AJ10" s="2035"/>
      <c r="AK10" s="2035"/>
      <c r="AM10" s="2937"/>
      <c r="AN10" s="3026"/>
      <c r="AO10" s="2938">
        <f>SUMIFS($O$10:$O$500,$F$10:$F$500,F10,$J$10:$J$500,J10)</f>
        <v>0</v>
      </c>
      <c r="AP10" s="2938">
        <f>SUMIFS('90_контр'!I:I,'90_контр'!H:H,F10,'90_контр'!C:C,J10)</f>
        <v>0</v>
      </c>
      <c r="AQ10" s="2938">
        <f>SUMIFS('90_ОРВГ'!K:K,'90_ОРВГ'!E:E,F10,'90_ОРВГ'!I:I,J10)+SUMIFS('90_ОРВГ'!M:M,'90_ОРВГ'!E:E,F10,'90_ОРВГ'!I:I,J10)</f>
        <v>0</v>
      </c>
      <c r="AR10" s="3026">
        <f>SUMIFS(Зарубежная_выручка!C:C,Зарубежная_выручка!I:I,F10,Зарубежная_выручка!E:E,J10)</f>
        <v>0</v>
      </c>
      <c r="AS10" s="2036" t="b">
        <f>(AO10+AP10+AQ10+AR10)&lt;5</f>
        <v>1</v>
      </c>
      <c r="AT10" s="3001">
        <f>(SUMPRODUCT(($C$10:$C$500=C10)*($L$10:$P$500)))+(SUMPRODUCT(($C$10:$C$500=C10)*($S$10:$T$500)))+(SUMPRODUCT(($C$10:$C$500=C10)*($W$10:$Y$500)))</f>
        <v>0</v>
      </c>
      <c r="AU10" s="3001"/>
      <c r="AV10" s="3012">
        <f>SUMIFS(Долгосроч_договоры!$AH$10:$AH$500,Долгосроч_договоры!$C$10:$C$500,C10,Долгосроч_договоры!$J$10:$J$500,J10)</f>
        <v>0</v>
      </c>
      <c r="AW10" s="3012">
        <f>SUMIFS($AA$10:$AA$500,$C$10:$C$500,C10,$J$10:$J$500,J10)+SUMIFS($Z$10:$Z$500,$C$10:$C$500,C10,$J$10:$J$500,J10)</f>
        <v>0</v>
      </c>
      <c r="AX10" s="3000" t="b">
        <f>SUM(ABS(AV10-AW10))&lt;5</f>
        <v>1</v>
      </c>
      <c r="AY10" s="3401">
        <f>IF(I10="{RU} Россия",0,O10)</f>
        <v>0</v>
      </c>
      <c r="AZ10" s="3401" t="str">
        <f>IF(AY10=0,"",LEFT(C10,20))</f>
        <v/>
      </c>
      <c r="BA10" s="3401" t="str">
        <f>IFERROR(VLOOKUP(AZ10,Зарубежная_выручка!X:X,1,0),"")</f>
        <v/>
      </c>
      <c r="BB10" s="32">
        <f>IF(BA10="",0,SUMIF(Зарубежная_выручка!X:X,BA10,Зарубежная_выручка!Y:Y)+SUMIF('46'!AZ:AZ,BA10,'46'!AY:AY))</f>
        <v>0</v>
      </c>
      <c r="BC10" s="32" t="b">
        <f>IF(ABS(BB10)&lt;1,TRUE,"Комментарий")</f>
        <v>1</v>
      </c>
      <c r="BD10" s="2993"/>
      <c r="BE10" s="32" t="b">
        <f>IF(BC10="Комментарий",IF(BD10&gt;"",TRUE,FALSE),TRUE)</f>
        <v>1</v>
      </c>
    </row>
    <row r="11" spans="1:61" ht="22.5" customHeight="1">
      <c r="A11" s="2427" t="str">
        <f t="shared" ref="A11:A19" si="4">"R50="&amp;C11&amp;";R40="&amp;IFERROR(MID(I11,FIND("{",I11)+1,FIND("}",I11)-FIND("{",I11)-1),"")&amp;";R24="&amp;IFERROR(MID(J11,FIND("{",J11)+1,FIND("}",J11)-FIND("{",J11)-1),"")&amp;";R36="&amp;MID(F11,1,30)&amp;";R43="&amp;MID(E11,1,30)&amp;";R48="&amp;MID(AF11,1,30)&amp;";R51="&amp;MID(AE11,1,30)&amp;";COM="&amp;AG11</f>
        <v>R50=;R40=;R24=;R36=-;R43=-;R48=;R51=;COM=</v>
      </c>
      <c r="C11" s="2992"/>
      <c r="D11" s="1320" t="str">
        <f>IF(ISNA(VLOOKUP($C11,Долгосроч_договоры!$C$10:$AL$2211,34,0)),"-",VLOOKUP($C11,Долгосроч_договоры!$C$10:$AL$2211,34,0))</f>
        <v>-</v>
      </c>
      <c r="E11" s="1320" t="str">
        <f>IF(ISNA(VLOOKUP($C11,Долгосроч_договоры!$C$10:$AL$2211,35,0)),"-",VLOOKUP($C11,Долгосроч_договоры!$C$10:$AL$2211,35,0))</f>
        <v>-</v>
      </c>
      <c r="F11" s="1320" t="str">
        <f>IF(ISNA(VLOOKUP($C11,Долгосроч_договоры!$C$10:$AL$2211,36,0)),"-",VLOOKUP($C11,Долгосроч_договоры!$C$10:$AL$2211,36,0))</f>
        <v>-</v>
      </c>
      <c r="G11" s="1907" t="str">
        <f>IF(ISNA(VLOOKUP($C11,Долгосроч_договоры!$C$10:$J$2211,6,0)),"-",VLOOKUP($C11,Долгосроч_договоры!$C$10:$J$2211,6,0))</f>
        <v>-</v>
      </c>
      <c r="H11" s="1907" t="str">
        <f>IF(ISNA(VLOOKUP($C11,Долгосроч_договоры!$C$10:$J$2211,7,0)),"-",VLOOKUP($C11,Долгосроч_договоры!$C$10:$J$2211,7,0))</f>
        <v>-</v>
      </c>
      <c r="I11" s="3017"/>
      <c r="J11" s="3017"/>
      <c r="K11" s="1321"/>
      <c r="L11" s="1321"/>
      <c r="M11" s="2674"/>
      <c r="N11" s="3225">
        <f t="shared" ref="N11:N18" si="5">K11-M11</f>
        <v>0</v>
      </c>
      <c r="O11" s="1321"/>
      <c r="P11" s="1321"/>
      <c r="Q11" s="1321"/>
      <c r="R11" s="1321"/>
      <c r="S11" s="1321"/>
      <c r="T11" s="1321"/>
      <c r="U11" s="1321"/>
      <c r="V11" s="1321"/>
      <c r="W11" s="1321"/>
      <c r="X11" s="1321"/>
      <c r="Y11" s="1321"/>
      <c r="Z11" s="1319">
        <f t="shared" ref="Z11:Z34" si="6">IF(AT11&gt;0,SUM(L11:P11,S11:T11,W11:Y11),0)</f>
        <v>0</v>
      </c>
      <c r="AA11" s="1319">
        <f t="shared" ref="AA11:AA34" si="7">IF(AT11&lt;0,SUM(L11:P11,S11:T11,W11:Y11),0)</f>
        <v>0</v>
      </c>
      <c r="AB11" s="2674"/>
      <c r="AC11" s="3225">
        <f t="shared" ref="AC11:AC17" si="8">Z11-AB11</f>
        <v>0</v>
      </c>
      <c r="AD11" s="2674"/>
      <c r="AE11" s="1321"/>
      <c r="AF11" s="1321"/>
      <c r="AG11" s="2993"/>
      <c r="AH11" s="2035"/>
      <c r="AI11" s="2035"/>
      <c r="AJ11" s="2035"/>
      <c r="AK11" s="2035"/>
      <c r="AM11" s="2937"/>
      <c r="AN11" s="3026"/>
      <c r="AO11" s="3026">
        <f t="shared" ref="AO11:AO34" si="9">SUMIFS($O$10:$O$500,$F$10:$F$500,F11,$J$10:$J$500,J11)</f>
        <v>0</v>
      </c>
      <c r="AP11" s="2938">
        <f>SUMIFS('90_контр'!I:I,'90_контр'!H:H,F11,'90_контр'!C:C,J11)</f>
        <v>0</v>
      </c>
      <c r="AQ11" s="2938">
        <f>SUMIFS('90_ОРВГ'!K:K,'90_ОРВГ'!E:E,F11,'90_ОРВГ'!I:I,J11)+SUMIFS('90_ОРВГ'!M:M,'90_ОРВГ'!E:E,F11,'90_ОРВГ'!I:I,J11)</f>
        <v>0</v>
      </c>
      <c r="AR11" s="3026">
        <f>SUMIFS(Зарубежная_выручка!C:C,Зарубежная_выручка!I:I,F11,Зарубежная_выручка!E:E,J11)</f>
        <v>0</v>
      </c>
      <c r="AS11" s="2036" t="b">
        <f t="shared" ref="AS11:AS34" si="10">(AO11+AP11+AQ11+AR11)&lt;5</f>
        <v>1</v>
      </c>
      <c r="AT11" s="3012">
        <f t="shared" ref="AT11:AT34" si="11">(SUMPRODUCT(($C$10:$C$500=C11)*($L$10:$P$500)))+(SUMPRODUCT(($C$10:$C$500=C11)*($S$10:$T$500)))+(SUMPRODUCT(($C$10:$C$500=C11)*($W$10:$Y$500)))</f>
        <v>0</v>
      </c>
      <c r="AU11" s="3001"/>
      <c r="AV11" s="3012">
        <f>SUMIFS(Долгосроч_договоры!$AH$10:$AH$500,Долгосроч_договоры!$C$10:$C$500,C11,Долгосроч_договоры!$J$10:$J$500,J11)</f>
        <v>0</v>
      </c>
      <c r="AW11" s="3012">
        <f t="shared" ref="AW11:AW34" si="12">SUMIFS($AA$10:$AA$500,$C$10:$C$500,C11,$J$10:$J$500,J11)+SUMIFS($Z$10:$Z$500,$C$10:$C$500,C11,$J$10:$J$500,J11)</f>
        <v>0</v>
      </c>
      <c r="AX11" s="3011" t="b">
        <f t="shared" ref="AX11:AX17" si="13">SUM(ABS(AV11-AW11))&lt;5</f>
        <v>1</v>
      </c>
      <c r="AY11" s="3401">
        <f t="shared" ref="AY11:AY34" si="14">IF(I11="{RU} Россия",0,O11)</f>
        <v>0</v>
      </c>
      <c r="AZ11" s="3401" t="str">
        <f t="shared" ref="AZ11:AZ34" si="15">IF(AY11=0,"",LEFT(C11,20))</f>
        <v/>
      </c>
      <c r="BA11" s="3401" t="str">
        <f>IFERROR(VLOOKUP(AZ11,Зарубежная_выручка!X:X,1,0),"")</f>
        <v/>
      </c>
      <c r="BB11" s="32">
        <f>IF(BA11="",0,SUMIF(Зарубежная_выручка!X:X,BA11,Зарубежная_выручка!Y:Y)+SUMIF('46'!AZ:AZ,BA11,'46'!AY:AY))</f>
        <v>0</v>
      </c>
      <c r="BC11" s="32" t="b">
        <f t="shared" ref="BC11:BC37" si="16">IF(ABS(BB11)&lt;1,TRUE,"Комментарий")</f>
        <v>1</v>
      </c>
      <c r="BD11" s="2993"/>
      <c r="BE11" s="32" t="b">
        <f t="shared" ref="BE11:BE34" si="17">IF(BC11="Комментарий",IF(BD11&gt;"",TRUE,FALSE),TRUE)</f>
        <v>1</v>
      </c>
    </row>
    <row r="12" spans="1:61" ht="22.5" customHeight="1">
      <c r="A12" s="2427" t="str">
        <f t="shared" si="4"/>
        <v>R50=;R40=;R24=;R36=-;R43=-;R48=;R51=;COM=</v>
      </c>
      <c r="C12" s="2992"/>
      <c r="D12" s="1320" t="str">
        <f>IF(ISNA(VLOOKUP($C12,Долгосроч_договоры!$C$10:$AL$2211,34,0)),"-",VLOOKUP($C12,Долгосроч_договоры!$C$10:$AL$2211,34,0))</f>
        <v>-</v>
      </c>
      <c r="E12" s="1320" t="str">
        <f>IF(ISNA(VLOOKUP($C12,Долгосроч_договоры!$C$10:$AL$2211,35,0)),"-",VLOOKUP($C12,Долгосроч_договоры!$C$10:$AL$2211,35,0))</f>
        <v>-</v>
      </c>
      <c r="F12" s="1320" t="str">
        <f>IF(ISNA(VLOOKUP($C12,Долгосроч_договоры!$C$10:$AL$2211,36,0)),"-",VLOOKUP($C12,Долгосроч_договоры!$C$10:$AL$2211,36,0))</f>
        <v>-</v>
      </c>
      <c r="G12" s="1907" t="str">
        <f>IF(ISNA(VLOOKUP($C12,Долгосроч_договоры!$C$10:$J$2211,6,0)),"-",VLOOKUP($C12,Долгосроч_договоры!$C$10:$J$2211,6,0))</f>
        <v>-</v>
      </c>
      <c r="H12" s="1907" t="str">
        <f>IF(ISNA(VLOOKUP($C12,Долгосроч_договоры!$C$10:$J$2211,7,0)),"-",VLOOKUP($C12,Долгосроч_договоры!$C$10:$J$2211,7,0))</f>
        <v>-</v>
      </c>
      <c r="I12" s="3017"/>
      <c r="J12" s="3017"/>
      <c r="K12" s="1321"/>
      <c r="L12" s="1321"/>
      <c r="M12" s="2674"/>
      <c r="N12" s="3225">
        <f t="shared" si="5"/>
        <v>0</v>
      </c>
      <c r="O12" s="1321"/>
      <c r="P12" s="1321"/>
      <c r="Q12" s="1321"/>
      <c r="R12" s="1321"/>
      <c r="S12" s="1321"/>
      <c r="T12" s="1321"/>
      <c r="U12" s="1321"/>
      <c r="V12" s="1321"/>
      <c r="W12" s="1321"/>
      <c r="X12" s="1321"/>
      <c r="Y12" s="1321"/>
      <c r="Z12" s="1319">
        <f t="shared" si="6"/>
        <v>0</v>
      </c>
      <c r="AA12" s="1319">
        <f t="shared" si="7"/>
        <v>0</v>
      </c>
      <c r="AB12" s="2674"/>
      <c r="AC12" s="3225">
        <f t="shared" si="8"/>
        <v>0</v>
      </c>
      <c r="AD12" s="2674"/>
      <c r="AE12" s="1321"/>
      <c r="AF12" s="1321"/>
      <c r="AG12" s="2993"/>
      <c r="AH12" s="2035"/>
      <c r="AI12" s="2035"/>
      <c r="AJ12" s="2035"/>
      <c r="AK12" s="2035"/>
      <c r="AM12" s="2937"/>
      <c r="AN12" s="3026"/>
      <c r="AO12" s="3026">
        <f t="shared" si="9"/>
        <v>0</v>
      </c>
      <c r="AP12" s="2938">
        <f>SUMIFS('90_контр'!I:I,'90_контр'!H:H,F12,'90_контр'!C:C,J12)</f>
        <v>0</v>
      </c>
      <c r="AQ12" s="2938">
        <f>SUMIFS('90_ОРВГ'!K:K,'90_ОРВГ'!E:E,F12,'90_ОРВГ'!I:I,J12)+SUMIFS('90_ОРВГ'!M:M,'90_ОРВГ'!E:E,F12,'90_ОРВГ'!I:I,J12)</f>
        <v>0</v>
      </c>
      <c r="AR12" s="3026">
        <f>SUMIFS(Зарубежная_выручка!C:C,Зарубежная_выручка!I:I,F12,Зарубежная_выручка!E:E,J12)</f>
        <v>0</v>
      </c>
      <c r="AS12" s="2036" t="b">
        <f t="shared" si="10"/>
        <v>1</v>
      </c>
      <c r="AT12" s="3012">
        <f t="shared" si="11"/>
        <v>0</v>
      </c>
      <c r="AU12" s="3001"/>
      <c r="AV12" s="3012">
        <f>SUMIFS(Долгосроч_договоры!$AH$10:$AH$500,Долгосроч_договоры!$C$10:$C$500,C12,Долгосроч_договоры!$J$10:$J$500,J12)</f>
        <v>0</v>
      </c>
      <c r="AW12" s="3012">
        <f t="shared" si="12"/>
        <v>0</v>
      </c>
      <c r="AX12" s="3011" t="b">
        <f t="shared" si="13"/>
        <v>1</v>
      </c>
      <c r="AY12" s="3401">
        <f t="shared" si="14"/>
        <v>0</v>
      </c>
      <c r="AZ12" s="3401" t="str">
        <f t="shared" si="15"/>
        <v/>
      </c>
      <c r="BA12" s="3401" t="str">
        <f>IFERROR(VLOOKUP(AZ12,Зарубежная_выручка!X:X,1,0),"")</f>
        <v/>
      </c>
      <c r="BB12" s="32">
        <f>IF(BA12="",0,SUMIF(Зарубежная_выручка!X:X,BA12,Зарубежная_выручка!Y:Y)+SUMIF('46'!AZ:AZ,BA12,'46'!AY:AY))</f>
        <v>0</v>
      </c>
      <c r="BC12" s="32" t="b">
        <f t="shared" si="16"/>
        <v>1</v>
      </c>
      <c r="BD12" s="2993"/>
      <c r="BE12" s="32" t="b">
        <f t="shared" si="17"/>
        <v>1</v>
      </c>
    </row>
    <row r="13" spans="1:61" ht="22.5" customHeight="1">
      <c r="A13" s="2427" t="str">
        <f t="shared" si="4"/>
        <v>R50=;R40=;R24=;R36=-;R43=-;R48=;R51=;COM=</v>
      </c>
      <c r="C13" s="2992"/>
      <c r="D13" s="1320" t="str">
        <f>IF(ISNA(VLOOKUP($C13,Долгосроч_договоры!$C$10:$AL$2211,34,0)),"-",VLOOKUP($C13,Долгосроч_договоры!$C$10:$AL$2211,34,0))</f>
        <v>-</v>
      </c>
      <c r="E13" s="1320" t="str">
        <f>IF(ISNA(VLOOKUP($C13,Долгосроч_договоры!$C$10:$AL$2211,35,0)),"-",VLOOKUP($C13,Долгосроч_договоры!$C$10:$AL$2211,35,0))</f>
        <v>-</v>
      </c>
      <c r="F13" s="1320" t="str">
        <f>IF(ISNA(VLOOKUP($C13,Долгосроч_договоры!$C$10:$AL$2211,36,0)),"-",VLOOKUP($C13,Долгосроч_договоры!$C$10:$AL$2211,36,0))</f>
        <v>-</v>
      </c>
      <c r="G13" s="1907" t="str">
        <f>IF(ISNA(VLOOKUP($C13,Долгосроч_договоры!$C$10:$J$2211,6,0)),"-",VLOOKUP($C13,Долгосроч_договоры!$C$10:$J$2211,6,0))</f>
        <v>-</v>
      </c>
      <c r="H13" s="1907" t="str">
        <f>IF(ISNA(VLOOKUP($C13,Долгосроч_договоры!$C$10:$J$2211,7,0)),"-",VLOOKUP($C13,Долгосроч_договоры!$C$10:$J$2211,7,0))</f>
        <v>-</v>
      </c>
      <c r="I13" s="3017"/>
      <c r="J13" s="3017"/>
      <c r="K13" s="1321"/>
      <c r="L13" s="1321"/>
      <c r="M13" s="2674"/>
      <c r="N13" s="3225">
        <f t="shared" si="5"/>
        <v>0</v>
      </c>
      <c r="O13" s="1321"/>
      <c r="P13" s="1321"/>
      <c r="Q13" s="1321"/>
      <c r="R13" s="1321"/>
      <c r="S13" s="1321"/>
      <c r="T13" s="1321"/>
      <c r="U13" s="1321"/>
      <c r="V13" s="1321"/>
      <c r="W13" s="1321"/>
      <c r="X13" s="1321"/>
      <c r="Y13" s="1321"/>
      <c r="Z13" s="1319">
        <f t="shared" si="6"/>
        <v>0</v>
      </c>
      <c r="AA13" s="1319">
        <f t="shared" si="7"/>
        <v>0</v>
      </c>
      <c r="AB13" s="2674"/>
      <c r="AC13" s="3225">
        <f t="shared" si="8"/>
        <v>0</v>
      </c>
      <c r="AD13" s="2674"/>
      <c r="AE13" s="1321"/>
      <c r="AF13" s="1321"/>
      <c r="AG13" s="2993"/>
      <c r="AH13" s="2035"/>
      <c r="AI13" s="2035"/>
      <c r="AJ13" s="2035"/>
      <c r="AK13" s="2035"/>
      <c r="AM13" s="2937"/>
      <c r="AN13" s="3026"/>
      <c r="AO13" s="3026">
        <f t="shared" si="9"/>
        <v>0</v>
      </c>
      <c r="AP13" s="2938">
        <f>SUMIFS('90_контр'!I:I,'90_контр'!H:H,F13,'90_контр'!C:C,J13)</f>
        <v>0</v>
      </c>
      <c r="AQ13" s="2938">
        <f>SUMIFS('90_ОРВГ'!K:K,'90_ОРВГ'!E:E,F13,'90_ОРВГ'!I:I,J13)+SUMIFS('90_ОРВГ'!M:M,'90_ОРВГ'!E:E,F13,'90_ОРВГ'!I:I,J13)</f>
        <v>0</v>
      </c>
      <c r="AR13" s="3026">
        <f>SUMIFS(Зарубежная_выручка!C:C,Зарубежная_выручка!I:I,F13,Зарубежная_выручка!E:E,J13)</f>
        <v>0</v>
      </c>
      <c r="AS13" s="2036" t="b">
        <f t="shared" si="10"/>
        <v>1</v>
      </c>
      <c r="AT13" s="3012">
        <f t="shared" si="11"/>
        <v>0</v>
      </c>
      <c r="AU13" s="3001"/>
      <c r="AV13" s="3012">
        <f>SUMIFS(Долгосроч_договоры!$AH$10:$AH$500,Долгосроч_договоры!$C$10:$C$500,C13,Долгосроч_договоры!$J$10:$J$500,J13)</f>
        <v>0</v>
      </c>
      <c r="AW13" s="3012">
        <f t="shared" si="12"/>
        <v>0</v>
      </c>
      <c r="AX13" s="3011" t="b">
        <f t="shared" si="13"/>
        <v>1</v>
      </c>
      <c r="AY13" s="3401">
        <f t="shared" si="14"/>
        <v>0</v>
      </c>
      <c r="AZ13" s="3401" t="str">
        <f t="shared" si="15"/>
        <v/>
      </c>
      <c r="BA13" s="3401" t="str">
        <f>IFERROR(VLOOKUP(AZ13,Зарубежная_выручка!X:X,1,0),"")</f>
        <v/>
      </c>
      <c r="BB13" s="32">
        <f>IF(BA13="",0,SUMIF(Зарубежная_выручка!X:X,BA13,Зарубежная_выручка!Y:Y)+SUMIF('46'!AZ:AZ,BA13,'46'!AY:AY))</f>
        <v>0</v>
      </c>
      <c r="BC13" s="32" t="b">
        <f t="shared" si="16"/>
        <v>1</v>
      </c>
      <c r="BD13" s="2993"/>
      <c r="BE13" s="32" t="b">
        <f t="shared" si="17"/>
        <v>1</v>
      </c>
    </row>
    <row r="14" spans="1:61" ht="22.5" customHeight="1">
      <c r="A14" s="2427" t="str">
        <f t="shared" si="4"/>
        <v>R50=;R40=;R24=;R36=-;R43=-;R48=;R51=;COM=</v>
      </c>
      <c r="C14" s="2992"/>
      <c r="D14" s="1320" t="str">
        <f>IF(ISNA(VLOOKUP($C14,Долгосроч_договоры!$C$10:$AL$2211,34,0)),"-",VLOOKUP($C14,Долгосроч_договоры!$C$10:$AL$2211,34,0))</f>
        <v>-</v>
      </c>
      <c r="E14" s="1320" t="str">
        <f>IF(ISNA(VLOOKUP($C14,Долгосроч_договоры!$C$10:$AL$2211,35,0)),"-",VLOOKUP($C14,Долгосроч_договоры!$C$10:$AL$2211,35,0))</f>
        <v>-</v>
      </c>
      <c r="F14" s="1320" t="str">
        <f>IF(ISNA(VLOOKUP($C14,Долгосроч_договоры!$C$10:$AL$2211,36,0)),"-",VLOOKUP($C14,Долгосроч_договоры!$C$10:$AL$2211,36,0))</f>
        <v>-</v>
      </c>
      <c r="G14" s="1907" t="str">
        <f>IF(ISNA(VLOOKUP($C14,Долгосроч_договоры!$C$10:$J$2211,6,0)),"-",VLOOKUP($C14,Долгосроч_договоры!$C$10:$J$2211,6,0))</f>
        <v>-</v>
      </c>
      <c r="H14" s="1907" t="str">
        <f>IF(ISNA(VLOOKUP($C14,Долгосроч_договоры!$C$10:$J$2211,7,0)),"-",VLOOKUP($C14,Долгосроч_договоры!$C$10:$J$2211,7,0))</f>
        <v>-</v>
      </c>
      <c r="I14" s="3017"/>
      <c r="J14" s="3017"/>
      <c r="K14" s="1321"/>
      <c r="L14" s="1321"/>
      <c r="M14" s="2674"/>
      <c r="N14" s="3225">
        <f t="shared" si="5"/>
        <v>0</v>
      </c>
      <c r="O14" s="1321"/>
      <c r="P14" s="1321"/>
      <c r="Q14" s="1321"/>
      <c r="R14" s="1321"/>
      <c r="S14" s="1321"/>
      <c r="T14" s="1321"/>
      <c r="U14" s="1321"/>
      <c r="V14" s="1321"/>
      <c r="W14" s="1321"/>
      <c r="X14" s="1321"/>
      <c r="Y14" s="1321"/>
      <c r="Z14" s="1319">
        <f t="shared" si="6"/>
        <v>0</v>
      </c>
      <c r="AA14" s="1319">
        <f t="shared" si="7"/>
        <v>0</v>
      </c>
      <c r="AB14" s="2674"/>
      <c r="AC14" s="3225">
        <f t="shared" si="8"/>
        <v>0</v>
      </c>
      <c r="AD14" s="2674"/>
      <c r="AE14" s="1321"/>
      <c r="AF14" s="1321"/>
      <c r="AG14" s="2993"/>
      <c r="AH14" s="2035"/>
      <c r="AI14" s="2035"/>
      <c r="AJ14" s="2035"/>
      <c r="AK14" s="2035"/>
      <c r="AM14" s="2937"/>
      <c r="AN14" s="3026"/>
      <c r="AO14" s="3026">
        <f t="shared" si="9"/>
        <v>0</v>
      </c>
      <c r="AP14" s="2938">
        <f>SUMIFS('90_контр'!I:I,'90_контр'!H:H,F14,'90_контр'!C:C,J14)</f>
        <v>0</v>
      </c>
      <c r="AQ14" s="2938">
        <f>SUMIFS('90_ОРВГ'!K:K,'90_ОРВГ'!E:E,F14,'90_ОРВГ'!I:I,J14)+SUMIFS('90_ОРВГ'!M:M,'90_ОРВГ'!E:E,F14,'90_ОРВГ'!I:I,J14)</f>
        <v>0</v>
      </c>
      <c r="AR14" s="3026">
        <f>SUMIFS(Зарубежная_выручка!C:C,Зарубежная_выручка!I:I,F14,Зарубежная_выручка!E:E,J14)</f>
        <v>0</v>
      </c>
      <c r="AS14" s="2036" t="b">
        <f t="shared" si="10"/>
        <v>1</v>
      </c>
      <c r="AT14" s="3012">
        <f t="shared" si="11"/>
        <v>0</v>
      </c>
      <c r="AU14" s="3001"/>
      <c r="AV14" s="3012">
        <f>SUMIFS(Долгосроч_договоры!$AH$10:$AH$500,Долгосроч_договоры!$C$10:$C$500,C14,Долгосроч_договоры!$J$10:$J$500,J14)</f>
        <v>0</v>
      </c>
      <c r="AW14" s="3012">
        <f t="shared" si="12"/>
        <v>0</v>
      </c>
      <c r="AX14" s="3011" t="b">
        <f t="shared" si="13"/>
        <v>1</v>
      </c>
      <c r="AY14" s="3401">
        <f t="shared" si="14"/>
        <v>0</v>
      </c>
      <c r="AZ14" s="3401" t="str">
        <f t="shared" si="15"/>
        <v/>
      </c>
      <c r="BA14" s="3401" t="str">
        <f>IFERROR(VLOOKUP(AZ14,Зарубежная_выручка!X:X,1,0),"")</f>
        <v/>
      </c>
      <c r="BB14" s="32">
        <f>IF(BA14="",0,SUMIF(Зарубежная_выручка!X:X,BA14,Зарубежная_выручка!Y:Y)+SUMIF('46'!AZ:AZ,BA14,'46'!AY:AY))</f>
        <v>0</v>
      </c>
      <c r="BC14" s="32" t="b">
        <f t="shared" si="16"/>
        <v>1</v>
      </c>
      <c r="BD14" s="2993"/>
      <c r="BE14" s="32" t="b">
        <f t="shared" si="17"/>
        <v>1</v>
      </c>
    </row>
    <row r="15" spans="1:61" ht="22.5" customHeight="1">
      <c r="A15" s="2427" t="str">
        <f t="shared" si="4"/>
        <v>R50=;R40=;R24=;R36=-;R43=-;R48=;R51=;COM=</v>
      </c>
      <c r="C15" s="2992"/>
      <c r="D15" s="1320" t="str">
        <f>IF(ISNA(VLOOKUP($C15,Долгосроч_договоры!$C$10:$AL$2211,34,0)),"-",VLOOKUP($C15,Долгосроч_договоры!$C$10:$AL$2211,34,0))</f>
        <v>-</v>
      </c>
      <c r="E15" s="1320" t="str">
        <f>IF(ISNA(VLOOKUP($C15,Долгосроч_договоры!$C$10:$AL$2211,35,0)),"-",VLOOKUP($C15,Долгосроч_договоры!$C$10:$AL$2211,35,0))</f>
        <v>-</v>
      </c>
      <c r="F15" s="1320" t="str">
        <f>IF(ISNA(VLOOKUP($C15,Долгосроч_договоры!$C$10:$AL$2211,36,0)),"-",VLOOKUP($C15,Долгосроч_договоры!$C$10:$AL$2211,36,0))</f>
        <v>-</v>
      </c>
      <c r="G15" s="1907" t="str">
        <f>IF(ISNA(VLOOKUP($C15,Долгосроч_договоры!$C$10:$J$2211,6,0)),"-",VLOOKUP($C15,Долгосроч_договоры!$C$10:$J$2211,6,0))</f>
        <v>-</v>
      </c>
      <c r="H15" s="1907" t="str">
        <f>IF(ISNA(VLOOKUP($C15,Долгосроч_договоры!$C$10:$J$2211,7,0)),"-",VLOOKUP($C15,Долгосроч_договоры!$C$10:$J$2211,7,0))</f>
        <v>-</v>
      </c>
      <c r="I15" s="3017"/>
      <c r="J15" s="3017"/>
      <c r="K15" s="1321"/>
      <c r="L15" s="1321"/>
      <c r="M15" s="2674"/>
      <c r="N15" s="3225">
        <f t="shared" si="5"/>
        <v>0</v>
      </c>
      <c r="O15" s="1321"/>
      <c r="P15" s="1321"/>
      <c r="Q15" s="1321"/>
      <c r="R15" s="1321"/>
      <c r="S15" s="1321"/>
      <c r="T15" s="1321"/>
      <c r="U15" s="1321"/>
      <c r="V15" s="1321"/>
      <c r="W15" s="1321"/>
      <c r="X15" s="1321"/>
      <c r="Y15" s="1321"/>
      <c r="Z15" s="1319">
        <f t="shared" si="6"/>
        <v>0</v>
      </c>
      <c r="AA15" s="1319">
        <f t="shared" si="7"/>
        <v>0</v>
      </c>
      <c r="AB15" s="2674"/>
      <c r="AC15" s="3225">
        <f t="shared" si="8"/>
        <v>0</v>
      </c>
      <c r="AD15" s="2674"/>
      <c r="AE15" s="1321"/>
      <c r="AF15" s="1321"/>
      <c r="AG15" s="2993"/>
      <c r="AH15" s="2035"/>
      <c r="AI15" s="2035"/>
      <c r="AJ15" s="2035"/>
      <c r="AK15" s="2035"/>
      <c r="AM15" s="2937"/>
      <c r="AN15" s="3026"/>
      <c r="AO15" s="3026">
        <f t="shared" si="9"/>
        <v>0</v>
      </c>
      <c r="AP15" s="2938">
        <f>SUMIFS('90_контр'!I:I,'90_контр'!H:H,F15,'90_контр'!C:C,J15)</f>
        <v>0</v>
      </c>
      <c r="AQ15" s="2938">
        <f>SUMIFS('90_ОРВГ'!K:K,'90_ОРВГ'!E:E,F15,'90_ОРВГ'!I:I,J15)+SUMIFS('90_ОРВГ'!M:M,'90_ОРВГ'!E:E,F15,'90_ОРВГ'!I:I,J15)</f>
        <v>0</v>
      </c>
      <c r="AR15" s="3026">
        <f>SUMIFS(Зарубежная_выручка!C:C,Зарубежная_выручка!I:I,F15,Зарубежная_выручка!E:E,J15)</f>
        <v>0</v>
      </c>
      <c r="AS15" s="2036" t="b">
        <f t="shared" si="10"/>
        <v>1</v>
      </c>
      <c r="AT15" s="3012">
        <f t="shared" si="11"/>
        <v>0</v>
      </c>
      <c r="AU15" s="3001"/>
      <c r="AV15" s="3012">
        <f>SUMIFS(Долгосроч_договоры!$AH$10:$AH$500,Долгосроч_договоры!$C$10:$C$500,C15,Долгосроч_договоры!$J$10:$J$500,J15)</f>
        <v>0</v>
      </c>
      <c r="AW15" s="3012">
        <f t="shared" si="12"/>
        <v>0</v>
      </c>
      <c r="AX15" s="3011" t="b">
        <f t="shared" si="13"/>
        <v>1</v>
      </c>
      <c r="AY15" s="3401">
        <f t="shared" si="14"/>
        <v>0</v>
      </c>
      <c r="AZ15" s="3401" t="str">
        <f t="shared" si="15"/>
        <v/>
      </c>
      <c r="BA15" s="3401" t="str">
        <f>IFERROR(VLOOKUP(AZ15,Зарубежная_выручка!X:X,1,0),"")</f>
        <v/>
      </c>
      <c r="BB15" s="32">
        <f>IF(BA15="",0,SUMIF(Зарубежная_выручка!X:X,BA15,Зарубежная_выручка!Y:Y)+SUMIF('46'!AZ:AZ,BA15,'46'!AY:AY))</f>
        <v>0</v>
      </c>
      <c r="BC15" s="32" t="b">
        <f t="shared" si="16"/>
        <v>1</v>
      </c>
      <c r="BD15" s="2993"/>
      <c r="BE15" s="32" t="b">
        <f t="shared" si="17"/>
        <v>1</v>
      </c>
    </row>
    <row r="16" spans="1:61" ht="22.5" customHeight="1">
      <c r="A16" s="2427" t="str">
        <f t="shared" si="4"/>
        <v>R50=;R40=;R24=;R36=-;R43=-;R48=;R51=;COM=</v>
      </c>
      <c r="C16" s="2992"/>
      <c r="D16" s="1320" t="str">
        <f>IF(ISNA(VLOOKUP($C16,Долгосроч_договоры!$C$10:$AL$2211,34,0)),"-",VLOOKUP($C16,Долгосроч_договоры!$C$10:$AL$2211,34,0))</f>
        <v>-</v>
      </c>
      <c r="E16" s="1320" t="str">
        <f>IF(ISNA(VLOOKUP($C16,Долгосроч_договоры!$C$10:$AL$2211,35,0)),"-",VLOOKUP($C16,Долгосроч_договоры!$C$10:$AL$2211,35,0))</f>
        <v>-</v>
      </c>
      <c r="F16" s="1320" t="str">
        <f>IF(ISNA(VLOOKUP($C16,Долгосроч_договоры!$C$10:$AL$2211,36,0)),"-",VLOOKUP($C16,Долгосроч_договоры!$C$10:$AL$2211,36,0))</f>
        <v>-</v>
      </c>
      <c r="G16" s="1907" t="str">
        <f>IF(ISNA(VLOOKUP($C16,Долгосроч_договоры!$C$10:$J$2211,6,0)),"-",VLOOKUP($C16,Долгосроч_договоры!$C$10:$J$2211,6,0))</f>
        <v>-</v>
      </c>
      <c r="H16" s="1907" t="str">
        <f>IF(ISNA(VLOOKUP($C16,Долгосроч_договоры!$C$10:$J$2211,7,0)),"-",VLOOKUP($C16,Долгосроч_договоры!$C$10:$J$2211,7,0))</f>
        <v>-</v>
      </c>
      <c r="I16" s="3017"/>
      <c r="J16" s="3017"/>
      <c r="K16" s="1321"/>
      <c r="L16" s="1321"/>
      <c r="M16" s="2674"/>
      <c r="N16" s="3225">
        <f t="shared" si="5"/>
        <v>0</v>
      </c>
      <c r="O16" s="1321"/>
      <c r="P16" s="1321"/>
      <c r="Q16" s="1321"/>
      <c r="R16" s="1321"/>
      <c r="S16" s="1321"/>
      <c r="T16" s="1321"/>
      <c r="U16" s="1321"/>
      <c r="V16" s="1321"/>
      <c r="W16" s="1321"/>
      <c r="X16" s="1321"/>
      <c r="Y16" s="1321"/>
      <c r="Z16" s="1319">
        <f t="shared" si="6"/>
        <v>0</v>
      </c>
      <c r="AA16" s="1319">
        <f t="shared" si="7"/>
        <v>0</v>
      </c>
      <c r="AB16" s="2674"/>
      <c r="AC16" s="3225">
        <f t="shared" si="8"/>
        <v>0</v>
      </c>
      <c r="AD16" s="2674"/>
      <c r="AE16" s="1321"/>
      <c r="AF16" s="1321"/>
      <c r="AG16" s="2993"/>
      <c r="AH16" s="2035"/>
      <c r="AI16" s="2035"/>
      <c r="AJ16" s="2035"/>
      <c r="AK16" s="2035"/>
      <c r="AM16" s="2937"/>
      <c r="AN16" s="3026"/>
      <c r="AO16" s="3026">
        <f t="shared" si="9"/>
        <v>0</v>
      </c>
      <c r="AP16" s="2938">
        <f>SUMIFS('90_контр'!I:I,'90_контр'!H:H,F16,'90_контр'!C:C,J16)</f>
        <v>0</v>
      </c>
      <c r="AQ16" s="2938">
        <f>SUMIFS('90_ОРВГ'!K:K,'90_ОРВГ'!E:E,F16,'90_ОРВГ'!I:I,J16)+SUMIFS('90_ОРВГ'!M:M,'90_ОРВГ'!E:E,F16,'90_ОРВГ'!I:I,J16)</f>
        <v>0</v>
      </c>
      <c r="AR16" s="3026">
        <f>SUMIFS(Зарубежная_выручка!C:C,Зарубежная_выручка!I:I,F16,Зарубежная_выручка!E:E,J16)</f>
        <v>0</v>
      </c>
      <c r="AS16" s="2036" t="b">
        <f t="shared" si="10"/>
        <v>1</v>
      </c>
      <c r="AT16" s="3012">
        <f t="shared" si="11"/>
        <v>0</v>
      </c>
      <c r="AU16" s="3001"/>
      <c r="AV16" s="3012">
        <f>SUMIFS(Долгосроч_договоры!$AH$10:$AH$500,Долгосроч_договоры!$C$10:$C$500,C16,Долгосроч_договоры!$J$10:$J$500,J16)</f>
        <v>0</v>
      </c>
      <c r="AW16" s="3012">
        <f t="shared" si="12"/>
        <v>0</v>
      </c>
      <c r="AX16" s="3011" t="b">
        <f t="shared" si="13"/>
        <v>1</v>
      </c>
      <c r="AY16" s="3401">
        <f t="shared" si="14"/>
        <v>0</v>
      </c>
      <c r="AZ16" s="3401" t="str">
        <f t="shared" si="15"/>
        <v/>
      </c>
      <c r="BA16" s="3401" t="str">
        <f>IFERROR(VLOOKUP(AZ16,Зарубежная_выручка!X:X,1,0),"")</f>
        <v/>
      </c>
      <c r="BB16" s="32">
        <f>IF(BA16="",0,SUMIF(Зарубежная_выручка!X:X,BA16,Зарубежная_выручка!Y:Y)+SUMIF('46'!AZ:AZ,BA16,'46'!AY:AY))</f>
        <v>0</v>
      </c>
      <c r="BC16" s="32" t="b">
        <f t="shared" si="16"/>
        <v>1</v>
      </c>
      <c r="BD16" s="2993"/>
      <c r="BE16" s="32" t="b">
        <f t="shared" si="17"/>
        <v>1</v>
      </c>
    </row>
    <row r="17" spans="1:57" ht="22.5" customHeight="1">
      <c r="A17" s="2427" t="str">
        <f t="shared" si="4"/>
        <v>R50=;R40=;R24=;R36=-;R43=-;R48=;R51=;COM=</v>
      </c>
      <c r="C17" s="2992"/>
      <c r="D17" s="1320" t="str">
        <f>IF(ISNA(VLOOKUP($C17,Долгосроч_договоры!$C$10:$AL$2211,34,0)),"-",VLOOKUP($C17,Долгосроч_договоры!$C$10:$AL$2211,34,0))</f>
        <v>-</v>
      </c>
      <c r="E17" s="1320" t="str">
        <f>IF(ISNA(VLOOKUP($C17,Долгосроч_договоры!$C$10:$AL$2211,35,0)),"-",VLOOKUP($C17,Долгосроч_договоры!$C$10:$AL$2211,35,0))</f>
        <v>-</v>
      </c>
      <c r="F17" s="1320" t="str">
        <f>IF(ISNA(VLOOKUP($C17,Долгосроч_договоры!$C$10:$AL$2211,36,0)),"-",VLOOKUP($C17,Долгосроч_договоры!$C$10:$AL$2211,36,0))</f>
        <v>-</v>
      </c>
      <c r="G17" s="1907" t="str">
        <f>IF(ISNA(VLOOKUP($C17,Долгосроч_договоры!$C$10:$J$2211,6,0)),"-",VLOOKUP($C17,Долгосроч_договоры!$C$10:$J$2211,6,0))</f>
        <v>-</v>
      </c>
      <c r="H17" s="1907" t="str">
        <f>IF(ISNA(VLOOKUP($C17,Долгосроч_договоры!$C$10:$J$2211,7,0)),"-",VLOOKUP($C17,Долгосроч_договоры!$C$10:$J$2211,7,0))</f>
        <v>-</v>
      </c>
      <c r="I17" s="3017"/>
      <c r="J17" s="3017"/>
      <c r="K17" s="1321"/>
      <c r="L17" s="1321"/>
      <c r="M17" s="2674"/>
      <c r="N17" s="3225">
        <f t="shared" si="5"/>
        <v>0</v>
      </c>
      <c r="O17" s="1321"/>
      <c r="P17" s="1321"/>
      <c r="Q17" s="1321"/>
      <c r="R17" s="1321"/>
      <c r="S17" s="1321"/>
      <c r="T17" s="1321"/>
      <c r="U17" s="1321"/>
      <c r="V17" s="1321"/>
      <c r="W17" s="1321"/>
      <c r="X17" s="1321"/>
      <c r="Y17" s="1321"/>
      <c r="Z17" s="1319">
        <f t="shared" si="6"/>
        <v>0</v>
      </c>
      <c r="AA17" s="1319">
        <f t="shared" si="7"/>
        <v>0</v>
      </c>
      <c r="AB17" s="2674"/>
      <c r="AC17" s="3225">
        <f t="shared" si="8"/>
        <v>0</v>
      </c>
      <c r="AD17" s="2674"/>
      <c r="AE17" s="1321"/>
      <c r="AF17" s="1321"/>
      <c r="AG17" s="2993"/>
      <c r="AH17" s="2035"/>
      <c r="AI17" s="2035"/>
      <c r="AJ17" s="2035"/>
      <c r="AK17" s="2035"/>
      <c r="AM17" s="2937"/>
      <c r="AN17" s="3026"/>
      <c r="AO17" s="3026">
        <f t="shared" si="9"/>
        <v>0</v>
      </c>
      <c r="AP17" s="3026">
        <f>SUMIFS('90_контр'!I:I,'90_контр'!H:H,F17,'90_контр'!C:C,J17)</f>
        <v>0</v>
      </c>
      <c r="AQ17" s="3026">
        <f>SUMIFS('90_ОРВГ'!K:K,'90_ОРВГ'!E:E,F17,'90_ОРВГ'!I:I,J17)+SUMIFS('90_ОРВГ'!M:M,'90_ОРВГ'!E:E,F17,'90_ОРВГ'!I:I,J17)</f>
        <v>0</v>
      </c>
      <c r="AR17" s="3026">
        <f>SUMIFS(Зарубежная_выручка!C:C,Зарубежная_выручка!I:I,F17,Зарубежная_выручка!E:E,J17)</f>
        <v>0</v>
      </c>
      <c r="AS17" s="2036" t="b">
        <f t="shared" si="10"/>
        <v>1</v>
      </c>
      <c r="AT17" s="3012">
        <f t="shared" si="11"/>
        <v>0</v>
      </c>
      <c r="AU17" s="3012"/>
      <c r="AV17" s="3012">
        <f>SUMIFS(Долгосроч_договоры!$AH$10:$AH$500,Долгосроч_договоры!$C$10:$C$500,C17,Долгосроч_договоры!$J$10:$J$500,J17)</f>
        <v>0</v>
      </c>
      <c r="AW17" s="3012">
        <f t="shared" si="12"/>
        <v>0</v>
      </c>
      <c r="AX17" s="3011" t="b">
        <f t="shared" si="13"/>
        <v>1</v>
      </c>
      <c r="AY17" s="3401">
        <f t="shared" si="14"/>
        <v>0</v>
      </c>
      <c r="AZ17" s="3401" t="str">
        <f t="shared" si="15"/>
        <v/>
      </c>
      <c r="BA17" s="3401" t="str">
        <f>IFERROR(VLOOKUP(AZ17,Зарубежная_выручка!X:X,1,0),"")</f>
        <v/>
      </c>
      <c r="BB17" s="32">
        <f>IF(BA17="",0,SUMIF(Зарубежная_выручка!X:X,BA17,Зарубежная_выручка!Y:Y)+SUMIF('46'!AZ:AZ,BA17,'46'!AY:AY))</f>
        <v>0</v>
      </c>
      <c r="BC17" s="32" t="b">
        <f t="shared" si="16"/>
        <v>1</v>
      </c>
      <c r="BD17" s="2993"/>
      <c r="BE17" s="32" t="b">
        <f t="shared" si="17"/>
        <v>1</v>
      </c>
    </row>
    <row r="18" spans="1:57" ht="22.5" customHeight="1">
      <c r="A18" s="2427" t="str">
        <f t="shared" si="4"/>
        <v>R50=;R40=;R24=;R36=-;R43=-;R48=;R51=;COM=</v>
      </c>
      <c r="C18" s="2992"/>
      <c r="D18" s="1320" t="str">
        <f>IF(ISNA(VLOOKUP($C18,Долгосроч_договоры!$C$10:$AL$2211,34,0)),"-",VLOOKUP($C18,Долгосроч_договоры!$C$10:$AL$2211,34,0))</f>
        <v>-</v>
      </c>
      <c r="E18" s="1320" t="str">
        <f>IF(ISNA(VLOOKUP($C18,Долгосроч_договоры!$C$10:$AL$2211,35,0)),"-",VLOOKUP($C18,Долгосроч_договоры!$C$10:$AL$2211,35,0))</f>
        <v>-</v>
      </c>
      <c r="F18" s="1320" t="str">
        <f>IF(ISNA(VLOOKUP($C18,Долгосроч_договоры!$C$10:$AL$2211,36,0)),"-",VLOOKUP($C18,Долгосроч_договоры!$C$10:$AL$2211,36,0))</f>
        <v>-</v>
      </c>
      <c r="G18" s="1907" t="str">
        <f>IF(ISNA(VLOOKUP($C18,Долгосроч_договоры!$C$10:$J$2211,6,0)),"-",VLOOKUP($C18,Долгосроч_договоры!$C$10:$J$2211,6,0))</f>
        <v>-</v>
      </c>
      <c r="H18" s="1907" t="str">
        <f>IF(ISNA(VLOOKUP($C18,Долгосроч_договоры!$C$10:$J$2211,7,0)),"-",VLOOKUP($C18,Долгосроч_договоры!$C$10:$J$2211,7,0))</f>
        <v>-</v>
      </c>
      <c r="I18" s="3017"/>
      <c r="J18" s="3017"/>
      <c r="K18" s="1321"/>
      <c r="L18" s="1321"/>
      <c r="M18" s="2674"/>
      <c r="N18" s="3225">
        <f t="shared" si="5"/>
        <v>0</v>
      </c>
      <c r="O18" s="1321"/>
      <c r="P18" s="1321"/>
      <c r="Q18" s="1321"/>
      <c r="R18" s="1321"/>
      <c r="S18" s="1321"/>
      <c r="T18" s="1321"/>
      <c r="U18" s="1321"/>
      <c r="V18" s="1321"/>
      <c r="W18" s="1321"/>
      <c r="X18" s="1321"/>
      <c r="Y18" s="1321"/>
      <c r="Z18" s="1319">
        <f t="shared" si="6"/>
        <v>0</v>
      </c>
      <c r="AA18" s="1319">
        <f t="shared" si="7"/>
        <v>0</v>
      </c>
      <c r="AB18" s="2674"/>
      <c r="AC18" s="3225">
        <f t="shared" ref="AC18" si="18">Z18-AB18</f>
        <v>0</v>
      </c>
      <c r="AD18" s="2674"/>
      <c r="AE18" s="1321"/>
      <c r="AF18" s="1321"/>
      <c r="AG18" s="2993"/>
      <c r="AH18" s="2035"/>
      <c r="AI18" s="2035"/>
      <c r="AJ18" s="2035"/>
      <c r="AK18" s="2035"/>
      <c r="AM18" s="2937"/>
      <c r="AN18" s="3026"/>
      <c r="AO18" s="3026">
        <f t="shared" si="9"/>
        <v>0</v>
      </c>
      <c r="AP18" s="3026">
        <f>SUMIFS('90_контр'!I:I,'90_контр'!H:H,F18,'90_контр'!C:C,J18)</f>
        <v>0</v>
      </c>
      <c r="AQ18" s="3026">
        <f>SUMIFS('90_ОРВГ'!K:K,'90_ОРВГ'!E:E,F18,'90_ОРВГ'!I:I,J18)+SUMIFS('90_ОРВГ'!M:M,'90_ОРВГ'!E:E,F18,'90_ОРВГ'!I:I,J18)</f>
        <v>0</v>
      </c>
      <c r="AR18" s="3026">
        <f>SUMIFS(Зарубежная_выручка!C:C,Зарубежная_выручка!I:I,F18,Зарубежная_выручка!E:E,J18)</f>
        <v>0</v>
      </c>
      <c r="AS18" s="2036" t="b">
        <f t="shared" si="10"/>
        <v>1</v>
      </c>
      <c r="AT18" s="3012">
        <f t="shared" si="11"/>
        <v>0</v>
      </c>
      <c r="AU18" s="3012"/>
      <c r="AV18" s="3012">
        <f>SUMIFS(Долгосроч_договоры!$AH$10:$AH$500,Долгосроч_договоры!$C$10:$C$500,C18,Долгосроч_договоры!$J$10:$J$500,J18)</f>
        <v>0</v>
      </c>
      <c r="AW18" s="3012">
        <f t="shared" si="12"/>
        <v>0</v>
      </c>
      <c r="AX18" s="3011" t="b">
        <f t="shared" ref="AX18" si="19">SUM(ABS(AV18-AW18))&lt;5</f>
        <v>1</v>
      </c>
      <c r="AY18" s="3401">
        <f t="shared" si="14"/>
        <v>0</v>
      </c>
      <c r="AZ18" s="3401" t="str">
        <f t="shared" si="15"/>
        <v/>
      </c>
      <c r="BA18" s="3401" t="str">
        <f>IFERROR(VLOOKUP(AZ18,Зарубежная_выручка!X:X,1,0),"")</f>
        <v/>
      </c>
      <c r="BB18" s="32">
        <f>IF(BA18="",0,SUMIF(Зарубежная_выручка!X:X,BA18,Зарубежная_выручка!Y:Y)+SUMIF('46'!AZ:AZ,BA18,'46'!AY:AY))</f>
        <v>0</v>
      </c>
      <c r="BC18" s="32" t="b">
        <f t="shared" si="16"/>
        <v>1</v>
      </c>
      <c r="BD18" s="2993"/>
      <c r="BE18" s="32" t="b">
        <f t="shared" si="17"/>
        <v>1</v>
      </c>
    </row>
    <row r="19" spans="1:57" ht="22.5" customHeight="1">
      <c r="A19" s="2427" t="str">
        <f t="shared" si="4"/>
        <v>R50=;R40=;R24=;R36=-;R43=-;R48=;R51=;COM=</v>
      </c>
      <c r="C19" s="2992"/>
      <c r="D19" s="1320" t="str">
        <f>IF(ISNA(VLOOKUP($C19,Долгосроч_договоры!$C$10:$AL$2211,34,0)),"-",VLOOKUP($C19,Долгосроч_договоры!$C$10:$AL$2211,34,0))</f>
        <v>-</v>
      </c>
      <c r="E19" s="1320" t="str">
        <f>IF(ISNA(VLOOKUP($C19,Долгосроч_договоры!$C$10:$AL$2211,35,0)),"-",VLOOKUP($C19,Долгосроч_договоры!$C$10:$AL$2211,35,0))</f>
        <v>-</v>
      </c>
      <c r="F19" s="1320" t="str">
        <f>IF(ISNA(VLOOKUP($C19,Долгосроч_договоры!$C$10:$AL$2211,36,0)),"-",VLOOKUP($C19,Долгосроч_договоры!$C$10:$AL$2211,36,0))</f>
        <v>-</v>
      </c>
      <c r="G19" s="1907" t="str">
        <f>IF(ISNA(VLOOKUP($C19,Долгосроч_договоры!$C$10:$J$2211,6,0)),"-",VLOOKUP($C19,Долгосроч_договоры!$C$10:$J$2211,6,0))</f>
        <v>-</v>
      </c>
      <c r="H19" s="1907" t="str">
        <f>IF(ISNA(VLOOKUP($C19,Долгосроч_договоры!$C$10:$J$2211,7,0)),"-",VLOOKUP($C19,Долгосроч_договоры!$C$10:$J$2211,7,0))</f>
        <v>-</v>
      </c>
      <c r="I19" s="3017"/>
      <c r="J19" s="3017"/>
      <c r="K19" s="1321"/>
      <c r="L19" s="1321"/>
      <c r="M19" s="2674"/>
      <c r="N19" s="3225">
        <f t="shared" ref="N19" si="20">K19-M19</f>
        <v>0</v>
      </c>
      <c r="O19" s="1321"/>
      <c r="P19" s="1321"/>
      <c r="Q19" s="1321"/>
      <c r="R19" s="1321"/>
      <c r="S19" s="1321"/>
      <c r="T19" s="1321"/>
      <c r="U19" s="1321"/>
      <c r="V19" s="1321"/>
      <c r="W19" s="1321"/>
      <c r="X19" s="1321"/>
      <c r="Y19" s="1321"/>
      <c r="Z19" s="1319">
        <f t="shared" si="6"/>
        <v>0</v>
      </c>
      <c r="AA19" s="1319">
        <f t="shared" si="7"/>
        <v>0</v>
      </c>
      <c r="AB19" s="2674"/>
      <c r="AC19" s="3225">
        <f t="shared" ref="AC19" si="21">Z19-AB19</f>
        <v>0</v>
      </c>
      <c r="AD19" s="2674"/>
      <c r="AE19" s="1321"/>
      <c r="AF19" s="1321"/>
      <c r="AG19" s="2993"/>
      <c r="AH19" s="2035"/>
      <c r="AI19" s="2035"/>
      <c r="AJ19" s="2035"/>
      <c r="AK19" s="2035"/>
      <c r="AM19" s="2937"/>
      <c r="AN19" s="3026"/>
      <c r="AO19" s="3026">
        <f t="shared" si="9"/>
        <v>0</v>
      </c>
      <c r="AP19" s="3026">
        <f>SUMIFS('90_контр'!I:I,'90_контр'!H:H,F19,'90_контр'!C:C,J19)</f>
        <v>0</v>
      </c>
      <c r="AQ19" s="3026">
        <f>SUMIFS('90_ОРВГ'!K:K,'90_ОРВГ'!E:E,F19,'90_ОРВГ'!I:I,J19)+SUMIFS('90_ОРВГ'!M:M,'90_ОРВГ'!E:E,F19,'90_ОРВГ'!I:I,J19)</f>
        <v>0</v>
      </c>
      <c r="AR19" s="3026">
        <f>SUMIFS(Зарубежная_выручка!C:C,Зарубежная_выручка!I:I,F19,Зарубежная_выручка!E:E,J19)</f>
        <v>0</v>
      </c>
      <c r="AS19" s="2036" t="b">
        <f t="shared" si="10"/>
        <v>1</v>
      </c>
      <c r="AT19" s="3012">
        <f t="shared" si="11"/>
        <v>0</v>
      </c>
      <c r="AU19" s="3012"/>
      <c r="AV19" s="3012">
        <f>SUMIFS(Долгосроч_договоры!$AH$10:$AH$500,Долгосроч_договоры!$C$10:$C$500,C19,Долгосроч_договоры!$J$10:$J$500,J19)</f>
        <v>0</v>
      </c>
      <c r="AW19" s="3012">
        <f t="shared" si="12"/>
        <v>0</v>
      </c>
      <c r="AX19" s="3011" t="b">
        <f t="shared" ref="AX19" si="22">SUM(ABS(AV19-AW19))&lt;5</f>
        <v>1</v>
      </c>
      <c r="AY19" s="3401">
        <f t="shared" si="14"/>
        <v>0</v>
      </c>
      <c r="AZ19" s="3401" t="str">
        <f t="shared" si="15"/>
        <v/>
      </c>
      <c r="BA19" s="3401" t="str">
        <f>IFERROR(VLOOKUP(AZ19,Зарубежная_выручка!X:X,1,0),"")</f>
        <v/>
      </c>
      <c r="BB19" s="32">
        <f>IF(BA19="",0,SUMIF(Зарубежная_выручка!X:X,BA19,Зарубежная_выручка!Y:Y)+SUMIF('46'!AZ:AZ,BA19,'46'!AY:AY))</f>
        <v>0</v>
      </c>
      <c r="BC19" s="32" t="b">
        <f t="shared" si="16"/>
        <v>1</v>
      </c>
      <c r="BD19" s="2993"/>
      <c r="BE19" s="32" t="b">
        <f t="shared" si="17"/>
        <v>1</v>
      </c>
    </row>
    <row r="20" spans="1:57" ht="22.5" customHeight="1">
      <c r="A20" s="2427" t="str">
        <f t="shared" ref="A20" si="23">"R50="&amp;C20&amp;";R40="&amp;IFERROR(MID(I20,FIND("{",I20)+1,FIND("}",I20)-FIND("{",I20)-1),"")&amp;";R24="&amp;IFERROR(MID(J20,FIND("{",J20)+1,FIND("}",J20)-FIND("{",J20)-1),"")&amp;";R36="&amp;MID(F20,1,30)&amp;";R43="&amp;MID(E20,1,30)&amp;";R48="&amp;MID(AF20,1,30)&amp;";R51="&amp;MID(AE20,1,30)&amp;";COM="&amp;AG20</f>
        <v>R50=;R40=;R24=;R36=-;R43=-;R48=;R51=;COM=</v>
      </c>
      <c r="C20" s="2992"/>
      <c r="D20" s="1320" t="str">
        <f>IF(ISNA(VLOOKUP($C20,Долгосроч_договоры!$C$10:$AL$2211,34,0)),"-",VLOOKUP($C20,Долгосроч_договоры!$C$10:$AL$2211,34,0))</f>
        <v>-</v>
      </c>
      <c r="E20" s="1320" t="str">
        <f>IF(ISNA(VLOOKUP($C20,Долгосроч_договоры!$C$10:$AL$2211,35,0)),"-",VLOOKUP($C20,Долгосроч_договоры!$C$10:$AL$2211,35,0))</f>
        <v>-</v>
      </c>
      <c r="F20" s="1320" t="str">
        <f>IF(ISNA(VLOOKUP($C20,Долгосроч_договоры!$C$10:$AL$2211,36,0)),"-",VLOOKUP($C20,Долгосроч_договоры!$C$10:$AL$2211,36,0))</f>
        <v>-</v>
      </c>
      <c r="G20" s="1907" t="str">
        <f>IF(ISNA(VLOOKUP($C20,Долгосроч_договоры!$C$10:$J$2211,6,0)),"-",VLOOKUP($C20,Долгосроч_договоры!$C$10:$J$2211,6,0))</f>
        <v>-</v>
      </c>
      <c r="H20" s="1907" t="str">
        <f>IF(ISNA(VLOOKUP($C20,Долгосроч_договоры!$C$10:$J$2211,7,0)),"-",VLOOKUP($C20,Долгосроч_договоры!$C$10:$J$2211,7,0))</f>
        <v>-</v>
      </c>
      <c r="I20" s="3017"/>
      <c r="J20" s="3017"/>
      <c r="K20" s="1321"/>
      <c r="L20" s="1321"/>
      <c r="M20" s="2674"/>
      <c r="N20" s="3225">
        <f t="shared" ref="N20" si="24">K20-M20</f>
        <v>0</v>
      </c>
      <c r="O20" s="1321"/>
      <c r="P20" s="1321"/>
      <c r="Q20" s="1321"/>
      <c r="R20" s="1321"/>
      <c r="S20" s="1321"/>
      <c r="T20" s="1321"/>
      <c r="U20" s="1321"/>
      <c r="V20" s="1321"/>
      <c r="W20" s="1321"/>
      <c r="X20" s="1321"/>
      <c r="Y20" s="1321"/>
      <c r="Z20" s="1319">
        <f t="shared" si="6"/>
        <v>0</v>
      </c>
      <c r="AA20" s="1319">
        <f t="shared" si="7"/>
        <v>0</v>
      </c>
      <c r="AB20" s="2674"/>
      <c r="AC20" s="3225">
        <f t="shared" ref="AC20" si="25">Z20-AB20</f>
        <v>0</v>
      </c>
      <c r="AD20" s="2674"/>
      <c r="AE20" s="1321"/>
      <c r="AF20" s="1321"/>
      <c r="AG20" s="2993"/>
      <c r="AH20" s="2035"/>
      <c r="AI20" s="2035"/>
      <c r="AJ20" s="2035"/>
      <c r="AK20" s="2035"/>
      <c r="AM20" s="2937"/>
      <c r="AN20" s="3026"/>
      <c r="AO20" s="3026">
        <f t="shared" si="9"/>
        <v>0</v>
      </c>
      <c r="AP20" s="3026">
        <f>SUMIFS('90_контр'!I:I,'90_контр'!H:H,F20,'90_контр'!C:C,J20)</f>
        <v>0</v>
      </c>
      <c r="AQ20" s="3026">
        <f>SUMIFS('90_ОРВГ'!K:K,'90_ОРВГ'!E:E,F20,'90_ОРВГ'!I:I,J20)+SUMIFS('90_ОРВГ'!M:M,'90_ОРВГ'!E:E,F20,'90_ОРВГ'!I:I,J20)</f>
        <v>0</v>
      </c>
      <c r="AR20" s="3026">
        <f>SUMIFS(Зарубежная_выручка!C:C,Зарубежная_выручка!I:I,F20,Зарубежная_выручка!E:E,J20)</f>
        <v>0</v>
      </c>
      <c r="AS20" s="2036" t="b">
        <f t="shared" si="10"/>
        <v>1</v>
      </c>
      <c r="AT20" s="3012">
        <f t="shared" si="11"/>
        <v>0</v>
      </c>
      <c r="AU20" s="3012"/>
      <c r="AV20" s="3012">
        <f>SUMIFS(Долгосроч_договоры!$AH$10:$AH$500,Долгосроч_договоры!$C$10:$C$500,C20,Долгосроч_договоры!$J$10:$J$500,J20)</f>
        <v>0</v>
      </c>
      <c r="AW20" s="3012">
        <f t="shared" si="12"/>
        <v>0</v>
      </c>
      <c r="AX20" s="3011" t="b">
        <f t="shared" ref="AX20" si="26">SUM(ABS(AV20-AW20))&lt;5</f>
        <v>1</v>
      </c>
      <c r="AY20" s="3401">
        <f t="shared" si="14"/>
        <v>0</v>
      </c>
      <c r="AZ20" s="3401" t="str">
        <f t="shared" si="15"/>
        <v/>
      </c>
      <c r="BA20" s="3401" t="str">
        <f>IFERROR(VLOOKUP(AZ20,Зарубежная_выручка!X:X,1,0),"")</f>
        <v/>
      </c>
      <c r="BB20" s="32">
        <f>IF(BA20="",0,SUMIF(Зарубежная_выручка!X:X,BA20,Зарубежная_выручка!Y:Y)+SUMIF('46'!AZ:AZ,BA20,'46'!AY:AY))</f>
        <v>0</v>
      </c>
      <c r="BC20" s="32" t="b">
        <f t="shared" si="16"/>
        <v>1</v>
      </c>
      <c r="BD20" s="2993"/>
      <c r="BE20" s="32" t="b">
        <f t="shared" si="17"/>
        <v>1</v>
      </c>
    </row>
    <row r="21" spans="1:57" ht="22.5" customHeight="1">
      <c r="A21" s="2427" t="str">
        <f t="shared" ref="A21" si="27">"R50="&amp;C21&amp;";R40="&amp;IFERROR(MID(I21,FIND("{",I21)+1,FIND("}",I21)-FIND("{",I21)-1),"")&amp;";R24="&amp;IFERROR(MID(J21,FIND("{",J21)+1,FIND("}",J21)-FIND("{",J21)-1),"")&amp;";R36="&amp;MID(F21,1,30)&amp;";R43="&amp;MID(E21,1,30)&amp;";R48="&amp;MID(AF21,1,30)&amp;";R51="&amp;MID(AE21,1,30)&amp;";COM="&amp;AG21</f>
        <v>R50=;R40=;R24=;R36=-;R43=-;R48=;R51=;COM=</v>
      </c>
      <c r="C21" s="2992"/>
      <c r="D21" s="1320" t="str">
        <f>IF(ISNA(VLOOKUP($C21,Долгосроч_договоры!$C$10:$AL$2211,34,0)),"-",VLOOKUP($C21,Долгосроч_договоры!$C$10:$AL$2211,34,0))</f>
        <v>-</v>
      </c>
      <c r="E21" s="1320" t="str">
        <f>IF(ISNA(VLOOKUP($C21,Долгосроч_договоры!$C$10:$AL$2211,35,0)),"-",VLOOKUP($C21,Долгосроч_договоры!$C$10:$AL$2211,35,0))</f>
        <v>-</v>
      </c>
      <c r="F21" s="1320" t="str">
        <f>IF(ISNA(VLOOKUP($C21,Долгосроч_договоры!$C$10:$AL$2211,36,0)),"-",VLOOKUP($C21,Долгосроч_договоры!$C$10:$AL$2211,36,0))</f>
        <v>-</v>
      </c>
      <c r="G21" s="1907" t="str">
        <f>IF(ISNA(VLOOKUP($C21,Долгосроч_договоры!$C$10:$J$2211,6,0)),"-",VLOOKUP($C21,Долгосроч_договоры!$C$10:$J$2211,6,0))</f>
        <v>-</v>
      </c>
      <c r="H21" s="1907" t="str">
        <f>IF(ISNA(VLOOKUP($C21,Долгосроч_договоры!$C$10:$J$2211,7,0)),"-",VLOOKUP($C21,Долгосроч_договоры!$C$10:$J$2211,7,0))</f>
        <v>-</v>
      </c>
      <c r="I21" s="3017"/>
      <c r="J21" s="3017"/>
      <c r="K21" s="1321"/>
      <c r="L21" s="1321"/>
      <c r="M21" s="2674"/>
      <c r="N21" s="3225">
        <f t="shared" ref="N21" si="28">K21-M21</f>
        <v>0</v>
      </c>
      <c r="O21" s="1321"/>
      <c r="P21" s="1321"/>
      <c r="Q21" s="1321"/>
      <c r="R21" s="1321"/>
      <c r="S21" s="1321"/>
      <c r="T21" s="1321"/>
      <c r="U21" s="1321"/>
      <c r="V21" s="1321"/>
      <c r="W21" s="1321"/>
      <c r="X21" s="1321"/>
      <c r="Y21" s="1321"/>
      <c r="Z21" s="1319">
        <f t="shared" si="6"/>
        <v>0</v>
      </c>
      <c r="AA21" s="1319">
        <f t="shared" si="7"/>
        <v>0</v>
      </c>
      <c r="AB21" s="2674"/>
      <c r="AC21" s="3225">
        <f t="shared" ref="AC21" si="29">Z21-AB21</f>
        <v>0</v>
      </c>
      <c r="AD21" s="2674"/>
      <c r="AE21" s="1321"/>
      <c r="AF21" s="1321"/>
      <c r="AG21" s="2993"/>
      <c r="AH21" s="2035"/>
      <c r="AI21" s="2035"/>
      <c r="AJ21" s="2035"/>
      <c r="AK21" s="2035"/>
      <c r="AM21" s="2937"/>
      <c r="AN21" s="3026"/>
      <c r="AO21" s="3026">
        <f t="shared" si="9"/>
        <v>0</v>
      </c>
      <c r="AP21" s="3026">
        <f>SUMIFS('90_контр'!I:I,'90_контр'!H:H,F21,'90_контр'!C:C,J21)</f>
        <v>0</v>
      </c>
      <c r="AQ21" s="3026">
        <f>SUMIFS('90_ОРВГ'!K:K,'90_ОРВГ'!E:E,F21,'90_ОРВГ'!I:I,J21)+SUMIFS('90_ОРВГ'!M:M,'90_ОРВГ'!E:E,F21,'90_ОРВГ'!I:I,J21)</f>
        <v>0</v>
      </c>
      <c r="AR21" s="3026">
        <f>SUMIFS(Зарубежная_выручка!C:C,Зарубежная_выручка!I:I,F21,Зарубежная_выручка!E:E,J21)</f>
        <v>0</v>
      </c>
      <c r="AS21" s="2036" t="b">
        <f t="shared" si="10"/>
        <v>1</v>
      </c>
      <c r="AT21" s="3012">
        <f t="shared" si="11"/>
        <v>0</v>
      </c>
      <c r="AU21" s="3012"/>
      <c r="AV21" s="3012">
        <f>SUMIFS(Долгосроч_договоры!$AH$10:$AH$500,Долгосроч_договоры!$C$10:$C$500,C21,Долгосроч_договоры!$J$10:$J$500,J21)</f>
        <v>0</v>
      </c>
      <c r="AW21" s="3012">
        <f t="shared" si="12"/>
        <v>0</v>
      </c>
      <c r="AX21" s="3011" t="b">
        <f t="shared" ref="AX21" si="30">SUM(ABS(AV21-AW21))&lt;5</f>
        <v>1</v>
      </c>
      <c r="AY21" s="3401">
        <f t="shared" si="14"/>
        <v>0</v>
      </c>
      <c r="AZ21" s="3401" t="str">
        <f t="shared" si="15"/>
        <v/>
      </c>
      <c r="BA21" s="3401" t="str">
        <f>IFERROR(VLOOKUP(AZ21,Зарубежная_выручка!X:X,1,0),"")</f>
        <v/>
      </c>
      <c r="BB21" s="32">
        <f>IF(BA21="",0,SUMIF(Зарубежная_выручка!X:X,BA21,Зарубежная_выручка!Y:Y)+SUMIF('46'!AZ:AZ,BA21,'46'!AY:AY))</f>
        <v>0</v>
      </c>
      <c r="BC21" s="32" t="b">
        <f t="shared" si="16"/>
        <v>1</v>
      </c>
      <c r="BD21" s="2993"/>
      <c r="BE21" s="32" t="b">
        <f t="shared" si="17"/>
        <v>1</v>
      </c>
    </row>
    <row r="22" spans="1:57" ht="22.5" customHeight="1">
      <c r="A22" s="2427" t="str">
        <f t="shared" ref="A22" si="31">"R50="&amp;C22&amp;";R40="&amp;IFERROR(MID(I22,FIND("{",I22)+1,FIND("}",I22)-FIND("{",I22)-1),"")&amp;";R24="&amp;IFERROR(MID(J22,FIND("{",J22)+1,FIND("}",J22)-FIND("{",J22)-1),"")&amp;";R36="&amp;MID(F22,1,30)&amp;";R43="&amp;MID(E22,1,30)&amp;";R48="&amp;MID(AF22,1,30)&amp;";R51="&amp;MID(AE22,1,30)&amp;";COM="&amp;AG22</f>
        <v>R50=;R40=;R24=;R36=-;R43=-;R48=;R51=;COM=</v>
      </c>
      <c r="C22" s="2992"/>
      <c r="D22" s="1320" t="str">
        <f>IF(ISNA(VLOOKUP($C22,Долгосроч_договоры!$C$10:$AL$2211,34,0)),"-",VLOOKUP($C22,Долгосроч_договоры!$C$10:$AL$2211,34,0))</f>
        <v>-</v>
      </c>
      <c r="E22" s="1320" t="str">
        <f>IF(ISNA(VLOOKUP($C22,Долгосроч_договоры!$C$10:$AL$2211,35,0)),"-",VLOOKUP($C22,Долгосроч_договоры!$C$10:$AL$2211,35,0))</f>
        <v>-</v>
      </c>
      <c r="F22" s="1320" t="str">
        <f>IF(ISNA(VLOOKUP($C22,Долгосроч_договоры!$C$10:$AL$2211,36,0)),"-",VLOOKUP($C22,Долгосроч_договоры!$C$10:$AL$2211,36,0))</f>
        <v>-</v>
      </c>
      <c r="G22" s="1907" t="str">
        <f>IF(ISNA(VLOOKUP($C22,Долгосроч_договоры!$C$10:$J$2211,6,0)),"-",VLOOKUP($C22,Долгосроч_договоры!$C$10:$J$2211,6,0))</f>
        <v>-</v>
      </c>
      <c r="H22" s="1907" t="str">
        <f>IF(ISNA(VLOOKUP($C22,Долгосроч_договоры!$C$10:$J$2211,7,0)),"-",VLOOKUP($C22,Долгосроч_договоры!$C$10:$J$2211,7,0))</f>
        <v>-</v>
      </c>
      <c r="I22" s="3017"/>
      <c r="J22" s="3017"/>
      <c r="K22" s="1321"/>
      <c r="L22" s="1321"/>
      <c r="M22" s="2674"/>
      <c r="N22" s="3225">
        <f t="shared" ref="N22" si="32">K22-M22</f>
        <v>0</v>
      </c>
      <c r="O22" s="1321"/>
      <c r="P22" s="1321"/>
      <c r="Q22" s="1321"/>
      <c r="R22" s="1321"/>
      <c r="S22" s="1321"/>
      <c r="T22" s="1321"/>
      <c r="U22" s="1321"/>
      <c r="V22" s="1321"/>
      <c r="W22" s="1321"/>
      <c r="X22" s="1321"/>
      <c r="Y22" s="1321"/>
      <c r="Z22" s="1319">
        <f t="shared" si="6"/>
        <v>0</v>
      </c>
      <c r="AA22" s="1319">
        <f t="shared" si="7"/>
        <v>0</v>
      </c>
      <c r="AB22" s="2674"/>
      <c r="AC22" s="3225">
        <f t="shared" ref="AC22" si="33">Z22-AB22</f>
        <v>0</v>
      </c>
      <c r="AD22" s="2674"/>
      <c r="AE22" s="1321"/>
      <c r="AF22" s="1321"/>
      <c r="AG22" s="2993"/>
      <c r="AH22" s="2035"/>
      <c r="AI22" s="2035"/>
      <c r="AJ22" s="2035"/>
      <c r="AK22" s="2035"/>
      <c r="AM22" s="2937"/>
      <c r="AN22" s="3026"/>
      <c r="AO22" s="3026">
        <f t="shared" si="9"/>
        <v>0</v>
      </c>
      <c r="AP22" s="3026">
        <f>SUMIFS('90_контр'!I:I,'90_контр'!H:H,F22,'90_контр'!C:C,J22)</f>
        <v>0</v>
      </c>
      <c r="AQ22" s="3026">
        <f>SUMIFS('90_ОРВГ'!K:K,'90_ОРВГ'!E:E,F22,'90_ОРВГ'!I:I,J22)+SUMIFS('90_ОРВГ'!M:M,'90_ОРВГ'!E:E,F22,'90_ОРВГ'!I:I,J22)</f>
        <v>0</v>
      </c>
      <c r="AR22" s="3026">
        <f>SUMIFS(Зарубежная_выручка!C:C,Зарубежная_выручка!I:I,F22,Зарубежная_выручка!E:E,J22)</f>
        <v>0</v>
      </c>
      <c r="AS22" s="2036" t="b">
        <f t="shared" si="10"/>
        <v>1</v>
      </c>
      <c r="AT22" s="3012">
        <f t="shared" si="11"/>
        <v>0</v>
      </c>
      <c r="AU22" s="3012"/>
      <c r="AV22" s="3012">
        <f>SUMIFS(Долгосроч_договоры!$AH$10:$AH$500,Долгосроч_договоры!$C$10:$C$500,C22,Долгосроч_договоры!$J$10:$J$500,J22)</f>
        <v>0</v>
      </c>
      <c r="AW22" s="3012">
        <f t="shared" si="12"/>
        <v>0</v>
      </c>
      <c r="AX22" s="3011" t="b">
        <f t="shared" ref="AX22" si="34">SUM(ABS(AV22-AW22))&lt;5</f>
        <v>1</v>
      </c>
      <c r="AY22" s="3401">
        <f t="shared" si="14"/>
        <v>0</v>
      </c>
      <c r="AZ22" s="3401" t="str">
        <f t="shared" si="15"/>
        <v/>
      </c>
      <c r="BA22" s="3401" t="str">
        <f>IFERROR(VLOOKUP(AZ22,Зарубежная_выручка!X:X,1,0),"")</f>
        <v/>
      </c>
      <c r="BB22" s="32">
        <f>IF(BA22="",0,SUMIF(Зарубежная_выручка!X:X,BA22,Зарубежная_выручка!Y:Y)+SUMIF('46'!AZ:AZ,BA22,'46'!AY:AY))</f>
        <v>0</v>
      </c>
      <c r="BC22" s="32" t="b">
        <f t="shared" si="16"/>
        <v>1</v>
      </c>
      <c r="BD22" s="2993"/>
      <c r="BE22" s="32" t="b">
        <f t="shared" si="17"/>
        <v>1</v>
      </c>
    </row>
    <row r="23" spans="1:57" ht="22.5" customHeight="1">
      <c r="A23" s="2427" t="str">
        <f t="shared" ref="A23" si="35">"R50="&amp;C23&amp;";R40="&amp;IFERROR(MID(I23,FIND("{",I23)+1,FIND("}",I23)-FIND("{",I23)-1),"")&amp;";R24="&amp;IFERROR(MID(J23,FIND("{",J23)+1,FIND("}",J23)-FIND("{",J23)-1),"")&amp;";R36="&amp;MID(F23,1,30)&amp;";R43="&amp;MID(E23,1,30)&amp;";R48="&amp;MID(AF23,1,30)&amp;";R51="&amp;MID(AE23,1,30)&amp;";COM="&amp;AG23</f>
        <v>R50=;R40=;R24=;R36=-;R43=-;R48=;R51=;COM=</v>
      </c>
      <c r="C23" s="2992"/>
      <c r="D23" s="1320" t="str">
        <f>IF(ISNA(VLOOKUP($C23,Долгосроч_договоры!$C$10:$AL$2211,34,0)),"-",VLOOKUP($C23,Долгосроч_договоры!$C$10:$AL$2211,34,0))</f>
        <v>-</v>
      </c>
      <c r="E23" s="1320" t="str">
        <f>IF(ISNA(VLOOKUP($C23,Долгосроч_договоры!$C$10:$AL$2211,35,0)),"-",VLOOKUP($C23,Долгосроч_договоры!$C$10:$AL$2211,35,0))</f>
        <v>-</v>
      </c>
      <c r="F23" s="1320" t="str">
        <f>IF(ISNA(VLOOKUP($C23,Долгосроч_договоры!$C$10:$AL$2211,36,0)),"-",VLOOKUP($C23,Долгосроч_договоры!$C$10:$AL$2211,36,0))</f>
        <v>-</v>
      </c>
      <c r="G23" s="1907" t="str">
        <f>IF(ISNA(VLOOKUP($C23,Долгосроч_договоры!$C$10:$J$2211,6,0)),"-",VLOOKUP($C23,Долгосроч_договоры!$C$10:$J$2211,6,0))</f>
        <v>-</v>
      </c>
      <c r="H23" s="1907" t="str">
        <f>IF(ISNA(VLOOKUP($C23,Долгосроч_договоры!$C$10:$J$2211,7,0)),"-",VLOOKUP($C23,Долгосроч_договоры!$C$10:$J$2211,7,0))</f>
        <v>-</v>
      </c>
      <c r="I23" s="3017"/>
      <c r="J23" s="3017"/>
      <c r="K23" s="1321"/>
      <c r="L23" s="1321"/>
      <c r="M23" s="2674"/>
      <c r="N23" s="3225">
        <f t="shared" ref="N23" si="36">K23-M23</f>
        <v>0</v>
      </c>
      <c r="O23" s="1321"/>
      <c r="P23" s="1321"/>
      <c r="Q23" s="1321"/>
      <c r="R23" s="1321"/>
      <c r="S23" s="1321"/>
      <c r="T23" s="1321"/>
      <c r="U23" s="1321"/>
      <c r="V23" s="1321"/>
      <c r="W23" s="1321"/>
      <c r="X23" s="1321"/>
      <c r="Y23" s="1321"/>
      <c r="Z23" s="1319">
        <f t="shared" si="6"/>
        <v>0</v>
      </c>
      <c r="AA23" s="1319">
        <f t="shared" si="7"/>
        <v>0</v>
      </c>
      <c r="AB23" s="2674"/>
      <c r="AC23" s="3225">
        <f t="shared" ref="AC23" si="37">Z23-AB23</f>
        <v>0</v>
      </c>
      <c r="AD23" s="2674"/>
      <c r="AE23" s="1321"/>
      <c r="AF23" s="1321"/>
      <c r="AG23" s="2993"/>
      <c r="AH23" s="2035"/>
      <c r="AI23" s="2035"/>
      <c r="AJ23" s="2035"/>
      <c r="AK23" s="2035"/>
      <c r="AM23" s="2937"/>
      <c r="AN23" s="3026"/>
      <c r="AO23" s="3026">
        <f t="shared" si="9"/>
        <v>0</v>
      </c>
      <c r="AP23" s="3026">
        <f>SUMIFS('90_контр'!I:I,'90_контр'!H:H,F23,'90_контр'!C:C,J23)</f>
        <v>0</v>
      </c>
      <c r="AQ23" s="3026">
        <f>SUMIFS('90_ОРВГ'!K:K,'90_ОРВГ'!E:E,F23,'90_ОРВГ'!I:I,J23)+SUMIFS('90_ОРВГ'!M:M,'90_ОРВГ'!E:E,F23,'90_ОРВГ'!I:I,J23)</f>
        <v>0</v>
      </c>
      <c r="AR23" s="3026">
        <f>SUMIFS(Зарубежная_выручка!C:C,Зарубежная_выручка!I:I,F23,Зарубежная_выручка!E:E,J23)</f>
        <v>0</v>
      </c>
      <c r="AS23" s="2036" t="b">
        <f t="shared" si="10"/>
        <v>1</v>
      </c>
      <c r="AT23" s="3012">
        <f t="shared" si="11"/>
        <v>0</v>
      </c>
      <c r="AU23" s="3012"/>
      <c r="AV23" s="3012">
        <f>SUMIFS(Долгосроч_договоры!$AH$10:$AH$500,Долгосроч_договоры!$C$10:$C$500,C23,Долгосроч_договоры!$J$10:$J$500,J23)</f>
        <v>0</v>
      </c>
      <c r="AW23" s="3012">
        <f t="shared" si="12"/>
        <v>0</v>
      </c>
      <c r="AX23" s="3011" t="b">
        <f t="shared" ref="AX23" si="38">SUM(ABS(AV23-AW23))&lt;5</f>
        <v>1</v>
      </c>
      <c r="AY23" s="3401">
        <f t="shared" si="14"/>
        <v>0</v>
      </c>
      <c r="AZ23" s="3401" t="str">
        <f t="shared" si="15"/>
        <v/>
      </c>
      <c r="BA23" s="3401" t="str">
        <f>IFERROR(VLOOKUP(AZ23,Зарубежная_выручка!X:X,1,0),"")</f>
        <v/>
      </c>
      <c r="BB23" s="32">
        <f>IF(BA23="",0,SUMIF(Зарубежная_выручка!X:X,BA23,Зарубежная_выручка!Y:Y)+SUMIF('46'!AZ:AZ,BA23,'46'!AY:AY))</f>
        <v>0</v>
      </c>
      <c r="BC23" s="32" t="b">
        <f t="shared" si="16"/>
        <v>1</v>
      </c>
      <c r="BD23" s="2993"/>
      <c r="BE23" s="32" t="b">
        <f t="shared" si="17"/>
        <v>1</v>
      </c>
    </row>
    <row r="24" spans="1:57" ht="22.5" customHeight="1">
      <c r="A24" s="2427" t="str">
        <f t="shared" ref="A24" si="39">"R50="&amp;C24&amp;";R40="&amp;IFERROR(MID(I24,FIND("{",I24)+1,FIND("}",I24)-FIND("{",I24)-1),"")&amp;";R24="&amp;IFERROR(MID(J24,FIND("{",J24)+1,FIND("}",J24)-FIND("{",J24)-1),"")&amp;";R36="&amp;MID(F24,1,30)&amp;";R43="&amp;MID(E24,1,30)&amp;";R48="&amp;MID(AF24,1,30)&amp;";R51="&amp;MID(AE24,1,30)&amp;";COM="&amp;AG24</f>
        <v>R50=;R40=;R24=;R36=-;R43=-;R48=;R51=;COM=</v>
      </c>
      <c r="C24" s="2992"/>
      <c r="D24" s="1320" t="str">
        <f>IF(ISNA(VLOOKUP($C24,Долгосроч_договоры!$C$10:$AL$2211,34,0)),"-",VLOOKUP($C24,Долгосроч_договоры!$C$10:$AL$2211,34,0))</f>
        <v>-</v>
      </c>
      <c r="E24" s="1320" t="str">
        <f>IF(ISNA(VLOOKUP($C24,Долгосроч_договоры!$C$10:$AL$2211,35,0)),"-",VLOOKUP($C24,Долгосроч_договоры!$C$10:$AL$2211,35,0))</f>
        <v>-</v>
      </c>
      <c r="F24" s="1320" t="str">
        <f>IF(ISNA(VLOOKUP($C24,Долгосроч_договоры!$C$10:$AL$2211,36,0)),"-",VLOOKUP($C24,Долгосроч_договоры!$C$10:$AL$2211,36,0))</f>
        <v>-</v>
      </c>
      <c r="G24" s="1907" t="str">
        <f>IF(ISNA(VLOOKUP($C24,Долгосроч_договоры!$C$10:$J$2211,6,0)),"-",VLOOKUP($C24,Долгосроч_договоры!$C$10:$J$2211,6,0))</f>
        <v>-</v>
      </c>
      <c r="H24" s="1907" t="str">
        <f>IF(ISNA(VLOOKUP($C24,Долгосроч_договоры!$C$10:$J$2211,7,0)),"-",VLOOKUP($C24,Долгосроч_договоры!$C$10:$J$2211,7,0))</f>
        <v>-</v>
      </c>
      <c r="I24" s="3017"/>
      <c r="J24" s="3017"/>
      <c r="K24" s="1321"/>
      <c r="L24" s="1321"/>
      <c r="M24" s="2674"/>
      <c r="N24" s="3225">
        <f t="shared" ref="N24" si="40">K24-M24</f>
        <v>0</v>
      </c>
      <c r="O24" s="1321"/>
      <c r="P24" s="1321"/>
      <c r="Q24" s="1321"/>
      <c r="R24" s="1321"/>
      <c r="S24" s="1321"/>
      <c r="T24" s="1321"/>
      <c r="U24" s="1321"/>
      <c r="V24" s="1321"/>
      <c r="W24" s="1321"/>
      <c r="X24" s="1321"/>
      <c r="Y24" s="1321"/>
      <c r="Z24" s="1319">
        <f t="shared" si="6"/>
        <v>0</v>
      </c>
      <c r="AA24" s="1319">
        <f t="shared" si="7"/>
        <v>0</v>
      </c>
      <c r="AB24" s="2674"/>
      <c r="AC24" s="3225">
        <f t="shared" ref="AC24" si="41">Z24-AB24</f>
        <v>0</v>
      </c>
      <c r="AD24" s="2674"/>
      <c r="AE24" s="1321"/>
      <c r="AF24" s="1321"/>
      <c r="AG24" s="2993"/>
      <c r="AH24" s="2035"/>
      <c r="AI24" s="2035"/>
      <c r="AJ24" s="2035"/>
      <c r="AK24" s="2035"/>
      <c r="AM24" s="2937"/>
      <c r="AN24" s="3026"/>
      <c r="AO24" s="3026">
        <f t="shared" si="9"/>
        <v>0</v>
      </c>
      <c r="AP24" s="3026">
        <f>SUMIFS('90_контр'!I:I,'90_контр'!H:H,F24,'90_контр'!C:C,J24)</f>
        <v>0</v>
      </c>
      <c r="AQ24" s="3026">
        <f>SUMIFS('90_ОРВГ'!K:K,'90_ОРВГ'!E:E,F24,'90_ОРВГ'!I:I,J24)+SUMIFS('90_ОРВГ'!M:M,'90_ОРВГ'!E:E,F24,'90_ОРВГ'!I:I,J24)</f>
        <v>0</v>
      </c>
      <c r="AR24" s="3026">
        <f>SUMIFS(Зарубежная_выручка!C:C,Зарубежная_выручка!I:I,F24,Зарубежная_выручка!E:E,J24)</f>
        <v>0</v>
      </c>
      <c r="AS24" s="2036" t="b">
        <f t="shared" si="10"/>
        <v>1</v>
      </c>
      <c r="AT24" s="3012">
        <f t="shared" si="11"/>
        <v>0</v>
      </c>
      <c r="AU24" s="3012"/>
      <c r="AV24" s="3012">
        <f>SUMIFS(Долгосроч_договоры!$AH$10:$AH$500,Долгосроч_договоры!$C$10:$C$500,C24,Долгосроч_договоры!$J$10:$J$500,J24)</f>
        <v>0</v>
      </c>
      <c r="AW24" s="3012">
        <f t="shared" si="12"/>
        <v>0</v>
      </c>
      <c r="AX24" s="3011" t="b">
        <f t="shared" ref="AX24" si="42">SUM(ABS(AV24-AW24))&lt;5</f>
        <v>1</v>
      </c>
      <c r="AY24" s="3401">
        <f t="shared" si="14"/>
        <v>0</v>
      </c>
      <c r="AZ24" s="3401" t="str">
        <f t="shared" si="15"/>
        <v/>
      </c>
      <c r="BA24" s="3401" t="str">
        <f>IFERROR(VLOOKUP(AZ24,Зарубежная_выручка!X:X,1,0),"")</f>
        <v/>
      </c>
      <c r="BB24" s="32">
        <f>IF(BA24="",0,SUMIF(Зарубежная_выручка!X:X,BA24,Зарубежная_выручка!Y:Y)+SUMIF('46'!AZ:AZ,BA24,'46'!AY:AY))</f>
        <v>0</v>
      </c>
      <c r="BC24" s="32" t="b">
        <f t="shared" si="16"/>
        <v>1</v>
      </c>
      <c r="BD24" s="2993"/>
      <c r="BE24" s="32" t="b">
        <f t="shared" si="17"/>
        <v>1</v>
      </c>
    </row>
    <row r="25" spans="1:57" ht="22.5" customHeight="1">
      <c r="A25" s="2427" t="str">
        <f t="shared" ref="A25" si="43">"R50="&amp;C25&amp;";R40="&amp;IFERROR(MID(I25,FIND("{",I25)+1,FIND("}",I25)-FIND("{",I25)-1),"")&amp;";R24="&amp;IFERROR(MID(J25,FIND("{",J25)+1,FIND("}",J25)-FIND("{",J25)-1),"")&amp;";R36="&amp;MID(F25,1,30)&amp;";R43="&amp;MID(E25,1,30)&amp;";R48="&amp;MID(AF25,1,30)&amp;";R51="&amp;MID(AE25,1,30)&amp;";COM="&amp;AG25</f>
        <v>R50=;R40=;R24=;R36=-;R43=-;R48=;R51=;COM=</v>
      </c>
      <c r="C25" s="2992"/>
      <c r="D25" s="1320" t="str">
        <f>IF(ISNA(VLOOKUP($C25,Долгосроч_договоры!$C$10:$AL$2211,34,0)),"-",VLOOKUP($C25,Долгосроч_договоры!$C$10:$AL$2211,34,0))</f>
        <v>-</v>
      </c>
      <c r="E25" s="1320" t="str">
        <f>IF(ISNA(VLOOKUP($C25,Долгосроч_договоры!$C$10:$AL$2211,35,0)),"-",VLOOKUP($C25,Долгосроч_договоры!$C$10:$AL$2211,35,0))</f>
        <v>-</v>
      </c>
      <c r="F25" s="1320" t="str">
        <f>IF(ISNA(VLOOKUP($C25,Долгосроч_договоры!$C$10:$AL$2211,36,0)),"-",VLOOKUP($C25,Долгосроч_договоры!$C$10:$AL$2211,36,0))</f>
        <v>-</v>
      </c>
      <c r="G25" s="1907" t="str">
        <f>IF(ISNA(VLOOKUP($C25,Долгосроч_договоры!$C$10:$J$2211,6,0)),"-",VLOOKUP($C25,Долгосроч_договоры!$C$10:$J$2211,6,0))</f>
        <v>-</v>
      </c>
      <c r="H25" s="1907" t="str">
        <f>IF(ISNA(VLOOKUP($C25,Долгосроч_договоры!$C$10:$J$2211,7,0)),"-",VLOOKUP($C25,Долгосроч_договоры!$C$10:$J$2211,7,0))</f>
        <v>-</v>
      </c>
      <c r="I25" s="3017"/>
      <c r="J25" s="3017"/>
      <c r="K25" s="1321"/>
      <c r="L25" s="1321"/>
      <c r="M25" s="2674"/>
      <c r="N25" s="3225">
        <f t="shared" ref="N25" si="44">K25-M25</f>
        <v>0</v>
      </c>
      <c r="O25" s="1321"/>
      <c r="P25" s="1321"/>
      <c r="Q25" s="1321"/>
      <c r="R25" s="1321"/>
      <c r="S25" s="1321"/>
      <c r="T25" s="1321"/>
      <c r="U25" s="1321"/>
      <c r="V25" s="1321"/>
      <c r="W25" s="1321"/>
      <c r="X25" s="1321"/>
      <c r="Y25" s="1321"/>
      <c r="Z25" s="1319">
        <f t="shared" si="6"/>
        <v>0</v>
      </c>
      <c r="AA25" s="1319">
        <f t="shared" si="7"/>
        <v>0</v>
      </c>
      <c r="AB25" s="2674"/>
      <c r="AC25" s="3225">
        <f t="shared" ref="AC25" si="45">Z25-AB25</f>
        <v>0</v>
      </c>
      <c r="AD25" s="2674"/>
      <c r="AE25" s="1321"/>
      <c r="AF25" s="1321"/>
      <c r="AG25" s="2993"/>
      <c r="AH25" s="2035"/>
      <c r="AI25" s="2035"/>
      <c r="AJ25" s="2035"/>
      <c r="AK25" s="2035"/>
      <c r="AM25" s="2937"/>
      <c r="AN25" s="3026"/>
      <c r="AO25" s="3026">
        <f t="shared" si="9"/>
        <v>0</v>
      </c>
      <c r="AP25" s="3026">
        <f>SUMIFS('90_контр'!I:I,'90_контр'!H:H,F25,'90_контр'!C:C,J25)</f>
        <v>0</v>
      </c>
      <c r="AQ25" s="3026">
        <f>SUMIFS('90_ОРВГ'!K:K,'90_ОРВГ'!E:E,F25,'90_ОРВГ'!I:I,J25)+SUMIFS('90_ОРВГ'!M:M,'90_ОРВГ'!E:E,F25,'90_ОРВГ'!I:I,J25)</f>
        <v>0</v>
      </c>
      <c r="AR25" s="3026">
        <f>SUMIFS(Зарубежная_выручка!C:C,Зарубежная_выручка!I:I,F25,Зарубежная_выручка!E:E,J25)</f>
        <v>0</v>
      </c>
      <c r="AS25" s="2036" t="b">
        <f t="shared" si="10"/>
        <v>1</v>
      </c>
      <c r="AT25" s="3012">
        <f t="shared" si="11"/>
        <v>0</v>
      </c>
      <c r="AU25" s="3012"/>
      <c r="AV25" s="3012">
        <f>SUMIFS(Долгосроч_договоры!$AH$10:$AH$500,Долгосроч_договоры!$C$10:$C$500,C25,Долгосроч_договоры!$J$10:$J$500,J25)</f>
        <v>0</v>
      </c>
      <c r="AW25" s="3012">
        <f t="shared" si="12"/>
        <v>0</v>
      </c>
      <c r="AX25" s="3011" t="b">
        <f t="shared" ref="AX25" si="46">SUM(ABS(AV25-AW25))&lt;5</f>
        <v>1</v>
      </c>
      <c r="AY25" s="3401">
        <f t="shared" si="14"/>
        <v>0</v>
      </c>
      <c r="AZ25" s="3401" t="str">
        <f t="shared" si="15"/>
        <v/>
      </c>
      <c r="BA25" s="3401" t="str">
        <f>IFERROR(VLOOKUP(AZ25,Зарубежная_выручка!X:X,1,0),"")</f>
        <v/>
      </c>
      <c r="BB25" s="32">
        <f>IF(BA25="",0,SUMIF(Зарубежная_выручка!X:X,BA25,Зарубежная_выручка!Y:Y)+SUMIF('46'!AZ:AZ,BA25,'46'!AY:AY))</f>
        <v>0</v>
      </c>
      <c r="BC25" s="32" t="b">
        <f t="shared" si="16"/>
        <v>1</v>
      </c>
      <c r="BD25" s="2993"/>
      <c r="BE25" s="32" t="b">
        <f t="shared" si="17"/>
        <v>1</v>
      </c>
    </row>
    <row r="26" spans="1:57" ht="22.5" customHeight="1">
      <c r="A26" s="2427" t="str">
        <f t="shared" ref="A26" si="47">"R50="&amp;C26&amp;";R40="&amp;IFERROR(MID(I26,FIND("{",I26)+1,FIND("}",I26)-FIND("{",I26)-1),"")&amp;";R24="&amp;IFERROR(MID(J26,FIND("{",J26)+1,FIND("}",J26)-FIND("{",J26)-1),"")&amp;";R36="&amp;MID(F26,1,30)&amp;";R43="&amp;MID(E26,1,30)&amp;";R48="&amp;MID(AF26,1,30)&amp;";R51="&amp;MID(AE26,1,30)&amp;";COM="&amp;AG26</f>
        <v>R50=;R40=;R24=;R36=-;R43=-;R48=;R51=;COM=</v>
      </c>
      <c r="C26" s="2992"/>
      <c r="D26" s="1320" t="str">
        <f>IF(ISNA(VLOOKUP($C26,Долгосроч_договоры!$C$10:$AL$2211,34,0)),"-",VLOOKUP($C26,Долгосроч_договоры!$C$10:$AL$2211,34,0))</f>
        <v>-</v>
      </c>
      <c r="E26" s="1320" t="str">
        <f>IF(ISNA(VLOOKUP($C26,Долгосроч_договоры!$C$10:$AL$2211,35,0)),"-",VLOOKUP($C26,Долгосроч_договоры!$C$10:$AL$2211,35,0))</f>
        <v>-</v>
      </c>
      <c r="F26" s="1320" t="str">
        <f>IF(ISNA(VLOOKUP($C26,Долгосроч_договоры!$C$10:$AL$2211,36,0)),"-",VLOOKUP($C26,Долгосроч_договоры!$C$10:$AL$2211,36,0))</f>
        <v>-</v>
      </c>
      <c r="G26" s="1907" t="str">
        <f>IF(ISNA(VLOOKUP($C26,Долгосроч_договоры!$C$10:$J$2211,6,0)),"-",VLOOKUP($C26,Долгосроч_договоры!$C$10:$J$2211,6,0))</f>
        <v>-</v>
      </c>
      <c r="H26" s="1907" t="str">
        <f>IF(ISNA(VLOOKUP($C26,Долгосроч_договоры!$C$10:$J$2211,7,0)),"-",VLOOKUP($C26,Долгосроч_договоры!$C$10:$J$2211,7,0))</f>
        <v>-</v>
      </c>
      <c r="I26" s="3017"/>
      <c r="J26" s="3017"/>
      <c r="K26" s="1321"/>
      <c r="L26" s="1321"/>
      <c r="M26" s="2674"/>
      <c r="N26" s="3225">
        <f t="shared" ref="N26" si="48">K26-M26</f>
        <v>0</v>
      </c>
      <c r="O26" s="1321"/>
      <c r="P26" s="1321"/>
      <c r="Q26" s="1321"/>
      <c r="R26" s="1321"/>
      <c r="S26" s="1321"/>
      <c r="T26" s="1321"/>
      <c r="U26" s="1321"/>
      <c r="V26" s="1321"/>
      <c r="W26" s="1321"/>
      <c r="X26" s="1321"/>
      <c r="Y26" s="1321"/>
      <c r="Z26" s="1319">
        <f t="shared" si="6"/>
        <v>0</v>
      </c>
      <c r="AA26" s="1319">
        <f t="shared" si="7"/>
        <v>0</v>
      </c>
      <c r="AB26" s="2674"/>
      <c r="AC26" s="3225">
        <f t="shared" ref="AC26" si="49">Z26-AB26</f>
        <v>0</v>
      </c>
      <c r="AD26" s="2674"/>
      <c r="AE26" s="1321"/>
      <c r="AF26" s="1321"/>
      <c r="AG26" s="2993"/>
      <c r="AH26" s="2035"/>
      <c r="AI26" s="2035"/>
      <c r="AJ26" s="2035"/>
      <c r="AK26" s="2035"/>
      <c r="AM26" s="2937"/>
      <c r="AN26" s="3026"/>
      <c r="AO26" s="3026">
        <f t="shared" si="9"/>
        <v>0</v>
      </c>
      <c r="AP26" s="3026">
        <f>SUMIFS('90_контр'!I:I,'90_контр'!H:H,F26,'90_контр'!C:C,J26)</f>
        <v>0</v>
      </c>
      <c r="AQ26" s="3026">
        <f>SUMIFS('90_ОРВГ'!K:K,'90_ОРВГ'!E:E,F26,'90_ОРВГ'!I:I,J26)+SUMIFS('90_ОРВГ'!M:M,'90_ОРВГ'!E:E,F26,'90_ОРВГ'!I:I,J26)</f>
        <v>0</v>
      </c>
      <c r="AR26" s="3026">
        <f>SUMIFS(Зарубежная_выручка!C:C,Зарубежная_выручка!I:I,F26,Зарубежная_выручка!E:E,J26)</f>
        <v>0</v>
      </c>
      <c r="AS26" s="2036" t="b">
        <f t="shared" si="10"/>
        <v>1</v>
      </c>
      <c r="AT26" s="3012">
        <f t="shared" si="11"/>
        <v>0</v>
      </c>
      <c r="AU26" s="3012"/>
      <c r="AV26" s="3012">
        <f>SUMIFS(Долгосроч_договоры!$AH$10:$AH$500,Долгосроч_договоры!$C$10:$C$500,C26,Долгосроч_договоры!$J$10:$J$500,J26)</f>
        <v>0</v>
      </c>
      <c r="AW26" s="3012">
        <f t="shared" si="12"/>
        <v>0</v>
      </c>
      <c r="AX26" s="3011" t="b">
        <f t="shared" ref="AX26" si="50">SUM(ABS(AV26-AW26))&lt;5</f>
        <v>1</v>
      </c>
      <c r="AY26" s="3401">
        <f t="shared" si="14"/>
        <v>0</v>
      </c>
      <c r="AZ26" s="3401" t="str">
        <f t="shared" si="15"/>
        <v/>
      </c>
      <c r="BA26" s="3401" t="str">
        <f>IFERROR(VLOOKUP(AZ26,Зарубежная_выручка!X:X,1,0),"")</f>
        <v/>
      </c>
      <c r="BB26" s="32">
        <f>IF(BA26="",0,SUMIF(Зарубежная_выручка!X:X,BA26,Зарубежная_выручка!Y:Y)+SUMIF('46'!AZ:AZ,BA26,'46'!AY:AY))</f>
        <v>0</v>
      </c>
      <c r="BC26" s="32" t="b">
        <f t="shared" si="16"/>
        <v>1</v>
      </c>
      <c r="BD26" s="2993"/>
      <c r="BE26" s="32" t="b">
        <f t="shared" si="17"/>
        <v>1</v>
      </c>
    </row>
    <row r="27" spans="1:57" ht="22.5" customHeight="1">
      <c r="A27" s="2427" t="str">
        <f t="shared" ref="A27" si="51">"R50="&amp;C27&amp;";R40="&amp;IFERROR(MID(I27,FIND("{",I27)+1,FIND("}",I27)-FIND("{",I27)-1),"")&amp;";R24="&amp;IFERROR(MID(J27,FIND("{",J27)+1,FIND("}",J27)-FIND("{",J27)-1),"")&amp;";R36="&amp;MID(F27,1,30)&amp;";R43="&amp;MID(E27,1,30)&amp;";R48="&amp;MID(AF27,1,30)&amp;";R51="&amp;MID(AE27,1,30)&amp;";COM="&amp;AG27</f>
        <v>R50=;R40=;R24=;R36=-;R43=-;R48=;R51=;COM=</v>
      </c>
      <c r="C27" s="2992"/>
      <c r="D27" s="1320" t="str">
        <f>IF(ISNA(VLOOKUP($C27,Долгосроч_договоры!$C$10:$AL$2211,34,0)),"-",VLOOKUP($C27,Долгосроч_договоры!$C$10:$AL$2211,34,0))</f>
        <v>-</v>
      </c>
      <c r="E27" s="1320" t="str">
        <f>IF(ISNA(VLOOKUP($C27,Долгосроч_договоры!$C$10:$AL$2211,35,0)),"-",VLOOKUP($C27,Долгосроч_договоры!$C$10:$AL$2211,35,0))</f>
        <v>-</v>
      </c>
      <c r="F27" s="1320" t="str">
        <f>IF(ISNA(VLOOKUP($C27,Долгосроч_договоры!$C$10:$AL$2211,36,0)),"-",VLOOKUP($C27,Долгосроч_договоры!$C$10:$AL$2211,36,0))</f>
        <v>-</v>
      </c>
      <c r="G27" s="1907" t="str">
        <f>IF(ISNA(VLOOKUP($C27,Долгосроч_договоры!$C$10:$J$2211,6,0)),"-",VLOOKUP($C27,Долгосроч_договоры!$C$10:$J$2211,6,0))</f>
        <v>-</v>
      </c>
      <c r="H27" s="1907" t="str">
        <f>IF(ISNA(VLOOKUP($C27,Долгосроч_договоры!$C$10:$J$2211,7,0)),"-",VLOOKUP($C27,Долгосроч_договоры!$C$10:$J$2211,7,0))</f>
        <v>-</v>
      </c>
      <c r="I27" s="3017"/>
      <c r="J27" s="3017"/>
      <c r="K27" s="1321"/>
      <c r="L27" s="1321"/>
      <c r="M27" s="2674"/>
      <c r="N27" s="3225">
        <f t="shared" ref="N27" si="52">K27-M27</f>
        <v>0</v>
      </c>
      <c r="O27" s="1321"/>
      <c r="P27" s="1321"/>
      <c r="Q27" s="1321"/>
      <c r="R27" s="1321"/>
      <c r="S27" s="1321"/>
      <c r="T27" s="1321"/>
      <c r="U27" s="1321"/>
      <c r="V27" s="1321"/>
      <c r="W27" s="1321"/>
      <c r="X27" s="1321"/>
      <c r="Y27" s="1321"/>
      <c r="Z27" s="1319">
        <f t="shared" si="6"/>
        <v>0</v>
      </c>
      <c r="AA27" s="1319">
        <f t="shared" si="7"/>
        <v>0</v>
      </c>
      <c r="AB27" s="2674"/>
      <c r="AC27" s="3225">
        <f t="shared" ref="AC27" si="53">Z27-AB27</f>
        <v>0</v>
      </c>
      <c r="AD27" s="2674"/>
      <c r="AE27" s="1321"/>
      <c r="AF27" s="1321"/>
      <c r="AG27" s="2993"/>
      <c r="AH27" s="2035"/>
      <c r="AI27" s="2035"/>
      <c r="AJ27" s="2035"/>
      <c r="AK27" s="2035"/>
      <c r="AM27" s="2937"/>
      <c r="AN27" s="3026"/>
      <c r="AO27" s="3026">
        <f t="shared" si="9"/>
        <v>0</v>
      </c>
      <c r="AP27" s="3026">
        <f>SUMIFS('90_контр'!I:I,'90_контр'!H:H,F27,'90_контр'!C:C,J27)</f>
        <v>0</v>
      </c>
      <c r="AQ27" s="3026">
        <f>SUMIFS('90_ОРВГ'!K:K,'90_ОРВГ'!E:E,F27,'90_ОРВГ'!I:I,J27)+SUMIFS('90_ОРВГ'!M:M,'90_ОРВГ'!E:E,F27,'90_ОРВГ'!I:I,J27)</f>
        <v>0</v>
      </c>
      <c r="AR27" s="3026">
        <f>SUMIFS(Зарубежная_выручка!C:C,Зарубежная_выручка!I:I,F27,Зарубежная_выручка!E:E,J27)</f>
        <v>0</v>
      </c>
      <c r="AS27" s="2036" t="b">
        <f t="shared" si="10"/>
        <v>1</v>
      </c>
      <c r="AT27" s="3012">
        <f t="shared" si="11"/>
        <v>0</v>
      </c>
      <c r="AU27" s="3012"/>
      <c r="AV27" s="3012">
        <f>SUMIFS(Долгосроч_договоры!$AH$10:$AH$500,Долгосроч_договоры!$C$10:$C$500,C27,Долгосроч_договоры!$J$10:$J$500,J27)</f>
        <v>0</v>
      </c>
      <c r="AW27" s="3012">
        <f t="shared" si="12"/>
        <v>0</v>
      </c>
      <c r="AX27" s="3011" t="b">
        <f t="shared" ref="AX27" si="54">SUM(ABS(AV27-AW27))&lt;5</f>
        <v>1</v>
      </c>
      <c r="AY27" s="3401">
        <f t="shared" si="14"/>
        <v>0</v>
      </c>
      <c r="AZ27" s="3401" t="str">
        <f t="shared" si="15"/>
        <v/>
      </c>
      <c r="BA27" s="3401" t="str">
        <f>IFERROR(VLOOKUP(AZ27,Зарубежная_выручка!X:X,1,0),"")</f>
        <v/>
      </c>
      <c r="BB27" s="32">
        <f>IF(BA27="",0,SUMIF(Зарубежная_выручка!X:X,BA27,Зарубежная_выручка!Y:Y)+SUMIF('46'!AZ:AZ,BA27,'46'!AY:AY))</f>
        <v>0</v>
      </c>
      <c r="BC27" s="32" t="b">
        <f t="shared" si="16"/>
        <v>1</v>
      </c>
      <c r="BD27" s="2993"/>
      <c r="BE27" s="32" t="b">
        <f t="shared" si="17"/>
        <v>1</v>
      </c>
    </row>
    <row r="28" spans="1:57" ht="22.5" customHeight="1">
      <c r="A28" s="2427" t="str">
        <f t="shared" ref="A28" si="55">"R50="&amp;C28&amp;";R40="&amp;IFERROR(MID(I28,FIND("{",I28)+1,FIND("}",I28)-FIND("{",I28)-1),"")&amp;";R24="&amp;IFERROR(MID(J28,FIND("{",J28)+1,FIND("}",J28)-FIND("{",J28)-1),"")&amp;";R36="&amp;MID(F28,1,30)&amp;";R43="&amp;MID(E28,1,30)&amp;";R48="&amp;MID(AF28,1,30)&amp;";R51="&amp;MID(AE28,1,30)&amp;";COM="&amp;AG28</f>
        <v>R50=;R40=;R24=;R36=-;R43=-;R48=;R51=;COM=</v>
      </c>
      <c r="C28" s="2992"/>
      <c r="D28" s="1320" t="str">
        <f>IF(ISNA(VLOOKUP($C28,Долгосроч_договоры!$C$10:$AL$2211,34,0)),"-",VLOOKUP($C28,Долгосроч_договоры!$C$10:$AL$2211,34,0))</f>
        <v>-</v>
      </c>
      <c r="E28" s="1320" t="str">
        <f>IF(ISNA(VLOOKUP($C28,Долгосроч_договоры!$C$10:$AL$2211,35,0)),"-",VLOOKUP($C28,Долгосроч_договоры!$C$10:$AL$2211,35,0))</f>
        <v>-</v>
      </c>
      <c r="F28" s="1320" t="str">
        <f>IF(ISNA(VLOOKUP($C28,Долгосроч_договоры!$C$10:$AL$2211,36,0)),"-",VLOOKUP($C28,Долгосроч_договоры!$C$10:$AL$2211,36,0))</f>
        <v>-</v>
      </c>
      <c r="G28" s="1907" t="str">
        <f>IF(ISNA(VLOOKUP($C28,Долгосроч_договоры!$C$10:$J$2211,6,0)),"-",VLOOKUP($C28,Долгосроч_договоры!$C$10:$J$2211,6,0))</f>
        <v>-</v>
      </c>
      <c r="H28" s="1907" t="str">
        <f>IF(ISNA(VLOOKUP($C28,Долгосроч_договоры!$C$10:$J$2211,7,0)),"-",VLOOKUP($C28,Долгосроч_договоры!$C$10:$J$2211,7,0))</f>
        <v>-</v>
      </c>
      <c r="I28" s="3017"/>
      <c r="J28" s="3017"/>
      <c r="K28" s="1321"/>
      <c r="L28" s="1321"/>
      <c r="M28" s="2674"/>
      <c r="N28" s="3225">
        <f t="shared" ref="N28" si="56">K28-M28</f>
        <v>0</v>
      </c>
      <c r="O28" s="1321"/>
      <c r="P28" s="1321"/>
      <c r="Q28" s="1321"/>
      <c r="R28" s="1321"/>
      <c r="S28" s="1321"/>
      <c r="T28" s="1321"/>
      <c r="U28" s="1321"/>
      <c r="V28" s="1321"/>
      <c r="W28" s="1321"/>
      <c r="X28" s="1321"/>
      <c r="Y28" s="1321"/>
      <c r="Z28" s="1319">
        <f t="shared" si="6"/>
        <v>0</v>
      </c>
      <c r="AA28" s="1319">
        <f t="shared" si="7"/>
        <v>0</v>
      </c>
      <c r="AB28" s="2674"/>
      <c r="AC28" s="3225">
        <f t="shared" ref="AC28" si="57">Z28-AB28</f>
        <v>0</v>
      </c>
      <c r="AD28" s="2674"/>
      <c r="AE28" s="1321"/>
      <c r="AF28" s="1321"/>
      <c r="AG28" s="2993"/>
      <c r="AH28" s="2035"/>
      <c r="AI28" s="2035"/>
      <c r="AJ28" s="2035"/>
      <c r="AK28" s="2035"/>
      <c r="AM28" s="2937"/>
      <c r="AN28" s="3026"/>
      <c r="AO28" s="3026">
        <f t="shared" si="9"/>
        <v>0</v>
      </c>
      <c r="AP28" s="3026">
        <f>SUMIFS('90_контр'!I:I,'90_контр'!H:H,F28,'90_контр'!C:C,J28)</f>
        <v>0</v>
      </c>
      <c r="AQ28" s="3026">
        <f>SUMIFS('90_ОРВГ'!K:K,'90_ОРВГ'!E:E,F28,'90_ОРВГ'!I:I,J28)+SUMIFS('90_ОРВГ'!M:M,'90_ОРВГ'!E:E,F28,'90_ОРВГ'!I:I,J28)</f>
        <v>0</v>
      </c>
      <c r="AR28" s="3026">
        <f>SUMIFS(Зарубежная_выручка!C:C,Зарубежная_выручка!I:I,F28,Зарубежная_выручка!E:E,J28)</f>
        <v>0</v>
      </c>
      <c r="AS28" s="2036" t="b">
        <f t="shared" si="10"/>
        <v>1</v>
      </c>
      <c r="AT28" s="3012">
        <f t="shared" si="11"/>
        <v>0</v>
      </c>
      <c r="AU28" s="3012"/>
      <c r="AV28" s="3012">
        <f>SUMIFS(Долгосроч_договоры!$AH$10:$AH$500,Долгосроч_договоры!$C$10:$C$500,C28,Долгосроч_договоры!$J$10:$J$500,J28)</f>
        <v>0</v>
      </c>
      <c r="AW28" s="3012">
        <f t="shared" si="12"/>
        <v>0</v>
      </c>
      <c r="AX28" s="3011" t="b">
        <f t="shared" ref="AX28" si="58">SUM(ABS(AV28-AW28))&lt;5</f>
        <v>1</v>
      </c>
      <c r="AY28" s="3401">
        <f t="shared" si="14"/>
        <v>0</v>
      </c>
      <c r="AZ28" s="3401" t="str">
        <f t="shared" si="15"/>
        <v/>
      </c>
      <c r="BA28" s="3401" t="str">
        <f>IFERROR(VLOOKUP(AZ28,Зарубежная_выручка!X:X,1,0),"")</f>
        <v/>
      </c>
      <c r="BB28" s="32">
        <f>IF(BA28="",0,SUMIF(Зарубежная_выручка!X:X,BA28,Зарубежная_выручка!Y:Y)+SUMIF('46'!AZ:AZ,BA28,'46'!AY:AY))</f>
        <v>0</v>
      </c>
      <c r="BC28" s="32" t="b">
        <f t="shared" si="16"/>
        <v>1</v>
      </c>
      <c r="BD28" s="2993"/>
      <c r="BE28" s="32" t="b">
        <f t="shared" si="17"/>
        <v>1</v>
      </c>
    </row>
    <row r="29" spans="1:57" ht="22.5" customHeight="1">
      <c r="A29" s="2427" t="str">
        <f t="shared" ref="A29" si="59">"R50="&amp;C29&amp;";R40="&amp;IFERROR(MID(I29,FIND("{",I29)+1,FIND("}",I29)-FIND("{",I29)-1),"")&amp;";R24="&amp;IFERROR(MID(J29,FIND("{",J29)+1,FIND("}",J29)-FIND("{",J29)-1),"")&amp;";R36="&amp;MID(F29,1,30)&amp;";R43="&amp;MID(E29,1,30)&amp;";R48="&amp;MID(AF29,1,30)&amp;";R51="&amp;MID(AE29,1,30)&amp;";COM="&amp;AG29</f>
        <v>R50=;R40=;R24=;R36=-;R43=-;R48=;R51=;COM=</v>
      </c>
      <c r="C29" s="2992"/>
      <c r="D29" s="1320" t="str">
        <f>IF(ISNA(VLOOKUP($C29,Долгосроч_договоры!$C$10:$AL$2211,34,0)),"-",VLOOKUP($C29,Долгосроч_договоры!$C$10:$AL$2211,34,0))</f>
        <v>-</v>
      </c>
      <c r="E29" s="1320" t="str">
        <f>IF(ISNA(VLOOKUP($C29,Долгосроч_договоры!$C$10:$AL$2211,35,0)),"-",VLOOKUP($C29,Долгосроч_договоры!$C$10:$AL$2211,35,0))</f>
        <v>-</v>
      </c>
      <c r="F29" s="1320" t="str">
        <f>IF(ISNA(VLOOKUP($C29,Долгосроч_договоры!$C$10:$AL$2211,36,0)),"-",VLOOKUP($C29,Долгосроч_договоры!$C$10:$AL$2211,36,0))</f>
        <v>-</v>
      </c>
      <c r="G29" s="1907" t="str">
        <f>IF(ISNA(VLOOKUP($C29,Долгосроч_договоры!$C$10:$J$2211,6,0)),"-",VLOOKUP($C29,Долгосроч_договоры!$C$10:$J$2211,6,0))</f>
        <v>-</v>
      </c>
      <c r="H29" s="1907" t="str">
        <f>IF(ISNA(VLOOKUP($C29,Долгосроч_договоры!$C$10:$J$2211,7,0)),"-",VLOOKUP($C29,Долгосроч_договоры!$C$10:$J$2211,7,0))</f>
        <v>-</v>
      </c>
      <c r="I29" s="3017"/>
      <c r="J29" s="3017"/>
      <c r="K29" s="1321"/>
      <c r="L29" s="1321"/>
      <c r="M29" s="2674"/>
      <c r="N29" s="3225">
        <f t="shared" ref="N29" si="60">K29-M29</f>
        <v>0</v>
      </c>
      <c r="O29" s="1321"/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19">
        <f t="shared" si="6"/>
        <v>0</v>
      </c>
      <c r="AA29" s="1319">
        <f t="shared" si="7"/>
        <v>0</v>
      </c>
      <c r="AB29" s="2674"/>
      <c r="AC29" s="3225">
        <f t="shared" ref="AC29" si="61">Z29-AB29</f>
        <v>0</v>
      </c>
      <c r="AD29" s="2674"/>
      <c r="AE29" s="1321"/>
      <c r="AF29" s="1321"/>
      <c r="AG29" s="2993"/>
      <c r="AH29" s="2035"/>
      <c r="AI29" s="2035"/>
      <c r="AJ29" s="2035"/>
      <c r="AK29" s="2035"/>
      <c r="AM29" s="2937"/>
      <c r="AN29" s="3026"/>
      <c r="AO29" s="3026">
        <f t="shared" si="9"/>
        <v>0</v>
      </c>
      <c r="AP29" s="3026">
        <f>SUMIFS('90_контр'!I:I,'90_контр'!H:H,F29,'90_контр'!C:C,J29)</f>
        <v>0</v>
      </c>
      <c r="AQ29" s="3026">
        <f>SUMIFS('90_ОРВГ'!K:K,'90_ОРВГ'!E:E,F29,'90_ОРВГ'!I:I,J29)+SUMIFS('90_ОРВГ'!M:M,'90_ОРВГ'!E:E,F29,'90_ОРВГ'!I:I,J29)</f>
        <v>0</v>
      </c>
      <c r="AR29" s="3026">
        <f>SUMIFS(Зарубежная_выручка!C:C,Зарубежная_выручка!I:I,F29,Зарубежная_выручка!E:E,J29)</f>
        <v>0</v>
      </c>
      <c r="AS29" s="2036" t="b">
        <f t="shared" si="10"/>
        <v>1</v>
      </c>
      <c r="AT29" s="3012">
        <f t="shared" si="11"/>
        <v>0</v>
      </c>
      <c r="AU29" s="3012"/>
      <c r="AV29" s="3012">
        <f>SUMIFS(Долгосроч_договоры!$AH$10:$AH$500,Долгосроч_договоры!$C$10:$C$500,C29,Долгосроч_договоры!$J$10:$J$500,J29)</f>
        <v>0</v>
      </c>
      <c r="AW29" s="3012">
        <f t="shared" si="12"/>
        <v>0</v>
      </c>
      <c r="AX29" s="3011" t="b">
        <f t="shared" ref="AX29" si="62">SUM(ABS(AV29-AW29))&lt;5</f>
        <v>1</v>
      </c>
      <c r="AY29" s="3401">
        <f t="shared" si="14"/>
        <v>0</v>
      </c>
      <c r="AZ29" s="3401" t="str">
        <f t="shared" si="15"/>
        <v/>
      </c>
      <c r="BA29" s="3401" t="str">
        <f>IFERROR(VLOOKUP(AZ29,Зарубежная_выручка!X:X,1,0),"")</f>
        <v/>
      </c>
      <c r="BB29" s="32">
        <f>IF(BA29="",0,SUMIF(Зарубежная_выручка!X:X,BA29,Зарубежная_выручка!Y:Y)+SUMIF('46'!AZ:AZ,BA29,'46'!AY:AY))</f>
        <v>0</v>
      </c>
      <c r="BC29" s="32" t="b">
        <f t="shared" si="16"/>
        <v>1</v>
      </c>
      <c r="BD29" s="2993"/>
      <c r="BE29" s="32" t="b">
        <f t="shared" si="17"/>
        <v>1</v>
      </c>
    </row>
    <row r="30" spans="1:57" ht="22.5" customHeight="1">
      <c r="A30" s="2427" t="str">
        <f t="shared" ref="A30" si="63">"R50="&amp;C30&amp;";R40="&amp;IFERROR(MID(I30,FIND("{",I30)+1,FIND("}",I30)-FIND("{",I30)-1),"")&amp;";R24="&amp;IFERROR(MID(J30,FIND("{",J30)+1,FIND("}",J30)-FIND("{",J30)-1),"")&amp;";R36="&amp;MID(F30,1,30)&amp;";R43="&amp;MID(E30,1,30)&amp;";R48="&amp;MID(AF30,1,30)&amp;";R51="&amp;MID(AE30,1,30)&amp;";COM="&amp;AG30</f>
        <v>R50=;R40=;R24=;R36=-;R43=-;R48=;R51=;COM=</v>
      </c>
      <c r="C30" s="2992"/>
      <c r="D30" s="1320" t="str">
        <f>IF(ISNA(VLOOKUP($C30,Долгосроч_договоры!$C$10:$AL$2211,34,0)),"-",VLOOKUP($C30,Долгосроч_договоры!$C$10:$AL$2211,34,0))</f>
        <v>-</v>
      </c>
      <c r="E30" s="1320" t="str">
        <f>IF(ISNA(VLOOKUP($C30,Долгосроч_договоры!$C$10:$AL$2211,35,0)),"-",VLOOKUP($C30,Долгосроч_договоры!$C$10:$AL$2211,35,0))</f>
        <v>-</v>
      </c>
      <c r="F30" s="1320" t="str">
        <f>IF(ISNA(VLOOKUP($C30,Долгосроч_договоры!$C$10:$AL$2211,36,0)),"-",VLOOKUP($C30,Долгосроч_договоры!$C$10:$AL$2211,36,0))</f>
        <v>-</v>
      </c>
      <c r="G30" s="1907" t="str">
        <f>IF(ISNA(VLOOKUP($C30,Долгосроч_договоры!$C$10:$J$2211,6,0)),"-",VLOOKUP($C30,Долгосроч_договоры!$C$10:$J$2211,6,0))</f>
        <v>-</v>
      </c>
      <c r="H30" s="1907" t="str">
        <f>IF(ISNA(VLOOKUP($C30,Долгосроч_договоры!$C$10:$J$2211,7,0)),"-",VLOOKUP($C30,Долгосроч_договоры!$C$10:$J$2211,7,0))</f>
        <v>-</v>
      </c>
      <c r="I30" s="3017"/>
      <c r="J30" s="3017"/>
      <c r="K30" s="1321"/>
      <c r="L30" s="1321"/>
      <c r="M30" s="2674"/>
      <c r="N30" s="3225">
        <f t="shared" ref="N30" si="64">K30-M30</f>
        <v>0</v>
      </c>
      <c r="O30" s="1321"/>
      <c r="P30" s="1321"/>
      <c r="Q30" s="1321"/>
      <c r="R30" s="1321"/>
      <c r="S30" s="1321"/>
      <c r="T30" s="1321"/>
      <c r="U30" s="1321"/>
      <c r="V30" s="1321"/>
      <c r="W30" s="1321"/>
      <c r="X30" s="1321"/>
      <c r="Y30" s="1321"/>
      <c r="Z30" s="1319">
        <f t="shared" si="6"/>
        <v>0</v>
      </c>
      <c r="AA30" s="1319">
        <f t="shared" si="7"/>
        <v>0</v>
      </c>
      <c r="AB30" s="2674"/>
      <c r="AC30" s="3225">
        <f t="shared" ref="AC30" si="65">Z30-AB30</f>
        <v>0</v>
      </c>
      <c r="AD30" s="2674"/>
      <c r="AE30" s="1321"/>
      <c r="AF30" s="1321"/>
      <c r="AG30" s="2993"/>
      <c r="AH30" s="2035"/>
      <c r="AI30" s="2035"/>
      <c r="AJ30" s="2035"/>
      <c r="AK30" s="2035"/>
      <c r="AM30" s="2937"/>
      <c r="AN30" s="3026"/>
      <c r="AO30" s="3026">
        <f t="shared" si="9"/>
        <v>0</v>
      </c>
      <c r="AP30" s="3026">
        <f>SUMIFS('90_контр'!I:I,'90_контр'!H:H,F30,'90_контр'!C:C,J30)</f>
        <v>0</v>
      </c>
      <c r="AQ30" s="3026">
        <f>SUMIFS('90_ОРВГ'!K:K,'90_ОРВГ'!E:E,F30,'90_ОРВГ'!I:I,J30)+SUMIFS('90_ОРВГ'!M:M,'90_ОРВГ'!E:E,F30,'90_ОРВГ'!I:I,J30)</f>
        <v>0</v>
      </c>
      <c r="AR30" s="3026">
        <f>SUMIFS(Зарубежная_выручка!C:C,Зарубежная_выручка!I:I,F30,Зарубежная_выручка!E:E,J30)</f>
        <v>0</v>
      </c>
      <c r="AS30" s="2036" t="b">
        <f t="shared" si="10"/>
        <v>1</v>
      </c>
      <c r="AT30" s="3012">
        <f t="shared" si="11"/>
        <v>0</v>
      </c>
      <c r="AU30" s="3012"/>
      <c r="AV30" s="3012">
        <f>SUMIFS(Долгосроч_договоры!$AH$10:$AH$500,Долгосроч_договоры!$C$10:$C$500,C30,Долгосроч_договоры!$J$10:$J$500,J30)</f>
        <v>0</v>
      </c>
      <c r="AW30" s="3012">
        <f t="shared" si="12"/>
        <v>0</v>
      </c>
      <c r="AX30" s="3011" t="b">
        <f t="shared" ref="AX30" si="66">SUM(ABS(AV30-AW30))&lt;5</f>
        <v>1</v>
      </c>
      <c r="AY30" s="3401">
        <f t="shared" si="14"/>
        <v>0</v>
      </c>
      <c r="AZ30" s="3401" t="str">
        <f t="shared" si="15"/>
        <v/>
      </c>
      <c r="BA30" s="3401" t="str">
        <f>IFERROR(VLOOKUP(AZ30,Зарубежная_выручка!X:X,1,0),"")</f>
        <v/>
      </c>
      <c r="BB30" s="32">
        <f>IF(BA30="",0,SUMIF(Зарубежная_выручка!X:X,BA30,Зарубежная_выручка!Y:Y)+SUMIF('46'!AZ:AZ,BA30,'46'!AY:AY))</f>
        <v>0</v>
      </c>
      <c r="BC30" s="32" t="b">
        <f t="shared" si="16"/>
        <v>1</v>
      </c>
      <c r="BD30" s="2993"/>
      <c r="BE30" s="32" t="b">
        <f t="shared" si="17"/>
        <v>1</v>
      </c>
    </row>
    <row r="31" spans="1:57" ht="22.5" customHeight="1">
      <c r="A31" s="2427" t="str">
        <f t="shared" ref="A31" si="67">"R50="&amp;C31&amp;";R40="&amp;IFERROR(MID(I31,FIND("{",I31)+1,FIND("}",I31)-FIND("{",I31)-1),"")&amp;";R24="&amp;IFERROR(MID(J31,FIND("{",J31)+1,FIND("}",J31)-FIND("{",J31)-1),"")&amp;";R36="&amp;MID(F31,1,30)&amp;";R43="&amp;MID(E31,1,30)&amp;";R48="&amp;MID(AF31,1,30)&amp;";R51="&amp;MID(AE31,1,30)&amp;";COM="&amp;AG31</f>
        <v>R50=;R40=;R24=;R36=-;R43=-;R48=;R51=;COM=</v>
      </c>
      <c r="C31" s="2992"/>
      <c r="D31" s="1320" t="str">
        <f>IF(ISNA(VLOOKUP($C31,Долгосроч_договоры!$C$10:$AL$2211,34,0)),"-",VLOOKUP($C31,Долгосроч_договоры!$C$10:$AL$2211,34,0))</f>
        <v>-</v>
      </c>
      <c r="E31" s="1320" t="str">
        <f>IF(ISNA(VLOOKUP($C31,Долгосроч_договоры!$C$10:$AL$2211,35,0)),"-",VLOOKUP($C31,Долгосроч_договоры!$C$10:$AL$2211,35,0))</f>
        <v>-</v>
      </c>
      <c r="F31" s="1320" t="str">
        <f>IF(ISNA(VLOOKUP($C31,Долгосроч_договоры!$C$10:$AL$2211,36,0)),"-",VLOOKUP($C31,Долгосроч_договоры!$C$10:$AL$2211,36,0))</f>
        <v>-</v>
      </c>
      <c r="G31" s="1907" t="str">
        <f>IF(ISNA(VLOOKUP($C31,Долгосроч_договоры!$C$10:$J$2211,6,0)),"-",VLOOKUP($C31,Долгосроч_договоры!$C$10:$J$2211,6,0))</f>
        <v>-</v>
      </c>
      <c r="H31" s="1907" t="str">
        <f>IF(ISNA(VLOOKUP($C31,Долгосроч_договоры!$C$10:$J$2211,7,0)),"-",VLOOKUP($C31,Долгосроч_договоры!$C$10:$J$2211,7,0))</f>
        <v>-</v>
      </c>
      <c r="I31" s="3017"/>
      <c r="J31" s="3017"/>
      <c r="K31" s="1321"/>
      <c r="L31" s="1321"/>
      <c r="M31" s="2674"/>
      <c r="N31" s="3225">
        <f t="shared" ref="N31" si="68">K31-M31</f>
        <v>0</v>
      </c>
      <c r="O31" s="1321"/>
      <c r="P31" s="1321"/>
      <c r="Q31" s="1321"/>
      <c r="R31" s="1321"/>
      <c r="S31" s="1321"/>
      <c r="T31" s="1321"/>
      <c r="U31" s="1321"/>
      <c r="V31" s="1321"/>
      <c r="W31" s="1321"/>
      <c r="X31" s="1321"/>
      <c r="Y31" s="1321"/>
      <c r="Z31" s="1319">
        <f t="shared" si="6"/>
        <v>0</v>
      </c>
      <c r="AA31" s="1319">
        <f t="shared" si="7"/>
        <v>0</v>
      </c>
      <c r="AB31" s="2674"/>
      <c r="AC31" s="3225">
        <f t="shared" ref="AC31" si="69">Z31-AB31</f>
        <v>0</v>
      </c>
      <c r="AD31" s="2674"/>
      <c r="AE31" s="1321"/>
      <c r="AF31" s="1321"/>
      <c r="AG31" s="2993"/>
      <c r="AH31" s="2035"/>
      <c r="AI31" s="2035"/>
      <c r="AJ31" s="2035"/>
      <c r="AK31" s="2035"/>
      <c r="AM31" s="2937"/>
      <c r="AN31" s="3026"/>
      <c r="AO31" s="3026">
        <f t="shared" si="9"/>
        <v>0</v>
      </c>
      <c r="AP31" s="3026">
        <f>SUMIFS('90_контр'!I:I,'90_контр'!H:H,F31,'90_контр'!C:C,J31)</f>
        <v>0</v>
      </c>
      <c r="AQ31" s="3026">
        <f>SUMIFS('90_ОРВГ'!K:K,'90_ОРВГ'!E:E,F31,'90_ОРВГ'!I:I,J31)+SUMIFS('90_ОРВГ'!M:M,'90_ОРВГ'!E:E,F31,'90_ОРВГ'!I:I,J31)</f>
        <v>0</v>
      </c>
      <c r="AR31" s="3026">
        <f>SUMIFS(Зарубежная_выручка!C:C,Зарубежная_выручка!I:I,F31,Зарубежная_выручка!E:E,J31)</f>
        <v>0</v>
      </c>
      <c r="AS31" s="2036" t="b">
        <f t="shared" si="10"/>
        <v>1</v>
      </c>
      <c r="AT31" s="3012">
        <f t="shared" si="11"/>
        <v>0</v>
      </c>
      <c r="AU31" s="3012"/>
      <c r="AV31" s="3012">
        <f>SUMIFS(Долгосроч_договоры!$AH$10:$AH$500,Долгосроч_договоры!$C$10:$C$500,C31,Долгосроч_договоры!$J$10:$J$500,J31)</f>
        <v>0</v>
      </c>
      <c r="AW31" s="3012">
        <f t="shared" si="12"/>
        <v>0</v>
      </c>
      <c r="AX31" s="3011" t="b">
        <f t="shared" ref="AX31" si="70">SUM(ABS(AV31-AW31))&lt;5</f>
        <v>1</v>
      </c>
      <c r="AY31" s="3401">
        <f t="shared" si="14"/>
        <v>0</v>
      </c>
      <c r="AZ31" s="3401" t="str">
        <f t="shared" si="15"/>
        <v/>
      </c>
      <c r="BA31" s="3401" t="str">
        <f>IFERROR(VLOOKUP(AZ31,Зарубежная_выручка!X:X,1,0),"")</f>
        <v/>
      </c>
      <c r="BB31" s="32">
        <f>IF(BA31="",0,SUMIF(Зарубежная_выручка!X:X,BA31,Зарубежная_выручка!Y:Y)+SUMIF('46'!AZ:AZ,BA31,'46'!AY:AY))</f>
        <v>0</v>
      </c>
      <c r="BC31" s="32" t="b">
        <f t="shared" si="16"/>
        <v>1</v>
      </c>
      <c r="BD31" s="2993"/>
      <c r="BE31" s="32" t="b">
        <f t="shared" si="17"/>
        <v>1</v>
      </c>
    </row>
    <row r="32" spans="1:57" ht="22.5" customHeight="1">
      <c r="A32" s="2427" t="str">
        <f t="shared" ref="A32" si="71">"R50="&amp;C32&amp;";R40="&amp;IFERROR(MID(I32,FIND("{",I32)+1,FIND("}",I32)-FIND("{",I32)-1),"")&amp;";R24="&amp;IFERROR(MID(J32,FIND("{",J32)+1,FIND("}",J32)-FIND("{",J32)-1),"")&amp;";R36="&amp;MID(F32,1,30)&amp;";R43="&amp;MID(E32,1,30)&amp;";R48="&amp;MID(AF32,1,30)&amp;";R51="&amp;MID(AE32,1,30)&amp;";COM="&amp;AG32</f>
        <v>R50=;R40=;R24=;R36=-;R43=-;R48=;R51=;COM=</v>
      </c>
      <c r="C32" s="2992"/>
      <c r="D32" s="1320" t="str">
        <f>IF(ISNA(VLOOKUP($C32,Долгосроч_договоры!$C$10:$AL$2211,34,0)),"-",VLOOKUP($C32,Долгосроч_договоры!$C$10:$AL$2211,34,0))</f>
        <v>-</v>
      </c>
      <c r="E32" s="1320" t="str">
        <f>IF(ISNA(VLOOKUP($C32,Долгосроч_договоры!$C$10:$AL$2211,35,0)),"-",VLOOKUP($C32,Долгосроч_договоры!$C$10:$AL$2211,35,0))</f>
        <v>-</v>
      </c>
      <c r="F32" s="1320" t="str">
        <f>IF(ISNA(VLOOKUP($C32,Долгосроч_договоры!$C$10:$AL$2211,36,0)),"-",VLOOKUP($C32,Долгосроч_договоры!$C$10:$AL$2211,36,0))</f>
        <v>-</v>
      </c>
      <c r="G32" s="1907" t="str">
        <f>IF(ISNA(VLOOKUP($C32,Долгосроч_договоры!$C$10:$J$2211,6,0)),"-",VLOOKUP($C32,Долгосроч_договоры!$C$10:$J$2211,6,0))</f>
        <v>-</v>
      </c>
      <c r="H32" s="1907" t="str">
        <f>IF(ISNA(VLOOKUP($C32,Долгосроч_договоры!$C$10:$J$2211,7,0)),"-",VLOOKUP($C32,Долгосроч_договоры!$C$10:$J$2211,7,0))</f>
        <v>-</v>
      </c>
      <c r="I32" s="3017"/>
      <c r="J32" s="3017"/>
      <c r="K32" s="1321"/>
      <c r="L32" s="1321"/>
      <c r="M32" s="2674"/>
      <c r="N32" s="3225">
        <f t="shared" ref="N32" si="72">K32-M32</f>
        <v>0</v>
      </c>
      <c r="O32" s="1321"/>
      <c r="P32" s="1321"/>
      <c r="Q32" s="1321"/>
      <c r="R32" s="1321"/>
      <c r="S32" s="1321"/>
      <c r="T32" s="1321"/>
      <c r="U32" s="1321"/>
      <c r="V32" s="1321"/>
      <c r="W32" s="1321"/>
      <c r="X32" s="1321"/>
      <c r="Y32" s="1321"/>
      <c r="Z32" s="1319">
        <f t="shared" si="6"/>
        <v>0</v>
      </c>
      <c r="AA32" s="1319">
        <f t="shared" si="7"/>
        <v>0</v>
      </c>
      <c r="AB32" s="2674"/>
      <c r="AC32" s="3225">
        <f t="shared" ref="AC32" si="73">Z32-AB32</f>
        <v>0</v>
      </c>
      <c r="AD32" s="2674"/>
      <c r="AE32" s="1321"/>
      <c r="AF32" s="1321"/>
      <c r="AG32" s="2993"/>
      <c r="AH32" s="2035"/>
      <c r="AI32" s="2035"/>
      <c r="AJ32" s="2035"/>
      <c r="AK32" s="2035"/>
      <c r="AM32" s="2937"/>
      <c r="AN32" s="3026"/>
      <c r="AO32" s="3026">
        <f t="shared" si="9"/>
        <v>0</v>
      </c>
      <c r="AP32" s="3026">
        <f>SUMIFS('90_контр'!I:I,'90_контр'!H:H,F32,'90_контр'!C:C,J32)</f>
        <v>0</v>
      </c>
      <c r="AQ32" s="3026">
        <f>SUMIFS('90_ОРВГ'!K:K,'90_ОРВГ'!E:E,F32,'90_ОРВГ'!I:I,J32)+SUMIFS('90_ОРВГ'!M:M,'90_ОРВГ'!E:E,F32,'90_ОРВГ'!I:I,J32)</f>
        <v>0</v>
      </c>
      <c r="AR32" s="3026">
        <f>SUMIFS(Зарубежная_выручка!C:C,Зарубежная_выручка!I:I,F32,Зарубежная_выручка!E:E,J32)</f>
        <v>0</v>
      </c>
      <c r="AS32" s="2036" t="b">
        <f t="shared" si="10"/>
        <v>1</v>
      </c>
      <c r="AT32" s="3012">
        <f t="shared" si="11"/>
        <v>0</v>
      </c>
      <c r="AU32" s="3012"/>
      <c r="AV32" s="3012">
        <f>SUMIFS(Долгосроч_договоры!$AH$10:$AH$500,Долгосроч_договоры!$C$10:$C$500,C32,Долгосроч_договоры!$J$10:$J$500,J32)</f>
        <v>0</v>
      </c>
      <c r="AW32" s="3012">
        <f t="shared" si="12"/>
        <v>0</v>
      </c>
      <c r="AX32" s="3011" t="b">
        <f t="shared" ref="AX32" si="74">SUM(ABS(AV32-AW32))&lt;5</f>
        <v>1</v>
      </c>
      <c r="AY32" s="3401">
        <f t="shared" si="14"/>
        <v>0</v>
      </c>
      <c r="AZ32" s="3401" t="str">
        <f t="shared" si="15"/>
        <v/>
      </c>
      <c r="BA32" s="3401" t="str">
        <f>IFERROR(VLOOKUP(AZ32,Зарубежная_выручка!X:X,1,0),"")</f>
        <v/>
      </c>
      <c r="BB32" s="32">
        <f>IF(BA32="",0,SUMIF(Зарубежная_выручка!X:X,BA32,Зарубежная_выручка!Y:Y)+SUMIF('46'!AZ:AZ,BA32,'46'!AY:AY))</f>
        <v>0</v>
      </c>
      <c r="BC32" s="32" t="b">
        <f t="shared" si="16"/>
        <v>1</v>
      </c>
      <c r="BD32" s="2993"/>
      <c r="BE32" s="32" t="b">
        <f t="shared" si="17"/>
        <v>1</v>
      </c>
    </row>
    <row r="33" spans="1:57" ht="22.5" customHeight="1">
      <c r="A33" s="2427" t="str">
        <f t="shared" ref="A33" si="75">"R50="&amp;C33&amp;";R40="&amp;IFERROR(MID(I33,FIND("{",I33)+1,FIND("}",I33)-FIND("{",I33)-1),"")&amp;";R24="&amp;IFERROR(MID(J33,FIND("{",J33)+1,FIND("}",J33)-FIND("{",J33)-1),"")&amp;";R36="&amp;MID(F33,1,30)&amp;";R43="&amp;MID(E33,1,30)&amp;";R48="&amp;MID(AF33,1,30)&amp;";R51="&amp;MID(AE33,1,30)&amp;";COM="&amp;AG33</f>
        <v>R50=;R40=;R24=;R36=-;R43=-;R48=;R51=;COM=</v>
      </c>
      <c r="C33" s="2992"/>
      <c r="D33" s="1320" t="str">
        <f>IF(ISNA(VLOOKUP($C33,Долгосроч_договоры!$C$10:$AL$2211,34,0)),"-",VLOOKUP($C33,Долгосроч_договоры!$C$10:$AL$2211,34,0))</f>
        <v>-</v>
      </c>
      <c r="E33" s="1320" t="str">
        <f>IF(ISNA(VLOOKUP($C33,Долгосроч_договоры!$C$10:$AL$2211,35,0)),"-",VLOOKUP($C33,Долгосроч_договоры!$C$10:$AL$2211,35,0))</f>
        <v>-</v>
      </c>
      <c r="F33" s="1320" t="str">
        <f>IF(ISNA(VLOOKUP($C33,Долгосроч_договоры!$C$10:$AL$2211,36,0)),"-",VLOOKUP($C33,Долгосроч_договоры!$C$10:$AL$2211,36,0))</f>
        <v>-</v>
      </c>
      <c r="G33" s="1907" t="str">
        <f>IF(ISNA(VLOOKUP($C33,Долгосроч_договоры!$C$10:$J$2211,6,0)),"-",VLOOKUP($C33,Долгосроч_договоры!$C$10:$J$2211,6,0))</f>
        <v>-</v>
      </c>
      <c r="H33" s="1907" t="str">
        <f>IF(ISNA(VLOOKUP($C33,Долгосроч_договоры!$C$10:$J$2211,7,0)),"-",VLOOKUP($C33,Долгосроч_договоры!$C$10:$J$2211,7,0))</f>
        <v>-</v>
      </c>
      <c r="I33" s="3017"/>
      <c r="J33" s="3017"/>
      <c r="K33" s="1321"/>
      <c r="L33" s="1321"/>
      <c r="M33" s="2674"/>
      <c r="N33" s="3225">
        <f t="shared" ref="N33" si="76">K33-M33</f>
        <v>0</v>
      </c>
      <c r="O33" s="1321"/>
      <c r="P33" s="1321"/>
      <c r="Q33" s="1321"/>
      <c r="R33" s="1321"/>
      <c r="S33" s="1321"/>
      <c r="T33" s="1321"/>
      <c r="U33" s="1321"/>
      <c r="V33" s="1321"/>
      <c r="W33" s="1321"/>
      <c r="X33" s="1321"/>
      <c r="Y33" s="1321"/>
      <c r="Z33" s="1319">
        <f t="shared" si="6"/>
        <v>0</v>
      </c>
      <c r="AA33" s="1319">
        <f t="shared" si="7"/>
        <v>0</v>
      </c>
      <c r="AB33" s="2674"/>
      <c r="AC33" s="3225">
        <f t="shared" ref="AC33" si="77">Z33-AB33</f>
        <v>0</v>
      </c>
      <c r="AD33" s="2674"/>
      <c r="AE33" s="1321"/>
      <c r="AF33" s="1321"/>
      <c r="AG33" s="2993"/>
      <c r="AH33" s="2035"/>
      <c r="AI33" s="2035"/>
      <c r="AJ33" s="2035"/>
      <c r="AK33" s="2035"/>
      <c r="AM33" s="2937"/>
      <c r="AN33" s="3026"/>
      <c r="AO33" s="3026">
        <f t="shared" si="9"/>
        <v>0</v>
      </c>
      <c r="AP33" s="3026">
        <f>SUMIFS('90_контр'!I:I,'90_контр'!H:H,F33,'90_контр'!C:C,J33)</f>
        <v>0</v>
      </c>
      <c r="AQ33" s="3026">
        <f>SUMIFS('90_ОРВГ'!K:K,'90_ОРВГ'!E:E,F33,'90_ОРВГ'!I:I,J33)+SUMIFS('90_ОРВГ'!M:M,'90_ОРВГ'!E:E,F33,'90_ОРВГ'!I:I,J33)</f>
        <v>0</v>
      </c>
      <c r="AR33" s="3026">
        <f>SUMIFS(Зарубежная_выручка!C:C,Зарубежная_выручка!I:I,F33,Зарубежная_выручка!E:E,J33)</f>
        <v>0</v>
      </c>
      <c r="AS33" s="2036" t="b">
        <f t="shared" si="10"/>
        <v>1</v>
      </c>
      <c r="AT33" s="3012">
        <f t="shared" si="11"/>
        <v>0</v>
      </c>
      <c r="AU33" s="3012"/>
      <c r="AV33" s="3012">
        <f>SUMIFS(Долгосроч_договоры!$AH$10:$AH$500,Долгосроч_договоры!$C$10:$C$500,C33,Долгосроч_договоры!$J$10:$J$500,J33)</f>
        <v>0</v>
      </c>
      <c r="AW33" s="3012">
        <f t="shared" si="12"/>
        <v>0</v>
      </c>
      <c r="AX33" s="3011" t="b">
        <f t="shared" ref="AX33" si="78">SUM(ABS(AV33-AW33))&lt;5</f>
        <v>1</v>
      </c>
      <c r="AY33" s="3401">
        <f t="shared" si="14"/>
        <v>0</v>
      </c>
      <c r="AZ33" s="3401" t="str">
        <f t="shared" si="15"/>
        <v/>
      </c>
      <c r="BA33" s="3401" t="str">
        <f>IFERROR(VLOOKUP(AZ33,Зарубежная_выручка!X:X,1,0),"")</f>
        <v/>
      </c>
      <c r="BB33" s="32">
        <f>IF(BA33="",0,SUMIF(Зарубежная_выручка!X:X,BA33,Зарубежная_выручка!Y:Y)+SUMIF('46'!AZ:AZ,BA33,'46'!AY:AY))</f>
        <v>0</v>
      </c>
      <c r="BC33" s="32" t="b">
        <f t="shared" si="16"/>
        <v>1</v>
      </c>
      <c r="BD33" s="2993"/>
      <c r="BE33" s="32" t="b">
        <f t="shared" si="17"/>
        <v>1</v>
      </c>
    </row>
    <row r="34" spans="1:57" ht="22.5" customHeight="1">
      <c r="A34" s="2427" t="str">
        <f t="shared" ref="A34" si="79">"R50="&amp;C34&amp;";R40="&amp;IFERROR(MID(I34,FIND("{",I34)+1,FIND("}",I34)-FIND("{",I34)-1),"")&amp;";R24="&amp;IFERROR(MID(J34,FIND("{",J34)+1,FIND("}",J34)-FIND("{",J34)-1),"")&amp;";R36="&amp;MID(F34,1,30)&amp;";R43="&amp;MID(E34,1,30)&amp;";R48="&amp;MID(AF34,1,30)&amp;";R51="&amp;MID(AE34,1,30)&amp;";COM="&amp;AG34</f>
        <v>R50=;R40=;R24=;R36=-;R43=-;R48=;R51=;COM=</v>
      </c>
      <c r="C34" s="2992"/>
      <c r="D34" s="1320" t="str">
        <f>IF(ISNA(VLOOKUP($C34,Долгосроч_договоры!$C$10:$AL$2211,34,0)),"-",VLOOKUP($C34,Долгосроч_договоры!$C$10:$AL$2211,34,0))</f>
        <v>-</v>
      </c>
      <c r="E34" s="1320" t="str">
        <f>IF(ISNA(VLOOKUP($C34,Долгосроч_договоры!$C$10:$AL$2211,35,0)),"-",VLOOKUP($C34,Долгосроч_договоры!$C$10:$AL$2211,35,0))</f>
        <v>-</v>
      </c>
      <c r="F34" s="1320" t="str">
        <f>IF(ISNA(VLOOKUP($C34,Долгосроч_договоры!$C$10:$AL$2211,36,0)),"-",VLOOKUP($C34,Долгосроч_договоры!$C$10:$AL$2211,36,0))</f>
        <v>-</v>
      </c>
      <c r="G34" s="1907" t="str">
        <f>IF(ISNA(VLOOKUP($C34,Долгосроч_договоры!$C$10:$J$2211,6,0)),"-",VLOOKUP($C34,Долгосроч_договоры!$C$10:$J$2211,6,0))</f>
        <v>-</v>
      </c>
      <c r="H34" s="1907" t="str">
        <f>IF(ISNA(VLOOKUP($C34,Долгосроч_договоры!$C$10:$J$2211,7,0)),"-",VLOOKUP($C34,Долгосроч_договоры!$C$10:$J$2211,7,0))</f>
        <v>-</v>
      </c>
      <c r="I34" s="3017"/>
      <c r="J34" s="3017"/>
      <c r="K34" s="1321"/>
      <c r="L34" s="1321"/>
      <c r="M34" s="2674"/>
      <c r="N34" s="3225">
        <f t="shared" ref="N34" si="80">K34-M34</f>
        <v>0</v>
      </c>
      <c r="O34" s="1321"/>
      <c r="P34" s="1321"/>
      <c r="Q34" s="1321"/>
      <c r="R34" s="1321"/>
      <c r="S34" s="1321"/>
      <c r="T34" s="1321"/>
      <c r="U34" s="1321"/>
      <c r="V34" s="1321"/>
      <c r="W34" s="1321"/>
      <c r="X34" s="1321"/>
      <c r="Y34" s="1321"/>
      <c r="Z34" s="1319">
        <f t="shared" si="6"/>
        <v>0</v>
      </c>
      <c r="AA34" s="1319">
        <f t="shared" si="7"/>
        <v>0</v>
      </c>
      <c r="AB34" s="2674"/>
      <c r="AC34" s="3225">
        <f t="shared" ref="AC34" si="81">Z34-AB34</f>
        <v>0</v>
      </c>
      <c r="AD34" s="2674"/>
      <c r="AE34" s="1321"/>
      <c r="AF34" s="1321"/>
      <c r="AG34" s="2993"/>
      <c r="AH34" s="2035"/>
      <c r="AI34" s="2035"/>
      <c r="AJ34" s="2035"/>
      <c r="AK34" s="2035"/>
      <c r="AM34" s="2937"/>
      <c r="AN34" s="3026"/>
      <c r="AO34" s="3026">
        <f t="shared" si="9"/>
        <v>0</v>
      </c>
      <c r="AP34" s="3026">
        <f>SUMIFS('90_контр'!I:I,'90_контр'!H:H,F34,'90_контр'!C:C,J34)</f>
        <v>0</v>
      </c>
      <c r="AQ34" s="3026">
        <f>SUMIFS('90_ОРВГ'!K:K,'90_ОРВГ'!E:E,F34,'90_ОРВГ'!I:I,J34)+SUMIFS('90_ОРВГ'!M:M,'90_ОРВГ'!E:E,F34,'90_ОРВГ'!I:I,J34)</f>
        <v>0</v>
      </c>
      <c r="AR34" s="3026">
        <f>SUMIFS(Зарубежная_выручка!C:C,Зарубежная_выручка!I:I,F34,Зарубежная_выручка!E:E,J34)</f>
        <v>0</v>
      </c>
      <c r="AS34" s="2036" t="b">
        <f t="shared" si="10"/>
        <v>1</v>
      </c>
      <c r="AT34" s="3012">
        <f t="shared" si="11"/>
        <v>0</v>
      </c>
      <c r="AU34" s="3012"/>
      <c r="AV34" s="3012">
        <f>SUMIFS(Долгосроч_договоры!$AH$10:$AH$500,Долгосроч_договоры!$C$10:$C$500,C34,Долгосроч_договоры!$J$10:$J$500,J34)</f>
        <v>0</v>
      </c>
      <c r="AW34" s="3012">
        <f t="shared" si="12"/>
        <v>0</v>
      </c>
      <c r="AX34" s="3011" t="b">
        <f t="shared" ref="AX34" si="82">SUM(ABS(AV34-AW34))&lt;5</f>
        <v>1</v>
      </c>
      <c r="AY34" s="3401">
        <f t="shared" si="14"/>
        <v>0</v>
      </c>
      <c r="AZ34" s="3401" t="str">
        <f t="shared" si="15"/>
        <v/>
      </c>
      <c r="BA34" s="3401" t="str">
        <f>IFERROR(VLOOKUP(AZ34,Зарубежная_выручка!X:X,1,0),"")</f>
        <v/>
      </c>
      <c r="BB34" s="32">
        <f>IF(BA34="",0,SUMIF(Зарубежная_выручка!X:X,BA34,Зарубежная_выручка!Y:Y)+SUMIF('46'!AZ:AZ,BA34,'46'!AY:AY))</f>
        <v>0</v>
      </c>
      <c r="BC34" s="32" t="b">
        <f t="shared" si="16"/>
        <v>1</v>
      </c>
      <c r="BD34" s="2993"/>
      <c r="BE34" s="32" t="b">
        <f t="shared" si="17"/>
        <v>1</v>
      </c>
    </row>
    <row r="35" spans="1:57" ht="22.5" customHeight="1">
      <c r="A35" s="2427" t="str">
        <f t="shared" ref="A35" si="83">"R50="&amp;C35&amp;";R40="&amp;IFERROR(MID(I35,FIND("{",I35)+1,FIND("}",I35)-FIND("{",I35)-1),"")&amp;";R24="&amp;IFERROR(MID(J35,FIND("{",J35)+1,FIND("}",J35)-FIND("{",J35)-1),"")&amp;";R36="&amp;MID(F35,1,30)&amp;";R43="&amp;MID(E35,1,30)&amp;";R48="&amp;MID(AF35,1,30)&amp;";R51="&amp;MID(AE35,1,30)&amp;";COM="&amp;AG35</f>
        <v>R50=;R40=;R24=;R36=-;R43=-;R48=;R51=;COM=</v>
      </c>
      <c r="C35" s="2992"/>
      <c r="D35" s="1320" t="str">
        <f>IF(ISNA(VLOOKUP($C35,Долгосроч_договоры!$C$10:$AL$2211,34,0)),"-",VLOOKUP($C35,Долгосроч_договоры!$C$10:$AL$2211,34,0))</f>
        <v>-</v>
      </c>
      <c r="E35" s="1320" t="str">
        <f>IF(ISNA(VLOOKUP($C35,Долгосроч_договоры!$C$10:$AL$2211,35,0)),"-",VLOOKUP($C35,Долгосроч_договоры!$C$10:$AL$2211,35,0))</f>
        <v>-</v>
      </c>
      <c r="F35" s="1320" t="str">
        <f>IF(ISNA(VLOOKUP($C35,Долгосроч_договоры!$C$10:$AL$2211,36,0)),"-",VLOOKUP($C35,Долгосроч_договоры!$C$10:$AL$2211,36,0))</f>
        <v>-</v>
      </c>
      <c r="G35" s="1907" t="str">
        <f>IF(ISNA(VLOOKUP($C35,Долгосроч_договоры!$C$10:$J$2211,6,0)),"-",VLOOKUP($C35,Долгосроч_договоры!$C$10:$J$2211,6,0))</f>
        <v>-</v>
      </c>
      <c r="H35" s="1907" t="str">
        <f>IF(ISNA(VLOOKUP($C35,Долгосроч_договоры!$C$10:$J$2211,7,0)),"-",VLOOKUP($C35,Долгосроч_договоры!$C$10:$J$2211,7,0))</f>
        <v>-</v>
      </c>
      <c r="I35" s="3017"/>
      <c r="J35" s="3017"/>
      <c r="K35" s="1321"/>
      <c r="L35" s="1321"/>
      <c r="M35" s="2674"/>
      <c r="N35" s="3225">
        <f t="shared" ref="N35" si="84">K35-M35</f>
        <v>0</v>
      </c>
      <c r="O35" s="1321"/>
      <c r="P35" s="1321"/>
      <c r="Q35" s="1321"/>
      <c r="R35" s="1321"/>
      <c r="S35" s="1321"/>
      <c r="T35" s="1321"/>
      <c r="U35" s="1321"/>
      <c r="V35" s="1321"/>
      <c r="W35" s="1321"/>
      <c r="X35" s="1321"/>
      <c r="Y35" s="1321"/>
      <c r="Z35" s="1319">
        <f t="shared" ref="Z35" si="85">IF(AT35&gt;0,SUM(L35:P35,S35:T35,W35:Y35),0)</f>
        <v>0</v>
      </c>
      <c r="AA35" s="1319">
        <f t="shared" ref="AA35" si="86">IF(AT35&lt;0,SUM(L35:P35,S35:T35,W35:Y35),0)</f>
        <v>0</v>
      </c>
      <c r="AB35" s="2674"/>
      <c r="AC35" s="3225">
        <f t="shared" ref="AC35" si="87">Z35-AB35</f>
        <v>0</v>
      </c>
      <c r="AD35" s="2674"/>
      <c r="AE35" s="1321"/>
      <c r="AF35" s="1321"/>
      <c r="AG35" s="2993"/>
      <c r="AH35" s="2035"/>
      <c r="AI35" s="2035"/>
      <c r="AJ35" s="2035"/>
      <c r="AK35" s="2035"/>
      <c r="AM35" s="2937"/>
      <c r="AN35" s="3026"/>
      <c r="AO35" s="3026">
        <f t="shared" ref="AO35" si="88">SUMIFS($O$10:$O$500,$F$10:$F$500,F35,$J$10:$J$500,J35)</f>
        <v>0</v>
      </c>
      <c r="AP35" s="3026">
        <f>SUMIFS('90_контр'!I:I,'90_контр'!H:H,F35,'90_контр'!C:C,J35)</f>
        <v>0</v>
      </c>
      <c r="AQ35" s="3026">
        <f>SUMIFS('90_ОРВГ'!K:K,'90_ОРВГ'!E:E,F35,'90_ОРВГ'!I:I,J35)+SUMIFS('90_ОРВГ'!M:M,'90_ОРВГ'!E:E,F35,'90_ОРВГ'!I:I,J35)</f>
        <v>0</v>
      </c>
      <c r="AR35" s="3026">
        <f>SUMIFS(Зарубежная_выручка!C:C,Зарубежная_выручка!I:I,F35,Зарубежная_выручка!E:E,J35)</f>
        <v>0</v>
      </c>
      <c r="AS35" s="2036" t="b">
        <f t="shared" ref="AS35" si="89">(AO35+AP35+AQ35+AR35)&lt;5</f>
        <v>1</v>
      </c>
      <c r="AT35" s="3012">
        <f t="shared" ref="AT35" si="90">(SUMPRODUCT(($C$10:$C$500=C35)*($L$10:$P$500)))+(SUMPRODUCT(($C$10:$C$500=C35)*($S$10:$T$500)))+(SUMPRODUCT(($C$10:$C$500=C35)*($W$10:$Y$500)))</f>
        <v>0</v>
      </c>
      <c r="AU35" s="3012"/>
      <c r="AV35" s="3012">
        <f>SUMIFS(Долгосроч_договоры!$AH$10:$AH$500,Долгосроч_договоры!$C$10:$C$500,C35,Долгосроч_договоры!$J$10:$J$500,J35)</f>
        <v>0</v>
      </c>
      <c r="AW35" s="3012">
        <f t="shared" ref="AW35" si="91">SUMIFS($AA$10:$AA$500,$C$10:$C$500,C35,$J$10:$J$500,J35)+SUMIFS($Z$10:$Z$500,$C$10:$C$500,C35,$J$10:$J$500,J35)</f>
        <v>0</v>
      </c>
      <c r="AX35" s="3011" t="b">
        <f t="shared" ref="AX35" si="92">SUM(ABS(AV35-AW35))&lt;5</f>
        <v>1</v>
      </c>
      <c r="AY35" s="3401">
        <f t="shared" ref="AY35" si="93">IF(I35="{RU} Россия",0,O35)</f>
        <v>0</v>
      </c>
      <c r="AZ35" s="3401" t="str">
        <f t="shared" ref="AZ35" si="94">IF(AY35=0,"",LEFT(C35,20))</f>
        <v/>
      </c>
      <c r="BA35" s="3401" t="str">
        <f>IFERROR(VLOOKUP(AZ35,Зарубежная_выручка!X:X,1,0),"")</f>
        <v/>
      </c>
      <c r="BB35" s="32">
        <f>IF(BA35="",0,SUMIF(Зарубежная_выручка!X:X,BA35,Зарубежная_выручка!Y:Y)+SUMIF('46'!AZ:AZ,BA35,'46'!AY:AY))</f>
        <v>0</v>
      </c>
      <c r="BC35" s="32" t="b">
        <f t="shared" si="16"/>
        <v>1</v>
      </c>
      <c r="BD35" s="2993"/>
      <c r="BE35" s="32" t="b">
        <f t="shared" ref="BE35" si="95">IF(BC35="Комментарий",IF(BD35&gt;"",TRUE,FALSE),TRUE)</f>
        <v>1</v>
      </c>
    </row>
    <row r="36" spans="1:57" ht="22.5" customHeight="1">
      <c r="A36" s="2427" t="str">
        <f t="shared" ref="A36" si="96">"R50="&amp;C36&amp;";R40="&amp;IFERROR(MID(I36,FIND("{",I36)+1,FIND("}",I36)-FIND("{",I36)-1),"")&amp;";R24="&amp;IFERROR(MID(J36,FIND("{",J36)+1,FIND("}",J36)-FIND("{",J36)-1),"")&amp;";R36="&amp;MID(F36,1,30)&amp;";R43="&amp;MID(E36,1,30)&amp;";R48="&amp;MID(AF36,1,30)&amp;";R51="&amp;MID(AE36,1,30)&amp;";COM="&amp;AG36</f>
        <v>R50=;R40=;R24=;R36=-;R43=-;R48=;R51=;COM=</v>
      </c>
      <c r="C36" s="2992"/>
      <c r="D36" s="1320" t="str">
        <f>IF(ISNA(VLOOKUP($C36,Долгосроч_договоры!$C$10:$AL$2211,34,0)),"-",VLOOKUP($C36,Долгосроч_договоры!$C$10:$AL$2211,34,0))</f>
        <v>-</v>
      </c>
      <c r="E36" s="1320" t="str">
        <f>IF(ISNA(VLOOKUP($C36,Долгосроч_договоры!$C$10:$AL$2211,35,0)),"-",VLOOKUP($C36,Долгосроч_договоры!$C$10:$AL$2211,35,0))</f>
        <v>-</v>
      </c>
      <c r="F36" s="1320" t="str">
        <f>IF(ISNA(VLOOKUP($C36,Долгосроч_договоры!$C$10:$AL$2211,36,0)),"-",VLOOKUP($C36,Долгосроч_договоры!$C$10:$AL$2211,36,0))</f>
        <v>-</v>
      </c>
      <c r="G36" s="1907" t="str">
        <f>IF(ISNA(VLOOKUP($C36,Долгосроч_договоры!$C$10:$J$2211,6,0)),"-",VLOOKUP($C36,Долгосроч_договоры!$C$10:$J$2211,6,0))</f>
        <v>-</v>
      </c>
      <c r="H36" s="1907" t="str">
        <f>IF(ISNA(VLOOKUP($C36,Долгосроч_договоры!$C$10:$J$2211,7,0)),"-",VLOOKUP($C36,Долгосроч_договоры!$C$10:$J$2211,7,0))</f>
        <v>-</v>
      </c>
      <c r="I36" s="3017"/>
      <c r="J36" s="3017"/>
      <c r="K36" s="1321"/>
      <c r="L36" s="1321"/>
      <c r="M36" s="2674"/>
      <c r="N36" s="3225">
        <f t="shared" ref="N36" si="97">K36-M36</f>
        <v>0</v>
      </c>
      <c r="O36" s="1321"/>
      <c r="P36" s="1321"/>
      <c r="Q36" s="1321"/>
      <c r="R36" s="1321"/>
      <c r="S36" s="1321"/>
      <c r="T36" s="1321"/>
      <c r="U36" s="1321"/>
      <c r="V36" s="1321"/>
      <c r="W36" s="1321"/>
      <c r="X36" s="1321"/>
      <c r="Y36" s="1321"/>
      <c r="Z36" s="1319">
        <f t="shared" ref="Z36" si="98">IF(AT36&gt;0,SUM(L36:P36,S36:T36,W36:Y36),0)</f>
        <v>0</v>
      </c>
      <c r="AA36" s="1319">
        <f t="shared" ref="AA36" si="99">IF(AT36&lt;0,SUM(L36:P36,S36:T36,W36:Y36),0)</f>
        <v>0</v>
      </c>
      <c r="AB36" s="2674"/>
      <c r="AC36" s="3225">
        <f t="shared" ref="AC36" si="100">Z36-AB36</f>
        <v>0</v>
      </c>
      <c r="AD36" s="2674"/>
      <c r="AE36" s="1321"/>
      <c r="AF36" s="1321"/>
      <c r="AG36" s="2993"/>
      <c r="AH36" s="2035"/>
      <c r="AI36" s="2035"/>
      <c r="AJ36" s="2035"/>
      <c r="AK36" s="2035"/>
      <c r="AM36" s="2937"/>
      <c r="AN36" s="3026"/>
      <c r="AO36" s="3026">
        <f t="shared" ref="AO36" si="101">SUMIFS($O$10:$O$500,$F$10:$F$500,F36,$J$10:$J$500,J36)</f>
        <v>0</v>
      </c>
      <c r="AP36" s="3026">
        <f>SUMIFS('90_контр'!I:I,'90_контр'!H:H,F36,'90_контр'!C:C,J36)</f>
        <v>0</v>
      </c>
      <c r="AQ36" s="3026">
        <f>SUMIFS('90_ОРВГ'!K:K,'90_ОРВГ'!E:E,F36,'90_ОРВГ'!I:I,J36)+SUMIFS('90_ОРВГ'!M:M,'90_ОРВГ'!E:E,F36,'90_ОРВГ'!I:I,J36)</f>
        <v>0</v>
      </c>
      <c r="AR36" s="3026">
        <f>SUMIFS(Зарубежная_выручка!C:C,Зарубежная_выручка!I:I,F36,Зарубежная_выручка!E:E,J36)</f>
        <v>0</v>
      </c>
      <c r="AS36" s="2036" t="b">
        <f t="shared" ref="AS36" si="102">(AO36+AP36+AQ36+AR36)&lt;5</f>
        <v>1</v>
      </c>
      <c r="AT36" s="3012">
        <f t="shared" ref="AT36" si="103">(SUMPRODUCT(($C$10:$C$500=C36)*($L$10:$P$500)))+(SUMPRODUCT(($C$10:$C$500=C36)*($S$10:$T$500)))+(SUMPRODUCT(($C$10:$C$500=C36)*($W$10:$Y$500)))</f>
        <v>0</v>
      </c>
      <c r="AU36" s="3012"/>
      <c r="AV36" s="3012">
        <f>SUMIFS(Долгосроч_договоры!$AH$10:$AH$500,Долгосроч_договоры!$C$10:$C$500,C36,Долгосроч_договоры!$J$10:$J$500,J36)</f>
        <v>0</v>
      </c>
      <c r="AW36" s="3012">
        <f t="shared" ref="AW36" si="104">SUMIFS($AA$10:$AA$500,$C$10:$C$500,C36,$J$10:$J$500,J36)+SUMIFS($Z$10:$Z$500,$C$10:$C$500,C36,$J$10:$J$500,J36)</f>
        <v>0</v>
      </c>
      <c r="AX36" s="3011" t="b">
        <f t="shared" ref="AX36" si="105">SUM(ABS(AV36-AW36))&lt;5</f>
        <v>1</v>
      </c>
      <c r="AY36" s="3401">
        <f t="shared" ref="AY36" si="106">IF(I36="{RU} Россия",0,O36)</f>
        <v>0</v>
      </c>
      <c r="AZ36" s="3401" t="str">
        <f t="shared" ref="AZ36" si="107">IF(AY36=0,"",LEFT(C36,20))</f>
        <v/>
      </c>
      <c r="BA36" s="3401" t="str">
        <f>IFERROR(VLOOKUP(AZ36,Зарубежная_выручка!X:X,1,0),"")</f>
        <v/>
      </c>
      <c r="BB36" s="32">
        <f>IF(BA36="",0,SUMIF(Зарубежная_выручка!X:X,BA36,Зарубежная_выручка!Y:Y)+SUMIF('46'!AZ:AZ,BA36,'46'!AY:AY))</f>
        <v>0</v>
      </c>
      <c r="BC36" s="32" t="b">
        <f t="shared" si="16"/>
        <v>1</v>
      </c>
      <c r="BD36" s="2993"/>
      <c r="BE36" s="32" t="b">
        <f t="shared" ref="BE36" si="108">IF(BC36="Комментарий",IF(BD36&gt;"",TRUE,FALSE),TRUE)</f>
        <v>1</v>
      </c>
    </row>
    <row r="37" spans="1:57" ht="22.5" customHeight="1" thickBot="1">
      <c r="A37" s="2427" t="str">
        <f t="shared" ref="A37" si="109">"R50="&amp;C37&amp;";R40="&amp;IFERROR(MID(I37,FIND("{",I37)+1,FIND("}",I37)-FIND("{",I37)-1),"")&amp;";R24="&amp;IFERROR(MID(J37,FIND("{",J37)+1,FIND("}",J37)-FIND("{",J37)-1),"")&amp;";R36="&amp;MID(F37,1,30)&amp;";R43="&amp;MID(E37,1,30)&amp;";R48="&amp;MID(AF37,1,30)&amp;";R51="&amp;MID(AE37,1,30)&amp;";COM="&amp;AG37</f>
        <v>R50=;R40=;R24=;R36=-;R43=-;R48=;R51=;COM=</v>
      </c>
      <c r="C37" s="2994"/>
      <c r="D37" s="3425" t="str">
        <f>IF(ISNA(VLOOKUP($C37,Долгосроч_договоры!$C$10:$AL$2211,34,0)),"-",VLOOKUP($C37,Долгосроч_договоры!$C$10:$AL$2211,34,0))</f>
        <v>-</v>
      </c>
      <c r="E37" s="3425" t="str">
        <f>IF(ISNA(VLOOKUP($C37,Долгосроч_договоры!$C$10:$AL$2211,35,0)),"-",VLOOKUP($C37,Долгосроч_договоры!$C$10:$AL$2211,35,0))</f>
        <v>-</v>
      </c>
      <c r="F37" s="3425" t="str">
        <f>IF(ISNA(VLOOKUP($C37,Долгосроч_договоры!$C$10:$AL$2211,36,0)),"-",VLOOKUP($C37,Долгосроч_договоры!$C$10:$AL$2211,36,0))</f>
        <v>-</v>
      </c>
      <c r="G37" s="2995" t="str">
        <f>IF(ISNA(VLOOKUP($C37,Долгосроч_договоры!$C$10:$J$2211,6,0)),"-",VLOOKUP($C37,Долгосроч_договоры!$C$10:$J$2211,6,0))</f>
        <v>-</v>
      </c>
      <c r="H37" s="3019" t="str">
        <f>IF(ISNA(VLOOKUP($C37,Долгосроч_договоры!$C$10:$J$2211,7,0)),"-",VLOOKUP($C37,Долгосроч_договоры!$C$10:$J$2211,7,0))</f>
        <v>-</v>
      </c>
      <c r="I37" s="3018"/>
      <c r="J37" s="3018"/>
      <c r="K37" s="2996"/>
      <c r="L37" s="2996"/>
      <c r="M37" s="2996"/>
      <c r="N37" s="2997">
        <f t="shared" ref="N37" si="110">K37-M37</f>
        <v>0</v>
      </c>
      <c r="O37" s="2996"/>
      <c r="P37" s="3016"/>
      <c r="Q37" s="3016"/>
      <c r="R37" s="3016"/>
      <c r="S37" s="3016"/>
      <c r="T37" s="3016"/>
      <c r="U37" s="2996"/>
      <c r="V37" s="3016"/>
      <c r="W37" s="3016"/>
      <c r="X37" s="3016"/>
      <c r="Y37" s="2996"/>
      <c r="Z37" s="1319">
        <f t="shared" ref="Z37" si="111">IF(AT37&gt;0,SUM(L37:P37,S37:T37,W37:Y37),0)</f>
        <v>0</v>
      </c>
      <c r="AA37" s="1319">
        <f t="shared" ref="AA37" si="112">IF(AT37&lt;0,SUM(L37:P37,S37:T37,W37:Y37),0)</f>
        <v>0</v>
      </c>
      <c r="AB37" s="2996"/>
      <c r="AC37" s="2997">
        <f t="shared" ref="AC37" si="113">Z37-AB37</f>
        <v>0</v>
      </c>
      <c r="AD37" s="2996"/>
      <c r="AE37" s="2996"/>
      <c r="AF37" s="2996"/>
      <c r="AG37" s="2998"/>
      <c r="AH37" s="2035"/>
      <c r="AI37" s="2035"/>
      <c r="AJ37" s="2035"/>
      <c r="AK37" s="2035"/>
      <c r="AM37" s="2937"/>
      <c r="AN37" s="3026"/>
      <c r="AO37" s="3026">
        <f t="shared" ref="AO37" si="114">SUMIFS($O$10:$O$500,$F$10:$F$500,F37,$J$10:$J$500,J37)</f>
        <v>0</v>
      </c>
      <c r="AP37" s="3026">
        <f>SUMIFS('90_контр'!I:I,'90_контр'!H:H,F37,'90_контр'!C:C,J37)</f>
        <v>0</v>
      </c>
      <c r="AQ37" s="3026">
        <f>SUMIFS('90_ОРВГ'!K:K,'90_ОРВГ'!E:E,F37,'90_ОРВГ'!I:I,J37)+SUMIFS('90_ОРВГ'!M:M,'90_ОРВГ'!E:E,F37,'90_ОРВГ'!I:I,J37)</f>
        <v>0</v>
      </c>
      <c r="AR37" s="3026">
        <f>SUMIFS(Зарубежная_выручка!C:C,Зарубежная_выручка!I:I,F37,Зарубежная_выручка!E:E,J37)</f>
        <v>0</v>
      </c>
      <c r="AS37" s="2036" t="b">
        <f t="shared" ref="AS37" si="115">(AO37+AP37+AQ37+AR37)&lt;5</f>
        <v>1</v>
      </c>
      <c r="AT37" s="3012">
        <f t="shared" ref="AT37" si="116">(SUMPRODUCT(($C$10:$C$500=C37)*($L$10:$P$500)))+(SUMPRODUCT(($C$10:$C$500=C37)*($S$10:$T$500)))+(SUMPRODUCT(($C$10:$C$500=C37)*($W$10:$Y$500)))</f>
        <v>0</v>
      </c>
      <c r="AU37" s="3012"/>
      <c r="AV37" s="3012">
        <f>SUMIFS(Долгосроч_договоры!$AH$10:$AH$500,Долгосроч_договоры!$C$10:$C$500,C37,Долгосроч_договоры!$J$10:$J$500,J37)</f>
        <v>0</v>
      </c>
      <c r="AW37" s="3012">
        <f t="shared" ref="AW37" si="117">SUMIFS($AA$10:$AA$500,$C$10:$C$500,C37,$J$10:$J$500,J37)+SUMIFS($Z$10:$Z$500,$C$10:$C$500,C37,$J$10:$J$500,J37)</f>
        <v>0</v>
      </c>
      <c r="AX37" s="3011" t="b">
        <f t="shared" ref="AX37" si="118">SUM(ABS(AV37-AW37))&lt;5</f>
        <v>1</v>
      </c>
      <c r="AY37" s="3401">
        <f t="shared" ref="AY37" si="119">IF(I37="{RU} Россия",0,O37)</f>
        <v>0</v>
      </c>
      <c r="AZ37" s="3401" t="str">
        <f t="shared" ref="AZ37" si="120">IF(AY37=0,"",LEFT(C37,20))</f>
        <v/>
      </c>
      <c r="BA37" s="3401" t="str">
        <f>IFERROR(VLOOKUP(AZ37,Зарубежная_выручка!X:X,1,0),"")</f>
        <v/>
      </c>
      <c r="BB37" s="32">
        <f>IF(BA37="",0,SUMIF(Зарубежная_выручка!X:X,BA37,Зарубежная_выручка!Y:Y)+SUMIF('46'!AZ:AZ,BA37,'46'!AY:AY))</f>
        <v>0</v>
      </c>
      <c r="BC37" s="32" t="b">
        <f t="shared" si="16"/>
        <v>1</v>
      </c>
      <c r="BD37" s="2993"/>
      <c r="BE37" s="32" t="b">
        <f t="shared" ref="BE37" si="121">IF(BC37="Комментарий",IF(BD37&gt;"",TRUE,FALSE),TRUE)</f>
        <v>1</v>
      </c>
    </row>
  </sheetData>
  <sheetProtection algorithmName="SHA-512" hashValue="4n+g+PxXXEvwZvEcbFroJbE01yCo96P4Pb15g2NFmFwJnram7c+wE2Jf82u7ydJ1xOw4chieDRAE68Xhq06O6g==" saltValue="Tz3QgRLNZs+RLgUg4hP7fQ==" spinCount="100000" sheet="1" objects="1" scenarios="1" formatColumns="0" formatRows="0" autoFilter="0"/>
  <autoFilter ref="C8:AK8"/>
  <customSheetViews>
    <customSheetView guid="{3769259D-9653-4B34-A2F6-4FB6F9F4E533}" showGridLines="0" showAutoFilter="1" hiddenRows="1" hiddenColumns="1">
      <pane xSplit="4" ySplit="12" topLeftCell="E13" activePane="bottomRight" state="frozen"/>
      <selection pane="bottomRight" activeCell="C17" sqref="C17"/>
      <pageMargins left="0.7" right="0.7" top="0.75" bottom="0.75" header="0.3" footer="0.3"/>
      <autoFilter ref="B1:L1"/>
    </customSheetView>
    <customSheetView guid="{40D7A2BB-326C-4ED3-999C-17852F56D6F4}" showGridLines="0" showAutoFilter="1" hiddenRows="1" hiddenColumns="1">
      <pane xSplit="4" ySplit="12" topLeftCell="E13" activePane="bottomRight" state="frozen"/>
      <selection pane="bottomRight" activeCell="C17" sqref="C17"/>
      <pageMargins left="0.7" right="0.7" top="0.75" bottom="0.75" header="0.3" footer="0.3"/>
      <autoFilter ref="B1:L1"/>
    </customSheetView>
    <customSheetView guid="{5D121940-0CE8-4A0E-A493-67FAAA6E0FF8}" showGridLines="0" showAutoFilter="1" hiddenRows="1" hiddenColumns="1" topLeftCell="B2">
      <pane xSplit="3" ySplit="11" topLeftCell="P13" activePane="bottomRight" state="frozen"/>
      <selection pane="bottomRight" activeCell="G35" sqref="G35:AA35"/>
      <pageMargins left="0.7" right="0.7" top="0.75" bottom="0.75" header="0.3" footer="0.3"/>
      <autoFilter ref="B1:L1"/>
    </customSheetView>
    <customSheetView guid="{47AEACC4-6EA5-412C-AF39-A6C5357B313A}" showGridLines="0" showAutoFilter="1" hiddenRows="1" hiddenColumns="1" topLeftCell="B2">
      <pane xSplit="3" ySplit="11" topLeftCell="E13" activePane="bottomRight" state="frozen"/>
      <selection pane="bottomRight" activeCell="E24" sqref="E24"/>
      <pageMargins left="0.7" right="0.7" top="0.75" bottom="0.75" header="0.3" footer="0.3"/>
      <autoFilter ref="B1:L1"/>
    </customSheetView>
    <customSheetView guid="{4D957B38-5430-481E-B791-E0A66F913B50}" scale="70">
      <selection activeCell="C12" sqref="C12"/>
      <pageMargins left="0.7" right="0.7" top="0.75" bottom="0.75" header="0.3" footer="0.3"/>
    </customSheetView>
    <customSheetView guid="{1C36793E-2B7E-411E-AA99-985D5D59B75A}" scale="70">
      <selection activeCell="H13" sqref="H13:H21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11" topLeftCell="E13" activePane="bottomRight" state="frozen"/>
      <selection pane="bottomRight" activeCell="G10" sqref="G10"/>
      <pageMargins left="0.7" right="0.7" top="0.75" bottom="0.75" header="0.3" footer="0.3"/>
      <autoFilter ref="B1:L1"/>
    </customSheetView>
  </customSheetViews>
  <mergeCells count="13">
    <mergeCell ref="O5:R5"/>
    <mergeCell ref="S5:V5"/>
    <mergeCell ref="AT7:AT9"/>
    <mergeCell ref="AV7:AV9"/>
    <mergeCell ref="AX7:AX8"/>
    <mergeCell ref="AM7:AM9"/>
    <mergeCell ref="AO7:AO9"/>
    <mergeCell ref="AP7:AP9"/>
    <mergeCell ref="AQ7:AQ9"/>
    <mergeCell ref="AS7:AS8"/>
    <mergeCell ref="AW7:AW9"/>
    <mergeCell ref="AN7:AN9"/>
    <mergeCell ref="AR7:AR9"/>
  </mergeCells>
  <phoneticPr fontId="0" type="noConversion"/>
  <dataValidations count="3">
    <dataValidation type="list" allowBlank="1" showInputMessage="1" showErrorMessage="1" sqref="J10:J37">
      <formula1>Список_уникальных_видов_долгосроч_дог</formula1>
    </dataValidation>
    <dataValidation type="list" allowBlank="1" showInputMessage="1" showErrorMessage="1" sqref="C10:C37">
      <formula1>dogovor_stroy</formula1>
    </dataValidation>
    <dataValidation type="list" allowBlank="1" showInputMessage="1" showErrorMessage="1" sqref="I10:I37">
      <formula1>_6001</formula1>
    </dataValidation>
  </dataValidations>
  <hyperlinks>
    <hyperlink ref="M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AddButtonsRowAdd">
                <anchor moveWithCells="1">
                  <from>
                    <xdr:col>6</xdr:col>
                    <xdr:colOff>412750</xdr:colOff>
                    <xdr:row>2</xdr:row>
                    <xdr:rowOff>69850</xdr:rowOff>
                  </from>
                  <to>
                    <xdr:col>7</xdr:col>
                    <xdr:colOff>755650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0">
    <pageSetUpPr fitToPage="1"/>
  </sheetPr>
  <dimension ref="A1:H16"/>
  <sheetViews>
    <sheetView topLeftCell="B2" workbookViewId="0">
      <selection activeCell="J8" sqref="J8"/>
    </sheetView>
  </sheetViews>
  <sheetFormatPr defaultColWidth="11.453125" defaultRowHeight="14.5"/>
  <cols>
    <col min="1" max="1" width="7.81640625" style="23" hidden="1" customWidth="1"/>
    <col min="2" max="2" width="2.453125" style="1564" customWidth="1"/>
    <col min="3" max="3" width="25.54296875" style="1564" customWidth="1"/>
    <col min="4" max="4" width="25.453125" style="1163" customWidth="1"/>
    <col min="5" max="5" width="14" style="1163" customWidth="1"/>
    <col min="6" max="6" width="16.54296875" style="1163" customWidth="1"/>
    <col min="7" max="7" width="28" style="1163" customWidth="1"/>
    <col min="8" max="8" width="19.54296875" style="1163" customWidth="1"/>
    <col min="9" max="11" width="11.453125" style="1163" customWidth="1"/>
    <col min="12" max="16384" width="11.453125" style="1163"/>
  </cols>
  <sheetData>
    <row r="1" spans="1:8" s="104" customFormat="1" ht="10.5" hidden="1" customHeight="1">
      <c r="A1" s="1561" t="s">
        <v>4291</v>
      </c>
      <c r="B1" s="6"/>
      <c r="C1" s="6"/>
      <c r="D1" s="6"/>
      <c r="E1" s="6" t="s">
        <v>670</v>
      </c>
      <c r="F1" s="6" t="s">
        <v>1010</v>
      </c>
      <c r="G1" s="6"/>
    </row>
    <row r="2" spans="1:8" s="1778" customFormat="1">
      <c r="A2" s="741"/>
      <c r="B2" s="1925"/>
      <c r="C2" s="1925"/>
      <c r="D2" s="1925"/>
      <c r="E2" s="1778" t="s">
        <v>1648</v>
      </c>
      <c r="F2" s="1778" t="s">
        <v>1648</v>
      </c>
      <c r="G2" s="1897" t="s">
        <v>2067</v>
      </c>
      <c r="H2" s="1244">
        <f>Содержание!$D$2</f>
        <v>0</v>
      </c>
    </row>
    <row r="3" spans="1:8" ht="33.75" customHeight="1" thickBot="1">
      <c r="A3" s="9"/>
      <c r="B3" s="24"/>
      <c r="C3" s="105" t="s">
        <v>4662</v>
      </c>
      <c r="D3" s="24"/>
      <c r="E3"/>
      <c r="F3" s="3044" t="s">
        <v>1436</v>
      </c>
      <c r="G3" s="1897" t="s">
        <v>2075</v>
      </c>
      <c r="H3" s="1244" t="str">
        <f>Содержание!$D$15</f>
        <v>2022 год</v>
      </c>
    </row>
    <row r="4" spans="1:8" ht="39">
      <c r="A4" s="9"/>
      <c r="B4" s="1163"/>
      <c r="C4" s="85" t="s">
        <v>4663</v>
      </c>
      <c r="D4" s="28" t="s">
        <v>4664</v>
      </c>
      <c r="E4" s="28" t="s">
        <v>5225</v>
      </c>
      <c r="F4" s="28" t="s">
        <v>5233</v>
      </c>
    </row>
    <row r="5" spans="1:8">
      <c r="A5" s="9"/>
      <c r="B5" s="1163"/>
      <c r="C5" s="71">
        <v>2451</v>
      </c>
      <c r="D5" s="15" t="s">
        <v>5250</v>
      </c>
      <c r="E5" s="15" t="s">
        <v>672</v>
      </c>
      <c r="F5" s="15" t="s">
        <v>673</v>
      </c>
    </row>
    <row r="6" spans="1:8" s="674" customFormat="1" ht="12.5">
      <c r="A6" s="668"/>
      <c r="B6" s="1645"/>
      <c r="C6" s="1646" t="s">
        <v>4164</v>
      </c>
      <c r="D6" s="1647" t="s">
        <v>4165</v>
      </c>
      <c r="E6" s="1386" t="s">
        <v>4166</v>
      </c>
      <c r="F6" s="1386" t="s">
        <v>5500</v>
      </c>
      <c r="G6" s="2232" t="b">
        <f>AND(G8:G1500)</f>
        <v>1</v>
      </c>
    </row>
    <row r="7" spans="1:8" ht="26">
      <c r="A7" s="9"/>
      <c r="C7" s="106" t="s">
        <v>4170</v>
      </c>
      <c r="D7" s="107" t="s">
        <v>4184</v>
      </c>
      <c r="E7" s="108">
        <f>SUM(E8:E65535)</f>
        <v>0</v>
      </c>
      <c r="F7" s="108">
        <f>SUM(F8:F65535)</f>
        <v>0</v>
      </c>
      <c r="G7" s="151" t="s">
        <v>8049</v>
      </c>
    </row>
    <row r="8" spans="1:8">
      <c r="A8" s="9" t="str">
        <f>"R1="&amp;IFERROR(MID(C8,FIND("{",C8)+1,FIND("}",C8)-FIND("{",C8)-1),"")&amp;";"&amp;"R2="&amp;IFERROR(MID(D8,FIND("{",D8)+1,FIND("}",D8)-FIND("{",D8)-1),"")</f>
        <v>R1=;R2=</v>
      </c>
      <c r="B8" s="1648" t="s">
        <v>2903</v>
      </c>
      <c r="C8" s="1443"/>
      <c r="D8" s="1444"/>
      <c r="E8" s="1439"/>
      <c r="F8" s="146"/>
      <c r="G8" s="2232" t="b">
        <f>IF(F8&lt;0,FALSE,TRUE)</f>
        <v>1</v>
      </c>
    </row>
    <row r="9" spans="1:8">
      <c r="A9" s="2427" t="str">
        <f t="shared" ref="A9:A14" si="0">"R1="&amp;IFERROR(MID(C9,FIND("{",C9)+1,FIND("}",C9)-FIND("{",C9)-1),"")&amp;";"&amp;"R2="&amp;IFERROR(MID(D9,FIND("{",D9)+1,FIND("}",D9)-FIND("{",D9)-1),"")</f>
        <v>R1=;R2=</v>
      </c>
      <c r="B9" s="1648" t="s">
        <v>2903</v>
      </c>
      <c r="C9" s="1443"/>
      <c r="D9" s="1444"/>
      <c r="E9" s="146"/>
      <c r="F9" s="146"/>
      <c r="G9" s="2232" t="b">
        <f t="shared" ref="G9:G14" si="1">IF(F9&lt;0,FALSE,TRUE)</f>
        <v>1</v>
      </c>
    </row>
    <row r="10" spans="1:8">
      <c r="A10" s="2427" t="str">
        <f t="shared" si="0"/>
        <v>R1=;R2=</v>
      </c>
      <c r="B10" s="1648"/>
      <c r="C10" s="1443"/>
      <c r="D10" s="1444"/>
      <c r="E10" s="146"/>
      <c r="F10" s="146"/>
      <c r="G10" s="2232" t="b">
        <f t="shared" si="1"/>
        <v>1</v>
      </c>
    </row>
    <row r="11" spans="1:8">
      <c r="A11" s="2427" t="str">
        <f t="shared" si="0"/>
        <v>R1=;R2=</v>
      </c>
      <c r="B11" s="1648"/>
      <c r="C11" s="1443"/>
      <c r="D11" s="1444"/>
      <c r="E11" s="146"/>
      <c r="F11" s="146"/>
      <c r="G11" s="2232" t="b">
        <f t="shared" si="1"/>
        <v>1</v>
      </c>
    </row>
    <row r="12" spans="1:8">
      <c r="A12" s="2427" t="str">
        <f t="shared" si="0"/>
        <v>R1=;R2=</v>
      </c>
      <c r="B12" s="1648"/>
      <c r="C12" s="1443"/>
      <c r="D12" s="1444"/>
      <c r="E12" s="146"/>
      <c r="F12" s="146"/>
      <c r="G12" s="2232" t="b">
        <f t="shared" si="1"/>
        <v>1</v>
      </c>
    </row>
    <row r="13" spans="1:8">
      <c r="A13" s="2427" t="str">
        <f t="shared" si="0"/>
        <v>R1=;R2=</v>
      </c>
      <c r="B13" s="1648"/>
      <c r="C13" s="1443"/>
      <c r="D13" s="1444"/>
      <c r="E13" s="146"/>
      <c r="F13" s="146"/>
      <c r="G13" s="2232" t="b">
        <f t="shared" si="1"/>
        <v>1</v>
      </c>
    </row>
    <row r="14" spans="1:8" ht="15" thickBot="1">
      <c r="A14" s="2427" t="str">
        <f t="shared" si="0"/>
        <v>R1=;R2=</v>
      </c>
      <c r="B14" s="1648"/>
      <c r="C14" s="160"/>
      <c r="D14" s="415"/>
      <c r="E14" s="348"/>
      <c r="F14" s="348"/>
      <c r="G14" s="2232" t="b">
        <f t="shared" si="1"/>
        <v>1</v>
      </c>
    </row>
    <row r="15" spans="1:8">
      <c r="A15" s="1564"/>
      <c r="C15" s="1163"/>
    </row>
    <row r="16" spans="1:8">
      <c r="A16" s="1564"/>
      <c r="C16" s="1163"/>
    </row>
  </sheetData>
  <sheetProtection algorithmName="SHA-512" hashValue="3lMBi3QWc45j+HE0YF1b/DXZhBSNiNNIXgSsH6S+JvevnEXYIFufUZqe9w4eqKVBiNF9guKa1XoAE+U1v7vzAQ==" saltValue="GNRNDgPzo1PAnE1k/pitdg==" spinCount="100000" sheet="1" objects="1" scenarios="1" formatColumns="0" formatRows="0" autoFilter="0"/>
  <autoFilter ref="C6:G6"/>
  <customSheetViews>
    <customSheetView guid="{3769259D-9653-4B34-A2F6-4FB6F9F4E533}" showGridLines="0" showAutoFilter="1" hiddenRows="1" hiddenColumns="1">
      <selection activeCell="C17" sqref="C17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selection activeCell="C17" sqref="C17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3">
      <selection activeCell="C7" sqref="C7:G7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3">
      <selection activeCell="G21" sqref="G21"/>
      <pageMargins left="0.7" right="0.7" top="0.75" bottom="0.75" header="0.3" footer="0.3"/>
      <autoFilter ref="B1:F1"/>
    </customSheetView>
    <customSheetView guid="{4D957B38-5430-481E-B791-E0A66F913B50}" scale="70">
      <selection activeCell="I20" sqref="I20"/>
      <pageMargins left="0.7" right="0.7" top="0.75" bottom="0.75" header="0.3" footer="0.3"/>
    </customSheetView>
    <customSheetView guid="{D03DFE91-19D2-43BA-897C-B86D033537EB}" scale="70">
      <selection activeCell="A9" sqref="A9"/>
      <pageMargins left="0.7" right="0.7" top="0.75" bottom="0.75" header="0.3" footer="0.3"/>
    </customSheetView>
    <customSheetView guid="{1C36793E-2B7E-411E-AA99-985D5D59B75A}" scale="70">
      <selection activeCell="I12" sqref="I12"/>
      <pageMargins left="0.7" right="0.7" top="0.75" bottom="0.75" header="0.3" footer="0.3"/>
    </customSheetView>
    <customSheetView guid="{C913A9E8-661B-40A4-A3C9-1BC5F2B2E9F0}" showGridLines="0" showAutoFilter="1" hiddenRows="1" hiddenColumns="1" topLeftCell="B3">
      <selection activeCell="C7" sqref="C7:G7"/>
      <pageMargins left="0.7" right="0.7" top="0.75" bottom="0.75" header="0.3" footer="0.3"/>
      <autoFilter ref="B1:F1"/>
    </customSheetView>
  </customSheetViews>
  <phoneticPr fontId="0" type="noConversion"/>
  <dataValidations count="5">
    <dataValidation type="list" operator="equal" allowBlank="1" showErrorMessage="1" errorTitle="Выбор элемента списка" error="Данного элемента нет в списке" sqref="D12:D14">
      <formula1>_6003</formula1>
    </dataValidation>
    <dataValidation type="list" operator="equal" allowBlank="1" showErrorMessage="1" errorTitle="Выбор элемента списка" error="Данного элемента нет в списке" sqref="C12:C14">
      <formula1>_2451</formula1>
    </dataValidation>
    <dataValidation operator="equal" allowBlank="1" showErrorMessage="1" errorTitle="Выбор элемента списка" error="Данного элемента нет в списке" sqref="E12:F14 F8:F11 E9:E11"/>
    <dataValidation type="list" allowBlank="1" showInputMessage="1" showErrorMessage="1" sqref="C8:C11">
      <formula1>_2451</formula1>
    </dataValidation>
    <dataValidation type="list" allowBlank="1" showInputMessage="1" showErrorMessage="1" sqref="D8:D11">
      <formula1>_6003</formula1>
    </dataValidation>
  </dataValidations>
  <hyperlinks>
    <hyperlink ref="F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99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AddButtonsRowAdd">
                <anchor moveWithCells="1">
                  <from>
                    <xdr:col>2</xdr:col>
                    <xdr:colOff>1104900</xdr:colOff>
                    <xdr:row>1</xdr:row>
                    <xdr:rowOff>107950</xdr:rowOff>
                  </from>
                  <to>
                    <xdr:col>3</xdr:col>
                    <xdr:colOff>831850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>
    <pageSetUpPr fitToPage="1"/>
  </sheetPr>
  <dimension ref="A1:L24"/>
  <sheetViews>
    <sheetView topLeftCell="F2" workbookViewId="0">
      <selection activeCell="K6" sqref="I6:K6"/>
    </sheetView>
  </sheetViews>
  <sheetFormatPr defaultColWidth="11.453125" defaultRowHeight="14.5"/>
  <cols>
    <col min="1" max="1" width="8.1796875" style="23" hidden="1" customWidth="1"/>
    <col min="2" max="2" width="3.453125" style="1564" customWidth="1"/>
    <col min="3" max="3" width="52.453125" style="1564" customWidth="1"/>
    <col min="4" max="7" width="18.453125" style="1163" customWidth="1"/>
    <col min="8" max="8" width="32.453125" style="1163" bestFit="1" customWidth="1"/>
    <col min="9" max="9" width="18.453125" style="1163" customWidth="1"/>
    <col min="10" max="10" width="30.453125" style="1163" customWidth="1"/>
    <col min="11" max="11" width="23.54296875" style="1163" customWidth="1"/>
    <col min="12" max="13" width="10.54296875" style="1163" customWidth="1"/>
    <col min="14" max="14" width="11.453125" style="1163"/>
    <col min="15" max="15" width="17.453125" style="1163" customWidth="1"/>
    <col min="16" max="16384" width="11.453125" style="1163"/>
  </cols>
  <sheetData>
    <row r="1" spans="1:12" s="104" customFormat="1" ht="24" hidden="1" customHeight="1">
      <c r="A1" s="1561" t="s">
        <v>4296</v>
      </c>
      <c r="B1" s="6"/>
      <c r="C1" s="6"/>
      <c r="D1" s="6"/>
      <c r="E1" s="6"/>
      <c r="F1" s="6" t="s">
        <v>670</v>
      </c>
      <c r="G1" s="6" t="s">
        <v>1010</v>
      </c>
      <c r="H1" s="6"/>
      <c r="I1" s="6"/>
    </row>
    <row r="2" spans="1:12" s="1778" customFormat="1">
      <c r="A2" s="741"/>
      <c r="B2" s="1925"/>
      <c r="C2" s="1925"/>
      <c r="F2" s="1778" t="s">
        <v>1648</v>
      </c>
      <c r="G2" s="1778" t="s">
        <v>1648</v>
      </c>
      <c r="H2" s="1897" t="s">
        <v>2067</v>
      </c>
      <c r="I2" s="1244">
        <f>Содержание!$D$2</f>
        <v>0</v>
      </c>
    </row>
    <row r="3" spans="1:12" ht="27" customHeight="1" thickBot="1">
      <c r="A3" s="9"/>
      <c r="B3" s="24"/>
      <c r="C3" s="105" t="s">
        <v>4667</v>
      </c>
      <c r="D3"/>
      <c r="E3" s="2358"/>
      <c r="F3" s="3044" t="s">
        <v>1436</v>
      </c>
      <c r="H3" s="1897" t="s">
        <v>2075</v>
      </c>
      <c r="I3" s="1244" t="str">
        <f>Содержание!$D$15</f>
        <v>2022 год</v>
      </c>
    </row>
    <row r="4" spans="1:12" ht="65">
      <c r="A4" s="9"/>
      <c r="B4" s="1163"/>
      <c r="C4" s="85" t="s">
        <v>58</v>
      </c>
      <c r="D4" s="28" t="s">
        <v>59</v>
      </c>
      <c r="E4" s="2359" t="s">
        <v>8394</v>
      </c>
      <c r="F4" s="28" t="s">
        <v>5225</v>
      </c>
      <c r="G4" s="28" t="s">
        <v>5233</v>
      </c>
    </row>
    <row r="5" spans="1:12">
      <c r="A5" s="9"/>
      <c r="B5" s="1163"/>
      <c r="C5" s="158" t="s">
        <v>5247</v>
      </c>
      <c r="D5" s="159" t="s">
        <v>5247</v>
      </c>
      <c r="E5" s="159" t="s">
        <v>5247</v>
      </c>
      <c r="F5" s="159" t="s">
        <v>672</v>
      </c>
      <c r="G5" s="159" t="s">
        <v>673</v>
      </c>
    </row>
    <row r="6" spans="1:12" s="674" customFormat="1" ht="11.25" customHeight="1">
      <c r="A6" s="668"/>
      <c r="B6" s="1640"/>
      <c r="C6" s="1649" t="s">
        <v>4164</v>
      </c>
      <c r="D6" s="1650" t="s">
        <v>4165</v>
      </c>
      <c r="E6" s="1650" t="s">
        <v>4166</v>
      </c>
      <c r="F6" s="1650" t="s">
        <v>5500</v>
      </c>
      <c r="G6" s="1650" t="s">
        <v>4169</v>
      </c>
      <c r="I6" s="2232" t="b">
        <f t="shared" ref="I6:J6" si="0">AND(I8:I1500)</f>
        <v>1</v>
      </c>
      <c r="J6" s="2232" t="b">
        <f t="shared" si="0"/>
        <v>1</v>
      </c>
      <c r="K6" s="2232" t="b">
        <f>AND(K8:K1500)</f>
        <v>1</v>
      </c>
    </row>
    <row r="7" spans="1:12" ht="52">
      <c r="A7" s="9"/>
      <c r="C7" s="147" t="s">
        <v>4170</v>
      </c>
      <c r="D7" s="91" t="s">
        <v>3389</v>
      </c>
      <c r="E7" s="91" t="s">
        <v>3389</v>
      </c>
      <c r="F7" s="148">
        <f>SUM(F8:F10000)</f>
        <v>0</v>
      </c>
      <c r="G7" s="148">
        <f>SUM(G8:G10000)</f>
        <v>0</v>
      </c>
      <c r="I7" s="151" t="s">
        <v>8566</v>
      </c>
      <c r="J7" s="151" t="s">
        <v>9658</v>
      </c>
      <c r="K7" s="151" t="s">
        <v>8049</v>
      </c>
    </row>
    <row r="8" spans="1:12">
      <c r="A8" s="9" t="str">
        <f>"R47="&amp;MID(IF(E8&lt;&gt;"",E8,D8),1,30)&amp;";R57="&amp;MID(C8,1,60)&amp;";R36="&amp;MID(E8,1,30)&amp;";R43="&amp;MID(D8,1,30)</f>
        <v>R47=;R57=;R36=;R43=</v>
      </c>
      <c r="C8" s="1443"/>
      <c r="D8" s="1445"/>
      <c r="E8" s="3080"/>
      <c r="F8" s="1439"/>
      <c r="G8" s="149"/>
      <c r="I8" s="2038" t="b">
        <f>IF(C8&gt;0,OR(AND($D8&lt;&gt;"",$E8=""),AND($D8="",$E8&lt;&gt;""),AND($D8&lt;&gt;"",$E8&lt;&gt;"")),TRUE)</f>
        <v>1</v>
      </c>
      <c r="J8" s="2232" t="b">
        <f>NOT(OR(TEXT(E8,"#")="10011",TEXT(E8,"#")="10015",TEXT(E8,"#")="10000",D8="Внешние контрагенты",D8="Гос.контракты",IFERROR(VLOOKUP(I2,Список_компаний!A:D,3,0)=E8,FALSE),IFERROR(VLOOKUP(I2,Список_компаний!A:D,2,0)=D8,FALSE)))</f>
        <v>1</v>
      </c>
      <c r="K8" s="2232" t="b">
        <f>IF(G8&lt;0,FALSE,TRUE)</f>
        <v>1</v>
      </c>
      <c r="L8" s="2422"/>
    </row>
    <row r="9" spans="1:12">
      <c r="A9" s="2427" t="str">
        <f t="shared" ref="A9:A14" si="1">"R47="&amp;MID(IF(E9&lt;&gt;"",E9,D9),1,30)&amp;";R57="&amp;MID(C9,1,60)&amp;";R36="&amp;MID(E9,1,30)&amp;";R43="&amp;MID(D9,1,30)</f>
        <v>R47=;R57=;R36=;R43=</v>
      </c>
      <c r="C9" s="1443"/>
      <c r="D9" s="1445"/>
      <c r="E9" s="1445"/>
      <c r="F9" s="1439"/>
      <c r="G9" s="149"/>
      <c r="I9" s="2038" t="b">
        <f t="shared" ref="I9:I14" si="2">IF(C9&gt;0,OR(AND($D9&lt;&gt;"",$E9=""),AND($D9="",$E9&lt;&gt;""),AND($D9&lt;&gt;"",$E9&lt;&gt;"")),TRUE)</f>
        <v>1</v>
      </c>
      <c r="J9" s="2232" t="b">
        <f>NOT(OR(TEXT(E9,"#")="10011",TEXT(E9,"#")="10015",TEXT(E9,"#")="10000",D9="Внешние контрагенты",D9="Гос.контракты",IFERROR(VLOOKUP(I3,Список_компаний!A:D,3,0)=E9,FALSE),IFERROR(VLOOKUP(I3,Список_компаний!A:D,2,0)=D9,FALSE)))</f>
        <v>1</v>
      </c>
      <c r="K9" s="2232" t="b">
        <f t="shared" ref="K9:K24" si="3">IF(G9&lt;0,FALSE,TRUE)</f>
        <v>1</v>
      </c>
    </row>
    <row r="10" spans="1:12">
      <c r="A10" s="2427" t="str">
        <f t="shared" si="1"/>
        <v>R47=;R57=;R36=;R43=</v>
      </c>
      <c r="C10" s="156"/>
      <c r="D10" s="92"/>
      <c r="E10" s="92"/>
      <c r="F10" s="149"/>
      <c r="G10" s="149"/>
      <c r="I10" s="2038" t="b">
        <f t="shared" si="2"/>
        <v>1</v>
      </c>
      <c r="J10" s="2232" t="b">
        <f>NOT(OR(TEXT(E10,"#")="10011",TEXT(E10,"#")="10015",TEXT(E10,"#")="10000",D10="Внешние контрагенты",D10="Гос.контракты",IFERROR(VLOOKUP(I4,Список_компаний!A:D,3,0)=E10,FALSE),IFERROR(VLOOKUP(I4,Список_компаний!A:D,2,0)=D10,FALSE)))</f>
        <v>1</v>
      </c>
      <c r="K10" s="2232" t="b">
        <f t="shared" si="3"/>
        <v>1</v>
      </c>
    </row>
    <row r="11" spans="1:12">
      <c r="A11" s="2427" t="str">
        <f t="shared" si="1"/>
        <v>R47=;R57=;R36=;R43=</v>
      </c>
      <c r="C11" s="156"/>
      <c r="D11" s="92"/>
      <c r="E11" s="92"/>
      <c r="F11" s="149"/>
      <c r="G11" s="149"/>
      <c r="I11" s="2038" t="b">
        <f t="shared" si="2"/>
        <v>1</v>
      </c>
      <c r="J11" s="2232" t="b">
        <f>NOT(OR(TEXT(E11,"#")="10011",TEXT(E11,"#")="10015",TEXT(E11,"#")="10000",D11="Внешние контрагенты",D11="Гос.контракты",IFERROR(VLOOKUP(I5,Список_компаний!A:D,3,0)=E11,FALSE),IFERROR(VLOOKUP(I5,Список_компаний!A:D,2,0)=D11,FALSE)))</f>
        <v>1</v>
      </c>
      <c r="K11" s="2232" t="b">
        <f t="shared" si="3"/>
        <v>1</v>
      </c>
    </row>
    <row r="12" spans="1:12">
      <c r="A12" s="2427" t="str">
        <f t="shared" si="1"/>
        <v>R47=;R57=;R36=;R43=</v>
      </c>
      <c r="C12" s="156"/>
      <c r="D12" s="92"/>
      <c r="E12" s="92"/>
      <c r="F12" s="149"/>
      <c r="G12" s="149"/>
      <c r="I12" s="2038" t="b">
        <f t="shared" si="2"/>
        <v>1</v>
      </c>
      <c r="J12" s="2232" t="b">
        <f>NOT(OR(TEXT(E12,"#")="10011",TEXT(E12,"#")="10015",TEXT(E12,"#")="10000",D12="Внешние контрагенты",D12="Гос.контракты",IFERROR(VLOOKUP(I6,Список_компаний!A:D,3,0)=E12,FALSE),IFERROR(VLOOKUP(I6,Список_компаний!A:D,2,0)=D12,FALSE)))</f>
        <v>1</v>
      </c>
      <c r="K12" s="2232" t="b">
        <f t="shared" si="3"/>
        <v>1</v>
      </c>
    </row>
    <row r="13" spans="1:12" s="2422" customFormat="1">
      <c r="A13" s="2427" t="str">
        <f t="shared" si="1"/>
        <v>R47=;R57=;R36=;R43=</v>
      </c>
      <c r="B13" s="1564"/>
      <c r="C13" s="156"/>
      <c r="D13" s="92"/>
      <c r="E13" s="92"/>
      <c r="F13" s="149"/>
      <c r="G13" s="149">
        <v>0</v>
      </c>
      <c r="I13" s="2038" t="b">
        <f t="shared" si="2"/>
        <v>1</v>
      </c>
      <c r="J13" s="2232" t="b">
        <f>NOT(OR(TEXT(E13,"#")="10011",TEXT(E13,"#")="10015",TEXT(E13,"#")="10000",D13="Внешние контрагенты",D13="Гос.контракты",IFERROR(VLOOKUP(I7,Список_компаний!A:D,3,0)=E13,FALSE),IFERROR(VLOOKUP(I7,Список_компаний!A:D,2,0)=D13,FALSE)))</f>
        <v>1</v>
      </c>
      <c r="K13" s="2232" t="b">
        <f t="shared" si="3"/>
        <v>1</v>
      </c>
    </row>
    <row r="14" spans="1:12" s="2732" customFormat="1">
      <c r="A14" s="2427" t="str">
        <f t="shared" si="1"/>
        <v>R47=;R57=;R36=;R43=</v>
      </c>
      <c r="B14" s="1564"/>
      <c r="C14" s="156"/>
      <c r="D14" s="92"/>
      <c r="E14" s="92"/>
      <c r="F14" s="149"/>
      <c r="G14" s="149"/>
      <c r="I14" s="2038" t="b">
        <f t="shared" si="2"/>
        <v>1</v>
      </c>
      <c r="J14" s="2232" t="b">
        <f>NOT(OR(TEXT(E14,"#")="10011",TEXT(E14,"#")="10015",TEXT(E14,"#")="10000",D14="Внешние контрагенты",D14="Гос.контракты",IFERROR(VLOOKUP(I8,Список_компаний!A:D,3,0)=E14,FALSE),IFERROR(VLOOKUP(I8,Список_компаний!A:D,2,0)=D14,FALSE)))</f>
        <v>1</v>
      </c>
      <c r="K14" s="2232" t="b">
        <f t="shared" si="3"/>
        <v>1</v>
      </c>
    </row>
    <row r="15" spans="1:12" s="2732" customFormat="1">
      <c r="A15" s="2427" t="str">
        <f t="shared" ref="A15" si="4">"R47="&amp;MID(IF(E15&lt;&gt;"",E15,D15),1,30)&amp;";R57="&amp;MID(C15,1,60)&amp;";R36="&amp;MID(E15,1,30)&amp;";R43="&amp;MID(D15,1,30)</f>
        <v>R47=;R57=;R36=;R43=</v>
      </c>
      <c r="B15" s="1564"/>
      <c r="C15" s="156"/>
      <c r="D15" s="92"/>
      <c r="E15" s="92"/>
      <c r="F15" s="149"/>
      <c r="G15" s="149"/>
      <c r="I15" s="2038" t="b">
        <f t="shared" ref="I15" si="5">IF(C15&gt;0,OR(AND($D15&lt;&gt;"",$E15=""),AND($D15="",$E15&lt;&gt;""),AND($D15&lt;&gt;"",$E15&lt;&gt;"")),TRUE)</f>
        <v>1</v>
      </c>
      <c r="J15" s="2232" t="b">
        <f>NOT(OR(TEXT(E15,"#")="10011",TEXT(E15,"#")="10015",TEXT(E15,"#")="10000",D15="Внешние контрагенты",D15="Гос.контракты",IFERROR(VLOOKUP(I9,Список_компаний!A:D,3,0)=E15,FALSE),IFERROR(VLOOKUP(I9,Список_компаний!A:D,2,0)=D15,FALSE)))</f>
        <v>1</v>
      </c>
      <c r="K15" s="2232" t="b">
        <f t="shared" si="3"/>
        <v>1</v>
      </c>
    </row>
    <row r="16" spans="1:12" s="2732" customFormat="1">
      <c r="A16" s="2427" t="str">
        <f t="shared" ref="A16" si="6">"R47="&amp;MID(IF(E16&lt;&gt;"",E16,D16),1,30)&amp;";R57="&amp;MID(C16,1,60)&amp;";R36="&amp;MID(E16,1,30)&amp;";R43="&amp;MID(D16,1,30)</f>
        <v>R47=;R57=;R36=;R43=</v>
      </c>
      <c r="B16" s="1564"/>
      <c r="C16" s="156"/>
      <c r="D16" s="92"/>
      <c r="E16" s="92"/>
      <c r="F16" s="149"/>
      <c r="G16" s="149"/>
      <c r="I16" s="2038" t="b">
        <f t="shared" ref="I16" si="7">IF(C16&gt;0,OR(AND($D16&lt;&gt;"",$E16=""),AND($D16="",$E16&lt;&gt;""),AND($D16&lt;&gt;"",$E16&lt;&gt;"")),TRUE)</f>
        <v>1</v>
      </c>
      <c r="J16" s="2232" t="b">
        <f>NOT(OR(TEXT(E16,"#")="10011",TEXT(E16,"#")="10015",TEXT(E16,"#")="10000",D16="Внешние контрагенты",D16="Гос.контракты",IFERROR(VLOOKUP(I10,Список_компаний!A:D,3,0)=E16,FALSE),IFERROR(VLOOKUP(I10,Список_компаний!A:D,2,0)=D16,FALSE)))</f>
        <v>1</v>
      </c>
      <c r="K16" s="2232" t="b">
        <f t="shared" si="3"/>
        <v>1</v>
      </c>
    </row>
    <row r="17" spans="1:11" s="2732" customFormat="1">
      <c r="A17" s="2427" t="str">
        <f t="shared" ref="A17" si="8">"R47="&amp;MID(IF(E17&lt;&gt;"",E17,D17),1,30)&amp;";R57="&amp;MID(C17,1,60)&amp;";R36="&amp;MID(E17,1,30)&amp;";R43="&amp;MID(D17,1,30)</f>
        <v>R47=;R57=;R36=;R43=</v>
      </c>
      <c r="B17" s="1564"/>
      <c r="C17" s="156"/>
      <c r="D17" s="92"/>
      <c r="E17" s="92"/>
      <c r="F17" s="149"/>
      <c r="G17" s="149"/>
      <c r="I17" s="2038" t="b">
        <f t="shared" ref="I17" si="9">IF(C17&gt;0,OR(AND($D17&lt;&gt;"",$E17=""),AND($D17="",$E17&lt;&gt;""),AND($D17&lt;&gt;"",$E17&lt;&gt;"")),TRUE)</f>
        <v>1</v>
      </c>
      <c r="J17" s="2232" t="b">
        <f>NOT(OR(TEXT(E17,"#")="10011",TEXT(E17,"#")="10015",TEXT(E17,"#")="10000",D17="Внешние контрагенты",D17="Гос.контракты",IFERROR(VLOOKUP(I11,Список_компаний!A:D,3,0)=E17,FALSE),IFERROR(VLOOKUP(I11,Список_компаний!A:D,2,0)=D17,FALSE)))</f>
        <v>1</v>
      </c>
      <c r="K17" s="2232" t="b">
        <f t="shared" si="3"/>
        <v>1</v>
      </c>
    </row>
    <row r="18" spans="1:11" s="2732" customFormat="1">
      <c r="A18" s="2427" t="str">
        <f t="shared" ref="A18" si="10">"R47="&amp;MID(IF(E18&lt;&gt;"",E18,D18),1,30)&amp;";R57="&amp;MID(C18,1,60)&amp;";R36="&amp;MID(E18,1,30)&amp;";R43="&amp;MID(D18,1,30)</f>
        <v>R47=;R57=;R36=;R43=</v>
      </c>
      <c r="B18" s="1564"/>
      <c r="C18" s="156"/>
      <c r="D18" s="92"/>
      <c r="E18" s="92"/>
      <c r="F18" s="149"/>
      <c r="G18" s="149"/>
      <c r="I18" s="2038" t="b">
        <f t="shared" ref="I18" si="11">IF(C18&gt;0,OR(AND($D18&lt;&gt;"",$E18=""),AND($D18="",$E18&lt;&gt;""),AND($D18&lt;&gt;"",$E18&lt;&gt;"")),TRUE)</f>
        <v>1</v>
      </c>
      <c r="J18" s="2232" t="b">
        <f>NOT(OR(TEXT(E18,"#")="10011",TEXT(E18,"#")="10015",TEXT(E18,"#")="10000",D18="Внешние контрагенты",D18="Гос.контракты",IFERROR(VLOOKUP(I12,Список_компаний!A:D,3,0)=E18,FALSE),IFERROR(VLOOKUP(I12,Список_компаний!A:D,2,0)=D18,FALSE)))</f>
        <v>1</v>
      </c>
      <c r="K18" s="2232" t="b">
        <f t="shared" si="3"/>
        <v>1</v>
      </c>
    </row>
    <row r="19" spans="1:11" s="2732" customFormat="1">
      <c r="A19" s="2427" t="str">
        <f t="shared" ref="A19" si="12">"R47="&amp;MID(IF(E19&lt;&gt;"",E19,D19),1,30)&amp;";R57="&amp;MID(C19,1,60)&amp;";R36="&amp;MID(E19,1,30)&amp;";R43="&amp;MID(D19,1,30)</f>
        <v>R47=;R57=;R36=;R43=</v>
      </c>
      <c r="B19" s="1564"/>
      <c r="C19" s="156"/>
      <c r="D19" s="92"/>
      <c r="E19" s="92"/>
      <c r="F19" s="149"/>
      <c r="G19" s="149"/>
      <c r="I19" s="2038" t="b">
        <f t="shared" ref="I19" si="13">IF(C19&gt;0,OR(AND($D19&lt;&gt;"",$E19=""),AND($D19="",$E19&lt;&gt;""),AND($D19&lt;&gt;"",$E19&lt;&gt;"")),TRUE)</f>
        <v>1</v>
      </c>
      <c r="J19" s="2232" t="b">
        <f>NOT(OR(TEXT(E19,"#")="10011",TEXT(E19,"#")="10015",TEXT(E19,"#")="10000",D19="Внешние контрагенты",D19="Гос.контракты",IFERROR(VLOOKUP(I13,Список_компаний!A:D,3,0)=E19,FALSE),IFERROR(VLOOKUP(I13,Список_компаний!A:D,2,0)=D19,FALSE)))</f>
        <v>1</v>
      </c>
      <c r="K19" s="2232" t="b">
        <f t="shared" si="3"/>
        <v>1</v>
      </c>
    </row>
    <row r="20" spans="1:11" s="2732" customFormat="1">
      <c r="A20" s="2427" t="str">
        <f t="shared" ref="A20" si="14">"R47="&amp;MID(IF(E20&lt;&gt;"",E20,D20),1,30)&amp;";R57="&amp;MID(C20,1,60)&amp;";R36="&amp;MID(E20,1,30)&amp;";R43="&amp;MID(D20,1,30)</f>
        <v>R47=;R57=;R36=;R43=</v>
      </c>
      <c r="B20" s="1564"/>
      <c r="C20" s="156"/>
      <c r="D20" s="92"/>
      <c r="E20" s="92"/>
      <c r="F20" s="149"/>
      <c r="G20" s="149"/>
      <c r="I20" s="2038" t="b">
        <f t="shared" ref="I20" si="15">IF(C20&gt;0,OR(AND($D20&lt;&gt;"",$E20=""),AND($D20="",$E20&lt;&gt;""),AND($D20&lt;&gt;"",$E20&lt;&gt;"")),TRUE)</f>
        <v>1</v>
      </c>
      <c r="J20" s="2232" t="b">
        <f>NOT(OR(TEXT(E20,"#")="10011",TEXT(E20,"#")="10015",TEXT(E20,"#")="10000",D20="Внешние контрагенты",D20="Гос.контракты",IFERROR(VLOOKUP(I14,Список_компаний!A:D,3,0)=E20,FALSE),IFERROR(VLOOKUP(I14,Список_компаний!A:D,2,0)=D20,FALSE)))</f>
        <v>1</v>
      </c>
      <c r="K20" s="2232" t="b">
        <f t="shared" si="3"/>
        <v>1</v>
      </c>
    </row>
    <row r="21" spans="1:11" s="2732" customFormat="1">
      <c r="A21" s="2427" t="str">
        <f t="shared" ref="A21" si="16">"R47="&amp;MID(IF(E21&lt;&gt;"",E21,D21),1,30)&amp;";R57="&amp;MID(C21,1,60)&amp;";R36="&amp;MID(E21,1,30)&amp;";R43="&amp;MID(D21,1,30)</f>
        <v>R47=;R57=;R36=;R43=</v>
      </c>
      <c r="B21" s="1564"/>
      <c r="C21" s="156"/>
      <c r="D21" s="92"/>
      <c r="E21" s="92"/>
      <c r="F21" s="149"/>
      <c r="G21" s="149"/>
      <c r="I21" s="2038" t="b">
        <f t="shared" ref="I21" si="17">IF(C21&gt;0,OR(AND($D21&lt;&gt;"",$E21=""),AND($D21="",$E21&lt;&gt;""),AND($D21&lt;&gt;"",$E21&lt;&gt;"")),TRUE)</f>
        <v>1</v>
      </c>
      <c r="J21" s="2232" t="b">
        <f>NOT(OR(TEXT(E21,"#")="10011",TEXT(E21,"#")="10015",TEXT(E21,"#")="10000",D21="Внешние контрагенты",D21="Гос.контракты",IFERROR(VLOOKUP(I15,Список_компаний!A:D,3,0)=E21,FALSE),IFERROR(VLOOKUP(I15,Список_компаний!A:D,2,0)=D21,FALSE)))</f>
        <v>1</v>
      </c>
      <c r="K21" s="2232" t="b">
        <f t="shared" si="3"/>
        <v>1</v>
      </c>
    </row>
    <row r="22" spans="1:11" s="2732" customFormat="1">
      <c r="A22" s="2427" t="str">
        <f t="shared" ref="A22" si="18">"R47="&amp;MID(IF(E22&lt;&gt;"",E22,D22),1,30)&amp;";R57="&amp;MID(C22,1,60)&amp;";R36="&amp;MID(E22,1,30)&amp;";R43="&amp;MID(D22,1,30)</f>
        <v>R47=;R57=;R36=;R43=</v>
      </c>
      <c r="B22" s="1564"/>
      <c r="C22" s="156"/>
      <c r="D22" s="92"/>
      <c r="E22" s="92"/>
      <c r="F22" s="149"/>
      <c r="G22" s="149"/>
      <c r="I22" s="2038" t="b">
        <f t="shared" ref="I22" si="19">IF(C22&gt;0,OR(AND($D22&lt;&gt;"",$E22=""),AND($D22="",$E22&lt;&gt;""),AND($D22&lt;&gt;"",$E22&lt;&gt;"")),TRUE)</f>
        <v>1</v>
      </c>
      <c r="J22" s="2232" t="b">
        <f>NOT(OR(TEXT(E22,"#")="10011",TEXT(E22,"#")="10015",TEXT(E22,"#")="10000",D22="Внешние контрагенты",D22="Гос.контракты",IFERROR(VLOOKUP(I16,Список_компаний!A:D,3,0)=E22,FALSE),IFERROR(VLOOKUP(I16,Список_компаний!A:D,2,0)=D22,FALSE)))</f>
        <v>1</v>
      </c>
      <c r="K22" s="2232" t="b">
        <f t="shared" si="3"/>
        <v>1</v>
      </c>
    </row>
    <row r="23" spans="1:11" s="2732" customFormat="1">
      <c r="A23" s="2427" t="str">
        <f t="shared" ref="A23" si="20">"R47="&amp;MID(IF(E23&lt;&gt;"",E23,D23),1,30)&amp;";R57="&amp;MID(C23,1,60)&amp;";R36="&amp;MID(E23,1,30)&amp;";R43="&amp;MID(D23,1,30)</f>
        <v>R47=;R57=;R36=;R43=</v>
      </c>
      <c r="B23" s="1564"/>
      <c r="C23" s="156"/>
      <c r="D23" s="92"/>
      <c r="E23" s="92"/>
      <c r="F23" s="149"/>
      <c r="G23" s="149"/>
      <c r="I23" s="2038" t="b">
        <f t="shared" ref="I23" si="21">IF(C23&gt;0,OR(AND($D23&lt;&gt;"",$E23=""),AND($D23="",$E23&lt;&gt;""),AND($D23&lt;&gt;"",$E23&lt;&gt;"")),TRUE)</f>
        <v>1</v>
      </c>
      <c r="J23" s="2232" t="b">
        <f>NOT(OR(TEXT(E23,"#")="10011",TEXT(E23,"#")="10015",TEXT(E23,"#")="10000",D23="Внешние контрагенты",D23="Гос.контракты",IFERROR(VLOOKUP(I17,Список_компаний!A:D,3,0)=E23,FALSE),IFERROR(VLOOKUP(I17,Список_компаний!A:D,2,0)=D23,FALSE)))</f>
        <v>1</v>
      </c>
      <c r="K23" s="2232" t="b">
        <f t="shared" si="3"/>
        <v>1</v>
      </c>
    </row>
    <row r="24" spans="1:11" s="2732" customFormat="1" ht="15" thickBot="1">
      <c r="A24" s="2427" t="str">
        <f t="shared" ref="A24" si="22">"R47="&amp;MID(IF(E24&lt;&gt;"",E24,D24),1,30)&amp;";R57="&amp;MID(C24,1,60)&amp;";R36="&amp;MID(E24,1,30)&amp;";R43="&amp;MID(D24,1,30)</f>
        <v>R47=;R57=;R36=;R43=</v>
      </c>
      <c r="B24" s="1564"/>
      <c r="C24" s="157"/>
      <c r="D24" s="93"/>
      <c r="E24" s="93"/>
      <c r="F24" s="150"/>
      <c r="G24" s="150"/>
      <c r="I24" s="2038" t="b">
        <f t="shared" ref="I24" si="23">IF(C24&gt;0,OR(AND($D24&lt;&gt;"",$E24=""),AND($D24="",$E24&lt;&gt;""),AND($D24&lt;&gt;"",$E24&lt;&gt;"")),TRUE)</f>
        <v>1</v>
      </c>
      <c r="J24" s="2232" t="b">
        <f>NOT(OR(TEXT(E24,"#")="10011",TEXT(E24,"#")="10015",TEXT(E24,"#")="10000",D24="Внешние контрагенты",D24="Гос.контракты",IFERROR(VLOOKUP(I18,Список_компаний!A:D,3,0)=E24,FALSE),IFERROR(VLOOKUP(I18,Список_компаний!A:D,2,0)=D24,FALSE)))</f>
        <v>1</v>
      </c>
      <c r="K24" s="2232" t="b">
        <f t="shared" si="3"/>
        <v>1</v>
      </c>
    </row>
  </sheetData>
  <sheetProtection algorithmName="SHA-512" hashValue="mSv2YZLWpeCoSUTVp6Gy/1a78EYGtoof/64D8YIVjQgpKxTexFNAWTJTbudmazX829WpLGRHttVRWxq4Cu6ptw==" saltValue="fTPdEt4VPCeYT1X85jtUQw==" spinCount="100000" sheet="1" objects="1" scenarios="1" formatColumns="0" formatRows="0" autoFilter="0"/>
  <autoFilter ref="C6:G6"/>
  <customSheetViews>
    <customSheetView guid="{3769259D-9653-4B34-A2F6-4FB6F9F4E533}" showGridLines="0" showAutoFilter="1" hiddenRows="1" hiddenColumns="1">
      <pane xSplit="4" ySplit="6" topLeftCell="E7" activePane="bottomRight" state="frozen"/>
      <selection pane="bottomRight" activeCell="G5" sqref="G5"/>
      <pageMargins left="0.7" right="0.7" top="0.75" bottom="0.75" header="0.3" footer="0.3"/>
      <pageSetup paperSize="9" orientation="portrait" r:id="rId1"/>
      <autoFilter ref="B1:G1"/>
    </customSheetView>
    <customSheetView guid="{40D7A2BB-326C-4ED3-999C-17852F56D6F4}" showGridLines="0" showAutoFilter="1" hiddenRows="1" hiddenColumns="1">
      <pane xSplit="4" ySplit="6" topLeftCell="E7" activePane="bottomRight" state="frozen"/>
      <selection pane="bottomRight" activeCell="G5" sqref="G5"/>
      <pageMargins left="0.7" right="0.7" top="0.75" bottom="0.75" header="0.3" footer="0.3"/>
      <pageSetup paperSize="9" orientation="portrait" r:id="rId2"/>
      <autoFilter ref="B1:G1"/>
    </customSheetView>
    <customSheetView guid="{5D121940-0CE8-4A0E-A493-67FAAA6E0FF8}" showGridLines="0" showAutoFilter="1" hiddenRows="1" hiddenColumns="1" topLeftCell="B2">
      <pane xSplit="3" ySplit="7" topLeftCell="E9" activePane="bottomRight" state="frozen"/>
      <selection pane="bottomRight" activeCell="G7" sqref="G7"/>
      <pageMargins left="0.7" right="0.7" top="0.75" bottom="0.75" header="0.3" footer="0.3"/>
      <pageSetup paperSize="9" orientation="portrait" r:id="rId3"/>
      <autoFilter ref="B1:G1"/>
    </customSheetView>
    <customSheetView guid="{47AEACC4-6EA5-412C-AF39-A6C5357B313A}" showGridLines="0" showAutoFilter="1" hiddenRows="1" hiddenColumns="1" topLeftCell="B2">
      <pane xSplit="3" ySplit="7" topLeftCell="E9" activePane="bottomRight" state="frozen"/>
      <selection pane="bottomRight" activeCell="G32" sqref="G32"/>
      <pageMargins left="0.7" right="0.7" top="0.75" bottom="0.75" header="0.3" footer="0.3"/>
      <pageSetup paperSize="9" orientation="portrait" r:id="rId4"/>
      <autoFilter ref="B1:G1"/>
    </customSheetView>
    <customSheetView guid="{4D957B38-5430-481E-B791-E0A66F913B50}" scale="70">
      <selection activeCell="G24" sqref="G24"/>
      <pageMargins left="0.7" right="0.7" top="0.75" bottom="0.75" header="0.3" footer="0.3"/>
      <pageSetup paperSize="9" orientation="portrait" r:id="rId5"/>
    </customSheetView>
    <customSheetView guid="{D03DFE91-19D2-43BA-897C-B86D033537EB}" scale="70">
      <selection activeCell="C8" sqref="C8"/>
      <pageMargins left="0.7" right="0.7" top="0.75" bottom="0.75" header="0.3" footer="0.3"/>
      <pageSetup paperSize="9" orientation="portrait" r:id="rId6"/>
    </customSheetView>
    <customSheetView guid="{1C36793E-2B7E-411E-AA99-985D5D59B75A}" scale="70">
      <selection activeCell="I12" sqref="I12"/>
      <pageMargins left="0.7" right="0.7" top="0.75" bottom="0.75" header="0.3" footer="0.3"/>
      <pageSetup paperSize="9" orientation="portrait" r:id="rId7"/>
    </customSheetView>
    <customSheetView guid="{C913A9E8-661B-40A4-A3C9-1BC5F2B2E9F0}" showGridLines="0" showAutoFilter="1" hiddenRows="1" hiddenColumns="1" topLeftCell="B2">
      <pane xSplit="3" ySplit="7" topLeftCell="E9" activePane="bottomRight" state="frozen"/>
      <selection pane="bottomRight" activeCell="G7" sqref="G7"/>
      <pageMargins left="0.7" right="0.7" top="0.75" bottom="0.75" header="0.3" footer="0.3"/>
      <pageSetup paperSize="9" orientation="portrait" r:id="rId8"/>
      <autoFilter ref="B1:G1"/>
    </customSheetView>
  </customSheetViews>
  <phoneticPr fontId="0" type="noConversion"/>
  <hyperlinks>
    <hyperlink ref="F3" location="Содержание!A1" display="Содержание"/>
  </hyperlinks>
  <pageMargins left="0.70866141732283472" right="0.39370078740157483" top="0.74803149606299213" bottom="0.74803149606299213" header="0.31496062992125984" footer="0.31496062992125984"/>
  <pageSetup paperSize="9" scale="68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12" name="Button 2">
              <controlPr defaultSize="0" print="0" autoFill="0" autoPict="0" macro="[0]!AddButtonsRowAdd">
                <anchor moveWithCells="1">
                  <from>
                    <xdr:col>2</xdr:col>
                    <xdr:colOff>2051050</xdr:colOff>
                    <xdr:row>1</xdr:row>
                    <xdr:rowOff>69850</xdr:rowOff>
                  </from>
                  <to>
                    <xdr:col>3</xdr:col>
                    <xdr:colOff>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>
    <pageSetUpPr fitToPage="1"/>
  </sheetPr>
  <dimension ref="A1:L19"/>
  <sheetViews>
    <sheetView topLeftCell="A2" zoomScale="64" zoomScaleNormal="64" workbookViewId="0">
      <selection activeCell="A8" sqref="A8"/>
    </sheetView>
  </sheetViews>
  <sheetFormatPr defaultColWidth="11.453125" defaultRowHeight="14.5"/>
  <cols>
    <col min="1" max="1" width="29.81640625" style="23" customWidth="1"/>
    <col min="2" max="2" width="2.54296875" style="1564" customWidth="1"/>
    <col min="3" max="3" width="35.54296875" style="1564" customWidth="1"/>
    <col min="4" max="5" width="16.54296875" style="1163" customWidth="1"/>
    <col min="6" max="6" width="28.54296875" style="1163" customWidth="1"/>
    <col min="7" max="8" width="20.54296875" style="1163" customWidth="1"/>
    <col min="9" max="9" width="26.54296875" style="1163" customWidth="1"/>
    <col min="10" max="10" width="46.453125" style="1163" customWidth="1"/>
    <col min="11" max="11" width="28.54296875" style="1163" customWidth="1"/>
    <col min="12" max="12" width="18" style="1163" customWidth="1"/>
    <col min="13" max="16384" width="11.453125" style="1163"/>
  </cols>
  <sheetData>
    <row r="1" spans="1:12" s="104" customFormat="1" ht="17.25" hidden="1" customHeight="1">
      <c r="A1" s="70" t="s">
        <v>4298</v>
      </c>
      <c r="B1" s="6"/>
      <c r="C1" s="37"/>
      <c r="D1" s="37"/>
      <c r="E1" s="37"/>
      <c r="F1" s="37"/>
      <c r="G1" s="6" t="s">
        <v>670</v>
      </c>
      <c r="H1" s="6" t="s">
        <v>1010</v>
      </c>
      <c r="I1" s="6"/>
      <c r="J1" s="6"/>
    </row>
    <row r="2" spans="1:12" s="1778" customFormat="1">
      <c r="A2" s="7"/>
      <c r="B2" s="1925"/>
      <c r="C2" s="1925"/>
      <c r="D2" s="1925"/>
      <c r="E2" s="1925"/>
      <c r="G2" s="1778" t="s">
        <v>1648</v>
      </c>
      <c r="H2" s="1778" t="s">
        <v>1648</v>
      </c>
      <c r="I2" s="1897" t="s">
        <v>2067</v>
      </c>
      <c r="J2" s="1244">
        <f>Содержание!$D$2</f>
        <v>0</v>
      </c>
    </row>
    <row r="3" spans="1:12" ht="29.25" customHeight="1" thickBot="1">
      <c r="A3" s="9"/>
      <c r="B3" s="1163"/>
      <c r="C3" s="105" t="s">
        <v>4668</v>
      </c>
      <c r="F3"/>
      <c r="H3" s="3044" t="s">
        <v>1436</v>
      </c>
      <c r="I3" s="1897" t="s">
        <v>2075</v>
      </c>
      <c r="J3" s="1244" t="str">
        <f>Содержание!$D$15</f>
        <v>2022 год</v>
      </c>
    </row>
    <row r="4" spans="1:12" ht="78">
      <c r="A4" s="9"/>
      <c r="C4" s="85" t="s">
        <v>58</v>
      </c>
      <c r="D4" s="28" t="s">
        <v>59</v>
      </c>
      <c r="E4" s="2359" t="s">
        <v>8394</v>
      </c>
      <c r="F4" s="28" t="s">
        <v>4664</v>
      </c>
      <c r="G4" s="28" t="s">
        <v>5225</v>
      </c>
      <c r="H4" s="28" t="s">
        <v>5233</v>
      </c>
    </row>
    <row r="5" spans="1:12">
      <c r="A5" s="9"/>
      <c r="C5" s="155" t="s">
        <v>5247</v>
      </c>
      <c r="D5" s="151" t="s">
        <v>5247</v>
      </c>
      <c r="E5" s="159" t="s">
        <v>5247</v>
      </c>
      <c r="F5" s="151" t="s">
        <v>5250</v>
      </c>
      <c r="G5" s="151" t="s">
        <v>672</v>
      </c>
      <c r="H5" s="151" t="s">
        <v>673</v>
      </c>
    </row>
    <row r="6" spans="1:12" s="674" customFormat="1" ht="12.5">
      <c r="A6" s="9"/>
      <c r="B6" s="1581"/>
      <c r="C6" s="730" t="s">
        <v>4164</v>
      </c>
      <c r="D6" s="1651" t="s">
        <v>4165</v>
      </c>
      <c r="E6" s="1651" t="s">
        <v>4166</v>
      </c>
      <c r="F6" s="1651" t="s">
        <v>5500</v>
      </c>
      <c r="G6" s="1651" t="s">
        <v>4169</v>
      </c>
      <c r="H6" s="1651" t="s">
        <v>4168</v>
      </c>
      <c r="J6" s="2232" t="b">
        <f t="shared" ref="J6:K6" si="0">AND(J8:J1500)</f>
        <v>1</v>
      </c>
      <c r="K6" s="2232" t="b">
        <f t="shared" si="0"/>
        <v>1</v>
      </c>
      <c r="L6" s="2232" t="b">
        <f>AND(L8:L1500)</f>
        <v>1</v>
      </c>
    </row>
    <row r="7" spans="1:12" ht="65">
      <c r="A7" s="668"/>
      <c r="B7" s="1163"/>
      <c r="C7" s="109" t="s">
        <v>4170</v>
      </c>
      <c r="D7" s="35" t="s">
        <v>3389</v>
      </c>
      <c r="E7" s="35" t="s">
        <v>3389</v>
      </c>
      <c r="F7" s="35" t="s">
        <v>3389</v>
      </c>
      <c r="G7" s="108">
        <f>SUM(G8:G10000)</f>
        <v>0</v>
      </c>
      <c r="H7" s="108">
        <f>SUM(H8:H10000)</f>
        <v>0</v>
      </c>
      <c r="J7" s="151" t="s">
        <v>8566</v>
      </c>
      <c r="K7" s="151" t="s">
        <v>9658</v>
      </c>
      <c r="L7" s="151" t="s">
        <v>8049</v>
      </c>
    </row>
    <row r="8" spans="1:12">
      <c r="A8" s="9" t="str">
        <f>"R47="&amp;MID(IF(E8&lt;&gt;"",E8,D8),1,30)&amp;";R57="&amp;MID(C8,1,60)&amp;";R2="&amp;IFERROR(MID(F8,FIND("{",F8)+1,FIND("}",F8)-FIND("{",F8)-1),"")&amp;";R36="&amp;MID(E8,1,30)&amp;";R43="&amp;MID(D8,1,30)</f>
        <v>R47=;R57=;R2=;R36=;R43=</v>
      </c>
      <c r="B8" s="1583"/>
      <c r="C8" s="1443"/>
      <c r="D8" s="1445"/>
      <c r="E8" s="1445"/>
      <c r="F8" s="1444"/>
      <c r="G8" s="1439"/>
      <c r="H8" s="110"/>
      <c r="J8" s="2038" t="b">
        <f>IF(OR(C8&lt;&gt;0,C8&lt;&gt;""),OR(LEN(D8)&gt;3,LEN(E8)&gt;1),TRUE)</f>
        <v>1</v>
      </c>
      <c r="K8" s="2232" t="b">
        <f>NOT(OR(TEXT(E8,"#")="10011",TEXT(E8,"#")="10015",TEXT(E8,"#")="10000",D8="Внешние контрагенты",D8="Гос.контракты",IFERROR(VLOOKUP($J$2,Список_компаний!A:D,3,0)=E8,FALSE),IFERROR(VLOOKUP($J$2,Список_компаний!A:D,2,0)=OR(D8,""),FALSE)))</f>
        <v>1</v>
      </c>
      <c r="L8" s="2232" t="b">
        <f>IF(H8&lt;0,FALSE,TRUE)</f>
        <v>1</v>
      </c>
    </row>
    <row r="9" spans="1:12">
      <c r="A9" s="2427" t="str">
        <f t="shared" ref="A9:A12" si="1">"R47="&amp;MID(IF(E9&lt;&gt;"",E9,D9),1,30)&amp;";R57="&amp;MID(C9,1,60)&amp;";R2="&amp;IFERROR(MID(F9,FIND("{",F9)+1,FIND("}",F9)-FIND("{",F9)-1),"")&amp;";R36="&amp;MID(E9,1,30)&amp;";R43="&amp;MID(D9,1,30)</f>
        <v>R47=;R57=;R2=;R36=;R43=</v>
      </c>
      <c r="B9" s="1583"/>
      <c r="C9" s="1443"/>
      <c r="D9" s="1445"/>
      <c r="E9" s="1445"/>
      <c r="F9" s="1444"/>
      <c r="G9" s="1439"/>
      <c r="H9" s="110"/>
      <c r="J9" s="2038" t="b">
        <f t="shared" ref="J9:J12" si="2">IF(OR(C9&lt;&gt;0,C9&lt;&gt;""),OR(LEN(D9)&gt;3,LEN(E9)&gt;1),TRUE)</f>
        <v>1</v>
      </c>
      <c r="K9" s="2232" t="b">
        <f>NOT(OR(TEXT(E9,"#")="10011",TEXT(E9,"#")="10015",TEXT(E9,"#")="10000",D9="Внешние контрагенты",D9="Гос.контракты",IFERROR(VLOOKUP($J$2,Список_компаний!A:D,3,0)=E9,FALSE),IFERROR(VLOOKUP($J$2,Список_компаний!A:D,2,0)=OR(D9,""),FALSE)))</f>
        <v>1</v>
      </c>
      <c r="L9" s="2232" t="b">
        <f t="shared" ref="L9:L12" si="3">IF(H9&lt;0,FALSE,TRUE)</f>
        <v>1</v>
      </c>
    </row>
    <row r="10" spans="1:12">
      <c r="A10" s="2427" t="str">
        <f t="shared" si="1"/>
        <v>R47=;R57=;R2=;R36=;R43=</v>
      </c>
      <c r="B10" s="1583"/>
      <c r="C10" s="1446"/>
      <c r="D10" s="1447"/>
      <c r="E10" s="1447"/>
      <c r="F10" s="1448"/>
      <c r="G10" s="1449"/>
      <c r="H10" s="1449"/>
      <c r="J10" s="2038" t="b">
        <f t="shared" si="2"/>
        <v>1</v>
      </c>
      <c r="K10" s="2232" t="b">
        <f>NOT(OR(TEXT(E10,"#")="10011",TEXT(E10,"#")="10015",TEXT(E10,"#")="10000",D10="Внешние контрагенты",D10="Гос.контракты",IFERROR(VLOOKUP($J$2,Список_компаний!A:D,3,0)=E10,FALSE),IFERROR(VLOOKUP($J$2,Список_компаний!A:D,2,0)=OR(D10,""),FALSE)))</f>
        <v>1</v>
      </c>
      <c r="L10" s="2232" t="b">
        <f t="shared" si="3"/>
        <v>1</v>
      </c>
    </row>
    <row r="11" spans="1:12">
      <c r="A11" s="2427" t="str">
        <f t="shared" si="1"/>
        <v>R47=;R57=;R2=;R36=;R43=</v>
      </c>
      <c r="B11" s="1583"/>
      <c r="C11" s="1446"/>
      <c r="D11" s="1447"/>
      <c r="E11" s="1447"/>
      <c r="F11" s="1448"/>
      <c r="G11" s="1449"/>
      <c r="H11" s="1449"/>
      <c r="J11" s="2038" t="b">
        <f t="shared" si="2"/>
        <v>1</v>
      </c>
      <c r="K11" s="2232" t="b">
        <f>NOT(OR(TEXT(E11,"#")="10011",TEXT(E11,"#")="10015",TEXT(E11,"#")="10000",D11="Внешние контрагенты",D11="Гос.контракты",IFERROR(VLOOKUP($J$2,Список_компаний!A:D,3,0)=E11,FALSE),IFERROR(VLOOKUP($J$2,Список_компаний!A:D,2,0)=OR(D11,""),FALSE)))</f>
        <v>1</v>
      </c>
      <c r="L11" s="2232" t="b">
        <f t="shared" si="3"/>
        <v>1</v>
      </c>
    </row>
    <row r="12" spans="1:12" s="2732" customFormat="1">
      <c r="A12" s="2427" t="str">
        <f t="shared" si="1"/>
        <v>R47=;R57=;R2=;R36=;R43=</v>
      </c>
      <c r="B12" s="1583"/>
      <c r="C12" s="1446"/>
      <c r="D12" s="1447"/>
      <c r="E12" s="1447"/>
      <c r="F12" s="1448"/>
      <c r="G12" s="1449"/>
      <c r="H12" s="1449"/>
      <c r="J12" s="2038" t="b">
        <f t="shared" si="2"/>
        <v>1</v>
      </c>
      <c r="K12" s="2232" t="b">
        <f>NOT(OR(TEXT(E12,"#")="10011",TEXT(E12,"#")="10015",TEXT(E12,"#")="10000",D12="Внешние контрагенты",D12="Гос.контракты",IFERROR(VLOOKUP($J$2,Список_компаний!A:D,3,0)=E12,FALSE),IFERROR(VLOOKUP($J$2,Список_компаний!A:D,2,0)=OR(D12,""),FALSE)))</f>
        <v>1</v>
      </c>
      <c r="L12" s="2232" t="b">
        <f t="shared" si="3"/>
        <v>1</v>
      </c>
    </row>
    <row r="13" spans="1:12" s="2732" customFormat="1" ht="15" thickBot="1">
      <c r="A13" s="2427" t="str">
        <f t="shared" ref="A13" si="4">"R47="&amp;MID(IF(E13&lt;&gt;"",E13,D13),1,30)&amp;";R57="&amp;MID(C13,1,60)&amp;";R2="&amp;IFERROR(MID(F13,FIND("{",F13)+1,FIND("}",F13)-FIND("{",F13)-1),"")&amp;";R36="&amp;MID(E13,1,30)&amp;";R43="&amp;MID(D13,1,30)</f>
        <v>R47=;R57=;R2=;R36=;R43=</v>
      </c>
      <c r="B13" s="1583"/>
      <c r="C13" s="459"/>
      <c r="D13" s="457"/>
      <c r="E13" s="457"/>
      <c r="F13" s="458"/>
      <c r="G13" s="2184"/>
      <c r="H13" s="2184"/>
      <c r="J13" s="2038" t="b">
        <f t="shared" ref="J13" si="5">IF(OR(C13&lt;&gt;0,C13&lt;&gt;""),OR(LEN(D13)&gt;3,LEN(E13)&gt;1),TRUE)</f>
        <v>1</v>
      </c>
      <c r="K13" s="2232" t="b">
        <f>NOT(OR(TEXT(E13,"#")="10011",TEXT(E13,"#")="10015",TEXT(E13,"#")="10000",D13="Внешние контрагенты",D13="Гос.контракты",IFERROR(VLOOKUP($J$2,Список_компаний!A:D,3,0)=E13,FALSE),IFERROR(VLOOKUP($J$2,Список_компаний!A:D,2,0)=OR(D13,""),FALSE)))</f>
        <v>1</v>
      </c>
      <c r="L13" s="2232" t="b">
        <f t="shared" ref="L13" si="6">IF(H13&lt;0,FALSE,TRUE)</f>
        <v>1</v>
      </c>
    </row>
    <row r="14" spans="1:12">
      <c r="A14" s="1564"/>
      <c r="C14" s="1163"/>
      <c r="K14" s="2232"/>
    </row>
    <row r="15" spans="1:12">
      <c r="A15" s="1564"/>
      <c r="C15" s="1163"/>
    </row>
    <row r="16" spans="1:12">
      <c r="A16" s="1564"/>
      <c r="C16" s="1163"/>
    </row>
    <row r="17" spans="1:3">
      <c r="A17" s="1564"/>
      <c r="C17" s="1163"/>
    </row>
    <row r="18" spans="1:3">
      <c r="A18" s="1564"/>
      <c r="C18" s="1163"/>
    </row>
    <row r="19" spans="1:3">
      <c r="A19" s="1564"/>
      <c r="C19" s="1163"/>
    </row>
  </sheetData>
  <sheetProtection algorithmName="SHA-512" hashValue="ziWZOcJjmHE++rXY2tCr+WmPMbjsGcgA96zZdpxng1t2txF0oIji4j/UKnH5N4SyxQ8jdTZZt9kjp+/GEB7ROQ==" saltValue="sWXBmGDBwJiA3KcLDGGxCQ==" spinCount="100000" sheet="1" objects="1" scenarios="1" formatColumns="0" formatRows="0" autoFilter="0"/>
  <autoFilter ref="C6:H6"/>
  <customSheetViews>
    <customSheetView guid="{3769259D-9653-4B34-A2F6-4FB6F9F4E533}" showGridLines="0" showAutoFilter="1" hiddenRows="1" hiddenColumns="1">
      <pane xSplit="5" ySplit="6" topLeftCell="F7" activePane="bottomRight" state="frozen"/>
      <selection pane="bottomRight" activeCell="H5" sqref="H5"/>
      <pageMargins left="0.7" right="0.7" top="0.75" bottom="0.75" header="0.3" footer="0.3"/>
      <autoFilter ref="B1:H1"/>
    </customSheetView>
    <customSheetView guid="{40D7A2BB-326C-4ED3-999C-17852F56D6F4}" showGridLines="0" showAutoFilter="1" hiddenRows="1" hiddenColumns="1">
      <pane xSplit="5" ySplit="6" topLeftCell="F7" activePane="bottomRight" state="frozen"/>
      <selection pane="bottomRight" activeCell="H5" sqref="H5"/>
      <pageMargins left="0.7" right="0.7" top="0.75" bottom="0.75" header="0.3" footer="0.3"/>
      <autoFilter ref="B1:H1"/>
    </customSheetView>
    <customSheetView guid="{5D121940-0CE8-4A0E-A493-67FAAA6E0FF8}" showGridLines="0" showAutoFilter="1" hiddenRows="1" hiddenColumns="1" topLeftCell="B2">
      <pane xSplit="4" ySplit="6" topLeftCell="H8" activePane="bottomRight" state="frozen"/>
      <selection pane="bottomRight" activeCell="H6" sqref="H6"/>
      <pageMargins left="0.7" right="0.7" top="0.75" bottom="0.75" header="0.3" footer="0.3"/>
      <autoFilter ref="B1:H1"/>
    </customSheetView>
    <customSheetView guid="{47AEACC4-6EA5-412C-AF39-A6C5357B313A}" showGridLines="0" showAutoFilter="1" hiddenRows="1" hiddenColumns="1" topLeftCell="B2">
      <pane xSplit="4" ySplit="6" topLeftCell="F8" activePane="bottomRight" state="frozen"/>
      <selection pane="bottomRight" activeCell="H31" sqref="H31"/>
      <pageMargins left="0.7" right="0.7" top="0.75" bottom="0.75" header="0.3" footer="0.3"/>
      <autoFilter ref="B1:H1"/>
    </customSheetView>
    <customSheetView guid="{4D957B38-5430-481E-B791-E0A66F913B50}" scale="70" topLeftCell="B1">
      <selection activeCell="I10" sqref="I10"/>
      <pageMargins left="0.7" right="0.7" top="0.75" bottom="0.75" header="0.3" footer="0.3"/>
    </customSheetView>
    <customSheetView guid="{D03DFE91-19D2-43BA-897C-B86D033537EB}" scale="70">
      <selection activeCell="C8" sqref="C8"/>
      <pageMargins left="0.7" right="0.7" top="0.75" bottom="0.75" header="0.3" footer="0.3"/>
    </customSheetView>
    <customSheetView guid="{1C36793E-2B7E-411E-AA99-985D5D59B75A}" scale="70">
      <selection activeCell="I12" sqref="I12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4" ySplit="6" topLeftCell="H8" activePane="bottomRight" state="frozen"/>
      <selection pane="bottomRight" activeCell="H6" sqref="H6"/>
      <pageMargins left="0.7" right="0.7" top="0.75" bottom="0.75" header="0.3" footer="0.3"/>
      <autoFilter ref="B1:H1"/>
    </customSheetView>
  </customSheetViews>
  <phoneticPr fontId="0" type="noConversion"/>
  <dataValidations count="1">
    <dataValidation type="list" operator="equal" allowBlank="1" showErrorMessage="1" errorTitle="Выбор элемента списка" error="Данного элемента нет в списке" sqref="F8:F13">
      <formula1>_6003</formula1>
    </dataValidation>
  </dataValidations>
  <hyperlinks>
    <hyperlink ref="H3" location="Содержание!A1" display="Содержание"/>
  </hyperlinks>
  <pageMargins left="0.70866141732283472" right="0.35433070866141736" top="0.74803149606299213" bottom="0.74803149606299213" header="0.31496062992125984" footer="0.31496062992125984"/>
  <pageSetup paperSize="9" scale="5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AddButtonsRowAdd">
                <anchor moveWithCells="1">
                  <from>
                    <xdr:col>2</xdr:col>
                    <xdr:colOff>1936750</xdr:colOff>
                    <xdr:row>1</xdr:row>
                    <xdr:rowOff>107950</xdr:rowOff>
                  </from>
                  <to>
                    <xdr:col>3</xdr:col>
                    <xdr:colOff>984250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5" name="Button 9">
              <controlPr defaultSize="0" print="0" autoFill="0" autoPict="0" macro="[0]!AddButtonsRowAdd">
                <anchor moveWithCells="1">
                  <from>
                    <xdr:col>2</xdr:col>
                    <xdr:colOff>1936750</xdr:colOff>
                    <xdr:row>1</xdr:row>
                    <xdr:rowOff>107950</xdr:rowOff>
                  </from>
                  <to>
                    <xdr:col>3</xdr:col>
                    <xdr:colOff>984250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3">
    <pageSetUpPr fitToPage="1"/>
  </sheetPr>
  <dimension ref="A1:N15"/>
  <sheetViews>
    <sheetView topLeftCell="B2" zoomScale="85" zoomScaleNormal="85" workbookViewId="0">
      <selection activeCell="D6" sqref="D6"/>
    </sheetView>
  </sheetViews>
  <sheetFormatPr defaultColWidth="11.453125" defaultRowHeight="14.5"/>
  <cols>
    <col min="1" max="1" width="30.54296875" style="23" hidden="1" customWidth="1"/>
    <col min="2" max="2" width="3.453125" style="1564" customWidth="1"/>
    <col min="3" max="3" width="24.54296875" style="1564" customWidth="1"/>
    <col min="4" max="4" width="32.54296875" style="1163" customWidth="1"/>
    <col min="5" max="6" width="20.54296875" style="1163" customWidth="1"/>
    <col min="7" max="7" width="23.453125" style="1163" customWidth="1"/>
    <col min="8" max="9" width="20.54296875" style="1163" customWidth="1"/>
    <col min="10" max="10" width="20.54296875" style="2732" customWidth="1"/>
    <col min="11" max="11" width="25.54296875" style="1163" customWidth="1"/>
    <col min="12" max="12" width="50.54296875" style="1163" customWidth="1"/>
    <col min="13" max="13" width="23.453125" style="1163" customWidth="1"/>
    <col min="14" max="16384" width="11.453125" style="1163"/>
  </cols>
  <sheetData>
    <row r="1" spans="1:14" s="104" customFormat="1" ht="21" hidden="1" customHeight="1">
      <c r="A1" s="70" t="s">
        <v>4300</v>
      </c>
      <c r="B1" s="6"/>
      <c r="C1" s="6"/>
      <c r="D1" s="6"/>
      <c r="E1" s="6"/>
      <c r="F1" s="6"/>
      <c r="G1" s="6"/>
      <c r="H1" s="6" t="s">
        <v>670</v>
      </c>
      <c r="I1" s="6" t="s">
        <v>1010</v>
      </c>
      <c r="J1" s="2438"/>
      <c r="K1" s="6"/>
      <c r="L1" s="37"/>
    </row>
    <row r="2" spans="1:14" s="1778" customFormat="1">
      <c r="A2" s="741"/>
      <c r="B2" s="1925"/>
      <c r="C2" s="1925"/>
      <c r="D2" s="1925"/>
      <c r="E2" s="1925"/>
      <c r="F2" s="1925"/>
      <c r="H2" s="1778" t="s">
        <v>1648</v>
      </c>
      <c r="I2" s="1778" t="s">
        <v>1648</v>
      </c>
      <c r="K2" s="1897" t="s">
        <v>2067</v>
      </c>
      <c r="L2" s="1244">
        <f>Содержание!$D$2</f>
        <v>0</v>
      </c>
    </row>
    <row r="3" spans="1:14" ht="38.25" customHeight="1" thickBot="1">
      <c r="A3" s="9"/>
      <c r="B3" s="1163"/>
      <c r="C3" s="105" t="s">
        <v>4671</v>
      </c>
      <c r="E3"/>
      <c r="F3" s="2358"/>
      <c r="G3" s="3044" t="s">
        <v>1436</v>
      </c>
      <c r="K3" s="1897" t="s">
        <v>2075</v>
      </c>
      <c r="L3" s="1244" t="str">
        <f>Содержание!$D$15</f>
        <v>2022 год</v>
      </c>
    </row>
    <row r="4" spans="1:14" ht="65">
      <c r="A4" s="9"/>
      <c r="B4" s="1163"/>
      <c r="C4" s="85" t="s">
        <v>4672</v>
      </c>
      <c r="D4" s="28" t="s">
        <v>58</v>
      </c>
      <c r="E4" s="28" t="s">
        <v>59</v>
      </c>
      <c r="F4" s="2359" t="s">
        <v>8394</v>
      </c>
      <c r="G4" s="28" t="s">
        <v>4664</v>
      </c>
      <c r="H4" s="28" t="s">
        <v>5225</v>
      </c>
      <c r="I4" s="28" t="s">
        <v>5233</v>
      </c>
      <c r="J4" s="2748" t="s">
        <v>8127</v>
      </c>
    </row>
    <row r="5" spans="1:14" ht="36" customHeight="1">
      <c r="A5" s="9"/>
      <c r="B5" s="1163"/>
      <c r="C5" s="155" t="s">
        <v>2998</v>
      </c>
      <c r="D5" s="151" t="s">
        <v>5247</v>
      </c>
      <c r="E5" s="151" t="s">
        <v>5247</v>
      </c>
      <c r="F5" s="159" t="s">
        <v>5247</v>
      </c>
      <c r="G5" s="151" t="s">
        <v>5250</v>
      </c>
      <c r="H5" s="151" t="s">
        <v>672</v>
      </c>
      <c r="I5" s="151" t="s">
        <v>673</v>
      </c>
      <c r="J5" s="151"/>
      <c r="K5" s="151" t="s">
        <v>8128</v>
      </c>
    </row>
    <row r="6" spans="1:14" s="674" customFormat="1" ht="24.75" customHeight="1">
      <c r="A6" s="668"/>
      <c r="B6" s="1640"/>
      <c r="C6" s="1646" t="s">
        <v>4164</v>
      </c>
      <c r="D6" s="1651" t="s">
        <v>4165</v>
      </c>
      <c r="E6" s="1651" t="s">
        <v>4166</v>
      </c>
      <c r="F6" s="1651" t="s">
        <v>5500</v>
      </c>
      <c r="G6" s="1651" t="s">
        <v>4169</v>
      </c>
      <c r="H6" s="1651" t="s">
        <v>4168</v>
      </c>
      <c r="I6" s="1651" t="s">
        <v>4178</v>
      </c>
      <c r="J6" s="1651" t="s">
        <v>4179</v>
      </c>
      <c r="L6" s="2232" t="b">
        <f t="shared" ref="L6:M6" si="0">AND(L8:L1500)</f>
        <v>1</v>
      </c>
      <c r="M6" s="2232" t="b">
        <f t="shared" si="0"/>
        <v>1</v>
      </c>
      <c r="N6" s="2232" t="b">
        <f>AND(N8:N1500)</f>
        <v>1</v>
      </c>
    </row>
    <row r="7" spans="1:14" ht="65">
      <c r="A7" s="9"/>
      <c r="C7" s="106" t="s">
        <v>4170</v>
      </c>
      <c r="D7" s="35" t="s">
        <v>3389</v>
      </c>
      <c r="E7" s="35" t="s">
        <v>3389</v>
      </c>
      <c r="F7" s="35" t="s">
        <v>3389</v>
      </c>
      <c r="G7" s="35" t="s">
        <v>3389</v>
      </c>
      <c r="H7" s="108">
        <f>SUM(H8:H10002)</f>
        <v>0</v>
      </c>
      <c r="I7" s="108">
        <f>SUM(I8:I10002)</f>
        <v>0</v>
      </c>
      <c r="J7" s="35" t="s">
        <v>3389</v>
      </c>
      <c r="K7" s="2038" t="b">
        <f>AND(K8:K1000)</f>
        <v>1</v>
      </c>
      <c r="L7" s="151" t="s">
        <v>8567</v>
      </c>
      <c r="M7" s="151" t="s">
        <v>9658</v>
      </c>
      <c r="N7" s="151" t="s">
        <v>8049</v>
      </c>
    </row>
    <row r="8" spans="1:14">
      <c r="A8" s="9" t="str">
        <f>"R5="&amp;IFERROR(MID(C8,FIND("{",C8)+1,FIND("}",C8)-FIND("{",C8)-1),"")&amp;";R47="&amp;MID(IF(F8&lt;&gt;"",F8,E8),1,30)&amp;";R57="&amp;MID(D8,1,60)&amp;";R2="&amp;IFERROR(MID(G8,FIND("{",G8)+1,FIND("}",G8)-FIND("{",G8)-1),"")&amp;";R36="&amp;MID(F8,1,30)&amp;";R43="&amp;MID(E8,1,30)&amp;";COM="&amp;J8</f>
        <v>R5=;R47=;R57=;R2=;R36=;R43=;COM=</v>
      </c>
      <c r="C8" s="1443"/>
      <c r="D8" s="1454"/>
      <c r="E8" s="1445"/>
      <c r="F8" s="1445"/>
      <c r="G8" s="1455"/>
      <c r="H8" s="1439"/>
      <c r="I8" s="110"/>
      <c r="J8" s="1439"/>
      <c r="K8" s="2038" t="b">
        <f>IF(C8="{4} Прочие",IF(J8&lt;&gt;"",TRUE,FALSE),TRUE)</f>
        <v>1</v>
      </c>
      <c r="L8" s="2038" t="b">
        <f>IF(OR(D8&lt;&gt;0,D8&lt;&gt;""),OR(LEN(E8)&gt;3,LEN(F8)&gt;1),TRUE)</f>
        <v>1</v>
      </c>
      <c r="M8" s="2232" t="b">
        <f>NOT(OR(TEXT(F8,"#")="10011",TEXT(F8,"#")="10015",TEXT(F8,"#")="10000",E8="Внешние контрагенты",E8="Гос.контракты",IFERROR(VLOOKUP($L$2,Список_компаний!A:D,3,0)=F8,FALSE),IFERROR(VLOOKUP($L$2,Список_компаний!A:D,2,0)=OR(E8,""),FALSE)))</f>
        <v>1</v>
      </c>
      <c r="N8" s="2232" t="b">
        <f>IF(I8&lt;0,FALSE,TRUE)</f>
        <v>1</v>
      </c>
    </row>
    <row r="9" spans="1:14">
      <c r="A9" s="2427" t="str">
        <f t="shared" ref="A9:A14" si="1">"R5="&amp;IFERROR(MID(C9,FIND("{",C9)+1,FIND("}",C9)-FIND("{",C9)-1),"")&amp;";R47="&amp;MID(IF(F9&lt;&gt;"",F9,E9),1,30)&amp;";R57="&amp;MID(D9,1,60)&amp;";R2="&amp;IFERROR(MID(G9,FIND("{",G9)+1,FIND("}",G9)-FIND("{",G9)-1),"")&amp;";R36="&amp;MID(F9,1,30)&amp;";R43="&amp;MID(E9,1,30)&amp;";COM="&amp;J9</f>
        <v>R5=;R47=;R57=;R2=;R36=;R43=;COM=</v>
      </c>
      <c r="C9" s="1443"/>
      <c r="D9" s="1454"/>
      <c r="E9" s="1445"/>
      <c r="F9" s="1445"/>
      <c r="G9" s="1455"/>
      <c r="H9" s="110"/>
      <c r="I9" s="110"/>
      <c r="J9" s="1439"/>
      <c r="K9" s="2038" t="b">
        <f t="shared" ref="K9:K13" si="2">IF(C9="{4} Прочие",IF(J9&lt;&gt;"",TRUE,FALSE),TRUE)</f>
        <v>1</v>
      </c>
      <c r="L9" s="2038" t="b">
        <f t="shared" ref="L9:L14" si="3">IF(OR(D9&lt;&gt;0,D9&lt;&gt;""),OR(LEN(E9)&gt;3,LEN(F9)&gt;1),TRUE)</f>
        <v>1</v>
      </c>
      <c r="M9" s="2232" t="b">
        <f>NOT(OR(TEXT(F9,"#")="10011",TEXT(F9,"#")="10015",TEXT(F9,"#")="10000",E9="Внешние контрагенты",E9="Гос.контракты",IFERROR(VLOOKUP($L$2,Список_компаний!A:D,3,0)=F9,FALSE),IFERROR(VLOOKUP($L$2,Список_компаний!A:D,2,0)=OR(E9,""),FALSE)))</f>
        <v>1</v>
      </c>
      <c r="N9" s="2232" t="b">
        <f t="shared" ref="N9:N14" si="4">IF(I9&lt;0,FALSE,TRUE)</f>
        <v>1</v>
      </c>
    </row>
    <row r="10" spans="1:14">
      <c r="A10" s="2427" t="str">
        <f t="shared" si="1"/>
        <v>R5=;R47=;R57=;R2=;R36=;R43=;COM=</v>
      </c>
      <c r="C10" s="1443"/>
      <c r="D10" s="1454"/>
      <c r="E10" s="1445"/>
      <c r="F10" s="1445"/>
      <c r="G10" s="1455"/>
      <c r="H10" s="110"/>
      <c r="I10" s="110"/>
      <c r="J10" s="1439"/>
      <c r="K10" s="2038" t="b">
        <f t="shared" si="2"/>
        <v>1</v>
      </c>
      <c r="L10" s="2038" t="b">
        <f t="shared" si="3"/>
        <v>1</v>
      </c>
      <c r="M10" s="2232" t="b">
        <f>NOT(OR(TEXT(F10,"#")="10011",TEXT(F10,"#")="10015",TEXT(F10,"#")="10000",E10="Внешние контрагенты",E10="Гос.контракты",IFERROR(VLOOKUP($L$2,Список_компаний!A:D,3,0)=F10,FALSE),IFERROR(VLOOKUP($L$2,Список_компаний!A:D,2,0)=OR(E10,""),FALSE)))</f>
        <v>1</v>
      </c>
      <c r="N10" s="2232" t="b">
        <f t="shared" si="4"/>
        <v>1</v>
      </c>
    </row>
    <row r="11" spans="1:14">
      <c r="A11" s="2427" t="str">
        <f t="shared" si="1"/>
        <v>R5=;R47=;R57=;R2=;R36=;R43=;COM=</v>
      </c>
      <c r="C11" s="1450"/>
      <c r="D11" s="1451"/>
      <c r="E11" s="1452"/>
      <c r="F11" s="1452"/>
      <c r="G11" s="1453"/>
      <c r="H11" s="1449"/>
      <c r="I11" s="1449"/>
      <c r="J11" s="1449"/>
      <c r="K11" s="2038" t="b">
        <f t="shared" si="2"/>
        <v>1</v>
      </c>
      <c r="L11" s="2038" t="b">
        <f t="shared" si="3"/>
        <v>1</v>
      </c>
      <c r="M11" s="2232" t="b">
        <f>NOT(OR(TEXT(F11,"#")="10011",TEXT(F11,"#")="10015",TEXT(F11,"#")="10000",E11="Внешние контрагенты",E11="Гос.контракты",IFERROR(VLOOKUP($L$2,Список_компаний!A:D,3,0)=F11,FALSE),IFERROR(VLOOKUP($L$2,Список_компаний!A:D,2,0)=OR(E11,""),FALSE)))</f>
        <v>1</v>
      </c>
      <c r="N11" s="2232" t="b">
        <f t="shared" si="4"/>
        <v>1</v>
      </c>
    </row>
    <row r="12" spans="1:14">
      <c r="A12" s="2427" t="str">
        <f t="shared" si="1"/>
        <v>R5=;R47=;R57=;R2=;R36=;R43=;COM=</v>
      </c>
      <c r="C12" s="1450"/>
      <c r="D12" s="1451"/>
      <c r="E12" s="1452"/>
      <c r="F12" s="1452"/>
      <c r="G12" s="1453"/>
      <c r="H12" s="1449"/>
      <c r="I12" s="1449"/>
      <c r="J12" s="1449"/>
      <c r="K12" s="2038" t="b">
        <f t="shared" si="2"/>
        <v>1</v>
      </c>
      <c r="L12" s="2038" t="b">
        <f t="shared" si="3"/>
        <v>1</v>
      </c>
      <c r="M12" s="2232" t="b">
        <f>NOT(OR(TEXT(F12,"#")="10011",TEXT(F12,"#")="10015",TEXT(F12,"#")="10000",E12="Внешние контрагенты",E12="Гос.контракты",IFERROR(VLOOKUP($L$2,Список_компаний!A:D,3,0)=F12,FALSE),IFERROR(VLOOKUP($L$2,Список_компаний!A:D,2,0)=OR(E12,""),FALSE)))</f>
        <v>1</v>
      </c>
      <c r="N12" s="2232" t="b">
        <f t="shared" si="4"/>
        <v>1</v>
      </c>
    </row>
    <row r="13" spans="1:14" s="2732" customFormat="1">
      <c r="A13" s="2427" t="str">
        <f t="shared" si="1"/>
        <v>R5=;R47=;R57=;R2=;R36=;R43=;COM=</v>
      </c>
      <c r="B13" s="1564"/>
      <c r="C13" s="1450"/>
      <c r="D13" s="1451"/>
      <c r="E13" s="1452"/>
      <c r="F13" s="1452"/>
      <c r="G13" s="1453"/>
      <c r="H13" s="1449"/>
      <c r="I13" s="1449"/>
      <c r="J13" s="1449"/>
      <c r="K13" s="2038" t="b">
        <f t="shared" si="2"/>
        <v>1</v>
      </c>
      <c r="L13" s="2038" t="b">
        <f t="shared" si="3"/>
        <v>1</v>
      </c>
      <c r="M13" s="2232" t="b">
        <f>NOT(OR(TEXT(F13,"#")="10011",TEXT(F13,"#")="10015",TEXT(F13,"#")="10000",E13="Внешние контрагенты",E13="Гос.контракты",IFERROR(VLOOKUP($L$2,Список_компаний!A:D,3,0)=F13,FALSE),IFERROR(VLOOKUP($L$2,Список_компаний!A:D,2,0)=OR(E13,""),FALSE)))</f>
        <v>1</v>
      </c>
      <c r="N13" s="2232" t="b">
        <f t="shared" si="4"/>
        <v>1</v>
      </c>
    </row>
    <row r="14" spans="1:14" s="2732" customFormat="1" ht="15" thickBot="1">
      <c r="A14" s="2427" t="str">
        <f t="shared" si="1"/>
        <v>R5=;R47=;R57=;R2=;R36=;R43=;COM=</v>
      </c>
      <c r="B14" s="1564"/>
      <c r="C14" s="160"/>
      <c r="D14" s="161"/>
      <c r="E14" s="880"/>
      <c r="F14" s="880"/>
      <c r="G14" s="163"/>
      <c r="H14" s="2184"/>
      <c r="I14" s="2184"/>
      <c r="J14" s="2184"/>
      <c r="K14" s="2038" t="b">
        <f t="shared" ref="K14" si="5">IF(C14="{4} Прочие",IF(J14&lt;&gt;"",TRUE,FALSE),TRUE)</f>
        <v>1</v>
      </c>
      <c r="L14" s="2038" t="b">
        <f t="shared" si="3"/>
        <v>1</v>
      </c>
      <c r="M14" s="2232" t="b">
        <f>NOT(OR(TEXT(F14,"#")="10011",TEXT(F14,"#")="10015",TEXT(F14,"#")="10000",E14="Внешние контрагенты",E14="Гос.контракты",IFERROR(VLOOKUP($L$2,Список_компаний!A:D,3,0)=F14,FALSE),IFERROR(VLOOKUP($L$2,Список_компаний!A:D,2,0)=OR(E14,""),FALSE)))</f>
        <v>1</v>
      </c>
      <c r="N14" s="2232" t="b">
        <f t="shared" si="4"/>
        <v>1</v>
      </c>
    </row>
    <row r="15" spans="1:14">
      <c r="A15" s="1564"/>
      <c r="C15" s="1163"/>
    </row>
  </sheetData>
  <sheetProtection algorithmName="SHA-512" hashValue="9VcXgNXx292AqVrogrzKenXKK3l0Q3/u8YLKYpGH4eR2QqChGl76w95SoxWHlyV7GuQXJPrNUZrQkyz3T05VEQ==" saltValue="x1Bo0nF3wuFVBdgzCsOjHg==" spinCount="100000" sheet="1" objects="1" scenarios="1" formatColumns="0" formatRows="0" autoFilter="0"/>
  <autoFilter ref="C6:J6"/>
  <customSheetViews>
    <customSheetView guid="{3769259D-9653-4B34-A2F6-4FB6F9F4E533}" showGridLines="0" showAutoFilter="1" hiddenRows="1" hiddenColumns="1">
      <pane xSplit="6" ySplit="6" topLeftCell="G7" activePane="bottomRight" state="frozen"/>
      <selection pane="bottomRight" activeCell="I5" sqref="I5"/>
      <pageMargins left="0.7" right="0.7" top="0.75" bottom="0.75" header="0.3" footer="0.3"/>
      <pageSetup paperSize="9" orientation="portrait" r:id="rId1"/>
      <autoFilter ref="B1:I1"/>
    </customSheetView>
    <customSheetView guid="{40D7A2BB-326C-4ED3-999C-17852F56D6F4}" showGridLines="0" showAutoFilter="1" hiddenRows="1" hiddenColumns="1">
      <pane xSplit="6" ySplit="6" topLeftCell="G7" activePane="bottomRight" state="frozen"/>
      <selection pane="bottomRight" activeCell="I5" sqref="I5"/>
      <pageMargins left="0.7" right="0.7" top="0.75" bottom="0.75" header="0.3" footer="0.3"/>
      <pageSetup paperSize="9" orientation="portrait" r:id="rId2"/>
      <autoFilter ref="B1:I1"/>
    </customSheetView>
    <customSheetView guid="{5D121940-0CE8-4A0E-A493-67FAAA6E0FF8}" showGridLines="0" showAutoFilter="1" hiddenRows="1" hiddenColumns="1" topLeftCell="B2">
      <pane xSplit="5" ySplit="7" topLeftCell="I9" activePane="bottomRight" state="frozen"/>
      <selection pane="bottomRight" activeCell="I7" sqref="I7"/>
      <pageMargins left="0.7" right="0.7" top="0.75" bottom="0.75" header="0.3" footer="0.3"/>
      <pageSetup paperSize="9" orientation="portrait" r:id="rId3"/>
      <autoFilter ref="B1:I1"/>
    </customSheetView>
    <customSheetView guid="{47AEACC4-6EA5-412C-AF39-A6C5357B313A}" showGridLines="0" showAutoFilter="1" hiddenRows="1" hiddenColumns="1" topLeftCell="B2">
      <pane xSplit="5" ySplit="7" topLeftCell="G9" activePane="bottomRight" state="frozen"/>
      <selection pane="bottomRight" activeCell="B2" sqref="A2:IV2"/>
      <pageMargins left="0.7" right="0.7" top="0.75" bottom="0.75" header="0.3" footer="0.3"/>
      <pageSetup paperSize="9" orientation="portrait" r:id="rId4"/>
      <autoFilter ref="B1:I1"/>
    </customSheetView>
    <customSheetView guid="{4D957B38-5430-481E-B791-E0A66F913B50}" scale="70" topLeftCell="B1">
      <selection activeCell="J20" sqref="J20"/>
      <pageMargins left="0.7" right="0.7" top="0.75" bottom="0.75" header="0.3" footer="0.3"/>
      <pageSetup paperSize="9" orientation="portrait" r:id="rId5"/>
    </customSheetView>
    <customSheetView guid="{D03DFE91-19D2-43BA-897C-B86D033537EB}" scale="70">
      <selection activeCell="C8" sqref="C8"/>
      <pageMargins left="0.7" right="0.7" top="0.75" bottom="0.75" header="0.3" footer="0.3"/>
      <pageSetup paperSize="9" orientation="portrait" r:id="rId6"/>
    </customSheetView>
    <customSheetView guid="{1C36793E-2B7E-411E-AA99-985D5D59B75A}" scale="70">
      <selection activeCell="I12" sqref="I12"/>
      <pageMargins left="0.7" right="0.7" top="0.75" bottom="0.75" header="0.3" footer="0.3"/>
      <pageSetup paperSize="9" orientation="portrait" r:id="rId7"/>
    </customSheetView>
    <customSheetView guid="{C913A9E8-661B-40A4-A3C9-1BC5F2B2E9F0}" showGridLines="0" showAutoFilter="1" hiddenRows="1" hiddenColumns="1" topLeftCell="B2">
      <pane xSplit="5" ySplit="7" topLeftCell="I9" activePane="bottomRight" state="frozen"/>
      <selection pane="bottomRight" activeCell="I7" sqref="I7"/>
      <pageMargins left="0.7" right="0.7" top="0.75" bottom="0.75" header="0.3" footer="0.3"/>
      <pageSetup paperSize="9" orientation="portrait" r:id="rId8"/>
      <autoFilter ref="B1:I1"/>
    </customSheetView>
  </customSheetViews>
  <phoneticPr fontId="0" type="noConversion"/>
  <dataValidations disablePrompts="1" count="2">
    <dataValidation type="list" allowBlank="1" showInputMessage="1" showErrorMessage="1" sqref="C8:C14">
      <formula1>_2450</formula1>
    </dataValidation>
    <dataValidation type="list" operator="equal" allowBlank="1" showErrorMessage="1" errorTitle="Выбор элемента списка" error="Данного элемента нет в списке" sqref="G8:G14">
      <formula1>_6003</formula1>
    </dataValidation>
  </dataValidations>
  <hyperlinks>
    <hyperlink ref="G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2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AddButtonsRowAdd">
                <anchor moveWithCells="1">
                  <from>
                    <xdr:col>3</xdr:col>
                    <xdr:colOff>146050</xdr:colOff>
                    <xdr:row>1</xdr:row>
                    <xdr:rowOff>69850</xdr:rowOff>
                  </from>
                  <to>
                    <xdr:col>3</xdr:col>
                    <xdr:colOff>1593850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>
    <pageSetUpPr fitToPage="1"/>
  </sheetPr>
  <dimension ref="A1:L14"/>
  <sheetViews>
    <sheetView topLeftCell="B2" workbookViewId="0">
      <selection activeCell="A11" sqref="A11:XFD11"/>
    </sheetView>
  </sheetViews>
  <sheetFormatPr defaultColWidth="11.453125" defaultRowHeight="14.5"/>
  <cols>
    <col min="1" max="1" width="16.1796875" style="23" hidden="1" customWidth="1"/>
    <col min="2" max="2" width="3.1796875" style="1564" customWidth="1"/>
    <col min="3" max="6" width="20.54296875" style="1564" customWidth="1"/>
    <col min="7" max="8" width="20.54296875" style="1163" customWidth="1"/>
    <col min="9" max="10" width="20.54296875" style="2830" customWidth="1"/>
    <col min="11" max="11" width="30.453125" style="1163" customWidth="1"/>
    <col min="12" max="13" width="20.54296875" style="1163" customWidth="1"/>
    <col min="14" max="16384" width="11.453125" style="1163"/>
  </cols>
  <sheetData>
    <row r="1" spans="1:12" s="104" customFormat="1" ht="24" hidden="1" customHeight="1">
      <c r="A1" s="70" t="s">
        <v>4302</v>
      </c>
      <c r="B1" s="6"/>
      <c r="C1" s="37"/>
      <c r="D1" s="37"/>
      <c r="E1" s="37"/>
      <c r="F1" s="37"/>
      <c r="G1" s="6" t="s">
        <v>670</v>
      </c>
      <c r="H1" s="6" t="s">
        <v>1010</v>
      </c>
      <c r="I1" s="2438"/>
      <c r="J1" s="2438"/>
      <c r="K1" s="6"/>
      <c r="L1" s="37"/>
    </row>
    <row r="2" spans="1:12" s="1778" customFormat="1" ht="26">
      <c r="A2" s="741"/>
      <c r="B2" s="1925"/>
      <c r="C2" s="1925"/>
      <c r="D2" s="1925"/>
      <c r="E2" s="1925"/>
      <c r="F2" s="1925"/>
      <c r="G2" s="1925" t="s">
        <v>1648</v>
      </c>
      <c r="H2" s="1925" t="s">
        <v>1648</v>
      </c>
      <c r="I2" s="1897" t="s">
        <v>2067</v>
      </c>
      <c r="J2" s="1244">
        <f>Содержание!$D$2</f>
        <v>0</v>
      </c>
    </row>
    <row r="3" spans="1:12" ht="51.75" customHeight="1" thickBot="1">
      <c r="A3" s="9"/>
      <c r="B3" s="1163"/>
      <c r="C3" s="105" t="s">
        <v>4676</v>
      </c>
      <c r="D3" s="105"/>
      <c r="E3" s="105"/>
      <c r="F3" s="105"/>
      <c r="H3" s="3044" t="s">
        <v>1436</v>
      </c>
      <c r="I3" s="1897" t="s">
        <v>2075</v>
      </c>
      <c r="J3" s="1244" t="str">
        <f>Содержание!$D$15</f>
        <v>2022 год</v>
      </c>
    </row>
    <row r="4" spans="1:12" ht="38.25" customHeight="1">
      <c r="A4" s="9"/>
      <c r="B4" s="1163"/>
      <c r="C4" s="111" t="s">
        <v>4664</v>
      </c>
      <c r="D4" s="3603" t="s">
        <v>58</v>
      </c>
      <c r="E4" s="3603" t="s">
        <v>59</v>
      </c>
      <c r="F4" s="3603" t="s">
        <v>8394</v>
      </c>
      <c r="G4" s="14" t="s">
        <v>5225</v>
      </c>
      <c r="H4" s="14" t="s">
        <v>5233</v>
      </c>
    </row>
    <row r="5" spans="1:12">
      <c r="A5" s="9"/>
      <c r="C5" s="99" t="s">
        <v>5250</v>
      </c>
      <c r="D5" s="151" t="s">
        <v>5247</v>
      </c>
      <c r="E5" s="151" t="s">
        <v>5247</v>
      </c>
      <c r="F5" s="159" t="s">
        <v>5247</v>
      </c>
      <c r="G5" s="15" t="s">
        <v>672</v>
      </c>
      <c r="H5" s="15" t="s">
        <v>673</v>
      </c>
    </row>
    <row r="6" spans="1:12" s="674" customFormat="1" ht="12.5">
      <c r="A6" s="668"/>
      <c r="C6" s="1653" t="s">
        <v>4164</v>
      </c>
      <c r="D6" s="1651" t="s">
        <v>4165</v>
      </c>
      <c r="E6" s="1651" t="s">
        <v>4166</v>
      </c>
      <c r="F6" s="1651" t="s">
        <v>5500</v>
      </c>
      <c r="G6" s="1651" t="s">
        <v>4169</v>
      </c>
      <c r="H6" s="1651" t="s">
        <v>4168</v>
      </c>
      <c r="I6" s="2232" t="b">
        <f t="shared" ref="I6:J6" si="0">AND(I8:I1500)</f>
        <v>1</v>
      </c>
      <c r="J6" s="2232" t="b">
        <f t="shared" si="0"/>
        <v>1</v>
      </c>
      <c r="K6" s="2232" t="b">
        <f>AND(K8:K1500)</f>
        <v>1</v>
      </c>
    </row>
    <row r="7" spans="1:12" ht="91">
      <c r="A7" s="9"/>
      <c r="B7" s="1163"/>
      <c r="C7" s="154" t="s">
        <v>4170</v>
      </c>
      <c r="D7" s="35" t="s">
        <v>3389</v>
      </c>
      <c r="E7" s="35" t="s">
        <v>3389</v>
      </c>
      <c r="F7" s="35" t="s">
        <v>3389</v>
      </c>
      <c r="G7" s="148">
        <f>SUM(G8:G10000)</f>
        <v>0</v>
      </c>
      <c r="H7" s="148">
        <f>SUM(H8:H10000)</f>
        <v>0</v>
      </c>
      <c r="I7" s="151" t="s">
        <v>8567</v>
      </c>
      <c r="J7" s="151" t="s">
        <v>9658</v>
      </c>
      <c r="K7" s="151" t="s">
        <v>8049</v>
      </c>
    </row>
    <row r="8" spans="1:12">
      <c r="A8" s="9" t="str">
        <f>"R2="&amp;IF(ISERROR(MID(C8,FIND("{",C8)+1,FIND("}",C8)-FIND("{",C8)-1)),"",MID(C8,FIND("{",C8)+1,FIND("}",C8)-FIND("{",C8)-1))&amp;";R47="&amp;MID(IF(F8&lt;&gt;"",F8,E8),1,30)&amp;";R57="&amp;MID(D8,1,60)</f>
        <v>R2=;R47=;R57=</v>
      </c>
      <c r="B8" s="1163"/>
      <c r="C8" s="416"/>
      <c r="D8" s="1454"/>
      <c r="E8" s="1445"/>
      <c r="F8" s="1445"/>
      <c r="G8" s="149"/>
      <c r="H8" s="149"/>
      <c r="I8" s="2038" t="b">
        <f>IF(OR(D8&lt;&gt;0,D8&lt;&gt;""),OR(LEN(E8)&gt;3,LEN(F8)&gt;1),TRUE)</f>
        <v>1</v>
      </c>
      <c r="J8" s="2232" t="b">
        <f>NOT(OR(TEXT(F8,"#")="10011",TEXT(F8,"#")="10015",TEXT(F8,"#")="10000",E8="Внешние контрагенты",E8="Гос.контракты",IFERROR(VLOOKUP($J$2,Список_компаний!A:D,3,0)=F8,FALSE),IFERROR(VLOOKUP($J$2,Список_компаний!A:D,2,0)=OR(E8,""),FALSE)))</f>
        <v>1</v>
      </c>
      <c r="K8" s="2232" t="b">
        <f>IF(H8&lt;0,FALSE,TRUE)</f>
        <v>1</v>
      </c>
    </row>
    <row r="9" spans="1:12">
      <c r="A9" s="2427" t="str">
        <f t="shared" ref="A9:A11" si="1">"R2="&amp;IF(ISERROR(MID(C9,FIND("{",C9)+1,FIND("}",C9)-FIND("{",C9)-1)),"",MID(C9,FIND("{",C9)+1,FIND("}",C9)-FIND("{",C9)-1))&amp;";R47="&amp;MID(IF(F9&lt;&gt;"",F9,E9),1,30)&amp;";R57="&amp;MID(D9,1,60)</f>
        <v>R2=;R47=;R57=</v>
      </c>
      <c r="B9" s="1163"/>
      <c r="C9" s="417"/>
      <c r="D9" s="1454"/>
      <c r="E9" s="1445"/>
      <c r="F9" s="1445"/>
      <c r="G9" s="149"/>
      <c r="H9" s="149"/>
      <c r="I9" s="2038" t="b">
        <f t="shared" ref="I9:I11" si="2">IF(OR(D9&lt;&gt;0,D9&lt;&gt;""),OR(LEN(E9)&gt;3,LEN(F9)&gt;1),TRUE)</f>
        <v>1</v>
      </c>
      <c r="J9" s="2232" t="b">
        <f>NOT(OR(TEXT(F9,"#")="10011",TEXT(F9,"#")="10015",TEXT(F9,"#")="10000",E9="Внешние контрагенты",E9="Гос.контракты",IFERROR(VLOOKUP($J$2,Список_компаний!A:D,3,0)=F9,FALSE),IFERROR(VLOOKUP($J$2,Список_компаний!A:D,2,0)=OR(E9,""),FALSE)))</f>
        <v>1</v>
      </c>
      <c r="K9" s="2232" t="b">
        <f t="shared" ref="K9:K11" si="3">IF(H9&lt;0,FALSE,TRUE)</f>
        <v>1</v>
      </c>
    </row>
    <row r="10" spans="1:12">
      <c r="A10" s="2427" t="str">
        <f t="shared" si="1"/>
        <v>R2=;R47=;R57=</v>
      </c>
      <c r="B10" s="1163"/>
      <c r="C10" s="417"/>
      <c r="D10" s="1454"/>
      <c r="E10" s="1445"/>
      <c r="F10" s="1445"/>
      <c r="G10" s="149"/>
      <c r="H10" s="149"/>
      <c r="I10" s="2038" t="b">
        <f t="shared" si="2"/>
        <v>1</v>
      </c>
      <c r="J10" s="2232" t="b">
        <f>NOT(OR(TEXT(F10,"#")="10011",TEXT(F10,"#")="10015",TEXT(F10,"#")="10000",E10="Внешние контрагенты",E10="Гос.контракты",IFERROR(VLOOKUP($J$2,Список_компаний!A:D,3,0)=F10,FALSE),IFERROR(VLOOKUP($J$2,Список_компаний!A:D,2,0)=OR(E10,""),FALSE)))</f>
        <v>1</v>
      </c>
      <c r="K10" s="2232" t="b">
        <f t="shared" si="3"/>
        <v>1</v>
      </c>
    </row>
    <row r="11" spans="1:12" s="2830" customFormat="1">
      <c r="A11" s="2427" t="str">
        <f t="shared" si="1"/>
        <v>R2=;R47=;R57=</v>
      </c>
      <c r="C11" s="417"/>
      <c r="D11" s="1454"/>
      <c r="E11" s="1445"/>
      <c r="F11" s="1445"/>
      <c r="G11" s="149"/>
      <c r="H11" s="149"/>
      <c r="I11" s="2038" t="b">
        <f t="shared" si="2"/>
        <v>1</v>
      </c>
      <c r="J11" s="2232" t="b">
        <f>NOT(OR(TEXT(F11,"#")="10011",TEXT(F11,"#")="10015",TEXT(F11,"#")="10000",E11="Внешние контрагенты",E11="Гос.контракты",IFERROR(VLOOKUP($J$2,Список_компаний!A:D,3,0)=F11,FALSE),IFERROR(VLOOKUP($J$2,Список_компаний!A:D,2,0)=OR(E11,""),FALSE)))</f>
        <v>1</v>
      </c>
      <c r="K11" s="2232" t="b">
        <f t="shared" si="3"/>
        <v>1</v>
      </c>
    </row>
    <row r="12" spans="1:12" s="2830" customFormat="1" ht="15" thickBot="1">
      <c r="A12" s="2427" t="str">
        <f t="shared" ref="A12" si="4">"R2="&amp;IF(ISERROR(MID(C12,FIND("{",C12)+1,FIND("}",C12)-FIND("{",C12)-1)),"",MID(C12,FIND("{",C12)+1,FIND("}",C12)-FIND("{",C12)-1))&amp;";R47="&amp;MID(IF(F12&lt;&gt;"",F12,E12),1,30)&amp;";R57="&amp;MID(D12,1,60)</f>
        <v>R2=;R47=;R57=</v>
      </c>
      <c r="C12" s="418"/>
      <c r="D12" s="161"/>
      <c r="E12" s="880"/>
      <c r="F12" s="880"/>
      <c r="G12" s="150"/>
      <c r="H12" s="150"/>
      <c r="I12" s="2038" t="b">
        <f t="shared" ref="I12" si="5">IF(OR(D12&lt;&gt;0,D12&lt;&gt;""),OR(LEN(E12)&gt;3,LEN(F12)&gt;1),TRUE)</f>
        <v>1</v>
      </c>
      <c r="J12" s="2232" t="b">
        <f>NOT(OR(TEXT(F12,"#")="10011",TEXT(F12,"#")="10015",TEXT(F12,"#")="10000",E12="Внешние контрагенты",E12="Гос.контракты",IFERROR(VLOOKUP($J$2,Список_компаний!A:D,3,0)=F12,FALSE),IFERROR(VLOOKUP($J$2,Список_компаний!A:D,2,0)=OR(E12,""),FALSE)))</f>
        <v>1</v>
      </c>
      <c r="K12" s="2232" t="b">
        <f t="shared" ref="K12" si="6">IF(H12&lt;0,FALSE,TRUE)</f>
        <v>1</v>
      </c>
    </row>
    <row r="13" spans="1:12">
      <c r="I13" s="2038"/>
      <c r="J13" s="2232"/>
    </row>
    <row r="14" spans="1:12">
      <c r="I14" s="2038"/>
      <c r="J14" s="2232"/>
    </row>
  </sheetData>
  <sheetProtection algorithmName="SHA-512" hashValue="cA1BO6dMopRicZewlpPNtqv/y0BFUHVrScERKqjEwyfq/hu2mQhdYkBnaxB8cY08WoalFJJ+XIbM2ONMv2Y6gw==" saltValue="J9tmUuR++BRSiK75ieFtiw==" spinCount="100000" sheet="1" objects="1" scenarios="1" formatColumns="0" formatRows="0" autoFilter="0"/>
  <autoFilter ref="C6:H6"/>
  <customSheetViews>
    <customSheetView guid="{3769259D-9653-4B34-A2F6-4FB6F9F4E533}" showGridLines="0" showAutoFilter="1" hiddenRows="1" hiddenColumns="1">
      <pane xSplit="5" ySplit="6" topLeftCell="F7" activePane="bottomRight" state="frozen"/>
      <selection pane="bottomRight" activeCell="F5" sqref="F5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pane xSplit="5" ySplit="6" topLeftCell="F7" activePane="bottomRight" state="frozen"/>
      <selection pane="bottomRight" activeCell="F5" sqref="F5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2">
      <pane xSplit="4" ySplit="6" topLeftCell="F8" activePane="bottomRight" state="frozen"/>
      <selection pane="bottomRight" activeCell="F6" sqref="F6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2">
      <pane xSplit="4" ySplit="6" topLeftCell="F8" activePane="bottomRight" state="frozen"/>
      <selection pane="bottomRight" activeCell="F17" sqref="F17"/>
      <pageMargins left="0.7" right="0.7" top="0.75" bottom="0.75" header="0.3" footer="0.3"/>
      <autoFilter ref="B1:F1"/>
    </customSheetView>
    <customSheetView guid="{4D957B38-5430-481E-B791-E0A66F913B50}" scale="70">
      <pageMargins left="0.7" right="0.7" top="0.75" bottom="0.75" header="0.3" footer="0.3"/>
    </customSheetView>
    <customSheetView guid="{D03DFE91-19D2-43BA-897C-B86D033537EB}" scale="70">
      <selection activeCell="C11" sqref="C11"/>
      <pageMargins left="0.7" right="0.7" top="0.75" bottom="0.75" header="0.3" footer="0.3"/>
    </customSheetView>
    <customSheetView guid="{1C36793E-2B7E-411E-AA99-985D5D59B75A}" scale="70">
      <selection activeCell="I12" sqref="I12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4" ySplit="6" topLeftCell="F8" activePane="bottomRight" state="frozen"/>
      <selection pane="bottomRight" activeCell="F6" sqref="F6"/>
      <pageMargins left="0.7" right="0.7" top="0.75" bottom="0.75" header="0.3" footer="0.3"/>
      <autoFilter ref="B1:F1"/>
    </customSheetView>
  </customSheetViews>
  <phoneticPr fontId="0" type="noConversion"/>
  <dataValidations count="1">
    <dataValidation type="list" operator="equal" allowBlank="1" showErrorMessage="1" errorTitle="Выбор элемента списка" error="Данного элемента нет в списке" sqref="C8:C12">
      <formula1>_6003</formula1>
    </dataValidation>
  </dataValidations>
  <hyperlinks>
    <hyperlink ref="H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8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AddButtonsRowAdd">
                <anchor moveWithCells="1">
                  <from>
                    <xdr:col>6</xdr:col>
                    <xdr:colOff>946150</xdr:colOff>
                    <xdr:row>1</xdr:row>
                    <xdr:rowOff>146050</xdr:rowOff>
                  </from>
                  <to>
                    <xdr:col>7</xdr:col>
                    <xdr:colOff>952500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R255"/>
  <sheetViews>
    <sheetView topLeftCell="B2" zoomScale="83" zoomScaleNormal="83" workbookViewId="0">
      <selection activeCell="F17" sqref="F17"/>
    </sheetView>
  </sheetViews>
  <sheetFormatPr defaultColWidth="9.453125" defaultRowHeight="14.5"/>
  <cols>
    <col min="1" max="1" width="6.1796875" style="1163" hidden="1" customWidth="1"/>
    <col min="2" max="2" width="5" style="1163" customWidth="1"/>
    <col min="3" max="3" width="77.54296875" style="1163" customWidth="1"/>
    <col min="4" max="7" width="12.453125" style="1163" customWidth="1"/>
    <col min="8" max="8" width="12.453125" style="2830" customWidth="1"/>
    <col min="9" max="9" width="12.453125" style="1163" customWidth="1"/>
    <col min="10" max="10" width="15" style="1163" customWidth="1"/>
    <col min="11" max="11" width="20.453125" style="1163" customWidth="1"/>
    <col min="12" max="12" width="30.54296875" style="1163" customWidth="1"/>
    <col min="13" max="13" width="23.453125" style="1163" customWidth="1"/>
    <col min="14" max="14" width="9.453125" style="1163"/>
    <col min="15" max="15" width="9.453125" style="1163" customWidth="1"/>
    <col min="16" max="16" width="72.453125" style="1163" customWidth="1"/>
    <col min="17" max="17" width="22.453125" style="1163" customWidth="1"/>
    <col min="18" max="16384" width="9.453125" style="1163"/>
  </cols>
  <sheetData>
    <row r="1" spans="1:18" ht="18" hidden="1" customHeight="1">
      <c r="A1" s="1561" t="s">
        <v>2825</v>
      </c>
      <c r="B1" s="6"/>
      <c r="C1" s="37"/>
      <c r="D1" s="237" t="s">
        <v>1011</v>
      </c>
      <c r="E1" s="237" t="s">
        <v>1012</v>
      </c>
      <c r="F1" s="237" t="s">
        <v>1013</v>
      </c>
      <c r="G1" s="237" t="s">
        <v>8627</v>
      </c>
      <c r="H1" s="237" t="s">
        <v>8628</v>
      </c>
      <c r="I1" s="237" t="s">
        <v>1014</v>
      </c>
      <c r="J1" s="237"/>
      <c r="K1" s="6"/>
    </row>
    <row r="2" spans="1:18" s="2003" customFormat="1" ht="26">
      <c r="A2" s="2002"/>
      <c r="B2" s="2006"/>
      <c r="D2" s="2003" t="s">
        <v>1648</v>
      </c>
      <c r="E2" s="2003" t="s">
        <v>1648</v>
      </c>
      <c r="F2" s="2003" t="s">
        <v>1648</v>
      </c>
      <c r="G2" s="2003" t="s">
        <v>1648</v>
      </c>
      <c r="I2" s="2003" t="s">
        <v>1648</v>
      </c>
      <c r="J2" s="2003" t="s">
        <v>1648</v>
      </c>
      <c r="K2" s="1897" t="s">
        <v>2067</v>
      </c>
      <c r="L2" s="1244">
        <f>Содержание!$D$2</f>
        <v>0</v>
      </c>
    </row>
    <row r="3" spans="1:18" ht="41.25" customHeight="1" thickBot="1">
      <c r="A3" s="9"/>
      <c r="C3" s="1253" t="s">
        <v>4678</v>
      </c>
      <c r="D3"/>
      <c r="E3" s="1253"/>
      <c r="F3"/>
      <c r="G3" s="1253"/>
      <c r="H3" s="1253"/>
      <c r="I3" s="1253"/>
      <c r="J3" s="3044" t="s">
        <v>1436</v>
      </c>
      <c r="K3" s="1897" t="s">
        <v>2075</v>
      </c>
      <c r="L3" s="1244" t="str">
        <f>Содержание!$D$15</f>
        <v>2022 год</v>
      </c>
    </row>
    <row r="4" spans="1:18" ht="36" customHeight="1" thickBot="1">
      <c r="A4" s="9"/>
      <c r="B4" s="113"/>
      <c r="C4" s="81" t="s">
        <v>8568</v>
      </c>
      <c r="D4" s="3783" t="s">
        <v>4291</v>
      </c>
      <c r="E4" s="3783" t="s">
        <v>4296</v>
      </c>
      <c r="F4" s="3783" t="s">
        <v>4298</v>
      </c>
      <c r="G4" s="3828" t="s">
        <v>4300</v>
      </c>
      <c r="H4" s="3829"/>
      <c r="I4" s="3783" t="s">
        <v>4302</v>
      </c>
      <c r="J4" s="3783" t="s">
        <v>4679</v>
      </c>
      <c r="K4" s="3781" t="s">
        <v>4183</v>
      </c>
      <c r="L4" s="3086" t="s">
        <v>9667</v>
      </c>
      <c r="M4" s="3781" t="s">
        <v>8694</v>
      </c>
    </row>
    <row r="5" spans="1:18" ht="26">
      <c r="A5" s="9"/>
      <c r="B5" s="113"/>
      <c r="C5" s="99" t="s">
        <v>4680</v>
      </c>
      <c r="D5" s="3827"/>
      <c r="E5" s="3827"/>
      <c r="F5" s="3827"/>
      <c r="G5" s="2930" t="s">
        <v>8615</v>
      </c>
      <c r="H5" s="2930" t="s">
        <v>8616</v>
      </c>
      <c r="I5" s="3827"/>
      <c r="J5" s="3827"/>
      <c r="K5" s="3826"/>
      <c r="L5" s="3087" t="s">
        <v>9662</v>
      </c>
      <c r="M5" s="3826"/>
      <c r="N5" s="2830">
        <f>SUMIF(C:C,"{5120000_~_~_~} Поступление денежных средств с других банковских счетов организации (в т.ч. в кассу)",J:J)+SUMIF(C:C,"{5220000_~_~_~} Перечисление денежных средств на другие банковские счета организации (в т.ч. снятие наличных денежных средств в кассу)",J:J)</f>
        <v>0</v>
      </c>
    </row>
    <row r="6" spans="1:18" s="674" customFormat="1" ht="10.5">
      <c r="A6" s="668"/>
      <c r="B6" s="1645"/>
      <c r="C6" s="1654" t="s">
        <v>4164</v>
      </c>
      <c r="D6" s="1655" t="s">
        <v>4165</v>
      </c>
      <c r="E6" s="1655" t="s">
        <v>4166</v>
      </c>
      <c r="F6" s="1655" t="s">
        <v>5500</v>
      </c>
      <c r="G6" s="1655" t="s">
        <v>4169</v>
      </c>
      <c r="H6" s="1655" t="s">
        <v>4168</v>
      </c>
      <c r="I6" s="1655" t="s">
        <v>4178</v>
      </c>
      <c r="J6" s="1655" t="s">
        <v>4179</v>
      </c>
      <c r="K6" s="1655" t="s">
        <v>4167</v>
      </c>
    </row>
    <row r="7" spans="1:18">
      <c r="A7" s="9"/>
      <c r="B7" s="113"/>
      <c r="C7" s="881" t="s">
        <v>4170</v>
      </c>
      <c r="D7" s="882">
        <f t="shared" ref="D7:I7" si="0">SUM(D8:D59788)</f>
        <v>0</v>
      </c>
      <c r="E7" s="882">
        <f t="shared" si="0"/>
        <v>0</v>
      </c>
      <c r="F7" s="882">
        <f t="shared" si="0"/>
        <v>0</v>
      </c>
      <c r="G7" s="882">
        <f t="shared" si="0"/>
        <v>0</v>
      </c>
      <c r="H7" s="882">
        <f t="shared" si="0"/>
        <v>0</v>
      </c>
      <c r="I7" s="882">
        <f t="shared" si="0"/>
        <v>0</v>
      </c>
      <c r="J7" s="1190">
        <f>SUM(J8:J4994)</f>
        <v>0</v>
      </c>
      <c r="K7" s="1656" t="s">
        <v>3196</v>
      </c>
      <c r="L7" s="2949" t="b">
        <f ca="1">AND(L8:L1500)</f>
        <v>1</v>
      </c>
      <c r="M7" s="2949" t="b">
        <f>IF(N5=0,TRUE,FALSE)</f>
        <v>1</v>
      </c>
      <c r="N7" s="1163" t="b">
        <f>AND(N8:N4999)</f>
        <v>1</v>
      </c>
      <c r="R7" s="2732" t="b">
        <f>AND(R8:R4999)</f>
        <v>1</v>
      </c>
    </row>
    <row r="8" spans="1:18" ht="31.5" customHeight="1">
      <c r="A8" s="9" t="str">
        <f t="shared" ref="A8:A14" si="1">"R6="&amp;IFERROR(TEXT(MID(C8,SEARCH("{???????_*_*_?}",C8)+1,7)+0,"0000000"),"")&amp;";R7="&amp;IFERROR(TEXT(MID(C8,SEARCH("{???????_?????_*_?}",C8)+9,5)+0,"00000"),"")&amp;";R8="&amp;IFERROR(TEXT(MID(C8,SEARCH("_???_?}",C8)+1,3)+0,"000"),"")&amp;";R9="&amp;IFERROR(TEXT(MID(C8,SEARCH("_?}",C8)+1,1)+0,"0"),"")&amp;";COM="&amp;K8</f>
        <v>R6=;R7=;R8=;R9=;COM=</v>
      </c>
      <c r="B8" s="1648"/>
      <c r="C8" s="1123"/>
      <c r="D8" s="149"/>
      <c r="E8" s="149"/>
      <c r="F8" s="149"/>
      <c r="G8" s="149"/>
      <c r="H8" s="149"/>
      <c r="I8" s="149"/>
      <c r="J8" s="1190">
        <f t="shared" ref="J8:J13" si="2">SUM(D8:I8)</f>
        <v>0</v>
      </c>
      <c r="K8" s="1195"/>
      <c r="L8" s="2830" t="b">
        <f ca="1">IF(IFERROR(VLOOKUP(CONCATENATE(LEFT(C8,8),RIGHT(C8,9)),INDIRECT(L$5),1,FALSE),FALSE)=FALSE,IF(CONCATENATE(LEFT(C8,8),RIGHT(C8,9))="",TRUE,FALSE),TRUE)</f>
        <v>1</v>
      </c>
      <c r="N8" s="1163" t="b">
        <f>IF(OR(C8=$P$8,C8=$P$9,C8=$P$10,C8=$P$11),TRUE,  IF(MID(C8,3,1)="1",IF(OR(J8&lt;0),FALSE,TRUE),IF(OR(J8&gt;0),FALSE,TRUE)))</f>
        <v>1</v>
      </c>
      <c r="O8" s="2732"/>
      <c r="Q8" s="1163" t="str">
        <f>IF(C8="{4000000_~_~_~} Величина влияния изменений курса иностранной валюты по отношению к рублю (курсовые разницы)",TRUE,IF(MID(C8,3,1)="1","приход","расход"))</f>
        <v>расход</v>
      </c>
      <c r="R8" s="2830" t="b">
        <f>IF(OR(C8="{1220000_~_~_~} Оплата труда и иные выплаты работникам в денежной форме",C8="{1210520_~_~_~} Прочие услуги, связанные с персоналом",C8="{1211100_~_~_~} Командировочные расходы"),"истина",IF(OR(AND(E8&lt;0,Q8="Приход"),AND(E8&gt;0,Q8="Расход"),AND(F8&lt;0,Q8="Приход"),AND(F8&gt;0,Q8="Расход"),AND(G8&lt;0,Q8="Приход"),AND(G8&gt;0,Q8="Расход"),AND(H8&lt;0,Q8="Приход"),AND(H8&gt;0,Q8="Расход"),AND(I8&lt;0,Q8="Приход"),AND(I8&gt;0,Q8="Расход")),FALSE,TRUE))</f>
        <v>1</v>
      </c>
    </row>
    <row r="9" spans="1:18">
      <c r="A9" s="2427" t="str">
        <f t="shared" si="1"/>
        <v>R6=;R7=;R8=;R9=;COM=</v>
      </c>
      <c r="B9" s="1648"/>
      <c r="C9" s="1123"/>
      <c r="D9" s="149"/>
      <c r="E9" s="149"/>
      <c r="F9" s="149"/>
      <c r="G9" s="149"/>
      <c r="H9" s="149"/>
      <c r="I9" s="149"/>
      <c r="J9" s="1190">
        <f t="shared" si="2"/>
        <v>0</v>
      </c>
      <c r="K9" s="1195"/>
      <c r="L9" s="2830" t="b">
        <f t="shared" ref="L9:L17" ca="1" si="3">IF(IFERROR(VLOOKUP(CONCATENATE(LEFT(C9,8),RIGHT(C9,9)),INDIRECT(L$5),1,FALSE),FALSE)=FALSE,IF(CONCATENATE(LEFT(C9,8),RIGHT(C9,9))="",TRUE,FALSE),TRUE)</f>
        <v>1</v>
      </c>
      <c r="M9" s="2830"/>
      <c r="N9" s="2830" t="b">
        <f t="shared" ref="N9:N17" si="4">IF(OR(C9=$P$8,C9=$P$9,C9=$P$10,C9=$P$11),TRUE,  IF(MID(C9,3,1)="1",IF(OR(J9&lt;0),FALSE,TRUE),IF(OR(J9&gt;0),FALSE,TRUE)))</f>
        <v>1</v>
      </c>
      <c r="O9" s="2732"/>
      <c r="P9" s="1163" t="s">
        <v>5300</v>
      </c>
      <c r="Q9" s="2732" t="str">
        <f t="shared" ref="Q9:Q16" si="5">IF(C9="{4000000_~_~_~} Величина влияния изменений курса иностранной валюты по отношению к рублю (курсовые разницы)",TRUE,IF(MID(C9,3,1)="1","приход","расход"))</f>
        <v>расход</v>
      </c>
      <c r="R9" s="2830" t="b">
        <f t="shared" ref="R9:R17" si="6">IF(OR(C9="{1220000_~_~_~} Оплата труда и иные выплаты работникам в денежной форме",C9="{1210520_~_~_~} Прочие услуги, связанные с персоналом",C9="{1211100_~_~_~} Командировочные расходы"),"истина",IF(OR(AND(E9&lt;0,Q9="Приход"),AND(E9&gt;0,Q9="Расход"),AND(F9&lt;0,Q9="Приход"),AND(F9&gt;0,Q9="Расход"),AND(G9&lt;0,Q9="Приход"),AND(G9&gt;0,Q9="Расход"),AND(H9&lt;0,Q9="Приход"),AND(H9&gt;0,Q9="Расход"),AND(I9&lt;0,Q9="Приход"),AND(I9&gt;0,Q9="Расход")),FALSE,TRUE))</f>
        <v>1</v>
      </c>
    </row>
    <row r="10" spans="1:18">
      <c r="A10" s="2427" t="str">
        <f t="shared" si="1"/>
        <v>R6=;R7=;R8=;R9=;COM=</v>
      </c>
      <c r="B10" s="1648"/>
      <c r="C10" s="1123"/>
      <c r="D10" s="149"/>
      <c r="E10" s="149"/>
      <c r="F10" s="149"/>
      <c r="G10" s="149"/>
      <c r="H10" s="149"/>
      <c r="I10" s="149"/>
      <c r="J10" s="1190">
        <f t="shared" si="2"/>
        <v>0</v>
      </c>
      <c r="K10" s="1195"/>
      <c r="L10" s="2830" t="b">
        <f t="shared" ca="1" si="3"/>
        <v>1</v>
      </c>
      <c r="N10" s="2830" t="b">
        <f t="shared" si="4"/>
        <v>1</v>
      </c>
      <c r="O10" s="2732"/>
      <c r="P10" s="1163" t="s">
        <v>5776</v>
      </c>
      <c r="Q10" s="2732" t="str">
        <f t="shared" si="5"/>
        <v>расход</v>
      </c>
      <c r="R10" s="2830" t="b">
        <f t="shared" si="6"/>
        <v>1</v>
      </c>
    </row>
    <row r="11" spans="1:18">
      <c r="A11" s="2427" t="str">
        <f t="shared" si="1"/>
        <v>R6=;R7=;R8=;R9=;COM=</v>
      </c>
      <c r="B11" s="1648"/>
      <c r="C11" s="1123"/>
      <c r="D11" s="149"/>
      <c r="E11" s="149"/>
      <c r="F11" s="149"/>
      <c r="G11" s="149"/>
      <c r="H11" s="149"/>
      <c r="I11" s="149"/>
      <c r="J11" s="1190">
        <f t="shared" si="2"/>
        <v>0</v>
      </c>
      <c r="K11" s="1195"/>
      <c r="L11" s="2830" t="b">
        <f t="shared" ca="1" si="3"/>
        <v>1</v>
      </c>
      <c r="N11" s="2830" t="b">
        <f t="shared" si="4"/>
        <v>1</v>
      </c>
      <c r="O11" s="2732"/>
      <c r="P11" s="1163" t="s">
        <v>5770</v>
      </c>
      <c r="Q11" s="2732" t="str">
        <f t="shared" si="5"/>
        <v>расход</v>
      </c>
      <c r="R11" s="2830" t="b">
        <f t="shared" si="6"/>
        <v>1</v>
      </c>
    </row>
    <row r="12" spans="1:18">
      <c r="A12" s="2427" t="str">
        <f t="shared" si="1"/>
        <v>R6=;R7=;R8=;R9=;COM=</v>
      </c>
      <c r="B12" s="1648"/>
      <c r="C12" s="1123"/>
      <c r="D12" s="149"/>
      <c r="E12" s="149"/>
      <c r="F12" s="149"/>
      <c r="G12" s="149"/>
      <c r="H12" s="149"/>
      <c r="I12" s="149"/>
      <c r="J12" s="1190">
        <f t="shared" si="2"/>
        <v>0</v>
      </c>
      <c r="K12" s="1195"/>
      <c r="L12" s="2830" t="b">
        <f t="shared" ca="1" si="3"/>
        <v>1</v>
      </c>
      <c r="N12" s="2830" t="b">
        <f t="shared" si="4"/>
        <v>1</v>
      </c>
      <c r="O12" s="2732"/>
      <c r="Q12" s="2732" t="str">
        <f t="shared" si="5"/>
        <v>расход</v>
      </c>
      <c r="R12" s="2830" t="b">
        <f t="shared" si="6"/>
        <v>1</v>
      </c>
    </row>
    <row r="13" spans="1:18">
      <c r="A13" s="2427" t="str">
        <f t="shared" si="1"/>
        <v>R6=;R7=;R8=;R9=;COM=</v>
      </c>
      <c r="B13" s="1648"/>
      <c r="C13" s="1123"/>
      <c r="D13" s="149"/>
      <c r="E13" s="149"/>
      <c r="F13" s="149"/>
      <c r="G13" s="149"/>
      <c r="H13" s="149"/>
      <c r="I13" s="149"/>
      <c r="J13" s="1190">
        <f t="shared" si="2"/>
        <v>0</v>
      </c>
      <c r="K13" s="1195"/>
      <c r="L13" s="2830" t="b">
        <f t="shared" ca="1" si="3"/>
        <v>1</v>
      </c>
      <c r="N13" s="2830" t="b">
        <f t="shared" si="4"/>
        <v>1</v>
      </c>
      <c r="O13" s="2732"/>
      <c r="Q13" s="2732" t="str">
        <f t="shared" si="5"/>
        <v>расход</v>
      </c>
      <c r="R13" s="2830" t="b">
        <f t="shared" si="6"/>
        <v>1</v>
      </c>
    </row>
    <row r="14" spans="1:18" s="2732" customFormat="1">
      <c r="A14" s="2427" t="str">
        <f t="shared" si="1"/>
        <v>R6=;R7=;R8=;R9=;COM=</v>
      </c>
      <c r="B14" s="1648"/>
      <c r="C14" s="1123"/>
      <c r="D14" s="149"/>
      <c r="E14" s="149"/>
      <c r="F14" s="149"/>
      <c r="G14" s="149"/>
      <c r="H14" s="149"/>
      <c r="I14" s="149"/>
      <c r="J14" s="1190">
        <f>SUM(D14:I14)</f>
        <v>0</v>
      </c>
      <c r="K14" s="1195"/>
      <c r="L14" s="2830" t="b">
        <f t="shared" ca="1" si="3"/>
        <v>1</v>
      </c>
      <c r="N14" s="2830" t="b">
        <f t="shared" si="4"/>
        <v>1</v>
      </c>
      <c r="Q14" s="2732" t="str">
        <f t="shared" si="5"/>
        <v>расход</v>
      </c>
      <c r="R14" s="2830" t="b">
        <f t="shared" si="6"/>
        <v>1</v>
      </c>
    </row>
    <row r="15" spans="1:18" s="2732" customFormat="1">
      <c r="A15" s="2427" t="str">
        <f t="shared" ref="A15" si="7">"R6="&amp;IFERROR(TEXT(MID(C15,SEARCH("{???????_*_*_?}",C15)+1,7)+0,"0000000"),"")&amp;";R7="&amp;IFERROR(TEXT(MID(C15,SEARCH("{???????_?????_*_?}",C15)+9,5)+0,"00000"),"")&amp;";R8="&amp;IFERROR(TEXT(MID(C15,SEARCH("_???_?}",C15)+1,3)+0,"000"),"")&amp;";R9="&amp;IFERROR(TEXT(MID(C15,SEARCH("_?}",C15)+1,1)+0,"0"),"")&amp;";COM="&amp;K15</f>
        <v>R6=;R7=;R8=;R9=;COM=</v>
      </c>
      <c r="B15" s="1648"/>
      <c r="C15" s="1123"/>
      <c r="D15" s="149"/>
      <c r="E15" s="149"/>
      <c r="F15" s="149"/>
      <c r="G15" s="149"/>
      <c r="H15" s="149"/>
      <c r="I15" s="149"/>
      <c r="J15" s="1190">
        <f>SUM(D15:I15)</f>
        <v>0</v>
      </c>
      <c r="K15" s="1195"/>
      <c r="L15" s="2830" t="b">
        <f t="shared" ca="1" si="3"/>
        <v>1</v>
      </c>
      <c r="N15" s="2830" t="b">
        <f t="shared" si="4"/>
        <v>1</v>
      </c>
      <c r="Q15" s="2732" t="str">
        <f t="shared" si="5"/>
        <v>расход</v>
      </c>
      <c r="R15" s="2830" t="b">
        <f t="shared" si="6"/>
        <v>1</v>
      </c>
    </row>
    <row r="16" spans="1:18" s="2830" customFormat="1">
      <c r="A16" s="2427" t="str">
        <f t="shared" ref="A16" si="8">"R6="&amp;IFERROR(TEXT(MID(C16,SEARCH("{???????_*_*_?}",C16)+1,7)+0,"0000000"),"")&amp;";R7="&amp;IFERROR(TEXT(MID(C16,SEARCH("{???????_?????_*_?}",C16)+9,5)+0,"00000"),"")&amp;";R8="&amp;IFERROR(TEXT(MID(C16,SEARCH("_???_?}",C16)+1,3)+0,"000"),"")&amp;";R9="&amp;IFERROR(TEXT(MID(C16,SEARCH("_?}",C16)+1,1)+0,"0"),"")&amp;";COM="&amp;K16</f>
        <v>R6=;R7=;R8=;R9=;COM=</v>
      </c>
      <c r="B16" s="1648"/>
      <c r="C16" s="1123"/>
      <c r="D16" s="149"/>
      <c r="E16" s="149"/>
      <c r="F16" s="149"/>
      <c r="G16" s="149"/>
      <c r="H16" s="149"/>
      <c r="I16" s="149"/>
      <c r="J16" s="1190">
        <f>SUM(D16:I16)</f>
        <v>0</v>
      </c>
      <c r="K16" s="1195"/>
      <c r="L16" s="2830" t="b">
        <f t="shared" ca="1" si="3"/>
        <v>1</v>
      </c>
      <c r="N16" s="2830" t="b">
        <f t="shared" si="4"/>
        <v>1</v>
      </c>
      <c r="Q16" s="2830" t="str">
        <f t="shared" si="5"/>
        <v>расход</v>
      </c>
      <c r="R16" s="2830" t="b">
        <f t="shared" si="6"/>
        <v>1</v>
      </c>
    </row>
    <row r="17" spans="1:18" s="2830" customFormat="1" ht="15" thickBot="1">
      <c r="A17" s="2427" t="str">
        <f t="shared" ref="A17" si="9">"R6="&amp;IFERROR(TEXT(MID(C17,SEARCH("{???????_*_*_?}",C17)+1,7)+0,"0000000"),"")&amp;";R7="&amp;IFERROR(TEXT(MID(C17,SEARCH("{???????_?????_*_?}",C17)+9,5)+0,"00000"),"")&amp;";R8="&amp;IFERROR(TEXT(MID(C17,SEARCH("_???_?}",C17)+1,3)+0,"000"),"")&amp;";R9="&amp;IFERROR(TEXT(MID(C17,SEARCH("_?}",C17)+1,1)+0,"0"),"")&amp;";COM="&amp;K17</f>
        <v>R6=;R7=;R8=;R9=;COM=</v>
      </c>
      <c r="B17" s="1648"/>
      <c r="C17" s="1123"/>
      <c r="D17" s="2303"/>
      <c r="E17" s="2303"/>
      <c r="F17" s="2303"/>
      <c r="G17" s="2303"/>
      <c r="H17" s="2303"/>
      <c r="I17" s="2303"/>
      <c r="J17" s="1191">
        <f>SUM(D17:I17)</f>
        <v>0</v>
      </c>
      <c r="K17" s="1196"/>
      <c r="L17" s="2830" t="b">
        <f t="shared" ca="1" si="3"/>
        <v>1</v>
      </c>
      <c r="N17" s="2830" t="b">
        <f t="shared" si="4"/>
        <v>1</v>
      </c>
      <c r="Q17" s="2830" t="str">
        <f t="shared" ref="Q17" si="10">IF(C17="{4000000_~_~_~} Величина влияния изменений курса иностранной валюты по отношению к рублю (курсовые разницы)",TRUE,IF(MID(C17,3,1)="1","приход","расход"))</f>
        <v>расход</v>
      </c>
      <c r="R17" s="2830" t="b">
        <f t="shared" si="6"/>
        <v>1</v>
      </c>
    </row>
    <row r="18" spans="1:18">
      <c r="A18" s="9"/>
    </row>
    <row r="19" spans="1:18">
      <c r="A19" s="9"/>
    </row>
    <row r="20" spans="1:18">
      <c r="A20" s="9"/>
    </row>
    <row r="21" spans="1:18">
      <c r="A21" s="9"/>
    </row>
    <row r="22" spans="1:18">
      <c r="A22" s="9"/>
    </row>
    <row r="23" spans="1:18">
      <c r="A23" s="9"/>
    </row>
    <row r="24" spans="1:18">
      <c r="A24" s="9"/>
    </row>
    <row r="25" spans="1:18">
      <c r="A25" s="9"/>
    </row>
    <row r="26" spans="1:18">
      <c r="A26" s="9"/>
    </row>
    <row r="27" spans="1:18">
      <c r="A27" s="9"/>
    </row>
    <row r="28" spans="1:18">
      <c r="A28" s="9"/>
    </row>
    <row r="29" spans="1:18">
      <c r="A29" s="9"/>
    </row>
    <row r="30" spans="1:18">
      <c r="A30" s="9"/>
    </row>
    <row r="31" spans="1:18">
      <c r="A31" s="9"/>
    </row>
    <row r="32" spans="1:18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</sheetData>
  <sheetProtection algorithmName="SHA-512" hashValue="lSbmuC7IbB3FHcIvR/i/ESU3HsyvT0lIFH32EYeYfPQU7u8L4pMtcpa2VnsnEQ/xfTX+mAvOnrHthnntcxHstA==" saltValue="50B3+2+b7sed+D+Evsyu3A==" spinCount="100000" sheet="1" objects="1" scenarios="1" formatColumns="0" formatRows="0" autoFilter="0"/>
  <autoFilter ref="C6:N6"/>
  <customSheetViews>
    <customSheetView guid="{3769259D-9653-4B34-A2F6-4FB6F9F4E533}" showGridLines="0" showAutoFilter="1" hiddenRows="1" hiddenColumns="1">
      <pane xSplit="3" ySplit="7" topLeftCell="D8" activePane="bottomRight" state="frozen"/>
      <selection pane="bottomRight" activeCell="C17" sqref="C17"/>
      <pageMargins left="0.7" right="0.7" top="0.75" bottom="0.75" header="0.3" footer="0.3"/>
      <autoFilter ref="B1:K1"/>
    </customSheetView>
    <customSheetView guid="{40D7A2BB-326C-4ED3-999C-17852F56D6F4}" showGridLines="0" showAutoFilter="1" hiddenRows="1" hiddenColumns="1">
      <pane xSplit="3" ySplit="7" topLeftCell="D8" activePane="bottomRight" state="frozen"/>
      <selection pane="bottomRight" activeCell="C17" sqref="C17"/>
      <pageMargins left="0.7" right="0.7" top="0.75" bottom="0.75" header="0.3" footer="0.3"/>
      <autoFilter ref="B1:K1"/>
    </customSheetView>
    <customSheetView guid="{5D121940-0CE8-4A0E-A493-67FAAA6E0FF8}" showGridLines="0" showAutoFilter="1" hiddenRows="1" hiddenColumns="1" topLeftCell="B2">
      <pane xSplit="2" ySplit="7" topLeftCell="D9" activePane="bottomRight" state="frozen"/>
      <selection pane="bottomRight" activeCell="X18" sqref="R18:X18"/>
      <pageMargins left="0.7" right="0.7" top="0.75" bottom="0.75" header="0.3" footer="0.3"/>
      <autoFilter ref="B1:K1"/>
    </customSheetView>
    <customSheetView guid="{47AEACC4-6EA5-412C-AF39-A6C5357B313A}" showGridLines="0" showAutoFilter="1" hiddenRows="1" hiddenColumns="1" topLeftCell="B2">
      <pane xSplit="2" ySplit="7" topLeftCell="D9" activePane="bottomRight" state="frozen"/>
      <selection pane="bottomRight" activeCell="C22" sqref="C22"/>
      <pageMargins left="0.7" right="0.7" top="0.75" bottom="0.75" header="0.3" footer="0.3"/>
      <autoFilter ref="B1:K1"/>
    </customSheetView>
    <customSheetView guid="{4D957B38-5430-481E-B791-E0A66F913B50}" scale="70" hiddenColumns="1">
      <selection activeCell="M43" sqref="M43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2" ySplit="7" topLeftCell="G9" activePane="bottomRight" state="frozen"/>
      <selection pane="bottomRight" activeCell="C7" sqref="C7:J7"/>
      <pageMargins left="0.7" right="0.7" top="0.75" bottom="0.75" header="0.3" footer="0.3"/>
      <autoFilter ref="B1:K1"/>
    </customSheetView>
  </customSheetViews>
  <mergeCells count="8">
    <mergeCell ref="M4:M5"/>
    <mergeCell ref="K4:K5"/>
    <mergeCell ref="J4:J5"/>
    <mergeCell ref="D4:D5"/>
    <mergeCell ref="E4:E5"/>
    <mergeCell ref="F4:F5"/>
    <mergeCell ref="I4:I5"/>
    <mergeCell ref="G4:H4"/>
  </mergeCells>
  <phoneticPr fontId="0" type="noConversion"/>
  <dataValidations count="2">
    <dataValidation operator="equal" allowBlank="1" showErrorMessage="1" errorTitle="Выбор элемента списка" error="Данного элемента нет в списке" sqref="J8:J17 O8:P8 O7 O9:O22 D8:I65535"/>
    <dataValidation type="list" operator="equal" allowBlank="1" showErrorMessage="1" errorTitle="Выбор элемента списка" error="Данного элемента нет в списке" sqref="C8:C17">
      <formula1>_ддс</formula1>
    </dataValidation>
  </dataValidations>
  <hyperlinks>
    <hyperlink ref="J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AddButtonsRowAdd">
                <anchor moveWithCells="1">
                  <from>
                    <xdr:col>2</xdr:col>
                    <xdr:colOff>3848100</xdr:colOff>
                    <xdr:row>1</xdr:row>
                    <xdr:rowOff>298450</xdr:rowOff>
                  </from>
                  <to>
                    <xdr:col>2</xdr:col>
                    <xdr:colOff>5257800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BL1500"/>
  <sheetViews>
    <sheetView topLeftCell="C4" zoomScale="62" zoomScaleNormal="62" workbookViewId="0">
      <selection activeCell="F17" sqref="F17"/>
    </sheetView>
  </sheetViews>
  <sheetFormatPr defaultColWidth="9.453125" defaultRowHeight="14.5"/>
  <cols>
    <col min="1" max="1" width="16.54296875" style="1598" hidden="1" customWidth="1"/>
    <col min="2" max="2" width="15.1796875" style="1163" hidden="1" customWidth="1"/>
    <col min="3" max="4" width="26.54296875" style="1563" customWidth="1"/>
    <col min="5" max="5" width="24" style="1564" customWidth="1"/>
    <col min="6" max="6" width="15.54296875" style="1163" customWidth="1"/>
    <col min="7" max="7" width="24.54296875" style="1163" customWidth="1"/>
    <col min="8" max="8" width="19.453125" style="1163" customWidth="1"/>
    <col min="9" max="9" width="17.453125" style="1163" customWidth="1"/>
    <col min="10" max="10" width="32" style="1163" customWidth="1"/>
    <col min="11" max="16" width="17.453125" style="1163" customWidth="1"/>
    <col min="17" max="17" width="19.54296875" style="1564" customWidth="1"/>
    <col min="18" max="21" width="20.453125" style="1564" customWidth="1"/>
    <col min="22" max="24" width="17.453125" style="1564" customWidth="1"/>
    <col min="25" max="25" width="22.54296875" style="1564" customWidth="1"/>
    <col min="26" max="26" width="21" style="1564" customWidth="1"/>
    <col min="27" max="30" width="17.453125" style="1163" customWidth="1"/>
    <col min="31" max="31" width="40.54296875" style="1163" customWidth="1"/>
    <col min="32" max="32" width="32.453125" style="1163" customWidth="1"/>
    <col min="33" max="33" width="27.54296875" style="1163" customWidth="1"/>
    <col min="34" max="34" width="37.54296875" style="1163" customWidth="1"/>
    <col min="35" max="35" width="38.453125" style="1163" customWidth="1"/>
    <col min="36" max="36" width="15.54296875" style="1163" customWidth="1"/>
    <col min="37" max="37" width="21.453125" style="1163" customWidth="1"/>
    <col min="38" max="38" width="27.453125" style="1163" customWidth="1"/>
    <col min="39" max="39" width="4.54296875" style="1163" customWidth="1"/>
    <col min="40" max="40" width="26.453125" style="1163" customWidth="1"/>
    <col min="41" max="41" width="20.453125" style="1163" customWidth="1"/>
    <col min="42" max="42" width="14.81640625" style="1163" customWidth="1"/>
    <col min="43" max="43" width="27.54296875" style="1163" customWidth="1"/>
    <col min="44" max="44" width="27.453125" style="1163" customWidth="1"/>
    <col min="45" max="45" width="20.453125" style="2830" customWidth="1"/>
    <col min="46" max="53" width="9.453125" style="1163"/>
    <col min="54" max="54" width="2.1796875" style="1163" hidden="1" customWidth="1"/>
    <col min="55" max="55" width="9.54296875" style="1163" bestFit="1" customWidth="1"/>
    <col min="56" max="56" width="10" style="1163" customWidth="1"/>
    <col min="57" max="57" width="13.453125" style="1163" customWidth="1"/>
    <col min="58" max="58" width="9.453125" style="1163"/>
    <col min="59" max="62" width="10.81640625" style="1163" bestFit="1" customWidth="1"/>
    <col min="63" max="63" width="13.54296875" style="1163" customWidth="1"/>
    <col min="64" max="64" width="16.54296875" style="1163" customWidth="1"/>
    <col min="65" max="16384" width="9.453125" style="1163"/>
  </cols>
  <sheetData>
    <row r="1" spans="1:64" s="1590" customFormat="1" ht="20.25" customHeight="1">
      <c r="A1" s="2027" t="s">
        <v>222</v>
      </c>
      <c r="B1" s="1657"/>
      <c r="C1" s="1658"/>
      <c r="D1" s="1658"/>
      <c r="E1" s="1657"/>
      <c r="F1" s="1657"/>
      <c r="G1" s="1657"/>
      <c r="H1" s="1657"/>
      <c r="I1" s="1657"/>
      <c r="J1" s="1657"/>
      <c r="K1" s="1657"/>
      <c r="L1" s="1657"/>
      <c r="M1" s="1657"/>
      <c r="N1" s="1657"/>
      <c r="O1" s="1657"/>
      <c r="P1" s="1657"/>
      <c r="Q1" s="1657"/>
      <c r="R1" s="1657"/>
      <c r="S1" s="1657"/>
      <c r="T1" s="1657"/>
      <c r="U1" s="1657"/>
      <c r="V1" s="1657"/>
      <c r="W1" s="1657"/>
      <c r="X1" s="1657"/>
      <c r="Y1" s="1657"/>
      <c r="Z1" s="1657"/>
      <c r="AA1" s="1657"/>
      <c r="AB1" s="1657"/>
      <c r="AC1" s="1657"/>
      <c r="AD1" s="1657"/>
      <c r="BB1" s="1590" t="s">
        <v>693</v>
      </c>
    </row>
    <row r="2" spans="1:64">
      <c r="A2" s="2028"/>
      <c r="F2" s="2130" t="b">
        <f>AND(B9:B5000)</f>
        <v>1</v>
      </c>
      <c r="AF2" s="1933"/>
    </row>
    <row r="3" spans="1:64" ht="26">
      <c r="A3" s="2028"/>
      <c r="C3" s="1659"/>
      <c r="D3" s="1659"/>
      <c r="E3" s="1163"/>
      <c r="F3" s="1897" t="s">
        <v>2067</v>
      </c>
      <c r="G3" s="1244">
        <f>Содержание!$D$2</f>
        <v>0</v>
      </c>
      <c r="Q3" s="1163"/>
      <c r="R3" s="1163"/>
      <c r="S3" s="1163"/>
      <c r="T3" s="1163"/>
      <c r="U3" s="1163"/>
      <c r="V3" s="1163"/>
      <c r="W3" s="1163"/>
      <c r="X3" s="1163"/>
      <c r="Y3" s="1163"/>
      <c r="Z3" s="1163"/>
    </row>
    <row r="4" spans="1:64" ht="26.5" thickBot="1">
      <c r="A4" s="2028"/>
      <c r="C4"/>
      <c r="E4" s="1163"/>
      <c r="F4" s="1897" t="s">
        <v>2075</v>
      </c>
      <c r="G4" s="1244" t="str">
        <f>Содержание!$D$15</f>
        <v>2022 год</v>
      </c>
      <c r="H4" s="3044" t="s">
        <v>1436</v>
      </c>
      <c r="Q4" s="1163"/>
      <c r="R4" s="1163"/>
      <c r="S4" s="1163"/>
      <c r="T4" s="1163"/>
      <c r="U4" s="1163"/>
      <c r="V4" s="1163"/>
      <c r="W4" s="1163"/>
      <c r="X4" s="1163"/>
      <c r="Y4" s="1163"/>
      <c r="Z4" s="1163"/>
    </row>
    <row r="5" spans="1:64">
      <c r="A5" s="2028"/>
      <c r="C5" s="3785" t="s">
        <v>1792</v>
      </c>
      <c r="D5" s="3838" t="s">
        <v>2850</v>
      </c>
      <c r="E5" s="3783" t="s">
        <v>5508</v>
      </c>
      <c r="F5" s="3677" t="s">
        <v>5382</v>
      </c>
      <c r="G5" s="3841" t="s">
        <v>3972</v>
      </c>
      <c r="H5" s="3677" t="s">
        <v>2215</v>
      </c>
      <c r="I5" s="3677" t="s">
        <v>2807</v>
      </c>
      <c r="J5" s="3783" t="s">
        <v>8394</v>
      </c>
      <c r="K5" s="3677" t="s">
        <v>5383</v>
      </c>
      <c r="L5" s="3677" t="s">
        <v>3100</v>
      </c>
      <c r="M5" s="3839" t="s">
        <v>5510</v>
      </c>
      <c r="N5" s="3677" t="s">
        <v>4208</v>
      </c>
      <c r="O5" s="3783" t="s">
        <v>3101</v>
      </c>
      <c r="P5" s="3677" t="s">
        <v>5385</v>
      </c>
      <c r="Q5" s="3677" t="s">
        <v>5386</v>
      </c>
      <c r="R5" s="3838" t="s">
        <v>4664</v>
      </c>
      <c r="S5" s="3783" t="s">
        <v>5412</v>
      </c>
      <c r="T5" s="3783" t="s">
        <v>5413</v>
      </c>
      <c r="U5" s="3783" t="s">
        <v>5411</v>
      </c>
      <c r="V5" s="3677" t="s">
        <v>5390</v>
      </c>
      <c r="W5" s="3677"/>
      <c r="X5" s="3677"/>
      <c r="Y5" s="3836" t="s">
        <v>1813</v>
      </c>
      <c r="Z5" s="3834" t="s">
        <v>4118</v>
      </c>
      <c r="AA5" s="3834" t="s">
        <v>4117</v>
      </c>
      <c r="AB5" s="3834" t="s">
        <v>4116</v>
      </c>
      <c r="AC5" s="3834" t="s">
        <v>4115</v>
      </c>
      <c r="AD5" s="3834" t="s">
        <v>4114</v>
      </c>
      <c r="AE5" s="3832" t="s">
        <v>4183</v>
      </c>
      <c r="AQ5" s="1163" t="s">
        <v>9929</v>
      </c>
      <c r="AR5" s="1163" t="s">
        <v>9932</v>
      </c>
      <c r="BC5" s="3789" t="s">
        <v>14240</v>
      </c>
      <c r="BD5" s="3789"/>
      <c r="BE5" s="3789"/>
      <c r="BF5" s="3830"/>
      <c r="BG5" s="3830"/>
      <c r="BH5" s="3830"/>
      <c r="BI5" s="3830"/>
      <c r="BJ5" s="3830"/>
    </row>
    <row r="6" spans="1:64" ht="45" customHeight="1" thickBot="1">
      <c r="A6" s="2028"/>
      <c r="C6" s="3843"/>
      <c r="D6" s="3724"/>
      <c r="E6" s="3777"/>
      <c r="F6" s="3775"/>
      <c r="G6" s="3842"/>
      <c r="H6" s="3775"/>
      <c r="I6" s="3775"/>
      <c r="J6" s="3807"/>
      <c r="K6" s="3775"/>
      <c r="L6" s="3775"/>
      <c r="M6" s="3840"/>
      <c r="N6" s="3775"/>
      <c r="O6" s="3777"/>
      <c r="P6" s="3775"/>
      <c r="Q6" s="3775"/>
      <c r="R6" s="3724"/>
      <c r="S6" s="3777"/>
      <c r="T6" s="3777"/>
      <c r="U6" s="3777"/>
      <c r="V6" s="15" t="s">
        <v>5261</v>
      </c>
      <c r="W6" s="15" t="s">
        <v>5262</v>
      </c>
      <c r="X6" s="15" t="s">
        <v>5263</v>
      </c>
      <c r="Y6" s="3837"/>
      <c r="Z6" s="3835"/>
      <c r="AA6" s="3835"/>
      <c r="AB6" s="3835"/>
      <c r="AC6" s="3835"/>
      <c r="AD6" s="3835"/>
      <c r="AE6" s="3833"/>
      <c r="AL6" s="2169" t="b">
        <f>AND(AL8:AL5000)</f>
        <v>1</v>
      </c>
      <c r="AP6" s="2169" t="b">
        <f>AND(AP8:AP5000)</f>
        <v>1</v>
      </c>
      <c r="AQ6" s="2169" t="b">
        <f ca="1">AND(AQ9:AQ5000)</f>
        <v>1</v>
      </c>
      <c r="AR6" s="2169" t="b">
        <f ca="1">AND(AR9:AR5000)</f>
        <v>1</v>
      </c>
      <c r="AS6" s="2169" t="b">
        <f>AND(AS9:AS5000)</f>
        <v>1</v>
      </c>
      <c r="BC6" s="2169" t="b">
        <f ca="1">AND(BC9:BC5000)</f>
        <v>1</v>
      </c>
      <c r="BD6" s="2169" t="b">
        <f t="shared" ref="BD6:BL6" ca="1" si="0">AND(BD9:BD5000)</f>
        <v>1</v>
      </c>
      <c r="BE6" s="2169" t="b">
        <f t="shared" ca="1" si="0"/>
        <v>1</v>
      </c>
      <c r="BF6" s="2169" t="b">
        <f t="shared" ca="1" si="0"/>
        <v>1</v>
      </c>
      <c r="BG6" s="2169" t="b">
        <f t="shared" ca="1" si="0"/>
        <v>1</v>
      </c>
      <c r="BH6" s="2169" t="b">
        <f t="shared" ca="1" si="0"/>
        <v>1</v>
      </c>
      <c r="BI6" s="2169" t="b">
        <f t="shared" ca="1" si="0"/>
        <v>1</v>
      </c>
      <c r="BJ6" s="2169" t="b">
        <f t="shared" ca="1" si="0"/>
        <v>1</v>
      </c>
      <c r="BK6" s="2169" t="b">
        <f t="shared" si="0"/>
        <v>1</v>
      </c>
      <c r="BL6" s="2169" t="b">
        <f t="shared" si="0"/>
        <v>1</v>
      </c>
    </row>
    <row r="7" spans="1:64" ht="117.5" thickBot="1">
      <c r="A7" s="2028"/>
      <c r="C7" s="3844"/>
      <c r="D7" s="15" t="s">
        <v>3009</v>
      </c>
      <c r="E7" s="15" t="s">
        <v>5532</v>
      </c>
      <c r="F7" s="39" t="s">
        <v>4219</v>
      </c>
      <c r="G7" s="39" t="s">
        <v>4219</v>
      </c>
      <c r="H7" s="39" t="s">
        <v>4219</v>
      </c>
      <c r="I7" s="39" t="s">
        <v>4219</v>
      </c>
      <c r="J7" s="159" t="s">
        <v>5247</v>
      </c>
      <c r="K7" s="39" t="s">
        <v>4219</v>
      </c>
      <c r="L7" s="39" t="s">
        <v>4219</v>
      </c>
      <c r="M7" s="39" t="s">
        <v>4219</v>
      </c>
      <c r="N7" s="39" t="s">
        <v>4219</v>
      </c>
      <c r="O7" s="39"/>
      <c r="P7" s="39" t="s">
        <v>4219</v>
      </c>
      <c r="Q7" s="39" t="s">
        <v>4219</v>
      </c>
      <c r="R7" s="39" t="s">
        <v>4219</v>
      </c>
      <c r="S7" s="15" t="s">
        <v>5249</v>
      </c>
      <c r="T7" s="15" t="s">
        <v>5251</v>
      </c>
      <c r="U7" s="15" t="s">
        <v>5248</v>
      </c>
      <c r="V7" s="39" t="s">
        <v>4219</v>
      </c>
      <c r="W7" s="39" t="s">
        <v>4219</v>
      </c>
      <c r="X7" s="39" t="s">
        <v>4219</v>
      </c>
      <c r="Y7" s="39" t="s">
        <v>4219</v>
      </c>
      <c r="Z7" s="39" t="s">
        <v>4219</v>
      </c>
      <c r="AA7" s="39" t="s">
        <v>4219</v>
      </c>
      <c r="AB7" s="39" t="s">
        <v>4219</v>
      </c>
      <c r="AC7" s="39" t="s">
        <v>4219</v>
      </c>
      <c r="AD7" s="471" t="s">
        <v>4219</v>
      </c>
      <c r="AE7" s="162"/>
      <c r="AF7" s="2076" t="s">
        <v>8682</v>
      </c>
      <c r="AG7" s="2076" t="s">
        <v>8741</v>
      </c>
      <c r="AH7" s="2076" t="s">
        <v>8740</v>
      </c>
      <c r="AI7" s="2076" t="s">
        <v>9657</v>
      </c>
      <c r="AJ7" s="2076" t="s">
        <v>6868</v>
      </c>
      <c r="AK7" s="2980" t="s">
        <v>8874</v>
      </c>
      <c r="AL7" s="3062" t="s">
        <v>9638</v>
      </c>
      <c r="AM7" s="3831"/>
      <c r="AN7" s="3789"/>
      <c r="AO7" s="3123" t="s">
        <v>9865</v>
      </c>
      <c r="AP7" s="3138" t="s">
        <v>9866</v>
      </c>
      <c r="AQ7" s="3204" t="s">
        <v>9931</v>
      </c>
      <c r="AR7" s="3205" t="s">
        <v>9930</v>
      </c>
      <c r="AS7" s="3224" t="s">
        <v>10020</v>
      </c>
      <c r="BC7" s="3410" t="s">
        <v>14252</v>
      </c>
      <c r="BD7" s="3410" t="s">
        <v>14253</v>
      </c>
      <c r="BE7" s="3410" t="s">
        <v>14254</v>
      </c>
      <c r="BF7" s="3410" t="s">
        <v>14255</v>
      </c>
      <c r="BG7" s="3410" t="s">
        <v>14256</v>
      </c>
      <c r="BH7" s="3410" t="s">
        <v>14257</v>
      </c>
      <c r="BI7" s="3410" t="s">
        <v>14258</v>
      </c>
      <c r="BJ7" s="3410" t="s">
        <v>14259</v>
      </c>
      <c r="BK7" s="3434" t="s">
        <v>14296</v>
      </c>
      <c r="BL7" s="3500" t="s">
        <v>14678</v>
      </c>
    </row>
    <row r="8" spans="1:64" s="705" customFormat="1">
      <c r="A8" s="2029"/>
      <c r="C8" s="1660" t="s">
        <v>4164</v>
      </c>
      <c r="D8" s="1652" t="s">
        <v>4165</v>
      </c>
      <c r="E8" s="1652" t="s">
        <v>4166</v>
      </c>
      <c r="F8" s="1652" t="s">
        <v>5500</v>
      </c>
      <c r="G8" s="1652" t="s">
        <v>4169</v>
      </c>
      <c r="H8" s="1652" t="s">
        <v>4168</v>
      </c>
      <c r="I8" s="1652" t="s">
        <v>4178</v>
      </c>
      <c r="J8" s="1652" t="s">
        <v>4179</v>
      </c>
      <c r="K8" s="1652" t="s">
        <v>4167</v>
      </c>
      <c r="L8" s="1652" t="s">
        <v>5501</v>
      </c>
      <c r="M8" s="1652" t="s">
        <v>4701</v>
      </c>
      <c r="N8" s="1652" t="s">
        <v>4702</v>
      </c>
      <c r="O8" s="1652" t="s">
        <v>4703</v>
      </c>
      <c r="P8" s="1652" t="s">
        <v>5502</v>
      </c>
      <c r="Q8" s="1652" t="s">
        <v>5503</v>
      </c>
      <c r="R8" s="1652" t="s">
        <v>5504</v>
      </c>
      <c r="S8" s="1652" t="s">
        <v>4853</v>
      </c>
      <c r="T8" s="1652" t="s">
        <v>4852</v>
      </c>
      <c r="U8" s="1652" t="s">
        <v>5505</v>
      </c>
      <c r="V8" s="1652" t="s">
        <v>4851</v>
      </c>
      <c r="W8" s="1652" t="s">
        <v>5506</v>
      </c>
      <c r="X8" s="1652" t="s">
        <v>4850</v>
      </c>
      <c r="Y8" s="1652" t="s">
        <v>3303</v>
      </c>
      <c r="Z8" s="1652" t="s">
        <v>3304</v>
      </c>
      <c r="AA8" s="1652" t="s">
        <v>3305</v>
      </c>
      <c r="AB8" s="1652" t="s">
        <v>3306</v>
      </c>
      <c r="AC8" s="1652" t="s">
        <v>3307</v>
      </c>
      <c r="AD8" s="1652" t="s">
        <v>3308</v>
      </c>
      <c r="AE8" s="1652" t="s">
        <v>3309</v>
      </c>
      <c r="AN8" s="2169"/>
      <c r="AO8" s="2169"/>
    </row>
    <row r="9" spans="1:64" s="1661" customFormat="1">
      <c r="A9" s="2064" t="str">
        <f>"R50="&amp;C9&amp;";R55="&amp;MID(F9,1,100)&amp;";R2="&amp;IFERROR(MID(D9,FIND("{",D9)+1,FIND("}",D9)-FIND("{",D9)-1),"")&amp;";R3="&amp;IFERROR(MID(E9,FIND("{",E9)+1,FIND("}",E9)-FIND("{",E9)-1),"")&amp;";R42="&amp;MID(IF(J9&lt;&gt;"",J9,I9),1,30)&amp;";R57="&amp;MID(H9,1,60)&amp;";R4="&amp;G9&amp;";R5="&amp;K9&amp;";R6="&amp;L9&amp;";R7="&amp;N9&amp;";R8="&amp;O9&amp;";R9="&amp;IFERROR(MID(P9,FIND("{",P9)+1,FIND("}",P9)-FIND("{",P9)-1),"")&amp;";R10="&amp;MID(Q9,1,60)&amp;";R11="&amp;IFERROR(MID(R9,FIND("{",R9)+1,FIND("}",R9)-FIND("{",R9)-1),"")&amp;";R12="&amp;IFERROR(MID(S9,FIND("{",S9)+1,FIND("}",S9)-FIND("{",S9)-1),"")&amp;";R13="&amp;IFERROR(MID(T9,FIND("{",T9)+1,FIND("}",T9)-FIND("{",T9)-1),"")&amp;";R14="&amp;IFERROR(MID(U9,FIND("{",U9)+1,FIND("}",U9)-FIND("{",U9)-1),"")&amp;";R15="&amp;IFERROR(MID(V9,FIND("{",V9)+1,FIND("}",V9)-FIND("{",V9)-1),"")&amp;";R16="&amp;W9&amp;";R17="&amp;X9&amp;";R18="&amp;MID(Y9,1,60)&amp;";R19="&amp;MID(Z9,1,60)&amp;";R20="&amp;AA9&amp;";R21="&amp;AB9&amp;";R22="&amp;AC9&amp;";R23="&amp;AD9&amp;";R36="&amp;MID(J9,1,30)&amp;";R43="&amp;MID(I9,1,30)&amp;";COM="&amp;AE9</f>
        <v>R50=;R55=;R2=;R3=;R42=;R57=;R4=;R5=;R6=;R7=;R8=;R9=;R10=;R11=;R12=;R13=;R14=;R15=;R16=;R17=;R18=;R19=;R20=;R21=;R22=;R23=;R36=;R43=;COM=</v>
      </c>
      <c r="B9" s="2428" t="b">
        <f>IF(COUNTIF(F9,"*№*"),FALSE,TRUE)</f>
        <v>1</v>
      </c>
      <c r="C9" s="1311" t="str">
        <f>IF(F9="",IF(I9="",IF(G9="","",TEXT(G9,"дд.ММ.гггг")),I9&amp;" "&amp;TEXT(G9,"дд.ММ.гггг")),F9&amp;" "&amp;I9&amp;" "&amp;TEXT(G9,"дд.ММ.гггг"))</f>
        <v/>
      </c>
      <c r="D9" s="1301"/>
      <c r="E9" s="1302"/>
      <c r="F9" s="1303"/>
      <c r="G9" s="1304"/>
      <c r="H9" s="1303"/>
      <c r="I9" s="1303"/>
      <c r="J9" s="1303"/>
      <c r="K9" s="1304"/>
      <c r="L9" s="1542"/>
      <c r="M9" s="1312">
        <f t="shared" ref="M9:M14" si="1">N9-L9</f>
        <v>0</v>
      </c>
      <c r="N9" s="1305"/>
      <c r="O9" s="1306"/>
      <c r="P9" s="1303"/>
      <c r="Q9" s="1302"/>
      <c r="R9" s="1302"/>
      <c r="S9" s="1302"/>
      <c r="T9" s="1302"/>
      <c r="U9" s="1307"/>
      <c r="V9" s="1309"/>
      <c r="W9" s="1909"/>
      <c r="X9" s="1909"/>
      <c r="Y9" s="1308"/>
      <c r="Z9" s="1308"/>
      <c r="AA9" s="1984"/>
      <c r="AB9" s="1984"/>
      <c r="AC9" s="1984"/>
      <c r="AD9" s="1984"/>
      <c r="AE9" s="1310"/>
      <c r="AF9" s="2197" t="b">
        <f>AND(IF(I9="Физические лица",TEXT(J9,"#")="10000",TRUE),IF(TEXT(J9,"#")="10000",I9="Физические лица",TRUE))</f>
        <v>1</v>
      </c>
      <c r="AG9" s="2197" t="b">
        <f>IF(H9&gt;0,OR(AND($I9&lt;&gt;"",$J9=""),AND($I9="",$J9&lt;&gt;""),AND($I9&lt;&gt;"",$J9&lt;&gt;"")),TRUE)</f>
        <v>1</v>
      </c>
      <c r="AH9" s="2388" t="b">
        <f>IF(AE9="ДП",TRUE,IF(TRIM($C9)&lt;&gt;"",OR(AND($D9&lt;&gt;"",$E9=""),AND($D9="",$E9&lt;&gt;"")),TRUE))</f>
        <v>1</v>
      </c>
      <c r="AI9" s="2232" t="b">
        <f>IF(F9&lt;&gt;0,NOT(OR(TEXT(J9,"#")="10011",TEXT(J9,"#")="10015",I9="Внешние контрагенты",I9="Гос.контракты",IFERROR(VLOOKUP($G$3,Список_компаний!A:D,3,0)=J9,FALSE),IFERROR(VLOOKUP($G$3,Список_компаний!A:D,2,0)=I9,FALSE))),TRUE)</f>
        <v>1</v>
      </c>
      <c r="AJ9" s="2232" t="b">
        <f>IF(OR(AND($D9&lt;&gt;"",$D9&lt;&gt;"{11} Акции",$D9&lt;&gt;"{12} Паи и доли",$E9=""),AND($D9="",$E9&lt;&gt;"")),AND($W9&lt;&gt;""),TRUE)</f>
        <v>1</v>
      </c>
      <c r="AK9" s="2232">
        <f>N9-K9</f>
        <v>0</v>
      </c>
      <c r="AL9" s="2232" t="b">
        <f>IF(F9="",TRUE,AND(G9&lt;&gt;"",K9&lt;&gt;""))</f>
        <v>1</v>
      </c>
      <c r="AM9" s="24"/>
      <c r="AN9" s="2038"/>
      <c r="AO9" s="2038" t="b">
        <f>IF(F9&lt;&gt;"",P9&lt;&gt;"",TRUE)</f>
        <v>1</v>
      </c>
      <c r="AP9" s="2197" t="b">
        <f>IF(AND(TYPE(W9)=1,TYPE(X9)=1),TRUE,FALSE)</f>
        <v>1</v>
      </c>
      <c r="AQ9" s="2038" t="b">
        <f ca="1">IF(D9="",TRUE,IF(IFERROR(VLOOKUP(D9,INDIRECT(AQ$5),1,FALSE),FALSE)=FALSE,TRUE,AND(T9="",U9="")))</f>
        <v>1</v>
      </c>
      <c r="AR9" s="2127" t="b">
        <f ca="1">IF(D9="",TRUE,IF(IFERROR(VLOOKUP(D9,INDIRECT(AR$5),1,FALSE),FALSE)=FALSE,TRUE,T9=""))</f>
        <v>1</v>
      </c>
      <c r="AS9" s="2127" t="b">
        <f>IF(D9="",TRUE,IF(D9="{11} Акции",S9&lt;&gt;"",S9=""))</f>
        <v>1</v>
      </c>
      <c r="AT9" s="2127" t="s">
        <v>7145</v>
      </c>
      <c r="BB9" s="1661" t="str">
        <f t="shared" ref="BB9:BB19" si="2">"X"</f>
        <v>X</v>
      </c>
      <c r="BC9" s="2127" t="b">
        <f ca="1">IF(ISBLANK(G9),TRUE,IF(CELL("формат",G9)="D1",AND(LEN(TEXT(G9,"ДД.мм.ГГГГ"))=10,NOT(ISERR(SEARCH("??.??.????",TEXT(G9,"ДД.мм.ГГГГ"))))),AND(NOT(ISERROR(DATEVALUE(G9))),LEN(G9)=10,NOT(ISERR(SEARCH("??.??.????",TEXT(G9,"ДД.мм.ГГГГ")))))))</f>
        <v>1</v>
      </c>
      <c r="BD9" s="2127" t="b">
        <f ca="1">IF(ISBLANK(K9),TRUE,IF(CELL("формат",K9)="D1",AND(LEN(TEXT(K9,"ДД.мм.ГГГГ"))=10,NOT(ISERR(SEARCH("??.??.????",TEXT(K9,"ДД.мм.ГГГГ"))))),AND(NOT(ISERROR(DATEVALUE(K9))),LEN(K9)=10,NOT(ISERR(SEARCH("??.??.????",TEXT(K9,"ДД.мм.ГГГГ")))))))</f>
        <v>1</v>
      </c>
      <c r="BE9" s="2127" t="b">
        <f ca="1">IF(ISBLANK(L9),TRUE,IF(CELL("формат",L9)="D1",AND(LEN(TEXT(L9,"ДД.мм.ГГГГ"))=10,NOT(ISERR(SEARCH("??.??.????",TEXT(L9,"ДД.мм.ГГГГ"))))),AND(NOT(ISERROR(DATEVALUE(L9))),LEN(L9)=10,NOT(ISERR(SEARCH("??.??.????",TEXT(L9,"ДД.мм.ГГГГ")))))))</f>
        <v>1</v>
      </c>
      <c r="BF9" s="2127" t="b">
        <f ca="1">IF(ISBLANK(N9),TRUE,IF(CELL("формат",N9)="D1",AND(LEN(TEXT(N9,"ДД.мм.ГГГГ"))=10,NOT(ISERR(SEARCH("??.??.????",TEXT(N9,"ДД.мм.ГГГГ"))))),AND(NOT(ISERROR(DATEVALUE(N9))),LEN(N9)=10,NOT(ISERR(SEARCH("??.??.????",TEXT(N9,"ДД.мм.ГГГГ")))))))</f>
        <v>1</v>
      </c>
      <c r="BG9" s="2127" t="b">
        <f ca="1">IF(ISBLANK(AA9),TRUE,IF(CELL("формат",AA9)="D1",AND(LEN(TEXT(AA9,"ДД.мм.ГГГГ"))=10,NOT(ISERR(SEARCH("??.??.????",TEXT(AA9,"ДД.мм.ГГГГ"))))),AND(NOT(ISERROR(DATEVALUE(AA9))),LEN(AA9)=10,NOT(ISERR(SEARCH("??.??.????",TEXT(AA9,"ДД.мм.ГГГГ")))))))</f>
        <v>1</v>
      </c>
      <c r="BH9" s="2127" t="b">
        <f ca="1">IF(ISBLANK(AB9),TRUE,IF(CELL("формат",AB9)="D1",AND(LEN(TEXT(AB9,"ДД.мм.ГГГГ"))=10,NOT(ISERR(SEARCH("??.??.????",TEXT(AB9,"ДД.мм.ГГГГ"))))),AND(NOT(ISERROR(DATEVALUE(AB9))),LEN(AB9)=10,NOT(ISERR(SEARCH("??.??.????",TEXT(AB9,"ДД.мм.ГГГГ")))))))</f>
        <v>1</v>
      </c>
      <c r="BI9" s="2127" t="b">
        <f ca="1">IF(ISBLANK(AC9),TRUE,IF(CELL("формат",AC9)="D1",AND(LEN(TEXT(AC9,"ДД.мм.ГГГГ"))=10,NOT(ISERR(SEARCH("??.??.????",TEXT(AC9,"ДД.мм.ГГГГ"))))),AND(NOT(ISERROR(DATEVALUE(AC9))),LEN(AC9)=10,NOT(ISERR(SEARCH("??.??.????",TEXT(AC9,"ДД.мм.ГГГГ")))))))</f>
        <v>1</v>
      </c>
      <c r="BJ9" s="2127" t="b">
        <f ca="1">IF(ISBLANK(AD9),TRUE,IF(CELL("формат",AD9)="D1",AND(LEN(TEXT(AD9,"ДД.мм.ГГГГ"))=10,NOT(ISERR(SEARCH("??.??.????",TEXT(AD9,"ДД.мм.ГГГГ"))))),AND(NOT(ISERROR(DATEVALUE(AD9))),LEN(AD9)=10,NOT(ISERR(SEARCH("??.??.????",TEXT(AD9,"ДД.мм.ГГГГ")))))))</f>
        <v>1</v>
      </c>
      <c r="BK9" s="2127" t="b">
        <f>IF(COUNTIF(F9,"*№*")=1,FALSE,IF(COUNTIF(F9,"*договор*")=1,FALSE,IF(COUNTIF(F9,"*контракт*")=1,FALSE,TRUE)))</f>
        <v>1</v>
      </c>
      <c r="BL9" s="2127" t="b">
        <f>IF(ISNA(VLOOKUP(C9,'76_01_%'!C:L,10,0))=FALSE,W9&gt;0,TRUE)</f>
        <v>1</v>
      </c>
    </row>
    <row r="10" spans="1:64" s="1661" customFormat="1">
      <c r="A10" s="2064" t="str">
        <f t="shared" ref="A10:A18" si="3">"R50="&amp;C10&amp;";R55="&amp;MID(F10,1,100)&amp;";R2="&amp;IFERROR(MID(D10,FIND("{",D10)+1,FIND("}",D10)-FIND("{",D10)-1),"")&amp;";R3="&amp;IFERROR(MID(E10,FIND("{",E10)+1,FIND("}",E10)-FIND("{",E10)-1),"")&amp;";R42="&amp;MID(IF(J10&lt;&gt;"",J10,I10),1,30)&amp;";R57="&amp;MID(H10,1,60)&amp;";R4="&amp;G10&amp;";R5="&amp;K10&amp;";R6="&amp;L10&amp;";R7="&amp;N10&amp;";R8="&amp;O10&amp;";R9="&amp;IFERROR(MID(P10,FIND("{",P10)+1,FIND("}",P10)-FIND("{",P10)-1),"")&amp;";R10="&amp;MID(Q10,1,60)&amp;";R11="&amp;IFERROR(MID(R10,FIND("{",R10)+1,FIND("}",R10)-FIND("{",R10)-1),"")&amp;";R12="&amp;IFERROR(MID(S10,FIND("{",S10)+1,FIND("}",S10)-FIND("{",S10)-1),"")&amp;";R13="&amp;IFERROR(MID(T10,FIND("{",T10)+1,FIND("}",T10)-FIND("{",T10)-1),"")&amp;";R14="&amp;IFERROR(MID(U10,FIND("{",U10)+1,FIND("}",U10)-FIND("{",U10)-1),"")&amp;";R15="&amp;IFERROR(MID(V10,FIND("{",V10)+1,FIND("}",V10)-FIND("{",V10)-1),"")&amp;";R16="&amp;W10&amp;";R17="&amp;X10&amp;";R18="&amp;MID(Y10,1,60)&amp;";R19="&amp;MID(Z10,1,60)&amp;";R20="&amp;AA10&amp;";R21="&amp;AB10&amp;";R22="&amp;AC10&amp;";R23="&amp;AD10&amp;";R36="&amp;MID(J10,1,30)&amp;";R43="&amp;MID(I10,1,30)&amp;";COM="&amp;AE10</f>
        <v>R50=;R55=;R2=;R3=;R42=;R57=;R4=;R5=;R6=;R7=;R8=;R9=;R10=;R11=;R12=;R13=;R14=;R15=;R16=;R17=;R18=;R19=;R20=;R21=;R22=;R23=;R36=;R43=;COM=</v>
      </c>
      <c r="B10" s="2428" t="b">
        <f t="shared" ref="B10:B15" si="4">IF(COUNTIF(F10,"*№*"),FALSE,TRUE)</f>
        <v>1</v>
      </c>
      <c r="C10" s="1311" t="str">
        <f t="shared" ref="C10:C17" si="5">IF(F10="",IF(I10="",IF(G10="","",TEXT(G10,"дд.ММ.гггг")),I10&amp;" "&amp;TEXT(G10,"дд.ММ.гггг")),F10&amp;" "&amp;I10&amp;" "&amp;TEXT(G10,"дд.ММ.гггг"))</f>
        <v/>
      </c>
      <c r="D10" s="1301"/>
      <c r="E10" s="1302"/>
      <c r="F10" s="1303"/>
      <c r="G10" s="1304"/>
      <c r="H10" s="1303"/>
      <c r="I10" s="1303"/>
      <c r="J10" s="1303"/>
      <c r="K10" s="1304"/>
      <c r="L10" s="1542"/>
      <c r="M10" s="1312">
        <f t="shared" si="1"/>
        <v>0</v>
      </c>
      <c r="N10" s="1305"/>
      <c r="O10" s="1306"/>
      <c r="P10" s="1303"/>
      <c r="Q10" s="1302"/>
      <c r="R10" s="1302"/>
      <c r="S10" s="1302"/>
      <c r="T10" s="1302"/>
      <c r="U10" s="1307"/>
      <c r="V10" s="1309"/>
      <c r="W10" s="1909"/>
      <c r="X10" s="1909"/>
      <c r="Y10" s="1308"/>
      <c r="Z10" s="1308"/>
      <c r="AA10" s="1984"/>
      <c r="AB10" s="1984"/>
      <c r="AC10" s="1984"/>
      <c r="AD10" s="1984"/>
      <c r="AE10" s="1310"/>
      <c r="AF10" s="2197" t="b">
        <f t="shared" ref="AF10:AF15" si="6">AND(IF(I10="Физические лица",TEXT(J10,"#")="10000",TRUE),IF(TEXT(J10,"#")="10000",I10="Физические лица",TRUE))</f>
        <v>1</v>
      </c>
      <c r="AG10" s="2197" t="b">
        <f t="shared" ref="AG10:AG15" si="7">IF(H10&gt;0,OR(AND($I10&lt;&gt;"",$J10=""),AND($I10="",$J10&lt;&gt;""),AND($I10&lt;&gt;"",$J10&lt;&gt;"")),TRUE)</f>
        <v>1</v>
      </c>
      <c r="AH10" s="2388" t="b">
        <f t="shared" ref="AH10:AH15" si="8">IF(AE10="ДП",TRUE,IF(TRIM($C10)&lt;&gt;"",OR(AND($D10&lt;&gt;"",$E10=""),AND($D10="",$E10&lt;&gt;"")),TRUE))</f>
        <v>1</v>
      </c>
      <c r="AI10" s="2232" t="b">
        <f>IF(F10&lt;&gt;0,NOT(OR(TEXT(J10,"#")="10011",TEXT(J10,"#")="10015",I10="Внешние контрагенты",I10="Гос.контракты",IFERROR(VLOOKUP($G$3,Список_компаний!A:D,3,0)=J10,FALSE),IFERROR(VLOOKUP($G$3,Список_компаний!A:D,2,0)=I10,FALSE))),TRUE)</f>
        <v>1</v>
      </c>
      <c r="AJ10" s="2232" t="b">
        <f t="shared" ref="AJ10:AJ19" si="9">IF(OR(AND($D10&lt;&gt;"",$D10&lt;&gt;"{11} Акции",$D10&lt;&gt;"{12} Паи и доли",$E10=""),AND($D10="",$E10&lt;&gt;"")),AND($W10&lt;&gt;""),TRUE)</f>
        <v>1</v>
      </c>
      <c r="AK10" s="2232">
        <f t="shared" ref="AK10:AK15" si="10">N10-K10</f>
        <v>0</v>
      </c>
      <c r="AL10" s="2232" t="b">
        <f t="shared" ref="AL10:AL15" si="11">IF(F10="",TRUE,AND(G10&lt;&gt;"",K10&lt;&gt;""))</f>
        <v>1</v>
      </c>
      <c r="AM10" s="24"/>
      <c r="AN10" s="2038"/>
      <c r="AO10" s="2038" t="b">
        <f t="shared" ref="AO10:AO17" si="12">IF(F10&lt;&gt;"",P10&lt;&gt;"",TRUE)</f>
        <v>1</v>
      </c>
      <c r="AP10" s="2197" t="b">
        <f t="shared" ref="AP10:AP18" si="13">IF(AND(TYPE(W10)=1,TYPE(X10)=1),TRUE,FALSE)</f>
        <v>1</v>
      </c>
      <c r="AQ10" s="2038" t="b">
        <f t="shared" ref="AQ10:AQ18" ca="1" si="14">IF(D10="",TRUE,IF(IFERROR(VLOOKUP(D10,INDIRECT(AQ$5),1,FALSE),FALSE)=FALSE,TRUE,AND(T10="",U10="")))</f>
        <v>1</v>
      </c>
      <c r="AR10" s="2127" t="b">
        <f t="shared" ref="AR10:AR18" ca="1" si="15">IF(D10="",TRUE,IF(IFERROR(VLOOKUP(D10,INDIRECT(AR$5),1,FALSE),FALSE)=FALSE,TRUE,T10=""))</f>
        <v>1</v>
      </c>
      <c r="AS10" s="2127" t="b">
        <f t="shared" ref="AS10:AS19" si="16">IF(D10="",TRUE,IF(D10="{11} Акции",S10&lt;&gt;"",S10=""))</f>
        <v>1</v>
      </c>
      <c r="AT10" s="2127" t="s">
        <v>3003</v>
      </c>
      <c r="BB10" s="2428" t="str">
        <f t="shared" si="2"/>
        <v>X</v>
      </c>
      <c r="BC10" s="2127" t="b">
        <f t="shared" ref="BC10:BC19" ca="1" si="17">IF(ISBLANK(G10),TRUE,IF(CELL("формат",G10)="D1",AND(LEN(TEXT(G10,"ДД.мм.ГГГГ"))=10,NOT(ISERR(SEARCH("??.??.????",TEXT(G10,"ДД.мм.ГГГГ"))))),AND(NOT(ISERROR(DATEVALUE(G10))),LEN(G10)=10,NOT(ISERR(SEARCH("??.??.????",TEXT(G10,"ДД.мм.ГГГГ")))))))</f>
        <v>1</v>
      </c>
      <c r="BD10" s="2127" t="b">
        <f t="shared" ref="BD10:BD19" ca="1" si="18">IF(ISBLANK(K10),TRUE,IF(CELL("формат",K10)="D1",AND(LEN(TEXT(K10,"ДД.мм.ГГГГ"))=10,NOT(ISERR(SEARCH("??.??.????",TEXT(K10,"ДД.мм.ГГГГ"))))),AND(NOT(ISERROR(DATEVALUE(K10))),LEN(K10)=10,NOT(ISERR(SEARCH("??.??.????",TEXT(K10,"ДД.мм.ГГГГ")))))))</f>
        <v>1</v>
      </c>
      <c r="BE10" s="2127" t="b">
        <f t="shared" ref="BE10:BE19" ca="1" si="19">IF(ISBLANK(L10),TRUE,IF(CELL("формат",L10)="D1",AND(LEN(TEXT(L10,"ДД.мм.ГГГГ"))=10,NOT(ISERR(SEARCH("??.??.????",TEXT(L10,"ДД.мм.ГГГГ"))))),AND(NOT(ISERROR(DATEVALUE(L10))),LEN(L10)=10,NOT(ISERR(SEARCH("??.??.????",TEXT(L10,"ДД.мм.ГГГГ")))))))</f>
        <v>1</v>
      </c>
      <c r="BF10" s="2127" t="b">
        <f t="shared" ref="BF10:BF19" ca="1" si="20">IF(ISBLANK(N10),TRUE,IF(CELL("формат",N10)="D1",AND(LEN(TEXT(N10,"ДД.мм.ГГГГ"))=10,NOT(ISERR(SEARCH("??.??.????",TEXT(N10,"ДД.мм.ГГГГ"))))),AND(NOT(ISERROR(DATEVALUE(N10))),LEN(N10)=10,NOT(ISERR(SEARCH("??.??.????",TEXT(N10,"ДД.мм.ГГГГ")))))))</f>
        <v>1</v>
      </c>
      <c r="BG10" s="2127" t="b">
        <f t="shared" ref="BG10:BG19" ca="1" si="21">IF(ISBLANK(AA10),TRUE,IF(CELL("формат",AA10)="D1",AND(LEN(TEXT(AA10,"ДД.мм.ГГГГ"))=10,NOT(ISERR(SEARCH("??.??.????",TEXT(AA10,"ДД.мм.ГГГГ"))))),AND(NOT(ISERROR(DATEVALUE(AA10))),LEN(AA10)=10,NOT(ISERR(SEARCH("??.??.????",TEXT(AA10,"ДД.мм.ГГГГ")))))))</f>
        <v>1</v>
      </c>
      <c r="BH10" s="2127" t="b">
        <f t="shared" ref="BH10:BH19" ca="1" si="22">IF(ISBLANK(AB10),TRUE,IF(CELL("формат",AB10)="D1",AND(LEN(TEXT(AB10,"ДД.мм.ГГГГ"))=10,NOT(ISERR(SEARCH("??.??.????",TEXT(AB10,"ДД.мм.ГГГГ"))))),AND(NOT(ISERROR(DATEVALUE(AB10))),LEN(AB10)=10,NOT(ISERR(SEARCH("??.??.????",TEXT(AB10,"ДД.мм.ГГГГ")))))))</f>
        <v>1</v>
      </c>
      <c r="BI10" s="2127" t="b">
        <f t="shared" ref="BI10:BI19" ca="1" si="23">IF(ISBLANK(AC10),TRUE,IF(CELL("формат",AC10)="D1",AND(LEN(TEXT(AC10,"ДД.мм.ГГГГ"))=10,NOT(ISERR(SEARCH("??.??.????",TEXT(AC10,"ДД.мм.ГГГГ"))))),AND(NOT(ISERROR(DATEVALUE(AC10))),LEN(AC10)=10,NOT(ISERR(SEARCH("??.??.????",TEXT(AC10,"ДД.мм.ГГГГ")))))))</f>
        <v>1</v>
      </c>
      <c r="BJ10" s="2127" t="b">
        <f t="shared" ref="BJ10:BJ19" ca="1" si="24">IF(ISBLANK(AD10),TRUE,IF(CELL("формат",AD10)="D1",AND(LEN(TEXT(AD10,"ДД.мм.ГГГГ"))=10,NOT(ISERR(SEARCH("??.??.????",TEXT(AD10,"ДД.мм.ГГГГ"))))),AND(NOT(ISERROR(DATEVALUE(AD10))),LEN(AD10)=10,NOT(ISERR(SEARCH("??.??.????",TEXT(AD10,"ДД.мм.ГГГГ")))))))</f>
        <v>1</v>
      </c>
      <c r="BK10" s="2127" t="b">
        <f t="shared" ref="BK10:BK19" si="25">IF(COUNTIF(F10,"*№*")=1,FALSE,IF(COUNTIF(F10,"*договор*")=1,FALSE,IF(COUNTIF(F10,"*контракт*")=1,FALSE,TRUE)))</f>
        <v>1</v>
      </c>
      <c r="BL10" s="2127" t="b">
        <f>IF(ISNA(VLOOKUP(C10,'76_01_%'!C:L,10,0))=FALSE,W10&gt;0,TRUE)</f>
        <v>1</v>
      </c>
    </row>
    <row r="11" spans="1:64" s="1661" customFormat="1">
      <c r="A11" s="2064" t="str">
        <f t="shared" si="3"/>
        <v>R50=;R55=;R2=;R3=;R42=;R57=;R4=;R5=;R6=;R7=;R8=;R9=;R10=;R11=;R12=;R13=;R14=;R15=;R16=;R17=;R18=;R19=;R20=;R21=;R22=;R23=;R36=;R43=;COM=</v>
      </c>
      <c r="B11" s="2428" t="b">
        <f t="shared" si="4"/>
        <v>1</v>
      </c>
      <c r="C11" s="1311" t="str">
        <f t="shared" si="5"/>
        <v/>
      </c>
      <c r="D11" s="1301"/>
      <c r="E11" s="1302"/>
      <c r="F11" s="1303"/>
      <c r="G11" s="1304"/>
      <c r="H11" s="1303"/>
      <c r="I11" s="1303"/>
      <c r="J11" s="1303"/>
      <c r="K11" s="1304"/>
      <c r="L11" s="1542"/>
      <c r="M11" s="1312">
        <f t="shared" si="1"/>
        <v>0</v>
      </c>
      <c r="N11" s="1305"/>
      <c r="O11" s="1306"/>
      <c r="P11" s="1303"/>
      <c r="Q11" s="1302"/>
      <c r="R11" s="1302"/>
      <c r="S11" s="1302"/>
      <c r="T11" s="1302"/>
      <c r="U11" s="1307"/>
      <c r="V11" s="1309"/>
      <c r="W11" s="1909"/>
      <c r="X11" s="1909"/>
      <c r="Y11" s="1308"/>
      <c r="Z11" s="1308"/>
      <c r="AA11" s="1984"/>
      <c r="AB11" s="1984"/>
      <c r="AC11" s="1984"/>
      <c r="AD11" s="1984"/>
      <c r="AE11" s="1310"/>
      <c r="AF11" s="2197" t="b">
        <f t="shared" si="6"/>
        <v>1</v>
      </c>
      <c r="AG11" s="2197" t="b">
        <f t="shared" si="7"/>
        <v>1</v>
      </c>
      <c r="AH11" s="2388" t="b">
        <f t="shared" si="8"/>
        <v>1</v>
      </c>
      <c r="AI11" s="2232" t="b">
        <f>IF(F11&lt;&gt;0,NOT(OR(TEXT(J11,"#")="10011",TEXT(J11,"#")="10015",I11="Внешние контрагенты",I11="Гос.контракты",IFERROR(VLOOKUP($G$3,Список_компаний!A:D,3,0)=J11,FALSE),IFERROR(VLOOKUP($G$3,Список_компаний!A:D,2,0)=I11,FALSE))),TRUE)</f>
        <v>1</v>
      </c>
      <c r="AJ11" s="2232" t="b">
        <f t="shared" si="9"/>
        <v>1</v>
      </c>
      <c r="AK11" s="2232">
        <f t="shared" si="10"/>
        <v>0</v>
      </c>
      <c r="AL11" s="2232" t="b">
        <f t="shared" si="11"/>
        <v>1</v>
      </c>
      <c r="AM11" s="24"/>
      <c r="AN11" s="2038"/>
      <c r="AO11" s="2038" t="b">
        <f t="shared" si="12"/>
        <v>1</v>
      </c>
      <c r="AP11" s="2197" t="b">
        <f t="shared" si="13"/>
        <v>1</v>
      </c>
      <c r="AQ11" s="2038" t="b">
        <f t="shared" ca="1" si="14"/>
        <v>1</v>
      </c>
      <c r="AR11" s="2127" t="b">
        <f t="shared" ca="1" si="15"/>
        <v>1</v>
      </c>
      <c r="AS11" s="2127" t="b">
        <f t="shared" si="16"/>
        <v>1</v>
      </c>
      <c r="AT11" s="2127" t="s">
        <v>7146</v>
      </c>
      <c r="BB11" s="2428" t="str">
        <f t="shared" si="2"/>
        <v>X</v>
      </c>
      <c r="BC11" s="2127" t="b">
        <f t="shared" ca="1" si="17"/>
        <v>1</v>
      </c>
      <c r="BD11" s="2127" t="b">
        <f t="shared" ca="1" si="18"/>
        <v>1</v>
      </c>
      <c r="BE11" s="2127" t="b">
        <f t="shared" ca="1" si="19"/>
        <v>1</v>
      </c>
      <c r="BF11" s="2127" t="b">
        <f t="shared" ca="1" si="20"/>
        <v>1</v>
      </c>
      <c r="BG11" s="2127" t="b">
        <f t="shared" ca="1" si="21"/>
        <v>1</v>
      </c>
      <c r="BH11" s="2127" t="b">
        <f t="shared" ca="1" si="22"/>
        <v>1</v>
      </c>
      <c r="BI11" s="2127" t="b">
        <f t="shared" ca="1" si="23"/>
        <v>1</v>
      </c>
      <c r="BJ11" s="2127" t="b">
        <f t="shared" ca="1" si="24"/>
        <v>1</v>
      </c>
      <c r="BK11" s="2127" t="b">
        <f t="shared" si="25"/>
        <v>1</v>
      </c>
      <c r="BL11" s="2127" t="b">
        <f>IF(ISNA(VLOOKUP(C11,'76_01_%'!C:L,10,0))=FALSE,W11&gt;0,TRUE)</f>
        <v>1</v>
      </c>
    </row>
    <row r="12" spans="1:64" s="1661" customFormat="1">
      <c r="A12" s="2064" t="str">
        <f t="shared" si="3"/>
        <v>R50=;R55=;R2=;R3=;R42=;R57=;R4=;R5=;R6=;R7=;R8=;R9=;R10=;R11=;R12=;R13=;R14=;R15=;R16=;R17=;R18=;R19=;R20=;R21=;R22=;R23=;R36=;R43=;COM=</v>
      </c>
      <c r="B12" s="2428" t="b">
        <f t="shared" si="4"/>
        <v>1</v>
      </c>
      <c r="C12" s="1311" t="str">
        <f t="shared" si="5"/>
        <v/>
      </c>
      <c r="D12" s="1301"/>
      <c r="E12" s="1302"/>
      <c r="F12" s="1303"/>
      <c r="G12" s="1304"/>
      <c r="H12" s="1303"/>
      <c r="I12" s="1303"/>
      <c r="J12" s="1303"/>
      <c r="K12" s="1304"/>
      <c r="L12" s="1542"/>
      <c r="M12" s="1312">
        <f t="shared" si="1"/>
        <v>0</v>
      </c>
      <c r="N12" s="1305"/>
      <c r="O12" s="1306"/>
      <c r="P12" s="1303"/>
      <c r="Q12" s="1302"/>
      <c r="R12" s="1302"/>
      <c r="S12" s="1302"/>
      <c r="T12" s="1302"/>
      <c r="U12" s="1307"/>
      <c r="V12" s="1309"/>
      <c r="W12" s="1909"/>
      <c r="X12" s="1909"/>
      <c r="Y12" s="1308"/>
      <c r="Z12" s="1308"/>
      <c r="AA12" s="1984"/>
      <c r="AB12" s="1984"/>
      <c r="AC12" s="1984"/>
      <c r="AD12" s="1984"/>
      <c r="AE12" s="1310"/>
      <c r="AF12" s="2197" t="b">
        <f t="shared" si="6"/>
        <v>1</v>
      </c>
      <c r="AG12" s="2197" t="b">
        <f t="shared" si="7"/>
        <v>1</v>
      </c>
      <c r="AH12" s="2388" t="b">
        <f t="shared" si="8"/>
        <v>1</v>
      </c>
      <c r="AI12" s="2232" t="b">
        <f>IF(F12&lt;&gt;0,NOT(OR(TEXT(J12,"#")="10011",TEXT(J12,"#")="10015",I12="Внешние контрагенты",I12="Гос.контракты",IFERROR(VLOOKUP($G$3,Список_компаний!A:D,3,0)=J12,FALSE),IFERROR(VLOOKUP($G$3,Список_компаний!A:D,2,0)=I12,FALSE))),TRUE)</f>
        <v>1</v>
      </c>
      <c r="AJ12" s="2232" t="b">
        <f t="shared" si="9"/>
        <v>1</v>
      </c>
      <c r="AK12" s="2232">
        <f t="shared" si="10"/>
        <v>0</v>
      </c>
      <c r="AL12" s="2232" t="b">
        <f t="shared" si="11"/>
        <v>1</v>
      </c>
      <c r="AM12" s="24"/>
      <c r="AN12" s="2038"/>
      <c r="AO12" s="2038" t="b">
        <f t="shared" si="12"/>
        <v>1</v>
      </c>
      <c r="AP12" s="2197" t="b">
        <f t="shared" si="13"/>
        <v>1</v>
      </c>
      <c r="AQ12" s="2038" t="b">
        <f t="shared" ca="1" si="14"/>
        <v>1</v>
      </c>
      <c r="AR12" s="2127" t="b">
        <f t="shared" ca="1" si="15"/>
        <v>1</v>
      </c>
      <c r="AS12" s="2127" t="b">
        <f t="shared" si="16"/>
        <v>1</v>
      </c>
      <c r="AT12" s="2127" t="s">
        <v>3004</v>
      </c>
      <c r="BB12" s="2428" t="str">
        <f t="shared" si="2"/>
        <v>X</v>
      </c>
      <c r="BC12" s="2127" t="b">
        <f t="shared" ca="1" si="17"/>
        <v>1</v>
      </c>
      <c r="BD12" s="2127" t="b">
        <f t="shared" ca="1" si="18"/>
        <v>1</v>
      </c>
      <c r="BE12" s="2127" t="b">
        <f t="shared" ca="1" si="19"/>
        <v>1</v>
      </c>
      <c r="BF12" s="2127" t="b">
        <f t="shared" ca="1" si="20"/>
        <v>1</v>
      </c>
      <c r="BG12" s="2127" t="b">
        <f t="shared" ca="1" si="21"/>
        <v>1</v>
      </c>
      <c r="BH12" s="2127" t="b">
        <f t="shared" ca="1" si="22"/>
        <v>1</v>
      </c>
      <c r="BI12" s="2127" t="b">
        <f t="shared" ca="1" si="23"/>
        <v>1</v>
      </c>
      <c r="BJ12" s="2127" t="b">
        <f t="shared" ca="1" si="24"/>
        <v>1</v>
      </c>
      <c r="BK12" s="2127" t="b">
        <f t="shared" si="25"/>
        <v>1</v>
      </c>
      <c r="BL12" s="2127" t="b">
        <f>IF(ISNA(VLOOKUP(C12,'76_01_%'!C:L,10,0))=FALSE,W12&gt;0,TRUE)</f>
        <v>1</v>
      </c>
    </row>
    <row r="13" spans="1:64" s="1661" customFormat="1">
      <c r="A13" s="2064" t="str">
        <f t="shared" si="3"/>
        <v>R50=;R55=;R2=;R3=;R42=;R57=;R4=;R5=;R6=;R7=;R8=;R9=;R10=;R11=;R12=;R13=;R14=;R15=;R16=;R17=;R18=;R19=;R20=;R21=;R22=;R23=;R36=;R43=;COM=</v>
      </c>
      <c r="B13" s="2428" t="b">
        <f t="shared" si="4"/>
        <v>1</v>
      </c>
      <c r="C13" s="1311" t="str">
        <f t="shared" si="5"/>
        <v/>
      </c>
      <c r="D13" s="1301"/>
      <c r="E13" s="1302"/>
      <c r="F13" s="1303"/>
      <c r="G13" s="1304"/>
      <c r="H13" s="1303"/>
      <c r="I13" s="1303"/>
      <c r="J13" s="1303"/>
      <c r="K13" s="1304"/>
      <c r="L13" s="1542"/>
      <c r="M13" s="1312">
        <f t="shared" si="1"/>
        <v>0</v>
      </c>
      <c r="N13" s="1305"/>
      <c r="O13" s="1306"/>
      <c r="P13" s="1303"/>
      <c r="Q13" s="1302"/>
      <c r="R13" s="1302"/>
      <c r="S13" s="1302"/>
      <c r="T13" s="1302"/>
      <c r="U13" s="1307"/>
      <c r="V13" s="1309"/>
      <c r="W13" s="1909"/>
      <c r="X13" s="1909"/>
      <c r="Y13" s="1308"/>
      <c r="Z13" s="1308"/>
      <c r="AA13" s="1984"/>
      <c r="AB13" s="1984"/>
      <c r="AC13" s="1984"/>
      <c r="AD13" s="1984"/>
      <c r="AE13" s="1310"/>
      <c r="AF13" s="2197" t="b">
        <f t="shared" si="6"/>
        <v>1</v>
      </c>
      <c r="AG13" s="2197" t="b">
        <f t="shared" si="7"/>
        <v>1</v>
      </c>
      <c r="AH13" s="2388" t="b">
        <f t="shared" si="8"/>
        <v>1</v>
      </c>
      <c r="AI13" s="2232" t="b">
        <f>IF(F13&lt;&gt;0,NOT(OR(TEXT(J13,"#")="10011",TEXT(J13,"#")="10015",I13="Внешние контрагенты",I13="Гос.контракты",IFERROR(VLOOKUP($G$3,Список_компаний!A:D,3,0)=J13,FALSE),IFERROR(VLOOKUP($G$3,Список_компаний!A:D,2,0)=I13,FALSE))),TRUE)</f>
        <v>1</v>
      </c>
      <c r="AJ13" s="2232" t="b">
        <f t="shared" si="9"/>
        <v>1</v>
      </c>
      <c r="AK13" s="2232">
        <f t="shared" si="10"/>
        <v>0</v>
      </c>
      <c r="AL13" s="2232" t="b">
        <f t="shared" si="11"/>
        <v>1</v>
      </c>
      <c r="AM13" s="24"/>
      <c r="AN13" s="2038"/>
      <c r="AO13" s="2038" t="b">
        <f t="shared" si="12"/>
        <v>1</v>
      </c>
      <c r="AP13" s="2197" t="b">
        <f t="shared" si="13"/>
        <v>1</v>
      </c>
      <c r="AQ13" s="2038" t="b">
        <f t="shared" ca="1" si="14"/>
        <v>1</v>
      </c>
      <c r="AR13" s="2127" t="b">
        <f t="shared" ca="1" si="15"/>
        <v>1</v>
      </c>
      <c r="AS13" s="2127" t="b">
        <f t="shared" si="16"/>
        <v>1</v>
      </c>
      <c r="AT13" s="2127" t="s">
        <v>3005</v>
      </c>
      <c r="BB13" s="2428" t="str">
        <f t="shared" si="2"/>
        <v>X</v>
      </c>
      <c r="BC13" s="2127" t="b">
        <f t="shared" ca="1" si="17"/>
        <v>1</v>
      </c>
      <c r="BD13" s="2127" t="b">
        <f t="shared" ca="1" si="18"/>
        <v>1</v>
      </c>
      <c r="BE13" s="2127" t="b">
        <f t="shared" ca="1" si="19"/>
        <v>1</v>
      </c>
      <c r="BF13" s="2127" t="b">
        <f t="shared" ca="1" si="20"/>
        <v>1</v>
      </c>
      <c r="BG13" s="2127" t="b">
        <f t="shared" ca="1" si="21"/>
        <v>1</v>
      </c>
      <c r="BH13" s="2127" t="b">
        <f t="shared" ca="1" si="22"/>
        <v>1</v>
      </c>
      <c r="BI13" s="2127" t="b">
        <f t="shared" ca="1" si="23"/>
        <v>1</v>
      </c>
      <c r="BJ13" s="2127" t="b">
        <f t="shared" ca="1" si="24"/>
        <v>1</v>
      </c>
      <c r="BK13" s="2127" t="b">
        <f t="shared" si="25"/>
        <v>1</v>
      </c>
      <c r="BL13" s="2127" t="b">
        <f>IF(ISNA(VLOOKUP(C13,'76_01_%'!C:L,10,0))=FALSE,W13&gt;0,TRUE)</f>
        <v>1</v>
      </c>
    </row>
    <row r="14" spans="1:64" s="1661" customFormat="1">
      <c r="A14" s="2064" t="str">
        <f t="shared" si="3"/>
        <v>R50=;R55=;R2=;R3=;R42=;R57=;R4=;R5=;R6=;R7=;R8=;R9=;R10=;R11=;R12=;R13=;R14=;R15=;R16=;R17=;R18=;R19=;R20=;R21=;R22=;R23=;R36=;R43=;COM=</v>
      </c>
      <c r="B14" s="2428" t="b">
        <f t="shared" si="4"/>
        <v>1</v>
      </c>
      <c r="C14" s="1311" t="str">
        <f t="shared" si="5"/>
        <v/>
      </c>
      <c r="D14" s="1301"/>
      <c r="E14" s="1302"/>
      <c r="F14" s="1303"/>
      <c r="G14" s="1304"/>
      <c r="H14" s="1303"/>
      <c r="I14" s="1303"/>
      <c r="J14" s="1303"/>
      <c r="K14" s="1304"/>
      <c r="L14" s="1542"/>
      <c r="M14" s="1312">
        <f t="shared" si="1"/>
        <v>0</v>
      </c>
      <c r="N14" s="1305"/>
      <c r="O14" s="1306"/>
      <c r="P14" s="1303"/>
      <c r="Q14" s="1302"/>
      <c r="R14" s="1302"/>
      <c r="S14" s="1302"/>
      <c r="T14" s="1302"/>
      <c r="U14" s="1307"/>
      <c r="V14" s="1309"/>
      <c r="W14" s="1909"/>
      <c r="X14" s="1909"/>
      <c r="Y14" s="1308"/>
      <c r="Z14" s="1308"/>
      <c r="AA14" s="1984"/>
      <c r="AB14" s="1984"/>
      <c r="AC14" s="1984"/>
      <c r="AD14" s="1984"/>
      <c r="AE14" s="1310"/>
      <c r="AF14" s="2197" t="b">
        <f t="shared" si="6"/>
        <v>1</v>
      </c>
      <c r="AG14" s="2197" t="b">
        <f t="shared" si="7"/>
        <v>1</v>
      </c>
      <c r="AH14" s="2388" t="b">
        <f t="shared" si="8"/>
        <v>1</v>
      </c>
      <c r="AI14" s="2232" t="b">
        <f>IF(F14&lt;&gt;0,NOT(OR(TEXT(J14,"#")="10011",TEXT(J14,"#")="10015",I14="Внешние контрагенты",I14="Гос.контракты",IFERROR(VLOOKUP($G$3,Список_компаний!A:D,3,0)=J14,FALSE),IFERROR(VLOOKUP($G$3,Список_компаний!A:D,2,0)=I14,FALSE))),TRUE)</f>
        <v>1</v>
      </c>
      <c r="AJ14" s="2232" t="b">
        <f t="shared" si="9"/>
        <v>1</v>
      </c>
      <c r="AK14" s="2232">
        <f t="shared" si="10"/>
        <v>0</v>
      </c>
      <c r="AL14" s="2232" t="b">
        <f t="shared" si="11"/>
        <v>1</v>
      </c>
      <c r="AM14" s="24"/>
      <c r="AN14" s="2038"/>
      <c r="AO14" s="2038" t="b">
        <f t="shared" si="12"/>
        <v>1</v>
      </c>
      <c r="AP14" s="2197" t="b">
        <f t="shared" si="13"/>
        <v>1</v>
      </c>
      <c r="AQ14" s="2038" t="b">
        <f t="shared" ca="1" si="14"/>
        <v>1</v>
      </c>
      <c r="AR14" s="2127" t="b">
        <f t="shared" ca="1" si="15"/>
        <v>1</v>
      </c>
      <c r="AS14" s="2127" t="b">
        <f t="shared" si="16"/>
        <v>1</v>
      </c>
      <c r="AT14" s="2127" t="s">
        <v>3006</v>
      </c>
      <c r="BB14" s="2428" t="str">
        <f t="shared" si="2"/>
        <v>X</v>
      </c>
      <c r="BC14" s="2127" t="b">
        <f t="shared" ca="1" si="17"/>
        <v>1</v>
      </c>
      <c r="BD14" s="2127" t="b">
        <f t="shared" ca="1" si="18"/>
        <v>1</v>
      </c>
      <c r="BE14" s="2127" t="b">
        <f t="shared" ca="1" si="19"/>
        <v>1</v>
      </c>
      <c r="BF14" s="2127" t="b">
        <f t="shared" ca="1" si="20"/>
        <v>1</v>
      </c>
      <c r="BG14" s="2127" t="b">
        <f t="shared" ca="1" si="21"/>
        <v>1</v>
      </c>
      <c r="BH14" s="2127" t="b">
        <f t="shared" ca="1" si="22"/>
        <v>1</v>
      </c>
      <c r="BI14" s="2127" t="b">
        <f t="shared" ca="1" si="23"/>
        <v>1</v>
      </c>
      <c r="BJ14" s="2127" t="b">
        <f t="shared" ca="1" si="24"/>
        <v>1</v>
      </c>
      <c r="BK14" s="2127" t="b">
        <f t="shared" si="25"/>
        <v>1</v>
      </c>
      <c r="BL14" s="2127" t="b">
        <f>IF(ISNA(VLOOKUP(C14,'76_01_%'!C:L,10,0))=FALSE,W14&gt;0,TRUE)</f>
        <v>1</v>
      </c>
    </row>
    <row r="15" spans="1:64" s="2428" customFormat="1">
      <c r="A15" s="2064" t="str">
        <f t="shared" si="3"/>
        <v>R50=;R55=;R2=;R3=;R42=;R57=;R4=;R5=;R6=;R7=;R8=;R9=;R10=;R11=;R12=;R13=;R14=;R15=;R16=;R17=;R18=;R19=;R20=;R21=;R22=;R23=;R36=;R43=;COM=</v>
      </c>
      <c r="B15" s="2428" t="b">
        <f t="shared" si="4"/>
        <v>1</v>
      </c>
      <c r="C15" s="1311" t="str">
        <f t="shared" si="5"/>
        <v/>
      </c>
      <c r="D15" s="1301"/>
      <c r="E15" s="1302"/>
      <c r="F15" s="1303"/>
      <c r="G15" s="1304"/>
      <c r="H15" s="1303"/>
      <c r="I15" s="1303"/>
      <c r="J15" s="1303"/>
      <c r="K15" s="1304"/>
      <c r="L15" s="1542"/>
      <c r="M15" s="1312">
        <f>N15-L15</f>
        <v>0</v>
      </c>
      <c r="N15" s="1305"/>
      <c r="O15" s="1306"/>
      <c r="P15" s="1303"/>
      <c r="Q15" s="1302"/>
      <c r="R15" s="1302"/>
      <c r="S15" s="1302"/>
      <c r="T15" s="1302"/>
      <c r="U15" s="1307"/>
      <c r="V15" s="1309"/>
      <c r="W15" s="1909"/>
      <c r="X15" s="1909"/>
      <c r="Y15" s="1308"/>
      <c r="Z15" s="1308"/>
      <c r="AA15" s="1984"/>
      <c r="AB15" s="1984"/>
      <c r="AC15" s="1984"/>
      <c r="AD15" s="1984"/>
      <c r="AE15" s="1310"/>
      <c r="AF15" s="2197" t="b">
        <f t="shared" si="6"/>
        <v>1</v>
      </c>
      <c r="AG15" s="2197" t="b">
        <f t="shared" si="7"/>
        <v>1</v>
      </c>
      <c r="AH15" s="2388" t="b">
        <f t="shared" si="8"/>
        <v>1</v>
      </c>
      <c r="AI15" s="2232" t="b">
        <f>IF(F15&lt;&gt;0,NOT(OR(TEXT(J15,"#")="10011",TEXT(J15,"#")="10015",I15="Внешние контрагенты",I15="Гос.контракты",IFERROR(VLOOKUP($G$3,Список_компаний!A:D,3,0)=J15,FALSE),IFERROR(VLOOKUP($G$3,Список_компаний!A:D,2,0)=I15,FALSE))),TRUE)</f>
        <v>1</v>
      </c>
      <c r="AJ15" s="2232" t="b">
        <f t="shared" si="9"/>
        <v>1</v>
      </c>
      <c r="AK15" s="2232">
        <f t="shared" si="10"/>
        <v>0</v>
      </c>
      <c r="AL15" s="2232" t="b">
        <f t="shared" si="11"/>
        <v>1</v>
      </c>
      <c r="AM15" s="24"/>
      <c r="AN15" s="2038"/>
      <c r="AO15" s="2038" t="b">
        <f t="shared" si="12"/>
        <v>1</v>
      </c>
      <c r="AP15" s="2197" t="b">
        <f t="shared" si="13"/>
        <v>1</v>
      </c>
      <c r="AQ15" s="2038" t="b">
        <f t="shared" ca="1" si="14"/>
        <v>1</v>
      </c>
      <c r="AR15" s="2127" t="b">
        <f t="shared" ca="1" si="15"/>
        <v>1</v>
      </c>
      <c r="AS15" s="2127" t="b">
        <f t="shared" si="16"/>
        <v>1</v>
      </c>
      <c r="AT15" s="2127" t="s">
        <v>3007</v>
      </c>
      <c r="BB15" s="2428" t="str">
        <f t="shared" si="2"/>
        <v>X</v>
      </c>
      <c r="BC15" s="2127" t="b">
        <f t="shared" ca="1" si="17"/>
        <v>1</v>
      </c>
      <c r="BD15" s="2127" t="b">
        <f t="shared" ca="1" si="18"/>
        <v>1</v>
      </c>
      <c r="BE15" s="2127" t="b">
        <f t="shared" ca="1" si="19"/>
        <v>1</v>
      </c>
      <c r="BF15" s="2127" t="b">
        <f t="shared" ca="1" si="20"/>
        <v>1</v>
      </c>
      <c r="BG15" s="2127" t="b">
        <f t="shared" ca="1" si="21"/>
        <v>1</v>
      </c>
      <c r="BH15" s="2127" t="b">
        <f t="shared" ca="1" si="22"/>
        <v>1</v>
      </c>
      <c r="BI15" s="2127" t="b">
        <f t="shared" ca="1" si="23"/>
        <v>1</v>
      </c>
      <c r="BJ15" s="2127" t="b">
        <f t="shared" ca="1" si="24"/>
        <v>1</v>
      </c>
      <c r="BK15" s="2127" t="b">
        <f t="shared" si="25"/>
        <v>1</v>
      </c>
      <c r="BL15" s="2127" t="b">
        <f>IF(ISNA(VLOOKUP(C15,'76_01_%'!C:L,10,0))=FALSE,W15&gt;0,TRUE)</f>
        <v>1</v>
      </c>
    </row>
    <row r="16" spans="1:64" s="2428" customFormat="1">
      <c r="A16" s="2064" t="str">
        <f t="shared" si="3"/>
        <v>R50=;R55=;R2=;R3=;R42=;R57=;R4=;R5=;R6=;R7=;R8=;R9=;R10=;R11=;R12=;R13=;R14=;R15=;R16=;R17=;R18=;R19=;R20=;R21=;R22=;R23=;R36=;R43=;COM=</v>
      </c>
      <c r="B16" s="2428" t="b">
        <f t="shared" ref="B16" si="26">IF(COUNTIF(F16,"*№*"),FALSE,TRUE)</f>
        <v>1</v>
      </c>
      <c r="C16" s="1311" t="str">
        <f t="shared" si="5"/>
        <v/>
      </c>
      <c r="D16" s="1301"/>
      <c r="E16" s="1302"/>
      <c r="F16" s="1303"/>
      <c r="G16" s="1304"/>
      <c r="H16" s="1303"/>
      <c r="I16" s="1303"/>
      <c r="J16" s="1303"/>
      <c r="K16" s="1304"/>
      <c r="L16" s="1542"/>
      <c r="M16" s="1312">
        <f>N16-L16</f>
        <v>0</v>
      </c>
      <c r="N16" s="1305"/>
      <c r="O16" s="1306"/>
      <c r="P16" s="1303"/>
      <c r="Q16" s="1302"/>
      <c r="R16" s="1302"/>
      <c r="S16" s="1302"/>
      <c r="T16" s="1302"/>
      <c r="U16" s="1307"/>
      <c r="V16" s="1309"/>
      <c r="W16" s="1909"/>
      <c r="X16" s="1909"/>
      <c r="Y16" s="1308"/>
      <c r="Z16" s="1308"/>
      <c r="AA16" s="1984"/>
      <c r="AB16" s="1984"/>
      <c r="AC16" s="1984"/>
      <c r="AD16" s="1984"/>
      <c r="AE16" s="1310"/>
      <c r="AF16" s="2197" t="b">
        <f t="shared" ref="AF16" si="27">AND(IF(I16="Физические лица",TEXT(J16,"#")="10000",TRUE),IF(TEXT(J16,"#")="10000",I16="Физические лица",TRUE))</f>
        <v>1</v>
      </c>
      <c r="AG16" s="2197" t="b">
        <f t="shared" ref="AG16" si="28">IF(H16&gt;0,OR(AND($I16&lt;&gt;"",$J16=""),AND($I16="",$J16&lt;&gt;""),AND($I16&lt;&gt;"",$J16&lt;&gt;"")),TRUE)</f>
        <v>1</v>
      </c>
      <c r="AH16" s="2388" t="b">
        <f t="shared" ref="AH16" si="29">IF(AE16="ДП",TRUE,IF(TRIM($C16)&lt;&gt;"",OR(AND($D16&lt;&gt;"",$E16=""),AND($D16="",$E16&lt;&gt;"")),TRUE))</f>
        <v>1</v>
      </c>
      <c r="AI16" s="2232" t="b">
        <f>IF(F16&lt;&gt;0,NOT(OR(TEXT(J16,"#")="10011",TEXT(J16,"#")="10015",I16="Внешние контрагенты",I16="Гос.контракты",IFERROR(VLOOKUP($G$3,Список_компаний!A:D,3,0)=J16,FALSE),IFERROR(VLOOKUP($G$3,Список_компаний!A:D,2,0)=I16,FALSE))),TRUE)</f>
        <v>1</v>
      </c>
      <c r="AJ16" s="2232" t="b">
        <f t="shared" si="9"/>
        <v>1</v>
      </c>
      <c r="AK16" s="2232">
        <f t="shared" ref="AK16" si="30">N16-K16</f>
        <v>0</v>
      </c>
      <c r="AL16" s="2232" t="b">
        <f t="shared" ref="AL16" si="31">IF(F16="",TRUE,AND(G16&lt;&gt;"",K16&lt;&gt;""))</f>
        <v>1</v>
      </c>
      <c r="AM16" s="24"/>
      <c r="AN16" s="2038"/>
      <c r="AO16" s="2038" t="b">
        <f t="shared" si="12"/>
        <v>1</v>
      </c>
      <c r="AP16" s="2197" t="b">
        <f t="shared" si="13"/>
        <v>1</v>
      </c>
      <c r="AQ16" s="2038" t="b">
        <f t="shared" ca="1" si="14"/>
        <v>1</v>
      </c>
      <c r="AR16" s="2127" t="b">
        <f t="shared" ca="1" si="15"/>
        <v>1</v>
      </c>
      <c r="AS16" s="2127" t="b">
        <f t="shared" si="16"/>
        <v>1</v>
      </c>
      <c r="AT16" s="2428" t="s">
        <v>3000</v>
      </c>
      <c r="BB16" s="2428" t="str">
        <f t="shared" si="2"/>
        <v>X</v>
      </c>
      <c r="BC16" s="2127" t="b">
        <f t="shared" ca="1" si="17"/>
        <v>1</v>
      </c>
      <c r="BD16" s="2127" t="b">
        <f t="shared" ca="1" si="18"/>
        <v>1</v>
      </c>
      <c r="BE16" s="2127" t="b">
        <f t="shared" ca="1" si="19"/>
        <v>1</v>
      </c>
      <c r="BF16" s="2127" t="b">
        <f t="shared" ca="1" si="20"/>
        <v>1</v>
      </c>
      <c r="BG16" s="2127" t="b">
        <f t="shared" ca="1" si="21"/>
        <v>1</v>
      </c>
      <c r="BH16" s="2127" t="b">
        <f t="shared" ca="1" si="22"/>
        <v>1</v>
      </c>
      <c r="BI16" s="2127" t="b">
        <f t="shared" ca="1" si="23"/>
        <v>1</v>
      </c>
      <c r="BJ16" s="2127" t="b">
        <f t="shared" ca="1" si="24"/>
        <v>1</v>
      </c>
      <c r="BK16" s="2127" t="b">
        <f t="shared" si="25"/>
        <v>1</v>
      </c>
      <c r="BL16" s="2127" t="b">
        <f>IF(ISNA(VLOOKUP(C16,'76_01_%'!C:L,10,0))=FALSE,W16&gt;0,TRUE)</f>
        <v>1</v>
      </c>
    </row>
    <row r="17" spans="1:64" s="2428" customFormat="1">
      <c r="A17" s="2064" t="str">
        <f t="shared" si="3"/>
        <v>R50=;R55=;R2=;R3=;R42=;R57=;R4=;R5=;R6=;R7=;R8=;R9=;R10=;R11=;R12=;R13=;R14=;R15=;R16=;R17=;R18=;R19=;R20=;R21=;R22=;R23=;R36=;R43=;COM=</v>
      </c>
      <c r="B17" s="2428" t="b">
        <f t="shared" ref="B17" si="32">IF(COUNTIF(F17,"*№*"),FALSE,TRUE)</f>
        <v>1</v>
      </c>
      <c r="C17" s="1311" t="str">
        <f t="shared" si="5"/>
        <v/>
      </c>
      <c r="D17" s="1301"/>
      <c r="E17" s="1302"/>
      <c r="F17" s="1303"/>
      <c r="G17" s="1304"/>
      <c r="H17" s="1303"/>
      <c r="I17" s="1303"/>
      <c r="J17" s="1303"/>
      <c r="K17" s="1304"/>
      <c r="L17" s="1542"/>
      <c r="M17" s="1312">
        <f>N17-L17</f>
        <v>0</v>
      </c>
      <c r="N17" s="1305"/>
      <c r="O17" s="1306"/>
      <c r="P17" s="1303"/>
      <c r="Q17" s="1302"/>
      <c r="R17" s="1302"/>
      <c r="S17" s="1302"/>
      <c r="T17" s="1302"/>
      <c r="U17" s="1307"/>
      <c r="V17" s="1309"/>
      <c r="W17" s="1909"/>
      <c r="X17" s="1909"/>
      <c r="Y17" s="1308"/>
      <c r="Z17" s="1308"/>
      <c r="AA17" s="1984"/>
      <c r="AB17" s="1984"/>
      <c r="AC17" s="1984"/>
      <c r="AD17" s="1984"/>
      <c r="AE17" s="1310"/>
      <c r="AF17" s="2197" t="b">
        <f t="shared" ref="AF17" si="33">AND(IF(I17="Физические лица",TEXT(J17,"#")="10000",TRUE),IF(TEXT(J17,"#")="10000",I17="Физические лица",TRUE))</f>
        <v>1</v>
      </c>
      <c r="AG17" s="2197" t="b">
        <f t="shared" ref="AG17" si="34">IF(H17&gt;0,OR(AND($I17&lt;&gt;"",$J17=""),AND($I17="",$J17&lt;&gt;""),AND($I17&lt;&gt;"",$J17&lt;&gt;"")),TRUE)</f>
        <v>1</v>
      </c>
      <c r="AH17" s="2388" t="b">
        <f t="shared" ref="AH17" si="35">IF(AE17="ДП",TRUE,IF(TRIM($C17)&lt;&gt;"",OR(AND($D17&lt;&gt;"",$E17=""),AND($D17="",$E17&lt;&gt;"")),TRUE))</f>
        <v>1</v>
      </c>
      <c r="AI17" s="2232" t="b">
        <f>IF(F17&lt;&gt;0,NOT(OR(TEXT(J17,"#")="10011",TEXT(J17,"#")="10015",I17="Внешние контрагенты",I17="Гос.контракты",IFERROR(VLOOKUP($G$3,Список_компаний!A:D,3,0)=J17,FALSE),IFERROR(VLOOKUP($G$3,Список_компаний!A:D,2,0)=I17,FALSE))),TRUE)</f>
        <v>1</v>
      </c>
      <c r="AJ17" s="2232" t="b">
        <f t="shared" si="9"/>
        <v>1</v>
      </c>
      <c r="AK17" s="2232">
        <f t="shared" ref="AK17" si="36">N17-K17</f>
        <v>0</v>
      </c>
      <c r="AL17" s="2232" t="b">
        <f t="shared" ref="AL17" si="37">IF(F17="",TRUE,AND(G17&lt;&gt;"",K17&lt;&gt;""))</f>
        <v>1</v>
      </c>
      <c r="AM17" s="24"/>
      <c r="AN17" s="2038"/>
      <c r="AO17" s="2038" t="b">
        <f t="shared" si="12"/>
        <v>1</v>
      </c>
      <c r="AP17" s="2197" t="b">
        <f t="shared" si="13"/>
        <v>1</v>
      </c>
      <c r="AQ17" s="2038" t="b">
        <f t="shared" ca="1" si="14"/>
        <v>1</v>
      </c>
      <c r="AR17" s="2127" t="b">
        <f t="shared" ca="1" si="15"/>
        <v>1</v>
      </c>
      <c r="AS17" s="2127" t="b">
        <f t="shared" si="16"/>
        <v>1</v>
      </c>
      <c r="AT17" s="2428" t="s">
        <v>3001</v>
      </c>
      <c r="BB17" s="2428" t="str">
        <f t="shared" si="2"/>
        <v>X</v>
      </c>
      <c r="BC17" s="2127" t="b">
        <f t="shared" ca="1" si="17"/>
        <v>1</v>
      </c>
      <c r="BD17" s="2127" t="b">
        <f t="shared" ca="1" si="18"/>
        <v>1</v>
      </c>
      <c r="BE17" s="2127" t="b">
        <f t="shared" ca="1" si="19"/>
        <v>1</v>
      </c>
      <c r="BF17" s="2127" t="b">
        <f t="shared" ca="1" si="20"/>
        <v>1</v>
      </c>
      <c r="BG17" s="2127" t="b">
        <f t="shared" ca="1" si="21"/>
        <v>1</v>
      </c>
      <c r="BH17" s="2127" t="b">
        <f t="shared" ca="1" si="22"/>
        <v>1</v>
      </c>
      <c r="BI17" s="2127" t="b">
        <f t="shared" ca="1" si="23"/>
        <v>1</v>
      </c>
      <c r="BJ17" s="2127" t="b">
        <f t="shared" ca="1" si="24"/>
        <v>1</v>
      </c>
      <c r="BK17" s="2127" t="b">
        <f t="shared" si="25"/>
        <v>1</v>
      </c>
      <c r="BL17" s="2127" t="b">
        <f>IF(ISNA(VLOOKUP(C17,'76_01_%'!C:L,10,0))=FALSE,W17&gt;0,TRUE)</f>
        <v>1</v>
      </c>
    </row>
    <row r="18" spans="1:64" s="2428" customFormat="1">
      <c r="A18" s="2064" t="str">
        <f t="shared" si="3"/>
        <v>R50=;R55=;R2=;R3=;R42=;R57=;R4=;R5=;R6=;R7=;R8=;R9=;R10=;R11=;R12=;R13=;R14=;R15=;R16=;R17=;R18=;R19=;R20=;R21=;R22=;R23=;R36=;R43=;COM=</v>
      </c>
      <c r="B18" s="2428" t="b">
        <f t="shared" ref="B18" si="38">IF(COUNTIF(F18,"*№*"),FALSE,TRUE)</f>
        <v>1</v>
      </c>
      <c r="C18" s="1311" t="str">
        <f t="shared" ref="C18" si="39">IF(F18="",IF(I18="",IF(G18="","",TEXT(G18,"дд.ММ.гггг")),I18&amp;" "&amp;TEXT(G18,"дд.ММ.гггг")),F18&amp;" "&amp;I18&amp;" "&amp;TEXT(G18,"дд.ММ.гггг"))</f>
        <v/>
      </c>
      <c r="D18" s="1301"/>
      <c r="E18" s="1302"/>
      <c r="F18" s="1303"/>
      <c r="G18" s="1304"/>
      <c r="H18" s="1303"/>
      <c r="I18" s="1303"/>
      <c r="J18" s="1303"/>
      <c r="K18" s="1304"/>
      <c r="L18" s="1542"/>
      <c r="M18" s="1312">
        <f>N18-L18</f>
        <v>0</v>
      </c>
      <c r="N18" s="1305"/>
      <c r="O18" s="1306"/>
      <c r="P18" s="1303"/>
      <c r="Q18" s="1302"/>
      <c r="R18" s="1302"/>
      <c r="S18" s="1302"/>
      <c r="T18" s="1302"/>
      <c r="U18" s="1307"/>
      <c r="V18" s="1309"/>
      <c r="W18" s="1909"/>
      <c r="X18" s="1909"/>
      <c r="Y18" s="1308"/>
      <c r="Z18" s="1308"/>
      <c r="AA18" s="1984"/>
      <c r="AB18" s="1984"/>
      <c r="AC18" s="1984"/>
      <c r="AD18" s="1984"/>
      <c r="AE18" s="1310"/>
      <c r="AF18" s="2197" t="b">
        <f t="shared" ref="AF18" si="40">AND(IF(I18="Физические лица",TEXT(J18,"#")="10000",TRUE),IF(TEXT(J18,"#")="10000",I18="Физические лица",TRUE))</f>
        <v>1</v>
      </c>
      <c r="AG18" s="2197" t="b">
        <f t="shared" ref="AG18" si="41">IF(H18&gt;0,OR(AND($I18&lt;&gt;"",$J18=""),AND($I18="",$J18&lt;&gt;""),AND($I18&lt;&gt;"",$J18&lt;&gt;"")),TRUE)</f>
        <v>1</v>
      </c>
      <c r="AH18" s="2388" t="b">
        <f t="shared" ref="AH18" si="42">IF(AE18="ДП",TRUE,IF(TRIM($C18)&lt;&gt;"",OR(AND($D18&lt;&gt;"",$E18=""),AND($D18="",$E18&lt;&gt;"")),TRUE))</f>
        <v>1</v>
      </c>
      <c r="AI18" s="2232" t="b">
        <f>IF(F18&lt;&gt;0,NOT(OR(TEXT(J18,"#")="10011",TEXT(J18,"#")="10015",I18="Внешние контрагенты",I18="Гос.контракты",IFERROR(VLOOKUP($G$3,Список_компаний!A:D,3,0)=J18,FALSE),IFERROR(VLOOKUP($G$3,Список_компаний!A:D,2,0)=I18,FALSE))),TRUE)</f>
        <v>1</v>
      </c>
      <c r="AJ18" s="2232" t="b">
        <f t="shared" si="9"/>
        <v>1</v>
      </c>
      <c r="AK18" s="2232">
        <f t="shared" ref="AK18" si="43">N18-K18</f>
        <v>0</v>
      </c>
      <c r="AL18" s="2232" t="b">
        <f t="shared" ref="AL18" si="44">IF(F18="",TRUE,AND(G18&lt;&gt;"",K18&lt;&gt;""))</f>
        <v>1</v>
      </c>
      <c r="AM18" s="24"/>
      <c r="AN18" s="2038"/>
      <c r="AO18" s="2038" t="b">
        <f t="shared" ref="AO18" si="45">IF(F18&lt;&gt;"",P18&lt;&gt;"",TRUE)</f>
        <v>1</v>
      </c>
      <c r="AP18" s="2197" t="b">
        <f t="shared" si="13"/>
        <v>1</v>
      </c>
      <c r="AQ18" s="2038" t="b">
        <f t="shared" ca="1" si="14"/>
        <v>1</v>
      </c>
      <c r="AR18" s="2127" t="b">
        <f t="shared" ca="1" si="15"/>
        <v>1</v>
      </c>
      <c r="AS18" s="2127" t="b">
        <f t="shared" si="16"/>
        <v>1</v>
      </c>
      <c r="BB18" s="2428" t="str">
        <f t="shared" si="2"/>
        <v>X</v>
      </c>
      <c r="BC18" s="2127" t="b">
        <f t="shared" ca="1" si="17"/>
        <v>1</v>
      </c>
      <c r="BD18" s="2127" t="b">
        <f t="shared" ca="1" si="18"/>
        <v>1</v>
      </c>
      <c r="BE18" s="2127" t="b">
        <f t="shared" ca="1" si="19"/>
        <v>1</v>
      </c>
      <c r="BF18" s="2127" t="b">
        <f t="shared" ca="1" si="20"/>
        <v>1</v>
      </c>
      <c r="BG18" s="2127" t="b">
        <f t="shared" ca="1" si="21"/>
        <v>1</v>
      </c>
      <c r="BH18" s="2127" t="b">
        <f t="shared" ca="1" si="22"/>
        <v>1</v>
      </c>
      <c r="BI18" s="2127" t="b">
        <f t="shared" ca="1" si="23"/>
        <v>1</v>
      </c>
      <c r="BJ18" s="2127" t="b">
        <f t="shared" ca="1" si="24"/>
        <v>1</v>
      </c>
      <c r="BK18" s="2127" t="b">
        <f t="shared" si="25"/>
        <v>1</v>
      </c>
      <c r="BL18" s="2127" t="b">
        <f>IF(ISNA(VLOOKUP(C18,'76_01_%'!C:L,10,0))=FALSE,W18&gt;0,TRUE)</f>
        <v>1</v>
      </c>
    </row>
    <row r="19" spans="1:64" s="2428" customFormat="1">
      <c r="A19" s="2064" t="str">
        <f t="shared" ref="A19" si="46">"R50="&amp;C19&amp;";R55="&amp;MID(F19,1,100)&amp;";R2="&amp;IFERROR(MID(D19,FIND("{",D19)+1,FIND("}",D19)-FIND("{",D19)-1),"")&amp;";R3="&amp;IFERROR(MID(E19,FIND("{",E19)+1,FIND("}",E19)-FIND("{",E19)-1),"")&amp;";R42="&amp;MID(IF(J19&lt;&gt;"",J19,I19),1,30)&amp;";R57="&amp;MID(H19,1,60)&amp;";R4="&amp;G19&amp;";R5="&amp;K19&amp;";R6="&amp;L19&amp;";R7="&amp;N19&amp;";R8="&amp;O19&amp;";R9="&amp;IFERROR(MID(P19,FIND("{",P19)+1,FIND("}",P19)-FIND("{",P19)-1),"")&amp;";R10="&amp;MID(Q19,1,60)&amp;";R11="&amp;IFERROR(MID(R19,FIND("{",R19)+1,FIND("}",R19)-FIND("{",R19)-1),"")&amp;";R12="&amp;IFERROR(MID(S19,FIND("{",S19)+1,FIND("}",S19)-FIND("{",S19)-1),"")&amp;";R13="&amp;IFERROR(MID(T19,FIND("{",T19)+1,FIND("}",T19)-FIND("{",T19)-1),"")&amp;";R14="&amp;IFERROR(MID(U19,FIND("{",U19)+1,FIND("}",U19)-FIND("{",U19)-1),"")&amp;";R15="&amp;IFERROR(MID(V19,FIND("{",V19)+1,FIND("}",V19)-FIND("{",V19)-1),"")&amp;";R16="&amp;W19&amp;";R17="&amp;X19&amp;";R18="&amp;MID(Y19,1,60)&amp;";R19="&amp;MID(Z19,1,60)&amp;";R20="&amp;AA19&amp;";R21="&amp;AB19&amp;";R22="&amp;AC19&amp;";R23="&amp;AD19&amp;";R36="&amp;MID(J19,1,30)&amp;";R43="&amp;MID(I19,1,30)&amp;";COM="&amp;AE19</f>
        <v>R50=;R55=;R2=;R3=;R42=;R57=;R4=;R5=;R6=;R7=;R8=;R9=;R10=;R11=;R12=;R13=;R14=;R15=;R16=;R17=;R18=;R19=;R20=;R21=;R22=;R23=;R36=;R43=;COM=</v>
      </c>
      <c r="B19" s="2428" t="b">
        <f t="shared" ref="B19" si="47">IF(COUNTIF(F19,"*№*"),FALSE,TRUE)</f>
        <v>1</v>
      </c>
      <c r="C19" s="1311" t="str">
        <f t="shared" ref="C19" si="48">IF(F19="",IF(I19="",IF(G19="","",TEXT(G19,"дд.ММ.гггг")),I19&amp;" "&amp;TEXT(G19,"дд.ММ.гггг")),F19&amp;" "&amp;I19&amp;" "&amp;TEXT(G19,"дд.ММ.гггг"))</f>
        <v/>
      </c>
      <c r="D19" s="1301"/>
      <c r="E19" s="1302"/>
      <c r="F19" s="1306"/>
      <c r="G19" s="1304"/>
      <c r="H19" s="1303"/>
      <c r="I19" s="1303"/>
      <c r="J19" s="1303"/>
      <c r="K19" s="1304"/>
      <c r="L19" s="1542"/>
      <c r="M19" s="1312">
        <f>N19-L19</f>
        <v>0</v>
      </c>
      <c r="N19" s="1305"/>
      <c r="O19" s="1306"/>
      <c r="P19" s="1303"/>
      <c r="Q19" s="1302"/>
      <c r="R19" s="1302"/>
      <c r="S19" s="1302"/>
      <c r="T19" s="1302"/>
      <c r="U19" s="1307"/>
      <c r="V19" s="1309"/>
      <c r="W19" s="1909"/>
      <c r="X19" s="1909"/>
      <c r="Y19" s="1308"/>
      <c r="Z19" s="1308"/>
      <c r="AA19" s="1984"/>
      <c r="AB19" s="1984"/>
      <c r="AC19" s="1984"/>
      <c r="AD19" s="1984"/>
      <c r="AE19" s="1310"/>
      <c r="AF19" s="2197" t="b">
        <f t="shared" ref="AF19" si="49">AND(IF(I19="Физические лица",TEXT(J19,"#")="10000",TRUE),IF(TEXT(J19,"#")="10000",I19="Физические лица",TRUE))</f>
        <v>1</v>
      </c>
      <c r="AG19" s="2197" t="b">
        <f t="shared" ref="AG19" si="50">IF(H19&gt;0,OR(AND($I19&lt;&gt;"",$J19=""),AND($I19="",$J19&lt;&gt;""),AND($I19&lt;&gt;"",$J19&lt;&gt;"")),TRUE)</f>
        <v>1</v>
      </c>
      <c r="AH19" s="2388" t="b">
        <f t="shared" ref="AH19" si="51">IF(AE19="ДП",TRUE,IF(TRIM($C19)&lt;&gt;"",OR(AND($D19&lt;&gt;"",$E19=""),AND($D19="",$E19&lt;&gt;"")),TRUE))</f>
        <v>1</v>
      </c>
      <c r="AI19" s="2232" t="b">
        <f>IF(F19&lt;&gt;0,NOT(OR(TEXT(J19,"#")="10011",TEXT(J19,"#")="10015",I19="Внешние контрагенты",I19="Гос.контракты",IFERROR(VLOOKUP($G$3,Список_компаний!A:D,3,0)=J19,FALSE),IFERROR(VLOOKUP($G$3,Список_компаний!A:D,2,0)=I19,FALSE))),TRUE)</f>
        <v>1</v>
      </c>
      <c r="AJ19" s="2232" t="b">
        <f t="shared" si="9"/>
        <v>1</v>
      </c>
      <c r="AK19" s="2232">
        <f t="shared" ref="AK19" si="52">N19-K19</f>
        <v>0</v>
      </c>
      <c r="AL19" s="2232" t="b">
        <f t="shared" ref="AL19" si="53">IF(F19="",TRUE,AND(G19&lt;&gt;"",K19&lt;&gt;""))</f>
        <v>1</v>
      </c>
      <c r="AM19" s="24"/>
      <c r="AN19" s="2038"/>
      <c r="AO19" s="2038" t="b">
        <f t="shared" ref="AO19" si="54">IF(F19&lt;&gt;"",P19&lt;&gt;"",TRUE)</f>
        <v>1</v>
      </c>
      <c r="AP19" s="2197" t="b">
        <f t="shared" ref="AP19" si="55">IF(AND(TYPE(W19)=1,TYPE(X19)=1),TRUE,FALSE)</f>
        <v>1</v>
      </c>
      <c r="AQ19" s="2038" t="b">
        <f t="shared" ref="AQ19" ca="1" si="56">IF(D19="",TRUE,IF(IFERROR(VLOOKUP(D19,INDIRECT(AQ$5),1,FALSE),FALSE)=FALSE,TRUE,AND(T19="",U19="")))</f>
        <v>1</v>
      </c>
      <c r="AR19" s="2127" t="b">
        <f t="shared" ref="AR19" ca="1" si="57">IF(D19="",TRUE,IF(IFERROR(VLOOKUP(D19,INDIRECT(AR$5),1,FALSE),FALSE)=FALSE,TRUE,T19=""))</f>
        <v>1</v>
      </c>
      <c r="AS19" s="2127" t="b">
        <f t="shared" si="16"/>
        <v>1</v>
      </c>
      <c r="BB19" s="2428" t="str">
        <f t="shared" si="2"/>
        <v>X</v>
      </c>
      <c r="BC19" s="2127" t="b">
        <f t="shared" ca="1" si="17"/>
        <v>1</v>
      </c>
      <c r="BD19" s="2127" t="b">
        <f t="shared" ca="1" si="18"/>
        <v>1</v>
      </c>
      <c r="BE19" s="2127" t="b">
        <f t="shared" ca="1" si="19"/>
        <v>1</v>
      </c>
      <c r="BF19" s="2127" t="b">
        <f t="shared" ca="1" si="20"/>
        <v>1</v>
      </c>
      <c r="BG19" s="2127" t="b">
        <f t="shared" ca="1" si="21"/>
        <v>1</v>
      </c>
      <c r="BH19" s="2127" t="b">
        <f t="shared" ca="1" si="22"/>
        <v>1</v>
      </c>
      <c r="BI19" s="2127" t="b">
        <f t="shared" ca="1" si="23"/>
        <v>1</v>
      </c>
      <c r="BJ19" s="2127" t="b">
        <f t="shared" ca="1" si="24"/>
        <v>1</v>
      </c>
      <c r="BK19" s="2127" t="b">
        <f t="shared" si="25"/>
        <v>1</v>
      </c>
      <c r="BL19" s="2127" t="b">
        <f>IF(ISNA(VLOOKUP(C19,'76_01_%'!C:L,10,0))=FALSE,W19&gt;0,TRUE)</f>
        <v>1</v>
      </c>
    </row>
    <row r="20" spans="1:64">
      <c r="A20" s="1163"/>
      <c r="B20" s="1563"/>
      <c r="D20" s="1564"/>
      <c r="E20" s="2830"/>
      <c r="F20" s="2830"/>
      <c r="G20" s="2830"/>
      <c r="H20" s="2830"/>
      <c r="I20" s="2830"/>
      <c r="J20" s="2830"/>
      <c r="K20" s="2830"/>
      <c r="L20" s="2830"/>
      <c r="M20" s="2830"/>
      <c r="N20" s="2830"/>
      <c r="O20" s="2830"/>
      <c r="P20" s="1564"/>
      <c r="Z20" s="2830"/>
      <c r="AA20" s="2830"/>
      <c r="AB20" s="2830"/>
      <c r="AC20" s="2830"/>
      <c r="AD20" s="2830"/>
      <c r="AP20" s="2130"/>
      <c r="BB20" s="2428"/>
    </row>
    <row r="21" spans="1:64">
      <c r="A21" s="1163"/>
      <c r="B21" s="1563"/>
      <c r="D21" s="1564"/>
      <c r="E21" s="1163"/>
      <c r="P21" s="1564"/>
      <c r="Z21" s="1163"/>
      <c r="AP21" s="2130"/>
      <c r="BB21" s="2428"/>
    </row>
    <row r="22" spans="1:64">
      <c r="A22" s="1163"/>
      <c r="B22" s="1563"/>
      <c r="D22" s="1564"/>
      <c r="E22" s="1163"/>
      <c r="P22" s="1564"/>
      <c r="Z22" s="1163"/>
      <c r="AP22" s="2130"/>
      <c r="BB22" s="2428"/>
    </row>
    <row r="23" spans="1:64">
      <c r="A23" s="1163"/>
      <c r="B23" s="1563"/>
      <c r="D23" s="1564"/>
      <c r="E23" s="1163"/>
      <c r="P23" s="1564"/>
      <c r="Z23" s="1163"/>
      <c r="AP23" s="2130"/>
      <c r="BB23" s="2428"/>
    </row>
    <row r="24" spans="1:64">
      <c r="A24" s="1163"/>
      <c r="B24" s="1563"/>
      <c r="D24" s="1564"/>
      <c r="E24" s="1163"/>
      <c r="P24" s="1564"/>
      <c r="Z24" s="1163"/>
      <c r="AP24" s="2130"/>
      <c r="BB24" s="2428"/>
    </row>
    <row r="25" spans="1:64">
      <c r="A25" s="1163"/>
      <c r="B25" s="1563"/>
      <c r="D25" s="1564"/>
      <c r="E25" s="1163"/>
      <c r="P25" s="1564"/>
      <c r="Z25" s="1163"/>
      <c r="AP25" s="2130"/>
      <c r="BB25" s="2428"/>
    </row>
    <row r="26" spans="1:64">
      <c r="A26" s="1163"/>
      <c r="B26" s="1563"/>
      <c r="D26" s="1564"/>
      <c r="E26" s="1163"/>
      <c r="P26" s="1564"/>
      <c r="Z26" s="1163"/>
      <c r="AP26" s="2130"/>
      <c r="BB26" s="2428"/>
    </row>
    <row r="27" spans="1:64">
      <c r="A27" s="1163"/>
      <c r="B27" s="1563"/>
      <c r="D27" s="1564"/>
      <c r="E27" s="1163"/>
      <c r="P27" s="1564"/>
      <c r="Z27" s="1163"/>
      <c r="AP27" s="2130"/>
      <c r="BB27" s="2428"/>
    </row>
    <row r="28" spans="1:64">
      <c r="A28" s="1163"/>
      <c r="B28" s="1563"/>
      <c r="D28" s="1564"/>
      <c r="E28" s="1163"/>
      <c r="P28" s="1564"/>
      <c r="Z28" s="1163"/>
      <c r="AP28" s="2130"/>
      <c r="BB28" s="2428"/>
    </row>
    <row r="29" spans="1:64">
      <c r="A29" s="1163"/>
      <c r="B29" s="1563"/>
      <c r="D29" s="1564"/>
      <c r="E29" s="1163"/>
      <c r="P29" s="1564"/>
      <c r="Z29" s="1163"/>
      <c r="AP29" s="2130"/>
      <c r="BB29" s="2428"/>
    </row>
    <row r="30" spans="1:64">
      <c r="A30" s="1163"/>
      <c r="B30" s="1563"/>
      <c r="D30" s="1564"/>
      <c r="E30" s="1163"/>
      <c r="P30" s="1564"/>
      <c r="Z30" s="1163"/>
      <c r="AP30" s="2130"/>
      <c r="BB30" s="2428"/>
    </row>
    <row r="31" spans="1:64">
      <c r="A31" s="1163"/>
      <c r="B31" s="1563"/>
      <c r="D31" s="1564"/>
      <c r="E31" s="1163"/>
      <c r="P31" s="1564"/>
      <c r="Z31" s="1163"/>
      <c r="AP31" s="2130"/>
      <c r="BB31" s="2428"/>
    </row>
    <row r="32" spans="1:64">
      <c r="A32" s="1163"/>
      <c r="B32" s="1563"/>
      <c r="D32" s="1564"/>
      <c r="E32" s="1163"/>
      <c r="P32" s="1564"/>
      <c r="Z32" s="1163"/>
      <c r="AP32" s="2130"/>
      <c r="BB32" s="2428"/>
    </row>
    <row r="33" spans="1:54">
      <c r="A33" s="1163"/>
      <c r="B33" s="1563"/>
      <c r="D33" s="1564"/>
      <c r="E33" s="1163"/>
      <c r="P33" s="1564"/>
      <c r="Z33" s="1163"/>
      <c r="AP33" s="2130"/>
      <c r="BB33" s="2428"/>
    </row>
    <row r="34" spans="1:54">
      <c r="A34" s="1163"/>
      <c r="B34" s="1563"/>
      <c r="D34" s="1564"/>
      <c r="E34" s="1163"/>
      <c r="P34" s="1564"/>
      <c r="Z34" s="1163"/>
      <c r="AP34" s="2130"/>
      <c r="BB34" s="2428"/>
    </row>
    <row r="35" spans="1:54">
      <c r="A35" s="1163"/>
      <c r="B35" s="1563"/>
      <c r="D35" s="1564"/>
      <c r="E35" s="1163"/>
      <c r="P35" s="1564"/>
      <c r="Z35" s="1163"/>
      <c r="AP35" s="2130"/>
      <c r="BB35" s="2428"/>
    </row>
    <row r="36" spans="1:54">
      <c r="A36" s="1163"/>
      <c r="B36" s="1563"/>
      <c r="D36" s="1564"/>
      <c r="E36" s="1163"/>
      <c r="P36" s="1564"/>
      <c r="Z36" s="1163"/>
      <c r="AP36" s="2130"/>
      <c r="BB36" s="2428"/>
    </row>
    <row r="37" spans="1:54">
      <c r="A37" s="1163"/>
      <c r="B37" s="1563"/>
      <c r="D37" s="1564"/>
      <c r="E37" s="1163"/>
      <c r="P37" s="1564"/>
      <c r="Z37" s="1163"/>
      <c r="AP37" s="2130"/>
      <c r="BB37" s="2428"/>
    </row>
    <row r="38" spans="1:54">
      <c r="A38" s="1163"/>
      <c r="B38" s="1563"/>
      <c r="D38" s="1564"/>
      <c r="E38" s="1163"/>
      <c r="P38" s="1564"/>
      <c r="Z38" s="1163"/>
      <c r="AP38" s="2130"/>
      <c r="BB38" s="2428"/>
    </row>
    <row r="39" spans="1:54">
      <c r="A39" s="1163"/>
      <c r="B39" s="1563"/>
      <c r="D39" s="1564"/>
      <c r="E39" s="1163"/>
      <c r="P39" s="1564"/>
      <c r="Z39" s="1163"/>
      <c r="AP39" s="2130"/>
      <c r="BB39" s="2428"/>
    </row>
    <row r="40" spans="1:54">
      <c r="A40" s="1163"/>
      <c r="B40" s="1563"/>
      <c r="D40" s="1564"/>
      <c r="E40" s="1163"/>
      <c r="P40" s="1564"/>
      <c r="Z40" s="1163"/>
      <c r="AP40" s="2130"/>
      <c r="BB40" s="2428"/>
    </row>
    <row r="41" spans="1:54">
      <c r="A41" s="1163"/>
      <c r="B41" s="1563"/>
      <c r="D41" s="1564"/>
      <c r="E41" s="1163"/>
      <c r="P41" s="1564"/>
      <c r="Z41" s="1163"/>
      <c r="AP41" s="2130"/>
      <c r="BB41" s="2428"/>
    </row>
    <row r="42" spans="1:54">
      <c r="A42" s="1163"/>
      <c r="B42" s="1563"/>
      <c r="D42" s="1564"/>
      <c r="E42" s="1163"/>
      <c r="P42" s="1564"/>
      <c r="Z42" s="1163"/>
      <c r="AP42" s="2130"/>
      <c r="BB42" s="2428"/>
    </row>
    <row r="43" spans="1:54">
      <c r="A43" s="1163"/>
      <c r="B43" s="1563"/>
      <c r="D43" s="1564"/>
      <c r="E43" s="1163"/>
      <c r="P43" s="1564"/>
      <c r="Z43" s="1163"/>
      <c r="AP43" s="2130"/>
      <c r="BB43" s="2428"/>
    </row>
    <row r="44" spans="1:54">
      <c r="A44" s="1163"/>
      <c r="B44" s="1563"/>
      <c r="D44" s="1564"/>
      <c r="E44" s="1163"/>
      <c r="P44" s="1564"/>
      <c r="Z44" s="1163"/>
      <c r="AP44" s="2130"/>
      <c r="BB44" s="2428"/>
    </row>
    <row r="45" spans="1:54">
      <c r="A45" s="1163"/>
      <c r="B45" s="1563"/>
      <c r="D45" s="1564"/>
      <c r="E45" s="1163"/>
      <c r="P45" s="1564"/>
      <c r="Z45" s="1163"/>
      <c r="AP45" s="2130"/>
      <c r="BB45" s="2428"/>
    </row>
    <row r="46" spans="1:54">
      <c r="A46" s="1163"/>
      <c r="B46" s="1563"/>
      <c r="D46" s="1564"/>
      <c r="E46" s="1163"/>
      <c r="P46" s="1564"/>
      <c r="Z46" s="1163"/>
      <c r="AP46" s="2130"/>
      <c r="BB46" s="2428"/>
    </row>
    <row r="47" spans="1:54">
      <c r="A47" s="1163"/>
      <c r="B47" s="1563"/>
      <c r="D47" s="1564"/>
      <c r="E47" s="1163"/>
      <c r="P47" s="1564"/>
      <c r="Z47" s="1163"/>
      <c r="AP47" s="2130"/>
      <c r="BB47" s="2428"/>
    </row>
    <row r="48" spans="1:54">
      <c r="A48" s="1163"/>
      <c r="B48" s="1563"/>
      <c r="D48" s="1564"/>
      <c r="E48" s="1163"/>
      <c r="P48" s="1564"/>
      <c r="Z48" s="1163"/>
      <c r="AP48" s="2130"/>
      <c r="BB48" s="2428"/>
    </row>
    <row r="49" spans="1:54">
      <c r="A49" s="1163"/>
      <c r="B49" s="1563"/>
      <c r="D49" s="1564"/>
      <c r="E49" s="1163"/>
      <c r="P49" s="1564"/>
      <c r="Z49" s="1163"/>
      <c r="AP49" s="2130"/>
      <c r="BB49" s="2428"/>
    </row>
    <row r="50" spans="1:54">
      <c r="A50" s="1163"/>
      <c r="B50" s="1563"/>
      <c r="D50" s="1564"/>
      <c r="E50" s="1163"/>
      <c r="P50" s="1564"/>
      <c r="Z50" s="1163"/>
      <c r="AP50" s="2130"/>
      <c r="BB50" s="2428"/>
    </row>
    <row r="51" spans="1:54">
      <c r="A51" s="1163"/>
      <c r="B51" s="1563"/>
      <c r="D51" s="1564"/>
      <c r="E51" s="1163"/>
      <c r="P51" s="1564"/>
      <c r="Z51" s="1163"/>
      <c r="AP51" s="2130"/>
      <c r="BB51" s="2428"/>
    </row>
    <row r="52" spans="1:54">
      <c r="A52" s="1163"/>
      <c r="B52" s="1563"/>
      <c r="D52" s="1564"/>
      <c r="E52" s="1163"/>
      <c r="P52" s="1564"/>
      <c r="Z52" s="1163"/>
      <c r="AP52" s="2130"/>
      <c r="BB52" s="2428"/>
    </row>
    <row r="53" spans="1:54">
      <c r="A53" s="1163"/>
      <c r="B53" s="1563"/>
      <c r="D53" s="1564"/>
      <c r="E53" s="1163"/>
      <c r="P53" s="1564"/>
      <c r="Z53" s="1163"/>
      <c r="AP53" s="2130"/>
      <c r="BB53" s="2428"/>
    </row>
    <row r="54" spans="1:54">
      <c r="A54" s="1163"/>
      <c r="B54" s="1563"/>
      <c r="D54" s="1564"/>
      <c r="E54" s="1163"/>
      <c r="P54" s="1564"/>
      <c r="Z54" s="1163"/>
      <c r="AP54" s="2130"/>
      <c r="BB54" s="2428"/>
    </row>
    <row r="55" spans="1:54">
      <c r="A55" s="1163"/>
      <c r="B55" s="1563"/>
      <c r="D55" s="1564"/>
      <c r="E55" s="1163"/>
      <c r="P55" s="1564"/>
      <c r="Z55" s="1163"/>
      <c r="AP55" s="2130"/>
      <c r="BB55" s="2428"/>
    </row>
    <row r="56" spans="1:54">
      <c r="A56" s="1163"/>
      <c r="B56" s="1563"/>
      <c r="D56" s="1564"/>
      <c r="E56" s="1163"/>
      <c r="P56" s="1564"/>
      <c r="Z56" s="1163"/>
      <c r="AP56" s="2130"/>
      <c r="BB56" s="2428"/>
    </row>
    <row r="57" spans="1:54">
      <c r="A57" s="1163"/>
      <c r="B57" s="1563"/>
      <c r="D57" s="1564"/>
      <c r="E57" s="1163"/>
      <c r="P57" s="1564"/>
      <c r="Z57" s="1163"/>
      <c r="AP57" s="2130"/>
      <c r="BB57" s="2428"/>
    </row>
    <row r="58" spans="1:54">
      <c r="A58" s="1163"/>
      <c r="B58" s="1563"/>
      <c r="D58" s="1564"/>
      <c r="E58" s="1163"/>
      <c r="P58" s="1564"/>
      <c r="Z58" s="1163"/>
      <c r="AP58" s="2130"/>
      <c r="BB58" s="2428"/>
    </row>
    <row r="59" spans="1:54">
      <c r="A59" s="1163"/>
      <c r="B59" s="1563"/>
      <c r="D59" s="1564"/>
      <c r="E59" s="1163"/>
      <c r="P59" s="1564"/>
      <c r="Z59" s="1163"/>
      <c r="AP59" s="2130"/>
      <c r="BB59" s="2428"/>
    </row>
    <row r="60" spans="1:54">
      <c r="A60" s="1163"/>
      <c r="B60" s="1563"/>
      <c r="D60" s="1564"/>
      <c r="E60" s="1163"/>
      <c r="P60" s="1564"/>
      <c r="Z60" s="1163"/>
      <c r="AP60" s="2130"/>
      <c r="BB60" s="2428"/>
    </row>
    <row r="61" spans="1:54">
      <c r="A61" s="1163"/>
      <c r="B61" s="1563"/>
      <c r="D61" s="1564"/>
      <c r="E61" s="1163"/>
      <c r="P61" s="1564"/>
      <c r="Z61" s="1163"/>
      <c r="AP61" s="2130"/>
      <c r="BB61" s="2428"/>
    </row>
    <row r="62" spans="1:54">
      <c r="A62" s="1163"/>
      <c r="B62" s="1563"/>
      <c r="D62" s="1564"/>
      <c r="E62" s="1163"/>
      <c r="P62" s="1564"/>
      <c r="Z62" s="1163"/>
      <c r="AP62" s="2130"/>
      <c r="BB62" s="2428"/>
    </row>
    <row r="63" spans="1:54">
      <c r="A63" s="1163"/>
      <c r="B63" s="1563"/>
      <c r="D63" s="1564"/>
      <c r="E63" s="1163"/>
      <c r="P63" s="1564"/>
      <c r="Z63" s="1163"/>
      <c r="AP63" s="2130"/>
      <c r="BB63" s="2428"/>
    </row>
    <row r="64" spans="1:54">
      <c r="A64" s="1163"/>
      <c r="B64" s="1563"/>
      <c r="D64" s="1564"/>
      <c r="E64" s="1163"/>
      <c r="P64" s="1564"/>
      <c r="Z64" s="1163"/>
      <c r="AP64" s="2130"/>
      <c r="BB64" s="2428"/>
    </row>
    <row r="65" spans="1:54">
      <c r="A65" s="1163"/>
      <c r="B65" s="1563"/>
      <c r="D65" s="1564"/>
      <c r="E65" s="1163"/>
      <c r="P65" s="1564"/>
      <c r="Z65" s="1163"/>
      <c r="AP65" s="2130"/>
      <c r="BB65" s="2428"/>
    </row>
    <row r="66" spans="1:54">
      <c r="A66" s="1163"/>
      <c r="B66" s="1563"/>
      <c r="D66" s="1564"/>
      <c r="E66" s="1163"/>
      <c r="P66" s="1564"/>
      <c r="Z66" s="1163"/>
      <c r="AP66" s="2130"/>
      <c r="BB66" s="2428"/>
    </row>
    <row r="67" spans="1:54">
      <c r="A67" s="1163"/>
      <c r="B67" s="1563"/>
      <c r="D67" s="1564"/>
      <c r="E67" s="1163"/>
      <c r="P67" s="1564"/>
      <c r="Z67" s="1163"/>
      <c r="AP67" s="2130"/>
      <c r="BB67" s="2428"/>
    </row>
    <row r="68" spans="1:54">
      <c r="A68" s="1163"/>
      <c r="B68" s="1563"/>
      <c r="D68" s="1564"/>
      <c r="E68" s="1163"/>
      <c r="P68" s="1564"/>
      <c r="Z68" s="1163"/>
      <c r="AP68" s="2130"/>
      <c r="BB68" s="2428"/>
    </row>
    <row r="69" spans="1:54">
      <c r="A69" s="1163"/>
      <c r="B69" s="1563"/>
      <c r="D69" s="1564"/>
      <c r="E69" s="1163"/>
      <c r="P69" s="1564"/>
      <c r="Z69" s="1163"/>
      <c r="AP69" s="2130"/>
      <c r="BB69" s="2428"/>
    </row>
    <row r="70" spans="1:54">
      <c r="AP70" s="2130"/>
      <c r="BB70" s="2428"/>
    </row>
    <row r="71" spans="1:54">
      <c r="AP71" s="2130"/>
      <c r="BB71" s="2428"/>
    </row>
    <row r="72" spans="1:54">
      <c r="AP72" s="2130"/>
      <c r="BB72" s="2428"/>
    </row>
    <row r="73" spans="1:54">
      <c r="AP73" s="2130"/>
      <c r="BB73" s="2428"/>
    </row>
    <row r="74" spans="1:54">
      <c r="AP74" s="2130"/>
      <c r="BB74" s="2428"/>
    </row>
    <row r="75" spans="1:54">
      <c r="AP75" s="2130"/>
      <c r="BB75" s="2428"/>
    </row>
    <row r="76" spans="1:54">
      <c r="AP76" s="2130"/>
      <c r="BB76" s="2428"/>
    </row>
    <row r="77" spans="1:54">
      <c r="AP77" s="2130"/>
      <c r="BB77" s="2428"/>
    </row>
    <row r="78" spans="1:54">
      <c r="AP78" s="2130"/>
      <c r="BB78" s="2428"/>
    </row>
    <row r="79" spans="1:54">
      <c r="AP79" s="2130"/>
      <c r="BB79" s="2428"/>
    </row>
    <row r="80" spans="1:54">
      <c r="AP80" s="2130"/>
      <c r="BB80" s="2428"/>
    </row>
    <row r="81" spans="42:54">
      <c r="AP81" s="2130"/>
      <c r="BB81" s="2428"/>
    </row>
    <row r="82" spans="42:54">
      <c r="AP82" s="2130"/>
      <c r="BB82" s="2428"/>
    </row>
    <row r="83" spans="42:54">
      <c r="AP83" s="2130"/>
      <c r="BB83" s="2428"/>
    </row>
    <row r="84" spans="42:54">
      <c r="AP84" s="2130"/>
      <c r="BB84" s="2428"/>
    </row>
    <row r="85" spans="42:54">
      <c r="AP85" s="2130"/>
      <c r="BB85" s="2428"/>
    </row>
    <row r="86" spans="42:54">
      <c r="AP86" s="2130"/>
      <c r="BB86" s="2428"/>
    </row>
    <row r="87" spans="42:54">
      <c r="AP87" s="2130"/>
      <c r="BB87" s="2428"/>
    </row>
    <row r="88" spans="42:54">
      <c r="AP88" s="2130"/>
      <c r="BB88" s="2428"/>
    </row>
    <row r="89" spans="42:54">
      <c r="AP89" s="2130"/>
      <c r="BB89" s="2428"/>
    </row>
    <row r="90" spans="42:54">
      <c r="AP90" s="2130"/>
      <c r="BB90" s="2428"/>
    </row>
    <row r="91" spans="42:54">
      <c r="AP91" s="2130"/>
      <c r="BB91" s="2428"/>
    </row>
    <row r="92" spans="42:54">
      <c r="AP92" s="2130"/>
      <c r="BB92" s="2428"/>
    </row>
    <row r="93" spans="42:54">
      <c r="AP93" s="2130"/>
      <c r="BB93" s="2428"/>
    </row>
    <row r="94" spans="42:54">
      <c r="AP94" s="2130"/>
      <c r="BB94" s="2428"/>
    </row>
    <row r="95" spans="42:54">
      <c r="AP95" s="2130"/>
      <c r="BB95" s="2428"/>
    </row>
    <row r="96" spans="42:54">
      <c r="AP96" s="2130"/>
      <c r="BB96" s="2428"/>
    </row>
    <row r="97" spans="42:54">
      <c r="AP97" s="2130"/>
      <c r="BB97" s="2428"/>
    </row>
    <row r="98" spans="42:54">
      <c r="AP98" s="2130"/>
      <c r="BB98" s="2428"/>
    </row>
    <row r="99" spans="42:54">
      <c r="AP99" s="2130"/>
      <c r="BB99" s="2428"/>
    </row>
    <row r="100" spans="42:54">
      <c r="AP100" s="2130"/>
      <c r="BB100" s="2428"/>
    </row>
    <row r="101" spans="42:54">
      <c r="AP101" s="2130"/>
      <c r="BB101" s="2428"/>
    </row>
    <row r="102" spans="42:54">
      <c r="AP102" s="2130"/>
      <c r="BB102" s="2428"/>
    </row>
    <row r="103" spans="42:54">
      <c r="AP103" s="2130"/>
      <c r="BB103" s="2428"/>
    </row>
    <row r="104" spans="42:54">
      <c r="AP104" s="2130"/>
      <c r="BB104" s="2428"/>
    </row>
    <row r="105" spans="42:54">
      <c r="AP105" s="2130"/>
      <c r="BB105" s="2428"/>
    </row>
    <row r="106" spans="42:54">
      <c r="AP106" s="2130"/>
      <c r="BB106" s="2428"/>
    </row>
    <row r="107" spans="42:54">
      <c r="AP107" s="2130"/>
      <c r="BB107" s="2428"/>
    </row>
    <row r="108" spans="42:54">
      <c r="AP108" s="2130"/>
      <c r="BB108" s="2428"/>
    </row>
    <row r="109" spans="42:54">
      <c r="AP109" s="2130"/>
      <c r="BB109" s="2428"/>
    </row>
    <row r="110" spans="42:54">
      <c r="AP110" s="2130"/>
      <c r="BB110" s="2428"/>
    </row>
    <row r="111" spans="42:54">
      <c r="AP111" s="2130"/>
      <c r="BB111" s="2428"/>
    </row>
    <row r="112" spans="42:54">
      <c r="AP112" s="2130"/>
      <c r="BB112" s="2428"/>
    </row>
    <row r="113" spans="42:54">
      <c r="AP113" s="2130"/>
      <c r="BB113" s="2428"/>
    </row>
    <row r="114" spans="42:54">
      <c r="AP114" s="2130"/>
      <c r="BB114" s="2428"/>
    </row>
    <row r="115" spans="42:54">
      <c r="AP115" s="2130"/>
      <c r="BB115" s="2428"/>
    </row>
    <row r="116" spans="42:54">
      <c r="AP116" s="2130"/>
      <c r="BB116" s="2428"/>
    </row>
    <row r="117" spans="42:54">
      <c r="AP117" s="2130"/>
      <c r="BB117" s="2428"/>
    </row>
    <row r="118" spans="42:54">
      <c r="AP118" s="2130"/>
      <c r="BB118" s="2428"/>
    </row>
    <row r="119" spans="42:54">
      <c r="AP119" s="2130"/>
      <c r="BB119" s="2428"/>
    </row>
    <row r="120" spans="42:54">
      <c r="AP120" s="2130"/>
      <c r="BB120" s="2428"/>
    </row>
    <row r="121" spans="42:54">
      <c r="AP121" s="2130"/>
      <c r="BB121" s="2428"/>
    </row>
    <row r="122" spans="42:54">
      <c r="AP122" s="2130"/>
      <c r="BB122" s="2428"/>
    </row>
    <row r="123" spans="42:54">
      <c r="AP123" s="2130"/>
      <c r="BB123" s="2428"/>
    </row>
    <row r="124" spans="42:54">
      <c r="AP124" s="2130"/>
      <c r="BB124" s="2428"/>
    </row>
    <row r="125" spans="42:54">
      <c r="AP125" s="2130"/>
      <c r="BB125" s="2428"/>
    </row>
    <row r="126" spans="42:54">
      <c r="AP126" s="2130"/>
      <c r="BB126" s="2428"/>
    </row>
    <row r="127" spans="42:54">
      <c r="AP127" s="2130"/>
      <c r="BB127" s="2428"/>
    </row>
    <row r="128" spans="42:54">
      <c r="AP128" s="2130"/>
      <c r="BB128" s="2428"/>
    </row>
    <row r="129" spans="42:54">
      <c r="AP129" s="2130"/>
      <c r="BB129" s="2428"/>
    </row>
    <row r="130" spans="42:54">
      <c r="AP130" s="2130"/>
      <c r="BB130" s="2428"/>
    </row>
    <row r="131" spans="42:54">
      <c r="AP131" s="2130"/>
      <c r="BB131" s="2428"/>
    </row>
    <row r="132" spans="42:54">
      <c r="AP132" s="2130"/>
      <c r="BB132" s="2428"/>
    </row>
    <row r="133" spans="42:54">
      <c r="AP133" s="2130"/>
      <c r="BB133" s="2428"/>
    </row>
    <row r="134" spans="42:54">
      <c r="AP134" s="2130"/>
      <c r="BB134" s="2428"/>
    </row>
    <row r="135" spans="42:54">
      <c r="AP135" s="2130"/>
      <c r="BB135" s="2428"/>
    </row>
    <row r="136" spans="42:54">
      <c r="AP136" s="2130"/>
      <c r="BB136" s="2428"/>
    </row>
    <row r="137" spans="42:54">
      <c r="AP137" s="2130"/>
      <c r="BB137" s="2428"/>
    </row>
    <row r="138" spans="42:54">
      <c r="AP138" s="2130"/>
      <c r="BB138" s="2428"/>
    </row>
    <row r="139" spans="42:54">
      <c r="AP139" s="2130"/>
      <c r="BB139" s="2428"/>
    </row>
    <row r="140" spans="42:54">
      <c r="AP140" s="2130"/>
      <c r="BB140" s="2428"/>
    </row>
    <row r="141" spans="42:54">
      <c r="AP141" s="2130"/>
      <c r="BB141" s="2428"/>
    </row>
    <row r="142" spans="42:54">
      <c r="AP142" s="2130"/>
      <c r="BB142" s="2428"/>
    </row>
    <row r="143" spans="42:54">
      <c r="AP143" s="2130"/>
      <c r="BB143" s="2428"/>
    </row>
    <row r="144" spans="42:54">
      <c r="AP144" s="2130"/>
      <c r="BB144" s="2428"/>
    </row>
    <row r="145" spans="42:54">
      <c r="AP145" s="2130"/>
      <c r="BB145" s="2428"/>
    </row>
    <row r="146" spans="42:54">
      <c r="AP146" s="2130"/>
      <c r="BB146" s="2428"/>
    </row>
    <row r="147" spans="42:54">
      <c r="AP147" s="2130"/>
      <c r="BB147" s="2428"/>
    </row>
    <row r="148" spans="42:54">
      <c r="AP148" s="2130"/>
      <c r="BB148" s="2428"/>
    </row>
    <row r="149" spans="42:54">
      <c r="AP149" s="2130"/>
      <c r="BB149" s="2428"/>
    </row>
    <row r="150" spans="42:54">
      <c r="AP150" s="2130"/>
      <c r="BB150" s="2428"/>
    </row>
    <row r="151" spans="42:54">
      <c r="AP151" s="2130"/>
      <c r="BB151" s="2428"/>
    </row>
    <row r="152" spans="42:54">
      <c r="AP152" s="2130"/>
      <c r="BB152" s="2428"/>
    </row>
    <row r="153" spans="42:54">
      <c r="AP153" s="2130"/>
      <c r="BB153" s="2428"/>
    </row>
    <row r="154" spans="42:54">
      <c r="AP154" s="2130"/>
      <c r="BB154" s="2428"/>
    </row>
    <row r="155" spans="42:54">
      <c r="AP155" s="2130"/>
      <c r="BB155" s="2428"/>
    </row>
    <row r="156" spans="42:54">
      <c r="AP156" s="2130"/>
      <c r="BB156" s="2428"/>
    </row>
    <row r="157" spans="42:54">
      <c r="AP157" s="2130"/>
      <c r="BB157" s="2428"/>
    </row>
    <row r="158" spans="42:54">
      <c r="AP158" s="2130"/>
      <c r="BB158" s="2428"/>
    </row>
    <row r="159" spans="42:54">
      <c r="AP159" s="2130"/>
      <c r="BB159" s="2428"/>
    </row>
    <row r="160" spans="42:54">
      <c r="AP160" s="2130"/>
      <c r="BB160" s="2428"/>
    </row>
    <row r="161" spans="42:54">
      <c r="AP161" s="2130"/>
      <c r="BB161" s="2428"/>
    </row>
    <row r="162" spans="42:54">
      <c r="AP162" s="2130"/>
      <c r="BB162" s="2428"/>
    </row>
    <row r="163" spans="42:54">
      <c r="AP163" s="2130"/>
      <c r="BB163" s="2428"/>
    </row>
    <row r="164" spans="42:54">
      <c r="AP164" s="2130"/>
      <c r="BB164" s="2428"/>
    </row>
    <row r="165" spans="42:54">
      <c r="AP165" s="2130"/>
      <c r="BB165" s="2428"/>
    </row>
    <row r="166" spans="42:54">
      <c r="AP166" s="2130"/>
      <c r="BB166" s="2428"/>
    </row>
    <row r="167" spans="42:54">
      <c r="AP167" s="2130"/>
      <c r="BB167" s="2428"/>
    </row>
    <row r="168" spans="42:54">
      <c r="AP168" s="2130"/>
      <c r="BB168" s="2428"/>
    </row>
    <row r="169" spans="42:54">
      <c r="AP169" s="2130"/>
      <c r="BB169" s="2428"/>
    </row>
    <row r="170" spans="42:54">
      <c r="AP170" s="2130"/>
      <c r="BB170" s="2428"/>
    </row>
    <row r="171" spans="42:54">
      <c r="AP171" s="2130"/>
      <c r="BB171" s="2428"/>
    </row>
    <row r="172" spans="42:54">
      <c r="AP172" s="2130"/>
      <c r="BB172" s="2428"/>
    </row>
    <row r="173" spans="42:54">
      <c r="AP173" s="2130"/>
      <c r="BB173" s="2428"/>
    </row>
    <row r="174" spans="42:54">
      <c r="AP174" s="2130"/>
      <c r="BB174" s="2428"/>
    </row>
    <row r="175" spans="42:54">
      <c r="AP175" s="2130"/>
      <c r="BB175" s="2428"/>
    </row>
    <row r="176" spans="42:54">
      <c r="AP176" s="2130"/>
      <c r="BB176" s="2428"/>
    </row>
    <row r="177" spans="42:54">
      <c r="AP177" s="2130"/>
      <c r="BB177" s="2428"/>
    </row>
    <row r="178" spans="42:54">
      <c r="AP178" s="2130"/>
      <c r="BB178" s="2428"/>
    </row>
    <row r="179" spans="42:54">
      <c r="AP179" s="2130"/>
      <c r="BB179" s="2428"/>
    </row>
    <row r="180" spans="42:54">
      <c r="AP180" s="2130"/>
      <c r="BB180" s="2428"/>
    </row>
    <row r="181" spans="42:54">
      <c r="AP181" s="2130"/>
      <c r="BB181" s="2428"/>
    </row>
    <row r="182" spans="42:54">
      <c r="AP182" s="2130"/>
      <c r="BB182" s="2428"/>
    </row>
    <row r="183" spans="42:54">
      <c r="AP183" s="2130"/>
      <c r="BB183" s="2428"/>
    </row>
    <row r="184" spans="42:54">
      <c r="AP184" s="2130"/>
      <c r="BB184" s="2428"/>
    </row>
    <row r="185" spans="42:54">
      <c r="AP185" s="2130"/>
      <c r="BB185" s="2428"/>
    </row>
    <row r="186" spans="42:54">
      <c r="AP186" s="2130"/>
      <c r="BB186" s="2428"/>
    </row>
    <row r="187" spans="42:54">
      <c r="AP187" s="2130"/>
      <c r="BB187" s="2428"/>
    </row>
    <row r="188" spans="42:54">
      <c r="AP188" s="2130"/>
      <c r="BB188" s="2428"/>
    </row>
    <row r="189" spans="42:54">
      <c r="AP189" s="2130"/>
      <c r="BB189" s="2428"/>
    </row>
    <row r="190" spans="42:54">
      <c r="AP190" s="2130"/>
      <c r="BB190" s="2428"/>
    </row>
    <row r="191" spans="42:54">
      <c r="AP191" s="2130"/>
      <c r="BB191" s="2428"/>
    </row>
    <row r="192" spans="42:54">
      <c r="AP192" s="2130"/>
      <c r="BB192" s="2428"/>
    </row>
    <row r="193" spans="42:54">
      <c r="AP193" s="2130"/>
      <c r="BB193" s="2428"/>
    </row>
    <row r="194" spans="42:54">
      <c r="AP194" s="2130"/>
      <c r="BB194" s="2428"/>
    </row>
    <row r="195" spans="42:54">
      <c r="AP195" s="2130"/>
      <c r="BB195" s="2428"/>
    </row>
    <row r="196" spans="42:54">
      <c r="AP196" s="2130"/>
      <c r="BB196" s="2428"/>
    </row>
    <row r="197" spans="42:54">
      <c r="AP197" s="2130"/>
      <c r="BB197" s="2428"/>
    </row>
    <row r="198" spans="42:54">
      <c r="AP198" s="2130"/>
      <c r="BB198" s="2428"/>
    </row>
    <row r="199" spans="42:54">
      <c r="AP199" s="2130"/>
      <c r="BB199" s="2428"/>
    </row>
    <row r="200" spans="42:54">
      <c r="AP200" s="2130"/>
      <c r="BB200" s="2428"/>
    </row>
    <row r="201" spans="42:54">
      <c r="AP201" s="2130"/>
      <c r="BB201" s="2428"/>
    </row>
    <row r="202" spans="42:54">
      <c r="AP202" s="2130"/>
      <c r="BB202" s="2428"/>
    </row>
    <row r="203" spans="42:54">
      <c r="AP203" s="2130"/>
      <c r="BB203" s="2428"/>
    </row>
    <row r="204" spans="42:54">
      <c r="AP204" s="2130"/>
      <c r="BB204" s="2428"/>
    </row>
    <row r="205" spans="42:54">
      <c r="AP205" s="2130"/>
      <c r="BB205" s="2428"/>
    </row>
    <row r="206" spans="42:54">
      <c r="AP206" s="2130"/>
      <c r="BB206" s="2428"/>
    </row>
    <row r="207" spans="42:54">
      <c r="AP207" s="2130"/>
      <c r="BB207" s="2428"/>
    </row>
    <row r="208" spans="42:54">
      <c r="AP208" s="2130"/>
      <c r="BB208" s="2428"/>
    </row>
    <row r="209" spans="42:54">
      <c r="AP209" s="2130"/>
      <c r="BB209" s="2428"/>
    </row>
    <row r="210" spans="42:54">
      <c r="AP210" s="2130"/>
      <c r="BB210" s="2428"/>
    </row>
    <row r="211" spans="42:54">
      <c r="AP211" s="2130"/>
      <c r="BB211" s="2428"/>
    </row>
    <row r="212" spans="42:54">
      <c r="AP212" s="2130"/>
      <c r="BB212" s="2428"/>
    </row>
    <row r="213" spans="42:54">
      <c r="AP213" s="2130"/>
      <c r="BB213" s="2428"/>
    </row>
    <row r="214" spans="42:54">
      <c r="AP214" s="2130"/>
      <c r="BB214" s="2428"/>
    </row>
    <row r="215" spans="42:54">
      <c r="AP215" s="2130"/>
      <c r="BB215" s="2428"/>
    </row>
    <row r="216" spans="42:54">
      <c r="AP216" s="2130"/>
      <c r="BB216" s="2428"/>
    </row>
    <row r="217" spans="42:54">
      <c r="AP217" s="2130"/>
      <c r="BB217" s="2428"/>
    </row>
    <row r="218" spans="42:54">
      <c r="AP218" s="2130"/>
      <c r="BB218" s="2428"/>
    </row>
    <row r="219" spans="42:54">
      <c r="AP219" s="2130"/>
      <c r="BB219" s="2428"/>
    </row>
    <row r="220" spans="42:54">
      <c r="AP220" s="2130"/>
      <c r="BB220" s="2428"/>
    </row>
    <row r="221" spans="42:54">
      <c r="AP221" s="2130"/>
      <c r="BB221" s="2428"/>
    </row>
    <row r="222" spans="42:54">
      <c r="AP222" s="2130"/>
      <c r="BB222" s="2428"/>
    </row>
    <row r="223" spans="42:54">
      <c r="AP223" s="2130"/>
      <c r="BB223" s="2428"/>
    </row>
    <row r="224" spans="42:54">
      <c r="AP224" s="2130"/>
      <c r="BB224" s="2428"/>
    </row>
    <row r="225" spans="42:54">
      <c r="AP225" s="2130"/>
      <c r="BB225" s="2428"/>
    </row>
    <row r="226" spans="42:54">
      <c r="AP226" s="2130"/>
      <c r="BB226" s="2428"/>
    </row>
    <row r="227" spans="42:54">
      <c r="AP227" s="2130"/>
      <c r="BB227" s="2428"/>
    </row>
    <row r="228" spans="42:54">
      <c r="AP228" s="2130"/>
      <c r="BB228" s="2428"/>
    </row>
    <row r="229" spans="42:54">
      <c r="AP229" s="2130"/>
      <c r="BB229" s="2428"/>
    </row>
    <row r="230" spans="42:54">
      <c r="AP230" s="2130"/>
      <c r="BB230" s="2428"/>
    </row>
    <row r="231" spans="42:54">
      <c r="AP231" s="2130"/>
      <c r="BB231" s="2428"/>
    </row>
    <row r="232" spans="42:54">
      <c r="AP232" s="2130"/>
      <c r="BB232" s="2428"/>
    </row>
    <row r="233" spans="42:54">
      <c r="AP233" s="2130"/>
      <c r="BB233" s="2428"/>
    </row>
    <row r="234" spans="42:54">
      <c r="AP234" s="2130"/>
      <c r="BB234" s="2428"/>
    </row>
    <row r="235" spans="42:54">
      <c r="AP235" s="2130"/>
      <c r="BB235" s="2428"/>
    </row>
    <row r="236" spans="42:54">
      <c r="AP236" s="2130"/>
      <c r="BB236" s="2428"/>
    </row>
    <row r="237" spans="42:54">
      <c r="AP237" s="2130"/>
      <c r="BB237" s="2428"/>
    </row>
    <row r="238" spans="42:54">
      <c r="AP238" s="2130"/>
      <c r="BB238" s="2428"/>
    </row>
    <row r="239" spans="42:54">
      <c r="AP239" s="2130"/>
      <c r="BB239" s="2428"/>
    </row>
    <row r="240" spans="42:54">
      <c r="AP240" s="2130"/>
      <c r="BB240" s="2428"/>
    </row>
    <row r="241" spans="42:54">
      <c r="AP241" s="2130"/>
      <c r="BB241" s="2428"/>
    </row>
    <row r="242" spans="42:54">
      <c r="AP242" s="2130"/>
      <c r="BB242" s="2428"/>
    </row>
    <row r="243" spans="42:54">
      <c r="AP243" s="2130"/>
      <c r="BB243" s="2428"/>
    </row>
    <row r="244" spans="42:54">
      <c r="AP244" s="2130"/>
      <c r="BB244" s="2428"/>
    </row>
    <row r="245" spans="42:54">
      <c r="AP245" s="2130"/>
      <c r="BB245" s="2428"/>
    </row>
    <row r="246" spans="42:54">
      <c r="AP246" s="2130"/>
      <c r="BB246" s="2428"/>
    </row>
    <row r="247" spans="42:54">
      <c r="AP247" s="2130"/>
      <c r="BB247" s="2428"/>
    </row>
    <row r="248" spans="42:54">
      <c r="AP248" s="2130"/>
      <c r="BB248" s="2428"/>
    </row>
    <row r="249" spans="42:54">
      <c r="AP249" s="2130"/>
      <c r="BB249" s="2428"/>
    </row>
    <row r="250" spans="42:54">
      <c r="AP250" s="2130"/>
      <c r="BB250" s="2428"/>
    </row>
    <row r="251" spans="42:54">
      <c r="AP251" s="2130"/>
      <c r="BB251" s="2428"/>
    </row>
    <row r="252" spans="42:54">
      <c r="AP252" s="2130"/>
      <c r="BB252" s="2428"/>
    </row>
    <row r="253" spans="42:54">
      <c r="AP253" s="2130"/>
      <c r="BB253" s="2428"/>
    </row>
    <row r="254" spans="42:54">
      <c r="AP254" s="2130"/>
      <c r="BB254" s="2428"/>
    </row>
    <row r="255" spans="42:54">
      <c r="AP255" s="2130"/>
      <c r="BB255" s="2428"/>
    </row>
    <row r="256" spans="42:54">
      <c r="AP256" s="2130"/>
      <c r="BB256" s="2428"/>
    </row>
    <row r="257" spans="42:54">
      <c r="AP257" s="2130"/>
      <c r="BB257" s="2428"/>
    </row>
    <row r="258" spans="42:54">
      <c r="AP258" s="2130"/>
      <c r="BB258" s="2428"/>
    </row>
    <row r="259" spans="42:54">
      <c r="AP259" s="2130"/>
      <c r="BB259" s="2428"/>
    </row>
    <row r="260" spans="42:54">
      <c r="AP260" s="2130"/>
      <c r="BB260" s="2428"/>
    </row>
    <row r="261" spans="42:54">
      <c r="AP261" s="2130"/>
      <c r="BB261" s="2428"/>
    </row>
    <row r="262" spans="42:54">
      <c r="AP262" s="2130"/>
      <c r="BB262" s="2428"/>
    </row>
    <row r="263" spans="42:54">
      <c r="AP263" s="2130"/>
      <c r="BB263" s="2428"/>
    </row>
    <row r="264" spans="42:54">
      <c r="AP264" s="2130"/>
      <c r="BB264" s="2428"/>
    </row>
    <row r="265" spans="42:54">
      <c r="AP265" s="2130"/>
      <c r="BB265" s="2428"/>
    </row>
    <row r="266" spans="42:54">
      <c r="AP266" s="2130"/>
      <c r="BB266" s="2428"/>
    </row>
    <row r="267" spans="42:54">
      <c r="AP267" s="2130"/>
      <c r="BB267" s="2428"/>
    </row>
    <row r="268" spans="42:54">
      <c r="AP268" s="2130"/>
      <c r="BB268" s="2428"/>
    </row>
    <row r="269" spans="42:54">
      <c r="AP269" s="2130"/>
      <c r="BB269" s="2428"/>
    </row>
    <row r="270" spans="42:54">
      <c r="AP270" s="2130"/>
      <c r="BB270" s="2428"/>
    </row>
    <row r="271" spans="42:54">
      <c r="AP271" s="2130"/>
      <c r="BB271" s="2428"/>
    </row>
    <row r="272" spans="42:54">
      <c r="AP272" s="2130"/>
      <c r="BB272" s="2428"/>
    </row>
    <row r="273" spans="42:54">
      <c r="AP273" s="2130"/>
      <c r="BB273" s="2428"/>
    </row>
    <row r="274" spans="42:54">
      <c r="AP274" s="2130"/>
      <c r="BB274" s="2428"/>
    </row>
    <row r="275" spans="42:54">
      <c r="AP275" s="2130"/>
      <c r="BB275" s="2428"/>
    </row>
    <row r="276" spans="42:54">
      <c r="AP276" s="2130"/>
      <c r="BB276" s="2428"/>
    </row>
    <row r="277" spans="42:54">
      <c r="AP277" s="2130"/>
      <c r="BB277" s="2428"/>
    </row>
    <row r="278" spans="42:54">
      <c r="AP278" s="2130"/>
      <c r="BB278" s="2428"/>
    </row>
    <row r="279" spans="42:54">
      <c r="AP279" s="2130"/>
      <c r="BB279" s="2428"/>
    </row>
    <row r="280" spans="42:54">
      <c r="AP280" s="2130"/>
      <c r="BB280" s="2428"/>
    </row>
    <row r="281" spans="42:54">
      <c r="AP281" s="2130"/>
      <c r="BB281" s="2428"/>
    </row>
    <row r="282" spans="42:54">
      <c r="AP282" s="2130"/>
      <c r="BB282" s="2428"/>
    </row>
    <row r="283" spans="42:54">
      <c r="AP283" s="2130"/>
      <c r="BB283" s="2428"/>
    </row>
    <row r="284" spans="42:54">
      <c r="AP284" s="2130"/>
      <c r="BB284" s="2428"/>
    </row>
    <row r="285" spans="42:54">
      <c r="AP285" s="2130"/>
      <c r="BB285" s="2428"/>
    </row>
    <row r="286" spans="42:54">
      <c r="AP286" s="2130"/>
      <c r="BB286" s="2428"/>
    </row>
    <row r="287" spans="42:54">
      <c r="AP287" s="2130"/>
      <c r="BB287" s="2428"/>
    </row>
    <row r="288" spans="42:54">
      <c r="AP288" s="2130"/>
      <c r="BB288" s="2428"/>
    </row>
    <row r="289" spans="42:54">
      <c r="AP289" s="2130"/>
      <c r="BB289" s="2428"/>
    </row>
    <row r="290" spans="42:54">
      <c r="AP290" s="2130"/>
      <c r="BB290" s="2428"/>
    </row>
    <row r="291" spans="42:54">
      <c r="AP291" s="2130"/>
      <c r="BB291" s="2428"/>
    </row>
    <row r="292" spans="42:54">
      <c r="AP292" s="2130"/>
      <c r="BB292" s="2428"/>
    </row>
    <row r="293" spans="42:54">
      <c r="AP293" s="2130"/>
      <c r="BB293" s="2428"/>
    </row>
    <row r="294" spans="42:54">
      <c r="AP294" s="2130"/>
      <c r="BB294" s="2428"/>
    </row>
    <row r="295" spans="42:54">
      <c r="AP295" s="2130"/>
      <c r="BB295" s="2428"/>
    </row>
    <row r="296" spans="42:54">
      <c r="AP296" s="2130"/>
      <c r="BB296" s="2428"/>
    </row>
    <row r="297" spans="42:54">
      <c r="AP297" s="2130"/>
      <c r="BB297" s="2428"/>
    </row>
    <row r="298" spans="42:54">
      <c r="AP298" s="2130"/>
      <c r="BB298" s="2428"/>
    </row>
    <row r="299" spans="42:54">
      <c r="AP299" s="2130"/>
      <c r="BB299" s="2428"/>
    </row>
    <row r="300" spans="42:54">
      <c r="AP300" s="2130"/>
      <c r="BB300" s="2428"/>
    </row>
    <row r="301" spans="42:54">
      <c r="AP301" s="2130"/>
      <c r="BB301" s="2428"/>
    </row>
    <row r="302" spans="42:54">
      <c r="AP302" s="2130"/>
      <c r="BB302" s="2428"/>
    </row>
    <row r="303" spans="42:54">
      <c r="AP303" s="2130"/>
      <c r="BB303" s="2428"/>
    </row>
    <row r="304" spans="42:54">
      <c r="AP304" s="2130"/>
      <c r="BB304" s="2428"/>
    </row>
    <row r="305" spans="42:54">
      <c r="AP305" s="2130"/>
      <c r="BB305" s="2428"/>
    </row>
    <row r="306" spans="42:54">
      <c r="AP306" s="2130"/>
      <c r="BB306" s="2428"/>
    </row>
    <row r="307" spans="42:54">
      <c r="AP307" s="2130"/>
      <c r="BB307" s="2428"/>
    </row>
    <row r="308" spans="42:54">
      <c r="AP308" s="2130"/>
      <c r="BB308" s="2428"/>
    </row>
    <row r="309" spans="42:54">
      <c r="AP309" s="2130"/>
      <c r="BB309" s="2428"/>
    </row>
    <row r="310" spans="42:54">
      <c r="AP310" s="2130"/>
      <c r="BB310" s="2428"/>
    </row>
    <row r="311" spans="42:54">
      <c r="AP311" s="2130"/>
      <c r="BB311" s="2428"/>
    </row>
    <row r="312" spans="42:54">
      <c r="AP312" s="2130"/>
      <c r="BB312" s="2428"/>
    </row>
    <row r="313" spans="42:54">
      <c r="AP313" s="2130"/>
      <c r="BB313" s="2428"/>
    </row>
    <row r="314" spans="42:54">
      <c r="AP314" s="2130"/>
      <c r="BB314" s="2428"/>
    </row>
    <row r="315" spans="42:54">
      <c r="AP315" s="2130"/>
      <c r="BB315" s="2428"/>
    </row>
    <row r="316" spans="42:54">
      <c r="AP316" s="2130"/>
      <c r="BB316" s="2428"/>
    </row>
    <row r="317" spans="42:54">
      <c r="AP317" s="2130"/>
      <c r="BB317" s="2428"/>
    </row>
    <row r="318" spans="42:54">
      <c r="AP318" s="2130"/>
      <c r="BB318" s="2428"/>
    </row>
    <row r="319" spans="42:54">
      <c r="AP319" s="2130"/>
      <c r="BB319" s="2428"/>
    </row>
    <row r="320" spans="42:54">
      <c r="AP320" s="2130"/>
      <c r="BB320" s="2428"/>
    </row>
    <row r="321" spans="42:54">
      <c r="AP321" s="2130"/>
      <c r="BB321" s="2428"/>
    </row>
    <row r="322" spans="42:54">
      <c r="AP322" s="2130"/>
      <c r="BB322" s="2428"/>
    </row>
    <row r="323" spans="42:54">
      <c r="AP323" s="2130"/>
      <c r="BB323" s="2428"/>
    </row>
    <row r="324" spans="42:54">
      <c r="AP324" s="2130"/>
      <c r="BB324" s="2428"/>
    </row>
    <row r="325" spans="42:54">
      <c r="AP325" s="2130"/>
      <c r="BB325" s="2428"/>
    </row>
    <row r="326" spans="42:54">
      <c r="AP326" s="2130"/>
      <c r="BB326" s="2428"/>
    </row>
    <row r="327" spans="42:54">
      <c r="AP327" s="2130"/>
      <c r="BB327" s="2428"/>
    </row>
    <row r="328" spans="42:54">
      <c r="AP328" s="2130"/>
      <c r="BB328" s="2428"/>
    </row>
    <row r="329" spans="42:54">
      <c r="AP329" s="2130"/>
      <c r="BB329" s="2428"/>
    </row>
    <row r="330" spans="42:54">
      <c r="AP330" s="2130"/>
      <c r="BB330" s="2428"/>
    </row>
    <row r="331" spans="42:54">
      <c r="AP331" s="2130"/>
      <c r="BB331" s="2428"/>
    </row>
    <row r="332" spans="42:54">
      <c r="AP332" s="2130"/>
      <c r="BB332" s="2428"/>
    </row>
    <row r="333" spans="42:54">
      <c r="AP333" s="2130"/>
      <c r="BB333" s="2428"/>
    </row>
    <row r="334" spans="42:54">
      <c r="AP334" s="2130"/>
      <c r="BB334" s="2428"/>
    </row>
    <row r="335" spans="42:54">
      <c r="AP335" s="2130"/>
      <c r="BB335" s="2428"/>
    </row>
    <row r="336" spans="42:54">
      <c r="AP336" s="2130"/>
      <c r="BB336" s="2428"/>
    </row>
    <row r="337" spans="42:54">
      <c r="AP337" s="2130"/>
      <c r="BB337" s="2428"/>
    </row>
    <row r="338" spans="42:54">
      <c r="AP338" s="2130"/>
      <c r="BB338" s="2428"/>
    </row>
    <row r="339" spans="42:54">
      <c r="AP339" s="2130"/>
      <c r="BB339" s="2428"/>
    </row>
    <row r="340" spans="42:54">
      <c r="AP340" s="2130"/>
      <c r="BB340" s="2428"/>
    </row>
    <row r="341" spans="42:54">
      <c r="AP341" s="2130"/>
      <c r="BB341" s="2428"/>
    </row>
    <row r="342" spans="42:54">
      <c r="AP342" s="2130"/>
      <c r="BB342" s="2428"/>
    </row>
    <row r="343" spans="42:54">
      <c r="AP343" s="2130"/>
      <c r="BB343" s="2428"/>
    </row>
    <row r="344" spans="42:54">
      <c r="AP344" s="2130"/>
      <c r="BB344" s="2428"/>
    </row>
    <row r="345" spans="42:54">
      <c r="AP345" s="2130"/>
      <c r="BB345" s="2428"/>
    </row>
    <row r="346" spans="42:54">
      <c r="AP346" s="2130"/>
      <c r="BB346" s="2428"/>
    </row>
    <row r="347" spans="42:54">
      <c r="AP347" s="2130"/>
      <c r="BB347" s="2428"/>
    </row>
    <row r="348" spans="42:54">
      <c r="AP348" s="2130"/>
      <c r="BB348" s="2428"/>
    </row>
    <row r="349" spans="42:54">
      <c r="AP349" s="2130"/>
      <c r="BB349" s="2428"/>
    </row>
    <row r="350" spans="42:54">
      <c r="AP350" s="2130"/>
      <c r="BB350" s="2428"/>
    </row>
    <row r="351" spans="42:54">
      <c r="AP351" s="2130"/>
      <c r="BB351" s="2428"/>
    </row>
    <row r="352" spans="42:54">
      <c r="AP352" s="2130"/>
      <c r="BB352" s="2428"/>
    </row>
    <row r="353" spans="42:54">
      <c r="AP353" s="2130"/>
      <c r="BB353" s="2428"/>
    </row>
    <row r="354" spans="42:54">
      <c r="AP354" s="2130"/>
      <c r="BB354" s="2428"/>
    </row>
    <row r="355" spans="42:54">
      <c r="AP355" s="2130"/>
      <c r="BB355" s="2428"/>
    </row>
    <row r="356" spans="42:54">
      <c r="AP356" s="2130"/>
      <c r="BB356" s="2428"/>
    </row>
    <row r="357" spans="42:54">
      <c r="AP357" s="2130"/>
      <c r="BB357" s="2428"/>
    </row>
    <row r="358" spans="42:54">
      <c r="AP358" s="2130"/>
      <c r="BB358" s="2428"/>
    </row>
    <row r="359" spans="42:54">
      <c r="AP359" s="2130"/>
      <c r="BB359" s="2428"/>
    </row>
    <row r="360" spans="42:54">
      <c r="AP360" s="2130"/>
      <c r="BB360" s="2428"/>
    </row>
    <row r="361" spans="42:54">
      <c r="AP361" s="2130"/>
      <c r="BB361" s="2428"/>
    </row>
    <row r="362" spans="42:54">
      <c r="AP362" s="2130"/>
      <c r="BB362" s="2428"/>
    </row>
    <row r="363" spans="42:54">
      <c r="AP363" s="2130"/>
      <c r="BB363" s="2428"/>
    </row>
    <row r="364" spans="42:54">
      <c r="AP364" s="2130"/>
      <c r="BB364" s="2428"/>
    </row>
    <row r="365" spans="42:54">
      <c r="AP365" s="2130"/>
      <c r="BB365" s="2428"/>
    </row>
    <row r="366" spans="42:54">
      <c r="AP366" s="2130"/>
      <c r="BB366" s="2428"/>
    </row>
    <row r="367" spans="42:54">
      <c r="AP367" s="2130"/>
      <c r="BB367" s="2428"/>
    </row>
    <row r="368" spans="42:54">
      <c r="AP368" s="2130"/>
      <c r="BB368" s="2428"/>
    </row>
    <row r="369" spans="42:54">
      <c r="AP369" s="2130"/>
      <c r="BB369" s="2428"/>
    </row>
    <row r="370" spans="42:54">
      <c r="AP370" s="2130"/>
      <c r="BB370" s="2428"/>
    </row>
    <row r="371" spans="42:54">
      <c r="AP371" s="2130"/>
      <c r="BB371" s="2428"/>
    </row>
    <row r="372" spans="42:54">
      <c r="AP372" s="2130"/>
      <c r="BB372" s="2428"/>
    </row>
    <row r="373" spans="42:54">
      <c r="AP373" s="2130"/>
      <c r="BB373" s="2428"/>
    </row>
    <row r="374" spans="42:54">
      <c r="AP374" s="2130"/>
      <c r="BB374" s="2428"/>
    </row>
    <row r="375" spans="42:54">
      <c r="AP375" s="2130"/>
      <c r="BB375" s="2428"/>
    </row>
    <row r="376" spans="42:54">
      <c r="AP376" s="2130"/>
      <c r="BB376" s="2428"/>
    </row>
    <row r="377" spans="42:54">
      <c r="AP377" s="2130"/>
      <c r="BB377" s="2428"/>
    </row>
    <row r="378" spans="42:54">
      <c r="AP378" s="2130"/>
      <c r="BB378" s="2428"/>
    </row>
    <row r="379" spans="42:54">
      <c r="AP379" s="2130"/>
      <c r="BB379" s="2428"/>
    </row>
    <row r="380" spans="42:54">
      <c r="AP380" s="2130"/>
      <c r="BB380" s="2428"/>
    </row>
    <row r="381" spans="42:54">
      <c r="AP381" s="2130"/>
      <c r="BB381" s="2428"/>
    </row>
    <row r="382" spans="42:54">
      <c r="AP382" s="2130"/>
      <c r="BB382" s="2428"/>
    </row>
    <row r="383" spans="42:54">
      <c r="AP383" s="2130"/>
      <c r="BB383" s="2428"/>
    </row>
    <row r="384" spans="42:54">
      <c r="AP384" s="2130"/>
      <c r="BB384" s="2428"/>
    </row>
    <row r="385" spans="42:54">
      <c r="AP385" s="2130"/>
      <c r="BB385" s="2428"/>
    </row>
    <row r="386" spans="42:54">
      <c r="AP386" s="2130"/>
      <c r="BB386" s="2428"/>
    </row>
    <row r="387" spans="42:54">
      <c r="AP387" s="2130"/>
      <c r="BB387" s="2428"/>
    </row>
    <row r="388" spans="42:54">
      <c r="AP388" s="2130"/>
      <c r="BB388" s="2428"/>
    </row>
    <row r="389" spans="42:54">
      <c r="AP389" s="2130"/>
      <c r="BB389" s="2428"/>
    </row>
    <row r="390" spans="42:54">
      <c r="AP390" s="2130"/>
      <c r="BB390" s="2428"/>
    </row>
    <row r="391" spans="42:54">
      <c r="AP391" s="2130"/>
      <c r="BB391" s="2428"/>
    </row>
    <row r="392" spans="42:54">
      <c r="AP392" s="2130"/>
      <c r="BB392" s="2428"/>
    </row>
    <row r="393" spans="42:54">
      <c r="AP393" s="2130"/>
      <c r="BB393" s="2428"/>
    </row>
    <row r="394" spans="42:54">
      <c r="AP394" s="2130"/>
      <c r="BB394" s="2428"/>
    </row>
    <row r="395" spans="42:54">
      <c r="AP395" s="2130"/>
      <c r="BB395" s="2428"/>
    </row>
    <row r="396" spans="42:54">
      <c r="AP396" s="2130"/>
      <c r="BB396" s="2428"/>
    </row>
    <row r="397" spans="42:54">
      <c r="AP397" s="2130"/>
      <c r="BB397" s="2428"/>
    </row>
    <row r="398" spans="42:54">
      <c r="AP398" s="2130"/>
      <c r="BB398" s="2428"/>
    </row>
    <row r="399" spans="42:54">
      <c r="AP399" s="2130"/>
      <c r="BB399" s="2428"/>
    </row>
    <row r="400" spans="42:54">
      <c r="AP400" s="2130"/>
      <c r="BB400" s="2428"/>
    </row>
    <row r="401" spans="42:54">
      <c r="AP401" s="2130"/>
      <c r="BB401" s="2428"/>
    </row>
    <row r="402" spans="42:54">
      <c r="AP402" s="2130"/>
      <c r="BB402" s="2428"/>
    </row>
    <row r="403" spans="42:54">
      <c r="AP403" s="2130"/>
      <c r="BB403" s="2428"/>
    </row>
    <row r="404" spans="42:54">
      <c r="AP404" s="2130"/>
      <c r="BB404" s="2428"/>
    </row>
    <row r="405" spans="42:54">
      <c r="AP405" s="2130"/>
      <c r="BB405" s="2428"/>
    </row>
    <row r="406" spans="42:54">
      <c r="AP406" s="2130"/>
      <c r="BB406" s="2428"/>
    </row>
    <row r="407" spans="42:54">
      <c r="AP407" s="2130"/>
      <c r="BB407" s="2428"/>
    </row>
    <row r="408" spans="42:54">
      <c r="AP408" s="2130"/>
      <c r="BB408" s="2428"/>
    </row>
    <row r="409" spans="42:54">
      <c r="AP409" s="2130"/>
      <c r="BB409" s="2428"/>
    </row>
    <row r="410" spans="42:54">
      <c r="AP410" s="2130"/>
      <c r="BB410" s="2428"/>
    </row>
    <row r="411" spans="42:54">
      <c r="AP411" s="2130"/>
      <c r="BB411" s="2428"/>
    </row>
    <row r="412" spans="42:54">
      <c r="AP412" s="2130"/>
      <c r="BB412" s="2428"/>
    </row>
    <row r="413" spans="42:54">
      <c r="AP413" s="2130"/>
      <c r="BB413" s="2428"/>
    </row>
    <row r="414" spans="42:54">
      <c r="AP414" s="2130"/>
      <c r="BB414" s="2428"/>
    </row>
    <row r="415" spans="42:54">
      <c r="AP415" s="2130"/>
      <c r="BB415" s="2428"/>
    </row>
    <row r="416" spans="42:54">
      <c r="AP416" s="2130"/>
      <c r="BB416" s="2428"/>
    </row>
    <row r="417" spans="42:54">
      <c r="AP417" s="2130"/>
      <c r="BB417" s="2428"/>
    </row>
    <row r="418" spans="42:54">
      <c r="AP418" s="2130"/>
      <c r="BB418" s="2428"/>
    </row>
    <row r="419" spans="42:54">
      <c r="AP419" s="2130"/>
      <c r="BB419" s="2428"/>
    </row>
    <row r="420" spans="42:54">
      <c r="AP420" s="2130"/>
      <c r="BB420" s="2428"/>
    </row>
    <row r="421" spans="42:54">
      <c r="AP421" s="2130"/>
      <c r="BB421" s="2428"/>
    </row>
    <row r="422" spans="42:54">
      <c r="AP422" s="2130"/>
      <c r="BB422" s="2428"/>
    </row>
    <row r="423" spans="42:54">
      <c r="AP423" s="2130"/>
      <c r="BB423" s="2428"/>
    </row>
    <row r="424" spans="42:54">
      <c r="AP424" s="2130"/>
      <c r="BB424" s="2428"/>
    </row>
    <row r="425" spans="42:54">
      <c r="AP425" s="2130"/>
      <c r="BB425" s="2428"/>
    </row>
    <row r="426" spans="42:54">
      <c r="AP426" s="2130"/>
      <c r="BB426" s="2428"/>
    </row>
    <row r="427" spans="42:54">
      <c r="AP427" s="2130"/>
      <c r="BB427" s="2428"/>
    </row>
    <row r="428" spans="42:54">
      <c r="AP428" s="2130"/>
      <c r="BB428" s="2428"/>
    </row>
    <row r="429" spans="42:54">
      <c r="AP429" s="2130"/>
      <c r="BB429" s="2428"/>
    </row>
    <row r="430" spans="42:54">
      <c r="AP430" s="2130"/>
      <c r="BB430" s="2428"/>
    </row>
    <row r="431" spans="42:54">
      <c r="AP431" s="2130"/>
      <c r="BB431" s="2428"/>
    </row>
    <row r="432" spans="42:54">
      <c r="AP432" s="2130"/>
      <c r="BB432" s="2428"/>
    </row>
    <row r="433" spans="42:54">
      <c r="AP433" s="2130"/>
      <c r="BB433" s="2428"/>
    </row>
    <row r="434" spans="42:54">
      <c r="AP434" s="2130"/>
      <c r="BB434" s="2428"/>
    </row>
    <row r="435" spans="42:54">
      <c r="AP435" s="2130"/>
      <c r="BB435" s="2428"/>
    </row>
    <row r="436" spans="42:54">
      <c r="AP436" s="2130"/>
      <c r="BB436" s="2428"/>
    </row>
    <row r="437" spans="42:54">
      <c r="AP437" s="2130"/>
      <c r="BB437" s="2428"/>
    </row>
    <row r="438" spans="42:54">
      <c r="AP438" s="2130"/>
      <c r="BB438" s="2428"/>
    </row>
    <row r="439" spans="42:54">
      <c r="AP439" s="2130"/>
      <c r="BB439" s="2428"/>
    </row>
    <row r="440" spans="42:54">
      <c r="AP440" s="2130"/>
      <c r="BB440" s="2428"/>
    </row>
    <row r="441" spans="42:54">
      <c r="AP441" s="2130"/>
      <c r="BB441" s="2428"/>
    </row>
    <row r="442" spans="42:54">
      <c r="AP442" s="2130"/>
      <c r="BB442" s="2428"/>
    </row>
    <row r="443" spans="42:54">
      <c r="AP443" s="2130"/>
      <c r="BB443" s="2428"/>
    </row>
    <row r="444" spans="42:54">
      <c r="AP444" s="2130"/>
      <c r="BB444" s="2428"/>
    </row>
    <row r="445" spans="42:54">
      <c r="AP445" s="2130"/>
      <c r="BB445" s="2428"/>
    </row>
    <row r="446" spans="42:54">
      <c r="AP446" s="2130"/>
      <c r="BB446" s="2428"/>
    </row>
    <row r="447" spans="42:54">
      <c r="AP447" s="2130"/>
      <c r="BB447" s="2428"/>
    </row>
    <row r="448" spans="42:54">
      <c r="AP448" s="2130"/>
      <c r="BB448" s="2428"/>
    </row>
    <row r="449" spans="42:54">
      <c r="AP449" s="2130"/>
      <c r="BB449" s="2428"/>
    </row>
    <row r="450" spans="42:54">
      <c r="AP450" s="2130"/>
      <c r="BB450" s="2428"/>
    </row>
    <row r="451" spans="42:54">
      <c r="AP451" s="2130"/>
      <c r="BB451" s="2428"/>
    </row>
    <row r="452" spans="42:54">
      <c r="AP452" s="2130"/>
      <c r="BB452" s="2428"/>
    </row>
    <row r="453" spans="42:54">
      <c r="AP453" s="2130"/>
      <c r="BB453" s="2428"/>
    </row>
    <row r="454" spans="42:54">
      <c r="AP454" s="2130"/>
      <c r="BB454" s="2428"/>
    </row>
    <row r="455" spans="42:54">
      <c r="AP455" s="2130"/>
      <c r="BB455" s="2428"/>
    </row>
    <row r="456" spans="42:54">
      <c r="AP456" s="2130"/>
      <c r="BB456" s="2428"/>
    </row>
    <row r="457" spans="42:54">
      <c r="AP457" s="2130"/>
      <c r="BB457" s="2428"/>
    </row>
    <row r="458" spans="42:54">
      <c r="AP458" s="2130"/>
      <c r="BB458" s="2428"/>
    </row>
    <row r="459" spans="42:54">
      <c r="AP459" s="2130"/>
      <c r="BB459" s="2428"/>
    </row>
    <row r="460" spans="42:54">
      <c r="AP460" s="2130"/>
      <c r="BB460" s="2428"/>
    </row>
    <row r="461" spans="42:54">
      <c r="AP461" s="2130"/>
      <c r="BB461" s="2428"/>
    </row>
    <row r="462" spans="42:54">
      <c r="AP462" s="2130"/>
      <c r="BB462" s="2428"/>
    </row>
    <row r="463" spans="42:54">
      <c r="AP463" s="2130"/>
      <c r="BB463" s="2428"/>
    </row>
    <row r="464" spans="42:54">
      <c r="AP464" s="2130"/>
      <c r="BB464" s="2428"/>
    </row>
    <row r="465" spans="42:54">
      <c r="AP465" s="2130"/>
      <c r="BB465" s="2428"/>
    </row>
    <row r="466" spans="42:54">
      <c r="AP466" s="2130"/>
      <c r="BB466" s="2428"/>
    </row>
    <row r="467" spans="42:54">
      <c r="AP467" s="2130"/>
      <c r="BB467" s="2428"/>
    </row>
    <row r="468" spans="42:54">
      <c r="AP468" s="2130"/>
      <c r="BB468" s="2428"/>
    </row>
    <row r="469" spans="42:54">
      <c r="AP469" s="2130"/>
      <c r="BB469" s="2428"/>
    </row>
    <row r="470" spans="42:54">
      <c r="AP470" s="2130"/>
      <c r="BB470" s="2428"/>
    </row>
    <row r="471" spans="42:54">
      <c r="AP471" s="2130"/>
      <c r="BB471" s="2428"/>
    </row>
    <row r="472" spans="42:54">
      <c r="AP472" s="2130"/>
      <c r="BB472" s="2428"/>
    </row>
    <row r="473" spans="42:54">
      <c r="AP473" s="2130"/>
      <c r="BB473" s="2428"/>
    </row>
    <row r="474" spans="42:54">
      <c r="AP474" s="2130"/>
      <c r="BB474" s="2428"/>
    </row>
    <row r="475" spans="42:54">
      <c r="AP475" s="2130"/>
      <c r="BB475" s="2428"/>
    </row>
    <row r="476" spans="42:54">
      <c r="AP476" s="2130"/>
      <c r="BB476" s="2428"/>
    </row>
    <row r="477" spans="42:54">
      <c r="AP477" s="2130"/>
      <c r="BB477" s="2428"/>
    </row>
    <row r="478" spans="42:54">
      <c r="AP478" s="2130"/>
      <c r="BB478" s="2428"/>
    </row>
    <row r="479" spans="42:54">
      <c r="AP479" s="2130"/>
      <c r="BB479" s="2428"/>
    </row>
    <row r="480" spans="42:54">
      <c r="AP480" s="2130"/>
      <c r="BB480" s="2428"/>
    </row>
    <row r="481" spans="42:54">
      <c r="AP481" s="2130"/>
      <c r="BB481" s="2428"/>
    </row>
    <row r="482" spans="42:54">
      <c r="AP482" s="2130"/>
      <c r="BB482" s="2428"/>
    </row>
    <row r="483" spans="42:54">
      <c r="AP483" s="2130"/>
      <c r="BB483" s="2428"/>
    </row>
    <row r="484" spans="42:54">
      <c r="AP484" s="2130"/>
      <c r="BB484" s="2428"/>
    </row>
    <row r="485" spans="42:54">
      <c r="AP485" s="2130"/>
      <c r="BB485" s="2428"/>
    </row>
    <row r="486" spans="42:54">
      <c r="AP486" s="2130"/>
      <c r="BB486" s="2428"/>
    </row>
    <row r="487" spans="42:54">
      <c r="AP487" s="2130"/>
      <c r="BB487" s="2428"/>
    </row>
    <row r="488" spans="42:54">
      <c r="AP488" s="2130"/>
      <c r="BB488" s="2428"/>
    </row>
    <row r="489" spans="42:54">
      <c r="AP489" s="2130"/>
      <c r="BB489" s="2428"/>
    </row>
    <row r="490" spans="42:54">
      <c r="AP490" s="2130"/>
      <c r="BB490" s="2428"/>
    </row>
    <row r="491" spans="42:54">
      <c r="AP491" s="2130"/>
      <c r="BB491" s="2428"/>
    </row>
    <row r="492" spans="42:54">
      <c r="AP492" s="2130"/>
      <c r="BB492" s="2428"/>
    </row>
    <row r="493" spans="42:54">
      <c r="AP493" s="2130"/>
      <c r="BB493" s="2428"/>
    </row>
    <row r="494" spans="42:54">
      <c r="AP494" s="2130"/>
      <c r="BB494" s="2428"/>
    </row>
    <row r="495" spans="42:54">
      <c r="AP495" s="2130"/>
      <c r="BB495" s="2428"/>
    </row>
    <row r="496" spans="42:54">
      <c r="AP496" s="2130"/>
      <c r="BB496" s="2428"/>
    </row>
    <row r="497" spans="42:54">
      <c r="AP497" s="2130"/>
      <c r="BB497" s="2428"/>
    </row>
    <row r="498" spans="42:54">
      <c r="AP498" s="2130"/>
      <c r="BB498" s="2428"/>
    </row>
    <row r="499" spans="42:54">
      <c r="AP499" s="2130"/>
      <c r="BB499" s="2428"/>
    </row>
    <row r="500" spans="42:54">
      <c r="AP500" s="2130"/>
      <c r="BB500" s="2428"/>
    </row>
    <row r="501" spans="42:54">
      <c r="AP501" s="2130"/>
      <c r="BB501" s="2428"/>
    </row>
    <row r="502" spans="42:54">
      <c r="AP502" s="2130"/>
      <c r="BB502" s="2428"/>
    </row>
    <row r="503" spans="42:54">
      <c r="AP503" s="2130"/>
      <c r="BB503" s="2428"/>
    </row>
    <row r="504" spans="42:54">
      <c r="AP504" s="2130"/>
      <c r="BB504" s="2428"/>
    </row>
    <row r="505" spans="42:54">
      <c r="AP505" s="2130"/>
      <c r="BB505" s="2428"/>
    </row>
    <row r="506" spans="42:54">
      <c r="AP506" s="2130"/>
      <c r="BB506" s="2428"/>
    </row>
    <row r="507" spans="42:54">
      <c r="AP507" s="2130"/>
      <c r="BB507" s="2428"/>
    </row>
    <row r="508" spans="42:54">
      <c r="AP508" s="2130"/>
      <c r="BB508" s="2428"/>
    </row>
    <row r="509" spans="42:54">
      <c r="AP509" s="2130"/>
      <c r="BB509" s="2428"/>
    </row>
    <row r="510" spans="42:54">
      <c r="AP510" s="2130"/>
      <c r="BB510" s="2428"/>
    </row>
    <row r="511" spans="42:54">
      <c r="AP511" s="2130"/>
      <c r="BB511" s="2428"/>
    </row>
    <row r="512" spans="42:54">
      <c r="AP512" s="2130"/>
      <c r="BB512" s="2428"/>
    </row>
    <row r="513" spans="42:54">
      <c r="AP513" s="2130"/>
      <c r="BB513" s="2428"/>
    </row>
    <row r="514" spans="42:54">
      <c r="AP514" s="2130"/>
      <c r="BB514" s="2428"/>
    </row>
    <row r="515" spans="42:54">
      <c r="AP515" s="2130"/>
      <c r="BB515" s="2428"/>
    </row>
    <row r="516" spans="42:54">
      <c r="AP516" s="2130"/>
      <c r="BB516" s="2428"/>
    </row>
    <row r="517" spans="42:54">
      <c r="AP517" s="2130"/>
      <c r="BB517" s="2428"/>
    </row>
    <row r="518" spans="42:54">
      <c r="AP518" s="2130"/>
      <c r="BB518" s="2428"/>
    </row>
    <row r="519" spans="42:54">
      <c r="AP519" s="2130"/>
      <c r="BB519" s="2428"/>
    </row>
    <row r="520" spans="42:54">
      <c r="AP520" s="2130"/>
      <c r="BB520" s="2428"/>
    </row>
    <row r="521" spans="42:54">
      <c r="AP521" s="2130"/>
      <c r="BB521" s="2428"/>
    </row>
    <row r="522" spans="42:54">
      <c r="AP522" s="2130"/>
      <c r="BB522" s="2428"/>
    </row>
    <row r="523" spans="42:54">
      <c r="AP523" s="2130"/>
      <c r="BB523" s="2428"/>
    </row>
    <row r="524" spans="42:54">
      <c r="AP524" s="2130"/>
      <c r="BB524" s="2428"/>
    </row>
    <row r="525" spans="42:54">
      <c r="AP525" s="2130"/>
      <c r="BB525" s="2428"/>
    </row>
    <row r="526" spans="42:54">
      <c r="AP526" s="2130"/>
      <c r="BB526" s="2428"/>
    </row>
    <row r="527" spans="42:54">
      <c r="AP527" s="2130"/>
      <c r="BB527" s="2428"/>
    </row>
    <row r="528" spans="42:54">
      <c r="AP528" s="2130"/>
      <c r="BB528" s="2428"/>
    </row>
    <row r="529" spans="42:54">
      <c r="AP529" s="2130"/>
      <c r="BB529" s="2428"/>
    </row>
    <row r="530" spans="42:54">
      <c r="AP530" s="2130"/>
      <c r="BB530" s="2428"/>
    </row>
    <row r="531" spans="42:54">
      <c r="AP531" s="2130"/>
      <c r="BB531" s="2428"/>
    </row>
    <row r="532" spans="42:54">
      <c r="AP532" s="2130"/>
      <c r="BB532" s="2428"/>
    </row>
    <row r="533" spans="42:54">
      <c r="AP533" s="2130"/>
      <c r="BB533" s="2428"/>
    </row>
    <row r="534" spans="42:54">
      <c r="AP534" s="2130"/>
      <c r="BB534" s="2428"/>
    </row>
    <row r="535" spans="42:54">
      <c r="AP535" s="2130"/>
      <c r="BB535" s="2428"/>
    </row>
    <row r="536" spans="42:54">
      <c r="AP536" s="2130"/>
      <c r="BB536" s="2428"/>
    </row>
    <row r="537" spans="42:54">
      <c r="AP537" s="2130"/>
      <c r="BB537" s="2428"/>
    </row>
    <row r="538" spans="42:54">
      <c r="AP538" s="2130"/>
      <c r="BB538" s="2428"/>
    </row>
    <row r="539" spans="42:54">
      <c r="AP539" s="2130"/>
      <c r="BB539" s="2428"/>
    </row>
    <row r="540" spans="42:54">
      <c r="AP540" s="2130"/>
      <c r="BB540" s="2428"/>
    </row>
    <row r="541" spans="42:54">
      <c r="AP541" s="2130"/>
      <c r="BB541" s="2428"/>
    </row>
    <row r="542" spans="42:54">
      <c r="AP542" s="2130"/>
      <c r="BB542" s="2428"/>
    </row>
    <row r="543" spans="42:54">
      <c r="AP543" s="2130"/>
      <c r="BB543" s="2428"/>
    </row>
    <row r="544" spans="42:54">
      <c r="AP544" s="2130"/>
      <c r="BB544" s="2428"/>
    </row>
    <row r="545" spans="42:54">
      <c r="AP545" s="2130"/>
      <c r="BB545" s="2428"/>
    </row>
    <row r="546" spans="42:54">
      <c r="AP546" s="2130"/>
      <c r="BB546" s="2428"/>
    </row>
    <row r="547" spans="42:54">
      <c r="AP547" s="2130"/>
      <c r="BB547" s="2428"/>
    </row>
    <row r="548" spans="42:54">
      <c r="AP548" s="2130"/>
      <c r="BB548" s="2428"/>
    </row>
    <row r="549" spans="42:54">
      <c r="AP549" s="2130"/>
      <c r="BB549" s="2428"/>
    </row>
    <row r="550" spans="42:54">
      <c r="AP550" s="2130"/>
      <c r="BB550" s="2428"/>
    </row>
    <row r="551" spans="42:54">
      <c r="AP551" s="2130"/>
      <c r="BB551" s="2428"/>
    </row>
    <row r="552" spans="42:54">
      <c r="AP552" s="2130"/>
      <c r="BB552" s="2428"/>
    </row>
    <row r="553" spans="42:54">
      <c r="AP553" s="2130"/>
      <c r="BB553" s="2428"/>
    </row>
    <row r="554" spans="42:54">
      <c r="AP554" s="2130"/>
      <c r="BB554" s="2428"/>
    </row>
    <row r="555" spans="42:54">
      <c r="AP555" s="2130"/>
      <c r="BB555" s="2428"/>
    </row>
    <row r="556" spans="42:54">
      <c r="AP556" s="2130"/>
      <c r="BB556" s="2428"/>
    </row>
    <row r="557" spans="42:54">
      <c r="AP557" s="2130"/>
      <c r="BB557" s="2428"/>
    </row>
    <row r="558" spans="42:54">
      <c r="AP558" s="2130"/>
      <c r="BB558" s="2428"/>
    </row>
    <row r="559" spans="42:54">
      <c r="AP559" s="2130"/>
      <c r="BB559" s="2428"/>
    </row>
    <row r="560" spans="42:54">
      <c r="AP560" s="2130"/>
      <c r="BB560" s="2428"/>
    </row>
    <row r="561" spans="42:54">
      <c r="AP561" s="2130"/>
      <c r="BB561" s="2428"/>
    </row>
    <row r="562" spans="42:54">
      <c r="AP562" s="2130"/>
      <c r="BB562" s="2428"/>
    </row>
    <row r="563" spans="42:54">
      <c r="AP563" s="2130"/>
      <c r="BB563" s="2428"/>
    </row>
    <row r="564" spans="42:54">
      <c r="AP564" s="2130"/>
      <c r="BB564" s="2428"/>
    </row>
    <row r="565" spans="42:54">
      <c r="AP565" s="2130"/>
      <c r="BB565" s="2428"/>
    </row>
    <row r="566" spans="42:54">
      <c r="AP566" s="2130"/>
      <c r="BB566" s="2428"/>
    </row>
    <row r="567" spans="42:54">
      <c r="AP567" s="2130"/>
      <c r="BB567" s="2428"/>
    </row>
    <row r="568" spans="42:54">
      <c r="AP568" s="2130"/>
      <c r="BB568" s="2428"/>
    </row>
    <row r="569" spans="42:54">
      <c r="AP569" s="2130"/>
      <c r="BB569" s="2428"/>
    </row>
    <row r="570" spans="42:54">
      <c r="AP570" s="2130"/>
      <c r="BB570" s="2428"/>
    </row>
    <row r="571" spans="42:54">
      <c r="AP571" s="2130"/>
      <c r="BB571" s="2428"/>
    </row>
    <row r="572" spans="42:54">
      <c r="AP572" s="2130"/>
      <c r="BB572" s="2428"/>
    </row>
    <row r="573" spans="42:54">
      <c r="AP573" s="2130"/>
      <c r="BB573" s="2428"/>
    </row>
    <row r="574" spans="42:54">
      <c r="AP574" s="2130"/>
      <c r="BB574" s="2428"/>
    </row>
    <row r="575" spans="42:54">
      <c r="AP575" s="2130"/>
      <c r="BB575" s="2428"/>
    </row>
    <row r="576" spans="42:54">
      <c r="AP576" s="2130"/>
      <c r="BB576" s="2428"/>
    </row>
    <row r="577" spans="42:54">
      <c r="AP577" s="2130"/>
      <c r="BB577" s="2428"/>
    </row>
    <row r="578" spans="42:54">
      <c r="AP578" s="2130"/>
      <c r="BB578" s="2428"/>
    </row>
    <row r="579" spans="42:54">
      <c r="AP579" s="2130"/>
      <c r="BB579" s="2428"/>
    </row>
    <row r="580" spans="42:54">
      <c r="AP580" s="2130"/>
      <c r="BB580" s="2428"/>
    </row>
    <row r="581" spans="42:54">
      <c r="AP581" s="2130"/>
      <c r="BB581" s="2428"/>
    </row>
    <row r="582" spans="42:54">
      <c r="AP582" s="2130"/>
      <c r="BB582" s="2428"/>
    </row>
    <row r="583" spans="42:54">
      <c r="AP583" s="2130"/>
      <c r="BB583" s="2428"/>
    </row>
    <row r="584" spans="42:54">
      <c r="AP584" s="2130"/>
      <c r="BB584" s="2428"/>
    </row>
    <row r="585" spans="42:54">
      <c r="AP585" s="2130"/>
      <c r="BB585" s="2428"/>
    </row>
    <row r="586" spans="42:54">
      <c r="AP586" s="2130"/>
      <c r="BB586" s="2428"/>
    </row>
    <row r="587" spans="42:54">
      <c r="AP587" s="2130"/>
      <c r="BB587" s="2428"/>
    </row>
    <row r="588" spans="42:54">
      <c r="AP588" s="2130"/>
      <c r="BB588" s="2428"/>
    </row>
    <row r="589" spans="42:54">
      <c r="AP589" s="2130"/>
      <c r="BB589" s="2428"/>
    </row>
    <row r="590" spans="42:54">
      <c r="AP590" s="2130"/>
      <c r="BB590" s="2428"/>
    </row>
    <row r="591" spans="42:54">
      <c r="AP591" s="2130"/>
      <c r="BB591" s="2428"/>
    </row>
    <row r="592" spans="42:54">
      <c r="AP592" s="2130"/>
      <c r="BB592" s="2428"/>
    </row>
    <row r="593" spans="42:54">
      <c r="AP593" s="2130"/>
      <c r="BB593" s="2428"/>
    </row>
    <row r="594" spans="42:54">
      <c r="AP594" s="2130"/>
      <c r="BB594" s="2428"/>
    </row>
    <row r="595" spans="42:54">
      <c r="AP595" s="2130"/>
      <c r="BB595" s="2428"/>
    </row>
    <row r="596" spans="42:54">
      <c r="AP596" s="2130"/>
      <c r="BB596" s="2428"/>
    </row>
    <row r="597" spans="42:54">
      <c r="AP597" s="2130"/>
      <c r="BB597" s="2428"/>
    </row>
    <row r="598" spans="42:54">
      <c r="AP598" s="2130"/>
      <c r="BB598" s="2428"/>
    </row>
    <row r="599" spans="42:54">
      <c r="AP599" s="2130"/>
      <c r="BB599" s="2428"/>
    </row>
    <row r="600" spans="42:54">
      <c r="AP600" s="2130"/>
      <c r="BB600" s="2428"/>
    </row>
    <row r="601" spans="42:54">
      <c r="AP601" s="2130"/>
      <c r="BB601" s="2428"/>
    </row>
    <row r="602" spans="42:54">
      <c r="AP602" s="2130"/>
      <c r="BB602" s="2428"/>
    </row>
    <row r="603" spans="42:54">
      <c r="AP603" s="2130"/>
      <c r="BB603" s="2428"/>
    </row>
    <row r="604" spans="42:54">
      <c r="AP604" s="2130"/>
      <c r="BB604" s="2428"/>
    </row>
    <row r="605" spans="42:54">
      <c r="AP605" s="2130"/>
      <c r="BB605" s="2428"/>
    </row>
    <row r="606" spans="42:54">
      <c r="AP606" s="2130"/>
      <c r="BB606" s="2428"/>
    </row>
    <row r="607" spans="42:54">
      <c r="AP607" s="2130"/>
      <c r="BB607" s="2428"/>
    </row>
    <row r="608" spans="42:54">
      <c r="AP608" s="2130"/>
      <c r="BB608" s="2428"/>
    </row>
    <row r="609" spans="42:54">
      <c r="AP609" s="2130"/>
      <c r="BB609" s="2428"/>
    </row>
    <row r="610" spans="42:54">
      <c r="AP610" s="2130"/>
      <c r="BB610" s="2428"/>
    </row>
    <row r="611" spans="42:54">
      <c r="AP611" s="2130"/>
      <c r="BB611" s="2428"/>
    </row>
    <row r="612" spans="42:54">
      <c r="AP612" s="2130"/>
      <c r="BB612" s="2428"/>
    </row>
    <row r="613" spans="42:54">
      <c r="AP613" s="2130"/>
      <c r="BB613" s="2428"/>
    </row>
    <row r="614" spans="42:54">
      <c r="AP614" s="2130"/>
      <c r="BB614" s="2428"/>
    </row>
    <row r="615" spans="42:54">
      <c r="AP615" s="2130"/>
      <c r="BB615" s="2428"/>
    </row>
    <row r="616" spans="42:54">
      <c r="AP616" s="2130"/>
      <c r="BB616" s="2428"/>
    </row>
    <row r="617" spans="42:54">
      <c r="AP617" s="2130"/>
      <c r="BB617" s="2428"/>
    </row>
    <row r="618" spans="42:54">
      <c r="AP618" s="2130"/>
      <c r="BB618" s="2428"/>
    </row>
    <row r="619" spans="42:54">
      <c r="AP619" s="2130"/>
      <c r="BB619" s="2428"/>
    </row>
    <row r="620" spans="42:54">
      <c r="AP620" s="2130"/>
      <c r="BB620" s="2428"/>
    </row>
    <row r="621" spans="42:54">
      <c r="AP621" s="2130"/>
      <c r="BB621" s="2428"/>
    </row>
    <row r="622" spans="42:54">
      <c r="AP622" s="2130"/>
      <c r="BB622" s="2428"/>
    </row>
    <row r="623" spans="42:54">
      <c r="AP623" s="2130"/>
      <c r="BB623" s="2428"/>
    </row>
    <row r="624" spans="42:54">
      <c r="AP624" s="2130"/>
      <c r="BB624" s="2428"/>
    </row>
    <row r="625" spans="42:54">
      <c r="AP625" s="2130"/>
      <c r="BB625" s="2428"/>
    </row>
    <row r="626" spans="42:54">
      <c r="AP626" s="2130"/>
      <c r="BB626" s="2428"/>
    </row>
    <row r="627" spans="42:54">
      <c r="AP627" s="2130"/>
      <c r="BB627" s="2428"/>
    </row>
    <row r="628" spans="42:54">
      <c r="AP628" s="2130"/>
      <c r="BB628" s="2428"/>
    </row>
    <row r="629" spans="42:54">
      <c r="AP629" s="2130"/>
      <c r="BB629" s="2428"/>
    </row>
    <row r="630" spans="42:54">
      <c r="AP630" s="2130"/>
      <c r="BB630" s="2428"/>
    </row>
    <row r="631" spans="42:54">
      <c r="AP631" s="2130"/>
      <c r="BB631" s="2428"/>
    </row>
    <row r="632" spans="42:54">
      <c r="AP632" s="2130"/>
      <c r="BB632" s="2428"/>
    </row>
    <row r="633" spans="42:54">
      <c r="AP633" s="2130"/>
      <c r="BB633" s="2428"/>
    </row>
    <row r="634" spans="42:54">
      <c r="AP634" s="2130"/>
      <c r="BB634" s="2428"/>
    </row>
    <row r="635" spans="42:54">
      <c r="AP635" s="2130"/>
      <c r="BB635" s="2428"/>
    </row>
    <row r="636" spans="42:54">
      <c r="AP636" s="2130"/>
      <c r="BB636" s="2428"/>
    </row>
    <row r="637" spans="42:54">
      <c r="AP637" s="2130"/>
      <c r="BB637" s="2428"/>
    </row>
    <row r="638" spans="42:54">
      <c r="AP638" s="2130"/>
      <c r="BB638" s="2428"/>
    </row>
    <row r="639" spans="42:54">
      <c r="AP639" s="2130"/>
      <c r="BB639" s="2428"/>
    </row>
    <row r="640" spans="42:54">
      <c r="AP640" s="2130"/>
      <c r="BB640" s="2428"/>
    </row>
    <row r="641" spans="42:54">
      <c r="AP641" s="2130"/>
      <c r="BB641" s="2428"/>
    </row>
    <row r="642" spans="42:54">
      <c r="AP642" s="2130"/>
      <c r="BB642" s="2428"/>
    </row>
    <row r="643" spans="42:54">
      <c r="AP643" s="2130"/>
      <c r="BB643" s="2428"/>
    </row>
    <row r="644" spans="42:54">
      <c r="AP644" s="2130"/>
      <c r="BB644" s="2428"/>
    </row>
    <row r="645" spans="42:54">
      <c r="AP645" s="2130"/>
      <c r="BB645" s="2428"/>
    </row>
    <row r="646" spans="42:54">
      <c r="AP646" s="2130"/>
      <c r="BB646" s="2428"/>
    </row>
    <row r="647" spans="42:54">
      <c r="AP647" s="2130"/>
      <c r="BB647" s="2428"/>
    </row>
    <row r="648" spans="42:54">
      <c r="AP648" s="2130"/>
      <c r="BB648" s="2428"/>
    </row>
    <row r="649" spans="42:54">
      <c r="AP649" s="2130"/>
      <c r="BB649" s="2428"/>
    </row>
    <row r="650" spans="42:54">
      <c r="AP650" s="2130"/>
      <c r="BB650" s="2428"/>
    </row>
    <row r="651" spans="42:54">
      <c r="AP651" s="2130"/>
      <c r="BB651" s="2428"/>
    </row>
    <row r="652" spans="42:54">
      <c r="AP652" s="2130"/>
      <c r="BB652" s="2428"/>
    </row>
    <row r="653" spans="42:54">
      <c r="AP653" s="2130"/>
      <c r="BB653" s="2428"/>
    </row>
    <row r="654" spans="42:54">
      <c r="AP654" s="2130"/>
      <c r="BB654" s="2428"/>
    </row>
    <row r="655" spans="42:54">
      <c r="AP655" s="2130"/>
      <c r="BB655" s="2428"/>
    </row>
    <row r="656" spans="42:54">
      <c r="AP656" s="2130"/>
      <c r="BB656" s="2428"/>
    </row>
    <row r="657" spans="42:54">
      <c r="AP657" s="2130"/>
      <c r="BB657" s="2428"/>
    </row>
    <row r="658" spans="42:54">
      <c r="AP658" s="2130"/>
      <c r="BB658" s="2428"/>
    </row>
    <row r="659" spans="42:54">
      <c r="AP659" s="2130"/>
      <c r="BB659" s="2428"/>
    </row>
    <row r="660" spans="42:54">
      <c r="AP660" s="2130"/>
      <c r="BB660" s="2428"/>
    </row>
    <row r="661" spans="42:54">
      <c r="AP661" s="2130"/>
      <c r="BB661" s="2428"/>
    </row>
    <row r="662" spans="42:54">
      <c r="AP662" s="2130"/>
      <c r="BB662" s="2428"/>
    </row>
    <row r="663" spans="42:54">
      <c r="AP663" s="2130"/>
      <c r="BB663" s="2428"/>
    </row>
    <row r="664" spans="42:54">
      <c r="AP664" s="2130"/>
      <c r="BB664" s="2428"/>
    </row>
    <row r="665" spans="42:54">
      <c r="AP665" s="2130"/>
      <c r="BB665" s="2428"/>
    </row>
    <row r="666" spans="42:54">
      <c r="AP666" s="2130"/>
      <c r="BB666" s="2428"/>
    </row>
    <row r="667" spans="42:54">
      <c r="AP667" s="2130"/>
      <c r="BB667" s="2428"/>
    </row>
    <row r="668" spans="42:54">
      <c r="AP668" s="2130"/>
      <c r="BB668" s="2428"/>
    </row>
    <row r="669" spans="42:54">
      <c r="AP669" s="2130"/>
      <c r="BB669" s="2428"/>
    </row>
    <row r="670" spans="42:54">
      <c r="AP670" s="2130"/>
      <c r="BB670" s="2428"/>
    </row>
    <row r="671" spans="42:54">
      <c r="AP671" s="2130"/>
      <c r="BB671" s="2428"/>
    </row>
    <row r="672" spans="42:54">
      <c r="AP672" s="2130"/>
      <c r="BB672" s="2428"/>
    </row>
    <row r="673" spans="42:54">
      <c r="AP673" s="2130"/>
      <c r="BB673" s="2428"/>
    </row>
    <row r="674" spans="42:54">
      <c r="AP674" s="2130"/>
      <c r="BB674" s="2428"/>
    </row>
    <row r="675" spans="42:54">
      <c r="AP675" s="2130"/>
      <c r="BB675" s="2428"/>
    </row>
    <row r="676" spans="42:54">
      <c r="AP676" s="2130"/>
      <c r="BB676" s="2428"/>
    </row>
    <row r="677" spans="42:54">
      <c r="AP677" s="2130"/>
      <c r="BB677" s="2428"/>
    </row>
    <row r="678" spans="42:54">
      <c r="AP678" s="2130"/>
      <c r="BB678" s="2428"/>
    </row>
    <row r="679" spans="42:54">
      <c r="AP679" s="2130"/>
      <c r="BB679" s="2428"/>
    </row>
    <row r="680" spans="42:54">
      <c r="AP680" s="2130"/>
      <c r="BB680" s="2428"/>
    </row>
    <row r="681" spans="42:54">
      <c r="AP681" s="2130"/>
      <c r="BB681" s="2428"/>
    </row>
    <row r="682" spans="42:54">
      <c r="AP682" s="2130"/>
      <c r="BB682" s="2428"/>
    </row>
    <row r="683" spans="42:54">
      <c r="AP683" s="2130"/>
      <c r="BB683" s="2428"/>
    </row>
    <row r="684" spans="42:54">
      <c r="AP684" s="2130"/>
      <c r="BB684" s="2428"/>
    </row>
    <row r="685" spans="42:54">
      <c r="AP685" s="2130"/>
      <c r="BB685" s="2428"/>
    </row>
    <row r="686" spans="42:54">
      <c r="AP686" s="2130"/>
      <c r="BB686" s="2428"/>
    </row>
    <row r="687" spans="42:54">
      <c r="AP687" s="2130"/>
      <c r="BB687" s="2428"/>
    </row>
    <row r="688" spans="42:54">
      <c r="AP688" s="2130"/>
      <c r="BB688" s="2428"/>
    </row>
    <row r="689" spans="42:54">
      <c r="AP689" s="2130"/>
      <c r="BB689" s="2428"/>
    </row>
    <row r="690" spans="42:54">
      <c r="AP690" s="2130"/>
      <c r="BB690" s="2428"/>
    </row>
    <row r="691" spans="42:54">
      <c r="AP691" s="2130"/>
      <c r="BB691" s="2428"/>
    </row>
    <row r="692" spans="42:54">
      <c r="AP692" s="2130"/>
      <c r="BB692" s="2428"/>
    </row>
    <row r="693" spans="42:54">
      <c r="AP693" s="2130"/>
      <c r="BB693" s="2428"/>
    </row>
    <row r="694" spans="42:54">
      <c r="AP694" s="2130"/>
      <c r="BB694" s="2428"/>
    </row>
    <row r="695" spans="42:54">
      <c r="AP695" s="2130"/>
      <c r="BB695" s="2428"/>
    </row>
    <row r="696" spans="42:54">
      <c r="AP696" s="2130"/>
      <c r="BB696" s="2428"/>
    </row>
    <row r="697" spans="42:54">
      <c r="AP697" s="2130"/>
      <c r="BB697" s="2428"/>
    </row>
    <row r="698" spans="42:54">
      <c r="AP698" s="2130"/>
      <c r="BB698" s="2428"/>
    </row>
    <row r="699" spans="42:54">
      <c r="AP699" s="2130"/>
      <c r="BB699" s="2428"/>
    </row>
    <row r="700" spans="42:54">
      <c r="AP700" s="2130"/>
      <c r="BB700" s="2428"/>
    </row>
    <row r="701" spans="42:54">
      <c r="AP701" s="2130"/>
      <c r="BB701" s="2428"/>
    </row>
    <row r="702" spans="42:54">
      <c r="AP702" s="2130"/>
      <c r="BB702" s="2428"/>
    </row>
    <row r="703" spans="42:54">
      <c r="AP703" s="2130"/>
      <c r="BB703" s="2428"/>
    </row>
    <row r="704" spans="42:54">
      <c r="AP704" s="2130"/>
      <c r="BB704" s="2428"/>
    </row>
    <row r="705" spans="42:54">
      <c r="AP705" s="2130"/>
      <c r="BB705" s="2428"/>
    </row>
    <row r="706" spans="42:54">
      <c r="AP706" s="2130"/>
      <c r="BB706" s="2428"/>
    </row>
    <row r="707" spans="42:54">
      <c r="AP707" s="2130"/>
      <c r="BB707" s="2428"/>
    </row>
    <row r="708" spans="42:54">
      <c r="AP708" s="2130"/>
      <c r="BB708" s="2428"/>
    </row>
    <row r="709" spans="42:54">
      <c r="AP709" s="2130"/>
      <c r="BB709" s="2428"/>
    </row>
    <row r="710" spans="42:54">
      <c r="AP710" s="2130"/>
      <c r="BB710" s="2428"/>
    </row>
    <row r="711" spans="42:54">
      <c r="AP711" s="2130"/>
      <c r="BB711" s="2428"/>
    </row>
    <row r="712" spans="42:54">
      <c r="AP712" s="2130"/>
      <c r="BB712" s="2428"/>
    </row>
    <row r="713" spans="42:54">
      <c r="AP713" s="2130"/>
      <c r="BB713" s="2428"/>
    </row>
    <row r="714" spans="42:54">
      <c r="AP714" s="2130"/>
      <c r="BB714" s="2428"/>
    </row>
    <row r="715" spans="42:54">
      <c r="AP715" s="2130"/>
      <c r="BB715" s="2428"/>
    </row>
    <row r="716" spans="42:54">
      <c r="AP716" s="2130"/>
      <c r="BB716" s="2428"/>
    </row>
    <row r="717" spans="42:54">
      <c r="AP717" s="2130"/>
      <c r="BB717" s="2428"/>
    </row>
    <row r="718" spans="42:54">
      <c r="AP718" s="2130"/>
      <c r="BB718" s="2428"/>
    </row>
    <row r="719" spans="42:54">
      <c r="AP719" s="2130"/>
      <c r="BB719" s="2428"/>
    </row>
    <row r="720" spans="42:54">
      <c r="AP720" s="2130"/>
      <c r="BB720" s="2428"/>
    </row>
    <row r="721" spans="42:54">
      <c r="AP721" s="2130"/>
      <c r="BB721" s="2428"/>
    </row>
    <row r="722" spans="42:54">
      <c r="AP722" s="2130"/>
      <c r="BB722" s="2428"/>
    </row>
    <row r="723" spans="42:54">
      <c r="AP723" s="2130"/>
      <c r="BB723" s="2428"/>
    </row>
    <row r="724" spans="42:54">
      <c r="AP724" s="2130"/>
      <c r="BB724" s="2428"/>
    </row>
    <row r="725" spans="42:54">
      <c r="AP725" s="2130"/>
      <c r="BB725" s="2428"/>
    </row>
    <row r="726" spans="42:54">
      <c r="AP726" s="2130"/>
      <c r="BB726" s="2428"/>
    </row>
    <row r="727" spans="42:54">
      <c r="AP727" s="2130"/>
      <c r="BB727" s="2428"/>
    </row>
    <row r="728" spans="42:54">
      <c r="AP728" s="2130"/>
      <c r="BB728" s="2428"/>
    </row>
    <row r="729" spans="42:54">
      <c r="AP729" s="2130"/>
      <c r="BB729" s="2428"/>
    </row>
    <row r="730" spans="42:54">
      <c r="AP730" s="2130"/>
      <c r="BB730" s="2428"/>
    </row>
    <row r="731" spans="42:54">
      <c r="AP731" s="2130"/>
      <c r="BB731" s="2428"/>
    </row>
    <row r="732" spans="42:54">
      <c r="AP732" s="2130"/>
      <c r="BB732" s="2428"/>
    </row>
    <row r="733" spans="42:54">
      <c r="AP733" s="2130"/>
      <c r="BB733" s="2428"/>
    </row>
    <row r="734" spans="42:54">
      <c r="AP734" s="2130"/>
      <c r="BB734" s="2428"/>
    </row>
    <row r="735" spans="42:54">
      <c r="AP735" s="2130"/>
      <c r="BB735" s="2428"/>
    </row>
    <row r="736" spans="42:54">
      <c r="AP736" s="2130"/>
      <c r="BB736" s="2428"/>
    </row>
    <row r="737" spans="42:54">
      <c r="AP737" s="2130"/>
      <c r="BB737" s="2428"/>
    </row>
    <row r="738" spans="42:54">
      <c r="AP738" s="2130"/>
      <c r="BB738" s="2428"/>
    </row>
    <row r="739" spans="42:54">
      <c r="AP739" s="2130"/>
      <c r="BB739" s="2428"/>
    </row>
    <row r="740" spans="42:54">
      <c r="AP740" s="2130"/>
      <c r="BB740" s="2428"/>
    </row>
    <row r="741" spans="42:54">
      <c r="AP741" s="2130"/>
      <c r="BB741" s="2428"/>
    </row>
    <row r="742" spans="42:54">
      <c r="AP742" s="2130"/>
      <c r="BB742" s="2428"/>
    </row>
    <row r="743" spans="42:54">
      <c r="AP743" s="2130"/>
      <c r="BB743" s="2428"/>
    </row>
    <row r="744" spans="42:54">
      <c r="AP744" s="2130"/>
      <c r="BB744" s="2428"/>
    </row>
    <row r="745" spans="42:54">
      <c r="AP745" s="2130"/>
      <c r="BB745" s="2428"/>
    </row>
    <row r="746" spans="42:54">
      <c r="AP746" s="2130"/>
      <c r="BB746" s="2428"/>
    </row>
    <row r="747" spans="42:54">
      <c r="AP747" s="2130"/>
      <c r="BB747" s="2428"/>
    </row>
    <row r="748" spans="42:54">
      <c r="AP748" s="2130"/>
      <c r="BB748" s="2428"/>
    </row>
    <row r="749" spans="42:54">
      <c r="AP749" s="2130"/>
      <c r="BB749" s="2428"/>
    </row>
    <row r="750" spans="42:54">
      <c r="AP750" s="2130"/>
      <c r="BB750" s="2428"/>
    </row>
    <row r="751" spans="42:54">
      <c r="AP751" s="2130"/>
      <c r="BB751" s="2428"/>
    </row>
    <row r="752" spans="42:54">
      <c r="AP752" s="2130"/>
      <c r="BB752" s="2428"/>
    </row>
    <row r="753" spans="42:54">
      <c r="AP753" s="2130"/>
      <c r="BB753" s="2428"/>
    </row>
    <row r="754" spans="42:54">
      <c r="AP754" s="2130"/>
      <c r="BB754" s="2428"/>
    </row>
    <row r="755" spans="42:54">
      <c r="AP755" s="2130"/>
      <c r="BB755" s="2428"/>
    </row>
    <row r="756" spans="42:54">
      <c r="AP756" s="2130"/>
      <c r="BB756" s="2428"/>
    </row>
    <row r="757" spans="42:54">
      <c r="AP757" s="2130"/>
      <c r="BB757" s="2428"/>
    </row>
    <row r="758" spans="42:54">
      <c r="AP758" s="2130"/>
      <c r="BB758" s="2428"/>
    </row>
    <row r="759" spans="42:54">
      <c r="AP759" s="2130"/>
      <c r="BB759" s="2428"/>
    </row>
    <row r="760" spans="42:54">
      <c r="AP760" s="2130"/>
      <c r="BB760" s="2428"/>
    </row>
    <row r="761" spans="42:54">
      <c r="AP761" s="2130"/>
      <c r="BB761" s="2428"/>
    </row>
    <row r="762" spans="42:54">
      <c r="AP762" s="2130"/>
      <c r="BB762" s="2428"/>
    </row>
    <row r="763" spans="42:54">
      <c r="AP763" s="2130"/>
      <c r="BB763" s="2428"/>
    </row>
    <row r="764" spans="42:54">
      <c r="AP764" s="2130"/>
      <c r="BB764" s="2428"/>
    </row>
    <row r="765" spans="42:54">
      <c r="AP765" s="2130"/>
      <c r="BB765" s="2428"/>
    </row>
    <row r="766" spans="42:54">
      <c r="AP766" s="2130"/>
      <c r="BB766" s="2428"/>
    </row>
    <row r="767" spans="42:54">
      <c r="AP767" s="2130"/>
      <c r="BB767" s="2428"/>
    </row>
    <row r="768" spans="42:54">
      <c r="AP768" s="2130"/>
      <c r="BB768" s="2428"/>
    </row>
    <row r="769" spans="42:54">
      <c r="AP769" s="2130"/>
      <c r="BB769" s="2428"/>
    </row>
    <row r="770" spans="42:54">
      <c r="AP770" s="2130"/>
      <c r="BB770" s="2428"/>
    </row>
    <row r="771" spans="42:54">
      <c r="AP771" s="2130"/>
      <c r="BB771" s="2428"/>
    </row>
    <row r="772" spans="42:54">
      <c r="AP772" s="2130"/>
      <c r="BB772" s="2428"/>
    </row>
    <row r="773" spans="42:54">
      <c r="AP773" s="2130"/>
      <c r="BB773" s="2428"/>
    </row>
    <row r="774" spans="42:54">
      <c r="AP774" s="2130"/>
      <c r="BB774" s="2428"/>
    </row>
    <row r="775" spans="42:54">
      <c r="AP775" s="2130"/>
      <c r="BB775" s="2428"/>
    </row>
    <row r="776" spans="42:54">
      <c r="AP776" s="2130"/>
      <c r="BB776" s="2428"/>
    </row>
    <row r="777" spans="42:54">
      <c r="AP777" s="2130"/>
      <c r="BB777" s="2428"/>
    </row>
    <row r="778" spans="42:54">
      <c r="AP778" s="2130"/>
      <c r="BB778" s="2428"/>
    </row>
    <row r="779" spans="42:54">
      <c r="AP779" s="2130"/>
      <c r="BB779" s="2428"/>
    </row>
    <row r="780" spans="42:54">
      <c r="AP780" s="2130"/>
      <c r="BB780" s="2428"/>
    </row>
    <row r="781" spans="42:54">
      <c r="AP781" s="2130"/>
      <c r="BB781" s="2428"/>
    </row>
    <row r="782" spans="42:54">
      <c r="AP782" s="2130"/>
      <c r="BB782" s="2428"/>
    </row>
    <row r="783" spans="42:54">
      <c r="AP783" s="2130"/>
      <c r="BB783" s="2428"/>
    </row>
    <row r="784" spans="42:54">
      <c r="AP784" s="2130"/>
      <c r="BB784" s="2428"/>
    </row>
    <row r="785" spans="42:54">
      <c r="AP785" s="2130"/>
      <c r="BB785" s="2428"/>
    </row>
    <row r="786" spans="42:54">
      <c r="AP786" s="2130"/>
      <c r="BB786" s="2428"/>
    </row>
    <row r="787" spans="42:54">
      <c r="AP787" s="2130"/>
      <c r="BB787" s="2428"/>
    </row>
    <row r="788" spans="42:54">
      <c r="AP788" s="2130"/>
      <c r="BB788" s="2428"/>
    </row>
    <row r="789" spans="42:54">
      <c r="AP789" s="2130"/>
      <c r="BB789" s="2428"/>
    </row>
    <row r="790" spans="42:54">
      <c r="AP790" s="2130"/>
      <c r="BB790" s="2428"/>
    </row>
    <row r="791" spans="42:54">
      <c r="AP791" s="2130"/>
      <c r="BB791" s="2428"/>
    </row>
    <row r="792" spans="42:54">
      <c r="AP792" s="2130"/>
      <c r="BB792" s="2428"/>
    </row>
    <row r="793" spans="42:54">
      <c r="AP793" s="2130"/>
      <c r="BB793" s="2428"/>
    </row>
    <row r="794" spans="42:54">
      <c r="AP794" s="2130"/>
      <c r="BB794" s="2428"/>
    </row>
    <row r="795" spans="42:54">
      <c r="AP795" s="2130"/>
      <c r="BB795" s="2428"/>
    </row>
    <row r="796" spans="42:54">
      <c r="AP796" s="2130"/>
      <c r="BB796" s="2428"/>
    </row>
    <row r="797" spans="42:54">
      <c r="AP797" s="2130"/>
      <c r="BB797" s="2428"/>
    </row>
    <row r="798" spans="42:54">
      <c r="AP798" s="2130"/>
      <c r="BB798" s="2428"/>
    </row>
    <row r="799" spans="42:54">
      <c r="AP799" s="2130"/>
      <c r="BB799" s="2428"/>
    </row>
    <row r="800" spans="42:54">
      <c r="AP800" s="2130"/>
      <c r="BB800" s="2428"/>
    </row>
    <row r="801" spans="42:54">
      <c r="AP801" s="2130"/>
      <c r="BB801" s="2428"/>
    </row>
    <row r="802" spans="42:54">
      <c r="AP802" s="2130"/>
      <c r="BB802" s="2428"/>
    </row>
    <row r="803" spans="42:54">
      <c r="AP803" s="2130"/>
      <c r="BB803" s="2428"/>
    </row>
    <row r="804" spans="42:54">
      <c r="AP804" s="2130"/>
      <c r="BB804" s="2428"/>
    </row>
    <row r="805" spans="42:54">
      <c r="AP805" s="2130"/>
      <c r="BB805" s="2428"/>
    </row>
    <row r="806" spans="42:54">
      <c r="AP806" s="2130"/>
      <c r="BB806" s="2428"/>
    </row>
    <row r="807" spans="42:54">
      <c r="AP807" s="2130"/>
      <c r="BB807" s="2428"/>
    </row>
    <row r="808" spans="42:54">
      <c r="AP808" s="2130"/>
      <c r="BB808" s="2428"/>
    </row>
    <row r="809" spans="42:54">
      <c r="AP809" s="2130"/>
      <c r="BB809" s="2428"/>
    </row>
    <row r="810" spans="42:54">
      <c r="AP810" s="2130"/>
      <c r="BB810" s="2428"/>
    </row>
    <row r="811" spans="42:54">
      <c r="AP811" s="2130"/>
      <c r="BB811" s="2428"/>
    </row>
    <row r="812" spans="42:54">
      <c r="AP812" s="2130"/>
      <c r="BB812" s="2428"/>
    </row>
    <row r="813" spans="42:54">
      <c r="AP813" s="2130"/>
      <c r="BB813" s="2428"/>
    </row>
    <row r="814" spans="42:54">
      <c r="AP814" s="2130"/>
      <c r="BB814" s="2428"/>
    </row>
    <row r="815" spans="42:54">
      <c r="AP815" s="2130"/>
      <c r="BB815" s="2428"/>
    </row>
    <row r="816" spans="42:54">
      <c r="AP816" s="2130"/>
      <c r="BB816" s="2428"/>
    </row>
    <row r="817" spans="42:54">
      <c r="AP817" s="2130"/>
      <c r="BB817" s="2428"/>
    </row>
    <row r="818" spans="42:54">
      <c r="AP818" s="2130"/>
      <c r="BB818" s="2428"/>
    </row>
    <row r="819" spans="42:54">
      <c r="AP819" s="2130"/>
      <c r="BB819" s="2428"/>
    </row>
    <row r="820" spans="42:54">
      <c r="AP820" s="2130"/>
      <c r="BB820" s="2428"/>
    </row>
    <row r="821" spans="42:54">
      <c r="AP821" s="2130"/>
      <c r="BB821" s="2428"/>
    </row>
    <row r="822" spans="42:54">
      <c r="AP822" s="2130"/>
      <c r="BB822" s="2428"/>
    </row>
    <row r="823" spans="42:54">
      <c r="AP823" s="2130"/>
      <c r="BB823" s="2428"/>
    </row>
    <row r="824" spans="42:54">
      <c r="AP824" s="2130"/>
      <c r="BB824" s="2428"/>
    </row>
    <row r="825" spans="42:54">
      <c r="AP825" s="2130"/>
      <c r="BB825" s="2428"/>
    </row>
    <row r="826" spans="42:54">
      <c r="AP826" s="2130"/>
      <c r="BB826" s="2428"/>
    </row>
    <row r="827" spans="42:54">
      <c r="AP827" s="2130"/>
      <c r="BB827" s="2428"/>
    </row>
    <row r="828" spans="42:54">
      <c r="AP828" s="2130"/>
      <c r="BB828" s="2428"/>
    </row>
    <row r="829" spans="42:54">
      <c r="AP829" s="2130"/>
      <c r="BB829" s="2428"/>
    </row>
    <row r="830" spans="42:54">
      <c r="AP830" s="2130"/>
      <c r="BB830" s="2428"/>
    </row>
    <row r="831" spans="42:54">
      <c r="AP831" s="2130"/>
      <c r="BB831" s="2428"/>
    </row>
    <row r="832" spans="42:54">
      <c r="AP832" s="2130"/>
      <c r="BB832" s="2428"/>
    </row>
    <row r="833" spans="42:54">
      <c r="AP833" s="2130"/>
      <c r="BB833" s="2428"/>
    </row>
    <row r="834" spans="42:54">
      <c r="AP834" s="2130"/>
      <c r="BB834" s="2428"/>
    </row>
    <row r="835" spans="42:54">
      <c r="AP835" s="2130"/>
      <c r="BB835" s="2428"/>
    </row>
    <row r="836" spans="42:54">
      <c r="AP836" s="2130"/>
      <c r="BB836" s="2428"/>
    </row>
    <row r="837" spans="42:54">
      <c r="AP837" s="2130"/>
      <c r="BB837" s="2428"/>
    </row>
    <row r="838" spans="42:54">
      <c r="AP838" s="2130"/>
      <c r="BB838" s="2428"/>
    </row>
    <row r="839" spans="42:54">
      <c r="AP839" s="2130"/>
      <c r="BB839" s="2428"/>
    </row>
    <row r="840" spans="42:54">
      <c r="AP840" s="2130"/>
      <c r="BB840" s="2428"/>
    </row>
    <row r="841" spans="42:54">
      <c r="AP841" s="2130"/>
      <c r="BB841" s="2428"/>
    </row>
    <row r="842" spans="42:54">
      <c r="AP842" s="2130"/>
      <c r="BB842" s="2428"/>
    </row>
    <row r="843" spans="42:54">
      <c r="AP843" s="2130"/>
      <c r="BB843" s="2428"/>
    </row>
    <row r="844" spans="42:54">
      <c r="AP844" s="2130"/>
      <c r="BB844" s="2428"/>
    </row>
    <row r="845" spans="42:54">
      <c r="AP845" s="2130"/>
      <c r="BB845" s="2428"/>
    </row>
    <row r="846" spans="42:54">
      <c r="AP846" s="2130"/>
      <c r="BB846" s="2428"/>
    </row>
    <row r="847" spans="42:54">
      <c r="AP847" s="2130"/>
      <c r="BB847" s="2428"/>
    </row>
    <row r="848" spans="42:54">
      <c r="AP848" s="2130"/>
      <c r="BB848" s="2428"/>
    </row>
    <row r="849" spans="42:54">
      <c r="AP849" s="2130"/>
      <c r="BB849" s="2428"/>
    </row>
    <row r="850" spans="42:54">
      <c r="AP850" s="2130"/>
      <c r="BB850" s="2428"/>
    </row>
    <row r="851" spans="42:54">
      <c r="AP851" s="2130"/>
      <c r="BB851" s="2428"/>
    </row>
    <row r="852" spans="42:54">
      <c r="AP852" s="2130"/>
      <c r="BB852" s="2428"/>
    </row>
    <row r="853" spans="42:54">
      <c r="AP853" s="2130"/>
      <c r="BB853" s="2428"/>
    </row>
    <row r="854" spans="42:54">
      <c r="AP854" s="2130"/>
      <c r="BB854" s="2428"/>
    </row>
    <row r="855" spans="42:54">
      <c r="AP855" s="2130"/>
      <c r="BB855" s="2428"/>
    </row>
    <row r="856" spans="42:54">
      <c r="AP856" s="2130"/>
      <c r="BB856" s="2428"/>
    </row>
    <row r="857" spans="42:54">
      <c r="AP857" s="2130"/>
      <c r="BB857" s="2428"/>
    </row>
    <row r="858" spans="42:54">
      <c r="AP858" s="2130"/>
      <c r="BB858" s="2428"/>
    </row>
    <row r="859" spans="42:54">
      <c r="AP859" s="2130"/>
      <c r="BB859" s="2428"/>
    </row>
    <row r="860" spans="42:54">
      <c r="AP860" s="2130"/>
      <c r="BB860" s="2428"/>
    </row>
    <row r="861" spans="42:54">
      <c r="AP861" s="2130"/>
      <c r="BB861" s="2428"/>
    </row>
    <row r="862" spans="42:54">
      <c r="AP862" s="2130"/>
      <c r="BB862" s="2428"/>
    </row>
    <row r="863" spans="42:54">
      <c r="AP863" s="2130"/>
      <c r="BB863" s="2428"/>
    </row>
    <row r="864" spans="42:54">
      <c r="AP864" s="2130"/>
      <c r="BB864" s="2428"/>
    </row>
    <row r="865" spans="42:54">
      <c r="AP865" s="2130"/>
      <c r="BB865" s="2428"/>
    </row>
    <row r="866" spans="42:54">
      <c r="AP866" s="2130"/>
      <c r="BB866" s="2428"/>
    </row>
    <row r="867" spans="42:54">
      <c r="AP867" s="2130"/>
      <c r="BB867" s="2428"/>
    </row>
    <row r="868" spans="42:54">
      <c r="AP868" s="2130"/>
      <c r="BB868" s="2428"/>
    </row>
    <row r="869" spans="42:54">
      <c r="AP869" s="2130"/>
      <c r="BB869" s="2428"/>
    </row>
    <row r="870" spans="42:54">
      <c r="AP870" s="2130"/>
      <c r="BB870" s="2428"/>
    </row>
    <row r="871" spans="42:54">
      <c r="AP871" s="2130"/>
      <c r="BB871" s="2428"/>
    </row>
    <row r="872" spans="42:54">
      <c r="AP872" s="2130"/>
      <c r="BB872" s="2428"/>
    </row>
    <row r="873" spans="42:54">
      <c r="AP873" s="2130"/>
      <c r="BB873" s="2428"/>
    </row>
    <row r="874" spans="42:54">
      <c r="AP874" s="2130"/>
      <c r="BB874" s="2428"/>
    </row>
    <row r="875" spans="42:54">
      <c r="AP875" s="2130"/>
      <c r="BB875" s="2428"/>
    </row>
    <row r="876" spans="42:54">
      <c r="AP876" s="2130"/>
      <c r="BB876" s="2428"/>
    </row>
    <row r="877" spans="42:54">
      <c r="AP877" s="2130"/>
      <c r="BB877" s="2428"/>
    </row>
    <row r="878" spans="42:54">
      <c r="AP878" s="2130"/>
      <c r="BB878" s="2428"/>
    </row>
    <row r="879" spans="42:54">
      <c r="AP879" s="2130"/>
      <c r="BB879" s="2428"/>
    </row>
    <row r="880" spans="42:54">
      <c r="AP880" s="2130"/>
      <c r="BB880" s="2428"/>
    </row>
    <row r="881" spans="42:54">
      <c r="AP881" s="2130"/>
      <c r="BB881" s="2428"/>
    </row>
    <row r="882" spans="42:54">
      <c r="AP882" s="2130"/>
      <c r="BB882" s="2428"/>
    </row>
    <row r="883" spans="42:54">
      <c r="AP883" s="2130"/>
      <c r="BB883" s="2428"/>
    </row>
    <row r="884" spans="42:54">
      <c r="AP884" s="2130"/>
      <c r="BB884" s="2428"/>
    </row>
    <row r="885" spans="42:54">
      <c r="AP885" s="2130"/>
      <c r="BB885" s="2428"/>
    </row>
    <row r="886" spans="42:54">
      <c r="AP886" s="2130"/>
      <c r="BB886" s="2428"/>
    </row>
    <row r="887" spans="42:54">
      <c r="AP887" s="2130"/>
      <c r="BB887" s="2428"/>
    </row>
    <row r="888" spans="42:54">
      <c r="AP888" s="2130"/>
      <c r="BB888" s="2428"/>
    </row>
    <row r="889" spans="42:54">
      <c r="AP889" s="2130"/>
      <c r="BB889" s="2428"/>
    </row>
    <row r="890" spans="42:54">
      <c r="AP890" s="2130"/>
      <c r="BB890" s="2428"/>
    </row>
    <row r="891" spans="42:54">
      <c r="AP891" s="2130"/>
      <c r="BB891" s="2428"/>
    </row>
    <row r="892" spans="42:54">
      <c r="AP892" s="2130"/>
      <c r="BB892" s="2428"/>
    </row>
    <row r="893" spans="42:54">
      <c r="AP893" s="2130"/>
      <c r="BB893" s="2428"/>
    </row>
    <row r="894" spans="42:54">
      <c r="AP894" s="2130"/>
      <c r="BB894" s="2428"/>
    </row>
    <row r="895" spans="42:54">
      <c r="AP895" s="2130"/>
      <c r="BB895" s="2428"/>
    </row>
    <row r="896" spans="42:54">
      <c r="AP896" s="2130"/>
      <c r="BB896" s="2428"/>
    </row>
    <row r="897" spans="42:54">
      <c r="AP897" s="2130"/>
      <c r="BB897" s="2428"/>
    </row>
    <row r="898" spans="42:54">
      <c r="AP898" s="2130"/>
      <c r="BB898" s="2428"/>
    </row>
    <row r="899" spans="42:54">
      <c r="AP899" s="2130"/>
      <c r="BB899" s="2428"/>
    </row>
    <row r="900" spans="42:54">
      <c r="AP900" s="2130"/>
      <c r="BB900" s="2428"/>
    </row>
    <row r="901" spans="42:54">
      <c r="AP901" s="2130"/>
      <c r="BB901" s="2428"/>
    </row>
    <row r="902" spans="42:54">
      <c r="AP902" s="2130"/>
      <c r="BB902" s="2428"/>
    </row>
    <row r="903" spans="42:54">
      <c r="AP903" s="2130"/>
      <c r="BB903" s="2428"/>
    </row>
    <row r="904" spans="42:54">
      <c r="AP904" s="2130"/>
      <c r="BB904" s="2428"/>
    </row>
    <row r="905" spans="42:54">
      <c r="AP905" s="2130"/>
      <c r="BB905" s="2428"/>
    </row>
    <row r="906" spans="42:54">
      <c r="AP906" s="2130"/>
      <c r="BB906" s="2428"/>
    </row>
    <row r="907" spans="42:54">
      <c r="AP907" s="2130"/>
      <c r="BB907" s="2428"/>
    </row>
    <row r="908" spans="42:54">
      <c r="AP908" s="2130"/>
      <c r="BB908" s="2428"/>
    </row>
    <row r="909" spans="42:54">
      <c r="AP909" s="2130"/>
      <c r="BB909" s="2428"/>
    </row>
    <row r="910" spans="42:54">
      <c r="AP910" s="2130"/>
      <c r="BB910" s="2428"/>
    </row>
    <row r="911" spans="42:54">
      <c r="AP911" s="2130"/>
      <c r="BB911" s="2428"/>
    </row>
    <row r="912" spans="42:54">
      <c r="AP912" s="2130"/>
      <c r="BB912" s="2428"/>
    </row>
    <row r="913" spans="42:54">
      <c r="AP913" s="2130"/>
      <c r="BB913" s="2428"/>
    </row>
    <row r="914" spans="42:54">
      <c r="AP914" s="2130"/>
      <c r="BB914" s="2428"/>
    </row>
    <row r="915" spans="42:54">
      <c r="AP915" s="2130"/>
      <c r="BB915" s="2428"/>
    </row>
    <row r="916" spans="42:54">
      <c r="AP916" s="2130"/>
      <c r="BB916" s="2428"/>
    </row>
    <row r="917" spans="42:54">
      <c r="AP917" s="2130"/>
      <c r="BB917" s="2428"/>
    </row>
    <row r="918" spans="42:54">
      <c r="AP918" s="2130"/>
      <c r="BB918" s="2428"/>
    </row>
    <row r="919" spans="42:54">
      <c r="AP919" s="2130"/>
      <c r="BB919" s="2428"/>
    </row>
    <row r="920" spans="42:54">
      <c r="AP920" s="2130"/>
      <c r="BB920" s="2428"/>
    </row>
    <row r="921" spans="42:54">
      <c r="AP921" s="2130"/>
      <c r="BB921" s="2428"/>
    </row>
    <row r="922" spans="42:54">
      <c r="AP922" s="2130"/>
      <c r="BB922" s="2428"/>
    </row>
    <row r="923" spans="42:54">
      <c r="AP923" s="2130"/>
      <c r="BB923" s="2428"/>
    </row>
    <row r="924" spans="42:54">
      <c r="AP924" s="2130"/>
      <c r="BB924" s="2428"/>
    </row>
    <row r="925" spans="42:54">
      <c r="AP925" s="2130"/>
      <c r="BB925" s="2428"/>
    </row>
    <row r="926" spans="42:54">
      <c r="AP926" s="2130"/>
      <c r="BB926" s="2428"/>
    </row>
    <row r="927" spans="42:54">
      <c r="AP927" s="2130"/>
      <c r="BB927" s="2428"/>
    </row>
    <row r="928" spans="42:54">
      <c r="AP928" s="2130"/>
      <c r="BB928" s="2428"/>
    </row>
    <row r="929" spans="42:54">
      <c r="AP929" s="2130"/>
      <c r="BB929" s="2428"/>
    </row>
    <row r="930" spans="42:54">
      <c r="AP930" s="2130"/>
      <c r="BB930" s="2428"/>
    </row>
    <row r="931" spans="42:54">
      <c r="AP931" s="2130"/>
      <c r="BB931" s="2428"/>
    </row>
    <row r="932" spans="42:54">
      <c r="AP932" s="2130"/>
      <c r="BB932" s="2428"/>
    </row>
    <row r="933" spans="42:54">
      <c r="AP933" s="2130"/>
      <c r="BB933" s="2428"/>
    </row>
    <row r="934" spans="42:54">
      <c r="AP934" s="2130"/>
      <c r="BB934" s="2428"/>
    </row>
    <row r="935" spans="42:54">
      <c r="AP935" s="2130"/>
      <c r="BB935" s="2428"/>
    </row>
    <row r="936" spans="42:54">
      <c r="AP936" s="2130"/>
      <c r="BB936" s="2428"/>
    </row>
    <row r="937" spans="42:54">
      <c r="AP937" s="2130"/>
      <c r="BB937" s="2428"/>
    </row>
    <row r="938" spans="42:54">
      <c r="AP938" s="2130"/>
      <c r="BB938" s="2428"/>
    </row>
    <row r="939" spans="42:54">
      <c r="AP939" s="2130"/>
      <c r="BB939" s="2428"/>
    </row>
    <row r="940" spans="42:54">
      <c r="AP940" s="2130"/>
      <c r="BB940" s="2428"/>
    </row>
    <row r="941" spans="42:54">
      <c r="AP941" s="2130"/>
      <c r="BB941" s="2428"/>
    </row>
    <row r="942" spans="42:54">
      <c r="AP942" s="2130"/>
      <c r="BB942" s="2428"/>
    </row>
    <row r="943" spans="42:54">
      <c r="AP943" s="2130"/>
      <c r="BB943" s="2428"/>
    </row>
    <row r="944" spans="42:54">
      <c r="AP944" s="2130"/>
      <c r="BB944" s="2428"/>
    </row>
    <row r="945" spans="42:54">
      <c r="AP945" s="2130"/>
      <c r="BB945" s="2428"/>
    </row>
    <row r="946" spans="42:54">
      <c r="AP946" s="2130"/>
      <c r="BB946" s="2428"/>
    </row>
    <row r="947" spans="42:54">
      <c r="AP947" s="2130"/>
      <c r="BB947" s="2428"/>
    </row>
    <row r="948" spans="42:54">
      <c r="AP948" s="2130"/>
      <c r="BB948" s="2428"/>
    </row>
    <row r="949" spans="42:54">
      <c r="AP949" s="2130"/>
      <c r="BB949" s="2428"/>
    </row>
    <row r="950" spans="42:54">
      <c r="AP950" s="2130"/>
      <c r="BB950" s="2428"/>
    </row>
    <row r="951" spans="42:54">
      <c r="AP951" s="2130"/>
      <c r="BB951" s="2428"/>
    </row>
    <row r="952" spans="42:54">
      <c r="AP952" s="2130"/>
      <c r="BB952" s="2428"/>
    </row>
    <row r="953" spans="42:54">
      <c r="AP953" s="2130"/>
      <c r="BB953" s="2428"/>
    </row>
    <row r="954" spans="42:54">
      <c r="AP954" s="2130"/>
      <c r="BB954" s="2428"/>
    </row>
    <row r="955" spans="42:54">
      <c r="AP955" s="2130"/>
      <c r="BB955" s="2428"/>
    </row>
    <row r="956" spans="42:54">
      <c r="AP956" s="2130"/>
      <c r="BB956" s="2428"/>
    </row>
    <row r="957" spans="42:54">
      <c r="AP957" s="2130"/>
      <c r="BB957" s="2428"/>
    </row>
    <row r="958" spans="42:54">
      <c r="AP958" s="2130"/>
      <c r="BB958" s="2428"/>
    </row>
    <row r="959" spans="42:54">
      <c r="AP959" s="2130"/>
      <c r="BB959" s="2428"/>
    </row>
    <row r="960" spans="42:54">
      <c r="AP960" s="2130"/>
      <c r="BB960" s="2428"/>
    </row>
    <row r="961" spans="42:54">
      <c r="AP961" s="2130"/>
      <c r="BB961" s="2428"/>
    </row>
    <row r="962" spans="42:54">
      <c r="AP962" s="2130"/>
      <c r="BB962" s="2428"/>
    </row>
    <row r="963" spans="42:54">
      <c r="AP963" s="2130"/>
      <c r="BB963" s="2428"/>
    </row>
    <row r="964" spans="42:54">
      <c r="AP964" s="2130"/>
      <c r="BB964" s="2428"/>
    </row>
    <row r="965" spans="42:54">
      <c r="AP965" s="2130"/>
      <c r="BB965" s="2428"/>
    </row>
    <row r="966" spans="42:54">
      <c r="AP966" s="2130"/>
      <c r="BB966" s="2428"/>
    </row>
    <row r="967" spans="42:54">
      <c r="AP967" s="2130"/>
      <c r="BB967" s="2428"/>
    </row>
    <row r="968" spans="42:54">
      <c r="AP968" s="2130"/>
      <c r="BB968" s="2428"/>
    </row>
    <row r="969" spans="42:54">
      <c r="AP969" s="2130"/>
      <c r="BB969" s="2428"/>
    </row>
    <row r="970" spans="42:54">
      <c r="AP970" s="2130"/>
      <c r="BB970" s="2428"/>
    </row>
    <row r="971" spans="42:54">
      <c r="AP971" s="2130"/>
      <c r="BB971" s="2428"/>
    </row>
    <row r="972" spans="42:54">
      <c r="AP972" s="2130"/>
      <c r="BB972" s="2428"/>
    </row>
    <row r="973" spans="42:54">
      <c r="AP973" s="2130"/>
      <c r="BB973" s="2428"/>
    </row>
    <row r="974" spans="42:54">
      <c r="AP974" s="2130"/>
      <c r="BB974" s="2428"/>
    </row>
    <row r="975" spans="42:54">
      <c r="AP975" s="2130"/>
      <c r="BB975" s="2428"/>
    </row>
    <row r="976" spans="42:54">
      <c r="AP976" s="2130"/>
      <c r="BB976" s="2428"/>
    </row>
    <row r="977" spans="42:54">
      <c r="AP977" s="2130"/>
      <c r="BB977" s="2428"/>
    </row>
    <row r="978" spans="42:54">
      <c r="AP978" s="2130"/>
      <c r="BB978" s="2428"/>
    </row>
    <row r="979" spans="42:54">
      <c r="AP979" s="2130"/>
      <c r="BB979" s="2428"/>
    </row>
    <row r="980" spans="42:54">
      <c r="AP980" s="2130"/>
      <c r="BB980" s="2428"/>
    </row>
    <row r="981" spans="42:54">
      <c r="AP981" s="2130"/>
      <c r="BB981" s="2428"/>
    </row>
    <row r="982" spans="42:54">
      <c r="AP982" s="2130"/>
      <c r="BB982" s="2428"/>
    </row>
    <row r="983" spans="42:54">
      <c r="AP983" s="2130"/>
      <c r="BB983" s="2428"/>
    </row>
    <row r="984" spans="42:54">
      <c r="AP984" s="2130"/>
      <c r="BB984" s="2428"/>
    </row>
    <row r="985" spans="42:54">
      <c r="AP985" s="2130"/>
      <c r="BB985" s="2428"/>
    </row>
    <row r="986" spans="42:54">
      <c r="AP986" s="2130"/>
      <c r="BB986" s="2428"/>
    </row>
    <row r="987" spans="42:54">
      <c r="AP987" s="2130"/>
      <c r="BB987" s="2428"/>
    </row>
    <row r="988" spans="42:54">
      <c r="AP988" s="2130"/>
      <c r="BB988" s="2428"/>
    </row>
    <row r="989" spans="42:54">
      <c r="AP989" s="2130"/>
      <c r="BB989" s="2428"/>
    </row>
    <row r="990" spans="42:54">
      <c r="AP990" s="2130"/>
      <c r="BB990" s="2428"/>
    </row>
    <row r="991" spans="42:54">
      <c r="AP991" s="2130"/>
      <c r="BB991" s="2428"/>
    </row>
    <row r="992" spans="42:54">
      <c r="AP992" s="2130"/>
      <c r="BB992" s="2428"/>
    </row>
    <row r="993" spans="42:54">
      <c r="AP993" s="2130"/>
      <c r="BB993" s="2428"/>
    </row>
    <row r="994" spans="42:54">
      <c r="AP994" s="2130"/>
      <c r="BB994" s="2428"/>
    </row>
    <row r="995" spans="42:54">
      <c r="AP995" s="2130"/>
      <c r="BB995" s="2428"/>
    </row>
    <row r="996" spans="42:54">
      <c r="AP996" s="2130"/>
      <c r="BB996" s="2428"/>
    </row>
    <row r="997" spans="42:54">
      <c r="AP997" s="2130"/>
      <c r="BB997" s="2428"/>
    </row>
    <row r="998" spans="42:54">
      <c r="AP998" s="2130"/>
      <c r="BB998" s="2428"/>
    </row>
    <row r="999" spans="42:54">
      <c r="AP999" s="2130"/>
      <c r="BB999" s="2428"/>
    </row>
    <row r="1000" spans="42:54">
      <c r="AP1000" s="2130"/>
      <c r="BB1000" s="2428"/>
    </row>
    <row r="1001" spans="42:54">
      <c r="AP1001" s="2130"/>
      <c r="BB1001" s="2428"/>
    </row>
    <row r="1002" spans="42:54">
      <c r="AP1002" s="2130"/>
      <c r="BB1002" s="2428"/>
    </row>
    <row r="1003" spans="42:54">
      <c r="AP1003" s="2130"/>
      <c r="BB1003" s="2428"/>
    </row>
    <row r="1004" spans="42:54">
      <c r="AP1004" s="2130"/>
      <c r="BB1004" s="2428"/>
    </row>
    <row r="1005" spans="42:54">
      <c r="AP1005" s="2130"/>
      <c r="BB1005" s="2428"/>
    </row>
    <row r="1006" spans="42:54">
      <c r="AP1006" s="2130"/>
      <c r="BB1006" s="2428"/>
    </row>
    <row r="1007" spans="42:54">
      <c r="AP1007" s="2130"/>
      <c r="BB1007" s="2428"/>
    </row>
    <row r="1008" spans="42:54">
      <c r="AP1008" s="2130"/>
      <c r="BB1008" s="2428"/>
    </row>
    <row r="1009" spans="42:54">
      <c r="AP1009" s="2130"/>
      <c r="BB1009" s="2428"/>
    </row>
    <row r="1010" spans="42:54">
      <c r="AP1010" s="2130"/>
      <c r="BB1010" s="2428"/>
    </row>
    <row r="1011" spans="42:54">
      <c r="AP1011" s="2130"/>
      <c r="BB1011" s="2428"/>
    </row>
    <row r="1012" spans="42:54">
      <c r="AP1012" s="2130"/>
      <c r="BB1012" s="2428"/>
    </row>
    <row r="1013" spans="42:54">
      <c r="AP1013" s="2130"/>
      <c r="BB1013" s="2428"/>
    </row>
    <row r="1014" spans="42:54">
      <c r="AP1014" s="2130"/>
      <c r="BB1014" s="2428"/>
    </row>
    <row r="1015" spans="42:54">
      <c r="AP1015" s="2130"/>
      <c r="BB1015" s="2428"/>
    </row>
    <row r="1016" spans="42:54">
      <c r="AP1016" s="2130"/>
      <c r="BB1016" s="2428"/>
    </row>
    <row r="1017" spans="42:54">
      <c r="AP1017" s="2130"/>
      <c r="BB1017" s="2428"/>
    </row>
    <row r="1018" spans="42:54">
      <c r="AP1018" s="2130"/>
      <c r="BB1018" s="2428"/>
    </row>
    <row r="1019" spans="42:54">
      <c r="AP1019" s="2130"/>
      <c r="BB1019" s="2428"/>
    </row>
    <row r="1020" spans="42:54">
      <c r="AP1020" s="2130"/>
      <c r="BB1020" s="2428"/>
    </row>
    <row r="1021" spans="42:54">
      <c r="AP1021" s="2130"/>
      <c r="BB1021" s="2428"/>
    </row>
    <row r="1022" spans="42:54">
      <c r="AP1022" s="2130"/>
      <c r="BB1022" s="2428"/>
    </row>
    <row r="1023" spans="42:54">
      <c r="AP1023" s="2130"/>
      <c r="BB1023" s="2428"/>
    </row>
    <row r="1024" spans="42:54">
      <c r="AP1024" s="2130"/>
      <c r="BB1024" s="2428"/>
    </row>
    <row r="1025" spans="42:54">
      <c r="AP1025" s="2130"/>
      <c r="BB1025" s="2428"/>
    </row>
    <row r="1026" spans="42:54">
      <c r="AP1026" s="2130"/>
      <c r="BB1026" s="2428"/>
    </row>
    <row r="1027" spans="42:54">
      <c r="AP1027" s="2130"/>
      <c r="BB1027" s="2428"/>
    </row>
    <row r="1028" spans="42:54">
      <c r="AP1028" s="2130"/>
      <c r="BB1028" s="2428"/>
    </row>
    <row r="1029" spans="42:54">
      <c r="AP1029" s="2130"/>
      <c r="BB1029" s="2428"/>
    </row>
    <row r="1030" spans="42:54">
      <c r="AP1030" s="2130"/>
      <c r="BB1030" s="2428"/>
    </row>
    <row r="1031" spans="42:54">
      <c r="AP1031" s="2130"/>
      <c r="BB1031" s="2428"/>
    </row>
    <row r="1032" spans="42:54">
      <c r="AP1032" s="2130"/>
      <c r="BB1032" s="2428"/>
    </row>
    <row r="1033" spans="42:54">
      <c r="AP1033" s="2130"/>
      <c r="BB1033" s="2428"/>
    </row>
    <row r="1034" spans="42:54">
      <c r="AP1034" s="2130"/>
      <c r="BB1034" s="2428"/>
    </row>
    <row r="1035" spans="42:54">
      <c r="AP1035" s="2130"/>
      <c r="BB1035" s="2428"/>
    </row>
    <row r="1036" spans="42:54">
      <c r="AP1036" s="2130"/>
      <c r="BB1036" s="2428"/>
    </row>
    <row r="1037" spans="42:54">
      <c r="AP1037" s="2130"/>
      <c r="BB1037" s="2428"/>
    </row>
    <row r="1038" spans="42:54">
      <c r="AP1038" s="2130"/>
      <c r="BB1038" s="2428"/>
    </row>
    <row r="1039" spans="42:54">
      <c r="AP1039" s="2130"/>
      <c r="BB1039" s="2428"/>
    </row>
    <row r="1040" spans="42:54">
      <c r="AP1040" s="2130"/>
      <c r="BB1040" s="2428"/>
    </row>
    <row r="1041" spans="42:54">
      <c r="AP1041" s="2130"/>
      <c r="BB1041" s="2428"/>
    </row>
    <row r="1042" spans="42:54">
      <c r="AP1042" s="2130"/>
      <c r="BB1042" s="2428"/>
    </row>
    <row r="1043" spans="42:54">
      <c r="AP1043" s="2130"/>
      <c r="BB1043" s="2428"/>
    </row>
    <row r="1044" spans="42:54">
      <c r="AP1044" s="2130"/>
      <c r="BB1044" s="2428"/>
    </row>
    <row r="1045" spans="42:54">
      <c r="AP1045" s="2130"/>
      <c r="BB1045" s="2428"/>
    </row>
    <row r="1046" spans="42:54">
      <c r="AP1046" s="2130"/>
      <c r="BB1046" s="2428"/>
    </row>
    <row r="1047" spans="42:54">
      <c r="AP1047" s="2130"/>
      <c r="BB1047" s="2428"/>
    </row>
    <row r="1048" spans="42:54">
      <c r="AP1048" s="2130"/>
      <c r="BB1048" s="2428"/>
    </row>
    <row r="1049" spans="42:54">
      <c r="AP1049" s="2130"/>
      <c r="BB1049" s="2428"/>
    </row>
    <row r="1050" spans="42:54">
      <c r="AP1050" s="2130"/>
      <c r="BB1050" s="2428"/>
    </row>
    <row r="1051" spans="42:54">
      <c r="AP1051" s="2130"/>
      <c r="BB1051" s="2428"/>
    </row>
    <row r="1052" spans="42:54">
      <c r="AP1052" s="2130"/>
      <c r="BB1052" s="2428"/>
    </row>
    <row r="1053" spans="42:54">
      <c r="AP1053" s="2130"/>
      <c r="BB1053" s="2428"/>
    </row>
    <row r="1054" spans="42:54">
      <c r="AP1054" s="2130"/>
      <c r="BB1054" s="2428"/>
    </row>
    <row r="1055" spans="42:54">
      <c r="AP1055" s="2130"/>
      <c r="BB1055" s="2428"/>
    </row>
    <row r="1056" spans="42:54">
      <c r="AP1056" s="2130"/>
      <c r="BB1056" s="2428"/>
    </row>
    <row r="1057" spans="42:54">
      <c r="AP1057" s="2130"/>
      <c r="BB1057" s="2428"/>
    </row>
    <row r="1058" spans="42:54">
      <c r="AP1058" s="2130"/>
      <c r="BB1058" s="2428"/>
    </row>
    <row r="1059" spans="42:54">
      <c r="AP1059" s="2130"/>
      <c r="BB1059" s="2428"/>
    </row>
    <row r="1060" spans="42:54">
      <c r="AP1060" s="2130"/>
      <c r="BB1060" s="2428"/>
    </row>
    <row r="1061" spans="42:54">
      <c r="AP1061" s="2130"/>
      <c r="BB1061" s="2428"/>
    </row>
    <row r="1062" spans="42:54">
      <c r="AP1062" s="2130"/>
      <c r="BB1062" s="2428"/>
    </row>
    <row r="1063" spans="42:54">
      <c r="AP1063" s="2130"/>
      <c r="BB1063" s="2428"/>
    </row>
    <row r="1064" spans="42:54">
      <c r="AP1064" s="2130"/>
      <c r="BB1064" s="2428"/>
    </row>
    <row r="1065" spans="42:54">
      <c r="AP1065" s="2130"/>
      <c r="BB1065" s="2428"/>
    </row>
    <row r="1066" spans="42:54">
      <c r="AP1066" s="2130"/>
      <c r="BB1066" s="2428"/>
    </row>
    <row r="1067" spans="42:54">
      <c r="AP1067" s="2130"/>
      <c r="BB1067" s="2428"/>
    </row>
    <row r="1068" spans="42:54">
      <c r="AP1068" s="2130"/>
      <c r="BB1068" s="2428"/>
    </row>
    <row r="1069" spans="42:54">
      <c r="AP1069" s="2130"/>
      <c r="BB1069" s="2428"/>
    </row>
    <row r="1070" spans="42:54">
      <c r="AP1070" s="2130"/>
      <c r="BB1070" s="2428"/>
    </row>
    <row r="1071" spans="42:54">
      <c r="AP1071" s="2130"/>
      <c r="BB1071" s="2428"/>
    </row>
    <row r="1072" spans="42:54">
      <c r="AP1072" s="2130"/>
      <c r="BB1072" s="2428"/>
    </row>
    <row r="1073" spans="42:54">
      <c r="AP1073" s="2130"/>
      <c r="BB1073" s="2428"/>
    </row>
    <row r="1074" spans="42:54">
      <c r="AP1074" s="2130"/>
      <c r="BB1074" s="2428"/>
    </row>
    <row r="1075" spans="42:54">
      <c r="AP1075" s="2130"/>
      <c r="BB1075" s="2428"/>
    </row>
    <row r="1076" spans="42:54">
      <c r="AP1076" s="2130"/>
      <c r="BB1076" s="2428"/>
    </row>
    <row r="1077" spans="42:54">
      <c r="AP1077" s="2130"/>
      <c r="BB1077" s="2428"/>
    </row>
    <row r="1078" spans="42:54">
      <c r="AP1078" s="2130"/>
      <c r="BB1078" s="2428"/>
    </row>
    <row r="1079" spans="42:54">
      <c r="AP1079" s="2130"/>
      <c r="BB1079" s="2428"/>
    </row>
    <row r="1080" spans="42:54">
      <c r="AP1080" s="2130"/>
      <c r="BB1080" s="2428"/>
    </row>
    <row r="1081" spans="42:54">
      <c r="AP1081" s="2130"/>
      <c r="BB1081" s="2428"/>
    </row>
    <row r="1082" spans="42:54">
      <c r="AP1082" s="2130"/>
      <c r="BB1082" s="2428"/>
    </row>
    <row r="1083" spans="42:54">
      <c r="AP1083" s="2130"/>
      <c r="BB1083" s="2428"/>
    </row>
    <row r="1084" spans="42:54">
      <c r="AP1084" s="2130"/>
      <c r="BB1084" s="2428"/>
    </row>
    <row r="1085" spans="42:54">
      <c r="AP1085" s="2130"/>
      <c r="BB1085" s="2428"/>
    </row>
    <row r="1086" spans="42:54">
      <c r="AP1086" s="2130"/>
      <c r="BB1086" s="2428"/>
    </row>
    <row r="1087" spans="42:54">
      <c r="AP1087" s="2130"/>
      <c r="BB1087" s="2428"/>
    </row>
    <row r="1088" spans="42:54">
      <c r="AP1088" s="2130"/>
      <c r="BB1088" s="2428"/>
    </row>
    <row r="1089" spans="42:54">
      <c r="AP1089" s="2130"/>
      <c r="BB1089" s="2428"/>
    </row>
    <row r="1090" spans="42:54">
      <c r="AP1090" s="2130"/>
      <c r="BB1090" s="2428"/>
    </row>
    <row r="1091" spans="42:54">
      <c r="AP1091" s="2130"/>
      <c r="BB1091" s="2428"/>
    </row>
    <row r="1092" spans="42:54">
      <c r="AP1092" s="2130"/>
      <c r="BB1092" s="2428"/>
    </row>
    <row r="1093" spans="42:54">
      <c r="AP1093" s="2130"/>
      <c r="BB1093" s="2428"/>
    </row>
    <row r="1094" spans="42:54">
      <c r="AP1094" s="2130"/>
      <c r="BB1094" s="2428"/>
    </row>
    <row r="1095" spans="42:54">
      <c r="AP1095" s="2130"/>
      <c r="BB1095" s="2428"/>
    </row>
    <row r="1096" spans="42:54">
      <c r="AP1096" s="2130"/>
      <c r="BB1096" s="2428"/>
    </row>
    <row r="1097" spans="42:54">
      <c r="AP1097" s="2130"/>
      <c r="BB1097" s="2428"/>
    </row>
    <row r="1098" spans="42:54">
      <c r="AP1098" s="2130"/>
      <c r="BB1098" s="2428"/>
    </row>
    <row r="1099" spans="42:54">
      <c r="AP1099" s="2130"/>
      <c r="BB1099" s="2428"/>
    </row>
    <row r="1100" spans="42:54">
      <c r="AP1100" s="2130"/>
      <c r="BB1100" s="2428"/>
    </row>
    <row r="1101" spans="42:54">
      <c r="AP1101" s="2130"/>
      <c r="BB1101" s="2428"/>
    </row>
    <row r="1102" spans="42:54">
      <c r="AP1102" s="2130"/>
      <c r="BB1102" s="2428"/>
    </row>
    <row r="1103" spans="42:54">
      <c r="AP1103" s="2130"/>
      <c r="BB1103" s="2428"/>
    </row>
    <row r="1104" spans="42:54">
      <c r="AP1104" s="2130"/>
      <c r="BB1104" s="2428"/>
    </row>
    <row r="1105" spans="42:54">
      <c r="AP1105" s="2130"/>
      <c r="BB1105" s="2428"/>
    </row>
    <row r="1106" spans="42:54">
      <c r="AP1106" s="2130"/>
      <c r="BB1106" s="2428"/>
    </row>
    <row r="1107" spans="42:54">
      <c r="AP1107" s="2130"/>
      <c r="BB1107" s="2428"/>
    </row>
    <row r="1108" spans="42:54">
      <c r="AP1108" s="2130"/>
      <c r="BB1108" s="2428"/>
    </row>
    <row r="1109" spans="42:54">
      <c r="AP1109" s="2130"/>
      <c r="BB1109" s="2428"/>
    </row>
    <row r="1110" spans="42:54">
      <c r="AP1110" s="2130"/>
      <c r="BB1110" s="2428"/>
    </row>
    <row r="1111" spans="42:54">
      <c r="AP1111" s="2130"/>
      <c r="BB1111" s="2428"/>
    </row>
    <row r="1112" spans="42:54">
      <c r="AP1112" s="2130"/>
      <c r="BB1112" s="2428"/>
    </row>
    <row r="1113" spans="42:54">
      <c r="AP1113" s="2130"/>
      <c r="BB1113" s="2428"/>
    </row>
    <row r="1114" spans="42:54">
      <c r="AP1114" s="2130"/>
      <c r="BB1114" s="2428"/>
    </row>
    <row r="1115" spans="42:54">
      <c r="AP1115" s="2130"/>
      <c r="BB1115" s="2428"/>
    </row>
    <row r="1116" spans="42:54">
      <c r="AP1116" s="2130"/>
      <c r="BB1116" s="2428"/>
    </row>
    <row r="1117" spans="42:54">
      <c r="AP1117" s="2130"/>
      <c r="BB1117" s="2428"/>
    </row>
    <row r="1118" spans="42:54">
      <c r="AP1118" s="2130"/>
      <c r="BB1118" s="2428"/>
    </row>
    <row r="1119" spans="42:54">
      <c r="AP1119" s="2130"/>
      <c r="BB1119" s="2428"/>
    </row>
    <row r="1120" spans="42:54">
      <c r="AP1120" s="2130"/>
      <c r="BB1120" s="2428"/>
    </row>
    <row r="1121" spans="42:54">
      <c r="AP1121" s="2130"/>
      <c r="BB1121" s="2428"/>
    </row>
    <row r="1122" spans="42:54">
      <c r="AP1122" s="2130"/>
      <c r="BB1122" s="2428"/>
    </row>
    <row r="1123" spans="42:54">
      <c r="AP1123" s="2130"/>
      <c r="BB1123" s="2428"/>
    </row>
    <row r="1124" spans="42:54">
      <c r="AP1124" s="2130"/>
      <c r="BB1124" s="2428"/>
    </row>
    <row r="1125" spans="42:54">
      <c r="AP1125" s="2130"/>
      <c r="BB1125" s="2428"/>
    </row>
    <row r="1126" spans="42:54">
      <c r="AP1126" s="2130"/>
      <c r="BB1126" s="2428"/>
    </row>
    <row r="1127" spans="42:54">
      <c r="AP1127" s="2130"/>
      <c r="BB1127" s="2428"/>
    </row>
    <row r="1128" spans="42:54">
      <c r="AP1128" s="2130"/>
      <c r="BB1128" s="2428"/>
    </row>
    <row r="1129" spans="42:54">
      <c r="AP1129" s="2130"/>
      <c r="BB1129" s="2428"/>
    </row>
    <row r="1130" spans="42:54">
      <c r="AP1130" s="2130"/>
      <c r="BB1130" s="2428"/>
    </row>
    <row r="1131" spans="42:54">
      <c r="AP1131" s="2130"/>
      <c r="BB1131" s="2428"/>
    </row>
    <row r="1132" spans="42:54">
      <c r="AP1132" s="2130"/>
      <c r="BB1132" s="2428"/>
    </row>
    <row r="1133" spans="42:54">
      <c r="AP1133" s="2130"/>
      <c r="BB1133" s="2428"/>
    </row>
    <row r="1134" spans="42:54">
      <c r="AP1134" s="2130"/>
      <c r="BB1134" s="2428"/>
    </row>
    <row r="1135" spans="42:54">
      <c r="AP1135" s="2130"/>
      <c r="BB1135" s="2428"/>
    </row>
    <row r="1136" spans="42:54">
      <c r="AP1136" s="2130"/>
      <c r="BB1136" s="2428"/>
    </row>
    <row r="1137" spans="42:54">
      <c r="AP1137" s="2130"/>
      <c r="BB1137" s="2428"/>
    </row>
    <row r="1138" spans="42:54">
      <c r="AP1138" s="2130"/>
      <c r="BB1138" s="2428"/>
    </row>
    <row r="1139" spans="42:54">
      <c r="AP1139" s="2130"/>
      <c r="BB1139" s="2428"/>
    </row>
    <row r="1140" spans="42:54">
      <c r="AP1140" s="2130"/>
      <c r="BB1140" s="2428"/>
    </row>
    <row r="1141" spans="42:54">
      <c r="AP1141" s="2130"/>
      <c r="BB1141" s="2428"/>
    </row>
    <row r="1142" spans="42:54">
      <c r="AP1142" s="2130"/>
      <c r="BB1142" s="2428"/>
    </row>
    <row r="1143" spans="42:54">
      <c r="AP1143" s="2130"/>
      <c r="BB1143" s="2428"/>
    </row>
    <row r="1144" spans="42:54">
      <c r="AP1144" s="2130"/>
      <c r="BB1144" s="2428"/>
    </row>
    <row r="1145" spans="42:54">
      <c r="AP1145" s="2130"/>
      <c r="BB1145" s="2428"/>
    </row>
    <row r="1146" spans="42:54">
      <c r="AP1146" s="2130"/>
      <c r="BB1146" s="2428"/>
    </row>
    <row r="1147" spans="42:54">
      <c r="AP1147" s="2130"/>
      <c r="BB1147" s="2428"/>
    </row>
    <row r="1148" spans="42:54">
      <c r="AP1148" s="2130"/>
      <c r="BB1148" s="2428"/>
    </row>
    <row r="1149" spans="42:54">
      <c r="AP1149" s="2130"/>
      <c r="BB1149" s="2428"/>
    </row>
    <row r="1150" spans="42:54">
      <c r="AP1150" s="2130"/>
      <c r="BB1150" s="2428"/>
    </row>
    <row r="1151" spans="42:54">
      <c r="AP1151" s="2130"/>
      <c r="BB1151" s="2428"/>
    </row>
    <row r="1152" spans="42:54">
      <c r="AP1152" s="2130"/>
      <c r="BB1152" s="2428"/>
    </row>
    <row r="1153" spans="42:54">
      <c r="AP1153" s="2130"/>
      <c r="BB1153" s="2428"/>
    </row>
    <row r="1154" spans="42:54">
      <c r="AP1154" s="2130"/>
      <c r="BB1154" s="2428"/>
    </row>
    <row r="1155" spans="42:54">
      <c r="AP1155" s="2130"/>
      <c r="BB1155" s="2428"/>
    </row>
    <row r="1156" spans="42:54">
      <c r="AP1156" s="2130"/>
      <c r="BB1156" s="2428"/>
    </row>
    <row r="1157" spans="42:54">
      <c r="AP1157" s="2130"/>
      <c r="BB1157" s="2428"/>
    </row>
    <row r="1158" spans="42:54">
      <c r="AP1158" s="2130"/>
      <c r="BB1158" s="2428"/>
    </row>
    <row r="1159" spans="42:54">
      <c r="AP1159" s="2130"/>
      <c r="BB1159" s="2428"/>
    </row>
    <row r="1160" spans="42:54">
      <c r="AP1160" s="2130"/>
      <c r="BB1160" s="2428"/>
    </row>
    <row r="1161" spans="42:54">
      <c r="AP1161" s="2130"/>
      <c r="BB1161" s="2428"/>
    </row>
    <row r="1162" spans="42:54">
      <c r="AP1162" s="2130"/>
      <c r="BB1162" s="2428"/>
    </row>
    <row r="1163" spans="42:54">
      <c r="AP1163" s="2130"/>
      <c r="BB1163" s="2428"/>
    </row>
    <row r="1164" spans="42:54">
      <c r="AP1164" s="2130"/>
      <c r="BB1164" s="2428"/>
    </row>
    <row r="1165" spans="42:54">
      <c r="AP1165" s="2130"/>
      <c r="BB1165" s="2428"/>
    </row>
    <row r="1166" spans="42:54">
      <c r="AP1166" s="2130"/>
      <c r="BB1166" s="2428"/>
    </row>
    <row r="1167" spans="42:54">
      <c r="AP1167" s="2130"/>
      <c r="BB1167" s="2428"/>
    </row>
    <row r="1168" spans="42:54">
      <c r="AP1168" s="2130"/>
      <c r="BB1168" s="2428"/>
    </row>
    <row r="1169" spans="42:54">
      <c r="AP1169" s="2130"/>
      <c r="BB1169" s="2428"/>
    </row>
    <row r="1170" spans="42:54">
      <c r="AP1170" s="2130"/>
      <c r="BB1170" s="2428"/>
    </row>
    <row r="1171" spans="42:54">
      <c r="AP1171" s="2130"/>
      <c r="BB1171" s="2428"/>
    </row>
    <row r="1172" spans="42:54">
      <c r="AP1172" s="2130"/>
      <c r="BB1172" s="2428"/>
    </row>
    <row r="1173" spans="42:54">
      <c r="AP1173" s="2130"/>
      <c r="BB1173" s="2428"/>
    </row>
    <row r="1174" spans="42:54">
      <c r="AP1174" s="2130"/>
      <c r="BB1174" s="2428"/>
    </row>
    <row r="1175" spans="42:54">
      <c r="AP1175" s="2130"/>
      <c r="BB1175" s="2428"/>
    </row>
    <row r="1176" spans="42:54">
      <c r="AP1176" s="2130"/>
      <c r="BB1176" s="2428"/>
    </row>
    <row r="1177" spans="42:54">
      <c r="AP1177" s="2130"/>
      <c r="BB1177" s="2428"/>
    </row>
    <row r="1178" spans="42:54">
      <c r="AP1178" s="2130"/>
      <c r="BB1178" s="2428"/>
    </row>
    <row r="1179" spans="42:54">
      <c r="AP1179" s="2130"/>
      <c r="BB1179" s="2428"/>
    </row>
    <row r="1180" spans="42:54">
      <c r="AP1180" s="2130"/>
      <c r="BB1180" s="2428"/>
    </row>
    <row r="1181" spans="42:54">
      <c r="AP1181" s="2130"/>
      <c r="BB1181" s="2428"/>
    </row>
    <row r="1182" spans="42:54">
      <c r="AP1182" s="2130"/>
      <c r="BB1182" s="2428"/>
    </row>
    <row r="1183" spans="42:54">
      <c r="AP1183" s="2130"/>
      <c r="BB1183" s="2428"/>
    </row>
    <row r="1184" spans="42:54">
      <c r="AP1184" s="2130"/>
      <c r="BB1184" s="2428"/>
    </row>
    <row r="1185" spans="42:54">
      <c r="AP1185" s="2130"/>
      <c r="BB1185" s="2428"/>
    </row>
    <row r="1186" spans="42:54">
      <c r="AP1186" s="2130"/>
      <c r="BB1186" s="2428"/>
    </row>
    <row r="1187" spans="42:54">
      <c r="AP1187" s="2130"/>
      <c r="BB1187" s="2428"/>
    </row>
    <row r="1188" spans="42:54">
      <c r="AP1188" s="2130"/>
      <c r="BB1188" s="2428"/>
    </row>
    <row r="1189" spans="42:54">
      <c r="AP1189" s="2130"/>
      <c r="BB1189" s="2428"/>
    </row>
    <row r="1190" spans="42:54">
      <c r="AP1190" s="2130"/>
      <c r="BB1190" s="2428"/>
    </row>
    <row r="1191" spans="42:54">
      <c r="AP1191" s="2130"/>
      <c r="BB1191" s="2428"/>
    </row>
    <row r="1192" spans="42:54">
      <c r="AP1192" s="2130"/>
      <c r="BB1192" s="2428"/>
    </row>
    <row r="1193" spans="42:54">
      <c r="AP1193" s="2130"/>
      <c r="BB1193" s="2428"/>
    </row>
    <row r="1194" spans="42:54">
      <c r="AP1194" s="2130"/>
      <c r="BB1194" s="2428"/>
    </row>
    <row r="1195" spans="42:54">
      <c r="AP1195" s="2130"/>
      <c r="BB1195" s="2428"/>
    </row>
    <row r="1196" spans="42:54">
      <c r="AP1196" s="2130"/>
      <c r="BB1196" s="2428"/>
    </row>
    <row r="1197" spans="42:54">
      <c r="AP1197" s="2130"/>
      <c r="BB1197" s="2428"/>
    </row>
    <row r="1198" spans="42:54">
      <c r="AP1198" s="2130"/>
      <c r="BB1198" s="2428"/>
    </row>
    <row r="1199" spans="42:54">
      <c r="AP1199" s="2130"/>
      <c r="BB1199" s="2428"/>
    </row>
    <row r="1200" spans="42:54">
      <c r="AP1200" s="2130"/>
      <c r="BB1200" s="2428"/>
    </row>
    <row r="1201" spans="42:54">
      <c r="AP1201" s="2130"/>
      <c r="BB1201" s="2428"/>
    </row>
    <row r="1202" spans="42:54">
      <c r="AP1202" s="2130"/>
      <c r="BB1202" s="2428"/>
    </row>
    <row r="1203" spans="42:54">
      <c r="AP1203" s="2130"/>
      <c r="BB1203" s="2428"/>
    </row>
    <row r="1204" spans="42:54">
      <c r="AP1204" s="2130"/>
      <c r="BB1204" s="2428"/>
    </row>
    <row r="1205" spans="42:54">
      <c r="AP1205" s="2130"/>
      <c r="BB1205" s="2428"/>
    </row>
    <row r="1206" spans="42:54">
      <c r="AP1206" s="2130"/>
      <c r="BB1206" s="2428"/>
    </row>
    <row r="1207" spans="42:54">
      <c r="AP1207" s="2130"/>
      <c r="BB1207" s="2428"/>
    </row>
    <row r="1208" spans="42:54">
      <c r="AP1208" s="2130"/>
      <c r="BB1208" s="2428"/>
    </row>
    <row r="1209" spans="42:54">
      <c r="AP1209" s="2130"/>
      <c r="BB1209" s="2428"/>
    </row>
    <row r="1210" spans="42:54">
      <c r="AP1210" s="2130"/>
      <c r="BB1210" s="2428"/>
    </row>
    <row r="1211" spans="42:54">
      <c r="AP1211" s="2130"/>
      <c r="BB1211" s="2428"/>
    </row>
    <row r="1212" spans="42:54">
      <c r="AP1212" s="2130"/>
      <c r="BB1212" s="2428"/>
    </row>
    <row r="1213" spans="42:54">
      <c r="AP1213" s="2130"/>
      <c r="BB1213" s="2428"/>
    </row>
    <row r="1214" spans="42:54">
      <c r="AP1214" s="2130"/>
      <c r="BB1214" s="2428"/>
    </row>
    <row r="1215" spans="42:54">
      <c r="AP1215" s="2130"/>
      <c r="BB1215" s="2428"/>
    </row>
    <row r="1216" spans="42:54">
      <c r="AP1216" s="2130"/>
      <c r="BB1216" s="2428"/>
    </row>
    <row r="1217" spans="42:54">
      <c r="AP1217" s="2130"/>
      <c r="BB1217" s="2428"/>
    </row>
    <row r="1218" spans="42:54">
      <c r="AP1218" s="2130"/>
      <c r="BB1218" s="2428"/>
    </row>
    <row r="1219" spans="42:54">
      <c r="AP1219" s="2130"/>
      <c r="BB1219" s="2428"/>
    </row>
    <row r="1220" spans="42:54">
      <c r="AP1220" s="2130"/>
      <c r="BB1220" s="2428"/>
    </row>
    <row r="1221" spans="42:54">
      <c r="AP1221" s="2130"/>
      <c r="BB1221" s="2428"/>
    </row>
    <row r="1222" spans="42:54">
      <c r="AP1222" s="2130"/>
      <c r="BB1222" s="2428"/>
    </row>
    <row r="1223" spans="42:54">
      <c r="AP1223" s="2130"/>
      <c r="BB1223" s="2428"/>
    </row>
    <row r="1224" spans="42:54">
      <c r="AP1224" s="2130"/>
      <c r="BB1224" s="2428"/>
    </row>
    <row r="1225" spans="42:54">
      <c r="AP1225" s="2130"/>
      <c r="BB1225" s="2428"/>
    </row>
    <row r="1226" spans="42:54">
      <c r="AP1226" s="2130"/>
      <c r="BB1226" s="2428"/>
    </row>
    <row r="1227" spans="42:54">
      <c r="AP1227" s="2130"/>
      <c r="BB1227" s="2428"/>
    </row>
    <row r="1228" spans="42:54">
      <c r="AP1228" s="2130"/>
      <c r="BB1228" s="2428"/>
    </row>
    <row r="1229" spans="42:54">
      <c r="AP1229" s="2130"/>
      <c r="BB1229" s="2428"/>
    </row>
    <row r="1230" spans="42:54">
      <c r="AP1230" s="2130"/>
      <c r="BB1230" s="2428"/>
    </row>
    <row r="1231" spans="42:54">
      <c r="AP1231" s="2130"/>
      <c r="BB1231" s="2428"/>
    </row>
    <row r="1232" spans="42:54">
      <c r="AP1232" s="2130"/>
      <c r="BB1232" s="2428"/>
    </row>
    <row r="1233" spans="42:54">
      <c r="AP1233" s="2130"/>
      <c r="BB1233" s="2428"/>
    </row>
    <row r="1234" spans="42:54">
      <c r="AP1234" s="2130"/>
      <c r="BB1234" s="2428"/>
    </row>
    <row r="1235" spans="42:54">
      <c r="AP1235" s="2130"/>
      <c r="BB1235" s="2428"/>
    </row>
    <row r="1236" spans="42:54">
      <c r="AP1236" s="2130"/>
      <c r="BB1236" s="2428"/>
    </row>
    <row r="1237" spans="42:54">
      <c r="AP1237" s="2130"/>
      <c r="BB1237" s="2428"/>
    </row>
    <row r="1238" spans="42:54">
      <c r="AP1238" s="2130"/>
      <c r="BB1238" s="2428"/>
    </row>
    <row r="1239" spans="42:54">
      <c r="AP1239" s="2130"/>
      <c r="BB1239" s="2428"/>
    </row>
    <row r="1240" spans="42:54">
      <c r="AP1240" s="2130"/>
      <c r="BB1240" s="2428"/>
    </row>
    <row r="1241" spans="42:54">
      <c r="AP1241" s="2130"/>
      <c r="BB1241" s="2428"/>
    </row>
    <row r="1242" spans="42:54">
      <c r="AP1242" s="2130"/>
      <c r="BB1242" s="2428"/>
    </row>
    <row r="1243" spans="42:54">
      <c r="AP1243" s="2130"/>
      <c r="BB1243" s="2428"/>
    </row>
    <row r="1244" spans="42:54">
      <c r="AP1244" s="2130"/>
      <c r="BB1244" s="2428"/>
    </row>
    <row r="1245" spans="42:54">
      <c r="AP1245" s="2130"/>
      <c r="BB1245" s="2428"/>
    </row>
    <row r="1246" spans="42:54">
      <c r="AP1246" s="2130"/>
      <c r="BB1246" s="2428"/>
    </row>
    <row r="1247" spans="42:54">
      <c r="AP1247" s="2130"/>
      <c r="BB1247" s="2428"/>
    </row>
    <row r="1248" spans="42:54">
      <c r="AP1248" s="2130"/>
      <c r="BB1248" s="2428"/>
    </row>
    <row r="1249" spans="42:54">
      <c r="AP1249" s="2130"/>
      <c r="BB1249" s="2428"/>
    </row>
    <row r="1250" spans="42:54">
      <c r="AP1250" s="2130"/>
      <c r="BB1250" s="2428"/>
    </row>
    <row r="1251" spans="42:54">
      <c r="AP1251" s="2130"/>
      <c r="BB1251" s="2428"/>
    </row>
    <row r="1252" spans="42:54">
      <c r="AP1252" s="2130"/>
      <c r="BB1252" s="2428"/>
    </row>
    <row r="1253" spans="42:54">
      <c r="AP1253" s="2130"/>
      <c r="BB1253" s="2428"/>
    </row>
    <row r="1254" spans="42:54">
      <c r="AP1254" s="2130"/>
      <c r="BB1254" s="2428"/>
    </row>
    <row r="1255" spans="42:54">
      <c r="AP1255" s="2130"/>
      <c r="BB1255" s="2428"/>
    </row>
    <row r="1256" spans="42:54">
      <c r="AP1256" s="2130"/>
      <c r="BB1256" s="2428"/>
    </row>
    <row r="1257" spans="42:54">
      <c r="AP1257" s="2130"/>
      <c r="BB1257" s="2428"/>
    </row>
    <row r="1258" spans="42:54">
      <c r="AP1258" s="2130"/>
      <c r="BB1258" s="2428"/>
    </row>
    <row r="1259" spans="42:54">
      <c r="AP1259" s="2130"/>
      <c r="BB1259" s="2428"/>
    </row>
    <row r="1260" spans="42:54">
      <c r="AP1260" s="2130"/>
      <c r="BB1260" s="2428"/>
    </row>
    <row r="1261" spans="42:54">
      <c r="AP1261" s="2130"/>
      <c r="BB1261" s="2428"/>
    </row>
    <row r="1262" spans="42:54">
      <c r="AP1262" s="2130"/>
      <c r="BB1262" s="2428"/>
    </row>
    <row r="1263" spans="42:54">
      <c r="AP1263" s="2130"/>
      <c r="BB1263" s="2428"/>
    </row>
    <row r="1264" spans="42:54">
      <c r="AP1264" s="2130"/>
      <c r="BB1264" s="2428"/>
    </row>
    <row r="1265" spans="42:54">
      <c r="AP1265" s="2130"/>
      <c r="BB1265" s="2428"/>
    </row>
    <row r="1266" spans="42:54">
      <c r="AP1266" s="2130"/>
      <c r="BB1266" s="2428"/>
    </row>
    <row r="1267" spans="42:54">
      <c r="AP1267" s="2130"/>
      <c r="BB1267" s="2428"/>
    </row>
    <row r="1268" spans="42:54">
      <c r="AP1268" s="2130"/>
      <c r="BB1268" s="2428"/>
    </row>
    <row r="1269" spans="42:54">
      <c r="AP1269" s="2130"/>
      <c r="BB1269" s="2428"/>
    </row>
    <row r="1270" spans="42:54">
      <c r="AP1270" s="2130"/>
      <c r="BB1270" s="2428"/>
    </row>
    <row r="1271" spans="42:54">
      <c r="AP1271" s="2130"/>
      <c r="BB1271" s="2428"/>
    </row>
    <row r="1272" spans="42:54">
      <c r="AP1272" s="2130"/>
      <c r="BB1272" s="2428"/>
    </row>
    <row r="1273" spans="42:54">
      <c r="AP1273" s="2130"/>
      <c r="BB1273" s="2428"/>
    </row>
    <row r="1274" spans="42:54">
      <c r="AP1274" s="2130"/>
      <c r="BB1274" s="2428"/>
    </row>
    <row r="1275" spans="42:54">
      <c r="AP1275" s="2130"/>
      <c r="BB1275" s="2428"/>
    </row>
    <row r="1276" spans="42:54">
      <c r="AP1276" s="2130"/>
      <c r="BB1276" s="2428"/>
    </row>
    <row r="1277" spans="42:54">
      <c r="AP1277" s="2130"/>
      <c r="BB1277" s="2428"/>
    </row>
    <row r="1278" spans="42:54">
      <c r="AP1278" s="2130"/>
      <c r="BB1278" s="2428"/>
    </row>
    <row r="1279" spans="42:54">
      <c r="AP1279" s="2130"/>
      <c r="BB1279" s="2428"/>
    </row>
    <row r="1280" spans="42:54">
      <c r="AP1280" s="2130"/>
      <c r="BB1280" s="2428"/>
    </row>
    <row r="1281" spans="42:54">
      <c r="AP1281" s="2130"/>
      <c r="BB1281" s="2428"/>
    </row>
    <row r="1282" spans="42:54">
      <c r="AP1282" s="2130"/>
      <c r="BB1282" s="2428"/>
    </row>
    <row r="1283" spans="42:54">
      <c r="AP1283" s="2130"/>
      <c r="BB1283" s="2428"/>
    </row>
    <row r="1284" spans="42:54">
      <c r="AP1284" s="2130"/>
      <c r="BB1284" s="2428"/>
    </row>
    <row r="1285" spans="42:54">
      <c r="AP1285" s="2130"/>
      <c r="BB1285" s="2428"/>
    </row>
    <row r="1286" spans="42:54">
      <c r="AP1286" s="2130"/>
      <c r="BB1286" s="2428"/>
    </row>
    <row r="1287" spans="42:54">
      <c r="AP1287" s="2130"/>
      <c r="BB1287" s="2428"/>
    </row>
    <row r="1288" spans="42:54">
      <c r="AP1288" s="2130"/>
      <c r="BB1288" s="2428"/>
    </row>
    <row r="1289" spans="42:54">
      <c r="AP1289" s="2130"/>
      <c r="BB1289" s="2428"/>
    </row>
    <row r="1290" spans="42:54">
      <c r="AP1290" s="2130"/>
      <c r="BB1290" s="2428"/>
    </row>
    <row r="1291" spans="42:54">
      <c r="AP1291" s="2130"/>
      <c r="BB1291" s="2428"/>
    </row>
    <row r="1292" spans="42:54">
      <c r="AP1292" s="2130"/>
      <c r="BB1292" s="2428"/>
    </row>
    <row r="1293" spans="42:54">
      <c r="AP1293" s="2130"/>
      <c r="BB1293" s="2428"/>
    </row>
    <row r="1294" spans="42:54">
      <c r="AP1294" s="2130"/>
      <c r="BB1294" s="2428"/>
    </row>
    <row r="1295" spans="42:54">
      <c r="AP1295" s="2130"/>
      <c r="BB1295" s="2428"/>
    </row>
    <row r="1296" spans="42:54">
      <c r="AP1296" s="2130"/>
      <c r="BB1296" s="2428"/>
    </row>
    <row r="1297" spans="42:54">
      <c r="AP1297" s="2130"/>
      <c r="BB1297" s="2428"/>
    </row>
    <row r="1298" spans="42:54">
      <c r="AP1298" s="2130"/>
      <c r="BB1298" s="2428"/>
    </row>
    <row r="1299" spans="42:54">
      <c r="AP1299" s="2130"/>
      <c r="BB1299" s="2428"/>
    </row>
    <row r="1300" spans="42:54">
      <c r="AP1300" s="2130"/>
      <c r="BB1300" s="2428"/>
    </row>
    <row r="1301" spans="42:54">
      <c r="AP1301" s="2130"/>
      <c r="BB1301" s="2428"/>
    </row>
    <row r="1302" spans="42:54">
      <c r="AP1302" s="2130"/>
      <c r="BB1302" s="2428"/>
    </row>
    <row r="1303" spans="42:54">
      <c r="AP1303" s="2130"/>
      <c r="BB1303" s="2428"/>
    </row>
    <row r="1304" spans="42:54">
      <c r="AP1304" s="2130"/>
      <c r="BB1304" s="2428"/>
    </row>
    <row r="1305" spans="42:54">
      <c r="AP1305" s="2130"/>
      <c r="BB1305" s="2428"/>
    </row>
    <row r="1306" spans="42:54">
      <c r="AP1306" s="2130"/>
      <c r="BB1306" s="2428"/>
    </row>
    <row r="1307" spans="42:54">
      <c r="AP1307" s="2130"/>
      <c r="BB1307" s="2428"/>
    </row>
    <row r="1308" spans="42:54">
      <c r="AP1308" s="2130"/>
      <c r="BB1308" s="2428"/>
    </row>
    <row r="1309" spans="42:54">
      <c r="AP1309" s="2130"/>
      <c r="BB1309" s="2428"/>
    </row>
    <row r="1310" spans="42:54">
      <c r="AP1310" s="2130"/>
      <c r="BB1310" s="2428"/>
    </row>
    <row r="1311" spans="42:54">
      <c r="AP1311" s="2130"/>
      <c r="BB1311" s="2428"/>
    </row>
    <row r="1312" spans="42:54">
      <c r="AP1312" s="2130"/>
      <c r="BB1312" s="2428"/>
    </row>
    <row r="1313" spans="42:54">
      <c r="AP1313" s="2130"/>
      <c r="BB1313" s="2428"/>
    </row>
    <row r="1314" spans="42:54">
      <c r="AP1314" s="2130"/>
      <c r="BB1314" s="2428"/>
    </row>
    <row r="1315" spans="42:54">
      <c r="AP1315" s="2130"/>
      <c r="BB1315" s="2428"/>
    </row>
    <row r="1316" spans="42:54">
      <c r="AP1316" s="2130"/>
      <c r="BB1316" s="2428"/>
    </row>
    <row r="1317" spans="42:54">
      <c r="AP1317" s="2130"/>
      <c r="BB1317" s="2428"/>
    </row>
    <row r="1318" spans="42:54">
      <c r="AP1318" s="2130"/>
      <c r="BB1318" s="2428"/>
    </row>
    <row r="1319" spans="42:54">
      <c r="AP1319" s="2130"/>
      <c r="BB1319" s="2428"/>
    </row>
    <row r="1320" spans="42:54">
      <c r="AP1320" s="2130"/>
      <c r="BB1320" s="2428"/>
    </row>
    <row r="1321" spans="42:54">
      <c r="AP1321" s="2130"/>
      <c r="BB1321" s="2428"/>
    </row>
    <row r="1322" spans="42:54">
      <c r="AP1322" s="2130"/>
    </row>
    <row r="1323" spans="42:54">
      <c r="AP1323" s="2130"/>
    </row>
    <row r="1324" spans="42:54">
      <c r="AP1324" s="2130"/>
    </row>
    <row r="1325" spans="42:54">
      <c r="AP1325" s="2130"/>
    </row>
    <row r="1326" spans="42:54">
      <c r="AP1326" s="2130"/>
    </row>
    <row r="1327" spans="42:54">
      <c r="AP1327" s="2130"/>
    </row>
    <row r="1328" spans="42:54">
      <c r="AP1328" s="2130"/>
    </row>
    <row r="1329" spans="42:42">
      <c r="AP1329" s="2130"/>
    </row>
    <row r="1330" spans="42:42">
      <c r="AP1330" s="2130"/>
    </row>
    <row r="1331" spans="42:42">
      <c r="AP1331" s="2130"/>
    </row>
    <row r="1332" spans="42:42">
      <c r="AP1332" s="2130"/>
    </row>
    <row r="1333" spans="42:42">
      <c r="AP1333" s="2130"/>
    </row>
    <row r="1334" spans="42:42">
      <c r="AP1334" s="2130"/>
    </row>
    <row r="1335" spans="42:42">
      <c r="AP1335" s="2130"/>
    </row>
    <row r="1336" spans="42:42">
      <c r="AP1336" s="2130"/>
    </row>
    <row r="1337" spans="42:42">
      <c r="AP1337" s="2130"/>
    </row>
    <row r="1338" spans="42:42">
      <c r="AP1338" s="2130"/>
    </row>
    <row r="1339" spans="42:42">
      <c r="AP1339" s="2130"/>
    </row>
    <row r="1340" spans="42:42">
      <c r="AP1340" s="2130"/>
    </row>
    <row r="1341" spans="42:42">
      <c r="AP1341" s="2130"/>
    </row>
    <row r="1342" spans="42:42">
      <c r="AP1342" s="2130"/>
    </row>
    <row r="1343" spans="42:42">
      <c r="AP1343" s="2130"/>
    </row>
    <row r="1344" spans="42:42">
      <c r="AP1344" s="2130"/>
    </row>
    <row r="1345" spans="42:42">
      <c r="AP1345" s="2130"/>
    </row>
    <row r="1346" spans="42:42">
      <c r="AP1346" s="2130"/>
    </row>
    <row r="1347" spans="42:42">
      <c r="AP1347" s="2130"/>
    </row>
    <row r="1348" spans="42:42">
      <c r="AP1348" s="2130"/>
    </row>
    <row r="1349" spans="42:42">
      <c r="AP1349" s="2130"/>
    </row>
    <row r="1350" spans="42:42">
      <c r="AP1350" s="2130"/>
    </row>
    <row r="1351" spans="42:42">
      <c r="AP1351" s="2130"/>
    </row>
    <row r="1352" spans="42:42">
      <c r="AP1352" s="2130"/>
    </row>
    <row r="1353" spans="42:42">
      <c r="AP1353" s="2130"/>
    </row>
    <row r="1354" spans="42:42">
      <c r="AP1354" s="2130"/>
    </row>
    <row r="1355" spans="42:42">
      <c r="AP1355" s="2130"/>
    </row>
    <row r="1356" spans="42:42">
      <c r="AP1356" s="2130"/>
    </row>
    <row r="1357" spans="42:42">
      <c r="AP1357" s="2130"/>
    </row>
    <row r="1358" spans="42:42">
      <c r="AP1358" s="2130"/>
    </row>
    <row r="1359" spans="42:42">
      <c r="AP1359" s="2130"/>
    </row>
    <row r="1360" spans="42:42">
      <c r="AP1360" s="2130"/>
    </row>
    <row r="1361" spans="42:42">
      <c r="AP1361" s="2130"/>
    </row>
    <row r="1362" spans="42:42">
      <c r="AP1362" s="2130"/>
    </row>
    <row r="1363" spans="42:42">
      <c r="AP1363" s="2130"/>
    </row>
    <row r="1364" spans="42:42">
      <c r="AP1364" s="2130"/>
    </row>
    <row r="1365" spans="42:42">
      <c r="AP1365" s="2130"/>
    </row>
    <row r="1366" spans="42:42">
      <c r="AP1366" s="2130"/>
    </row>
    <row r="1367" spans="42:42">
      <c r="AP1367" s="2130"/>
    </row>
    <row r="1368" spans="42:42">
      <c r="AP1368" s="2130"/>
    </row>
    <row r="1369" spans="42:42">
      <c r="AP1369" s="2130"/>
    </row>
    <row r="1370" spans="42:42">
      <c r="AP1370" s="2130"/>
    </row>
    <row r="1371" spans="42:42">
      <c r="AP1371" s="2130"/>
    </row>
    <row r="1372" spans="42:42">
      <c r="AP1372" s="2130"/>
    </row>
    <row r="1373" spans="42:42">
      <c r="AP1373" s="2130"/>
    </row>
    <row r="1374" spans="42:42">
      <c r="AP1374" s="2130"/>
    </row>
    <row r="1375" spans="42:42">
      <c r="AP1375" s="2130"/>
    </row>
    <row r="1376" spans="42:42">
      <c r="AP1376" s="2130"/>
    </row>
    <row r="1377" spans="42:42">
      <c r="AP1377" s="2130"/>
    </row>
    <row r="1378" spans="42:42">
      <c r="AP1378" s="2130"/>
    </row>
    <row r="1379" spans="42:42">
      <c r="AP1379" s="2130"/>
    </row>
    <row r="1380" spans="42:42">
      <c r="AP1380" s="2130"/>
    </row>
    <row r="1381" spans="42:42">
      <c r="AP1381" s="2130"/>
    </row>
    <row r="1382" spans="42:42">
      <c r="AP1382" s="2130"/>
    </row>
    <row r="1383" spans="42:42">
      <c r="AP1383" s="2130"/>
    </row>
    <row r="1384" spans="42:42">
      <c r="AP1384" s="2130"/>
    </row>
    <row r="1385" spans="42:42">
      <c r="AP1385" s="2130"/>
    </row>
    <row r="1386" spans="42:42">
      <c r="AP1386" s="2130"/>
    </row>
    <row r="1387" spans="42:42">
      <c r="AP1387" s="2130"/>
    </row>
    <row r="1388" spans="42:42">
      <c r="AP1388" s="2130"/>
    </row>
    <row r="1389" spans="42:42">
      <c r="AP1389" s="2130"/>
    </row>
    <row r="1390" spans="42:42">
      <c r="AP1390" s="2130"/>
    </row>
    <row r="1391" spans="42:42">
      <c r="AP1391" s="2130"/>
    </row>
    <row r="1392" spans="42:42">
      <c r="AP1392" s="2130"/>
    </row>
    <row r="1393" spans="42:42">
      <c r="AP1393" s="2130"/>
    </row>
    <row r="1394" spans="42:42">
      <c r="AP1394" s="2130"/>
    </row>
    <row r="1395" spans="42:42">
      <c r="AP1395" s="2130"/>
    </row>
    <row r="1396" spans="42:42">
      <c r="AP1396" s="2130"/>
    </row>
    <row r="1397" spans="42:42">
      <c r="AP1397" s="2130"/>
    </row>
    <row r="1398" spans="42:42">
      <c r="AP1398" s="2130"/>
    </row>
    <row r="1399" spans="42:42">
      <c r="AP1399" s="2130"/>
    </row>
    <row r="1400" spans="42:42">
      <c r="AP1400" s="2130"/>
    </row>
    <row r="1401" spans="42:42">
      <c r="AP1401" s="2130"/>
    </row>
    <row r="1402" spans="42:42">
      <c r="AP1402" s="2130"/>
    </row>
    <row r="1403" spans="42:42">
      <c r="AP1403" s="2130"/>
    </row>
    <row r="1404" spans="42:42">
      <c r="AP1404" s="2130"/>
    </row>
    <row r="1405" spans="42:42">
      <c r="AP1405" s="2130"/>
    </row>
    <row r="1406" spans="42:42">
      <c r="AP1406" s="2130"/>
    </row>
    <row r="1407" spans="42:42">
      <c r="AP1407" s="2130"/>
    </row>
    <row r="1408" spans="42:42">
      <c r="AP1408" s="2130"/>
    </row>
    <row r="1409" spans="42:42">
      <c r="AP1409" s="2130"/>
    </row>
    <row r="1410" spans="42:42">
      <c r="AP1410" s="2130"/>
    </row>
    <row r="1411" spans="42:42">
      <c r="AP1411" s="2130"/>
    </row>
    <row r="1412" spans="42:42">
      <c r="AP1412" s="2130"/>
    </row>
    <row r="1413" spans="42:42">
      <c r="AP1413" s="2130"/>
    </row>
    <row r="1414" spans="42:42">
      <c r="AP1414" s="2130"/>
    </row>
    <row r="1415" spans="42:42">
      <c r="AP1415" s="2130"/>
    </row>
    <row r="1416" spans="42:42">
      <c r="AP1416" s="2130"/>
    </row>
    <row r="1417" spans="42:42">
      <c r="AP1417" s="2130"/>
    </row>
    <row r="1418" spans="42:42">
      <c r="AP1418" s="2130"/>
    </row>
    <row r="1419" spans="42:42">
      <c r="AP1419" s="2130"/>
    </row>
    <row r="1420" spans="42:42">
      <c r="AP1420" s="2130"/>
    </row>
    <row r="1421" spans="42:42">
      <c r="AP1421" s="2130"/>
    </row>
    <row r="1422" spans="42:42">
      <c r="AP1422" s="2130"/>
    </row>
    <row r="1423" spans="42:42">
      <c r="AP1423" s="2130"/>
    </row>
    <row r="1424" spans="42:42">
      <c r="AP1424" s="2130"/>
    </row>
    <row r="1425" spans="42:42">
      <c r="AP1425" s="2130"/>
    </row>
    <row r="1426" spans="42:42">
      <c r="AP1426" s="2130"/>
    </row>
    <row r="1427" spans="42:42">
      <c r="AP1427" s="2130"/>
    </row>
    <row r="1428" spans="42:42">
      <c r="AP1428" s="2130"/>
    </row>
    <row r="1429" spans="42:42">
      <c r="AP1429" s="2130"/>
    </row>
    <row r="1430" spans="42:42">
      <c r="AP1430" s="2130"/>
    </row>
    <row r="1431" spans="42:42">
      <c r="AP1431" s="2130"/>
    </row>
    <row r="1432" spans="42:42">
      <c r="AP1432" s="2130"/>
    </row>
    <row r="1433" spans="42:42">
      <c r="AP1433" s="2130"/>
    </row>
    <row r="1434" spans="42:42">
      <c r="AP1434" s="2130"/>
    </row>
    <row r="1435" spans="42:42">
      <c r="AP1435" s="2130"/>
    </row>
    <row r="1436" spans="42:42">
      <c r="AP1436" s="2130"/>
    </row>
    <row r="1437" spans="42:42">
      <c r="AP1437" s="2130"/>
    </row>
    <row r="1438" spans="42:42">
      <c r="AP1438" s="2130"/>
    </row>
    <row r="1439" spans="42:42">
      <c r="AP1439" s="2130"/>
    </row>
    <row r="1440" spans="42:42">
      <c r="AP1440" s="2130"/>
    </row>
    <row r="1441" spans="42:42">
      <c r="AP1441" s="2130"/>
    </row>
    <row r="1442" spans="42:42">
      <c r="AP1442" s="2130"/>
    </row>
    <row r="1443" spans="42:42">
      <c r="AP1443" s="2130"/>
    </row>
    <row r="1444" spans="42:42">
      <c r="AP1444" s="2130"/>
    </row>
    <row r="1445" spans="42:42">
      <c r="AP1445" s="2130"/>
    </row>
    <row r="1446" spans="42:42">
      <c r="AP1446" s="2130"/>
    </row>
    <row r="1447" spans="42:42">
      <c r="AP1447" s="2130"/>
    </row>
    <row r="1448" spans="42:42">
      <c r="AP1448" s="2130"/>
    </row>
    <row r="1449" spans="42:42">
      <c r="AP1449" s="2130"/>
    </row>
    <row r="1450" spans="42:42">
      <c r="AP1450" s="2130"/>
    </row>
    <row r="1451" spans="42:42">
      <c r="AP1451" s="2130"/>
    </row>
    <row r="1452" spans="42:42">
      <c r="AP1452" s="2130"/>
    </row>
    <row r="1453" spans="42:42">
      <c r="AP1453" s="2130"/>
    </row>
    <row r="1454" spans="42:42">
      <c r="AP1454" s="2130"/>
    </row>
    <row r="1455" spans="42:42">
      <c r="AP1455" s="2130"/>
    </row>
    <row r="1456" spans="42:42">
      <c r="AP1456" s="2130"/>
    </row>
    <row r="1457" spans="42:42">
      <c r="AP1457" s="2130"/>
    </row>
    <row r="1458" spans="42:42">
      <c r="AP1458" s="2130"/>
    </row>
    <row r="1459" spans="42:42">
      <c r="AP1459" s="2130"/>
    </row>
    <row r="1460" spans="42:42">
      <c r="AP1460" s="2130"/>
    </row>
    <row r="1461" spans="42:42">
      <c r="AP1461" s="2130"/>
    </row>
    <row r="1462" spans="42:42">
      <c r="AP1462" s="2130"/>
    </row>
    <row r="1463" spans="42:42">
      <c r="AP1463" s="2130"/>
    </row>
    <row r="1464" spans="42:42">
      <c r="AP1464" s="2130"/>
    </row>
    <row r="1465" spans="42:42">
      <c r="AP1465" s="2130"/>
    </row>
    <row r="1466" spans="42:42">
      <c r="AP1466" s="2130"/>
    </row>
    <row r="1467" spans="42:42">
      <c r="AP1467" s="2130"/>
    </row>
    <row r="1468" spans="42:42">
      <c r="AP1468" s="2130"/>
    </row>
    <row r="1469" spans="42:42">
      <c r="AP1469" s="2130"/>
    </row>
    <row r="1470" spans="42:42">
      <c r="AP1470" s="2130"/>
    </row>
    <row r="1471" spans="42:42">
      <c r="AP1471" s="2130"/>
    </row>
    <row r="1472" spans="42:42">
      <c r="AP1472" s="2130"/>
    </row>
    <row r="1473" spans="42:42">
      <c r="AP1473" s="2130"/>
    </row>
    <row r="1474" spans="42:42">
      <c r="AP1474" s="2130"/>
    </row>
    <row r="1475" spans="42:42">
      <c r="AP1475" s="2130"/>
    </row>
    <row r="1476" spans="42:42">
      <c r="AP1476" s="2130"/>
    </row>
    <row r="1477" spans="42:42">
      <c r="AP1477" s="2130"/>
    </row>
    <row r="1478" spans="42:42">
      <c r="AP1478" s="2130"/>
    </row>
    <row r="1479" spans="42:42">
      <c r="AP1479" s="2130"/>
    </row>
    <row r="1480" spans="42:42">
      <c r="AP1480" s="2130"/>
    </row>
    <row r="1481" spans="42:42">
      <c r="AP1481" s="2130"/>
    </row>
    <row r="1482" spans="42:42">
      <c r="AP1482" s="2130"/>
    </row>
    <row r="1483" spans="42:42">
      <c r="AP1483" s="2130"/>
    </row>
    <row r="1484" spans="42:42">
      <c r="AP1484" s="2130"/>
    </row>
    <row r="1485" spans="42:42">
      <c r="AP1485" s="2130"/>
    </row>
    <row r="1486" spans="42:42">
      <c r="AP1486" s="2130"/>
    </row>
    <row r="1487" spans="42:42">
      <c r="AP1487" s="2130"/>
    </row>
    <row r="1488" spans="42:42">
      <c r="AP1488" s="2130"/>
    </row>
    <row r="1489" spans="42:42">
      <c r="AP1489" s="2130"/>
    </row>
    <row r="1490" spans="42:42">
      <c r="AP1490" s="2130"/>
    </row>
    <row r="1491" spans="42:42">
      <c r="AP1491" s="2130"/>
    </row>
    <row r="1492" spans="42:42">
      <c r="AP1492" s="2130"/>
    </row>
    <row r="1493" spans="42:42">
      <c r="AP1493" s="2130"/>
    </row>
    <row r="1494" spans="42:42">
      <c r="AP1494" s="2130"/>
    </row>
    <row r="1495" spans="42:42">
      <c r="AP1495" s="2130"/>
    </row>
    <row r="1496" spans="42:42">
      <c r="AP1496" s="2130"/>
    </row>
    <row r="1497" spans="42:42">
      <c r="AP1497" s="2130"/>
    </row>
    <row r="1498" spans="42:42">
      <c r="AP1498" s="2130"/>
    </row>
    <row r="1499" spans="42:42">
      <c r="AP1499" s="2130"/>
    </row>
    <row r="1500" spans="42:42">
      <c r="AP1500" s="2130"/>
    </row>
  </sheetData>
  <sheetProtection algorithmName="SHA-512" hashValue="zlDaLUWDJbusAKKibV/yGDlRYIqKqeGd8wxbjx7fS71vuz7i2lxUKD1BpStQLAYTZVcFw/uJTnSJSLo2P8Sw/A==" saltValue="FAy0d99CsYZ3R6vBUoXd5w==" spinCount="100000" sheet="1" objects="1" scenarios="1" formatColumns="0" formatRows="0" autoFilter="0"/>
  <autoFilter ref="A8:BL8"/>
  <customSheetViews>
    <customSheetView guid="{3769259D-9653-4B34-A2F6-4FB6F9F4E533}" scale="85" showGridLines="0" showAutoFilter="1" hiddenRows="1" hiddenColumns="1">
      <pane xSplit="3" ySplit="8" topLeftCell="D9" activePane="bottomRight" state="frozen"/>
      <selection pane="bottomRight" activeCell="G10" sqref="G10"/>
      <pageMargins left="0.7" right="0.7" top="0.75" bottom="0.75" header="0.3" footer="0.3"/>
      <pageSetup paperSize="9" orientation="portrait" horizontalDpi="300" verticalDpi="300" copies="0" r:id="rId1"/>
      <autoFilter ref="B1:AC1"/>
    </customSheetView>
    <customSheetView guid="{40D7A2BB-326C-4ED3-999C-17852F56D6F4}" scale="85" showGridLines="0" showAutoFilter="1" hiddenRows="1" hiddenColumns="1">
      <pane xSplit="3" ySplit="8" topLeftCell="D63" activePane="bottomRight" state="frozen"/>
      <selection pane="bottomRight" activeCell="C17" sqref="C17"/>
      <pageMargins left="0.7" right="0.7" top="0.75" bottom="0.75" header="0.3" footer="0.3"/>
      <pageSetup paperSize="9" orientation="portrait" horizontalDpi="300" verticalDpi="300" copies="0" r:id="rId2"/>
      <autoFilter ref="B1:AC1"/>
    </customSheetView>
    <customSheetView guid="{5D121940-0CE8-4A0E-A493-67FAAA6E0FF8}" scale="85" showGridLines="0" showAutoFilter="1" hiddenRows="1" hiddenColumns="1" topLeftCell="B2">
      <pane xSplit="2" ySplit="7" topLeftCell="W9" activePane="bottomRight" state="frozen"/>
      <selection pane="bottomRight" activeCell="C8" sqref="C8:AD8"/>
      <pageMargins left="0.7" right="0.7" top="0.75" bottom="0.75" header="0.3" footer="0.3"/>
      <pageSetup paperSize="9" orientation="portrait" horizontalDpi="300" verticalDpi="300" copies="0" r:id="rId3"/>
      <autoFilter ref="B1:AC1"/>
    </customSheetView>
    <customSheetView guid="{47AEACC4-6EA5-412C-AF39-A6C5357B313A}" scale="85" showGridLines="0" showAutoFilter="1" hiddenRows="1" hiddenColumns="1" topLeftCell="B2">
      <pane xSplit="2" ySplit="7" topLeftCell="D9" activePane="bottomRight" state="frozen"/>
      <selection pane="bottomRight" activeCell="I10" sqref="I10"/>
      <pageMargins left="0.7" right="0.7" top="0.75" bottom="0.75" header="0.3" footer="0.3"/>
      <pageSetup paperSize="9" orientation="portrait" horizontalDpi="300" verticalDpi="300" copies="0" r:id="rId4"/>
      <autoFilter ref="B1:AC1"/>
    </customSheetView>
    <customSheetView guid="{4D957B38-5430-481E-B791-E0A66F913B50}" scale="70">
      <selection activeCell="G29" sqref="G29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2" ySplit="7" topLeftCell="W9" activePane="bottomRight" state="frozen"/>
      <selection pane="bottomRight" activeCell="C8" sqref="C8:AD8"/>
      <pageMargins left="0.7" right="0.7" top="0.75" bottom="0.75" header="0.3" footer="0.3"/>
      <pageSetup paperSize="9" orientation="portrait" horizontalDpi="300" verticalDpi="300" copies="0" r:id="rId5"/>
      <autoFilter ref="B1:AC1"/>
    </customSheetView>
  </customSheetViews>
  <mergeCells count="29">
    <mergeCell ref="G5:G6"/>
    <mergeCell ref="L5:L6"/>
    <mergeCell ref="E5:E6"/>
    <mergeCell ref="C5:C7"/>
    <mergeCell ref="D5:D6"/>
    <mergeCell ref="F5:F6"/>
    <mergeCell ref="K5:K6"/>
    <mergeCell ref="H5:H6"/>
    <mergeCell ref="O5:O6"/>
    <mergeCell ref="I5:I6"/>
    <mergeCell ref="M5:M6"/>
    <mergeCell ref="AA5:AA6"/>
    <mergeCell ref="U5:U6"/>
    <mergeCell ref="S5:S6"/>
    <mergeCell ref="N5:N6"/>
    <mergeCell ref="P5:P6"/>
    <mergeCell ref="T5:T6"/>
    <mergeCell ref="J5:J6"/>
    <mergeCell ref="BC5:BJ5"/>
    <mergeCell ref="AM7:AN7"/>
    <mergeCell ref="AE5:AE6"/>
    <mergeCell ref="V5:X5"/>
    <mergeCell ref="Q5:Q6"/>
    <mergeCell ref="AB5:AB6"/>
    <mergeCell ref="AC5:AC6"/>
    <mergeCell ref="AD5:AD6"/>
    <mergeCell ref="Y5:Y6"/>
    <mergeCell ref="R5:R6"/>
    <mergeCell ref="Z5:Z6"/>
  </mergeCells>
  <phoneticPr fontId="0" type="noConversion"/>
  <dataValidations count="9">
    <dataValidation type="list" allowBlank="1" showInputMessage="1" showErrorMessage="1" sqref="T9:T19">
      <formula1>_2430</formula1>
    </dataValidation>
    <dataValidation type="list" allowBlank="1" showInputMessage="1" showErrorMessage="1" sqref="U9:U19">
      <formula1>_2422</formula1>
    </dataValidation>
    <dataValidation type="list" allowBlank="1" showInputMessage="1" showErrorMessage="1" sqref="V9:V19">
      <formula1>_2780</formula1>
    </dataValidation>
    <dataValidation type="list" allowBlank="1" showInputMessage="1" showErrorMessage="1" sqref="E9:E19">
      <formula1>_2610</formula1>
    </dataValidation>
    <dataValidation type="list" allowBlank="1" showInputMessage="1" showErrorMessage="1" sqref="R9:R19">
      <formula1>_6003</formula1>
    </dataValidation>
    <dataValidation type="list" allowBlank="1" showInputMessage="1" showErrorMessage="1" sqref="D9:D19">
      <formula1>_2420</formula1>
    </dataValidation>
    <dataValidation type="list" allowBlank="1" showInputMessage="1" showErrorMessage="1" sqref="S9:S19">
      <formula1>_2640</formula1>
    </dataValidation>
    <dataValidation type="list" allowBlank="1" showInputMessage="1" showErrorMessage="1" sqref="P9:P19">
      <formula1>_yn</formula1>
    </dataValidation>
    <dataValidation allowBlank="1" showInputMessage="1" showErrorMessage="1" prompt="Дата в формате ДД.ММ.ГГГГ (01.01.2014)" sqref="G9:G19 K9:L19 N9:N19 AA9:AD19"/>
  </dataValidations>
  <hyperlinks>
    <hyperlink ref="H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0" fitToWidth="2" orientation="landscape" horizontalDpi="300" vertic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57" r:id="rId9" name="Button 29">
              <controlPr defaultSize="0" print="0" autoFill="0" autoPict="0" macro="[0]!AddButtonsRowAdd">
                <anchor moveWithCells="1">
                  <from>
                    <xdr:col>3</xdr:col>
                    <xdr:colOff>152400</xdr:colOff>
                    <xdr:row>1</xdr:row>
                    <xdr:rowOff>152400</xdr:rowOff>
                  </from>
                  <to>
                    <xdr:col>4</xdr:col>
                    <xdr:colOff>146050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>
    <pageSetUpPr fitToPage="1"/>
  </sheetPr>
  <dimension ref="A1:AP31"/>
  <sheetViews>
    <sheetView topLeftCell="B2" zoomScale="63" zoomScaleNormal="63" workbookViewId="0">
      <selection activeCell="A2" sqref="A1:A1048576"/>
    </sheetView>
  </sheetViews>
  <sheetFormatPr defaultColWidth="15.453125" defaultRowHeight="14.5"/>
  <cols>
    <col min="1" max="1" width="31.7265625" style="32" hidden="1" customWidth="1"/>
    <col min="2" max="2" width="2.54296875" style="32" customWidth="1"/>
    <col min="3" max="3" width="29.453125" style="32" customWidth="1"/>
    <col min="4" max="4" width="36.453125" style="183" customWidth="1"/>
    <col min="5" max="5" width="26" style="183" customWidth="1"/>
    <col min="6" max="6" width="24.54296875" style="183" customWidth="1"/>
    <col min="7" max="7" width="23.54296875" style="183" customWidth="1"/>
    <col min="8" max="8" width="18.54296875" style="183" customWidth="1"/>
    <col min="9" max="9" width="31.453125" style="183" bestFit="1" customWidth="1"/>
    <col min="10" max="14" width="31.453125" style="183" customWidth="1"/>
    <col min="15" max="15" width="22.54296875" style="183" bestFit="1" customWidth="1"/>
    <col min="16" max="16" width="18.54296875" style="32" bestFit="1" customWidth="1"/>
    <col min="17" max="17" width="17.453125" style="32" customWidth="1"/>
    <col min="18" max="19" width="15.453125" style="32" customWidth="1"/>
    <col min="20" max="21" width="21.453125" style="32" customWidth="1"/>
    <col min="22" max="22" width="15.54296875" style="32" customWidth="1"/>
    <col min="23" max="23" width="12.54296875" style="32" bestFit="1" customWidth="1"/>
    <col min="24" max="24" width="17.453125" style="32" customWidth="1"/>
    <col min="25" max="26" width="15.453125" style="32" customWidth="1"/>
    <col min="27" max="27" width="39.54296875" style="32" customWidth="1"/>
    <col min="28" max="28" width="11.453125" style="32" customWidth="1"/>
    <col min="29" max="36" width="9.453125" style="32" customWidth="1"/>
    <col min="37" max="37" width="40.81640625" style="32" customWidth="1"/>
    <col min="38" max="38" width="12.81640625" style="32" customWidth="1"/>
    <col min="39" max="39" width="15.81640625" style="32" customWidth="1"/>
    <col min="40" max="240" width="9.453125" style="32" customWidth="1"/>
    <col min="241" max="241" width="5.54296875" style="32" customWidth="1"/>
    <col min="242" max="242" width="16.453125" style="32" customWidth="1"/>
    <col min="243" max="245" width="15.453125" style="32" customWidth="1"/>
    <col min="246" max="246" width="25.54296875" style="32" customWidth="1"/>
    <col min="247" max="16384" width="15.453125" style="32"/>
  </cols>
  <sheetData>
    <row r="1" spans="1:42" ht="26.25" hidden="1" customHeight="1">
      <c r="A1" s="167" t="s">
        <v>2826</v>
      </c>
      <c r="B1" s="22"/>
      <c r="C1" s="22"/>
      <c r="D1" s="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6" t="s">
        <v>1015</v>
      </c>
      <c r="Q1" s="6" t="s">
        <v>1016</v>
      </c>
      <c r="R1" s="6" t="s">
        <v>1017</v>
      </c>
      <c r="S1" s="6" t="s">
        <v>1018</v>
      </c>
      <c r="T1" s="6" t="s">
        <v>1019</v>
      </c>
      <c r="U1" s="6" t="s">
        <v>1025</v>
      </c>
      <c r="V1" s="6" t="s">
        <v>1020</v>
      </c>
      <c r="W1" s="6" t="s">
        <v>1021</v>
      </c>
      <c r="X1" s="6" t="s">
        <v>1022</v>
      </c>
      <c r="Y1" s="6" t="s">
        <v>1023</v>
      </c>
      <c r="Z1" s="6" t="s">
        <v>512</v>
      </c>
      <c r="AA1" s="6" t="s">
        <v>1024</v>
      </c>
    </row>
    <row r="2" spans="1:42" s="774" customFormat="1" ht="12.5">
      <c r="A2" s="748"/>
      <c r="P2" s="774" t="s">
        <v>1648</v>
      </c>
      <c r="Q2" s="774" t="s">
        <v>1648</v>
      </c>
      <c r="R2" s="774" t="s">
        <v>1648</v>
      </c>
      <c r="S2" s="774" t="s">
        <v>1648</v>
      </c>
      <c r="T2" s="774" t="s">
        <v>1648</v>
      </c>
      <c r="V2" s="774" t="s">
        <v>1648</v>
      </c>
      <c r="W2" s="774" t="s">
        <v>1648</v>
      </c>
      <c r="X2" s="774" t="s">
        <v>1648</v>
      </c>
      <c r="Y2" s="774" t="s">
        <v>1648</v>
      </c>
      <c r="Z2" s="774" t="s">
        <v>1648</v>
      </c>
      <c r="AA2" s="774" t="s">
        <v>1648</v>
      </c>
    </row>
    <row r="3" spans="1:42" s="24" customFormat="1" ht="26">
      <c r="A3" s="9"/>
      <c r="D3" s="168"/>
      <c r="E3" s="168"/>
      <c r="F3" s="168"/>
      <c r="G3" s="1897" t="s">
        <v>2067</v>
      </c>
      <c r="H3" s="1244">
        <f>Содержание!$D$2</f>
        <v>0</v>
      </c>
      <c r="I3" s="168"/>
      <c r="J3" s="168"/>
      <c r="K3" s="168"/>
      <c r="L3" s="168"/>
      <c r="M3" s="168"/>
      <c r="N3" s="168"/>
      <c r="Z3" s="168"/>
      <c r="AA3" s="168"/>
    </row>
    <row r="4" spans="1:42" s="24" customFormat="1" ht="39.75" customHeight="1" thickBot="1">
      <c r="A4" s="9"/>
      <c r="C4" s="549" t="s">
        <v>4406</v>
      </c>
      <c r="E4" s="168"/>
      <c r="F4" s="168"/>
      <c r="G4" s="1897" t="s">
        <v>2075</v>
      </c>
      <c r="H4" s="1244" t="str">
        <f>Содержание!$D$15</f>
        <v>2022 год</v>
      </c>
      <c r="I4" s="3044" t="s">
        <v>1436</v>
      </c>
      <c r="J4" s="1202"/>
      <c r="K4" s="1202"/>
      <c r="L4" s="1202"/>
      <c r="M4" s="1202"/>
      <c r="N4" s="1202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</row>
    <row r="5" spans="1:42" s="24" customFormat="1" ht="26.25" customHeight="1" thickBot="1">
      <c r="A5" s="9"/>
      <c r="C5" s="3675" t="s">
        <v>1792</v>
      </c>
      <c r="D5" s="3677" t="s">
        <v>5381</v>
      </c>
      <c r="E5" s="3677" t="s">
        <v>5531</v>
      </c>
      <c r="F5" s="3783" t="s">
        <v>8394</v>
      </c>
      <c r="G5" s="3677" t="s">
        <v>5382</v>
      </c>
      <c r="H5" s="3677" t="s">
        <v>5383</v>
      </c>
      <c r="I5" s="3677" t="s">
        <v>5384</v>
      </c>
      <c r="J5" s="3677" t="s">
        <v>7698</v>
      </c>
      <c r="K5" s="3677" t="s">
        <v>7699</v>
      </c>
      <c r="L5" s="3677" t="s">
        <v>5385</v>
      </c>
      <c r="M5" s="3677" t="s">
        <v>5386</v>
      </c>
      <c r="N5" s="3677" t="s">
        <v>5387</v>
      </c>
      <c r="O5" s="3849" t="s">
        <v>4664</v>
      </c>
      <c r="P5" s="3679" t="s">
        <v>5388</v>
      </c>
      <c r="Q5" s="3773"/>
      <c r="R5" s="3773"/>
      <c r="S5" s="3773"/>
      <c r="T5" s="3773"/>
      <c r="U5" s="3773"/>
      <c r="V5" s="3773"/>
      <c r="W5" s="3773"/>
      <c r="X5" s="3773"/>
      <c r="Y5" s="3773"/>
      <c r="Z5" s="3773"/>
      <c r="AA5" s="3787"/>
      <c r="AK5" s="3845" t="s">
        <v>10251</v>
      </c>
      <c r="AL5" s="3848" t="s">
        <v>4763</v>
      </c>
      <c r="AM5" s="3848" t="s">
        <v>4764</v>
      </c>
    </row>
    <row r="6" spans="1:42" s="24" customFormat="1" ht="52">
      <c r="A6" s="9"/>
      <c r="C6" s="3675"/>
      <c r="D6" s="3677"/>
      <c r="E6" s="3677"/>
      <c r="F6" s="3807"/>
      <c r="G6" s="3677"/>
      <c r="H6" s="3677"/>
      <c r="I6" s="3677"/>
      <c r="J6" s="3775"/>
      <c r="K6" s="3775"/>
      <c r="L6" s="3775"/>
      <c r="M6" s="3775"/>
      <c r="N6" s="3775"/>
      <c r="O6" s="3849"/>
      <c r="P6" s="39" t="s">
        <v>5225</v>
      </c>
      <c r="Q6" s="15" t="s">
        <v>1696</v>
      </c>
      <c r="R6" s="15" t="s">
        <v>1691</v>
      </c>
      <c r="S6" s="15" t="s">
        <v>5392</v>
      </c>
      <c r="T6" s="15" t="s">
        <v>8034</v>
      </c>
      <c r="U6" s="15" t="s">
        <v>1702</v>
      </c>
      <c r="V6" s="15" t="s">
        <v>5498</v>
      </c>
      <c r="W6" s="799" t="s">
        <v>5393</v>
      </c>
      <c r="X6" s="15" t="s">
        <v>4405</v>
      </c>
      <c r="Y6" s="15" t="s">
        <v>5394</v>
      </c>
      <c r="Z6" s="39" t="s">
        <v>5233</v>
      </c>
      <c r="AA6" s="39" t="s">
        <v>5397</v>
      </c>
      <c r="AK6" s="3846"/>
      <c r="AL6" s="3846"/>
      <c r="AM6" s="3846"/>
    </row>
    <row r="7" spans="1:42" s="24" customFormat="1" ht="13">
      <c r="A7" s="9"/>
      <c r="C7" s="515"/>
      <c r="D7" s="99"/>
      <c r="E7" s="15"/>
      <c r="F7" s="159" t="s">
        <v>5247</v>
      </c>
      <c r="G7" s="15" t="s">
        <v>4219</v>
      </c>
      <c r="H7" s="15" t="s">
        <v>4219</v>
      </c>
      <c r="I7" s="15" t="s">
        <v>3009</v>
      </c>
      <c r="J7" s="833"/>
      <c r="K7" s="833"/>
      <c r="L7" s="833"/>
      <c r="M7" s="833"/>
      <c r="N7" s="833"/>
      <c r="O7" s="799" t="s">
        <v>5250</v>
      </c>
      <c r="P7" s="15" t="s">
        <v>672</v>
      </c>
      <c r="Q7" s="16" t="s">
        <v>1697</v>
      </c>
      <c r="R7" s="16" t="s">
        <v>5401</v>
      </c>
      <c r="S7" s="16" t="s">
        <v>5402</v>
      </c>
      <c r="T7" s="16" t="s">
        <v>1348</v>
      </c>
      <c r="U7" s="906" t="s">
        <v>5403</v>
      </c>
      <c r="V7" s="16" t="s">
        <v>5404</v>
      </c>
      <c r="W7" s="714" t="s">
        <v>5405</v>
      </c>
      <c r="X7" s="16" t="s">
        <v>3967</v>
      </c>
      <c r="Y7" s="16" t="s">
        <v>5406</v>
      </c>
      <c r="Z7" s="16" t="s">
        <v>673</v>
      </c>
      <c r="AA7" s="16"/>
      <c r="AK7" s="3847"/>
      <c r="AL7" s="3807"/>
      <c r="AM7" s="3807"/>
    </row>
    <row r="8" spans="1:42" s="698" customFormat="1" ht="11.5">
      <c r="A8" s="668"/>
      <c r="B8" s="678"/>
      <c r="C8" s="1662" t="s">
        <v>4164</v>
      </c>
      <c r="D8" s="1663" t="s">
        <v>4165</v>
      </c>
      <c r="E8" s="1664" t="s">
        <v>4166</v>
      </c>
      <c r="F8" s="1664" t="s">
        <v>5500</v>
      </c>
      <c r="G8" s="1664" t="s">
        <v>4169</v>
      </c>
      <c r="H8" s="1664" t="s">
        <v>4168</v>
      </c>
      <c r="I8" s="1664" t="s">
        <v>4178</v>
      </c>
      <c r="J8" s="1349" t="s">
        <v>4179</v>
      </c>
      <c r="K8" s="1349" t="s">
        <v>4167</v>
      </c>
      <c r="L8" s="1349" t="s">
        <v>5501</v>
      </c>
      <c r="M8" s="1349" t="s">
        <v>4701</v>
      </c>
      <c r="N8" s="1349" t="s">
        <v>4702</v>
      </c>
      <c r="O8" s="1349" t="s">
        <v>4703</v>
      </c>
      <c r="P8" s="1349" t="s">
        <v>5502</v>
      </c>
      <c r="Q8" s="1349" t="s">
        <v>5503</v>
      </c>
      <c r="R8" s="1349" t="s">
        <v>5504</v>
      </c>
      <c r="S8" s="1349" t="s">
        <v>4853</v>
      </c>
      <c r="T8" s="1349" t="s">
        <v>4852</v>
      </c>
      <c r="U8" s="1349" t="s">
        <v>5505</v>
      </c>
      <c r="V8" s="1349" t="s">
        <v>4851</v>
      </c>
      <c r="W8" s="1349" t="s">
        <v>5506</v>
      </c>
      <c r="X8" s="1349" t="s">
        <v>4850</v>
      </c>
      <c r="Y8" s="1349" t="s">
        <v>3303</v>
      </c>
      <c r="Z8" s="1349" t="s">
        <v>3304</v>
      </c>
      <c r="AA8" s="1349" t="s">
        <v>3305</v>
      </c>
      <c r="AK8" s="3334" t="b">
        <f>AND(AK11:AK1700)</f>
        <v>1</v>
      </c>
    </row>
    <row r="9" spans="1:42" s="24" customFormat="1" ht="13">
      <c r="A9" s="9"/>
      <c r="C9" s="1197" t="s">
        <v>3066</v>
      </c>
      <c r="D9" s="1198" t="s">
        <v>4170</v>
      </c>
      <c r="E9" s="175" t="s">
        <v>4184</v>
      </c>
      <c r="F9" s="175" t="s">
        <v>4184</v>
      </c>
      <c r="G9" s="175" t="s">
        <v>4184</v>
      </c>
      <c r="H9" s="175" t="s">
        <v>4184</v>
      </c>
      <c r="I9" s="175" t="s">
        <v>4184</v>
      </c>
      <c r="J9" s="892" t="s">
        <v>4184</v>
      </c>
      <c r="K9" s="892" t="s">
        <v>4184</v>
      </c>
      <c r="L9" s="892" t="s">
        <v>4184</v>
      </c>
      <c r="M9" s="892" t="s">
        <v>4184</v>
      </c>
      <c r="N9" s="892" t="s">
        <v>4184</v>
      </c>
      <c r="O9" s="175" t="s">
        <v>4184</v>
      </c>
      <c r="P9" s="177">
        <f t="shared" ref="P9:AA9" si="0">SUM(P10:P65533)</f>
        <v>0</v>
      </c>
      <c r="Q9" s="177">
        <f t="shared" si="0"/>
        <v>0</v>
      </c>
      <c r="R9" s="177">
        <f t="shared" si="0"/>
        <v>0</v>
      </c>
      <c r="S9" s="177">
        <f t="shared" si="0"/>
        <v>0</v>
      </c>
      <c r="T9" s="177">
        <f t="shared" si="0"/>
        <v>0</v>
      </c>
      <c r="U9" s="177">
        <f t="shared" si="0"/>
        <v>0</v>
      </c>
      <c r="V9" s="177">
        <f t="shared" si="0"/>
        <v>0</v>
      </c>
      <c r="W9" s="177">
        <f t="shared" si="0"/>
        <v>0</v>
      </c>
      <c r="X9" s="177">
        <f t="shared" si="0"/>
        <v>0</v>
      </c>
      <c r="Y9" s="177">
        <f t="shared" si="0"/>
        <v>0</v>
      </c>
      <c r="Z9" s="177">
        <f t="shared" si="0"/>
        <v>0</v>
      </c>
      <c r="AA9" s="177">
        <f t="shared" si="0"/>
        <v>0</v>
      </c>
    </row>
    <row r="10" spans="1:42" s="24" customFormat="1" ht="72.5">
      <c r="A10" s="9" t="str">
        <f>"R50=7706664260X"&amp;";R3="&amp;";R4=2090200;R13=31;COM="</f>
        <v>R50=7706664260X;R3=;R4=2090200;R13=31;COM=</v>
      </c>
      <c r="B10" s="113"/>
      <c r="C10" s="1199" t="s">
        <v>3066</v>
      </c>
      <c r="D10" s="1200" t="s">
        <v>9659</v>
      </c>
      <c r="E10" s="175" t="s">
        <v>4184</v>
      </c>
      <c r="F10" s="175" t="s">
        <v>4184</v>
      </c>
      <c r="G10" s="175" t="s">
        <v>4184</v>
      </c>
      <c r="H10" s="175" t="s">
        <v>4184</v>
      </c>
      <c r="I10" s="175" t="s">
        <v>4184</v>
      </c>
      <c r="J10" s="892" t="s">
        <v>4184</v>
      </c>
      <c r="K10" s="892" t="s">
        <v>4184</v>
      </c>
      <c r="L10" s="892" t="s">
        <v>4184</v>
      </c>
      <c r="M10" s="892" t="s">
        <v>4184</v>
      </c>
      <c r="N10" s="892" t="s">
        <v>4184</v>
      </c>
      <c r="O10" s="175" t="s">
        <v>4184</v>
      </c>
      <c r="P10" s="1434"/>
      <c r="Q10" s="1434"/>
      <c r="R10" s="178"/>
      <c r="S10" s="178"/>
      <c r="T10" s="1434"/>
      <c r="U10" s="1434"/>
      <c r="V10" s="178"/>
      <c r="W10" s="178"/>
      <c r="X10" s="178"/>
      <c r="Y10" s="178"/>
      <c r="Z10" s="177">
        <f t="shared" ref="Z10:Z17" si="1">SUM(P10:Y10)</f>
        <v>0</v>
      </c>
      <c r="AA10" s="178"/>
    </row>
    <row r="11" spans="1:42" s="24" customFormat="1" ht="72.5">
      <c r="A11" s="2427" t="str">
        <f>"R50=7706664260X"&amp;";R3="&amp;";R4=2090200;R13=33;COM="</f>
        <v>R50=7706664260X;R3=;R4=2090200;R13=33;COM=</v>
      </c>
      <c r="B11" s="113"/>
      <c r="C11" s="1199" t="s">
        <v>3066</v>
      </c>
      <c r="D11" s="1200" t="s">
        <v>9660</v>
      </c>
      <c r="E11" s="175" t="s">
        <v>4184</v>
      </c>
      <c r="F11" s="175" t="s">
        <v>4184</v>
      </c>
      <c r="G11" s="175" t="s">
        <v>4184</v>
      </c>
      <c r="H11" s="175" t="s">
        <v>4184</v>
      </c>
      <c r="I11" s="175" t="s">
        <v>4184</v>
      </c>
      <c r="J11" s="892" t="s">
        <v>4184</v>
      </c>
      <c r="K11" s="892" t="s">
        <v>4184</v>
      </c>
      <c r="L11" s="892" t="s">
        <v>4184</v>
      </c>
      <c r="M11" s="892" t="s">
        <v>4184</v>
      </c>
      <c r="N11" s="892" t="s">
        <v>4184</v>
      </c>
      <c r="O11" s="175" t="s">
        <v>4184</v>
      </c>
      <c r="P11" s="1434"/>
      <c r="Q11" s="1434"/>
      <c r="R11" s="178"/>
      <c r="S11" s="178"/>
      <c r="T11" s="1434"/>
      <c r="U11" s="1434"/>
      <c r="V11" s="178"/>
      <c r="W11" s="178"/>
      <c r="X11" s="178"/>
      <c r="Y11" s="178"/>
      <c r="Z11" s="177">
        <f t="shared" ref="Z11" si="2">SUM(P11:Y11)</f>
        <v>0</v>
      </c>
      <c r="AA11" s="178"/>
      <c r="AK11" s="2225" t="b">
        <v>1</v>
      </c>
    </row>
    <row r="12" spans="1:42" s="24" customFormat="1" ht="81" customHeight="1">
      <c r="A12" s="9" t="str">
        <f>"R50="&amp;C12&amp;";R3="&amp;";R4="&amp;IFERROR(MID(N12,FIND("{",N12)+1,FIND("}",N12)-FIND("{",N12)-1),"")&amp;";R36="&amp;MID(F12,1,30)&amp;";R43="&amp;MID(E12,1,30)&amp;";COM="</f>
        <v>R50=;R3=;R4=;R36=;R43=;COM=</v>
      </c>
      <c r="B12" s="565"/>
      <c r="C12" s="1456"/>
      <c r="D12" s="1665" t="str">
        <f>IF(ISERROR(VLOOKUP(C12,Фин_договоры!$C$9:$R$32367,6,0)),"",VLOOKUP(C12,Фин_договоры!$C$9:$R$32367,6,0))</f>
        <v/>
      </c>
      <c r="E12" s="1666" t="str">
        <f>IF(ISERROR(VLOOKUP(C12,Фин_договоры!$C$9:$R$32367,7,0)),"",VLOOKUP(C12,Фин_договоры!$C$9:$R$32367,7,0))</f>
        <v/>
      </c>
      <c r="F12" s="1666" t="str">
        <f>IF(ISERROR(VLOOKUP(C12,Фин_договоры!$C$9:$R$32367,8,0)),"",VLOOKUP(C12,Фин_договоры!$C$9:$R$32367,8,0))</f>
        <v/>
      </c>
      <c r="G12" s="1666" t="str">
        <f>IF(ISERROR(VLOOKUP(C12,Фин_договоры!$C$9:$R$32367,4,0)),"",VLOOKUP(C12,Фин_договоры!$C$9:$R$32367,4,0))</f>
        <v/>
      </c>
      <c r="H12" s="1667" t="str">
        <f>IF(ISERROR(VLOOKUP(C12,Фин_договоры!$C$9:$R$32367,9,0)),"",VLOOKUP(C12,Фин_договоры!$C$9:$R$32367,9,0))</f>
        <v/>
      </c>
      <c r="I12" s="1668" t="str">
        <f>IF(ISERROR(VLOOKUP(C12,Фин_договоры!$C$9:$U$32367,2,0)),"",VLOOKUP(C12,Фин_договоры!$C$9:$U$32367,2,0))</f>
        <v/>
      </c>
      <c r="J12" s="1671" t="str">
        <f>IF(ISERROR(VLOOKUP(C12,Фин_договоры!$C$9:$U$32367,10,0)),"",VLOOKUP(C12,Фин_договоры!$C$9:$U$32367,10,0))</f>
        <v/>
      </c>
      <c r="K12" s="1671" t="str">
        <f>IF(ISERROR(VLOOKUP(C12,Фин_договоры!$C$9:$U$32367,12,0)),"",VLOOKUP(C12,Фин_договоры!$C$9:$U$32367,12,0))</f>
        <v/>
      </c>
      <c r="L12" s="1670" t="str">
        <f>IF(ISERROR(VLOOKUP(C12,Фин_договоры!$C$9:$U$32367,14,0)),"",VLOOKUP(C12,Фин_договоры!$C$9:$U$32367,14,0))</f>
        <v/>
      </c>
      <c r="M12" s="1670" t="str">
        <f>IF(ISERROR(VLOOKUP(C12,Фин_договоры!$C$9:$U$32367,15,0)),"",VLOOKUP(C12,Фин_договоры!$C$9:$U$32367,15,0))</f>
        <v/>
      </c>
      <c r="N12" s="2661"/>
      <c r="O12" s="1668" t="str">
        <f>IF(ISERROR(VLOOKUP(C12,Фин_договоры!$C$9:$U$32367,16,0)),"",VLOOKUP(C12,Фин_договоры!$C$9:$U$32367,16,0))</f>
        <v/>
      </c>
      <c r="P12" s="1457"/>
      <c r="Q12" s="1457"/>
      <c r="R12" s="1457"/>
      <c r="S12" s="1458"/>
      <c r="T12" s="1458"/>
      <c r="U12" s="1458"/>
      <c r="V12" s="1458"/>
      <c r="W12" s="1458"/>
      <c r="X12" s="1458"/>
      <c r="Y12" s="1458"/>
      <c r="Z12" s="177">
        <f t="shared" si="1"/>
        <v>0</v>
      </c>
      <c r="AA12" s="1458"/>
      <c r="AC12" s="2130" t="b">
        <f t="shared" ref="AC12:AC30" si="3">IF(OR(I12=$AE$12,I12=$AE$13,I12=$AE$14,COUNTBLANK(P12:Y12)=10),TRUE,FALSE)</f>
        <v>1</v>
      </c>
      <c r="AE12" s="2036" t="s">
        <v>7145</v>
      </c>
      <c r="AK12" s="3333" t="str">
        <f t="shared" ref="AK12:AK31" si="4">IF(OR(I12="",I12&lt;&gt;$AE$14),"",IF(I12=$AE$14,OR(AL12="да",AM12="да"),0))</f>
        <v/>
      </c>
      <c r="AL12" s="3333" t="str">
        <f>IF(IFERROR(VLOOKUP(AN12,Список_компаний!$C:$I,6,0),"")=0,"",IFERROR(VLOOKUP(AN12,Список_компаний!$C:$I,6,0),""))</f>
        <v/>
      </c>
      <c r="AM12" s="3333" t="str">
        <f>IF(IFERROR(VLOOKUP(AN12,Список_компаний!$C:$I,7,0),"")=0,"",IFERROR(VLOOKUP(AN12,Список_компаний!$C:$I,7,0),""))</f>
        <v/>
      </c>
      <c r="AN12" s="1666" t="str">
        <f t="shared" ref="AN12:AN30" si="5">IF(OR(IF(TEXT(LEFT(F12,1),"0")="0",TRUE,FALSE),ISERROR(F12*1)),F12,F12*1)</f>
        <v/>
      </c>
    </row>
    <row r="13" spans="1:42" s="24" customFormat="1">
      <c r="A13" s="2427" t="str">
        <f t="shared" ref="A13:A31" si="6">"R50="&amp;C13&amp;";R3="&amp;";R4="&amp;IFERROR(MID(N13,FIND("{",N13)+1,FIND("}",N13)-FIND("{",N13)-1),"")&amp;";R36="&amp;MID(F13,1,30)&amp;";R43="&amp;MID(E13,1,30)&amp;";COM="</f>
        <v>R50=;R3=;R4=;R36=;R43=;COM=</v>
      </c>
      <c r="B13" s="565"/>
      <c r="C13" s="1456"/>
      <c r="D13" s="1665" t="str">
        <f>IF(ISERROR(VLOOKUP(C13,Фин_договоры!$C$9:$R$32367,6,0)),"",VLOOKUP(C13,Фин_договоры!$C$9:$R$32367,6,0))</f>
        <v/>
      </c>
      <c r="E13" s="1666" t="str">
        <f>IF(ISERROR(VLOOKUP(C13,Фин_договоры!$C$9:$R$32367,7,0)),"",VLOOKUP(C13,Фин_договоры!$C$9:$R$32367,7,0))</f>
        <v/>
      </c>
      <c r="F13" s="1666" t="str">
        <f>IF(ISERROR(VLOOKUP(C13,Фин_договоры!$C$9:$R$32367,8,0)),"",VLOOKUP(C13,Фин_договоры!$C$9:$R$32367,8,0))</f>
        <v/>
      </c>
      <c r="G13" s="1666" t="str">
        <f>IF(ISERROR(VLOOKUP(C13,Фин_договоры!$C$9:$R$32367,4,0)),"",VLOOKUP(C13,Фин_договоры!$C$9:$R$32367,4,0))</f>
        <v/>
      </c>
      <c r="H13" s="1667" t="str">
        <f>IF(ISERROR(VLOOKUP(C13,Фин_договоры!$C$9:$R$32367,9,0)),"",VLOOKUP(C13,Фин_договоры!$C$9:$R$32367,9,0))</f>
        <v/>
      </c>
      <c r="I13" s="1668" t="str">
        <f>IF(ISERROR(VLOOKUP(C13,Фин_договоры!$C$9:$U$32367,2,0)),"",VLOOKUP(C13,Фин_договоры!$C$9:$U$32367,2,0))</f>
        <v/>
      </c>
      <c r="J13" s="1671" t="str">
        <f>IF(ISERROR(VLOOKUP(C13,Фин_договоры!$C$9:$U$32367,10,0)),"",VLOOKUP(C13,Фин_договоры!$C$9:$U$32367,10,0))</f>
        <v/>
      </c>
      <c r="K13" s="1671" t="str">
        <f>IF(ISERROR(VLOOKUP(C13,Фин_договоры!$C$9:$U$32367,12,0)),"",VLOOKUP(C13,Фин_договоры!$C$9:$U$32367,12,0))</f>
        <v/>
      </c>
      <c r="L13" s="1670" t="str">
        <f>IF(ISERROR(VLOOKUP(C13,Фин_договоры!$C$9:$U$32367,14,0)),"",VLOOKUP(C13,Фин_договоры!$C$9:$U$32367,14,0))</f>
        <v/>
      </c>
      <c r="M13" s="1670" t="str">
        <f>IF(ISERROR(VLOOKUP(C13,Фин_договоры!$C$9:$U$32367,15,0)),"",VLOOKUP(C13,Фин_договоры!$C$9:$U$32367,15,0))</f>
        <v/>
      </c>
      <c r="N13" s="2661"/>
      <c r="O13" s="1668" t="str">
        <f>IF(ISERROR(VLOOKUP(C13,Фин_договоры!$C$9:$U$32367,16,0)),"",VLOOKUP(C13,Фин_договоры!$C$9:$U$32367,16,0))</f>
        <v/>
      </c>
      <c r="P13" s="1457"/>
      <c r="Q13" s="1457"/>
      <c r="R13" s="1457"/>
      <c r="S13" s="1458"/>
      <c r="T13" s="1458"/>
      <c r="U13" s="1458"/>
      <c r="V13" s="1458"/>
      <c r="W13" s="1458"/>
      <c r="X13" s="1458"/>
      <c r="Y13" s="1458"/>
      <c r="Z13" s="177">
        <f t="shared" si="1"/>
        <v>0</v>
      </c>
      <c r="AA13" s="1458"/>
      <c r="AC13" s="2130" t="b">
        <f t="shared" si="3"/>
        <v>1</v>
      </c>
      <c r="AE13" s="1996" t="s">
        <v>3003</v>
      </c>
      <c r="AK13" s="3333" t="str">
        <f t="shared" si="4"/>
        <v/>
      </c>
      <c r="AL13" s="3333" t="str">
        <f>IF(IFERROR(VLOOKUP(AN13,Список_компаний!$C:$I,6,0),"")=0,"",IFERROR(VLOOKUP(AN13,Список_компаний!$C:$I,6,0),""))</f>
        <v/>
      </c>
      <c r="AM13" s="3333" t="str">
        <f>IF(IFERROR(VLOOKUP(AN13,Список_компаний!$C:$I,7,0),"")=0,"",IFERROR(VLOOKUP(AN13,Список_компаний!$C:$I,7,0),""))</f>
        <v/>
      </c>
      <c r="AN13" s="1666" t="str">
        <f t="shared" si="5"/>
        <v/>
      </c>
      <c r="AP13" s="24" t="str">
        <f>IFERROR(VLOOKUP(AN13,Список_компаний!$C:$I,6,0),"")</f>
        <v/>
      </c>
    </row>
    <row r="14" spans="1:42" s="24" customFormat="1" ht="15" customHeight="1">
      <c r="A14" s="2427" t="str">
        <f t="shared" si="6"/>
        <v>R50=;R3=;R4=;R36=;R43=;COM=</v>
      </c>
      <c r="B14" s="565"/>
      <c r="C14" s="1456"/>
      <c r="D14" s="1665" t="str">
        <f>IF(ISERROR(VLOOKUP(C14,Фин_договоры!$C$9:$R$32367,6,0)),"",VLOOKUP(C14,Фин_договоры!$C$9:$R$32367,6,0))</f>
        <v/>
      </c>
      <c r="E14" s="1666" t="str">
        <f>IF(ISERROR(VLOOKUP(C14,Фин_договоры!$C$9:$R$32367,7,0)),"",VLOOKUP(C14,Фин_договоры!$C$9:$R$32367,7,0))</f>
        <v/>
      </c>
      <c r="F14" s="1666" t="str">
        <f>IF(ISERROR(VLOOKUP(C14,Фин_договоры!$C$9:$R$32367,8,0)),"",VLOOKUP(C14,Фин_договоры!$C$9:$R$32367,8,0))</f>
        <v/>
      </c>
      <c r="G14" s="1666" t="str">
        <f>IF(ISERROR(VLOOKUP(C14,Фин_договоры!$C$9:$R$32367,4,0)),"",VLOOKUP(C14,Фин_договоры!$C$9:$R$32367,4,0))</f>
        <v/>
      </c>
      <c r="H14" s="1667" t="str">
        <f>IF(ISERROR(VLOOKUP(C14,Фин_договоры!$C$9:$R$32367,9,0)),"",VLOOKUP(C14,Фин_договоры!$C$9:$R$32367,9,0))</f>
        <v/>
      </c>
      <c r="I14" s="1668" t="str">
        <f>IF(ISERROR(VLOOKUP(C14,Фин_договоры!$C$9:$U$32367,2,0)),"",VLOOKUP(C14,Фин_договоры!$C$9:$U$32367,2,0))</f>
        <v/>
      </c>
      <c r="J14" s="1671" t="str">
        <f>IF(ISERROR(VLOOKUP(C14,Фин_договоры!$C$9:$U$32367,10,0)),"",VLOOKUP(C14,Фин_договоры!$C$9:$U$32367,10,0))</f>
        <v/>
      </c>
      <c r="K14" s="1671" t="str">
        <f>IF(ISERROR(VLOOKUP(C14,Фин_договоры!$C$9:$U$32367,12,0)),"",VLOOKUP(C14,Фин_договоры!$C$9:$U$32367,12,0))</f>
        <v/>
      </c>
      <c r="L14" s="1670" t="str">
        <f>IF(ISERROR(VLOOKUP(C14,Фин_договоры!$C$9:$U$32367,14,0)),"",VLOOKUP(C14,Фин_договоры!$C$9:$U$32367,14,0))</f>
        <v/>
      </c>
      <c r="M14" s="1670" t="str">
        <f>IF(ISERROR(VLOOKUP(C14,Фин_договоры!$C$9:$U$32367,15,0)),"",VLOOKUP(C14,Фин_договоры!$C$9:$U$32367,15,0))</f>
        <v/>
      </c>
      <c r="N14" s="2661"/>
      <c r="O14" s="1668" t="str">
        <f>IF(ISERROR(VLOOKUP(C14,Фин_договоры!$C$9:$U$32367,16,0)),"",VLOOKUP(C14,Фин_договоры!$C$9:$U$32367,16,0))</f>
        <v/>
      </c>
      <c r="P14" s="1457"/>
      <c r="Q14" s="1457"/>
      <c r="R14" s="1457"/>
      <c r="S14" s="1458"/>
      <c r="T14" s="1458"/>
      <c r="U14" s="1458"/>
      <c r="V14" s="1458"/>
      <c r="W14" s="1458"/>
      <c r="X14" s="1458"/>
      <c r="Y14" s="1458"/>
      <c r="Z14" s="177">
        <f t="shared" si="1"/>
        <v>0</v>
      </c>
      <c r="AA14" s="1458"/>
      <c r="AC14" s="2130" t="b">
        <f t="shared" si="3"/>
        <v>1</v>
      </c>
      <c r="AE14" s="2036" t="s">
        <v>7146</v>
      </c>
      <c r="AK14" s="3333" t="str">
        <f t="shared" si="4"/>
        <v/>
      </c>
      <c r="AL14" s="3333" t="str">
        <f>IF(IFERROR(VLOOKUP(AN14,Список_компаний!$C:$I,6,0),"")=0,"",IFERROR(VLOOKUP(AN14,Список_компаний!$C:$I,6,0),""))</f>
        <v/>
      </c>
      <c r="AM14" s="3333" t="str">
        <f>IF(IFERROR(VLOOKUP(AN14,Список_компаний!$C:$I,7,0),"")=0,"",IFERROR(VLOOKUP(AN14,Список_компаний!$C:$I,7,0),""))</f>
        <v/>
      </c>
      <c r="AN14" s="1666" t="str">
        <f t="shared" si="5"/>
        <v/>
      </c>
    </row>
    <row r="15" spans="1:42" s="24" customFormat="1">
      <c r="A15" s="2427" t="str">
        <f t="shared" si="6"/>
        <v>R50=;R3=;R4=;R36=;R43=;COM=</v>
      </c>
      <c r="B15" s="565" t="s">
        <v>5536</v>
      </c>
      <c r="C15" s="1456"/>
      <c r="D15" s="1665" t="str">
        <f>IF(ISERROR(VLOOKUP(C15,Фин_договоры!$C$9:$R$32367,6,0)),"",VLOOKUP(C15,Фин_договоры!$C$9:$R$32367,6,0))</f>
        <v/>
      </c>
      <c r="E15" s="1666" t="str">
        <f>IF(ISERROR(VLOOKUP(C15,Фин_договоры!$C$9:$R$32367,7,0)),"",VLOOKUP(C15,Фин_договоры!$C$9:$R$32367,7,0))</f>
        <v/>
      </c>
      <c r="F15" s="1666" t="str">
        <f>IF(ISERROR(VLOOKUP(C15,Фин_договоры!$C$9:$R$32367,8,0)),"",VLOOKUP(C15,Фин_договоры!$C$9:$R$32367,8,0))</f>
        <v/>
      </c>
      <c r="G15" s="1666" t="str">
        <f>IF(ISERROR(VLOOKUP(C15,Фин_договоры!$C$9:$R$32367,4,0)),"",VLOOKUP(C15,Фин_договоры!$C$9:$R$32367,4,0))</f>
        <v/>
      </c>
      <c r="H15" s="1667" t="str">
        <f>IF(ISERROR(VLOOKUP(C15,Фин_договоры!$C$9:$R$32367,9,0)),"",VLOOKUP(C15,Фин_договоры!$C$9:$R$32367,9,0))</f>
        <v/>
      </c>
      <c r="I15" s="1668" t="str">
        <f>IF(ISERROR(VLOOKUP(C15,Фин_договоры!$C$9:$U$32367,2,0)),"",VLOOKUP(C15,Фин_договоры!$C$9:$U$32367,2,0))</f>
        <v/>
      </c>
      <c r="J15" s="1671" t="str">
        <f>IF(ISERROR(VLOOKUP(C15,Фин_договоры!$C$9:$U$32367,10,0)),"",VLOOKUP(C15,Фин_договоры!$C$9:$U$32367,10,0))</f>
        <v/>
      </c>
      <c r="K15" s="1671" t="str">
        <f>IF(ISERROR(VLOOKUP(C15,Фин_договоры!$C$9:$U$32367,12,0)),"",VLOOKUP(C15,Фин_договоры!$C$9:$U$32367,12,0))</f>
        <v/>
      </c>
      <c r="L15" s="1670" t="str">
        <f>IF(ISERROR(VLOOKUP(C15,Фин_договоры!$C$9:$U$32367,14,0)),"",VLOOKUP(C15,Фин_договоры!$C$9:$U$32367,14,0))</f>
        <v/>
      </c>
      <c r="M15" s="1670" t="str">
        <f>IF(ISERROR(VLOOKUP(C15,Фин_договоры!$C$9:$U$32367,15,0)),"",VLOOKUP(C15,Фин_договоры!$C$9:$U$32367,15,0))</f>
        <v/>
      </c>
      <c r="N15" s="2661"/>
      <c r="O15" s="1668" t="str">
        <f>IF(ISERROR(VLOOKUP(C15,Фин_договоры!$C$9:$U$32367,16,0)),"",VLOOKUP(C15,Фин_договоры!$C$9:$U$32367,16,0))</f>
        <v/>
      </c>
      <c r="P15" s="1457"/>
      <c r="Q15" s="1457"/>
      <c r="R15" s="1457"/>
      <c r="S15" s="1458"/>
      <c r="T15" s="1458"/>
      <c r="U15" s="1458"/>
      <c r="V15" s="1458"/>
      <c r="W15" s="1458"/>
      <c r="X15" s="1458"/>
      <c r="Y15" s="1458"/>
      <c r="Z15" s="177">
        <f t="shared" si="1"/>
        <v>0</v>
      </c>
      <c r="AA15" s="1458"/>
      <c r="AC15" s="2130" t="b">
        <f t="shared" si="3"/>
        <v>1</v>
      </c>
      <c r="AK15" s="3333" t="str">
        <f t="shared" si="4"/>
        <v/>
      </c>
      <c r="AL15" s="3333" t="str">
        <f>IF(IFERROR(VLOOKUP(AN15,Список_компаний!$C:$I,6,0),"")=0,"",IFERROR(VLOOKUP(AN15,Список_компаний!$C:$I,6,0),""))</f>
        <v/>
      </c>
      <c r="AM15" s="3333" t="str">
        <f>IF(IFERROR(VLOOKUP(AN15,Список_компаний!$C:$I,7,0),"")=0,"",IFERROR(VLOOKUP(AN15,Список_компаний!$C:$I,7,0),""))</f>
        <v/>
      </c>
      <c r="AN15" s="1666" t="str">
        <f t="shared" si="5"/>
        <v/>
      </c>
    </row>
    <row r="16" spans="1:42" s="24" customFormat="1">
      <c r="A16" s="2427" t="str">
        <f t="shared" si="6"/>
        <v>R50=;R3=;R4=;R36=;R43=;COM=</v>
      </c>
      <c r="B16" s="565"/>
      <c r="C16" s="1456"/>
      <c r="D16" s="1665" t="str">
        <f>IF(ISERROR(VLOOKUP(C16,Фин_договоры!$C$9:$R$32367,6,0)),"",VLOOKUP(C16,Фин_договоры!$C$9:$R$32367,6,0))</f>
        <v/>
      </c>
      <c r="E16" s="1666" t="str">
        <f>IF(ISERROR(VLOOKUP(C16,Фин_договоры!$C$9:$R$32367,7,0)),"",VLOOKUP(C16,Фин_договоры!$C$9:$R$32367,7,0))</f>
        <v/>
      </c>
      <c r="F16" s="1666" t="str">
        <f>IF(ISERROR(VLOOKUP(C16,Фин_договоры!$C$9:$R$32367,8,0)),"",VLOOKUP(C16,Фин_договоры!$C$9:$R$32367,8,0))</f>
        <v/>
      </c>
      <c r="G16" s="1666" t="str">
        <f>IF(ISERROR(VLOOKUP(C16,Фин_договоры!$C$9:$R$32367,4,0)),"",VLOOKUP(C16,Фин_договоры!$C$9:$R$32367,4,0))</f>
        <v/>
      </c>
      <c r="H16" s="1667" t="str">
        <f>IF(ISERROR(VLOOKUP(C16,Фин_договоры!$C$9:$R$32367,9,0)),"",VLOOKUP(C16,Фин_договоры!$C$9:$R$32367,9,0))</f>
        <v/>
      </c>
      <c r="I16" s="1668" t="str">
        <f>IF(ISERROR(VLOOKUP(C16,Фин_договоры!$C$9:$U$32367,2,0)),"",VLOOKUP(C16,Фин_договоры!$C$9:$U$32367,2,0))</f>
        <v/>
      </c>
      <c r="J16" s="1671" t="str">
        <f>IF(ISERROR(VLOOKUP(C16,Фин_договоры!$C$9:$U$32367,10,0)),"",VLOOKUP(C16,Фин_договоры!$C$9:$U$32367,10,0))</f>
        <v/>
      </c>
      <c r="K16" s="1671" t="str">
        <f>IF(ISERROR(VLOOKUP(C16,Фин_договоры!$C$9:$U$32367,12,0)),"",VLOOKUP(C16,Фин_договоры!$C$9:$U$32367,12,0))</f>
        <v/>
      </c>
      <c r="L16" s="1670" t="str">
        <f>IF(ISERROR(VLOOKUP(C16,Фин_договоры!$C$9:$U$32367,14,0)),"",VLOOKUP(C16,Фин_договоры!$C$9:$U$32367,14,0))</f>
        <v/>
      </c>
      <c r="M16" s="1670" t="str">
        <f>IF(ISERROR(VLOOKUP(C16,Фин_договоры!$C$9:$U$32367,15,0)),"",VLOOKUP(C16,Фин_договоры!$C$9:$U$32367,15,0))</f>
        <v/>
      </c>
      <c r="N16" s="2661"/>
      <c r="O16" s="1668" t="str">
        <f>IF(ISERROR(VLOOKUP(C16,Фин_договоры!$C$9:$U$32367,16,0)),"",VLOOKUP(C16,Фин_договоры!$C$9:$U$32367,16,0))</f>
        <v/>
      </c>
      <c r="P16" s="1457"/>
      <c r="Q16" s="1457"/>
      <c r="R16" s="1457"/>
      <c r="S16" s="1458"/>
      <c r="T16" s="1458"/>
      <c r="U16" s="1458"/>
      <c r="V16" s="1458"/>
      <c r="W16" s="1458"/>
      <c r="X16" s="1458"/>
      <c r="Y16" s="1458"/>
      <c r="Z16" s="177">
        <f t="shared" si="1"/>
        <v>0</v>
      </c>
      <c r="AA16" s="1458"/>
      <c r="AC16" s="2130" t="b">
        <f t="shared" si="3"/>
        <v>1</v>
      </c>
      <c r="AK16" s="3333" t="str">
        <f t="shared" si="4"/>
        <v/>
      </c>
      <c r="AL16" s="3333" t="str">
        <f>IF(IFERROR(VLOOKUP(AN16,Список_компаний!$C:$I,6,0),"")=0,"",IFERROR(VLOOKUP(AN16,Список_компаний!$C:$I,6,0),""))</f>
        <v/>
      </c>
      <c r="AM16" s="3333" t="str">
        <f>IF(IFERROR(VLOOKUP(AN16,Список_компаний!$C:$I,7,0),"")=0,"",IFERROR(VLOOKUP(AN16,Список_компаний!$C:$I,7,0),""))</f>
        <v/>
      </c>
      <c r="AN16" s="1666" t="str">
        <f t="shared" si="5"/>
        <v/>
      </c>
    </row>
    <row r="17" spans="1:40" s="24" customFormat="1">
      <c r="A17" s="2427" t="str">
        <f t="shared" si="6"/>
        <v>R50=;R3=;R4=;R36=;R43=;COM=</v>
      </c>
      <c r="B17" s="565"/>
      <c r="C17" s="1456"/>
      <c r="D17" s="1665" t="str">
        <f>IF(ISERROR(VLOOKUP(C17,Фин_договоры!$C$9:$R$32367,6,0)),"",VLOOKUP(C17,Фин_договоры!$C$9:$R$32367,6,0))</f>
        <v/>
      </c>
      <c r="E17" s="1666" t="str">
        <f>IF(ISERROR(VLOOKUP(C17,Фин_договоры!$C$9:$R$32367,7,0)),"",VLOOKUP(C17,Фин_договоры!$C$9:$R$32367,7,0))</f>
        <v/>
      </c>
      <c r="F17" s="1666" t="str">
        <f>IF(ISERROR(VLOOKUP(C17,Фин_договоры!$C$9:$R$32367,8,0)),"",VLOOKUP(C17,Фин_договоры!$C$9:$R$32367,8,0))</f>
        <v/>
      </c>
      <c r="G17" s="1666" t="str">
        <f>IF(ISERROR(VLOOKUP(C17,Фин_договоры!$C$9:$R$32367,4,0)),"",VLOOKUP(C17,Фин_договоры!$C$9:$R$32367,4,0))</f>
        <v/>
      </c>
      <c r="H17" s="1667" t="str">
        <f>IF(ISERROR(VLOOKUP(C17,Фин_договоры!$C$9:$R$32367,9,0)),"",VLOOKUP(C17,Фин_договоры!$C$9:$R$32367,9,0))</f>
        <v/>
      </c>
      <c r="I17" s="1668" t="str">
        <f>IF(ISERROR(VLOOKUP(C17,Фин_договоры!$C$9:$U$32367,2,0)),"",VLOOKUP(C17,Фин_договоры!$C$9:$U$32367,2,0))</f>
        <v/>
      </c>
      <c r="J17" s="1671" t="str">
        <f>IF(ISERROR(VLOOKUP(C17,Фин_договоры!$C$9:$U$32367,10,0)),"",VLOOKUP(C17,Фин_договоры!$C$9:$U$32367,10,0))</f>
        <v/>
      </c>
      <c r="K17" s="1671" t="str">
        <f>IF(ISERROR(VLOOKUP(C17,Фин_договоры!$C$9:$U$32367,12,0)),"",VLOOKUP(C17,Фин_договоры!$C$9:$U$32367,12,0))</f>
        <v/>
      </c>
      <c r="L17" s="1670" t="str">
        <f>IF(ISERROR(VLOOKUP(C17,Фин_договоры!$C$9:$U$32367,14,0)),"",VLOOKUP(C17,Фин_договоры!$C$9:$U$32367,14,0))</f>
        <v/>
      </c>
      <c r="M17" s="1670" t="str">
        <f>IF(ISERROR(VLOOKUP(C17,Фин_договоры!$C$9:$U$32367,15,0)),"",VLOOKUP(C17,Фин_договоры!$C$9:$U$32367,15,0))</f>
        <v/>
      </c>
      <c r="N17" s="2661"/>
      <c r="O17" s="1668" t="str">
        <f>IF(ISERROR(VLOOKUP(C17,Фин_договоры!$C$9:$U$32367,16,0)),"",VLOOKUP(C17,Фин_договоры!$C$9:$U$32367,16,0))</f>
        <v/>
      </c>
      <c r="P17" s="1457"/>
      <c r="Q17" s="1457"/>
      <c r="R17" s="1457"/>
      <c r="S17" s="1458"/>
      <c r="T17" s="1458"/>
      <c r="U17" s="1458"/>
      <c r="V17" s="1458"/>
      <c r="W17" s="1458"/>
      <c r="X17" s="1458"/>
      <c r="Y17" s="1458"/>
      <c r="Z17" s="177">
        <f t="shared" si="1"/>
        <v>0</v>
      </c>
      <c r="AA17" s="1458"/>
      <c r="AC17" s="2130" t="b">
        <f t="shared" si="3"/>
        <v>1</v>
      </c>
      <c r="AK17" s="3333" t="str">
        <f t="shared" si="4"/>
        <v/>
      </c>
      <c r="AL17" s="3333" t="str">
        <f>IF(IFERROR(VLOOKUP(AN17,Список_компаний!$C:$I,6,0),"")=0,"",IFERROR(VLOOKUP(AN17,Список_компаний!$C:$I,6,0),""))</f>
        <v/>
      </c>
      <c r="AM17" s="3333" t="str">
        <f>IF(IFERROR(VLOOKUP(AN17,Список_компаний!$C:$I,7,0),"")=0,"",IFERROR(VLOOKUP(AN17,Список_компаний!$C:$I,7,0),""))</f>
        <v/>
      </c>
      <c r="AN17" s="1666" t="str">
        <f t="shared" si="5"/>
        <v/>
      </c>
    </row>
    <row r="18" spans="1:40" s="24" customFormat="1">
      <c r="A18" s="2427" t="str">
        <f t="shared" si="6"/>
        <v>R50=;R3=;R4=;R36=;R43=;COM=</v>
      </c>
      <c r="B18" s="565"/>
      <c r="C18" s="1456"/>
      <c r="D18" s="1665" t="str">
        <f>IF(ISERROR(VLOOKUP(C18,Фин_договоры!$C$9:$R$32367,6,0)),"",VLOOKUP(C18,Фин_договоры!$C$9:$R$32367,6,0))</f>
        <v/>
      </c>
      <c r="E18" s="1666" t="str">
        <f>IF(ISERROR(VLOOKUP(C18,Фин_договоры!$C$9:$R$32367,7,0)),"",VLOOKUP(C18,Фин_договоры!$C$9:$R$32367,7,0))</f>
        <v/>
      </c>
      <c r="F18" s="1666" t="str">
        <f>IF(ISERROR(VLOOKUP(C18,Фин_договоры!$C$9:$R$32367,8,0)),"",VLOOKUP(C18,Фин_договоры!$C$9:$R$32367,8,0))</f>
        <v/>
      </c>
      <c r="G18" s="1666" t="str">
        <f>IF(ISERROR(VLOOKUP(C18,Фин_договоры!$C$9:$R$32367,4,0)),"",VLOOKUP(C18,Фин_договоры!$C$9:$R$32367,4,0))</f>
        <v/>
      </c>
      <c r="H18" s="1667" t="str">
        <f>IF(ISERROR(VLOOKUP(C18,Фин_договоры!$C$9:$R$32367,9,0)),"",VLOOKUP(C18,Фин_договоры!$C$9:$R$32367,9,0))</f>
        <v/>
      </c>
      <c r="I18" s="1668" t="str">
        <f>IF(ISERROR(VLOOKUP(C18,Фин_договоры!$C$9:$U$32367,2,0)),"",VLOOKUP(C18,Фин_договоры!$C$9:$U$32367,2,0))</f>
        <v/>
      </c>
      <c r="J18" s="1671" t="str">
        <f>IF(ISERROR(VLOOKUP(C18,Фин_договоры!$C$9:$U$32367,10,0)),"",VLOOKUP(C18,Фин_договоры!$C$9:$U$32367,10,0))</f>
        <v/>
      </c>
      <c r="K18" s="1671" t="str">
        <f>IF(ISERROR(VLOOKUP(C18,Фин_договоры!$C$9:$U$32367,12,0)),"",VLOOKUP(C18,Фин_договоры!$C$9:$U$32367,12,0))</f>
        <v/>
      </c>
      <c r="L18" s="1670" t="str">
        <f>IF(ISERROR(VLOOKUP(C18,Фин_договоры!$C$9:$U$32367,14,0)),"",VLOOKUP(C18,Фин_договоры!$C$9:$U$32367,14,0))</f>
        <v/>
      </c>
      <c r="M18" s="1670" t="str">
        <f>IF(ISERROR(VLOOKUP(C18,Фин_договоры!$C$9:$U$32367,15,0)),"",VLOOKUP(C18,Фин_договоры!$C$9:$U$32367,15,0))</f>
        <v/>
      </c>
      <c r="N18" s="2661"/>
      <c r="O18" s="1668" t="str">
        <f>IF(ISERROR(VLOOKUP(C18,Фин_договоры!$C$9:$U$32367,16,0)),"",VLOOKUP(C18,Фин_договоры!$C$9:$U$32367,16,0))</f>
        <v/>
      </c>
      <c r="P18" s="1457"/>
      <c r="Q18" s="1457"/>
      <c r="R18" s="1457"/>
      <c r="S18" s="1458"/>
      <c r="T18" s="1458"/>
      <c r="U18" s="1458"/>
      <c r="V18" s="1458"/>
      <c r="W18" s="1458"/>
      <c r="X18" s="1458"/>
      <c r="Y18" s="1458"/>
      <c r="Z18" s="177">
        <f t="shared" ref="Z18:Z28" si="7">SUM(P18:Y18)</f>
        <v>0</v>
      </c>
      <c r="AA18" s="1458"/>
      <c r="AC18" s="2130" t="b">
        <f t="shared" si="3"/>
        <v>1</v>
      </c>
      <c r="AK18" s="3333" t="str">
        <f t="shared" si="4"/>
        <v/>
      </c>
      <c r="AL18" s="3333" t="str">
        <f>IF(IFERROR(VLOOKUP(AN18,Список_компаний!$C:$I,6,0),"")=0,"",IFERROR(VLOOKUP(AN18,Список_компаний!$C:$I,6,0),""))</f>
        <v/>
      </c>
      <c r="AM18" s="3333" t="str">
        <f>IF(IFERROR(VLOOKUP(AN18,Список_компаний!$C:$I,7,0),"")=0,"",IFERROR(VLOOKUP(AN18,Список_компаний!$C:$I,7,0),""))</f>
        <v/>
      </c>
      <c r="AN18" s="1666" t="str">
        <f t="shared" si="5"/>
        <v/>
      </c>
    </row>
    <row r="19" spans="1:40" s="24" customFormat="1">
      <c r="A19" s="2427" t="str">
        <f t="shared" si="6"/>
        <v>R50=;R3=;R4=;R36=;R43=;COM=</v>
      </c>
      <c r="B19" s="565"/>
      <c r="C19" s="1456"/>
      <c r="D19" s="1665" t="str">
        <f>IF(ISERROR(VLOOKUP(C19,Фин_договоры!$C$9:$R$32367,6,0)),"",VLOOKUP(C19,Фин_договоры!$C$9:$R$32367,6,0))</f>
        <v/>
      </c>
      <c r="E19" s="1666" t="str">
        <f>IF(ISERROR(VLOOKUP(C19,Фин_договоры!$C$9:$R$32367,7,0)),"",VLOOKUP(C19,Фин_договоры!$C$9:$R$32367,7,0))</f>
        <v/>
      </c>
      <c r="F19" s="1666" t="str">
        <f>IF(ISERROR(VLOOKUP(C19,Фин_договоры!$C$9:$R$32367,8,0)),"",VLOOKUP(C19,Фин_договоры!$C$9:$R$32367,8,0))</f>
        <v/>
      </c>
      <c r="G19" s="1666" t="str">
        <f>IF(ISERROR(VLOOKUP(C19,Фин_договоры!$C$9:$R$32367,4,0)),"",VLOOKUP(C19,Фин_договоры!$C$9:$R$32367,4,0))</f>
        <v/>
      </c>
      <c r="H19" s="1667" t="str">
        <f>IF(ISERROR(VLOOKUP(C19,Фин_договоры!$C$9:$R$32367,9,0)),"",VLOOKUP(C19,Фин_договоры!$C$9:$R$32367,9,0))</f>
        <v/>
      </c>
      <c r="I19" s="1668" t="str">
        <f>IF(ISERROR(VLOOKUP(C19,Фин_договоры!$C$9:$U$32367,2,0)),"",VLOOKUP(C19,Фин_договоры!$C$9:$U$32367,2,0))</f>
        <v/>
      </c>
      <c r="J19" s="1671" t="str">
        <f>IF(ISERROR(VLOOKUP(C19,Фин_договоры!$C$9:$U$32367,10,0)),"",VLOOKUP(C19,Фин_договоры!$C$9:$U$32367,10,0))</f>
        <v/>
      </c>
      <c r="K19" s="1671" t="str">
        <f>IF(ISERROR(VLOOKUP(C19,Фин_договоры!$C$9:$U$32367,12,0)),"",VLOOKUP(C19,Фин_договоры!$C$9:$U$32367,12,0))</f>
        <v/>
      </c>
      <c r="L19" s="1670" t="str">
        <f>IF(ISERROR(VLOOKUP(C19,Фин_договоры!$C$9:$U$32367,14,0)),"",VLOOKUP(C19,Фин_договоры!$C$9:$U$32367,14,0))</f>
        <v/>
      </c>
      <c r="M19" s="1670" t="str">
        <f>IF(ISERROR(VLOOKUP(C19,Фин_договоры!$C$9:$U$32367,15,0)),"",VLOOKUP(C19,Фин_договоры!$C$9:$U$32367,15,0))</f>
        <v/>
      </c>
      <c r="N19" s="2661"/>
      <c r="O19" s="1668" t="str">
        <f>IF(ISERROR(VLOOKUP(C19,Фин_договоры!$C$9:$U$32367,16,0)),"",VLOOKUP(C19,Фин_договоры!$C$9:$U$32367,16,0))</f>
        <v/>
      </c>
      <c r="P19" s="1457"/>
      <c r="Q19" s="1457"/>
      <c r="R19" s="1457"/>
      <c r="S19" s="1458"/>
      <c r="T19" s="1458"/>
      <c r="U19" s="1458"/>
      <c r="V19" s="1458"/>
      <c r="W19" s="1458"/>
      <c r="X19" s="1458"/>
      <c r="Y19" s="1458"/>
      <c r="Z19" s="177">
        <f t="shared" si="7"/>
        <v>0</v>
      </c>
      <c r="AA19" s="1458"/>
      <c r="AC19" s="2130" t="b">
        <f t="shared" si="3"/>
        <v>1</v>
      </c>
      <c r="AK19" s="3333" t="str">
        <f t="shared" si="4"/>
        <v/>
      </c>
      <c r="AL19" s="3333" t="str">
        <f>IF(IFERROR(VLOOKUP(AN19,Список_компаний!$C:$I,6,0),"")=0,"",IFERROR(VLOOKUP(AN19,Список_компаний!$C:$I,6,0),""))</f>
        <v/>
      </c>
      <c r="AM19" s="3333" t="str">
        <f>IF(IFERROR(VLOOKUP(AN19,Список_компаний!$C:$I,7,0),"")=0,"",IFERROR(VLOOKUP(AN19,Список_компаний!$C:$I,7,0),""))</f>
        <v/>
      </c>
      <c r="AN19" s="1666" t="str">
        <f t="shared" si="5"/>
        <v/>
      </c>
    </row>
    <row r="20" spans="1:40" s="24" customFormat="1">
      <c r="A20" s="2427" t="str">
        <f t="shared" si="6"/>
        <v>R50=;R3=;R4=;R36=;R43=;COM=</v>
      </c>
      <c r="B20" s="565"/>
      <c r="C20" s="1456"/>
      <c r="D20" s="1665" t="str">
        <f>IF(ISERROR(VLOOKUP(C20,Фин_договоры!$C$9:$R$32367,6,0)),"",VLOOKUP(C20,Фин_договоры!$C$9:$R$32367,6,0))</f>
        <v/>
      </c>
      <c r="E20" s="1666" t="str">
        <f>IF(ISERROR(VLOOKUP(C20,Фин_договоры!$C$9:$R$32367,7,0)),"",VLOOKUP(C20,Фин_договоры!$C$9:$R$32367,7,0))</f>
        <v/>
      </c>
      <c r="F20" s="1666" t="str">
        <f>IF(ISERROR(VLOOKUP(C20,Фин_договоры!$C$9:$R$32367,8,0)),"",VLOOKUP(C20,Фин_договоры!$C$9:$R$32367,8,0))</f>
        <v/>
      </c>
      <c r="G20" s="1666" t="str">
        <f>IF(ISERROR(VLOOKUP(C20,Фин_договоры!$C$9:$R$32367,4,0)),"",VLOOKUP(C20,Фин_договоры!$C$9:$R$32367,4,0))</f>
        <v/>
      </c>
      <c r="H20" s="1667" t="str">
        <f>IF(ISERROR(VLOOKUP(C20,Фин_договоры!$C$9:$R$32367,9,0)),"",VLOOKUP(C20,Фин_договоры!$C$9:$R$32367,9,0))</f>
        <v/>
      </c>
      <c r="I20" s="1668" t="str">
        <f>IF(ISERROR(VLOOKUP(C20,Фин_договоры!$C$9:$U$32367,2,0)),"",VLOOKUP(C20,Фин_договоры!$C$9:$U$32367,2,0))</f>
        <v/>
      </c>
      <c r="J20" s="1671" t="str">
        <f>IF(ISERROR(VLOOKUP(C20,Фин_договоры!$C$9:$U$32367,10,0)),"",VLOOKUP(C20,Фин_договоры!$C$9:$U$32367,10,0))</f>
        <v/>
      </c>
      <c r="K20" s="1671" t="str">
        <f>IF(ISERROR(VLOOKUP(C20,Фин_договоры!$C$9:$U$32367,12,0)),"",VLOOKUP(C20,Фин_договоры!$C$9:$U$32367,12,0))</f>
        <v/>
      </c>
      <c r="L20" s="1670" t="str">
        <f>IF(ISERROR(VLOOKUP(C20,Фин_договоры!$C$9:$U$32367,14,0)),"",VLOOKUP(C20,Фин_договоры!$C$9:$U$32367,14,0))</f>
        <v/>
      </c>
      <c r="M20" s="1670" t="str">
        <f>IF(ISERROR(VLOOKUP(C20,Фин_договоры!$C$9:$U$32367,15,0)),"",VLOOKUP(C20,Фин_договоры!$C$9:$U$32367,15,0))</f>
        <v/>
      </c>
      <c r="N20" s="2661"/>
      <c r="O20" s="1668" t="str">
        <f>IF(ISERROR(VLOOKUP(C20,Фин_договоры!$C$9:$U$32367,16,0)),"",VLOOKUP(C20,Фин_договоры!$C$9:$U$32367,16,0))</f>
        <v/>
      </c>
      <c r="P20" s="1457"/>
      <c r="Q20" s="1457"/>
      <c r="R20" s="1457"/>
      <c r="S20" s="1458"/>
      <c r="T20" s="1458"/>
      <c r="U20" s="1458"/>
      <c r="V20" s="1458"/>
      <c r="W20" s="1458"/>
      <c r="X20" s="1458"/>
      <c r="Y20" s="1458"/>
      <c r="Z20" s="177">
        <f t="shared" si="7"/>
        <v>0</v>
      </c>
      <c r="AA20" s="1458"/>
      <c r="AC20" s="2130" t="b">
        <f t="shared" si="3"/>
        <v>1</v>
      </c>
      <c r="AK20" s="3333" t="str">
        <f t="shared" si="4"/>
        <v/>
      </c>
      <c r="AL20" s="3333" t="str">
        <f>IF(IFERROR(VLOOKUP(AN20,Список_компаний!$C:$I,6,0),"")=0,"",IFERROR(VLOOKUP(AN20,Список_компаний!$C:$I,6,0),""))</f>
        <v/>
      </c>
      <c r="AM20" s="3333" t="str">
        <f>IF(IFERROR(VLOOKUP(AN20,Список_компаний!$C:$I,7,0),"")=0,"",IFERROR(VLOOKUP(AN20,Список_компаний!$C:$I,7,0),""))</f>
        <v/>
      </c>
      <c r="AN20" s="1666" t="str">
        <f t="shared" si="5"/>
        <v/>
      </c>
    </row>
    <row r="21" spans="1:40" s="24" customFormat="1">
      <c r="A21" s="2427" t="str">
        <f t="shared" si="6"/>
        <v>R50=;R3=;R4=;R36=;R43=;COM=</v>
      </c>
      <c r="B21" s="565"/>
      <c r="C21" s="1456"/>
      <c r="D21" s="1665" t="str">
        <f>IF(ISERROR(VLOOKUP(C21,Фин_договоры!$C$9:$R$32367,6,0)),"",VLOOKUP(C21,Фин_договоры!$C$9:$R$32367,6,0))</f>
        <v/>
      </c>
      <c r="E21" s="1666" t="str">
        <f>IF(ISERROR(VLOOKUP(C21,Фин_договоры!$C$9:$R$32367,7,0)),"",VLOOKUP(C21,Фин_договоры!$C$9:$R$32367,7,0))</f>
        <v/>
      </c>
      <c r="F21" s="1666" t="str">
        <f>IF(ISERROR(VLOOKUP(C21,Фин_договоры!$C$9:$R$32367,8,0)),"",VLOOKUP(C21,Фин_договоры!$C$9:$R$32367,8,0))</f>
        <v/>
      </c>
      <c r="G21" s="1666" t="str">
        <f>IF(ISERROR(VLOOKUP(C21,Фин_договоры!$C$9:$R$32367,4,0)),"",VLOOKUP(C21,Фин_договоры!$C$9:$R$32367,4,0))</f>
        <v/>
      </c>
      <c r="H21" s="1667" t="str">
        <f>IF(ISERROR(VLOOKUP(C21,Фин_договоры!$C$9:$R$32367,9,0)),"",VLOOKUP(C21,Фин_договоры!$C$9:$R$32367,9,0))</f>
        <v/>
      </c>
      <c r="I21" s="1668" t="str">
        <f>IF(ISERROR(VLOOKUP(C21,Фин_договоры!$C$9:$U$32367,2,0)),"",VLOOKUP(C21,Фин_договоры!$C$9:$U$32367,2,0))</f>
        <v/>
      </c>
      <c r="J21" s="1671" t="str">
        <f>IF(ISERROR(VLOOKUP(C21,Фин_договоры!$C$9:$U$32367,10,0)),"",VLOOKUP(C21,Фин_договоры!$C$9:$U$32367,10,0))</f>
        <v/>
      </c>
      <c r="K21" s="1671" t="str">
        <f>IF(ISERROR(VLOOKUP(C21,Фин_договоры!$C$9:$U$32367,12,0)),"",VLOOKUP(C21,Фин_договоры!$C$9:$U$32367,12,0))</f>
        <v/>
      </c>
      <c r="L21" s="1670" t="str">
        <f>IF(ISERROR(VLOOKUP(C21,Фин_договоры!$C$9:$U$32367,14,0)),"",VLOOKUP(C21,Фин_договоры!$C$9:$U$32367,14,0))</f>
        <v/>
      </c>
      <c r="M21" s="1670" t="str">
        <f>IF(ISERROR(VLOOKUP(C21,Фин_договоры!$C$9:$U$32367,15,0)),"",VLOOKUP(C21,Фин_договоры!$C$9:$U$32367,15,0))</f>
        <v/>
      </c>
      <c r="N21" s="2661"/>
      <c r="O21" s="1668" t="str">
        <f>IF(ISERROR(VLOOKUP(C21,Фин_договоры!$C$9:$U$32367,16,0)),"",VLOOKUP(C21,Фин_договоры!$C$9:$U$32367,16,0))</f>
        <v/>
      </c>
      <c r="P21" s="1457"/>
      <c r="Q21" s="1457"/>
      <c r="R21" s="1457"/>
      <c r="S21" s="1458"/>
      <c r="T21" s="1458"/>
      <c r="U21" s="1458"/>
      <c r="V21" s="1458"/>
      <c r="W21" s="1458"/>
      <c r="X21" s="1458"/>
      <c r="Y21" s="1458"/>
      <c r="Z21" s="177">
        <f t="shared" si="7"/>
        <v>0</v>
      </c>
      <c r="AA21" s="1458"/>
      <c r="AC21" s="2130" t="b">
        <f t="shared" si="3"/>
        <v>1</v>
      </c>
      <c r="AK21" s="3333" t="str">
        <f t="shared" si="4"/>
        <v/>
      </c>
      <c r="AL21" s="3333" t="str">
        <f>IF(IFERROR(VLOOKUP(AN21,Список_компаний!$C:$I,6,0),"")=0,"",IFERROR(VLOOKUP(AN21,Список_компаний!$C:$I,6,0),""))</f>
        <v/>
      </c>
      <c r="AM21" s="3333" t="str">
        <f>IF(IFERROR(VLOOKUP(AN21,Список_компаний!$C:$I,7,0),"")=0,"",IFERROR(VLOOKUP(AN21,Список_компаний!$C:$I,7,0),""))</f>
        <v/>
      </c>
      <c r="AN21" s="1666" t="str">
        <f t="shared" si="5"/>
        <v/>
      </c>
    </row>
    <row r="22" spans="1:40" s="24" customFormat="1">
      <c r="A22" s="2427" t="str">
        <f t="shared" si="6"/>
        <v>R50=;R3=;R4=;R36=;R43=;COM=</v>
      </c>
      <c r="B22" s="565"/>
      <c r="C22" s="1456"/>
      <c r="D22" s="1665" t="str">
        <f>IF(ISERROR(VLOOKUP(C22,Фин_договоры!$C$9:$R$32367,6,0)),"",VLOOKUP(C22,Фин_договоры!$C$9:$R$32367,6,0))</f>
        <v/>
      </c>
      <c r="E22" s="1666" t="str">
        <f>IF(ISERROR(VLOOKUP(C22,Фин_договоры!$C$9:$R$32367,7,0)),"",VLOOKUP(C22,Фин_договоры!$C$9:$R$32367,7,0))</f>
        <v/>
      </c>
      <c r="F22" s="1666" t="str">
        <f>IF(ISERROR(VLOOKUP(C22,Фин_договоры!$C$9:$R$32367,8,0)),"",VLOOKUP(C22,Фин_договоры!$C$9:$R$32367,8,0))</f>
        <v/>
      </c>
      <c r="G22" s="1666" t="str">
        <f>IF(ISERROR(VLOOKUP(C22,Фин_договоры!$C$9:$R$32367,4,0)),"",VLOOKUP(C22,Фин_договоры!$C$9:$R$32367,4,0))</f>
        <v/>
      </c>
      <c r="H22" s="1667" t="str">
        <f>IF(ISERROR(VLOOKUP(C22,Фин_договоры!$C$9:$R$32367,9,0)),"",VLOOKUP(C22,Фин_договоры!$C$9:$R$32367,9,0))</f>
        <v/>
      </c>
      <c r="I22" s="1668" t="str">
        <f>IF(ISERROR(VLOOKUP(C22,Фин_договоры!$C$9:$U$32367,2,0)),"",VLOOKUP(C22,Фин_договоры!$C$9:$U$32367,2,0))</f>
        <v/>
      </c>
      <c r="J22" s="1671" t="str">
        <f>IF(ISERROR(VLOOKUP(C22,Фин_договоры!$C$9:$U$32367,10,0)),"",VLOOKUP(C22,Фин_договоры!$C$9:$U$32367,10,0))</f>
        <v/>
      </c>
      <c r="K22" s="1671" t="str">
        <f>IF(ISERROR(VLOOKUP(C22,Фин_договоры!$C$9:$U$32367,12,0)),"",VLOOKUP(C22,Фин_договоры!$C$9:$U$32367,12,0))</f>
        <v/>
      </c>
      <c r="L22" s="1670" t="str">
        <f>IF(ISERROR(VLOOKUP(C22,Фин_договоры!$C$9:$U$32367,14,0)),"",VLOOKUP(C22,Фин_договоры!$C$9:$U$32367,14,0))</f>
        <v/>
      </c>
      <c r="M22" s="1670" t="str">
        <f>IF(ISERROR(VLOOKUP(C22,Фин_договоры!$C$9:$U$32367,15,0)),"",VLOOKUP(C22,Фин_договоры!$C$9:$U$32367,15,0))</f>
        <v/>
      </c>
      <c r="N22" s="2661"/>
      <c r="O22" s="1668" t="str">
        <f>IF(ISERROR(VLOOKUP(C22,Фин_договоры!$C$9:$U$32367,16,0)),"",VLOOKUP(C22,Фин_договоры!$C$9:$U$32367,16,0))</f>
        <v/>
      </c>
      <c r="P22" s="1457"/>
      <c r="Q22" s="1457"/>
      <c r="R22" s="1457"/>
      <c r="S22" s="1458"/>
      <c r="T22" s="1458"/>
      <c r="U22" s="1458"/>
      <c r="V22" s="1458"/>
      <c r="W22" s="1458"/>
      <c r="X22" s="1458"/>
      <c r="Y22" s="1458"/>
      <c r="Z22" s="177">
        <f t="shared" si="7"/>
        <v>0</v>
      </c>
      <c r="AA22" s="1458"/>
      <c r="AC22" s="2130" t="b">
        <f t="shared" si="3"/>
        <v>1</v>
      </c>
      <c r="AK22" s="3333" t="str">
        <f t="shared" si="4"/>
        <v/>
      </c>
      <c r="AL22" s="3333" t="str">
        <f>IF(IFERROR(VLOOKUP(AN22,Список_компаний!$C:$I,6,0),"")=0,"",IFERROR(VLOOKUP(AN22,Список_компаний!$C:$I,6,0),""))</f>
        <v/>
      </c>
      <c r="AM22" s="3333" t="str">
        <f>IF(IFERROR(VLOOKUP(AN22,Список_компаний!$C:$I,7,0),"")=0,"",IFERROR(VLOOKUP(AN22,Список_компаний!$C:$I,7,0),""))</f>
        <v/>
      </c>
      <c r="AN22" s="1666" t="str">
        <f t="shared" si="5"/>
        <v/>
      </c>
    </row>
    <row r="23" spans="1:40" s="24" customFormat="1">
      <c r="A23" s="2427" t="str">
        <f t="shared" si="6"/>
        <v>R50=;R3=;R4=;R36=;R43=;COM=</v>
      </c>
      <c r="B23" s="565"/>
      <c r="C23" s="1456"/>
      <c r="D23" s="1665" t="str">
        <f>IF(ISERROR(VLOOKUP(C23,Фин_договоры!$C$9:$R$32367,6,0)),"",VLOOKUP(C23,Фин_договоры!$C$9:$R$32367,6,0))</f>
        <v/>
      </c>
      <c r="E23" s="1666" t="str">
        <f>IF(ISERROR(VLOOKUP(C23,Фин_договоры!$C$9:$R$32367,7,0)),"",VLOOKUP(C23,Фин_договоры!$C$9:$R$32367,7,0))</f>
        <v/>
      </c>
      <c r="F23" s="1666" t="str">
        <f>IF(ISERROR(VLOOKUP(C23,Фин_договоры!$C$9:$R$32367,8,0)),"",VLOOKUP(C23,Фин_договоры!$C$9:$R$32367,8,0))</f>
        <v/>
      </c>
      <c r="G23" s="1666" t="str">
        <f>IF(ISERROR(VLOOKUP(C23,Фин_договоры!$C$9:$R$32367,4,0)),"",VLOOKUP(C23,Фин_договоры!$C$9:$R$32367,4,0))</f>
        <v/>
      </c>
      <c r="H23" s="1667" t="str">
        <f>IF(ISERROR(VLOOKUP(C23,Фин_договоры!$C$9:$R$32367,9,0)),"",VLOOKUP(C23,Фин_договоры!$C$9:$R$32367,9,0))</f>
        <v/>
      </c>
      <c r="I23" s="1668" t="str">
        <f>IF(ISERROR(VLOOKUP(C23,Фин_договоры!$C$9:$U$32367,2,0)),"",VLOOKUP(C23,Фин_договоры!$C$9:$U$32367,2,0))</f>
        <v/>
      </c>
      <c r="J23" s="1671" t="str">
        <f>IF(ISERROR(VLOOKUP(C23,Фин_договоры!$C$9:$U$32367,10,0)),"",VLOOKUP(C23,Фин_договоры!$C$9:$U$32367,10,0))</f>
        <v/>
      </c>
      <c r="K23" s="1671" t="str">
        <f>IF(ISERROR(VLOOKUP(C23,Фин_договоры!$C$9:$U$32367,12,0)),"",VLOOKUP(C23,Фин_договоры!$C$9:$U$32367,12,0))</f>
        <v/>
      </c>
      <c r="L23" s="1670" t="str">
        <f>IF(ISERROR(VLOOKUP(C23,Фин_договоры!$C$9:$U$32367,14,0)),"",VLOOKUP(C23,Фин_договоры!$C$9:$U$32367,14,0))</f>
        <v/>
      </c>
      <c r="M23" s="1670" t="str">
        <f>IF(ISERROR(VLOOKUP(C23,Фин_договоры!$C$9:$U$32367,15,0)),"",VLOOKUP(C23,Фин_договоры!$C$9:$U$32367,15,0))</f>
        <v/>
      </c>
      <c r="N23" s="2661"/>
      <c r="O23" s="1668" t="str">
        <f>IF(ISERROR(VLOOKUP(C23,Фин_договоры!$C$9:$U$32367,16,0)),"",VLOOKUP(C23,Фин_договоры!$C$9:$U$32367,16,0))</f>
        <v/>
      </c>
      <c r="P23" s="1457"/>
      <c r="Q23" s="1457"/>
      <c r="R23" s="1457"/>
      <c r="S23" s="1458"/>
      <c r="T23" s="1458"/>
      <c r="U23" s="1458"/>
      <c r="V23" s="1458"/>
      <c r="W23" s="1458"/>
      <c r="X23" s="1458"/>
      <c r="Y23" s="1458"/>
      <c r="Z23" s="177">
        <f t="shared" si="7"/>
        <v>0</v>
      </c>
      <c r="AA23" s="1458"/>
      <c r="AC23" s="2130" t="b">
        <f t="shared" si="3"/>
        <v>1</v>
      </c>
      <c r="AK23" s="3333" t="str">
        <f t="shared" si="4"/>
        <v/>
      </c>
      <c r="AL23" s="3333" t="str">
        <f>IF(IFERROR(VLOOKUP(AN23,Список_компаний!$C:$I,6,0),"")=0,"",IFERROR(VLOOKUP(AN23,Список_компаний!$C:$I,6,0),""))</f>
        <v/>
      </c>
      <c r="AM23" s="3333" t="str">
        <f>IF(IFERROR(VLOOKUP(AN23,Список_компаний!$C:$I,7,0),"")=0,"",IFERROR(VLOOKUP(AN23,Список_компаний!$C:$I,7,0),""))</f>
        <v/>
      </c>
      <c r="AN23" s="1666" t="str">
        <f t="shared" si="5"/>
        <v/>
      </c>
    </row>
    <row r="24" spans="1:40" s="24" customFormat="1">
      <c r="A24" s="2427" t="str">
        <f t="shared" si="6"/>
        <v>R50=;R3=;R4=;R36=;R43=;COM=</v>
      </c>
      <c r="B24" s="565"/>
      <c r="C24" s="1456"/>
      <c r="D24" s="1665" t="str">
        <f>IF(ISERROR(VLOOKUP(C24,Фин_договоры!$C$9:$R$32367,6,0)),"",VLOOKUP(C24,Фин_договоры!$C$9:$R$32367,6,0))</f>
        <v/>
      </c>
      <c r="E24" s="1666" t="str">
        <f>IF(ISERROR(VLOOKUP(C24,Фин_договоры!$C$9:$R$32367,7,0)),"",VLOOKUP(C24,Фин_договоры!$C$9:$R$32367,7,0))</f>
        <v/>
      </c>
      <c r="F24" s="1666" t="str">
        <f>IF(ISERROR(VLOOKUP(C24,Фин_договоры!$C$9:$R$32367,8,0)),"",VLOOKUP(C24,Фин_договоры!$C$9:$R$32367,8,0))</f>
        <v/>
      </c>
      <c r="G24" s="1666" t="str">
        <f>IF(ISERROR(VLOOKUP(C24,Фин_договоры!$C$9:$R$32367,4,0)),"",VLOOKUP(C24,Фин_договоры!$C$9:$R$32367,4,0))</f>
        <v/>
      </c>
      <c r="H24" s="1667" t="str">
        <f>IF(ISERROR(VLOOKUP(C24,Фин_договоры!$C$9:$R$32367,9,0)),"",VLOOKUP(C24,Фин_договоры!$C$9:$R$32367,9,0))</f>
        <v/>
      </c>
      <c r="I24" s="1668" t="str">
        <f>IF(ISERROR(VLOOKUP(C24,Фин_договоры!$C$9:$U$32367,2,0)),"",VLOOKUP(C24,Фин_договоры!$C$9:$U$32367,2,0))</f>
        <v/>
      </c>
      <c r="J24" s="1671" t="str">
        <f>IF(ISERROR(VLOOKUP(C24,Фин_договоры!$C$9:$U$32367,10,0)),"",VLOOKUP(C24,Фин_договоры!$C$9:$U$32367,10,0))</f>
        <v/>
      </c>
      <c r="K24" s="1671" t="str">
        <f>IF(ISERROR(VLOOKUP(C24,Фин_договоры!$C$9:$U$32367,12,0)),"",VLOOKUP(C24,Фин_договоры!$C$9:$U$32367,12,0))</f>
        <v/>
      </c>
      <c r="L24" s="1670" t="str">
        <f>IF(ISERROR(VLOOKUP(C24,Фин_договоры!$C$9:$U$32367,14,0)),"",VLOOKUP(C24,Фин_договоры!$C$9:$U$32367,14,0))</f>
        <v/>
      </c>
      <c r="M24" s="1670" t="str">
        <f>IF(ISERROR(VLOOKUP(C24,Фин_договоры!$C$9:$U$32367,15,0)),"",VLOOKUP(C24,Фин_договоры!$C$9:$U$32367,15,0))</f>
        <v/>
      </c>
      <c r="N24" s="2661"/>
      <c r="O24" s="1668" t="str">
        <f>IF(ISERROR(VLOOKUP(C24,Фин_договоры!$C$9:$U$32367,16,0)),"",VLOOKUP(C24,Фин_договоры!$C$9:$U$32367,16,0))</f>
        <v/>
      </c>
      <c r="P24" s="1457"/>
      <c r="Q24" s="1457"/>
      <c r="R24" s="1457"/>
      <c r="S24" s="1458"/>
      <c r="T24" s="1458"/>
      <c r="U24" s="1458"/>
      <c r="V24" s="1458"/>
      <c r="W24" s="1458"/>
      <c r="X24" s="1458"/>
      <c r="Y24" s="1458"/>
      <c r="Z24" s="177">
        <f t="shared" si="7"/>
        <v>0</v>
      </c>
      <c r="AA24" s="1458"/>
      <c r="AC24" s="2130" t="b">
        <f t="shared" si="3"/>
        <v>1</v>
      </c>
      <c r="AK24" s="3333" t="str">
        <f t="shared" si="4"/>
        <v/>
      </c>
      <c r="AL24" s="3333" t="str">
        <f>IF(IFERROR(VLOOKUP(AN24,Список_компаний!$C:$I,6,0),"")=0,"",IFERROR(VLOOKUP(AN24,Список_компаний!$C:$I,6,0),""))</f>
        <v/>
      </c>
      <c r="AM24" s="3333" t="str">
        <f>IF(IFERROR(VLOOKUP(AN24,Список_компаний!$C:$I,7,0),"")=0,"",IFERROR(VLOOKUP(AN24,Список_компаний!$C:$I,7,0),""))</f>
        <v/>
      </c>
      <c r="AN24" s="1666" t="str">
        <f t="shared" si="5"/>
        <v/>
      </c>
    </row>
    <row r="25" spans="1:40" s="24" customFormat="1">
      <c r="A25" s="2427" t="str">
        <f t="shared" si="6"/>
        <v>R50=;R3=;R4=;R36=;R43=;COM=</v>
      </c>
      <c r="B25" s="565"/>
      <c r="C25" s="1456"/>
      <c r="D25" s="1665" t="str">
        <f>IF(ISERROR(VLOOKUP(C25,Фин_договоры!$C$9:$R$32367,6,0)),"",VLOOKUP(C25,Фин_договоры!$C$9:$R$32367,6,0))</f>
        <v/>
      </c>
      <c r="E25" s="1666" t="str">
        <f>IF(ISERROR(VLOOKUP(C25,Фин_договоры!$C$9:$R$32367,7,0)),"",VLOOKUP(C25,Фин_договоры!$C$9:$R$32367,7,0))</f>
        <v/>
      </c>
      <c r="F25" s="1666" t="str">
        <f>IF(ISERROR(VLOOKUP(C25,Фин_договоры!$C$9:$R$32367,8,0)),"",VLOOKUP(C25,Фин_договоры!$C$9:$R$32367,8,0))</f>
        <v/>
      </c>
      <c r="G25" s="1666" t="str">
        <f>IF(ISERROR(VLOOKUP(C25,Фин_договоры!$C$9:$R$32367,4,0)),"",VLOOKUP(C25,Фин_договоры!$C$9:$R$32367,4,0))</f>
        <v/>
      </c>
      <c r="H25" s="1667" t="str">
        <f>IF(ISERROR(VLOOKUP(C25,Фин_договоры!$C$9:$R$32367,9,0)),"",VLOOKUP(C25,Фин_договоры!$C$9:$R$32367,9,0))</f>
        <v/>
      </c>
      <c r="I25" s="1668" t="str">
        <f>IF(ISERROR(VLOOKUP(C25,Фин_договоры!$C$9:$U$32367,2,0)),"",VLOOKUP(C25,Фин_договоры!$C$9:$U$32367,2,0))</f>
        <v/>
      </c>
      <c r="J25" s="1671" t="str">
        <f>IF(ISERROR(VLOOKUP(C25,Фин_договоры!$C$9:$U$32367,10,0)),"",VLOOKUP(C25,Фин_договоры!$C$9:$U$32367,10,0))</f>
        <v/>
      </c>
      <c r="K25" s="1671" t="str">
        <f>IF(ISERROR(VLOOKUP(C25,Фин_договоры!$C$9:$U$32367,12,0)),"",VLOOKUP(C25,Фин_договоры!$C$9:$U$32367,12,0))</f>
        <v/>
      </c>
      <c r="L25" s="1670" t="str">
        <f>IF(ISERROR(VLOOKUP(C25,Фин_договоры!$C$9:$U$32367,14,0)),"",VLOOKUP(C25,Фин_договоры!$C$9:$U$32367,14,0))</f>
        <v/>
      </c>
      <c r="M25" s="1670" t="str">
        <f>IF(ISERROR(VLOOKUP(C25,Фин_договоры!$C$9:$U$32367,15,0)),"",VLOOKUP(C25,Фин_договоры!$C$9:$U$32367,15,0))</f>
        <v/>
      </c>
      <c r="N25" s="2661"/>
      <c r="O25" s="1668" t="str">
        <f>IF(ISERROR(VLOOKUP(C25,Фин_договоры!$C$9:$U$32367,16,0)),"",VLOOKUP(C25,Фин_договоры!$C$9:$U$32367,16,0))</f>
        <v/>
      </c>
      <c r="P25" s="1457"/>
      <c r="Q25" s="1457"/>
      <c r="R25" s="1457"/>
      <c r="S25" s="1458"/>
      <c r="T25" s="1458"/>
      <c r="U25" s="1458"/>
      <c r="V25" s="1458"/>
      <c r="W25" s="1458"/>
      <c r="X25" s="1458"/>
      <c r="Y25" s="1458"/>
      <c r="Z25" s="177">
        <f t="shared" si="7"/>
        <v>0</v>
      </c>
      <c r="AA25" s="1458"/>
      <c r="AC25" s="2130" t="b">
        <f t="shared" si="3"/>
        <v>1</v>
      </c>
      <c r="AK25" s="3333" t="str">
        <f t="shared" si="4"/>
        <v/>
      </c>
      <c r="AL25" s="3333" t="str">
        <f>IF(IFERROR(VLOOKUP(AN25,Список_компаний!$C:$I,6,0),"")=0,"",IFERROR(VLOOKUP(AN25,Список_компаний!$C:$I,6,0),""))</f>
        <v/>
      </c>
      <c r="AM25" s="3333" t="str">
        <f>IF(IFERROR(VLOOKUP(AN25,Список_компаний!$C:$I,7,0),"")=0,"",IFERROR(VLOOKUP(AN25,Список_компаний!$C:$I,7,0),""))</f>
        <v/>
      </c>
      <c r="AN25" s="1666" t="str">
        <f t="shared" si="5"/>
        <v/>
      </c>
    </row>
    <row r="26" spans="1:40" s="24" customFormat="1">
      <c r="A26" s="2427" t="str">
        <f t="shared" si="6"/>
        <v>R50=;R3=;R4=;R36=;R43=;COM=</v>
      </c>
      <c r="B26" s="565"/>
      <c r="C26" s="1456"/>
      <c r="D26" s="1665" t="str">
        <f>IF(ISERROR(VLOOKUP(C26,Фин_договоры!$C$9:$R$32367,6,0)),"",VLOOKUP(C26,Фин_договоры!$C$9:$R$32367,6,0))</f>
        <v/>
      </c>
      <c r="E26" s="1666" t="str">
        <f>IF(ISERROR(VLOOKUP(C26,Фин_договоры!$C$9:$R$32367,7,0)),"",VLOOKUP(C26,Фин_договоры!$C$9:$R$32367,7,0))</f>
        <v/>
      </c>
      <c r="F26" s="1666" t="str">
        <f>IF(ISERROR(VLOOKUP(C26,Фин_договоры!$C$9:$R$32367,8,0)),"",VLOOKUP(C26,Фин_договоры!$C$9:$R$32367,8,0))</f>
        <v/>
      </c>
      <c r="G26" s="1666" t="str">
        <f>IF(ISERROR(VLOOKUP(C26,Фин_договоры!$C$9:$R$32367,4,0)),"",VLOOKUP(C26,Фин_договоры!$C$9:$R$32367,4,0))</f>
        <v/>
      </c>
      <c r="H26" s="1667" t="str">
        <f>IF(ISERROR(VLOOKUP(C26,Фин_договоры!$C$9:$R$32367,9,0)),"",VLOOKUP(C26,Фин_договоры!$C$9:$R$32367,9,0))</f>
        <v/>
      </c>
      <c r="I26" s="1668" t="str">
        <f>IF(ISERROR(VLOOKUP(C26,Фин_договоры!$C$9:$U$32367,2,0)),"",VLOOKUP(C26,Фин_договоры!$C$9:$U$32367,2,0))</f>
        <v/>
      </c>
      <c r="J26" s="1671" t="str">
        <f>IF(ISERROR(VLOOKUP(C26,Фин_договоры!$C$9:$U$32367,10,0)),"",VLOOKUP(C26,Фин_договоры!$C$9:$U$32367,10,0))</f>
        <v/>
      </c>
      <c r="K26" s="1671" t="str">
        <f>IF(ISERROR(VLOOKUP(C26,Фин_договоры!$C$9:$U$32367,12,0)),"",VLOOKUP(C26,Фин_договоры!$C$9:$U$32367,12,0))</f>
        <v/>
      </c>
      <c r="L26" s="1670" t="str">
        <f>IF(ISERROR(VLOOKUP(C26,Фин_договоры!$C$9:$U$32367,14,0)),"",VLOOKUP(C26,Фин_договоры!$C$9:$U$32367,14,0))</f>
        <v/>
      </c>
      <c r="M26" s="1670" t="str">
        <f>IF(ISERROR(VLOOKUP(C26,Фин_договоры!$C$9:$U$32367,15,0)),"",VLOOKUP(C26,Фин_договоры!$C$9:$U$32367,15,0))</f>
        <v/>
      </c>
      <c r="N26" s="2661"/>
      <c r="O26" s="1668" t="str">
        <f>IF(ISERROR(VLOOKUP(C26,Фин_договоры!$C$9:$U$32367,16,0)),"",VLOOKUP(C26,Фин_договоры!$C$9:$U$32367,16,0))</f>
        <v/>
      </c>
      <c r="P26" s="1457"/>
      <c r="Q26" s="1457"/>
      <c r="R26" s="1457"/>
      <c r="S26" s="1458"/>
      <c r="T26" s="1458"/>
      <c r="U26" s="1458"/>
      <c r="V26" s="1458"/>
      <c r="W26" s="1458"/>
      <c r="X26" s="1458"/>
      <c r="Y26" s="1458"/>
      <c r="Z26" s="177">
        <f t="shared" si="7"/>
        <v>0</v>
      </c>
      <c r="AA26" s="1458"/>
      <c r="AC26" s="2130" t="b">
        <f t="shared" si="3"/>
        <v>1</v>
      </c>
      <c r="AK26" s="3333" t="str">
        <f t="shared" si="4"/>
        <v/>
      </c>
      <c r="AL26" s="3333" t="str">
        <f>IF(IFERROR(VLOOKUP(AN26,Список_компаний!$C:$I,6,0),"")=0,"",IFERROR(VLOOKUP(AN26,Список_компаний!$C:$I,6,0),""))</f>
        <v/>
      </c>
      <c r="AM26" s="3333" t="str">
        <f>IF(IFERROR(VLOOKUP(AN26,Список_компаний!$C:$I,7,0),"")=0,"",IFERROR(VLOOKUP(AN26,Список_компаний!$C:$I,7,0),""))</f>
        <v/>
      </c>
      <c r="AN26" s="1666" t="str">
        <f t="shared" si="5"/>
        <v/>
      </c>
    </row>
    <row r="27" spans="1:40" s="24" customFormat="1">
      <c r="A27" s="2427" t="str">
        <f t="shared" si="6"/>
        <v>R50=;R3=;R4=;R36=;R43=;COM=</v>
      </c>
      <c r="B27" s="565"/>
      <c r="C27" s="1456"/>
      <c r="D27" s="1665" t="str">
        <f>IF(ISERROR(VLOOKUP(C27,Фин_договоры!$C$9:$R$32367,6,0)),"",VLOOKUP(C27,Фин_договоры!$C$9:$R$32367,6,0))</f>
        <v/>
      </c>
      <c r="E27" s="1666" t="str">
        <f>IF(ISERROR(VLOOKUP(C27,Фин_договоры!$C$9:$R$32367,7,0)),"",VLOOKUP(C27,Фин_договоры!$C$9:$R$32367,7,0))</f>
        <v/>
      </c>
      <c r="F27" s="1666" t="str">
        <f>IF(ISERROR(VLOOKUP(C27,Фин_договоры!$C$9:$R$32367,8,0)),"",VLOOKUP(C27,Фин_договоры!$C$9:$R$32367,8,0))</f>
        <v/>
      </c>
      <c r="G27" s="1666" t="str">
        <f>IF(ISERROR(VLOOKUP(C27,Фин_договоры!$C$9:$R$32367,4,0)),"",VLOOKUP(C27,Фин_договоры!$C$9:$R$32367,4,0))</f>
        <v/>
      </c>
      <c r="H27" s="1667" t="str">
        <f>IF(ISERROR(VLOOKUP(C27,Фин_договоры!$C$9:$R$32367,9,0)),"",VLOOKUP(C27,Фин_договоры!$C$9:$R$32367,9,0))</f>
        <v/>
      </c>
      <c r="I27" s="1668" t="str">
        <f>IF(ISERROR(VLOOKUP(C27,Фин_договоры!$C$9:$U$32367,2,0)),"",VLOOKUP(C27,Фин_договоры!$C$9:$U$32367,2,0))</f>
        <v/>
      </c>
      <c r="J27" s="1671" t="str">
        <f>IF(ISERROR(VLOOKUP(C27,Фин_договоры!$C$9:$U$32367,10,0)),"",VLOOKUP(C27,Фин_договоры!$C$9:$U$32367,10,0))</f>
        <v/>
      </c>
      <c r="K27" s="1671" t="str">
        <f>IF(ISERROR(VLOOKUP(C27,Фин_договоры!$C$9:$U$32367,12,0)),"",VLOOKUP(C27,Фин_договоры!$C$9:$U$32367,12,0))</f>
        <v/>
      </c>
      <c r="L27" s="1670" t="str">
        <f>IF(ISERROR(VLOOKUP(C27,Фин_договоры!$C$9:$U$32367,14,0)),"",VLOOKUP(C27,Фин_договоры!$C$9:$U$32367,14,0))</f>
        <v/>
      </c>
      <c r="M27" s="1670" t="str">
        <f>IF(ISERROR(VLOOKUP(C27,Фин_договоры!$C$9:$U$32367,15,0)),"",VLOOKUP(C27,Фин_договоры!$C$9:$U$32367,15,0))</f>
        <v/>
      </c>
      <c r="N27" s="2661"/>
      <c r="O27" s="1668" t="str">
        <f>IF(ISERROR(VLOOKUP(C27,Фин_договоры!$C$9:$U$32367,16,0)),"",VLOOKUP(C27,Фин_договоры!$C$9:$U$32367,16,0))</f>
        <v/>
      </c>
      <c r="P27" s="1457"/>
      <c r="Q27" s="1457"/>
      <c r="R27" s="1457"/>
      <c r="S27" s="1458"/>
      <c r="T27" s="1458"/>
      <c r="U27" s="1458"/>
      <c r="V27" s="1458"/>
      <c r="W27" s="1458"/>
      <c r="X27" s="1458"/>
      <c r="Y27" s="1458"/>
      <c r="Z27" s="177">
        <f t="shared" si="7"/>
        <v>0</v>
      </c>
      <c r="AA27" s="1458"/>
      <c r="AC27" s="2130" t="b">
        <f t="shared" si="3"/>
        <v>1</v>
      </c>
      <c r="AK27" s="3333" t="str">
        <f t="shared" si="4"/>
        <v/>
      </c>
      <c r="AL27" s="3333" t="str">
        <f>IF(IFERROR(VLOOKUP(AN27,Список_компаний!$C:$I,6,0),"")=0,"",IFERROR(VLOOKUP(AN27,Список_компаний!$C:$I,6,0),""))</f>
        <v/>
      </c>
      <c r="AM27" s="3333" t="str">
        <f>IF(IFERROR(VLOOKUP(AN27,Список_компаний!$C:$I,7,0),"")=0,"",IFERROR(VLOOKUP(AN27,Список_компаний!$C:$I,7,0),""))</f>
        <v/>
      </c>
      <c r="AN27" s="1666" t="str">
        <f t="shared" si="5"/>
        <v/>
      </c>
    </row>
    <row r="28" spans="1:40" s="24" customFormat="1">
      <c r="A28" s="2427" t="str">
        <f t="shared" si="6"/>
        <v>R50=;R3=;R4=;R36=;R43=;COM=</v>
      </c>
      <c r="B28" s="565"/>
      <c r="C28" s="1456"/>
      <c r="D28" s="1665" t="str">
        <f>IF(ISERROR(VLOOKUP(C28,Фин_договоры!$C$9:$R$32367,6,0)),"",VLOOKUP(C28,Фин_договоры!$C$9:$R$32367,6,0))</f>
        <v/>
      </c>
      <c r="E28" s="1666" t="str">
        <f>IF(ISERROR(VLOOKUP(C28,Фин_договоры!$C$9:$R$32367,7,0)),"",VLOOKUP(C28,Фин_договоры!$C$9:$R$32367,7,0))</f>
        <v/>
      </c>
      <c r="F28" s="1666" t="str">
        <f>IF(ISERROR(VLOOKUP(C28,Фин_договоры!$C$9:$R$32367,8,0)),"",VLOOKUP(C28,Фин_договоры!$C$9:$R$32367,8,0))</f>
        <v/>
      </c>
      <c r="G28" s="1666" t="str">
        <f>IF(ISERROR(VLOOKUP(C28,Фин_договоры!$C$9:$R$32367,4,0)),"",VLOOKUP(C28,Фин_договоры!$C$9:$R$32367,4,0))</f>
        <v/>
      </c>
      <c r="H28" s="1667" t="str">
        <f>IF(ISERROR(VLOOKUP(C28,Фин_договоры!$C$9:$R$32367,9,0)),"",VLOOKUP(C28,Фин_договоры!$C$9:$R$32367,9,0))</f>
        <v/>
      </c>
      <c r="I28" s="1668" t="str">
        <f>IF(ISERROR(VLOOKUP(C28,Фин_договоры!$C$9:$U$32367,2,0)),"",VLOOKUP(C28,Фин_договоры!$C$9:$U$32367,2,0))</f>
        <v/>
      </c>
      <c r="J28" s="1671" t="str">
        <f>IF(ISERROR(VLOOKUP(C28,Фин_договоры!$C$9:$U$32367,10,0)),"",VLOOKUP(C28,Фин_договоры!$C$9:$U$32367,10,0))</f>
        <v/>
      </c>
      <c r="K28" s="1671" t="str">
        <f>IF(ISERROR(VLOOKUP(C28,Фин_договоры!$C$9:$U$32367,12,0)),"",VLOOKUP(C28,Фин_договоры!$C$9:$U$32367,12,0))</f>
        <v/>
      </c>
      <c r="L28" s="1670" t="str">
        <f>IF(ISERROR(VLOOKUP(C28,Фин_договоры!$C$9:$U$32367,14,0)),"",VLOOKUP(C28,Фин_договоры!$C$9:$U$32367,14,0))</f>
        <v/>
      </c>
      <c r="M28" s="1670" t="str">
        <f>IF(ISERROR(VLOOKUP(C28,Фин_договоры!$C$9:$U$32367,15,0)),"",VLOOKUP(C28,Фин_договоры!$C$9:$U$32367,15,0))</f>
        <v/>
      </c>
      <c r="N28" s="2661"/>
      <c r="O28" s="1668" t="str">
        <f>IF(ISERROR(VLOOKUP(C28,Фин_договоры!$C$9:$U$32367,16,0)),"",VLOOKUP(C28,Фин_договоры!$C$9:$U$32367,16,0))</f>
        <v/>
      </c>
      <c r="P28" s="1457"/>
      <c r="Q28" s="1457"/>
      <c r="R28" s="1457"/>
      <c r="S28" s="1458"/>
      <c r="T28" s="1458"/>
      <c r="U28" s="1458"/>
      <c r="V28" s="1458"/>
      <c r="W28" s="1458"/>
      <c r="X28" s="1458"/>
      <c r="Y28" s="1458"/>
      <c r="Z28" s="177">
        <f t="shared" si="7"/>
        <v>0</v>
      </c>
      <c r="AA28" s="1458"/>
      <c r="AC28" s="2130" t="b">
        <f t="shared" si="3"/>
        <v>1</v>
      </c>
      <c r="AK28" s="3333" t="str">
        <f t="shared" si="4"/>
        <v/>
      </c>
      <c r="AL28" s="3333" t="str">
        <f>IF(IFERROR(VLOOKUP(AN28,Список_компаний!$C:$I,6,0),"")=0,"",IFERROR(VLOOKUP(AN28,Список_компаний!$C:$I,6,0),""))</f>
        <v/>
      </c>
      <c r="AM28" s="3333" t="str">
        <f>IF(IFERROR(VLOOKUP(AN28,Список_компаний!$C:$I,7,0),"")=0,"",IFERROR(VLOOKUP(AN28,Список_компаний!$C:$I,7,0),""))</f>
        <v/>
      </c>
      <c r="AN28" s="1666" t="str">
        <f t="shared" si="5"/>
        <v/>
      </c>
    </row>
    <row r="29" spans="1:40" s="24" customFormat="1">
      <c r="A29" s="2427" t="str">
        <f t="shared" si="6"/>
        <v>R50=;R3=;R4=;R36=;R43=;COM=</v>
      </c>
      <c r="B29" s="565"/>
      <c r="C29" s="1456"/>
      <c r="D29" s="1665" t="str">
        <f>IF(ISERROR(VLOOKUP(C29,Фин_договоры!$C$9:$R$32367,6,0)),"",VLOOKUP(C29,Фин_договоры!$C$9:$R$32367,6,0))</f>
        <v/>
      </c>
      <c r="E29" s="1666" t="str">
        <f>IF(ISERROR(VLOOKUP(C29,Фин_договоры!$C$9:$R$32367,7,0)),"",VLOOKUP(C29,Фин_договоры!$C$9:$R$32367,7,0))</f>
        <v/>
      </c>
      <c r="F29" s="1666" t="str">
        <f>IF(ISERROR(VLOOKUP(C29,Фин_договоры!$C$9:$R$32367,8,0)),"",VLOOKUP(C29,Фин_договоры!$C$9:$R$32367,8,0))</f>
        <v/>
      </c>
      <c r="G29" s="1666" t="str">
        <f>IF(ISERROR(VLOOKUP(C29,Фин_договоры!$C$9:$R$32367,4,0)),"",VLOOKUP(C29,Фин_договоры!$C$9:$R$32367,4,0))</f>
        <v/>
      </c>
      <c r="H29" s="1667" t="str">
        <f>IF(ISERROR(VLOOKUP(C29,Фин_договоры!$C$9:$R$32367,9,0)),"",VLOOKUP(C29,Фин_договоры!$C$9:$R$32367,9,0))</f>
        <v/>
      </c>
      <c r="I29" s="1668" t="str">
        <f>IF(ISERROR(VLOOKUP(C29,Фин_договоры!$C$9:$U$32367,2,0)),"",VLOOKUP(C29,Фин_договоры!$C$9:$U$32367,2,0))</f>
        <v/>
      </c>
      <c r="J29" s="1671" t="str">
        <f>IF(ISERROR(VLOOKUP(C29,Фин_договоры!$C$9:$U$32367,10,0)),"",VLOOKUP(C29,Фин_договоры!$C$9:$U$32367,10,0))</f>
        <v/>
      </c>
      <c r="K29" s="1671" t="str">
        <f>IF(ISERROR(VLOOKUP(C29,Фин_договоры!$C$9:$U$32367,12,0)),"",VLOOKUP(C29,Фин_договоры!$C$9:$U$32367,12,0))</f>
        <v/>
      </c>
      <c r="L29" s="1670" t="str">
        <f>IF(ISERROR(VLOOKUP(C29,Фин_договоры!$C$9:$U$32367,14,0)),"",VLOOKUP(C29,Фин_договоры!$C$9:$U$32367,14,0))</f>
        <v/>
      </c>
      <c r="M29" s="1670" t="str">
        <f>IF(ISERROR(VLOOKUP(C29,Фин_договоры!$C$9:$U$32367,15,0)),"",VLOOKUP(C29,Фин_договоры!$C$9:$U$32367,15,0))</f>
        <v/>
      </c>
      <c r="N29" s="2661"/>
      <c r="O29" s="1668" t="str">
        <f>IF(ISERROR(VLOOKUP(C29,Фин_договоры!$C$9:$U$32367,16,0)),"",VLOOKUP(C29,Фин_договоры!$C$9:$U$32367,16,0))</f>
        <v/>
      </c>
      <c r="P29" s="1457"/>
      <c r="Q29" s="1457"/>
      <c r="R29" s="1457"/>
      <c r="S29" s="1458"/>
      <c r="T29" s="1458"/>
      <c r="U29" s="1458"/>
      <c r="V29" s="1458"/>
      <c r="W29" s="1458"/>
      <c r="X29" s="1458"/>
      <c r="Y29" s="1458"/>
      <c r="Z29" s="177">
        <f>SUM(P29:Y29)</f>
        <v>0</v>
      </c>
      <c r="AA29" s="1458"/>
      <c r="AC29" s="2130" t="b">
        <f t="shared" si="3"/>
        <v>1</v>
      </c>
      <c r="AK29" s="3333" t="str">
        <f t="shared" si="4"/>
        <v/>
      </c>
      <c r="AL29" s="3333" t="str">
        <f>IF(IFERROR(VLOOKUP(AN29,Список_компаний!$C:$I,6,0),"")=0,"",IFERROR(VLOOKUP(AN29,Список_компаний!$C:$I,6,0),""))</f>
        <v/>
      </c>
      <c r="AM29" s="3333" t="str">
        <f>IF(IFERROR(VLOOKUP(AN29,Список_компаний!$C:$I,7,0),"")=0,"",IFERROR(VLOOKUP(AN29,Список_компаний!$C:$I,7,0),""))</f>
        <v/>
      </c>
      <c r="AN29" s="1666" t="str">
        <f t="shared" si="5"/>
        <v/>
      </c>
    </row>
    <row r="30" spans="1:40" s="24" customFormat="1">
      <c r="A30" s="2427" t="str">
        <f t="shared" si="6"/>
        <v>R50=;R3=;R4=;R36=;R43=;COM=</v>
      </c>
      <c r="B30" s="565"/>
      <c r="C30" s="1456"/>
      <c r="D30" s="1665" t="str">
        <f>IF(ISERROR(VLOOKUP(C30,Фин_договоры!$C$9:$R$32367,6,0)),"",VLOOKUP(C30,Фин_договоры!$C$9:$R$32367,6,0))</f>
        <v/>
      </c>
      <c r="E30" s="1666" t="str">
        <f>IF(ISERROR(VLOOKUP(C30,Фин_договоры!$C$9:$R$32367,7,0)),"",VLOOKUP(C30,Фин_договоры!$C$9:$R$32367,7,0))</f>
        <v/>
      </c>
      <c r="F30" s="1666" t="str">
        <f>IF(ISERROR(VLOOKUP(C30,Фин_договоры!$C$9:$R$32367,8,0)),"",VLOOKUP(C30,Фин_договоры!$C$9:$R$32367,8,0))</f>
        <v/>
      </c>
      <c r="G30" s="1666" t="str">
        <f>IF(ISERROR(VLOOKUP(C30,Фин_договоры!$C$9:$R$32367,4,0)),"",VLOOKUP(C30,Фин_договоры!$C$9:$R$32367,4,0))</f>
        <v/>
      </c>
      <c r="H30" s="1667" t="str">
        <f>IF(ISERROR(VLOOKUP(C30,Фин_договоры!$C$9:$R$32367,9,0)),"",VLOOKUP(C30,Фин_договоры!$C$9:$R$32367,9,0))</f>
        <v/>
      </c>
      <c r="I30" s="1668" t="str">
        <f>IF(ISERROR(VLOOKUP(C30,Фин_договоры!$C$9:$U$32367,2,0)),"",VLOOKUP(C30,Фин_договоры!$C$9:$U$32367,2,0))</f>
        <v/>
      </c>
      <c r="J30" s="1671" t="str">
        <f>IF(ISERROR(VLOOKUP(C30,Фин_договоры!$C$9:$U$32367,10,0)),"",VLOOKUP(C30,Фин_договоры!$C$9:$U$32367,10,0))</f>
        <v/>
      </c>
      <c r="K30" s="1671" t="str">
        <f>IF(ISERROR(VLOOKUP(C30,Фин_договоры!$C$9:$U$32367,12,0)),"",VLOOKUP(C30,Фин_договоры!$C$9:$U$32367,12,0))</f>
        <v/>
      </c>
      <c r="L30" s="1670" t="str">
        <f>IF(ISERROR(VLOOKUP(C30,Фин_договоры!$C$9:$U$32367,14,0)),"",VLOOKUP(C30,Фин_договоры!$C$9:$U$32367,14,0))</f>
        <v/>
      </c>
      <c r="M30" s="1670" t="str">
        <f>IF(ISERROR(VLOOKUP(C30,Фин_договоры!$C$9:$U$32367,15,0)),"",VLOOKUP(C30,Фин_договоры!$C$9:$U$32367,15,0))</f>
        <v/>
      </c>
      <c r="N30" s="2661"/>
      <c r="O30" s="1668" t="str">
        <f>IF(ISERROR(VLOOKUP(C30,Фин_договоры!$C$9:$U$32367,16,0)),"",VLOOKUP(C30,Фин_договоры!$C$9:$U$32367,16,0))</f>
        <v/>
      </c>
      <c r="P30" s="1457"/>
      <c r="Q30" s="1457"/>
      <c r="R30" s="1457"/>
      <c r="S30" s="1500"/>
      <c r="T30" s="1500"/>
      <c r="U30" s="1500"/>
      <c r="V30" s="1500"/>
      <c r="W30" s="1500"/>
      <c r="X30" s="1500"/>
      <c r="Y30" s="1500"/>
      <c r="Z30" s="177">
        <f>SUM(P30:Y30)</f>
        <v>0</v>
      </c>
      <c r="AA30" s="1500"/>
      <c r="AC30" s="2130" t="b">
        <f t="shared" si="3"/>
        <v>1</v>
      </c>
      <c r="AK30" s="3333" t="str">
        <f t="shared" si="4"/>
        <v/>
      </c>
      <c r="AL30" s="3333" t="str">
        <f>IF(IFERROR(VLOOKUP(AN30,Список_компаний!$C:$I,6,0),"")=0,"",IFERROR(VLOOKUP(AN30,Список_компаний!$C:$I,6,0),""))</f>
        <v/>
      </c>
      <c r="AM30" s="3333" t="str">
        <f>IF(IFERROR(VLOOKUP(AN30,Список_компаний!$C:$I,7,0),"")=0,"",IFERROR(VLOOKUP(AN30,Список_компаний!$C:$I,7,0),""))</f>
        <v/>
      </c>
      <c r="AN30" s="1666" t="str">
        <f t="shared" si="5"/>
        <v/>
      </c>
    </row>
    <row r="31" spans="1:40" s="24" customFormat="1" ht="15" thickBot="1">
      <c r="A31" s="2427" t="str">
        <f t="shared" si="6"/>
        <v>R50=;R3=;R4=;R36=;R43=;COM=</v>
      </c>
      <c r="B31" s="565"/>
      <c r="C31" s="1201"/>
      <c r="D31" s="2364" t="str">
        <f>IF(ISERROR(VLOOKUP(C31,Фин_договоры!$C$9:$R$32367,6,0)),"",VLOOKUP(C31,Фин_договоры!$C$9:$R$32367,6,0))</f>
        <v/>
      </c>
      <c r="E31" s="2365" t="str">
        <f>IF(ISERROR(VLOOKUP(C31,Фин_договоры!$C$9:$R$32367,7,0)),"",VLOOKUP(C31,Фин_договоры!$C$9:$R$32367,7,0))</f>
        <v/>
      </c>
      <c r="F31" s="2365" t="str">
        <f>IF(ISERROR(VLOOKUP(C31,Фин_договоры!$C$9:$R$32367,8,0)),"",VLOOKUP(C31,Фин_договоры!$C$9:$R$32367,8,0))</f>
        <v/>
      </c>
      <c r="G31" s="2365" t="str">
        <f>IF(ISERROR(VLOOKUP(C31,Фин_договоры!$C$9:$R$32367,4,0)),"",VLOOKUP(C31,Фин_договоры!$C$9:$R$32367,4,0))</f>
        <v/>
      </c>
      <c r="H31" s="2366" t="str">
        <f>IF(ISERROR(VLOOKUP(C31,Фин_договоры!$C$9:$R$32367,9,0)),"",VLOOKUP(C31,Фин_договоры!$C$9:$R$32367,9,0))</f>
        <v/>
      </c>
      <c r="I31" s="2367" t="str">
        <f>IF(ISERROR(VLOOKUP(C31,Фин_договоры!$C$9:$U$32367,2,0)),"",VLOOKUP(C31,Фин_договоры!$C$9:$U$32367,2,0))</f>
        <v/>
      </c>
      <c r="J31" s="2663" t="str">
        <f>IF(ISERROR(VLOOKUP(C31,Фин_договоры!$C$9:$U$32367,10,0)),"",VLOOKUP(C31,Фин_договоры!$C$9:$U$32367,10,0))</f>
        <v/>
      </c>
      <c r="K31" s="2363" t="str">
        <f>IF(ISERROR(VLOOKUP(C31,Фин_договоры!$C$9:$U$32367,12,0)),"",VLOOKUP(C31,Фин_договоры!$C$9:$U$32367,12,0))</f>
        <v/>
      </c>
      <c r="L31" s="2362" t="str">
        <f>IF(ISERROR(VLOOKUP(C31,Фин_договоры!$C$9:$U$32367,14,0)),"",VLOOKUP(C31,Фин_договоры!$C$9:$U$32367,14,0))</f>
        <v/>
      </c>
      <c r="M31" s="2362" t="str">
        <f>IF(ISERROR(VLOOKUP(C31,Фин_договоры!$C$9:$U$32367,15,0)),"",VLOOKUP(C31,Фин_договоры!$C$9:$U$32367,15,0))</f>
        <v/>
      </c>
      <c r="N31" s="2661"/>
      <c r="O31" s="2367" t="str">
        <f>IF(ISERROR(VLOOKUP(C31,Фин_договоры!$C$9:$U$32367,16,0)),"",VLOOKUP(C31,Фин_договоры!$C$9:$U$32367,16,0))</f>
        <v/>
      </c>
      <c r="P31" s="1483"/>
      <c r="Q31" s="1483"/>
      <c r="R31" s="1483"/>
      <c r="S31" s="1483"/>
      <c r="T31" s="1483"/>
      <c r="U31" s="1483"/>
      <c r="V31" s="1483"/>
      <c r="W31" s="1483"/>
      <c r="X31" s="1483"/>
      <c r="Y31" s="1483"/>
      <c r="Z31" s="274">
        <f>SUM(P31:Y31)</f>
        <v>0</v>
      </c>
      <c r="AA31" s="1483"/>
      <c r="AC31" s="2130" t="b">
        <f t="shared" ref="AC31" si="8">IF(OR(I31=$AE$12,I31=$AE$13,I31=$AE$14,COUNTBLANK(P31:Y31)=10),TRUE,FALSE)</f>
        <v>1</v>
      </c>
      <c r="AK31" s="3333" t="str">
        <f t="shared" si="4"/>
        <v/>
      </c>
      <c r="AL31" s="3333" t="str">
        <f>IF(IFERROR(VLOOKUP(AN31,Список_компаний!$C:$I,6,0),"")=0,"",IFERROR(VLOOKUP(AN31,Список_компаний!$C:$I,6,0),""))</f>
        <v/>
      </c>
      <c r="AM31" s="3333" t="str">
        <f>IF(IFERROR(VLOOKUP(AN31,Список_компаний!$C:$I,7,0),"")=0,"",IFERROR(VLOOKUP(AN31,Список_компаний!$C:$I,7,0),""))</f>
        <v/>
      </c>
      <c r="AN31" s="1666" t="str">
        <f t="shared" ref="AN31" si="9">IF(OR(IF(TEXT(LEFT(F31,1),"0")="0",TRUE,FALSE),ISERROR(F31*1)),F31,F31*1)</f>
        <v/>
      </c>
    </row>
  </sheetData>
  <sheetProtection algorithmName="SHA-512" hashValue="qlFgdRsd+5NIzrdpQg6C2E+d3he7scda9esFrrHc5Q5jJFypol/YwRg3pn/AVhoONlryo+ejU7CtrY9rAJl7WQ==" saltValue="yFYCY0u2nna2k9NBtu+wBA==" spinCount="100000" sheet="1" objects="1" scenarios="1" formatColumns="0" formatRows="0" autoFilter="0"/>
  <autoFilter ref="C8:AA8"/>
  <customSheetViews>
    <customSheetView guid="{3769259D-9653-4B34-A2F6-4FB6F9F4E533}" scale="80" showGridLines="0" showAutoFilter="1" hiddenRows="1" hiddenColumns="1" topLeftCell="B2">
      <selection activeCell="C17" sqref="C17"/>
      <pageMargins left="0.7" right="0.7" top="0.75" bottom="0.75" header="0.3" footer="0.3"/>
      <pageSetup orientation="portrait" r:id="rId1"/>
      <autoFilter ref="B1:W1"/>
    </customSheetView>
    <customSheetView guid="{40D7A2BB-326C-4ED3-999C-17852F56D6F4}" scale="80" showGridLines="0" showAutoFilter="1" hiddenRows="1" hiddenColumns="1" topLeftCell="B2">
      <selection activeCell="C17" sqref="C17"/>
      <pageMargins left="0.7" right="0.7" top="0.75" bottom="0.75" header="0.3" footer="0.3"/>
      <pageSetup orientation="portrait" r:id="rId2"/>
      <autoFilter ref="B1:W1"/>
    </customSheetView>
    <customSheetView guid="{5D121940-0CE8-4A0E-A493-67FAAA6E0FF8}" scale="80" showGridLines="0" showAutoFilter="1" hiddenRows="1" hiddenColumns="1" topLeftCell="N2">
      <selection activeCell="C10" sqref="C10:X10"/>
      <pageMargins left="0.7" right="0.7" top="0.75" bottom="0.75" header="0.3" footer="0.3"/>
      <pageSetup orientation="portrait" r:id="rId3"/>
      <autoFilter ref="B1:W1"/>
    </customSheetView>
    <customSheetView guid="{47AEACC4-6EA5-412C-AF39-A6C5357B313A}" scale="80" showGridLines="0" showAutoFilter="1" hiddenRows="1" hiddenColumns="1" topLeftCell="H2">
      <selection activeCell="K30" sqref="K30"/>
      <pageMargins left="0.7" right="0.7" top="0.75" bottom="0.75" header="0.3" footer="0.3"/>
      <pageSetup orientation="portrait" r:id="rId4"/>
      <autoFilter ref="B1:W1"/>
    </customSheetView>
    <customSheetView guid="{4D957B38-5430-481E-B791-E0A66F913B50}" scale="70" hiddenColumns="1">
      <pageMargins left="0.7" right="0.7" top="0.75" bottom="0.75" header="0.3" footer="0.3"/>
      <pageSetup orientation="portrait" r:id="rId5"/>
    </customSheetView>
    <customSheetView guid="{1C36793E-2B7E-411E-AA99-985D5D59B75A}" scale="70">
      <pageMargins left="0.7" right="0.7" top="0.75" bottom="0.75" header="0.3" footer="0.3"/>
      <pageSetup orientation="portrait" r:id="rId6"/>
    </customSheetView>
    <customSheetView guid="{C913A9E8-661B-40A4-A3C9-1BC5F2B2E9F0}" scale="80" showGridLines="0" showAutoFilter="1" hiddenRows="1" hiddenColumns="1" topLeftCell="N2">
      <selection activeCell="C10" sqref="C10:X10"/>
      <pageMargins left="0.7" right="0.7" top="0.75" bottom="0.75" header="0.3" footer="0.3"/>
      <pageSetup orientation="portrait" r:id="rId7"/>
      <autoFilter ref="B1:W1"/>
    </customSheetView>
  </customSheetViews>
  <mergeCells count="17">
    <mergeCell ref="H5:H6"/>
    <mergeCell ref="I5:I6"/>
    <mergeCell ref="J5:J6"/>
    <mergeCell ref="K5:K6"/>
    <mergeCell ref="L5:L6"/>
    <mergeCell ref="C5:C6"/>
    <mergeCell ref="D5:D6"/>
    <mergeCell ref="E5:E6"/>
    <mergeCell ref="G5:G6"/>
    <mergeCell ref="F5:F6"/>
    <mergeCell ref="M5:M6"/>
    <mergeCell ref="N5:N6"/>
    <mergeCell ref="AK5:AK7"/>
    <mergeCell ref="AL5:AL7"/>
    <mergeCell ref="AM5:AM7"/>
    <mergeCell ref="O5:O6"/>
    <mergeCell ref="P5:AA5"/>
  </mergeCells>
  <phoneticPr fontId="0" type="noConversion"/>
  <conditionalFormatting sqref="AK12:AK1700">
    <cfRule type="containsText" dxfId="32" priority="3" operator="containsText" text="ложь">
      <formula>NOT(ISERROR(SEARCH("ложь",AK12)))</formula>
    </cfRule>
    <cfRule type="containsText" dxfId="31" priority="4" operator="containsText" text="истина">
      <formula>NOT(ISERROR(SEARCH("истина",AK12)))</formula>
    </cfRule>
  </conditionalFormatting>
  <dataValidations count="2">
    <dataValidation type="list" allowBlank="1" showInputMessage="1" showErrorMessage="1" sqref="C12:C31">
      <formula1>dogovor_fin</formula1>
    </dataValidation>
    <dataValidation type="list" allowBlank="1" showInputMessage="1" showErrorMessage="1" sqref="N12:N31">
      <formula1>_9018</formula1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26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79" r:id="rId11" name="Button 23">
              <controlPr defaultSize="0" print="0" autoFill="0" autoPict="0" macro="[0]!AddButtonsRowAdd">
                <anchor moveWithCells="1">
                  <from>
                    <xdr:col>3</xdr:col>
                    <xdr:colOff>1974850</xdr:colOff>
                    <xdr:row>2</xdr:row>
                    <xdr:rowOff>107950</xdr:rowOff>
                  </from>
                  <to>
                    <xdr:col>4</xdr:col>
                    <xdr:colOff>990600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7">
    <pageSetUpPr fitToPage="1"/>
  </sheetPr>
  <dimension ref="A1:AN20"/>
  <sheetViews>
    <sheetView topLeftCell="B2" zoomScale="70" zoomScaleNormal="70" workbookViewId="0">
      <selection activeCell="A2" sqref="A1:A1048576"/>
    </sheetView>
  </sheetViews>
  <sheetFormatPr defaultColWidth="15.453125" defaultRowHeight="14.5"/>
  <cols>
    <col min="1" max="1" width="27.54296875" style="32" hidden="1" customWidth="1"/>
    <col min="2" max="2" width="1.453125" style="32" customWidth="1"/>
    <col min="3" max="3" width="26.453125" style="183" customWidth="1"/>
    <col min="4" max="4" width="25.54296875" style="183" customWidth="1"/>
    <col min="5" max="5" width="16.54296875" style="183" customWidth="1"/>
    <col min="6" max="6" width="22.54296875" style="183" customWidth="1"/>
    <col min="7" max="8" width="22.453125" style="183" customWidth="1"/>
    <col min="9" max="14" width="19.54296875" style="183" customWidth="1"/>
    <col min="15" max="15" width="17.453125" style="183" customWidth="1"/>
    <col min="16" max="16" width="18.54296875" style="32" bestFit="1" customWidth="1"/>
    <col min="17" max="23" width="15.453125" style="32" customWidth="1"/>
    <col min="24" max="24" width="16.54296875" style="32" customWidth="1"/>
    <col min="25" max="26" width="15.453125" style="32" customWidth="1"/>
    <col min="27" max="27" width="33" style="32" customWidth="1"/>
    <col min="28" max="28" width="11.453125" style="32" customWidth="1"/>
    <col min="29" max="36" width="9.453125" style="32" customWidth="1"/>
    <col min="37" max="37" width="48.81640625" style="32" customWidth="1"/>
    <col min="38" max="240" width="9.453125" style="32" customWidth="1"/>
    <col min="241" max="241" width="5.54296875" style="32" customWidth="1"/>
    <col min="242" max="242" width="16.453125" style="32" customWidth="1"/>
    <col min="243" max="245" width="15.453125" style="32" customWidth="1"/>
    <col min="246" max="246" width="25.54296875" style="32" customWidth="1"/>
    <col min="247" max="16384" width="15.453125" style="32"/>
  </cols>
  <sheetData>
    <row r="1" spans="1:40" ht="33.75" hidden="1" customHeight="1">
      <c r="A1" s="167" t="s">
        <v>2827</v>
      </c>
      <c r="B1" s="22"/>
      <c r="C1" s="6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6" t="s">
        <v>1015</v>
      </c>
      <c r="Q1" s="6" t="s">
        <v>1016</v>
      </c>
      <c r="R1" s="6" t="s">
        <v>1017</v>
      </c>
      <c r="S1" s="6" t="s">
        <v>1018</v>
      </c>
      <c r="T1" s="6" t="s">
        <v>1019</v>
      </c>
      <c r="U1" s="6" t="s">
        <v>1025</v>
      </c>
      <c r="V1" s="6" t="s">
        <v>1020</v>
      </c>
      <c r="W1" s="6" t="s">
        <v>1021</v>
      </c>
      <c r="X1" s="6" t="s">
        <v>1022</v>
      </c>
      <c r="Y1" s="6" t="s">
        <v>1023</v>
      </c>
      <c r="Z1" s="6" t="s">
        <v>512</v>
      </c>
      <c r="AA1" s="6" t="s">
        <v>1024</v>
      </c>
    </row>
    <row r="2" spans="1:40" s="774" customFormat="1" ht="12.5">
      <c r="A2" s="748"/>
      <c r="P2" s="774" t="s">
        <v>1648</v>
      </c>
      <c r="Q2" s="774" t="s">
        <v>1648</v>
      </c>
      <c r="R2" s="774" t="s">
        <v>1648</v>
      </c>
      <c r="S2" s="774" t="s">
        <v>1648</v>
      </c>
      <c r="T2" s="774" t="s">
        <v>1648</v>
      </c>
      <c r="U2" s="774" t="s">
        <v>1648</v>
      </c>
      <c r="V2" s="774" t="s">
        <v>1648</v>
      </c>
      <c r="W2" s="774" t="s">
        <v>1648</v>
      </c>
      <c r="X2" s="774" t="s">
        <v>1648</v>
      </c>
      <c r="Y2" s="774" t="s">
        <v>1648</v>
      </c>
      <c r="Z2" s="774" t="s">
        <v>1648</v>
      </c>
      <c r="AA2" s="774" t="s">
        <v>1648</v>
      </c>
    </row>
    <row r="3" spans="1:40" s="24" customFormat="1" ht="26">
      <c r="A3" s="9"/>
      <c r="C3" s="169" t="s">
        <v>4407</v>
      </c>
      <c r="D3" s="168"/>
      <c r="E3" s="169"/>
      <c r="F3" s="169"/>
      <c r="G3" s="1897" t="s">
        <v>2067</v>
      </c>
      <c r="H3" s="1244">
        <f>Содержание!$D$2</f>
        <v>0</v>
      </c>
      <c r="I3" s="2660"/>
      <c r="J3" s="2660"/>
      <c r="K3" s="2660"/>
      <c r="L3" s="2660"/>
      <c r="M3" s="2660"/>
      <c r="N3" s="2660"/>
      <c r="O3" s="168"/>
    </row>
    <row r="4" spans="1:40" s="24" customFormat="1" ht="15" thickBot="1">
      <c r="A4" s="9"/>
      <c r="C4" s="168"/>
      <c r="D4" s="168"/>
      <c r="E4" s="168"/>
      <c r="F4" s="168"/>
      <c r="G4" s="1897" t="s">
        <v>2075</v>
      </c>
      <c r="H4" s="1244" t="str">
        <f>Содержание!$D$15</f>
        <v>2022 год</v>
      </c>
      <c r="I4" s="3044" t="s">
        <v>1436</v>
      </c>
      <c r="J4" s="1202"/>
      <c r="K4" s="1202"/>
      <c r="L4" s="1202"/>
      <c r="M4" s="1202"/>
      <c r="N4" s="1202"/>
      <c r="O4" s="170"/>
      <c r="P4" s="171"/>
      <c r="Q4" s="3850"/>
      <c r="R4" s="3850"/>
      <c r="S4" s="172"/>
      <c r="T4" s="323"/>
      <c r="U4" s="323"/>
      <c r="V4" s="323"/>
      <c r="W4" s="172"/>
      <c r="X4" s="172"/>
      <c r="Y4" s="323"/>
      <c r="Z4" s="170"/>
      <c r="AA4" s="170"/>
    </row>
    <row r="5" spans="1:40" s="24" customFormat="1" ht="13.5" customHeight="1">
      <c r="A5" s="9"/>
      <c r="C5" s="3675" t="s">
        <v>1792</v>
      </c>
      <c r="D5" s="3677" t="s">
        <v>5381</v>
      </c>
      <c r="E5" s="3677" t="s">
        <v>5531</v>
      </c>
      <c r="F5" s="3783" t="s">
        <v>8394</v>
      </c>
      <c r="G5" s="3677" t="s">
        <v>5382</v>
      </c>
      <c r="H5" s="3677" t="s">
        <v>5383</v>
      </c>
      <c r="I5" s="3677" t="s">
        <v>5384</v>
      </c>
      <c r="J5" s="3677" t="s">
        <v>7698</v>
      </c>
      <c r="K5" s="3677" t="s">
        <v>7699</v>
      </c>
      <c r="L5" s="3677" t="s">
        <v>5385</v>
      </c>
      <c r="M5" s="3677" t="s">
        <v>5386</v>
      </c>
      <c r="N5" s="3677" t="s">
        <v>5387</v>
      </c>
      <c r="O5" s="3677" t="s">
        <v>4664</v>
      </c>
      <c r="P5" s="3677" t="s">
        <v>5388</v>
      </c>
      <c r="Q5" s="3677"/>
      <c r="R5" s="3677"/>
      <c r="S5" s="3677"/>
      <c r="T5" s="3677"/>
      <c r="U5" s="3677"/>
      <c r="V5" s="3677"/>
      <c r="W5" s="3677"/>
      <c r="X5" s="3677"/>
      <c r="Y5" s="3677"/>
      <c r="Z5" s="3677"/>
      <c r="AA5" s="3677"/>
      <c r="AK5" s="3845" t="s">
        <v>10251</v>
      </c>
      <c r="AL5" s="3848" t="s">
        <v>4763</v>
      </c>
      <c r="AM5" s="3848" t="s">
        <v>4764</v>
      </c>
    </row>
    <row r="6" spans="1:40" s="24" customFormat="1" ht="78">
      <c r="A6" s="9"/>
      <c r="C6" s="3804"/>
      <c r="D6" s="3775"/>
      <c r="E6" s="3775"/>
      <c r="F6" s="3807"/>
      <c r="G6" s="3775"/>
      <c r="H6" s="3775"/>
      <c r="I6" s="3775"/>
      <c r="J6" s="3775"/>
      <c r="K6" s="3775"/>
      <c r="L6" s="3775"/>
      <c r="M6" s="3775"/>
      <c r="N6" s="3775"/>
      <c r="O6" s="3775"/>
      <c r="P6" s="15" t="s">
        <v>5225</v>
      </c>
      <c r="Q6" s="15" t="s">
        <v>1696</v>
      </c>
      <c r="R6" s="15" t="s">
        <v>1691</v>
      </c>
      <c r="S6" s="15" t="s">
        <v>5392</v>
      </c>
      <c r="T6" s="15" t="s">
        <v>8034</v>
      </c>
      <c r="U6" s="15" t="s">
        <v>1702</v>
      </c>
      <c r="V6" s="15" t="s">
        <v>5498</v>
      </c>
      <c r="W6" s="15" t="s">
        <v>5393</v>
      </c>
      <c r="X6" s="15" t="s">
        <v>4405</v>
      </c>
      <c r="Y6" s="15" t="s">
        <v>5394</v>
      </c>
      <c r="Z6" s="15" t="s">
        <v>5233</v>
      </c>
      <c r="AA6" s="15" t="s">
        <v>5397</v>
      </c>
      <c r="AK6" s="3846"/>
      <c r="AL6" s="3846"/>
      <c r="AM6" s="3846"/>
    </row>
    <row r="7" spans="1:40" s="24" customFormat="1" ht="13">
      <c r="A7" s="9"/>
      <c r="C7" s="832"/>
      <c r="D7" s="833"/>
      <c r="E7" s="833"/>
      <c r="F7" s="159" t="s">
        <v>5247</v>
      </c>
      <c r="G7" s="833" t="s">
        <v>4219</v>
      </c>
      <c r="H7" s="833" t="s">
        <v>4219</v>
      </c>
      <c r="I7" s="833" t="s">
        <v>3009</v>
      </c>
      <c r="J7" s="833"/>
      <c r="K7" s="833"/>
      <c r="L7" s="833"/>
      <c r="M7" s="833"/>
      <c r="N7" s="833"/>
      <c r="O7" s="833" t="s">
        <v>5250</v>
      </c>
      <c r="P7" s="833" t="s">
        <v>672</v>
      </c>
      <c r="Q7" s="906" t="s">
        <v>1697</v>
      </c>
      <c r="R7" s="906" t="s">
        <v>5401</v>
      </c>
      <c r="S7" s="906" t="s">
        <v>5402</v>
      </c>
      <c r="T7" s="906" t="s">
        <v>1348</v>
      </c>
      <c r="U7" s="906" t="s">
        <v>5403</v>
      </c>
      <c r="V7" s="906" t="s">
        <v>5404</v>
      </c>
      <c r="W7" s="906" t="s">
        <v>5405</v>
      </c>
      <c r="X7" s="906" t="s">
        <v>3967</v>
      </c>
      <c r="Y7" s="906" t="s">
        <v>5406</v>
      </c>
      <c r="Z7" s="906" t="s">
        <v>673</v>
      </c>
      <c r="AA7" s="906"/>
      <c r="AK7" s="3847"/>
      <c r="AL7" s="3807"/>
      <c r="AM7" s="3807"/>
    </row>
    <row r="8" spans="1:40" s="698" customFormat="1" ht="10">
      <c r="A8" s="668"/>
      <c r="B8" s="678"/>
      <c r="C8" s="1348" t="s">
        <v>4164</v>
      </c>
      <c r="D8" s="1349" t="s">
        <v>4165</v>
      </c>
      <c r="E8" s="1349" t="s">
        <v>4166</v>
      </c>
      <c r="F8" s="1349" t="s">
        <v>5500</v>
      </c>
      <c r="G8" s="1349" t="s">
        <v>4169</v>
      </c>
      <c r="H8" s="1349" t="s">
        <v>4168</v>
      </c>
      <c r="I8" s="1349" t="s">
        <v>4178</v>
      </c>
      <c r="J8" s="1349" t="s">
        <v>4179</v>
      </c>
      <c r="K8" s="1349" t="s">
        <v>4167</v>
      </c>
      <c r="L8" s="1349" t="s">
        <v>5501</v>
      </c>
      <c r="M8" s="1349" t="s">
        <v>4701</v>
      </c>
      <c r="N8" s="1349" t="s">
        <v>4702</v>
      </c>
      <c r="O8" s="1349" t="s">
        <v>4703</v>
      </c>
      <c r="P8" s="1349" t="s">
        <v>5502</v>
      </c>
      <c r="Q8" s="1349" t="s">
        <v>5503</v>
      </c>
      <c r="R8" s="1349" t="s">
        <v>5504</v>
      </c>
      <c r="S8" s="1349" t="s">
        <v>4853</v>
      </c>
      <c r="T8" s="1349" t="s">
        <v>4852</v>
      </c>
      <c r="U8" s="1349" t="s">
        <v>5505</v>
      </c>
      <c r="V8" s="1349" t="s">
        <v>4851</v>
      </c>
      <c r="W8" s="1349" t="s">
        <v>5506</v>
      </c>
      <c r="X8" s="1349" t="s">
        <v>4850</v>
      </c>
      <c r="Y8" s="1349" t="s">
        <v>3303</v>
      </c>
      <c r="Z8" s="1349" t="s">
        <v>3304</v>
      </c>
      <c r="AA8" s="1349" t="s">
        <v>3305</v>
      </c>
      <c r="AK8" s="3334" t="b">
        <f>AND(AK11:AK1700)</f>
        <v>1</v>
      </c>
    </row>
    <row r="9" spans="1:40" s="24" customFormat="1" ht="13">
      <c r="A9" s="9"/>
      <c r="C9" s="890" t="s">
        <v>3066</v>
      </c>
      <c r="D9" s="891" t="s">
        <v>4170</v>
      </c>
      <c r="E9" s="892" t="s">
        <v>4184</v>
      </c>
      <c r="F9" s="892" t="s">
        <v>4184</v>
      </c>
      <c r="G9" s="892" t="s">
        <v>4184</v>
      </c>
      <c r="H9" s="892" t="s">
        <v>4184</v>
      </c>
      <c r="I9" s="892" t="s">
        <v>4184</v>
      </c>
      <c r="J9" s="892" t="s">
        <v>4184</v>
      </c>
      <c r="K9" s="892" t="s">
        <v>4184</v>
      </c>
      <c r="L9" s="892" t="s">
        <v>4184</v>
      </c>
      <c r="M9" s="892" t="s">
        <v>4184</v>
      </c>
      <c r="N9" s="892" t="s">
        <v>4184</v>
      </c>
      <c r="O9" s="892" t="s">
        <v>4184</v>
      </c>
      <c r="P9" s="894">
        <f>SUM(P10:P10002)</f>
        <v>0</v>
      </c>
      <c r="Q9" s="894">
        <f t="shared" ref="Q9:AA9" si="0">SUM(Q10:Q10002)</f>
        <v>0</v>
      </c>
      <c r="R9" s="894">
        <f t="shared" si="0"/>
        <v>0</v>
      </c>
      <c r="S9" s="894">
        <f t="shared" si="0"/>
        <v>0</v>
      </c>
      <c r="T9" s="894">
        <f t="shared" si="0"/>
        <v>0</v>
      </c>
      <c r="U9" s="894">
        <f t="shared" si="0"/>
        <v>0</v>
      </c>
      <c r="V9" s="894">
        <f t="shared" si="0"/>
        <v>0</v>
      </c>
      <c r="W9" s="894">
        <f t="shared" si="0"/>
        <v>0</v>
      </c>
      <c r="X9" s="894">
        <f t="shared" si="0"/>
        <v>0</v>
      </c>
      <c r="Y9" s="894">
        <f t="shared" si="0"/>
        <v>0</v>
      </c>
      <c r="Z9" s="894">
        <f t="shared" si="0"/>
        <v>0</v>
      </c>
      <c r="AA9" s="894">
        <f t="shared" si="0"/>
        <v>0</v>
      </c>
    </row>
    <row r="10" spans="1:40" s="24" customFormat="1" ht="101.5">
      <c r="A10" s="9" t="str">
        <f>"R50=7706664260X"&amp;";R3="&amp;";R4=2090200;R13=31;COM="</f>
        <v>R50=7706664260X;R3=;R4=2090200;R13=31;COM=</v>
      </c>
      <c r="B10" s="565" t="s">
        <v>5536</v>
      </c>
      <c r="C10" s="896" t="s">
        <v>3066</v>
      </c>
      <c r="D10" s="907" t="s">
        <v>9659</v>
      </c>
      <c r="E10" s="892" t="s">
        <v>4184</v>
      </c>
      <c r="F10" s="892"/>
      <c r="G10" s="892" t="s">
        <v>4184</v>
      </c>
      <c r="H10" s="892" t="s">
        <v>4184</v>
      </c>
      <c r="I10" s="892" t="s">
        <v>4184</v>
      </c>
      <c r="J10" s="892" t="s">
        <v>4184</v>
      </c>
      <c r="K10" s="892" t="s">
        <v>4184</v>
      </c>
      <c r="L10" s="892" t="s">
        <v>4184</v>
      </c>
      <c r="M10" s="892" t="s">
        <v>4184</v>
      </c>
      <c r="N10" s="892" t="s">
        <v>4184</v>
      </c>
      <c r="O10" s="892" t="s">
        <v>4184</v>
      </c>
      <c r="P10" s="897"/>
      <c r="Q10" s="897"/>
      <c r="R10" s="897"/>
      <c r="S10" s="897"/>
      <c r="T10" s="897"/>
      <c r="U10" s="897"/>
      <c r="V10" s="897"/>
      <c r="W10" s="897"/>
      <c r="X10" s="897"/>
      <c r="Y10" s="897"/>
      <c r="Z10" s="894">
        <f t="shared" ref="Z10:Z17" si="1">SUM(P10:Y10)</f>
        <v>0</v>
      </c>
      <c r="AA10" s="897"/>
    </row>
    <row r="11" spans="1:40" s="24" customFormat="1" ht="101.5">
      <c r="A11" s="2427" t="str">
        <f>"R50=7706664260X"&amp;";R3="&amp;";R4=2090200;R13=33;COM="</f>
        <v>R50=7706664260X;R3=;R4=2090200;R13=33;COM=</v>
      </c>
      <c r="B11" s="565"/>
      <c r="C11" s="896" t="s">
        <v>3066</v>
      </c>
      <c r="D11" s="907" t="s">
        <v>9660</v>
      </c>
      <c r="E11" s="892" t="s">
        <v>4184</v>
      </c>
      <c r="F11" s="892"/>
      <c r="G11" s="892" t="s">
        <v>4184</v>
      </c>
      <c r="H11" s="892" t="s">
        <v>4184</v>
      </c>
      <c r="I11" s="892" t="s">
        <v>4184</v>
      </c>
      <c r="J11" s="892" t="s">
        <v>4184</v>
      </c>
      <c r="K11" s="892" t="s">
        <v>4184</v>
      </c>
      <c r="L11" s="892" t="s">
        <v>4184</v>
      </c>
      <c r="M11" s="892" t="s">
        <v>4184</v>
      </c>
      <c r="N11" s="892" t="s">
        <v>4184</v>
      </c>
      <c r="O11" s="892" t="s">
        <v>4184</v>
      </c>
      <c r="P11" s="897"/>
      <c r="Q11" s="897"/>
      <c r="R11" s="897"/>
      <c r="S11" s="897"/>
      <c r="T11" s="897"/>
      <c r="U11" s="897"/>
      <c r="V11" s="897"/>
      <c r="W11" s="897"/>
      <c r="X11" s="897"/>
      <c r="Y11" s="897"/>
      <c r="Z11" s="894">
        <f t="shared" ref="Z11" si="2">SUM(P11:Y11)</f>
        <v>0</v>
      </c>
      <c r="AA11" s="897"/>
      <c r="AK11" s="2225" t="b">
        <v>1</v>
      </c>
    </row>
    <row r="12" spans="1:40" s="24" customFormat="1">
      <c r="A12" s="9" t="str">
        <f>"R50="&amp;C12&amp;";R3="&amp;";R4="&amp;IFERROR(MID(N12,FIND("{",N12)+1,FIND("}",N12)-FIND("{",N12)-1),"")&amp;";R36="&amp;MID(F12,1,30)&amp;";R43="&amp;MID(E12,1,30)&amp;";COM="</f>
        <v>R50=;R3=;R4=;R36=;R43=;COM=</v>
      </c>
      <c r="B12" s="565" t="s">
        <v>5536</v>
      </c>
      <c r="C12" s="883"/>
      <c r="D12" s="1670" t="str">
        <f>IF(ISERROR(VLOOKUP(C12,Фин_договоры!$C$9:$R$32367,6,0)),"",VLOOKUP(C12,Фин_договоры!$C$9:$R$32367,6,0))</f>
        <v/>
      </c>
      <c r="E12" s="1670" t="str">
        <f>IF(ISERROR(VLOOKUP(C12,Фин_договоры!$C$9:$R$32367,7,0)),"",VLOOKUP(C12,Фин_договоры!$C$9:$R$32367,7,0))</f>
        <v/>
      </c>
      <c r="F12" s="1670" t="str">
        <f>IF(ISERROR(VLOOKUP(C12,Фин_договоры!$C$9:$R$32367,8,0)),"",VLOOKUP(C12,Фин_договоры!$C$9:$R$32367,8,0))</f>
        <v/>
      </c>
      <c r="G12" s="1670" t="str">
        <f>IF(ISERROR(VLOOKUP(C12,Фин_договоры!$C$9:$R$32367,4,0)),"",VLOOKUP(C12,Фин_договоры!$C$9:$R$32367,4,0))</f>
        <v/>
      </c>
      <c r="H12" s="1671" t="str">
        <f>IF(ISERROR(VLOOKUP(C12,Фин_договоры!$C$9:$R$32367,9,0)),"",VLOOKUP(C12,Фин_договоры!$C$9:$R$32367,9,0))</f>
        <v/>
      </c>
      <c r="I12" s="1670" t="str">
        <f>IF(ISERROR(VLOOKUP(C12,Фин_договоры!$C$9:$U$32367,2,0)),"",VLOOKUP(C12,Фин_договоры!$C$9:$U$32367,2,0))</f>
        <v/>
      </c>
      <c r="J12" s="1671" t="str">
        <f>IF(ISERROR(VLOOKUP(C12,Фин_договоры!$C$9:$U$32367,10,0)),"",VLOOKUP(C12,Фин_договоры!$C$9:$U$32367,10,0))</f>
        <v/>
      </c>
      <c r="K12" s="1671" t="str">
        <f>IF(ISERROR(VLOOKUP(C12,Фин_договоры!$C$9:$U$32367,12,0)),"",VLOOKUP(C12,Фин_договоры!$C$9:$U$32367,12,0))</f>
        <v/>
      </c>
      <c r="L12" s="1670" t="str">
        <f>IF(ISERROR(VLOOKUP(C12,Фин_договоры!$C$9:$U$32367,14,0)),"",VLOOKUP(C12,Фин_договоры!$C$9:$U$32367,14,0))</f>
        <v/>
      </c>
      <c r="M12" s="1670" t="str">
        <f>IF(ISERROR(VLOOKUP(C12,Фин_договоры!$C$9:$U$32367,15,0)),"",VLOOKUP(C12,Фин_договоры!$C$9:$U$32367,15,0))</f>
        <v/>
      </c>
      <c r="N12" s="2661"/>
      <c r="O12" s="1394" t="str">
        <f>IF(ISERROR(VLOOKUP(C12,Фин_договоры!$C$9:$U$32367,16,0)),"",VLOOKUP(C12,Фин_договоры!$C$9:$U$32367,16,0))</f>
        <v/>
      </c>
      <c r="P12" s="897"/>
      <c r="Q12" s="897"/>
      <c r="R12" s="897"/>
      <c r="S12" s="897"/>
      <c r="T12" s="897"/>
      <c r="U12" s="897"/>
      <c r="V12" s="897"/>
      <c r="W12" s="897"/>
      <c r="X12" s="897"/>
      <c r="Y12" s="897"/>
      <c r="Z12" s="894">
        <f t="shared" si="1"/>
        <v>0</v>
      </c>
      <c r="AA12" s="897"/>
      <c r="AC12" s="2130" t="b">
        <f t="shared" ref="AC12:AC17" si="3">IF(OR(I12=$AE$12,I12=$AE$13,I12=$AE$14,COUNTBLANK(P12:Y12)=10),TRUE,FALSE)</f>
        <v>1</v>
      </c>
      <c r="AE12" s="2036" t="s">
        <v>7145</v>
      </c>
      <c r="AK12" s="3333" t="str">
        <f t="shared" ref="AK12:AK18" si="4">IF(OR(I12="",I12&lt;&gt;$AE$14),"",IF(I12=$AE$14,OR(AL12="да",AM12="да"),0))</f>
        <v/>
      </c>
      <c r="AL12" s="3333" t="str">
        <f>IF(IFERROR(VLOOKUP(AN12,Список_компаний!$C:$I,6,0),"")=0,"",IFERROR(VLOOKUP(AN12,Список_компаний!$C:$I,6,0),""))</f>
        <v/>
      </c>
      <c r="AM12" s="3333" t="str">
        <f>IF(IFERROR(VLOOKUP(AN12,Список_компаний!$C:$I,7,0),"")=0,"",IFERROR(VLOOKUP(AN12,Список_компаний!$C:$I,7,0),""))</f>
        <v/>
      </c>
      <c r="AN12" s="1666" t="str">
        <f t="shared" ref="AN12:AN17" si="5">IF(OR(IF(TEXT(LEFT(F12,1),"0")="0",TRUE,FALSE),ISERROR(F12*1)),F12,F12*1)</f>
        <v/>
      </c>
    </row>
    <row r="13" spans="1:40" s="24" customFormat="1">
      <c r="A13" s="2427" t="str">
        <f t="shared" ref="A13:A18" si="6">"R50="&amp;C13&amp;";R3="&amp;";R4="&amp;IFERROR(MID(N13,FIND("{",N13)+1,FIND("}",N13)-FIND("{",N13)-1),"")&amp;";R36="&amp;MID(F13,1,30)&amp;";R43="&amp;MID(E13,1,30)&amp;";COM="</f>
        <v>R50=;R3=;R4=;R36=;R43=;COM=</v>
      </c>
      <c r="B13" s="565" t="s">
        <v>5536</v>
      </c>
      <c r="C13" s="883"/>
      <c r="D13" s="1670" t="str">
        <f>IF(ISERROR(VLOOKUP(C13,Фин_договоры!$C$9:$R$32367,6,0)),"",VLOOKUP(C13,Фин_договоры!$C$9:$R$32367,6,0))</f>
        <v/>
      </c>
      <c r="E13" s="1670" t="str">
        <f>IF(ISERROR(VLOOKUP(C13,Фин_договоры!$C$9:$R$32367,7,0)),"",VLOOKUP(C13,Фин_договоры!$C$9:$R$32367,7,0))</f>
        <v/>
      </c>
      <c r="F13" s="1670" t="str">
        <f>IF(ISERROR(VLOOKUP(C13,Фин_договоры!$C$9:$R$32367,8,0)),"",VLOOKUP(C13,Фин_договоры!$C$9:$R$32367,8,0))</f>
        <v/>
      </c>
      <c r="G13" s="1670" t="str">
        <f>IF(ISERROR(VLOOKUP(C13,Фин_договоры!$C$9:$R$32367,4,0)),"",VLOOKUP(C13,Фин_договоры!$C$9:$R$32367,4,0))</f>
        <v/>
      </c>
      <c r="H13" s="1671" t="str">
        <f>IF(ISERROR(VLOOKUP(C13,Фин_договоры!$C$9:$R$32367,9,0)),"",VLOOKUP(C13,Фин_договоры!$C$9:$R$32367,9,0))</f>
        <v/>
      </c>
      <c r="I13" s="1670" t="str">
        <f>IF(ISERROR(VLOOKUP(C13,Фин_договоры!$C$9:$U$32367,2,0)),"",VLOOKUP(C13,Фин_договоры!$C$9:$U$32367,2,0))</f>
        <v/>
      </c>
      <c r="J13" s="1671" t="str">
        <f>IF(ISERROR(VLOOKUP(C13,Фин_договоры!$C$9:$U$32367,10,0)),"",VLOOKUP(C13,Фин_договоры!$C$9:$U$32367,10,0))</f>
        <v/>
      </c>
      <c r="K13" s="1671" t="str">
        <f>IF(ISERROR(VLOOKUP(C13,Фин_договоры!$C$9:$U$32367,12,0)),"",VLOOKUP(C13,Фин_договоры!$C$9:$U$32367,12,0))</f>
        <v/>
      </c>
      <c r="L13" s="1670" t="str">
        <f>IF(ISERROR(VLOOKUP(C13,Фин_договоры!$C$9:$U$32367,14,0)),"",VLOOKUP(C13,Фин_договоры!$C$9:$U$32367,14,0))</f>
        <v/>
      </c>
      <c r="M13" s="1670" t="str">
        <f>IF(ISERROR(VLOOKUP(C13,Фин_договоры!$C$9:$U$32367,15,0)),"",VLOOKUP(C13,Фин_договоры!$C$9:$U$32367,15,0))</f>
        <v/>
      </c>
      <c r="N13" s="2661"/>
      <c r="O13" s="1394" t="str">
        <f>IF(ISERROR(VLOOKUP(C13,Фин_договоры!$C$9:$U$32367,16,0)),"",VLOOKUP(C13,Фин_договоры!$C$9:$U$32367,16,0))</f>
        <v/>
      </c>
      <c r="P13" s="897"/>
      <c r="Q13" s="897"/>
      <c r="R13" s="897"/>
      <c r="S13" s="897"/>
      <c r="T13" s="897"/>
      <c r="U13" s="897"/>
      <c r="V13" s="897"/>
      <c r="W13" s="897"/>
      <c r="X13" s="897"/>
      <c r="Y13" s="897"/>
      <c r="Z13" s="894">
        <f t="shared" si="1"/>
        <v>0</v>
      </c>
      <c r="AA13" s="897"/>
      <c r="AC13" s="2130" t="b">
        <f t="shared" si="3"/>
        <v>1</v>
      </c>
      <c r="AE13" s="1996" t="s">
        <v>3003</v>
      </c>
      <c r="AK13" s="3333" t="str">
        <f t="shared" si="4"/>
        <v/>
      </c>
      <c r="AL13" s="3333" t="str">
        <f>IF(IFERROR(VLOOKUP(AN13,Список_компаний!$C:$I,6,0),"")=0,"",IFERROR(VLOOKUP(AN13,Список_компаний!$C:$I,6,0),""))</f>
        <v/>
      </c>
      <c r="AM13" s="3333" t="str">
        <f>IF(IFERROR(VLOOKUP(AN13,Список_компаний!$C:$I,7,0),"")=0,"",IFERROR(VLOOKUP(AN13,Список_компаний!$C:$I,7,0),""))</f>
        <v/>
      </c>
      <c r="AN13" s="1666" t="str">
        <f t="shared" si="5"/>
        <v/>
      </c>
    </row>
    <row r="14" spans="1:40" s="24" customFormat="1">
      <c r="A14" s="2427" t="str">
        <f t="shared" si="6"/>
        <v>R50=;R3=;R4=;R36=;R43=;COM=</v>
      </c>
      <c r="B14" s="565"/>
      <c r="C14" s="883"/>
      <c r="D14" s="1670" t="str">
        <f>IF(ISERROR(VLOOKUP(C14,Фин_договоры!$C$9:$R$32367,6,0)),"",VLOOKUP(C14,Фин_договоры!$C$9:$R$32367,6,0))</f>
        <v/>
      </c>
      <c r="E14" s="1670" t="str">
        <f>IF(ISERROR(VLOOKUP(C14,Фин_договоры!$C$9:$R$32367,7,0)),"",VLOOKUP(C14,Фин_договоры!$C$9:$R$32367,7,0))</f>
        <v/>
      </c>
      <c r="F14" s="1670" t="str">
        <f>IF(ISERROR(VLOOKUP(C14,Фин_договоры!$C$9:$R$32367,8,0)),"",VLOOKUP(C14,Фин_договоры!$C$9:$R$32367,8,0))</f>
        <v/>
      </c>
      <c r="G14" s="1670" t="str">
        <f>IF(ISERROR(VLOOKUP(C14,Фин_договоры!$C$9:$R$32367,4,0)),"",VLOOKUP(C14,Фин_договоры!$C$9:$R$32367,4,0))</f>
        <v/>
      </c>
      <c r="H14" s="1671" t="str">
        <f>IF(ISERROR(VLOOKUP(C14,Фин_договоры!$C$9:$R$32367,9,0)),"",VLOOKUP(C14,Фин_договоры!$C$9:$R$32367,9,0))</f>
        <v/>
      </c>
      <c r="I14" s="1670" t="str">
        <f>IF(ISERROR(VLOOKUP(C14,Фин_договоры!$C$9:$U$32367,2,0)),"",VLOOKUP(C14,Фин_договоры!$C$9:$U$32367,2,0))</f>
        <v/>
      </c>
      <c r="J14" s="1671" t="str">
        <f>IF(ISERROR(VLOOKUP(C14,Фин_договоры!$C$9:$U$32367,10,0)),"",VLOOKUP(C14,Фин_договоры!$C$9:$U$32367,10,0))</f>
        <v/>
      </c>
      <c r="K14" s="1671" t="str">
        <f>IF(ISERROR(VLOOKUP(C14,Фин_договоры!$C$9:$U$32367,12,0)),"",VLOOKUP(C14,Фин_договоры!$C$9:$U$32367,12,0))</f>
        <v/>
      </c>
      <c r="L14" s="1670" t="str">
        <f>IF(ISERROR(VLOOKUP(C14,Фин_договоры!$C$9:$U$32367,14,0)),"",VLOOKUP(C14,Фин_договоры!$C$9:$U$32367,14,0))</f>
        <v/>
      </c>
      <c r="M14" s="1670" t="str">
        <f>IF(ISERROR(VLOOKUP(C14,Фин_договоры!$C$9:$U$32367,15,0)),"",VLOOKUP(C14,Фин_договоры!$C$9:$U$32367,15,0))</f>
        <v/>
      </c>
      <c r="N14" s="2661"/>
      <c r="O14" s="1394" t="str">
        <f>IF(ISERROR(VLOOKUP(C14,Фин_договоры!$C$9:$U$32367,16,0)),"",VLOOKUP(C14,Фин_договоры!$C$9:$U$32367,16,0))</f>
        <v/>
      </c>
      <c r="P14" s="897"/>
      <c r="Q14" s="897"/>
      <c r="R14" s="897"/>
      <c r="S14" s="897"/>
      <c r="T14" s="897"/>
      <c r="U14" s="897"/>
      <c r="V14" s="897"/>
      <c r="W14" s="897"/>
      <c r="X14" s="897"/>
      <c r="Y14" s="897"/>
      <c r="Z14" s="894">
        <f t="shared" si="1"/>
        <v>0</v>
      </c>
      <c r="AA14" s="897"/>
      <c r="AC14" s="2130" t="b">
        <f t="shared" si="3"/>
        <v>1</v>
      </c>
      <c r="AE14" s="2036" t="s">
        <v>7146</v>
      </c>
      <c r="AK14" s="3333" t="str">
        <f t="shared" si="4"/>
        <v/>
      </c>
      <c r="AL14" s="3333" t="str">
        <f>IF(IFERROR(VLOOKUP(AN14,Список_компаний!$C:$I,6,0),"")=0,"",IFERROR(VLOOKUP(AN14,Список_компаний!$C:$I,6,0),""))</f>
        <v/>
      </c>
      <c r="AM14" s="3333" t="str">
        <f>IF(IFERROR(VLOOKUP(AN14,Список_компаний!$C:$I,7,0),"")=0,"",IFERROR(VLOOKUP(AN14,Список_компаний!$C:$I,7,0),""))</f>
        <v/>
      </c>
      <c r="AN14" s="1666" t="str">
        <f t="shared" si="5"/>
        <v/>
      </c>
    </row>
    <row r="15" spans="1:40" s="24" customFormat="1">
      <c r="A15" s="2427" t="str">
        <f t="shared" si="6"/>
        <v>R50=;R3=;R4=;R36=;R43=;COM=</v>
      </c>
      <c r="B15" s="565"/>
      <c r="C15" s="883"/>
      <c r="D15" s="1670" t="str">
        <f>IF(ISERROR(VLOOKUP(C15,Фин_договоры!$C$9:$R$32367,6,0)),"",VLOOKUP(C15,Фин_договоры!$C$9:$R$32367,6,0))</f>
        <v/>
      </c>
      <c r="E15" s="1670" t="str">
        <f>IF(ISERROR(VLOOKUP(C15,Фин_договоры!$C$9:$R$32367,7,0)),"",VLOOKUP(C15,Фин_договоры!$C$9:$R$32367,7,0))</f>
        <v/>
      </c>
      <c r="F15" s="1670" t="str">
        <f>IF(ISERROR(VLOOKUP(C15,Фин_договоры!$C$9:$R$32367,8,0)),"",VLOOKUP(C15,Фин_договоры!$C$9:$R$32367,8,0))</f>
        <v/>
      </c>
      <c r="G15" s="1670" t="str">
        <f>IF(ISERROR(VLOOKUP(C15,Фин_договоры!$C$9:$R$32367,4,0)),"",VLOOKUP(C15,Фин_договоры!$C$9:$R$32367,4,0))</f>
        <v/>
      </c>
      <c r="H15" s="1671" t="str">
        <f>IF(ISERROR(VLOOKUP(C15,Фин_договоры!$C$9:$R$32367,9,0)),"",VLOOKUP(C15,Фин_договоры!$C$9:$R$32367,9,0))</f>
        <v/>
      </c>
      <c r="I15" s="1670" t="str">
        <f>IF(ISERROR(VLOOKUP(C15,Фин_договоры!$C$9:$U$32367,2,0)),"",VLOOKUP(C15,Фин_договоры!$C$9:$U$32367,2,0))</f>
        <v/>
      </c>
      <c r="J15" s="1671" t="str">
        <f>IF(ISERROR(VLOOKUP(C15,Фин_договоры!$C$9:$U$32367,10,0)),"",VLOOKUP(C15,Фин_договоры!$C$9:$U$32367,10,0))</f>
        <v/>
      </c>
      <c r="K15" s="1671" t="str">
        <f>IF(ISERROR(VLOOKUP(C15,Фин_договоры!$C$9:$U$32367,12,0)),"",VLOOKUP(C15,Фин_договоры!$C$9:$U$32367,12,0))</f>
        <v/>
      </c>
      <c r="L15" s="1670" t="str">
        <f>IF(ISERROR(VLOOKUP(C15,Фин_договоры!$C$9:$U$32367,14,0)),"",VLOOKUP(C15,Фин_договоры!$C$9:$U$32367,14,0))</f>
        <v/>
      </c>
      <c r="M15" s="1670" t="str">
        <f>IF(ISERROR(VLOOKUP(C15,Фин_договоры!$C$9:$U$32367,15,0)),"",VLOOKUP(C15,Фин_договоры!$C$9:$U$32367,15,0))</f>
        <v/>
      </c>
      <c r="N15" s="2661"/>
      <c r="O15" s="1394" t="str">
        <f>IF(ISERROR(VLOOKUP(C15,Фин_договоры!$C$9:$U$32367,16,0)),"",VLOOKUP(C15,Фин_договоры!$C$9:$U$32367,16,0))</f>
        <v/>
      </c>
      <c r="P15" s="897"/>
      <c r="Q15" s="897"/>
      <c r="R15" s="897"/>
      <c r="S15" s="897"/>
      <c r="T15" s="897"/>
      <c r="U15" s="897"/>
      <c r="V15" s="897"/>
      <c r="W15" s="897"/>
      <c r="X15" s="897"/>
      <c r="Y15" s="897"/>
      <c r="Z15" s="894">
        <f t="shared" si="1"/>
        <v>0</v>
      </c>
      <c r="AA15" s="897"/>
      <c r="AC15" s="2130" t="b">
        <f t="shared" si="3"/>
        <v>1</v>
      </c>
      <c r="AK15" s="3333" t="str">
        <f t="shared" si="4"/>
        <v/>
      </c>
      <c r="AL15" s="3333" t="str">
        <f>IF(IFERROR(VLOOKUP(AN15,Список_компаний!$C:$I,6,0),"")=0,"",IFERROR(VLOOKUP(AN15,Список_компаний!$C:$I,6,0),""))</f>
        <v/>
      </c>
      <c r="AM15" s="3333" t="str">
        <f>IF(IFERROR(VLOOKUP(AN15,Список_компаний!$C:$I,7,0),"")=0,"",IFERROR(VLOOKUP(AN15,Список_компаний!$C:$I,7,0),""))</f>
        <v/>
      </c>
      <c r="AN15" s="1666" t="str">
        <f t="shared" si="5"/>
        <v/>
      </c>
    </row>
    <row r="16" spans="1:40" s="24" customFormat="1">
      <c r="A16" s="2427" t="str">
        <f t="shared" si="6"/>
        <v>R50=;R3=;R4=;R36=;R43=;COM=</v>
      </c>
      <c r="B16" s="565"/>
      <c r="C16" s="883"/>
      <c r="D16" s="1670" t="str">
        <f>IF(ISERROR(VLOOKUP(C16,Фин_договоры!$C$9:$R$32367,6,0)),"",VLOOKUP(C16,Фин_договоры!$C$9:$R$32367,6,0))</f>
        <v/>
      </c>
      <c r="E16" s="1670" t="str">
        <f>IF(ISERROR(VLOOKUP(C16,Фин_договоры!$C$9:$R$32367,7,0)),"",VLOOKUP(C16,Фин_договоры!$C$9:$R$32367,7,0))</f>
        <v/>
      </c>
      <c r="F16" s="1670" t="str">
        <f>IF(ISERROR(VLOOKUP(C16,Фин_договоры!$C$9:$R$32367,8,0)),"",VLOOKUP(C16,Фин_договоры!$C$9:$R$32367,8,0))</f>
        <v/>
      </c>
      <c r="G16" s="1670" t="str">
        <f>IF(ISERROR(VLOOKUP(C16,Фин_договоры!$C$9:$R$32367,4,0)),"",VLOOKUP(C16,Фин_договоры!$C$9:$R$32367,4,0))</f>
        <v/>
      </c>
      <c r="H16" s="1671" t="str">
        <f>IF(ISERROR(VLOOKUP(C16,Фин_договоры!$C$9:$R$32367,9,0)),"",VLOOKUP(C16,Фин_договоры!$C$9:$R$32367,9,0))</f>
        <v/>
      </c>
      <c r="I16" s="1670" t="str">
        <f>IF(ISERROR(VLOOKUP(C16,Фин_договоры!$C$9:$U$32367,2,0)),"",VLOOKUP(C16,Фин_договоры!$C$9:$U$32367,2,0))</f>
        <v/>
      </c>
      <c r="J16" s="1671" t="str">
        <f>IF(ISERROR(VLOOKUP(C16,Фин_договоры!$C$9:$U$32367,10,0)),"",VLOOKUP(C16,Фин_договоры!$C$9:$U$32367,10,0))</f>
        <v/>
      </c>
      <c r="K16" s="1671" t="str">
        <f>IF(ISERROR(VLOOKUP(C16,Фин_договоры!$C$9:$U$32367,12,0)),"",VLOOKUP(C16,Фин_договоры!$C$9:$U$32367,12,0))</f>
        <v/>
      </c>
      <c r="L16" s="1670" t="str">
        <f>IF(ISERROR(VLOOKUP(C16,Фин_договоры!$C$9:$U$32367,14,0)),"",VLOOKUP(C16,Фин_договоры!$C$9:$U$32367,14,0))</f>
        <v/>
      </c>
      <c r="M16" s="1670" t="str">
        <f>IF(ISERROR(VLOOKUP(C16,Фин_договоры!$C$9:$U$32367,15,0)),"",VLOOKUP(C16,Фин_договоры!$C$9:$U$32367,15,0))</f>
        <v/>
      </c>
      <c r="N16" s="2661"/>
      <c r="O16" s="1394" t="str">
        <f>IF(ISERROR(VLOOKUP(C16,Фин_договоры!$C$9:$U$32367,16,0)),"",VLOOKUP(C16,Фин_договоры!$C$9:$U$32367,16,0))</f>
        <v/>
      </c>
      <c r="P16" s="897"/>
      <c r="Q16" s="897"/>
      <c r="R16" s="897"/>
      <c r="S16" s="897"/>
      <c r="T16" s="897"/>
      <c r="U16" s="897"/>
      <c r="V16" s="897"/>
      <c r="W16" s="897"/>
      <c r="X16" s="897"/>
      <c r="Y16" s="897"/>
      <c r="Z16" s="894">
        <f t="shared" si="1"/>
        <v>0</v>
      </c>
      <c r="AA16" s="897"/>
      <c r="AC16" s="2130" t="b">
        <f t="shared" si="3"/>
        <v>1</v>
      </c>
      <c r="AK16" s="3333" t="str">
        <f t="shared" si="4"/>
        <v/>
      </c>
      <c r="AL16" s="3333" t="str">
        <f>IF(IFERROR(VLOOKUP(AN16,Список_компаний!$C:$I,6,0),"")=0,"",IFERROR(VLOOKUP(AN16,Список_компаний!$C:$I,6,0),""))</f>
        <v/>
      </c>
      <c r="AM16" s="3333" t="str">
        <f>IF(IFERROR(VLOOKUP(AN16,Список_компаний!$C:$I,7,0),"")=0,"",IFERROR(VLOOKUP(AN16,Список_компаний!$C:$I,7,0),""))</f>
        <v/>
      </c>
      <c r="AN16" s="1666" t="str">
        <f t="shared" si="5"/>
        <v/>
      </c>
    </row>
    <row r="17" spans="1:40" s="24" customFormat="1">
      <c r="A17" s="2427" t="str">
        <f t="shared" si="6"/>
        <v>R50=;R3=;R4=;R36=;R43=;COM=</v>
      </c>
      <c r="B17" s="565"/>
      <c r="C17" s="883"/>
      <c r="D17" s="1670" t="str">
        <f>IF(ISERROR(VLOOKUP(C17,Фин_договоры!$C$9:$R$32367,6,0)),"",VLOOKUP(C17,Фин_договоры!$C$9:$R$32367,6,0))</f>
        <v/>
      </c>
      <c r="E17" s="1670" t="str">
        <f>IF(ISERROR(VLOOKUP(C17,Фин_договоры!$C$9:$R$32367,7,0)),"",VLOOKUP(C17,Фин_договоры!$C$9:$R$32367,7,0))</f>
        <v/>
      </c>
      <c r="F17" s="1670" t="str">
        <f>IF(ISERROR(VLOOKUP(C17,Фин_договоры!$C$9:$R$32367,8,0)),"",VLOOKUP(C17,Фин_договоры!$C$9:$R$32367,8,0))</f>
        <v/>
      </c>
      <c r="G17" s="1670" t="str">
        <f>IF(ISERROR(VLOOKUP(C17,Фин_договоры!$C$9:$R$32367,4,0)),"",VLOOKUP(C17,Фин_договоры!$C$9:$R$32367,4,0))</f>
        <v/>
      </c>
      <c r="H17" s="1671" t="str">
        <f>IF(ISERROR(VLOOKUP(C17,Фин_договоры!$C$9:$R$32367,9,0)),"",VLOOKUP(C17,Фин_договоры!$C$9:$R$32367,9,0))</f>
        <v/>
      </c>
      <c r="I17" s="1670" t="str">
        <f>IF(ISERROR(VLOOKUP(C17,Фин_договоры!$C$9:$U$32367,2,0)),"",VLOOKUP(C17,Фин_договоры!$C$9:$U$32367,2,0))</f>
        <v/>
      </c>
      <c r="J17" s="1671" t="str">
        <f>IF(ISERROR(VLOOKUP(C17,Фин_договоры!$C$9:$U$32367,10,0)),"",VLOOKUP(C17,Фин_договоры!$C$9:$U$32367,10,0))</f>
        <v/>
      </c>
      <c r="K17" s="1671" t="str">
        <f>IF(ISERROR(VLOOKUP(C17,Фин_договоры!$C$9:$U$32367,12,0)),"",VLOOKUP(C17,Фин_договоры!$C$9:$U$32367,12,0))</f>
        <v/>
      </c>
      <c r="L17" s="1670" t="str">
        <f>IF(ISERROR(VLOOKUP(C17,Фин_договоры!$C$9:$U$32367,14,0)),"",VLOOKUP(C17,Фин_договоры!$C$9:$U$32367,14,0))</f>
        <v/>
      </c>
      <c r="M17" s="1670" t="str">
        <f>IF(ISERROR(VLOOKUP(C17,Фин_договоры!$C$9:$U$32367,15,0)),"",VLOOKUP(C17,Фин_договоры!$C$9:$U$32367,15,0))</f>
        <v/>
      </c>
      <c r="N17" s="2661"/>
      <c r="O17" s="1394" t="str">
        <f>IF(ISERROR(VLOOKUP(C17,Фин_договоры!$C$9:$U$32367,16,0)),"",VLOOKUP(C17,Фин_договоры!$C$9:$U$32367,16,0))</f>
        <v/>
      </c>
      <c r="P17" s="897"/>
      <c r="Q17" s="897"/>
      <c r="R17" s="897"/>
      <c r="S17" s="897"/>
      <c r="T17" s="897"/>
      <c r="U17" s="897"/>
      <c r="V17" s="897"/>
      <c r="W17" s="897"/>
      <c r="X17" s="897"/>
      <c r="Y17" s="897"/>
      <c r="Z17" s="894">
        <f t="shared" si="1"/>
        <v>0</v>
      </c>
      <c r="AA17" s="897"/>
      <c r="AC17" s="2130" t="b">
        <f t="shared" si="3"/>
        <v>1</v>
      </c>
      <c r="AK17" s="3333" t="str">
        <f t="shared" si="4"/>
        <v/>
      </c>
      <c r="AL17" s="3333" t="str">
        <f>IF(IFERROR(VLOOKUP(AN17,Список_компаний!$C:$I,6,0),"")=0,"",IFERROR(VLOOKUP(AN17,Список_компаний!$C:$I,6,0),""))</f>
        <v/>
      </c>
      <c r="AM17" s="3333" t="str">
        <f>IF(IFERROR(VLOOKUP(AN17,Список_компаний!$C:$I,7,0),"")=0,"",IFERROR(VLOOKUP(AN17,Список_компаний!$C:$I,7,0),""))</f>
        <v/>
      </c>
      <c r="AN17" s="1666" t="str">
        <f t="shared" si="5"/>
        <v/>
      </c>
    </row>
    <row r="18" spans="1:40" ht="15" thickBot="1">
      <c r="A18" s="2427" t="str">
        <f t="shared" si="6"/>
        <v>R50=;R3=;R4=;R36=;R43=;COM=</v>
      </c>
      <c r="B18" s="565"/>
      <c r="C18" s="901"/>
      <c r="D18" s="2362" t="str">
        <f>IF(ISERROR(VLOOKUP(C18,Фин_договоры!$C$9:$R$32367,6,0)),"",VLOOKUP(C18,Фин_договоры!$C$9:$R$32367,6,0))</f>
        <v/>
      </c>
      <c r="E18" s="2362" t="str">
        <f>IF(ISERROR(VLOOKUP(C18,Фин_договоры!$C$9:$R$32367,7,0)),"",VLOOKUP(C18,Фин_договоры!$C$9:$R$32367,7,0))</f>
        <v/>
      </c>
      <c r="F18" s="2362" t="str">
        <f>IF(ISERROR(VLOOKUP(C18,Фин_договоры!$C$9:$R$32367,8,0)),"",VLOOKUP(C18,Фин_договоры!$C$9:$R$32367,8,0))</f>
        <v/>
      </c>
      <c r="G18" s="2362" t="str">
        <f>IF(ISERROR(VLOOKUP(C18,Фин_договоры!$C$9:$R$32367,4,0)),"",VLOOKUP(C18,Фин_договоры!$C$9:$R$32367,4,0))</f>
        <v/>
      </c>
      <c r="H18" s="2363" t="str">
        <f>IF(ISERROR(VLOOKUP(C18,Фин_договоры!$C$9:$R$32367,9,0)),"",VLOOKUP(C18,Фин_договоры!$C$9:$R$32367,9,0))</f>
        <v/>
      </c>
      <c r="I18" s="2362" t="str">
        <f>IF(ISERROR(VLOOKUP(C18,Фин_договоры!$C$9:$U$32367,2,0)),"",VLOOKUP(C18,Фин_договоры!$C$9:$U$32367,2,0))</f>
        <v/>
      </c>
      <c r="J18" s="2363" t="str">
        <f>IF(ISERROR(VLOOKUP(C18,Фин_договоры!$C$9:$U$32367,10,0)),"",VLOOKUP(C18,Фин_договоры!$C$9:$U$32367,10,0))</f>
        <v/>
      </c>
      <c r="K18" s="2363" t="str">
        <f>IF(ISERROR(VLOOKUP(C18,Фин_договоры!$C$9:$U$32367,12,0)),"",VLOOKUP(C18,Фин_договоры!$C$9:$U$32367,12,0))</f>
        <v/>
      </c>
      <c r="L18" s="2362" t="str">
        <f>IF(ISERROR(VLOOKUP(C18,Фин_договоры!$C$9:$U$32367,14,0)),"",VLOOKUP(C18,Фин_договоры!$C$9:$U$32367,14,0))</f>
        <v/>
      </c>
      <c r="M18" s="2362" t="str">
        <f>IF(ISERROR(VLOOKUP(C18,Фин_договоры!$C$9:$U$32367,15,0)),"",VLOOKUP(C18,Фин_договоры!$C$9:$U$32367,15,0))</f>
        <v/>
      </c>
      <c r="N18" s="2662"/>
      <c r="O18" s="2368" t="str">
        <f>IF(ISERROR(VLOOKUP(C18,Фин_договоры!$C$9:$U$32367,16,0)),"",VLOOKUP(C18,Фин_договоры!$C$9:$U$32367,16,0))</f>
        <v/>
      </c>
      <c r="P18" s="902"/>
      <c r="Q18" s="902"/>
      <c r="R18" s="902"/>
      <c r="S18" s="902"/>
      <c r="T18" s="902"/>
      <c r="U18" s="902"/>
      <c r="V18" s="902"/>
      <c r="W18" s="902"/>
      <c r="X18" s="902"/>
      <c r="Y18" s="902"/>
      <c r="Z18" s="903">
        <f t="shared" ref="Z18" si="7">SUM(P18:Y18)</f>
        <v>0</v>
      </c>
      <c r="AA18" s="902"/>
      <c r="AC18" s="2130" t="b">
        <f t="shared" ref="AC18" si="8">IF(OR(I18=$AE$12,I18=$AE$13,I18=$AE$14,COUNTBLANK(P18:Y18)=10),TRUE,FALSE)</f>
        <v>1</v>
      </c>
      <c r="AK18" s="3333" t="str">
        <f t="shared" si="4"/>
        <v/>
      </c>
      <c r="AL18" s="3333" t="str">
        <f>IF(IFERROR(VLOOKUP(AN18,Список_компаний!$C:$I,6,0),"")=0,"",IFERROR(VLOOKUP(AN18,Список_компаний!$C:$I,6,0),""))</f>
        <v/>
      </c>
      <c r="AM18" s="3333" t="str">
        <f>IF(IFERROR(VLOOKUP(AN18,Список_компаний!$C:$I,7,0),"")=0,"",IFERROR(VLOOKUP(AN18,Список_компаний!$C:$I,7,0),""))</f>
        <v/>
      </c>
      <c r="AN18" s="1666" t="str">
        <f t="shared" ref="AN18" si="9">IF(OR(IF(TEXT(LEFT(F18,1),"0")="0",TRUE,FALSE),ISERROR(F18*1)),F18,F18*1)</f>
        <v/>
      </c>
    </row>
    <row r="19" spans="1:40">
      <c r="A19" s="565"/>
      <c r="B19" s="183"/>
      <c r="O19" s="32"/>
    </row>
    <row r="20" spans="1:40">
      <c r="B20" s="565" t="s">
        <v>5536</v>
      </c>
    </row>
  </sheetData>
  <sheetProtection algorithmName="SHA-512" hashValue="VwK9LSHBlfBFphMq2gRJ1j88BTnRRSwD4BTPsC6zjmV7qPrChI6SyAQdbfdGF2JB6CU9RF1YkxctwQwpzuSBMw==" saltValue="E7DCLRVVpInpS0Qt6CeXGA==" spinCount="100000" sheet="1" objects="1" scenarios="1" formatColumns="0" formatRows="0" autoFilter="0"/>
  <autoFilter ref="C8:AA8"/>
  <customSheetViews>
    <customSheetView guid="{3769259D-9653-4B34-A2F6-4FB6F9F4E533}" scale="70" showGridLines="0" showAutoFilter="1" hiddenRows="1" hiddenColumns="1">
      <pane xSplit="4" ySplit="11" topLeftCell="E12" activePane="bottomRight" state="frozen"/>
      <selection pane="bottomRight" activeCell="C17" sqref="C17"/>
      <pageMargins left="0.7" right="0.7" top="0.75" bottom="0.75" header="0.3" footer="0.3"/>
      <pageSetup orientation="portrait" r:id="rId1"/>
      <autoFilter ref="B1:AB1"/>
    </customSheetView>
    <customSheetView guid="{40D7A2BB-326C-4ED3-999C-17852F56D6F4}" scale="70" showGridLines="0" showAutoFilter="1" hiddenRows="1" hiddenColumns="1">
      <pane xSplit="4" ySplit="11" topLeftCell="E12" activePane="bottomRight" state="frozen"/>
      <selection pane="bottomRight" activeCell="C17" sqref="C17"/>
      <pageMargins left="0.7" right="0.7" top="0.75" bottom="0.75" header="0.3" footer="0.3"/>
      <pageSetup orientation="portrait" r:id="rId2"/>
      <autoFilter ref="B1:AB1"/>
    </customSheetView>
    <customSheetView guid="{5D121940-0CE8-4A0E-A493-67FAAA6E0FF8}" scale="70" showGridLines="0" showAutoFilter="1" hiddenRows="1" hiddenColumns="1" topLeftCell="B2">
      <pane xSplit="3" ySplit="10" topLeftCell="S12" activePane="bottomRight" state="frozen"/>
      <selection pane="bottomRight" activeCell="C9" sqref="C9:AC9"/>
      <pageMargins left="0.7" right="0.7" top="0.75" bottom="0.75" header="0.3" footer="0.3"/>
      <pageSetup orientation="portrait" r:id="rId3"/>
      <autoFilter ref="B1:AB1"/>
    </customSheetView>
    <customSheetView guid="{47AEACC4-6EA5-412C-AF39-A6C5357B313A}" scale="70" showGridLines="0" showAutoFilter="1" hiddenRows="1" hiddenColumns="1" topLeftCell="B2">
      <pane xSplit="3" ySplit="10" topLeftCell="P12" activePane="bottomRight" state="frozen"/>
      <selection pane="bottomRight" activeCell="T37" sqref="T37"/>
      <pageMargins left="0.7" right="0.7" top="0.75" bottom="0.75" header="0.3" footer="0.3"/>
      <pageSetup orientation="portrait" r:id="rId4"/>
      <autoFilter ref="B1:AB1"/>
    </customSheetView>
    <customSheetView guid="{4D957B38-5430-481E-B791-E0A66F913B50}" scale="70" hiddenColumns="1">
      <selection activeCell="R4" sqref="R4"/>
      <pageMargins left="0.7" right="0.7" top="0.75" bottom="0.75" header="0.3" footer="0.3"/>
      <pageSetup orientation="portrait" r:id="rId5"/>
    </customSheetView>
    <customSheetView guid="{1C36793E-2B7E-411E-AA99-985D5D59B75A}" scale="70">
      <selection activeCell="J29" sqref="J29"/>
      <pageMargins left="0.7" right="0.7" top="0.75" bottom="0.75" header="0.3" footer="0.3"/>
      <pageSetup orientation="portrait" r:id="rId6"/>
    </customSheetView>
    <customSheetView guid="{C913A9E8-661B-40A4-A3C9-1BC5F2B2E9F0}" scale="70" showGridLines="0" showAutoFilter="1" hiddenRows="1" hiddenColumns="1" topLeftCell="B2">
      <pane xSplit="3" ySplit="10" topLeftCell="S12" activePane="bottomRight" state="frozen"/>
      <selection pane="bottomRight" activeCell="C9" sqref="C9:AC9"/>
      <pageMargins left="0.7" right="0.7" top="0.75" bottom="0.75" header="0.3" footer="0.3"/>
      <pageSetup orientation="portrait" r:id="rId7"/>
      <autoFilter ref="B1:AB1"/>
    </customSheetView>
  </customSheetViews>
  <mergeCells count="18">
    <mergeCell ref="Q4:R4"/>
    <mergeCell ref="H5:H6"/>
    <mergeCell ref="I5:I6"/>
    <mergeCell ref="C5:C6"/>
    <mergeCell ref="D5:D6"/>
    <mergeCell ref="E5:E6"/>
    <mergeCell ref="G5:G6"/>
    <mergeCell ref="F5:F6"/>
    <mergeCell ref="AK5:AK7"/>
    <mergeCell ref="AL5:AL7"/>
    <mergeCell ref="AM5:AM7"/>
    <mergeCell ref="J5:J6"/>
    <mergeCell ref="K5:K6"/>
    <mergeCell ref="L5:L6"/>
    <mergeCell ref="M5:M6"/>
    <mergeCell ref="N5:N6"/>
    <mergeCell ref="O5:O6"/>
    <mergeCell ref="P5:AA5"/>
  </mergeCells>
  <phoneticPr fontId="0" type="noConversion"/>
  <conditionalFormatting sqref="AK12:AK18">
    <cfRule type="containsText" dxfId="30" priority="5" operator="containsText" text="ложь">
      <formula>NOT(ISERROR(SEARCH("ложь",AK12)))</formula>
    </cfRule>
    <cfRule type="containsText" dxfId="29" priority="6" operator="containsText" text="истина">
      <formula>NOT(ISERROR(SEARCH("истина",AK12)))</formula>
    </cfRule>
  </conditionalFormatting>
  <dataValidations count="5">
    <dataValidation operator="equal" allowBlank="1" showInputMessage="1" prompt="Дата в формате ДД.ММ.ГГГГ (01.01.2010)" sqref="IK10:IK12 IM10:IN12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IO10:IO12">
      <formula1>_Да_Нет_</formula1>
    </dataValidation>
    <dataValidation type="list" allowBlank="1" showInputMessage="1" showErrorMessage="1" sqref="IL10:IL12">
      <formula1>_58_01_</formula1>
    </dataValidation>
    <dataValidation type="list" allowBlank="1" showInputMessage="1" showErrorMessage="1" sqref="C12:C18">
      <formula1>dogovor_fin</formula1>
    </dataValidation>
    <dataValidation type="list" allowBlank="1" showInputMessage="1" showErrorMessage="1" sqref="N12:N18">
      <formula1>_9018</formula1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5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11" name="Button 1">
              <controlPr defaultSize="0" print="0" autoFill="0" autoPict="0" macro="[0]!AddButtonsRowAdd">
                <anchor moveWithCells="1">
                  <from>
                    <xdr:col>5</xdr:col>
                    <xdr:colOff>76200</xdr:colOff>
                    <xdr:row>1</xdr:row>
                    <xdr:rowOff>146050</xdr:rowOff>
                  </from>
                  <to>
                    <xdr:col>6</xdr:col>
                    <xdr:colOff>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N27"/>
  <sheetViews>
    <sheetView topLeftCell="B8" zoomScale="60" zoomScaleNormal="60" workbookViewId="0">
      <selection activeCell="F17" sqref="F17"/>
    </sheetView>
  </sheetViews>
  <sheetFormatPr defaultColWidth="9.453125" defaultRowHeight="14.5"/>
  <cols>
    <col min="1" max="1" width="35.453125" style="1163" hidden="1" customWidth="1"/>
    <col min="2" max="2" width="7.54296875" style="1163" customWidth="1"/>
    <col min="3" max="3" width="49.453125" style="1163" customWidth="1"/>
    <col min="4" max="4" width="19.453125" style="1163" customWidth="1"/>
    <col min="5" max="6" width="25" style="1163" customWidth="1"/>
    <col min="7" max="7" width="21.453125" style="1163" customWidth="1"/>
    <col min="8" max="8" width="21" style="1163" customWidth="1"/>
    <col min="9" max="9" width="19.453125" style="1163" customWidth="1"/>
    <col min="10" max="11" width="17.54296875" style="1163" customWidth="1"/>
    <col min="12" max="12" width="30.54296875" style="1163" customWidth="1"/>
    <col min="13" max="16" width="17.54296875" style="1163" customWidth="1"/>
    <col min="17" max="18" width="21.453125" style="1163" customWidth="1"/>
    <col min="19" max="26" width="17.54296875" style="1163" customWidth="1"/>
    <col min="27" max="27" width="25.453125" style="1163" customWidth="1"/>
    <col min="28" max="28" width="20.54296875" style="1163" customWidth="1"/>
    <col min="29" max="29" width="17.54296875" style="1163" customWidth="1"/>
    <col min="30" max="30" width="17.54296875" style="2422" customWidth="1"/>
    <col min="31" max="31" width="54.453125" style="1163" customWidth="1"/>
    <col min="32" max="34" width="9.453125" style="1163"/>
    <col min="35" max="35" width="8.54296875" style="1163" bestFit="1" customWidth="1"/>
    <col min="36" max="36" width="8.54296875" style="2422" customWidth="1"/>
    <col min="37" max="37" width="9.453125" style="1996"/>
    <col min="38" max="38" width="9.453125" style="1163"/>
    <col min="39" max="39" width="14.453125" style="1163" customWidth="1"/>
    <col min="40" max="40" width="20.54296875" style="1163" customWidth="1"/>
    <col min="41" max="16384" width="9.453125" style="1163"/>
  </cols>
  <sheetData>
    <row r="1" spans="1:40" ht="27.75" hidden="1" customHeight="1">
      <c r="A1" s="167" t="s">
        <v>2828</v>
      </c>
      <c r="C1" s="6"/>
      <c r="D1" s="6"/>
      <c r="E1" s="6"/>
      <c r="F1" s="6"/>
      <c r="G1" s="6"/>
      <c r="H1" s="6"/>
      <c r="I1" s="6"/>
      <c r="J1" s="6"/>
      <c r="K1" s="6"/>
      <c r="L1" s="6"/>
      <c r="M1" s="6" t="s">
        <v>1026</v>
      </c>
      <c r="N1" s="6"/>
      <c r="O1" s="6" t="s">
        <v>1027</v>
      </c>
      <c r="P1" s="6" t="s">
        <v>1028</v>
      </c>
      <c r="Q1" s="6" t="s">
        <v>1029</v>
      </c>
      <c r="R1" s="6" t="s">
        <v>5417</v>
      </c>
      <c r="S1" s="6" t="s">
        <v>5101</v>
      </c>
      <c r="T1" s="6"/>
      <c r="U1" s="6"/>
      <c r="V1" s="6"/>
      <c r="W1" s="6" t="s">
        <v>1</v>
      </c>
      <c r="X1" s="6"/>
      <c r="Y1" s="6" t="s">
        <v>1030</v>
      </c>
      <c r="Z1" s="6" t="s">
        <v>1031</v>
      </c>
      <c r="AA1" s="6" t="s">
        <v>5818</v>
      </c>
      <c r="AB1" s="6" t="s">
        <v>5418</v>
      </c>
      <c r="AC1" s="6" t="s">
        <v>5817</v>
      </c>
      <c r="AD1" s="2438" t="s">
        <v>7750</v>
      </c>
      <c r="AE1" s="6"/>
      <c r="AK1" s="2036"/>
    </row>
    <row r="2" spans="1:40" s="1778" customFormat="1"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1778" t="s">
        <v>1648</v>
      </c>
      <c r="U2" s="1778" t="s">
        <v>1648</v>
      </c>
      <c r="V2" s="1778" t="s">
        <v>1648</v>
      </c>
      <c r="W2" s="1778" t="s">
        <v>1648</v>
      </c>
      <c r="X2" s="1778" t="s">
        <v>1648</v>
      </c>
      <c r="Y2" s="1778" t="s">
        <v>1648</v>
      </c>
      <c r="Z2" s="1778" t="s">
        <v>1648</v>
      </c>
      <c r="AA2" s="1778" t="s">
        <v>1648</v>
      </c>
      <c r="AB2" s="1778" t="s">
        <v>1648</v>
      </c>
      <c r="AC2" s="1778" t="s">
        <v>1648</v>
      </c>
      <c r="AD2" s="1778" t="s">
        <v>1648</v>
      </c>
      <c r="AK2" s="1996"/>
    </row>
    <row r="3" spans="1:40" s="1778" customFormat="1">
      <c r="AK3" s="1996"/>
    </row>
    <row r="4" spans="1:40" ht="38.25" customHeight="1">
      <c r="C4" s="105" t="s">
        <v>5410</v>
      </c>
      <c r="G4"/>
      <c r="H4" s="1897" t="s">
        <v>2067</v>
      </c>
      <c r="I4" s="1244">
        <f>Содержание!$D$2</f>
        <v>0</v>
      </c>
      <c r="X4"/>
    </row>
    <row r="5" spans="1:40" ht="50.25" customHeight="1" thickBot="1">
      <c r="C5"/>
      <c r="H5" s="1897" t="s">
        <v>2075</v>
      </c>
      <c r="I5" s="1244" t="str">
        <f>Содержание!$D$15</f>
        <v>2022 год</v>
      </c>
      <c r="J5" s="3044" t="s">
        <v>1436</v>
      </c>
    </row>
    <row r="6" spans="1:40" ht="42" customHeight="1">
      <c r="C6" s="3675" t="s">
        <v>1792</v>
      </c>
      <c r="D6" s="3677" t="s">
        <v>8488</v>
      </c>
      <c r="E6" s="3854" t="s">
        <v>8489</v>
      </c>
      <c r="F6" s="3783" t="s">
        <v>8394</v>
      </c>
      <c r="G6" s="3677" t="s">
        <v>5384</v>
      </c>
      <c r="H6" s="3677" t="s">
        <v>5411</v>
      </c>
      <c r="I6" s="3677" t="s">
        <v>5412</v>
      </c>
      <c r="J6" s="3783" t="s">
        <v>4664</v>
      </c>
      <c r="K6" s="3677" t="s">
        <v>5413</v>
      </c>
      <c r="L6" s="3677" t="s">
        <v>5387</v>
      </c>
      <c r="M6" s="3677" t="s">
        <v>5225</v>
      </c>
      <c r="N6" s="3677"/>
      <c r="O6" s="3677"/>
      <c r="P6" s="3677"/>
      <c r="Q6" s="3677"/>
      <c r="R6" s="3677"/>
      <c r="S6" s="3677"/>
      <c r="T6" s="3713" t="s">
        <v>4679</v>
      </c>
      <c r="U6" s="3713"/>
      <c r="V6" s="3851" t="s">
        <v>8632</v>
      </c>
      <c r="W6" s="3713" t="s">
        <v>5233</v>
      </c>
      <c r="X6" s="3713"/>
      <c r="Y6" s="3713"/>
      <c r="Z6" s="3713"/>
      <c r="AA6" s="3713"/>
      <c r="AB6" s="3713"/>
      <c r="AC6" s="3713"/>
      <c r="AD6" s="3772" t="s">
        <v>7704</v>
      </c>
      <c r="AE6" s="3772" t="s">
        <v>4183</v>
      </c>
    </row>
    <row r="7" spans="1:40" ht="50.25" customHeight="1">
      <c r="C7" s="3804"/>
      <c r="D7" s="3775"/>
      <c r="E7" s="3794"/>
      <c r="F7" s="3855"/>
      <c r="G7" s="3775"/>
      <c r="H7" s="3775"/>
      <c r="I7" s="3775"/>
      <c r="J7" s="3852"/>
      <c r="K7" s="3775"/>
      <c r="L7" s="3775"/>
      <c r="M7" s="3775" t="s">
        <v>5415</v>
      </c>
      <c r="N7" s="3775" t="s">
        <v>5416</v>
      </c>
      <c r="O7" s="3775"/>
      <c r="P7" s="3775"/>
      <c r="Q7" s="3775"/>
      <c r="R7" s="3775"/>
      <c r="S7" s="3775" t="s">
        <v>8631</v>
      </c>
      <c r="T7" s="3710" t="s">
        <v>5415</v>
      </c>
      <c r="U7" s="3710" t="s">
        <v>5243</v>
      </c>
      <c r="V7" s="3852"/>
      <c r="W7" s="3710" t="s">
        <v>5415</v>
      </c>
      <c r="X7" s="3775" t="s">
        <v>5416</v>
      </c>
      <c r="Y7" s="3775"/>
      <c r="Z7" s="3775"/>
      <c r="AA7" s="3775"/>
      <c r="AB7" s="3775"/>
      <c r="AC7" s="3710" t="s">
        <v>8631</v>
      </c>
      <c r="AD7" s="3778"/>
      <c r="AE7" s="3778"/>
    </row>
    <row r="8" spans="1:40" ht="52.5" thickBot="1">
      <c r="C8" s="3804"/>
      <c r="D8" s="3775"/>
      <c r="E8" s="3777"/>
      <c r="F8" s="3807"/>
      <c r="G8" s="3775"/>
      <c r="H8" s="3775"/>
      <c r="I8" s="3775"/>
      <c r="J8" s="3853"/>
      <c r="K8" s="3775"/>
      <c r="L8" s="3775"/>
      <c r="M8" s="3775"/>
      <c r="N8" s="15" t="s">
        <v>5244</v>
      </c>
      <c r="O8" s="15" t="s">
        <v>1647</v>
      </c>
      <c r="P8" s="15" t="s">
        <v>441</v>
      </c>
      <c r="Q8" s="15" t="s">
        <v>5245</v>
      </c>
      <c r="R8" s="15" t="s">
        <v>5246</v>
      </c>
      <c r="S8" s="3775"/>
      <c r="T8" s="3775"/>
      <c r="U8" s="3775"/>
      <c r="V8" s="3853"/>
      <c r="W8" s="3775"/>
      <c r="X8" s="15" t="s">
        <v>5244</v>
      </c>
      <c r="Y8" s="15" t="s">
        <v>1647</v>
      </c>
      <c r="Z8" s="15" t="s">
        <v>441</v>
      </c>
      <c r="AA8" s="15" t="s">
        <v>5245</v>
      </c>
      <c r="AB8" s="15" t="s">
        <v>5246</v>
      </c>
      <c r="AC8" s="3710"/>
      <c r="AD8" s="3778"/>
      <c r="AE8" s="3778"/>
    </row>
    <row r="9" spans="1:40" ht="52">
      <c r="C9" s="911"/>
      <c r="D9" s="1170" t="s">
        <v>5247</v>
      </c>
      <c r="E9" s="912" t="s">
        <v>5247</v>
      </c>
      <c r="F9" s="912" t="s">
        <v>5247</v>
      </c>
      <c r="G9" s="912" t="s">
        <v>2063</v>
      </c>
      <c r="H9" s="912" t="s">
        <v>5248</v>
      </c>
      <c r="I9" s="912" t="s">
        <v>5249</v>
      </c>
      <c r="J9" s="912" t="s">
        <v>5250</v>
      </c>
      <c r="K9" s="912" t="s">
        <v>5251</v>
      </c>
      <c r="L9" s="912">
        <v>10018</v>
      </c>
      <c r="M9" s="912"/>
      <c r="N9" s="912"/>
      <c r="O9" s="912" t="s">
        <v>4142</v>
      </c>
      <c r="P9" s="912" t="s">
        <v>4142</v>
      </c>
      <c r="Q9" s="912"/>
      <c r="R9" s="912"/>
      <c r="S9" s="912"/>
      <c r="T9" s="912"/>
      <c r="U9" s="912"/>
      <c r="V9" s="912"/>
      <c r="W9" s="912"/>
      <c r="X9" s="912"/>
      <c r="Y9" s="912" t="s">
        <v>4142</v>
      </c>
      <c r="Z9" s="912" t="s">
        <v>4142</v>
      </c>
      <c r="AA9" s="912"/>
      <c r="AB9" s="912"/>
      <c r="AC9" s="912"/>
      <c r="AD9" s="913"/>
      <c r="AE9" s="913"/>
      <c r="AM9" s="2688" t="s">
        <v>7712</v>
      </c>
    </row>
    <row r="10" spans="1:40">
      <c r="C10" s="1348" t="s">
        <v>4164</v>
      </c>
      <c r="D10" s="1389" t="s">
        <v>4165</v>
      </c>
      <c r="E10" s="1389" t="s">
        <v>4166</v>
      </c>
      <c r="F10" s="1389" t="s">
        <v>5500</v>
      </c>
      <c r="G10" s="1389" t="s">
        <v>4169</v>
      </c>
      <c r="H10" s="1389" t="s">
        <v>4168</v>
      </c>
      <c r="I10" s="1389" t="s">
        <v>4178</v>
      </c>
      <c r="J10" s="1389" t="s">
        <v>4179</v>
      </c>
      <c r="K10" s="1389" t="s">
        <v>4167</v>
      </c>
      <c r="L10" s="1389" t="s">
        <v>5501</v>
      </c>
      <c r="M10" s="1389" t="s">
        <v>4701</v>
      </c>
      <c r="N10" s="1389" t="s">
        <v>4702</v>
      </c>
      <c r="O10" s="1389" t="s">
        <v>4703</v>
      </c>
      <c r="P10" s="1389" t="s">
        <v>5502</v>
      </c>
      <c r="Q10" s="1389" t="s">
        <v>5503</v>
      </c>
      <c r="R10" s="1389" t="s">
        <v>5504</v>
      </c>
      <c r="S10" s="1389" t="s">
        <v>4853</v>
      </c>
      <c r="T10" s="1389" t="s">
        <v>4852</v>
      </c>
      <c r="U10" s="1389" t="s">
        <v>5505</v>
      </c>
      <c r="V10" s="1389" t="s">
        <v>4851</v>
      </c>
      <c r="W10" s="1389" t="s">
        <v>5506</v>
      </c>
      <c r="X10" s="1389" t="s">
        <v>4850</v>
      </c>
      <c r="Y10" s="1389" t="s">
        <v>3303</v>
      </c>
      <c r="Z10" s="1389" t="s">
        <v>3304</v>
      </c>
      <c r="AA10" s="1389" t="s">
        <v>3305</v>
      </c>
      <c r="AB10" s="1389" t="s">
        <v>3306</v>
      </c>
      <c r="AC10" s="1389" t="s">
        <v>3307</v>
      </c>
      <c r="AD10" s="1389" t="s">
        <v>3308</v>
      </c>
      <c r="AE10" s="1389" t="s">
        <v>3309</v>
      </c>
      <c r="AM10" s="2422"/>
    </row>
    <row r="11" spans="1:40">
      <c r="C11" s="916" t="s">
        <v>4184</v>
      </c>
      <c r="D11" s="1389" t="s">
        <v>3066</v>
      </c>
      <c r="E11" s="1389" t="s">
        <v>3066</v>
      </c>
      <c r="F11" s="1389" t="s">
        <v>3066</v>
      </c>
      <c r="G11" s="1389" t="s">
        <v>3066</v>
      </c>
      <c r="H11" s="1391" t="s">
        <v>3066</v>
      </c>
      <c r="I11" s="1391" t="s">
        <v>3066</v>
      </c>
      <c r="J11" s="1391" t="s">
        <v>3066</v>
      </c>
      <c r="K11" s="1391" t="s">
        <v>3066</v>
      </c>
      <c r="L11" s="1391" t="s">
        <v>3066</v>
      </c>
      <c r="M11" s="1392" t="s">
        <v>3066</v>
      </c>
      <c r="N11" s="1168">
        <f t="shared" ref="N11:AB11" si="0">SUM(N12:N65536)</f>
        <v>0</v>
      </c>
      <c r="O11" s="1168">
        <f t="shared" si="0"/>
        <v>0</v>
      </c>
      <c r="P11" s="1168">
        <f t="shared" si="0"/>
        <v>0</v>
      </c>
      <c r="Q11" s="1168">
        <f t="shared" si="0"/>
        <v>0</v>
      </c>
      <c r="R11" s="1168">
        <f t="shared" si="0"/>
        <v>0</v>
      </c>
      <c r="S11" s="1391" t="s">
        <v>3066</v>
      </c>
      <c r="T11" s="1168">
        <f t="shared" si="0"/>
        <v>0</v>
      </c>
      <c r="U11" s="1168">
        <f t="shared" si="0"/>
        <v>0</v>
      </c>
      <c r="V11" s="1391" t="s">
        <v>3066</v>
      </c>
      <c r="W11" s="1168">
        <f t="shared" si="0"/>
        <v>0</v>
      </c>
      <c r="X11" s="1168">
        <f t="shared" si="0"/>
        <v>0</v>
      </c>
      <c r="Y11" s="1168">
        <f t="shared" si="0"/>
        <v>0</v>
      </c>
      <c r="Z11" s="1168">
        <f t="shared" si="0"/>
        <v>0</v>
      </c>
      <c r="AA11" s="1168">
        <f t="shared" si="0"/>
        <v>0</v>
      </c>
      <c r="AB11" s="1168">
        <f t="shared" si="0"/>
        <v>0</v>
      </c>
      <c r="AC11" s="1391" t="s">
        <v>3066</v>
      </c>
      <c r="AD11" s="1393" t="s">
        <v>3066</v>
      </c>
      <c r="AE11" s="1390" t="s">
        <v>3066</v>
      </c>
      <c r="AG11" s="1163">
        <f>SUM(AG12:AG1000)</f>
        <v>0</v>
      </c>
      <c r="AH11" s="1163">
        <f>SUMIFS(AH12:AH1000,X12:X1000,"&lt;&gt;0")</f>
        <v>0</v>
      </c>
    </row>
    <row r="12" spans="1:40" ht="57" customHeight="1">
      <c r="A12" s="538" t="str">
        <f t="shared" ref="A12:A26" si="1">"R50="&amp;C12&amp;";R4="&amp;IFERROR(MID(L12,FIND("{",L12)+1,FIND("}",L12)-FIND("{",L12)-1),"")&amp;";R7=;R36="&amp;MID(F12,1,30)&amp;";R43="&amp;MID(E12,1,30)&amp;";COM="&amp;AE12</f>
        <v>R50=;R4=;R7=;R36=;R43=;COM=</v>
      </c>
      <c r="C12" s="883"/>
      <c r="D12" s="1313" t="str">
        <f>IF(ISERROR(VLOOKUP($C12,Фин_договоры!$C$9:$R$32367,6,0)),"",VLOOKUP($C12,Фин_договоры!$C$9:$R$32367,6,0))</f>
        <v/>
      </c>
      <c r="E12" s="1313" t="str">
        <f>IF(ISERROR(VLOOKUP($C12,Фин_договоры!$C$9:$R$32367,7,0)),"",VLOOKUP($C12,Фин_договоры!$C$9:$R$32367,7,0))</f>
        <v/>
      </c>
      <c r="F12" s="1313" t="str">
        <f>IF(ISERROR(VLOOKUP($C12,Фин_договоры!$C$9:$R$32367,8,0)),"",VLOOKUP($C12,Фин_договоры!$C$9:$R$32367,8,0))</f>
        <v/>
      </c>
      <c r="G12" s="1313" t="str">
        <f>IF(ISERROR(VLOOKUP($C12,Фин_договоры!$C$9:$R$32367,2,0)),"",VLOOKUP($C12,Фин_договоры!$C$9:$R$32367,2,0))</f>
        <v/>
      </c>
      <c r="H12" s="1394" t="str">
        <f>IF(ISERROR(VLOOKUP($C12,Фин_договоры!$C$9:$U$32367,19,0)),"",VLOOKUP($C12,Фин_договоры!$C$9:$U$32367,19,0))</f>
        <v/>
      </c>
      <c r="I12" s="1394" t="str">
        <f>IF(ISERROR(VLOOKUP($C12,Фин_договоры!$C$9:$U$32367,17,0)),"",VLOOKUP($C12,Фин_договоры!$C$9:$U$32367,17,0))</f>
        <v/>
      </c>
      <c r="J12" s="1394" t="str">
        <f>IF(ISERROR(VLOOKUP($C12,Фин_договоры!$C$9:$U$32367,16,0)),"",VLOOKUP($C12,Фин_договоры!$C$9:$U$32367,16,0))</f>
        <v/>
      </c>
      <c r="K12" s="1394" t="str">
        <f>IF(ISERROR(VLOOKUP($C12,Фин_договоры!$C$9:$U$32367,18,0)),"",VLOOKUP($C12,Фин_договоры!$C$9:$U$32367,18,0))</f>
        <v/>
      </c>
      <c r="L12" s="1517"/>
      <c r="M12" s="1395"/>
      <c r="N12" s="915">
        <f t="shared" ref="N12:N19" si="2">SUM(Q12:R12)</f>
        <v>0</v>
      </c>
      <c r="O12" s="1396"/>
      <c r="P12" s="1765">
        <f t="shared" ref="P12:P19" si="3">N12-O12</f>
        <v>0</v>
      </c>
      <c r="Q12" s="1498"/>
      <c r="R12" s="1498"/>
      <c r="S12" s="2750"/>
      <c r="T12" s="915">
        <f>SUMPRODUCT(('58_02_движ'!$E$13:$E$65433='58_02'!$E12)*('58_02_движ'!$G$13:$G$65433='58_02'!$G12)*('58_02_движ'!$H$13:$H$65433='58_02'!$H12)*('58_02_движ'!$I$13:$I$65433='58_02'!$I12)*('58_02_движ'!$C$13:$C$65433='58_02'!$C12),'58_02_движ'!$P$13:$P$65433)</f>
        <v>0</v>
      </c>
      <c r="U12" s="915">
        <f>SUMPRODUCT(('58_02_движ'!$E$13:$E$65433='58_02'!$E12)*('58_02_движ'!$G$13:$G$65433='58_02'!$G12)*('58_02_движ'!$H$13:$H$65433='58_02'!$H12)*('58_02_движ'!$I$13:$I$65433='58_02'!$I12)*('58_02_движ'!$C$13:$C$65433='58_02'!$C12),'58_02_движ'!$Q$13:$Q$65433)</f>
        <v>0</v>
      </c>
      <c r="V12" s="2759">
        <f>SUMPRODUCT(('58_02_движ'!$E$13:$E$65433='58_02'!$E12)*('58_02_движ'!$G$13:$G$65433='58_02'!$G12)*('58_02_движ'!$H$13:$H$65433='58_02'!$H12)*('58_02_движ'!$I$13:$I$65433='58_02'!$I12)*('58_02_движ'!$C$13:$C$65433='58_02'!$C12),'58_02_движ'!$R$13:$R$65433)</f>
        <v>0</v>
      </c>
      <c r="W12" s="915">
        <f t="shared" ref="W12:W26" si="4">M12+T12</f>
        <v>0</v>
      </c>
      <c r="X12" s="915">
        <f t="shared" ref="X12:X26" si="5">SUM(N12,U12)</f>
        <v>0</v>
      </c>
      <c r="Y12" s="1396"/>
      <c r="Z12" s="1765">
        <f t="shared" ref="Z12:Z19" si="6">X12-Y12</f>
        <v>0</v>
      </c>
      <c r="AA12" s="915">
        <f t="shared" ref="AA12:AA19" si="7">X12-AB12</f>
        <v>0</v>
      </c>
      <c r="AB12" s="1395"/>
      <c r="AC12" s="2759">
        <f t="shared" ref="AC12:AC26" si="8">S12+V12</f>
        <v>0</v>
      </c>
      <c r="AD12" s="1396"/>
      <c r="AE12" s="898"/>
      <c r="AG12" s="1163">
        <f t="shared" ref="AG12:AG26" si="9">IF(K12=$AK$12,IF(AB12&gt;R12,AB12-R12,0),0)</f>
        <v>0</v>
      </c>
      <c r="AH12" s="1163">
        <f t="shared" ref="AH12:AH26" si="10">IF(K12=$AK$12,IF(AB12&lt;R12,-AB12+R12,0),0)</f>
        <v>0</v>
      </c>
      <c r="AI12" s="2130" t="b">
        <f t="shared" ref="AI12:AI24" si="11">IF(AA12&gt;0,IF(AC12&lt;&gt;0,TRUE,FALSE),IF(AC12=0,TRUE,FALSE))</f>
        <v>1</v>
      </c>
      <c r="AJ12" s="2130" t="b">
        <f t="shared" ref="AJ12:AJ26" si="12">IF(OR(G12=$AK$13,G12=$AK$14,AND(N12=0,X12=0)),TRUE,FALSE)</f>
        <v>1</v>
      </c>
      <c r="AK12" s="1996" t="s">
        <v>6294</v>
      </c>
      <c r="AL12" s="2130" t="b">
        <f t="shared" ref="AL12:AL26" si="13">OR(AND(X12&gt;0,AD12&lt;&gt;""),AND(X12=0,AD12=0))</f>
        <v>1</v>
      </c>
      <c r="AM12" s="2130" t="b">
        <f t="shared" ref="AM12:AM26" si="14">IF(S12&lt;=100%,AC12&lt;=100%,FALSE)</f>
        <v>1</v>
      </c>
      <c r="AN12" s="2130"/>
    </row>
    <row r="13" spans="1:40">
      <c r="A13" s="538" t="str">
        <f t="shared" si="1"/>
        <v>R50=;R4=;R7=;R36=;R43=;COM=</v>
      </c>
      <c r="C13" s="883"/>
      <c r="D13" s="1313" t="str">
        <f>IF(ISERROR(VLOOKUP($C13,Фин_договоры!$C$9:$R$32367,6,0)),"",VLOOKUP($C13,Фин_договоры!$C$9:$R$32367,6,0))</f>
        <v/>
      </c>
      <c r="E13" s="1313" t="str">
        <f>IF(ISERROR(VLOOKUP($C13,Фин_договоры!$C$9:$R$32367,7,0)),"",VLOOKUP($C13,Фин_договоры!$C$9:$R$32367,7,0))</f>
        <v/>
      </c>
      <c r="F13" s="1313" t="str">
        <f>IF(ISERROR(VLOOKUP($C13,Фин_договоры!$C$9:$R$32367,8,0)),"",VLOOKUP($C13,Фин_договоры!$C$9:$R$32367,8,0))</f>
        <v/>
      </c>
      <c r="G13" s="1313" t="str">
        <f>IF(ISERROR(VLOOKUP($C13,Фин_договоры!$C$9:$R$32367,2,0)),"",VLOOKUP($C13,Фин_договоры!$C$9:$R$32367,2,0))</f>
        <v/>
      </c>
      <c r="H13" s="1394" t="str">
        <f>IF(ISERROR(VLOOKUP($C13,Фин_договоры!$C$9:$U$32367,19,0)),"",VLOOKUP($C13,Фин_договоры!$C$9:$U$32367,19,0))</f>
        <v/>
      </c>
      <c r="I13" s="1394" t="str">
        <f>IF(ISERROR(VLOOKUP($C13,Фин_договоры!$C$9:$U$32367,17,0)),"",VLOOKUP($C13,Фин_договоры!$C$9:$U$32367,17,0))</f>
        <v/>
      </c>
      <c r="J13" s="1394" t="str">
        <f>IF(ISERROR(VLOOKUP($C13,Фин_договоры!$C$9:$U$32367,16,0)),"",VLOOKUP($C13,Фин_договоры!$C$9:$U$32367,16,0))</f>
        <v/>
      </c>
      <c r="K13" s="1394" t="str">
        <f>IF(ISERROR(VLOOKUP($C13,Фин_договоры!$C$9:$U$32367,18,0)),"",VLOOKUP($C13,Фин_договоры!$C$9:$U$32367,18,0))</f>
        <v/>
      </c>
      <c r="L13" s="1395"/>
      <c r="M13" s="1395"/>
      <c r="N13" s="915">
        <f t="shared" si="2"/>
        <v>0</v>
      </c>
      <c r="O13" s="1396"/>
      <c r="P13" s="1765">
        <f t="shared" si="3"/>
        <v>0</v>
      </c>
      <c r="Q13" s="1498"/>
      <c r="R13" s="1396"/>
      <c r="S13" s="2750"/>
      <c r="T13" s="915">
        <f>SUMPRODUCT(('58_02_движ'!$E$13:$E$65433='58_02'!$E13)*('58_02_движ'!$G$13:$G$65433='58_02'!$G13)*('58_02_движ'!$H$13:$H$65433='58_02'!$H13)*('58_02_движ'!$I$13:$I$65433='58_02'!$I13)*('58_02_движ'!$C$13:$C$65433='58_02'!$C13),'58_02_движ'!$P$13:$P$65433)</f>
        <v>0</v>
      </c>
      <c r="U13" s="915">
        <f>SUMPRODUCT(('58_02_движ'!$E$13:$E$65433='58_02'!$E13)*('58_02_движ'!$G$13:$G$65433='58_02'!$G13)*('58_02_движ'!$H$13:$H$65433='58_02'!$H13)*('58_02_движ'!$I$13:$I$65433='58_02'!$I13)*('58_02_движ'!$C$13:$C$65433='58_02'!$C13),'58_02_движ'!$Q$13:$Q$65433)</f>
        <v>0</v>
      </c>
      <c r="V13" s="2759">
        <f>SUMPRODUCT(('58_02_движ'!$E$13:$E$65433='58_02'!$E13)*('58_02_движ'!$G$13:$G$65433='58_02'!$G13)*('58_02_движ'!$H$13:$H$65433='58_02'!$H13)*('58_02_движ'!$I$13:$I$65433='58_02'!$I13)*('58_02_движ'!$C$13:$C$65433='58_02'!$C13),'58_02_движ'!$R$13:$R$65433)</f>
        <v>0</v>
      </c>
      <c r="W13" s="915">
        <f t="shared" si="4"/>
        <v>0</v>
      </c>
      <c r="X13" s="915">
        <f t="shared" si="5"/>
        <v>0</v>
      </c>
      <c r="Y13" s="1396"/>
      <c r="Z13" s="1765">
        <f t="shared" si="6"/>
        <v>0</v>
      </c>
      <c r="AA13" s="915">
        <f t="shared" si="7"/>
        <v>0</v>
      </c>
      <c r="AB13" s="1395"/>
      <c r="AC13" s="2759">
        <f t="shared" si="8"/>
        <v>0</v>
      </c>
      <c r="AD13" s="1396"/>
      <c r="AE13" s="1467"/>
      <c r="AG13" s="1163">
        <f t="shared" si="9"/>
        <v>0</v>
      </c>
      <c r="AH13" s="1163">
        <f t="shared" si="10"/>
        <v>0</v>
      </c>
      <c r="AI13" s="2130" t="b">
        <f t="shared" si="11"/>
        <v>1</v>
      </c>
      <c r="AJ13" s="2130" t="b">
        <f t="shared" si="12"/>
        <v>1</v>
      </c>
      <c r="AK13" s="1996" t="s">
        <v>2999</v>
      </c>
      <c r="AL13" s="2130" t="b">
        <f t="shared" si="13"/>
        <v>1</v>
      </c>
      <c r="AM13" s="2130" t="b">
        <f t="shared" si="14"/>
        <v>1</v>
      </c>
      <c r="AN13" s="2130"/>
    </row>
    <row r="14" spans="1:40">
      <c r="A14" s="538" t="str">
        <f t="shared" si="1"/>
        <v>R50=;R4=;R7=;R36=;R43=;COM=</v>
      </c>
      <c r="C14" s="883"/>
      <c r="D14" s="1313" t="str">
        <f>IF(ISERROR(VLOOKUP($C14,Фин_договоры!$C$9:$R$32367,6,0)),"",VLOOKUP($C14,Фин_договоры!$C$9:$R$32367,6,0))</f>
        <v/>
      </c>
      <c r="E14" s="1313" t="str">
        <f>IF(ISERROR(VLOOKUP($C14,Фин_договоры!$C$9:$R$32367,7,0)),"",VLOOKUP($C14,Фин_договоры!$C$9:$R$32367,7,0))</f>
        <v/>
      </c>
      <c r="F14" s="1313" t="str">
        <f>IF(ISERROR(VLOOKUP($C14,Фин_договоры!$C$9:$R$32367,8,0)),"",VLOOKUP($C14,Фин_договоры!$C$9:$R$32367,8,0))</f>
        <v/>
      </c>
      <c r="G14" s="1313" t="str">
        <f>IF(ISERROR(VLOOKUP($C14,Фин_договоры!$C$9:$R$32367,2,0)),"",VLOOKUP($C14,Фин_договоры!$C$9:$R$32367,2,0))</f>
        <v/>
      </c>
      <c r="H14" s="1394" t="str">
        <f>IF(ISERROR(VLOOKUP($C14,Фин_договоры!$C$9:$U$32367,19,0)),"",VLOOKUP($C14,Фин_договоры!$C$9:$U$32367,19,0))</f>
        <v/>
      </c>
      <c r="I14" s="1394" t="str">
        <f>IF(ISERROR(VLOOKUP($C14,Фин_договоры!$C$9:$U$32367,17,0)),"",VLOOKUP($C14,Фин_договоры!$C$9:$U$32367,17,0))</f>
        <v/>
      </c>
      <c r="J14" s="1394" t="str">
        <f>IF(ISERROR(VLOOKUP($C14,Фин_договоры!$C$9:$U$32367,16,0)),"",VLOOKUP($C14,Фин_договоры!$C$9:$U$32367,16,0))</f>
        <v/>
      </c>
      <c r="K14" s="1394" t="str">
        <f>IF(ISERROR(VLOOKUP($C14,Фин_договоры!$C$9:$U$32367,18,0)),"",VLOOKUP($C14,Фин_договоры!$C$9:$U$32367,18,0))</f>
        <v/>
      </c>
      <c r="L14" s="1395"/>
      <c r="M14" s="1395"/>
      <c r="N14" s="915">
        <f t="shared" si="2"/>
        <v>0</v>
      </c>
      <c r="O14" s="1396"/>
      <c r="P14" s="1765">
        <f t="shared" si="3"/>
        <v>0</v>
      </c>
      <c r="Q14" s="1498"/>
      <c r="R14" s="1396"/>
      <c r="S14" s="2750"/>
      <c r="T14" s="915">
        <f>SUMPRODUCT(('58_02_движ'!$E$13:$E$65433='58_02'!$E14)*('58_02_движ'!$G$13:$G$65433='58_02'!$G14)*('58_02_движ'!$H$13:$H$65433='58_02'!$H14)*('58_02_движ'!$I$13:$I$65433='58_02'!$I14)*('58_02_движ'!$C$13:$C$65433='58_02'!$C14),'58_02_движ'!$P$13:$P$65433)</f>
        <v>0</v>
      </c>
      <c r="U14" s="915">
        <f>SUMPRODUCT(('58_02_движ'!$E$13:$E$65433='58_02'!$E14)*('58_02_движ'!$G$13:$G$65433='58_02'!$G14)*('58_02_движ'!$H$13:$H$65433='58_02'!$H14)*('58_02_движ'!$I$13:$I$65433='58_02'!$I14)*('58_02_движ'!$C$13:$C$65433='58_02'!$C14),'58_02_движ'!$Q$13:$Q$65433)</f>
        <v>0</v>
      </c>
      <c r="V14" s="2759">
        <f>SUMPRODUCT(('58_02_движ'!$E$13:$E$65433='58_02'!$E14)*('58_02_движ'!$G$13:$G$65433='58_02'!$G14)*('58_02_движ'!$H$13:$H$65433='58_02'!$H14)*('58_02_движ'!$I$13:$I$65433='58_02'!$I14)*('58_02_движ'!$C$13:$C$65433='58_02'!$C14),'58_02_движ'!$R$13:$R$65433)</f>
        <v>0</v>
      </c>
      <c r="W14" s="915">
        <f t="shared" si="4"/>
        <v>0</v>
      </c>
      <c r="X14" s="915">
        <f t="shared" si="5"/>
        <v>0</v>
      </c>
      <c r="Y14" s="1396"/>
      <c r="Z14" s="1765">
        <f t="shared" si="6"/>
        <v>0</v>
      </c>
      <c r="AA14" s="915">
        <f t="shared" si="7"/>
        <v>0</v>
      </c>
      <c r="AB14" s="1395"/>
      <c r="AC14" s="2759">
        <f t="shared" si="8"/>
        <v>0</v>
      </c>
      <c r="AD14" s="1396"/>
      <c r="AE14" s="1467"/>
      <c r="AG14" s="1163">
        <f t="shared" si="9"/>
        <v>0</v>
      </c>
      <c r="AH14" s="1163">
        <f t="shared" si="10"/>
        <v>0</v>
      </c>
      <c r="AI14" s="2130" t="b">
        <f t="shared" si="11"/>
        <v>1</v>
      </c>
      <c r="AJ14" s="2130" t="b">
        <f t="shared" si="12"/>
        <v>1</v>
      </c>
      <c r="AK14" s="1996" t="s">
        <v>3000</v>
      </c>
      <c r="AL14" s="2130" t="b">
        <f t="shared" si="13"/>
        <v>1</v>
      </c>
      <c r="AM14" s="2130" t="b">
        <f t="shared" si="14"/>
        <v>1</v>
      </c>
      <c r="AN14" s="2130"/>
    </row>
    <row r="15" spans="1:40">
      <c r="A15" s="538" t="str">
        <f t="shared" si="1"/>
        <v>R50=;R4=;R7=;R36=;R43=;COM=</v>
      </c>
      <c r="C15" s="883"/>
      <c r="D15" s="1313" t="str">
        <f>IF(ISERROR(VLOOKUP($C15,Фин_договоры!$C$9:$R$32367,6,0)),"",VLOOKUP($C15,Фин_договоры!$C$9:$R$32367,6,0))</f>
        <v/>
      </c>
      <c r="E15" s="1313" t="str">
        <f>IF(ISERROR(VLOOKUP($C15,Фин_договоры!$C$9:$R$32367,7,0)),"",VLOOKUP($C15,Фин_договоры!$C$9:$R$32367,7,0))</f>
        <v/>
      </c>
      <c r="F15" s="1313" t="str">
        <f>IF(ISERROR(VLOOKUP($C15,Фин_договоры!$C$9:$R$32367,8,0)),"",VLOOKUP($C15,Фин_договоры!$C$9:$R$32367,8,0))</f>
        <v/>
      </c>
      <c r="G15" s="1313" t="str">
        <f>IF(ISERROR(VLOOKUP($C15,Фин_договоры!$C$9:$R$32367,2,0)),"",VLOOKUP($C15,Фин_договоры!$C$9:$R$32367,2,0))</f>
        <v/>
      </c>
      <c r="H15" s="1394" t="str">
        <f>IF(ISERROR(VLOOKUP($C15,Фин_договоры!$C$9:$U$32367,19,0)),"",VLOOKUP($C15,Фин_договоры!$C$9:$U$32367,19,0))</f>
        <v/>
      </c>
      <c r="I15" s="1394" t="str">
        <f>IF(ISERROR(VLOOKUP($C15,Фин_договоры!$C$9:$U$32367,17,0)),"",VLOOKUP($C15,Фин_договоры!$C$9:$U$32367,17,0))</f>
        <v/>
      </c>
      <c r="J15" s="1394" t="str">
        <f>IF(ISERROR(VLOOKUP($C15,Фин_договоры!$C$9:$U$32367,16,0)),"",VLOOKUP($C15,Фин_договоры!$C$9:$U$32367,16,0))</f>
        <v/>
      </c>
      <c r="K15" s="1394" t="str">
        <f>IF(ISERROR(VLOOKUP($C15,Фин_договоры!$C$9:$U$32367,18,0)),"",VLOOKUP($C15,Фин_договоры!$C$9:$U$32367,18,0))</f>
        <v/>
      </c>
      <c r="L15" s="1395"/>
      <c r="M15" s="1395"/>
      <c r="N15" s="915">
        <f t="shared" si="2"/>
        <v>0</v>
      </c>
      <c r="O15" s="1396"/>
      <c r="P15" s="1765">
        <f t="shared" si="3"/>
        <v>0</v>
      </c>
      <c r="Q15" s="1498"/>
      <c r="R15" s="1396"/>
      <c r="S15" s="2750"/>
      <c r="T15" s="915">
        <f>SUMPRODUCT(('58_02_движ'!$E$13:$E$65433='58_02'!$E15)*('58_02_движ'!$G$13:$G$65433='58_02'!$G15)*('58_02_движ'!$H$13:$H$65433='58_02'!$H15)*('58_02_движ'!$I$13:$I$65433='58_02'!$I15)*('58_02_движ'!$C$13:$C$65433='58_02'!$C15),'58_02_движ'!$P$13:$P$65433)</f>
        <v>0</v>
      </c>
      <c r="U15" s="915">
        <f>SUMPRODUCT(('58_02_движ'!$E$13:$E$65433='58_02'!$E15)*('58_02_движ'!$G$13:$G$65433='58_02'!$G15)*('58_02_движ'!$H$13:$H$65433='58_02'!$H15)*('58_02_движ'!$I$13:$I$65433='58_02'!$I15)*('58_02_движ'!$C$13:$C$65433='58_02'!$C15),'58_02_движ'!$Q$13:$Q$65433)</f>
        <v>0</v>
      </c>
      <c r="V15" s="2759">
        <f>SUMPRODUCT(('58_02_движ'!$E$13:$E$65433='58_02'!$E15)*('58_02_движ'!$G$13:$G$65433='58_02'!$G15)*('58_02_движ'!$H$13:$H$65433='58_02'!$H15)*('58_02_движ'!$I$13:$I$65433='58_02'!$I15)*('58_02_движ'!$C$13:$C$65433='58_02'!$C15),'58_02_движ'!$R$13:$R$65433)</f>
        <v>0</v>
      </c>
      <c r="W15" s="915">
        <f t="shared" si="4"/>
        <v>0</v>
      </c>
      <c r="X15" s="915">
        <f t="shared" si="5"/>
        <v>0</v>
      </c>
      <c r="Y15" s="1396"/>
      <c r="Z15" s="1765">
        <f t="shared" si="6"/>
        <v>0</v>
      </c>
      <c r="AA15" s="915">
        <f t="shared" si="7"/>
        <v>0</v>
      </c>
      <c r="AB15" s="1395"/>
      <c r="AC15" s="2759">
        <f t="shared" si="8"/>
        <v>0</v>
      </c>
      <c r="AD15" s="1396"/>
      <c r="AE15" s="1467"/>
      <c r="AG15" s="1163">
        <f t="shared" si="9"/>
        <v>0</v>
      </c>
      <c r="AH15" s="1163">
        <f t="shared" si="10"/>
        <v>0</v>
      </c>
      <c r="AI15" s="2130" t="b">
        <f t="shared" si="11"/>
        <v>1</v>
      </c>
      <c r="AJ15" s="2130" t="b">
        <f t="shared" si="12"/>
        <v>1</v>
      </c>
      <c r="AL15" s="2130" t="b">
        <f t="shared" si="13"/>
        <v>1</v>
      </c>
      <c r="AM15" s="2130" t="b">
        <f t="shared" si="14"/>
        <v>1</v>
      </c>
      <c r="AN15" s="2130"/>
    </row>
    <row r="16" spans="1:40">
      <c r="A16" s="538" t="str">
        <f t="shared" si="1"/>
        <v>R50=;R4=;R7=;R36=;R43=;COM=</v>
      </c>
      <c r="C16" s="883"/>
      <c r="D16" s="1313" t="str">
        <f>IF(ISERROR(VLOOKUP($C16,Фин_договоры!$C$9:$R$32367,6,0)),"",VLOOKUP($C16,Фин_договоры!$C$9:$R$32367,6,0))</f>
        <v/>
      </c>
      <c r="E16" s="1313" t="str">
        <f>IF(ISERROR(VLOOKUP($C16,Фин_договоры!$C$9:$R$32367,7,0)),"",VLOOKUP($C16,Фин_договоры!$C$9:$R$32367,7,0))</f>
        <v/>
      </c>
      <c r="F16" s="1313" t="str">
        <f>IF(ISERROR(VLOOKUP($C16,Фин_договоры!$C$9:$R$32367,8,0)),"",VLOOKUP($C16,Фин_договоры!$C$9:$R$32367,8,0))</f>
        <v/>
      </c>
      <c r="G16" s="1313" t="str">
        <f>IF(ISERROR(VLOOKUP($C16,Фин_договоры!$C$9:$R$32367,2,0)),"",VLOOKUP($C16,Фин_договоры!$C$9:$R$32367,2,0))</f>
        <v/>
      </c>
      <c r="H16" s="1394" t="str">
        <f>IF(ISERROR(VLOOKUP($C16,Фин_договоры!$C$9:$U$32367,19,0)),"",VLOOKUP($C16,Фин_договоры!$C$9:$U$32367,19,0))</f>
        <v/>
      </c>
      <c r="I16" s="1394" t="str">
        <f>IF(ISERROR(VLOOKUP($C16,Фин_договоры!$C$9:$U$32367,17,0)),"",VLOOKUP($C16,Фин_договоры!$C$9:$U$32367,17,0))</f>
        <v/>
      </c>
      <c r="J16" s="1394" t="str">
        <f>IF(ISERROR(VLOOKUP($C16,Фин_договоры!$C$9:$U$32367,16,0)),"",VLOOKUP($C16,Фин_договоры!$C$9:$U$32367,16,0))</f>
        <v/>
      </c>
      <c r="K16" s="1394" t="str">
        <f>IF(ISERROR(VLOOKUP($C16,Фин_договоры!$C$9:$U$32367,18,0)),"",VLOOKUP($C16,Фин_договоры!$C$9:$U$32367,18,0))</f>
        <v/>
      </c>
      <c r="L16" s="1395"/>
      <c r="M16" s="1395"/>
      <c r="N16" s="915">
        <f t="shared" si="2"/>
        <v>0</v>
      </c>
      <c r="O16" s="1396"/>
      <c r="P16" s="1765">
        <f t="shared" si="3"/>
        <v>0</v>
      </c>
      <c r="Q16" s="1498"/>
      <c r="R16" s="1396"/>
      <c r="S16" s="2750"/>
      <c r="T16" s="915">
        <f>SUMPRODUCT(('58_02_движ'!$E$13:$E$65433='58_02'!$E16)*('58_02_движ'!$G$13:$G$65433='58_02'!$G16)*('58_02_движ'!$H$13:$H$65433='58_02'!$H16)*('58_02_движ'!$I$13:$I$65433='58_02'!$I16)*('58_02_движ'!$C$13:$C$65433='58_02'!$C16),'58_02_движ'!$P$13:$P$65433)</f>
        <v>0</v>
      </c>
      <c r="U16" s="915">
        <f>SUMPRODUCT(('58_02_движ'!$E$13:$E$65433='58_02'!$E16)*('58_02_движ'!$G$13:$G$65433='58_02'!$G16)*('58_02_движ'!$H$13:$H$65433='58_02'!$H16)*('58_02_движ'!$I$13:$I$65433='58_02'!$I16)*('58_02_движ'!$C$13:$C$65433='58_02'!$C16),'58_02_движ'!$Q$13:$Q$65433)</f>
        <v>0</v>
      </c>
      <c r="V16" s="2759">
        <f>SUMPRODUCT(('58_02_движ'!$E$13:$E$65433='58_02'!$E16)*('58_02_движ'!$G$13:$G$65433='58_02'!$G16)*('58_02_движ'!$H$13:$H$65433='58_02'!$H16)*('58_02_движ'!$I$13:$I$65433='58_02'!$I16)*('58_02_движ'!$C$13:$C$65433='58_02'!$C16),'58_02_движ'!$R$13:$R$65433)</f>
        <v>0</v>
      </c>
      <c r="W16" s="915">
        <f t="shared" si="4"/>
        <v>0</v>
      </c>
      <c r="X16" s="915">
        <f t="shared" si="5"/>
        <v>0</v>
      </c>
      <c r="Y16" s="1396"/>
      <c r="Z16" s="1765">
        <f t="shared" si="6"/>
        <v>0</v>
      </c>
      <c r="AA16" s="915">
        <f t="shared" si="7"/>
        <v>0</v>
      </c>
      <c r="AB16" s="1395"/>
      <c r="AC16" s="2759">
        <f t="shared" si="8"/>
        <v>0</v>
      </c>
      <c r="AD16" s="1396"/>
      <c r="AE16" s="1467"/>
      <c r="AG16" s="1163">
        <f t="shared" si="9"/>
        <v>0</v>
      </c>
      <c r="AH16" s="1163">
        <f t="shared" si="10"/>
        <v>0</v>
      </c>
      <c r="AI16" s="2130" t="b">
        <f t="shared" si="11"/>
        <v>1</v>
      </c>
      <c r="AJ16" s="2130" t="b">
        <f t="shared" si="12"/>
        <v>1</v>
      </c>
      <c r="AL16" s="2130" t="b">
        <f t="shared" si="13"/>
        <v>1</v>
      </c>
      <c r="AM16" s="2130" t="b">
        <f t="shared" si="14"/>
        <v>1</v>
      </c>
      <c r="AN16" s="2130"/>
    </row>
    <row r="17" spans="1:40">
      <c r="A17" s="538" t="str">
        <f t="shared" si="1"/>
        <v>R50=;R4=;R7=;R36=;R43=;COM=</v>
      </c>
      <c r="C17" s="883"/>
      <c r="D17" s="1313" t="str">
        <f>IF(ISERROR(VLOOKUP($C17,Фин_договоры!$C$9:$R$32367,6,0)),"",VLOOKUP($C17,Фин_договоры!$C$9:$R$32367,6,0))</f>
        <v/>
      </c>
      <c r="E17" s="1313" t="str">
        <f>IF(ISERROR(VLOOKUP($C17,Фин_договоры!$C$9:$R$32367,7,0)),"",VLOOKUP($C17,Фин_договоры!$C$9:$R$32367,7,0))</f>
        <v/>
      </c>
      <c r="F17" s="1313" t="str">
        <f>IF(ISERROR(VLOOKUP($C17,Фин_договоры!$C$9:$R$32367,8,0)),"",VLOOKUP($C17,Фин_договоры!$C$9:$R$32367,8,0))</f>
        <v/>
      </c>
      <c r="G17" s="1313" t="str">
        <f>IF(ISERROR(VLOOKUP($C17,Фин_договоры!$C$9:$R$32367,2,0)),"",VLOOKUP($C17,Фин_договоры!$C$9:$R$32367,2,0))</f>
        <v/>
      </c>
      <c r="H17" s="1394" t="str">
        <f>IF(ISERROR(VLOOKUP($C17,Фин_договоры!$C$9:$U$32367,19,0)),"",VLOOKUP($C17,Фин_договоры!$C$9:$U$32367,19,0))</f>
        <v/>
      </c>
      <c r="I17" s="1394" t="str">
        <f>IF(ISERROR(VLOOKUP($C17,Фин_договоры!$C$9:$U$32367,17,0)),"",VLOOKUP($C17,Фин_договоры!$C$9:$U$32367,17,0))</f>
        <v/>
      </c>
      <c r="J17" s="1394" t="str">
        <f>IF(ISERROR(VLOOKUP($C17,Фин_договоры!$C$9:$U$32367,16,0)),"",VLOOKUP($C17,Фин_договоры!$C$9:$U$32367,16,0))</f>
        <v/>
      </c>
      <c r="K17" s="1394" t="str">
        <f>IF(ISERROR(VLOOKUP($C17,Фин_договоры!$C$9:$U$32367,18,0)),"",VLOOKUP($C17,Фин_договоры!$C$9:$U$32367,18,0))</f>
        <v/>
      </c>
      <c r="L17" s="1395"/>
      <c r="M17" s="1395"/>
      <c r="N17" s="915">
        <f t="shared" si="2"/>
        <v>0</v>
      </c>
      <c r="O17" s="1396"/>
      <c r="P17" s="1765">
        <f t="shared" si="3"/>
        <v>0</v>
      </c>
      <c r="Q17" s="1498"/>
      <c r="R17" s="1396"/>
      <c r="S17" s="2750"/>
      <c r="T17" s="915">
        <f>SUMPRODUCT(('58_02_движ'!$E$13:$E$65433='58_02'!$E17)*('58_02_движ'!$G$13:$G$65433='58_02'!$G17)*('58_02_движ'!$H$13:$H$65433='58_02'!$H17)*('58_02_движ'!$I$13:$I$65433='58_02'!$I17)*('58_02_движ'!$C$13:$C$65433='58_02'!$C17),'58_02_движ'!$P$13:$P$65433)</f>
        <v>0</v>
      </c>
      <c r="U17" s="915">
        <f>SUMPRODUCT(('58_02_движ'!$E$13:$E$65433='58_02'!$E17)*('58_02_движ'!$G$13:$G$65433='58_02'!$G17)*('58_02_движ'!$H$13:$H$65433='58_02'!$H17)*('58_02_движ'!$I$13:$I$65433='58_02'!$I17)*('58_02_движ'!$C$13:$C$65433='58_02'!$C17),'58_02_движ'!$Q$13:$Q$65433)</f>
        <v>0</v>
      </c>
      <c r="V17" s="2759">
        <f>SUMPRODUCT(('58_02_движ'!$E$13:$E$65433='58_02'!$E17)*('58_02_движ'!$G$13:$G$65433='58_02'!$G17)*('58_02_движ'!$H$13:$H$65433='58_02'!$H17)*('58_02_движ'!$I$13:$I$65433='58_02'!$I17)*('58_02_движ'!$C$13:$C$65433='58_02'!$C17),'58_02_движ'!$R$13:$R$65433)</f>
        <v>0</v>
      </c>
      <c r="W17" s="915">
        <f t="shared" si="4"/>
        <v>0</v>
      </c>
      <c r="X17" s="915">
        <f t="shared" si="5"/>
        <v>0</v>
      </c>
      <c r="Y17" s="1396"/>
      <c r="Z17" s="1765">
        <f t="shared" si="6"/>
        <v>0</v>
      </c>
      <c r="AA17" s="915">
        <f t="shared" si="7"/>
        <v>0</v>
      </c>
      <c r="AB17" s="1395"/>
      <c r="AC17" s="2759">
        <f t="shared" si="8"/>
        <v>0</v>
      </c>
      <c r="AD17" s="1396"/>
      <c r="AE17" s="1467"/>
      <c r="AG17" s="1163">
        <f t="shared" si="9"/>
        <v>0</v>
      </c>
      <c r="AH17" s="1163">
        <f t="shared" si="10"/>
        <v>0</v>
      </c>
      <c r="AI17" s="2130" t="b">
        <f t="shared" si="11"/>
        <v>1</v>
      </c>
      <c r="AJ17" s="2130" t="b">
        <f t="shared" si="12"/>
        <v>1</v>
      </c>
      <c r="AL17" s="2130" t="b">
        <f t="shared" si="13"/>
        <v>1</v>
      </c>
      <c r="AM17" s="2130" t="b">
        <f t="shared" si="14"/>
        <v>1</v>
      </c>
      <c r="AN17" s="2130"/>
    </row>
    <row r="18" spans="1:40">
      <c r="A18" s="538" t="str">
        <f t="shared" si="1"/>
        <v>R50=;R4=;R7=;R36=;R43=;COM=</v>
      </c>
      <c r="C18" s="883"/>
      <c r="D18" s="1313" t="str">
        <f>IF(ISERROR(VLOOKUP($C18,Фин_договоры!$C$9:$R$32367,6,0)),"",VLOOKUP($C18,Фин_договоры!$C$9:$R$32367,6,0))</f>
        <v/>
      </c>
      <c r="E18" s="1313" t="str">
        <f>IF(ISERROR(VLOOKUP($C18,Фин_договоры!$C$9:$R$32367,7,0)),"",VLOOKUP($C18,Фин_договоры!$C$9:$R$32367,7,0))</f>
        <v/>
      </c>
      <c r="F18" s="1313" t="str">
        <f>IF(ISERROR(VLOOKUP($C18,Фин_договоры!$C$9:$R$32367,8,0)),"",VLOOKUP($C18,Фин_договоры!$C$9:$R$32367,8,0))</f>
        <v/>
      </c>
      <c r="G18" s="1313" t="str">
        <f>IF(ISERROR(VLOOKUP($C18,Фин_договоры!$C$9:$R$32367,2,0)),"",VLOOKUP($C18,Фин_договоры!$C$9:$R$32367,2,0))</f>
        <v/>
      </c>
      <c r="H18" s="1394" t="str">
        <f>IF(ISERROR(VLOOKUP($C18,Фин_договоры!$C$9:$U$32367,19,0)),"",VLOOKUP($C18,Фин_договоры!$C$9:$U$32367,19,0))</f>
        <v/>
      </c>
      <c r="I18" s="1394" t="str">
        <f>IF(ISERROR(VLOOKUP($C18,Фин_договоры!$C$9:$U$32367,17,0)),"",VLOOKUP($C18,Фин_договоры!$C$9:$U$32367,17,0))</f>
        <v/>
      </c>
      <c r="J18" s="1394" t="str">
        <f>IF(ISERROR(VLOOKUP($C18,Фин_договоры!$C$9:$U$32367,16,0)),"",VLOOKUP($C18,Фин_договоры!$C$9:$U$32367,16,0))</f>
        <v/>
      </c>
      <c r="K18" s="1394" t="str">
        <f>IF(ISERROR(VLOOKUP($C18,Фин_договоры!$C$9:$U$32367,18,0)),"",VLOOKUP($C18,Фин_договоры!$C$9:$U$32367,18,0))</f>
        <v/>
      </c>
      <c r="L18" s="1395"/>
      <c r="M18" s="1395"/>
      <c r="N18" s="915">
        <f t="shared" si="2"/>
        <v>0</v>
      </c>
      <c r="O18" s="1396"/>
      <c r="P18" s="1765">
        <f t="shared" si="3"/>
        <v>0</v>
      </c>
      <c r="Q18" s="1498"/>
      <c r="R18" s="1396"/>
      <c r="S18" s="2750"/>
      <c r="T18" s="915">
        <f>SUMPRODUCT(('58_02_движ'!$E$13:$E$65433='58_02'!$E18)*('58_02_движ'!$G$13:$G$65433='58_02'!$G18)*('58_02_движ'!$H$13:$H$65433='58_02'!$H18)*('58_02_движ'!$I$13:$I$65433='58_02'!$I18)*('58_02_движ'!$C$13:$C$65433='58_02'!$C18),'58_02_движ'!$P$13:$P$65433)</f>
        <v>0</v>
      </c>
      <c r="U18" s="915">
        <f>SUMPRODUCT(('58_02_движ'!$E$13:$E$65433='58_02'!$E18)*('58_02_движ'!$G$13:$G$65433='58_02'!$G18)*('58_02_движ'!$H$13:$H$65433='58_02'!$H18)*('58_02_движ'!$I$13:$I$65433='58_02'!$I18)*('58_02_движ'!$C$13:$C$65433='58_02'!$C18),'58_02_движ'!$Q$13:$Q$65433)</f>
        <v>0</v>
      </c>
      <c r="V18" s="2759">
        <f>SUMPRODUCT(('58_02_движ'!$E$13:$E$65433='58_02'!$E18)*('58_02_движ'!$G$13:$G$65433='58_02'!$G18)*('58_02_движ'!$H$13:$H$65433='58_02'!$H18)*('58_02_движ'!$I$13:$I$65433='58_02'!$I18)*('58_02_движ'!$C$13:$C$65433='58_02'!$C18),'58_02_движ'!$R$13:$R$65433)</f>
        <v>0</v>
      </c>
      <c r="W18" s="915">
        <f t="shared" si="4"/>
        <v>0</v>
      </c>
      <c r="X18" s="915">
        <f t="shared" si="5"/>
        <v>0</v>
      </c>
      <c r="Y18" s="1396"/>
      <c r="Z18" s="1765">
        <f t="shared" si="6"/>
        <v>0</v>
      </c>
      <c r="AA18" s="915">
        <f t="shared" si="7"/>
        <v>0</v>
      </c>
      <c r="AB18" s="1395"/>
      <c r="AC18" s="2759">
        <f t="shared" si="8"/>
        <v>0</v>
      </c>
      <c r="AD18" s="1396"/>
      <c r="AE18" s="1467"/>
      <c r="AG18" s="1163">
        <f t="shared" si="9"/>
        <v>0</v>
      </c>
      <c r="AH18" s="1163">
        <f t="shared" si="10"/>
        <v>0</v>
      </c>
      <c r="AI18" s="2130" t="b">
        <f t="shared" si="11"/>
        <v>1</v>
      </c>
      <c r="AJ18" s="2130" t="b">
        <f t="shared" si="12"/>
        <v>1</v>
      </c>
      <c r="AL18" s="2130" t="b">
        <f t="shared" si="13"/>
        <v>1</v>
      </c>
      <c r="AM18" s="2130" t="b">
        <f t="shared" si="14"/>
        <v>1</v>
      </c>
      <c r="AN18" s="2130"/>
    </row>
    <row r="19" spans="1:40">
      <c r="A19" s="538" t="str">
        <f t="shared" si="1"/>
        <v>R50=;R4=;R7=;R36=;R43=;COM=</v>
      </c>
      <c r="C19" s="883"/>
      <c r="D19" s="1313" t="str">
        <f>IF(ISERROR(VLOOKUP($C19,Фин_договоры!$C$9:$R$32367,6,0)),"",VLOOKUP($C19,Фин_договоры!$C$9:$R$32367,6,0))</f>
        <v/>
      </c>
      <c r="E19" s="1313" t="str">
        <f>IF(ISERROR(VLOOKUP($C19,Фин_договоры!$C$9:$R$32367,7,0)),"",VLOOKUP($C19,Фин_договоры!$C$9:$R$32367,7,0))</f>
        <v/>
      </c>
      <c r="F19" s="1313" t="str">
        <f>IF(ISERROR(VLOOKUP($C19,Фин_договоры!$C$9:$R$32367,8,0)),"",VLOOKUP($C19,Фин_договоры!$C$9:$R$32367,8,0))</f>
        <v/>
      </c>
      <c r="G19" s="1313" t="str">
        <f>IF(ISERROR(VLOOKUP($C19,Фин_договоры!$C$9:$R$32367,2,0)),"",VLOOKUP($C19,Фин_договоры!$C$9:$R$32367,2,0))</f>
        <v/>
      </c>
      <c r="H19" s="1394" t="str">
        <f>IF(ISERROR(VLOOKUP($C19,Фин_договоры!$C$9:$U$32367,19,0)),"",VLOOKUP($C19,Фин_договоры!$C$9:$U$32367,19,0))</f>
        <v/>
      </c>
      <c r="I19" s="1394" t="str">
        <f>IF(ISERROR(VLOOKUP($C19,Фин_договоры!$C$9:$U$32367,17,0)),"",VLOOKUP($C19,Фин_договоры!$C$9:$U$32367,17,0))</f>
        <v/>
      </c>
      <c r="J19" s="1394" t="str">
        <f>IF(ISERROR(VLOOKUP($C19,Фин_договоры!$C$9:$U$32367,16,0)),"",VLOOKUP($C19,Фин_договоры!$C$9:$U$32367,16,0))</f>
        <v/>
      </c>
      <c r="K19" s="1394" t="str">
        <f>IF(ISERROR(VLOOKUP($C19,Фин_договоры!$C$9:$U$32367,18,0)),"",VLOOKUP($C19,Фин_договоры!$C$9:$U$32367,18,0))</f>
        <v/>
      </c>
      <c r="L19" s="1395"/>
      <c r="M19" s="1395"/>
      <c r="N19" s="915">
        <f t="shared" si="2"/>
        <v>0</v>
      </c>
      <c r="O19" s="1396"/>
      <c r="P19" s="1765">
        <f t="shared" si="3"/>
        <v>0</v>
      </c>
      <c r="Q19" s="1498"/>
      <c r="R19" s="1396"/>
      <c r="S19" s="2750"/>
      <c r="T19" s="915">
        <f>SUMPRODUCT(('58_02_движ'!$E$13:$E$65433='58_02'!$E19)*('58_02_движ'!$G$13:$G$65433='58_02'!$G19)*('58_02_движ'!$H$13:$H$65433='58_02'!$H19)*('58_02_движ'!$I$13:$I$65433='58_02'!$I19)*('58_02_движ'!$C$13:$C$65433='58_02'!$C19),'58_02_движ'!$P$13:$P$65433)</f>
        <v>0</v>
      </c>
      <c r="U19" s="915">
        <f>SUMPRODUCT(('58_02_движ'!$E$13:$E$65433='58_02'!$E19)*('58_02_движ'!$G$13:$G$65433='58_02'!$G19)*('58_02_движ'!$H$13:$H$65433='58_02'!$H19)*('58_02_движ'!$I$13:$I$65433='58_02'!$I19)*('58_02_движ'!$C$13:$C$65433='58_02'!$C19),'58_02_движ'!$Q$13:$Q$65433)</f>
        <v>0</v>
      </c>
      <c r="V19" s="2759">
        <f>SUMPRODUCT(('58_02_движ'!$E$13:$E$65433='58_02'!$E19)*('58_02_движ'!$G$13:$G$65433='58_02'!$G19)*('58_02_движ'!$H$13:$H$65433='58_02'!$H19)*('58_02_движ'!$I$13:$I$65433='58_02'!$I19)*('58_02_движ'!$C$13:$C$65433='58_02'!$C19),'58_02_движ'!$R$13:$R$65433)</f>
        <v>0</v>
      </c>
      <c r="W19" s="915">
        <f t="shared" si="4"/>
        <v>0</v>
      </c>
      <c r="X19" s="915">
        <f t="shared" si="5"/>
        <v>0</v>
      </c>
      <c r="Y19" s="1396"/>
      <c r="Z19" s="1765">
        <f t="shared" si="6"/>
        <v>0</v>
      </c>
      <c r="AA19" s="915">
        <f t="shared" si="7"/>
        <v>0</v>
      </c>
      <c r="AB19" s="1395"/>
      <c r="AC19" s="2759">
        <f t="shared" si="8"/>
        <v>0</v>
      </c>
      <c r="AD19" s="1396"/>
      <c r="AE19" s="1467"/>
      <c r="AG19" s="1163">
        <f t="shared" si="9"/>
        <v>0</v>
      </c>
      <c r="AH19" s="1163">
        <f t="shared" si="10"/>
        <v>0</v>
      </c>
      <c r="AI19" s="2130" t="b">
        <f t="shared" si="11"/>
        <v>1</v>
      </c>
      <c r="AJ19" s="2130" t="b">
        <f t="shared" si="12"/>
        <v>1</v>
      </c>
      <c r="AL19" s="2130" t="b">
        <f t="shared" si="13"/>
        <v>1</v>
      </c>
      <c r="AM19" s="2130" t="b">
        <f t="shared" si="14"/>
        <v>1</v>
      </c>
      <c r="AN19" s="2130"/>
    </row>
    <row r="20" spans="1:40">
      <c r="A20" s="538" t="str">
        <f t="shared" si="1"/>
        <v>R50=;R4=;R7=;R36=;R43=;COM=</v>
      </c>
      <c r="C20" s="883"/>
      <c r="D20" s="1313" t="str">
        <f>IF(ISERROR(VLOOKUP($C20,Фин_договоры!$C$9:$R$32367,6,0)),"",VLOOKUP($C20,Фин_договоры!$C$9:$R$32367,6,0))</f>
        <v/>
      </c>
      <c r="E20" s="1313" t="str">
        <f>IF(ISERROR(VLOOKUP($C20,Фин_договоры!$C$9:$R$32367,7,0)),"",VLOOKUP($C20,Фин_договоры!$C$9:$R$32367,7,0))</f>
        <v/>
      </c>
      <c r="F20" s="1313" t="str">
        <f>IF(ISERROR(VLOOKUP($C20,Фин_договоры!$C$9:$R$32367,8,0)),"",VLOOKUP($C20,Фин_договоры!$C$9:$R$32367,8,0))</f>
        <v/>
      </c>
      <c r="G20" s="1313" t="str">
        <f>IF(ISERROR(VLOOKUP($C20,Фин_договоры!$C$9:$R$32367,2,0)),"",VLOOKUP($C20,Фин_договоры!$C$9:$R$32367,2,0))</f>
        <v/>
      </c>
      <c r="H20" s="1394" t="str">
        <f>IF(ISERROR(VLOOKUP($C20,Фин_договоры!$C$9:$U$32367,19,0)),"",VLOOKUP($C20,Фин_договоры!$C$9:$U$32367,19,0))</f>
        <v/>
      </c>
      <c r="I20" s="1394" t="str">
        <f>IF(ISERROR(VLOOKUP($C20,Фин_договоры!$C$9:$U$32367,17,0)),"",VLOOKUP($C20,Фин_договоры!$C$9:$U$32367,17,0))</f>
        <v/>
      </c>
      <c r="J20" s="1394" t="str">
        <f>IF(ISERROR(VLOOKUP($C20,Фин_договоры!$C$9:$U$32367,16,0)),"",VLOOKUP($C20,Фин_договоры!$C$9:$U$32367,16,0))</f>
        <v/>
      </c>
      <c r="K20" s="1394" t="str">
        <f>IF(ISERROR(VLOOKUP($C20,Фин_договоры!$C$9:$U$32367,18,0)),"",VLOOKUP($C20,Фин_договоры!$C$9:$U$32367,18,0))</f>
        <v/>
      </c>
      <c r="L20" s="1395"/>
      <c r="M20" s="1395"/>
      <c r="N20" s="915">
        <f t="shared" ref="N20:N26" si="15">SUM(Q20:R20)</f>
        <v>0</v>
      </c>
      <c r="O20" s="1396"/>
      <c r="P20" s="1765">
        <f t="shared" ref="P20:P26" si="16">N20-O20</f>
        <v>0</v>
      </c>
      <c r="Q20" s="1498"/>
      <c r="R20" s="1396"/>
      <c r="S20" s="2750"/>
      <c r="T20" s="915">
        <f>SUMPRODUCT(('58_02_движ'!$E$13:$E$65433='58_02'!$E20)*('58_02_движ'!$G$13:$G$65433='58_02'!$G20)*('58_02_движ'!$H$13:$H$65433='58_02'!$H20)*('58_02_движ'!$I$13:$I$65433='58_02'!$I20)*('58_02_движ'!$C$13:$C$65433='58_02'!$C20),'58_02_движ'!$P$13:$P$65433)</f>
        <v>0</v>
      </c>
      <c r="U20" s="915">
        <f>SUMPRODUCT(('58_02_движ'!$E$13:$E$65433='58_02'!$E20)*('58_02_движ'!$G$13:$G$65433='58_02'!$G20)*('58_02_движ'!$H$13:$H$65433='58_02'!$H20)*('58_02_движ'!$I$13:$I$65433='58_02'!$I20)*('58_02_движ'!$C$13:$C$65433='58_02'!$C20),'58_02_движ'!$Q$13:$Q$65433)</f>
        <v>0</v>
      </c>
      <c r="V20" s="2759">
        <f>SUMPRODUCT(('58_02_движ'!$E$13:$E$65433='58_02'!$E20)*('58_02_движ'!$G$13:$G$65433='58_02'!$G20)*('58_02_движ'!$H$13:$H$65433='58_02'!$H20)*('58_02_движ'!$I$13:$I$65433='58_02'!$I20)*('58_02_движ'!$C$13:$C$65433='58_02'!$C20),'58_02_движ'!$R$13:$R$65433)</f>
        <v>0</v>
      </c>
      <c r="W20" s="915">
        <f t="shared" si="4"/>
        <v>0</v>
      </c>
      <c r="X20" s="915">
        <f t="shared" si="5"/>
        <v>0</v>
      </c>
      <c r="Y20" s="1396"/>
      <c r="Z20" s="1765">
        <f t="shared" ref="Z20:Z26" si="17">X20-Y20</f>
        <v>0</v>
      </c>
      <c r="AA20" s="915">
        <f t="shared" ref="AA20:AA26" si="18">X20-AB20</f>
        <v>0</v>
      </c>
      <c r="AB20" s="1395"/>
      <c r="AC20" s="2759">
        <f t="shared" si="8"/>
        <v>0</v>
      </c>
      <c r="AD20" s="1396"/>
      <c r="AE20" s="1467"/>
      <c r="AG20" s="1163">
        <f t="shared" si="9"/>
        <v>0</v>
      </c>
      <c r="AH20" s="1163">
        <f t="shared" si="10"/>
        <v>0</v>
      </c>
      <c r="AI20" s="2130" t="b">
        <f t="shared" si="11"/>
        <v>1</v>
      </c>
      <c r="AJ20" s="2130" t="b">
        <f t="shared" si="12"/>
        <v>1</v>
      </c>
      <c r="AL20" s="2130" t="b">
        <f t="shared" si="13"/>
        <v>1</v>
      </c>
      <c r="AM20" s="2130" t="b">
        <f t="shared" si="14"/>
        <v>1</v>
      </c>
      <c r="AN20" s="2130"/>
    </row>
    <row r="21" spans="1:40">
      <c r="A21" s="538" t="str">
        <f t="shared" si="1"/>
        <v>R50=;R4=;R7=;R36=;R43=;COM=</v>
      </c>
      <c r="C21" s="883"/>
      <c r="D21" s="1313" t="str">
        <f>IF(ISERROR(VLOOKUP($C21,Фин_договоры!$C$9:$R$32367,6,0)),"",VLOOKUP($C21,Фин_договоры!$C$9:$R$32367,6,0))</f>
        <v/>
      </c>
      <c r="E21" s="1313" t="str">
        <f>IF(ISERROR(VLOOKUP($C21,Фин_договоры!$C$9:$R$32367,7,0)),"",VLOOKUP($C21,Фин_договоры!$C$9:$R$32367,7,0))</f>
        <v/>
      </c>
      <c r="F21" s="1313" t="str">
        <f>IF(ISERROR(VLOOKUP($C21,Фин_договоры!$C$9:$R$32367,8,0)),"",VLOOKUP($C21,Фин_договоры!$C$9:$R$32367,8,0))</f>
        <v/>
      </c>
      <c r="G21" s="1313" t="str">
        <f>IF(ISERROR(VLOOKUP($C21,Фин_договоры!$C$9:$R$32367,2,0)),"",VLOOKUP($C21,Фин_договоры!$C$9:$R$32367,2,0))</f>
        <v/>
      </c>
      <c r="H21" s="1394" t="str">
        <f>IF(ISERROR(VLOOKUP($C21,Фин_договоры!$C$9:$U$32367,19,0)),"",VLOOKUP($C21,Фин_договоры!$C$9:$U$32367,19,0))</f>
        <v/>
      </c>
      <c r="I21" s="1394" t="str">
        <f>IF(ISERROR(VLOOKUP($C21,Фин_договоры!$C$9:$U$32367,17,0)),"",VLOOKUP($C21,Фин_договоры!$C$9:$U$32367,17,0))</f>
        <v/>
      </c>
      <c r="J21" s="1394" t="str">
        <f>IF(ISERROR(VLOOKUP($C21,Фин_договоры!$C$9:$U$32367,16,0)),"",VLOOKUP($C21,Фин_договоры!$C$9:$U$32367,16,0))</f>
        <v/>
      </c>
      <c r="K21" s="1394" t="str">
        <f>IF(ISERROR(VLOOKUP($C21,Фин_договоры!$C$9:$U$32367,18,0)),"",VLOOKUP($C21,Фин_договоры!$C$9:$U$32367,18,0))</f>
        <v/>
      </c>
      <c r="L21" s="1395"/>
      <c r="M21" s="1395"/>
      <c r="N21" s="915">
        <f t="shared" si="15"/>
        <v>0</v>
      </c>
      <c r="O21" s="1396"/>
      <c r="P21" s="1765">
        <f t="shared" si="16"/>
        <v>0</v>
      </c>
      <c r="Q21" s="1498"/>
      <c r="R21" s="1396"/>
      <c r="S21" s="2750"/>
      <c r="T21" s="915">
        <f>SUMPRODUCT(('58_02_движ'!$E$13:$E$65433='58_02'!$E21)*('58_02_движ'!$G$13:$G$65433='58_02'!$G21)*('58_02_движ'!$H$13:$H$65433='58_02'!$H21)*('58_02_движ'!$I$13:$I$65433='58_02'!$I21)*('58_02_движ'!$C$13:$C$65433='58_02'!$C21),'58_02_движ'!$P$13:$P$65433)</f>
        <v>0</v>
      </c>
      <c r="U21" s="915">
        <f>SUMPRODUCT(('58_02_движ'!$E$13:$E$65433='58_02'!$E21)*('58_02_движ'!$G$13:$G$65433='58_02'!$G21)*('58_02_движ'!$H$13:$H$65433='58_02'!$H21)*('58_02_движ'!$I$13:$I$65433='58_02'!$I21)*('58_02_движ'!$C$13:$C$65433='58_02'!$C21),'58_02_движ'!$Q$13:$Q$65433)</f>
        <v>0</v>
      </c>
      <c r="V21" s="2759">
        <f>SUMPRODUCT(('58_02_движ'!$E$13:$E$65433='58_02'!$E21)*('58_02_движ'!$G$13:$G$65433='58_02'!$G21)*('58_02_движ'!$H$13:$H$65433='58_02'!$H21)*('58_02_движ'!$I$13:$I$65433='58_02'!$I21)*('58_02_движ'!$C$13:$C$65433='58_02'!$C21),'58_02_движ'!$R$13:$R$65433)</f>
        <v>0</v>
      </c>
      <c r="W21" s="915">
        <f t="shared" si="4"/>
        <v>0</v>
      </c>
      <c r="X21" s="915">
        <f t="shared" si="5"/>
        <v>0</v>
      </c>
      <c r="Y21" s="1396"/>
      <c r="Z21" s="1765">
        <f t="shared" si="17"/>
        <v>0</v>
      </c>
      <c r="AA21" s="915">
        <f t="shared" si="18"/>
        <v>0</v>
      </c>
      <c r="AB21" s="1395"/>
      <c r="AC21" s="2759">
        <f t="shared" si="8"/>
        <v>0</v>
      </c>
      <c r="AD21" s="1396"/>
      <c r="AE21" s="1467"/>
      <c r="AG21" s="1163">
        <f t="shared" si="9"/>
        <v>0</v>
      </c>
      <c r="AH21" s="1163">
        <f t="shared" si="10"/>
        <v>0</v>
      </c>
      <c r="AI21" s="2130" t="b">
        <f t="shared" si="11"/>
        <v>1</v>
      </c>
      <c r="AJ21" s="2130" t="b">
        <f t="shared" si="12"/>
        <v>1</v>
      </c>
      <c r="AL21" s="2130" t="b">
        <f t="shared" si="13"/>
        <v>1</v>
      </c>
      <c r="AM21" s="2130" t="b">
        <f t="shared" si="14"/>
        <v>1</v>
      </c>
      <c r="AN21" s="2130"/>
    </row>
    <row r="22" spans="1:40">
      <c r="A22" s="538" t="str">
        <f t="shared" si="1"/>
        <v>R50=;R4=;R7=;R36=;R43=;COM=</v>
      </c>
      <c r="C22" s="883"/>
      <c r="D22" s="1313" t="str">
        <f>IF(ISERROR(VLOOKUP($C22,Фин_договоры!$C$9:$R$32367,6,0)),"",VLOOKUP($C22,Фин_договоры!$C$9:$R$32367,6,0))</f>
        <v/>
      </c>
      <c r="E22" s="1313" t="str">
        <f>IF(ISERROR(VLOOKUP($C22,Фин_договоры!$C$9:$R$32367,7,0)),"",VLOOKUP($C22,Фин_договоры!$C$9:$R$32367,7,0))</f>
        <v/>
      </c>
      <c r="F22" s="1313" t="str">
        <f>IF(ISERROR(VLOOKUP($C22,Фин_договоры!$C$9:$R$32367,8,0)),"",VLOOKUP($C22,Фин_договоры!$C$9:$R$32367,8,0))</f>
        <v/>
      </c>
      <c r="G22" s="1313" t="str">
        <f>IF(ISERROR(VLOOKUP($C22,Фин_договоры!$C$9:$R$32367,2,0)),"",VLOOKUP($C22,Фин_договоры!$C$9:$R$32367,2,0))</f>
        <v/>
      </c>
      <c r="H22" s="1394" t="str">
        <f>IF(ISERROR(VLOOKUP($C22,Фин_договоры!$C$9:$U$32367,19,0)),"",VLOOKUP($C22,Фин_договоры!$C$9:$U$32367,19,0))</f>
        <v/>
      </c>
      <c r="I22" s="1394" t="str">
        <f>IF(ISERROR(VLOOKUP($C22,Фин_договоры!$C$9:$U$32367,17,0)),"",VLOOKUP($C22,Фин_договоры!$C$9:$U$32367,17,0))</f>
        <v/>
      </c>
      <c r="J22" s="1394" t="str">
        <f>IF(ISERROR(VLOOKUP($C22,Фин_договоры!$C$9:$U$32367,16,0)),"",VLOOKUP($C22,Фин_договоры!$C$9:$U$32367,16,0))</f>
        <v/>
      </c>
      <c r="K22" s="1394" t="str">
        <f>IF(ISERROR(VLOOKUP($C22,Фин_договоры!$C$9:$U$32367,18,0)),"",VLOOKUP($C22,Фин_договоры!$C$9:$U$32367,18,0))</f>
        <v/>
      </c>
      <c r="L22" s="1395"/>
      <c r="M22" s="1395"/>
      <c r="N22" s="915">
        <f t="shared" si="15"/>
        <v>0</v>
      </c>
      <c r="O22" s="1396"/>
      <c r="P22" s="1765">
        <f t="shared" si="16"/>
        <v>0</v>
      </c>
      <c r="Q22" s="1498"/>
      <c r="R22" s="1396"/>
      <c r="S22" s="2750"/>
      <c r="T22" s="915">
        <f>SUMPRODUCT(('58_02_движ'!$E$13:$E$65433='58_02'!$E22)*('58_02_движ'!$G$13:$G$65433='58_02'!$G22)*('58_02_движ'!$H$13:$H$65433='58_02'!$H22)*('58_02_движ'!$I$13:$I$65433='58_02'!$I22)*('58_02_движ'!$C$13:$C$65433='58_02'!$C22),'58_02_движ'!$P$13:$P$65433)</f>
        <v>0</v>
      </c>
      <c r="U22" s="915">
        <f>SUMPRODUCT(('58_02_движ'!$E$13:$E$65433='58_02'!$E22)*('58_02_движ'!$G$13:$G$65433='58_02'!$G22)*('58_02_движ'!$H$13:$H$65433='58_02'!$H22)*('58_02_движ'!$I$13:$I$65433='58_02'!$I22)*('58_02_движ'!$C$13:$C$65433='58_02'!$C22),'58_02_движ'!$Q$13:$Q$65433)</f>
        <v>0</v>
      </c>
      <c r="V22" s="2759">
        <f>SUMPRODUCT(('58_02_движ'!$E$13:$E$65433='58_02'!$E22)*('58_02_движ'!$G$13:$G$65433='58_02'!$G22)*('58_02_движ'!$H$13:$H$65433='58_02'!$H22)*('58_02_движ'!$I$13:$I$65433='58_02'!$I22)*('58_02_движ'!$C$13:$C$65433='58_02'!$C22),'58_02_движ'!$R$13:$R$65433)</f>
        <v>0</v>
      </c>
      <c r="W22" s="915">
        <f t="shared" si="4"/>
        <v>0</v>
      </c>
      <c r="X22" s="915">
        <f t="shared" si="5"/>
        <v>0</v>
      </c>
      <c r="Y22" s="1396"/>
      <c r="Z22" s="1765">
        <f t="shared" si="17"/>
        <v>0</v>
      </c>
      <c r="AA22" s="915">
        <f t="shared" si="18"/>
        <v>0</v>
      </c>
      <c r="AB22" s="1395"/>
      <c r="AC22" s="2759">
        <f t="shared" si="8"/>
        <v>0</v>
      </c>
      <c r="AD22" s="1396"/>
      <c r="AE22" s="1467"/>
      <c r="AG22" s="1163">
        <f t="shared" si="9"/>
        <v>0</v>
      </c>
      <c r="AH22" s="1163">
        <f t="shared" si="10"/>
        <v>0</v>
      </c>
      <c r="AI22" s="2130" t="b">
        <f t="shared" si="11"/>
        <v>1</v>
      </c>
      <c r="AJ22" s="2130" t="b">
        <f t="shared" si="12"/>
        <v>1</v>
      </c>
      <c r="AL22" s="2130" t="b">
        <f t="shared" si="13"/>
        <v>1</v>
      </c>
      <c r="AM22" s="2130" t="b">
        <f t="shared" si="14"/>
        <v>1</v>
      </c>
      <c r="AN22" s="2130"/>
    </row>
    <row r="23" spans="1:40">
      <c r="A23" s="538" t="str">
        <f t="shared" si="1"/>
        <v>R50=;R4=;R7=;R36=;R43=;COM=</v>
      </c>
      <c r="C23" s="883"/>
      <c r="D23" s="1313" t="str">
        <f>IF(ISERROR(VLOOKUP($C23,Фин_договоры!$C$9:$R$32367,6,0)),"",VLOOKUP($C23,Фин_договоры!$C$9:$R$32367,6,0))</f>
        <v/>
      </c>
      <c r="E23" s="1313" t="str">
        <f>IF(ISERROR(VLOOKUP($C23,Фин_договоры!$C$9:$R$32367,7,0)),"",VLOOKUP($C23,Фин_договоры!$C$9:$R$32367,7,0))</f>
        <v/>
      </c>
      <c r="F23" s="1313" t="str">
        <f>IF(ISERROR(VLOOKUP($C23,Фин_договоры!$C$9:$R$32367,8,0)),"",VLOOKUP($C23,Фин_договоры!$C$9:$R$32367,8,0))</f>
        <v/>
      </c>
      <c r="G23" s="1313" t="str">
        <f>IF(ISERROR(VLOOKUP($C23,Фин_договоры!$C$9:$R$32367,2,0)),"",VLOOKUP($C23,Фин_договоры!$C$9:$R$32367,2,0))</f>
        <v/>
      </c>
      <c r="H23" s="1394" t="str">
        <f>IF(ISERROR(VLOOKUP($C23,Фин_договоры!$C$9:$U$32367,19,0)),"",VLOOKUP($C23,Фин_договоры!$C$9:$U$32367,19,0))</f>
        <v/>
      </c>
      <c r="I23" s="1394" t="str">
        <f>IF(ISERROR(VLOOKUP($C23,Фин_договоры!$C$9:$U$32367,17,0)),"",VLOOKUP($C23,Фин_договоры!$C$9:$U$32367,17,0))</f>
        <v/>
      </c>
      <c r="J23" s="1394" t="str">
        <f>IF(ISERROR(VLOOKUP($C23,Фин_договоры!$C$9:$U$32367,16,0)),"",VLOOKUP($C23,Фин_договоры!$C$9:$U$32367,16,0))</f>
        <v/>
      </c>
      <c r="K23" s="1394" t="str">
        <f>IF(ISERROR(VLOOKUP($C23,Фин_договоры!$C$9:$U$32367,18,0)),"",VLOOKUP($C23,Фин_договоры!$C$9:$U$32367,18,0))</f>
        <v/>
      </c>
      <c r="L23" s="1395"/>
      <c r="M23" s="1395"/>
      <c r="N23" s="915">
        <f t="shared" si="15"/>
        <v>0</v>
      </c>
      <c r="O23" s="1396"/>
      <c r="P23" s="1765">
        <f t="shared" si="16"/>
        <v>0</v>
      </c>
      <c r="Q23" s="1498"/>
      <c r="R23" s="1396"/>
      <c r="S23" s="2750"/>
      <c r="T23" s="915">
        <f>SUMPRODUCT(('58_02_движ'!$E$13:$E$65433='58_02'!$E23)*('58_02_движ'!$G$13:$G$65433='58_02'!$G23)*('58_02_движ'!$H$13:$H$65433='58_02'!$H23)*('58_02_движ'!$I$13:$I$65433='58_02'!$I23)*('58_02_движ'!$C$13:$C$65433='58_02'!$C23),'58_02_движ'!$P$13:$P$65433)</f>
        <v>0</v>
      </c>
      <c r="U23" s="915">
        <f>SUMPRODUCT(('58_02_движ'!$E$13:$E$65433='58_02'!$E23)*('58_02_движ'!$G$13:$G$65433='58_02'!$G23)*('58_02_движ'!$H$13:$H$65433='58_02'!$H23)*('58_02_движ'!$I$13:$I$65433='58_02'!$I23)*('58_02_движ'!$C$13:$C$65433='58_02'!$C23),'58_02_движ'!$Q$13:$Q$65433)</f>
        <v>0</v>
      </c>
      <c r="V23" s="2759">
        <f>SUMPRODUCT(('58_02_движ'!$E$13:$E$65433='58_02'!$E23)*('58_02_движ'!$G$13:$G$65433='58_02'!$G23)*('58_02_движ'!$H$13:$H$65433='58_02'!$H23)*('58_02_движ'!$I$13:$I$65433='58_02'!$I23)*('58_02_движ'!$C$13:$C$65433='58_02'!$C23),'58_02_движ'!$R$13:$R$65433)</f>
        <v>0</v>
      </c>
      <c r="W23" s="915">
        <f t="shared" si="4"/>
        <v>0</v>
      </c>
      <c r="X23" s="915">
        <f t="shared" si="5"/>
        <v>0</v>
      </c>
      <c r="Y23" s="1396"/>
      <c r="Z23" s="1765">
        <f t="shared" si="17"/>
        <v>0</v>
      </c>
      <c r="AA23" s="915">
        <f t="shared" si="18"/>
        <v>0</v>
      </c>
      <c r="AB23" s="1395"/>
      <c r="AC23" s="2759">
        <f t="shared" si="8"/>
        <v>0</v>
      </c>
      <c r="AD23" s="1396"/>
      <c r="AE23" s="1467"/>
      <c r="AG23" s="1163">
        <f t="shared" si="9"/>
        <v>0</v>
      </c>
      <c r="AH23" s="1163">
        <f t="shared" si="10"/>
        <v>0</v>
      </c>
      <c r="AI23" s="2130" t="b">
        <f t="shared" si="11"/>
        <v>1</v>
      </c>
      <c r="AJ23" s="2130" t="b">
        <f t="shared" si="12"/>
        <v>1</v>
      </c>
      <c r="AL23" s="2130" t="b">
        <f t="shared" si="13"/>
        <v>1</v>
      </c>
      <c r="AM23" s="2130" t="b">
        <f t="shared" si="14"/>
        <v>1</v>
      </c>
      <c r="AN23" s="2130"/>
    </row>
    <row r="24" spans="1:40">
      <c r="A24" s="538" t="str">
        <f t="shared" si="1"/>
        <v>R50=;R4=;R7=;R36=;R43=;COM=</v>
      </c>
      <c r="C24" s="883"/>
      <c r="D24" s="1313" t="str">
        <f>IF(ISERROR(VLOOKUP($C24,Фин_договоры!$C$9:$R$32367,6,0)),"",VLOOKUP($C24,Фин_договоры!$C$9:$R$32367,6,0))</f>
        <v/>
      </c>
      <c r="E24" s="1313" t="str">
        <f>IF(ISERROR(VLOOKUP($C24,Фин_договоры!$C$9:$R$32367,7,0)),"",VLOOKUP($C24,Фин_договоры!$C$9:$R$32367,7,0))</f>
        <v/>
      </c>
      <c r="F24" s="1313" t="str">
        <f>IF(ISERROR(VLOOKUP($C24,Фин_договоры!$C$9:$R$32367,8,0)),"",VLOOKUP($C24,Фин_договоры!$C$9:$R$32367,8,0))</f>
        <v/>
      </c>
      <c r="G24" s="1313" t="str">
        <f>IF(ISERROR(VLOOKUP($C24,Фин_договоры!$C$9:$R$32367,2,0)),"",VLOOKUP($C24,Фин_договоры!$C$9:$R$32367,2,0))</f>
        <v/>
      </c>
      <c r="H24" s="1394" t="str">
        <f>IF(ISERROR(VLOOKUP($C24,Фин_договоры!$C$9:$U$32367,19,0)),"",VLOOKUP($C24,Фин_договоры!$C$9:$U$32367,19,0))</f>
        <v/>
      </c>
      <c r="I24" s="1394" t="str">
        <f>IF(ISERROR(VLOOKUP($C24,Фин_договоры!$C$9:$U$32367,17,0)),"",VLOOKUP($C24,Фин_договоры!$C$9:$U$32367,17,0))</f>
        <v/>
      </c>
      <c r="J24" s="1394" t="str">
        <f>IF(ISERROR(VLOOKUP($C24,Фин_договоры!$C$9:$U$32367,16,0)),"",VLOOKUP($C24,Фин_договоры!$C$9:$U$32367,16,0))</f>
        <v/>
      </c>
      <c r="K24" s="1394" t="str">
        <f>IF(ISERROR(VLOOKUP($C24,Фин_договоры!$C$9:$U$32367,18,0)),"",VLOOKUP($C24,Фин_договоры!$C$9:$U$32367,18,0))</f>
        <v/>
      </c>
      <c r="L24" s="1395"/>
      <c r="M24" s="1395"/>
      <c r="N24" s="915">
        <f t="shared" si="15"/>
        <v>0</v>
      </c>
      <c r="O24" s="1396"/>
      <c r="P24" s="1765">
        <f t="shared" si="16"/>
        <v>0</v>
      </c>
      <c r="Q24" s="1498"/>
      <c r="R24" s="1396"/>
      <c r="S24" s="2750"/>
      <c r="T24" s="915">
        <f>SUMPRODUCT(('58_02_движ'!$E$13:$E$65433='58_02'!$E24)*('58_02_движ'!$G$13:$G$65433='58_02'!$G24)*('58_02_движ'!$H$13:$H$65433='58_02'!$H24)*('58_02_движ'!$I$13:$I$65433='58_02'!$I24)*('58_02_движ'!$C$13:$C$65433='58_02'!$C24),'58_02_движ'!$P$13:$P$65433)</f>
        <v>0</v>
      </c>
      <c r="U24" s="915">
        <f>SUMPRODUCT(('58_02_движ'!$E$13:$E$65433='58_02'!$E24)*('58_02_движ'!$G$13:$G$65433='58_02'!$G24)*('58_02_движ'!$H$13:$H$65433='58_02'!$H24)*('58_02_движ'!$I$13:$I$65433='58_02'!$I24)*('58_02_движ'!$C$13:$C$65433='58_02'!$C24),'58_02_движ'!$Q$13:$Q$65433)</f>
        <v>0</v>
      </c>
      <c r="V24" s="2759">
        <f>SUMPRODUCT(('58_02_движ'!$E$13:$E$65433='58_02'!$E24)*('58_02_движ'!$G$13:$G$65433='58_02'!$G24)*('58_02_движ'!$H$13:$H$65433='58_02'!$H24)*('58_02_движ'!$I$13:$I$65433='58_02'!$I24)*('58_02_движ'!$C$13:$C$65433='58_02'!$C24),'58_02_движ'!$R$13:$R$65433)</f>
        <v>0</v>
      </c>
      <c r="W24" s="915">
        <f t="shared" si="4"/>
        <v>0</v>
      </c>
      <c r="X24" s="915">
        <f t="shared" si="5"/>
        <v>0</v>
      </c>
      <c r="Y24" s="1396"/>
      <c r="Z24" s="1765">
        <f t="shared" si="17"/>
        <v>0</v>
      </c>
      <c r="AA24" s="915">
        <f t="shared" si="18"/>
        <v>0</v>
      </c>
      <c r="AB24" s="1395"/>
      <c r="AC24" s="2759">
        <f t="shared" si="8"/>
        <v>0</v>
      </c>
      <c r="AD24" s="1396"/>
      <c r="AE24" s="1467"/>
      <c r="AG24" s="1163">
        <f t="shared" si="9"/>
        <v>0</v>
      </c>
      <c r="AH24" s="1163">
        <f t="shared" si="10"/>
        <v>0</v>
      </c>
      <c r="AI24" s="2130" t="b">
        <f t="shared" si="11"/>
        <v>1</v>
      </c>
      <c r="AJ24" s="2130" t="b">
        <f t="shared" si="12"/>
        <v>1</v>
      </c>
      <c r="AL24" s="2130" t="b">
        <f t="shared" si="13"/>
        <v>1</v>
      </c>
      <c r="AM24" s="2130" t="b">
        <f t="shared" si="14"/>
        <v>1</v>
      </c>
      <c r="AN24" s="2130"/>
    </row>
    <row r="25" spans="1:40">
      <c r="A25" s="538" t="str">
        <f t="shared" si="1"/>
        <v>R50=;R4=;R7=;R36=;R43=;COM=</v>
      </c>
      <c r="C25" s="883"/>
      <c r="D25" s="1313" t="str">
        <f>IF(ISERROR(VLOOKUP($C25,Фин_договоры!$C$9:$R$32367,6,0)),"",VLOOKUP($C25,Фин_договоры!$C$9:$R$32367,6,0))</f>
        <v/>
      </c>
      <c r="E25" s="1313" t="str">
        <f>IF(ISERROR(VLOOKUP($C25,Фин_договоры!$C$9:$R$32367,7,0)),"",VLOOKUP($C25,Фин_договоры!$C$9:$R$32367,7,0))</f>
        <v/>
      </c>
      <c r="F25" s="1313" t="str">
        <f>IF(ISERROR(VLOOKUP($C25,Фин_договоры!$C$9:$R$32367,8,0)),"",VLOOKUP($C25,Фин_договоры!$C$9:$R$32367,8,0))</f>
        <v/>
      </c>
      <c r="G25" s="1313" t="str">
        <f>IF(ISERROR(VLOOKUP($C25,Фин_договоры!$C$9:$R$32367,2,0)),"",VLOOKUP($C25,Фин_договоры!$C$9:$R$32367,2,0))</f>
        <v/>
      </c>
      <c r="H25" s="1394" t="str">
        <f>IF(ISERROR(VLOOKUP($C25,Фин_договоры!$C$9:$U$32367,19,0)),"",VLOOKUP($C25,Фин_договоры!$C$9:$U$32367,19,0))</f>
        <v/>
      </c>
      <c r="I25" s="1394" t="str">
        <f>IF(ISERROR(VLOOKUP($C25,Фин_договоры!$C$9:$U$32367,17,0)),"",VLOOKUP($C25,Фин_договоры!$C$9:$U$32367,17,0))</f>
        <v/>
      </c>
      <c r="J25" s="1394" t="str">
        <f>IF(ISERROR(VLOOKUP($C25,Фин_договоры!$C$9:$U$32367,16,0)),"",VLOOKUP($C25,Фин_договоры!$C$9:$U$32367,16,0))</f>
        <v/>
      </c>
      <c r="K25" s="1394" t="str">
        <f>IF(ISERROR(VLOOKUP($C25,Фин_договоры!$C$9:$U$32367,18,0)),"",VLOOKUP($C25,Фин_договоры!$C$9:$U$32367,18,0))</f>
        <v/>
      </c>
      <c r="L25" s="1395"/>
      <c r="M25" s="1395"/>
      <c r="N25" s="915">
        <f t="shared" si="15"/>
        <v>0</v>
      </c>
      <c r="O25" s="1396"/>
      <c r="P25" s="1765">
        <f t="shared" si="16"/>
        <v>0</v>
      </c>
      <c r="Q25" s="1498"/>
      <c r="R25" s="1396"/>
      <c r="S25" s="2750"/>
      <c r="T25" s="915">
        <f>SUMPRODUCT(('58_02_движ'!$E$13:$E$65433='58_02'!$E25)*('58_02_движ'!$G$13:$G$65433='58_02'!$G25)*('58_02_движ'!$H$13:$H$65433='58_02'!$H25)*('58_02_движ'!$I$13:$I$65433='58_02'!$I25)*('58_02_движ'!$C$13:$C$65433='58_02'!$C25),'58_02_движ'!$P$13:$P$65433)</f>
        <v>0</v>
      </c>
      <c r="U25" s="915">
        <f>SUMPRODUCT(('58_02_движ'!$E$13:$E$65433='58_02'!$E25)*('58_02_движ'!$G$13:$G$65433='58_02'!$G25)*('58_02_движ'!$H$13:$H$65433='58_02'!$H25)*('58_02_движ'!$I$13:$I$65433='58_02'!$I25)*('58_02_движ'!$C$13:$C$65433='58_02'!$C25),'58_02_движ'!$Q$13:$Q$65433)</f>
        <v>0</v>
      </c>
      <c r="V25" s="2759">
        <f>SUMPRODUCT(('58_02_движ'!$E$13:$E$65433='58_02'!$E25)*('58_02_движ'!$G$13:$G$65433='58_02'!$G25)*('58_02_движ'!$H$13:$H$65433='58_02'!$H25)*('58_02_движ'!$I$13:$I$65433='58_02'!$I25)*('58_02_движ'!$C$13:$C$65433='58_02'!$C25),'58_02_движ'!$R$13:$R$65433)</f>
        <v>0</v>
      </c>
      <c r="W25" s="915">
        <f t="shared" si="4"/>
        <v>0</v>
      </c>
      <c r="X25" s="915">
        <f t="shared" si="5"/>
        <v>0</v>
      </c>
      <c r="Y25" s="1396"/>
      <c r="Z25" s="1765">
        <f t="shared" si="17"/>
        <v>0</v>
      </c>
      <c r="AA25" s="915">
        <f t="shared" si="18"/>
        <v>0</v>
      </c>
      <c r="AB25" s="1395"/>
      <c r="AC25" s="2759">
        <f t="shared" si="8"/>
        <v>0</v>
      </c>
      <c r="AD25" s="1396"/>
      <c r="AE25" s="1467"/>
      <c r="AG25" s="1163">
        <f t="shared" si="9"/>
        <v>0</v>
      </c>
      <c r="AH25" s="1163">
        <f t="shared" si="10"/>
        <v>0</v>
      </c>
      <c r="AI25" s="2130" t="b">
        <f t="shared" ref="AI25" si="19">IF(AA25&gt;0,IF(AC25&lt;&gt;0,TRUE,FALSE),IF(AC25=0,TRUE,FALSE))</f>
        <v>1</v>
      </c>
      <c r="AJ25" s="2130" t="b">
        <f t="shared" si="12"/>
        <v>1</v>
      </c>
      <c r="AL25" s="2130" t="b">
        <f t="shared" si="13"/>
        <v>1</v>
      </c>
      <c r="AM25" s="2130" t="b">
        <f t="shared" si="14"/>
        <v>1</v>
      </c>
      <c r="AN25" s="2130"/>
    </row>
    <row r="26" spans="1:40" s="2830" customFormat="1">
      <c r="A26" s="2425" t="str">
        <f t="shared" si="1"/>
        <v>R50=;R4=;R7=;R36=;R43=;COM=</v>
      </c>
      <c r="C26" s="883"/>
      <c r="D26" s="1313" t="str">
        <f>IF(ISERROR(VLOOKUP($C26,Фин_договоры!$C$9:$R$32367,6,0)),"",VLOOKUP($C26,Фин_договоры!$C$9:$R$32367,6,0))</f>
        <v/>
      </c>
      <c r="E26" s="1313" t="str">
        <f>IF(ISERROR(VLOOKUP($C26,Фин_договоры!$C$9:$R$32367,7,0)),"",VLOOKUP($C26,Фин_договоры!$C$9:$R$32367,7,0))</f>
        <v/>
      </c>
      <c r="F26" s="1313" t="str">
        <f>IF(ISERROR(VLOOKUP($C26,Фин_договоры!$C$9:$R$32367,8,0)),"",VLOOKUP($C26,Фин_договоры!$C$9:$R$32367,8,0))</f>
        <v/>
      </c>
      <c r="G26" s="1313" t="str">
        <f>IF(ISERROR(VLOOKUP($C26,Фин_договоры!$C$9:$R$32367,2,0)),"",VLOOKUP($C26,Фин_договоры!$C$9:$R$32367,2,0))</f>
        <v/>
      </c>
      <c r="H26" s="1394" t="str">
        <f>IF(ISERROR(VLOOKUP($C26,Фин_договоры!$C$9:$U$32367,19,0)),"",VLOOKUP($C26,Фин_договоры!$C$9:$U$32367,19,0))</f>
        <v/>
      </c>
      <c r="I26" s="1394" t="str">
        <f>IF(ISERROR(VLOOKUP($C26,Фин_договоры!$C$9:$U$32367,17,0)),"",VLOOKUP($C26,Фин_договоры!$C$9:$U$32367,17,0))</f>
        <v/>
      </c>
      <c r="J26" s="1394" t="str">
        <f>IF(ISERROR(VLOOKUP($C26,Фин_договоры!$C$9:$U$32367,16,0)),"",VLOOKUP($C26,Фин_договоры!$C$9:$U$32367,16,0))</f>
        <v/>
      </c>
      <c r="K26" s="1394" t="str">
        <f>IF(ISERROR(VLOOKUP($C26,Фин_договоры!$C$9:$U$32367,18,0)),"",VLOOKUP($C26,Фин_договоры!$C$9:$U$32367,18,0))</f>
        <v/>
      </c>
      <c r="L26" s="1395"/>
      <c r="M26" s="1395"/>
      <c r="N26" s="915">
        <f t="shared" si="15"/>
        <v>0</v>
      </c>
      <c r="O26" s="1396"/>
      <c r="P26" s="1765">
        <f t="shared" si="16"/>
        <v>0</v>
      </c>
      <c r="Q26" s="1498"/>
      <c r="R26" s="1396"/>
      <c r="S26" s="2750"/>
      <c r="T26" s="915">
        <f>SUMPRODUCT(('58_02_движ'!$E$13:$E$65433='58_02'!$E26)*('58_02_движ'!$G$13:$G$65433='58_02'!$G26)*('58_02_движ'!$H$13:$H$65433='58_02'!$H26)*('58_02_движ'!$I$13:$I$65433='58_02'!$I26)*('58_02_движ'!$C$13:$C$65433='58_02'!$C26),'58_02_движ'!$P$13:$P$65433)</f>
        <v>0</v>
      </c>
      <c r="U26" s="915">
        <f>SUMPRODUCT(('58_02_движ'!$E$13:$E$65433='58_02'!$E26)*('58_02_движ'!$G$13:$G$65433='58_02'!$G26)*('58_02_движ'!$H$13:$H$65433='58_02'!$H26)*('58_02_движ'!$I$13:$I$65433='58_02'!$I26)*('58_02_движ'!$C$13:$C$65433='58_02'!$C26),'58_02_движ'!$Q$13:$Q$65433)</f>
        <v>0</v>
      </c>
      <c r="V26" s="2759">
        <f>SUMPRODUCT(('58_02_движ'!$E$13:$E$65433='58_02'!$E26)*('58_02_движ'!$G$13:$G$65433='58_02'!$G26)*('58_02_движ'!$H$13:$H$65433='58_02'!$H26)*('58_02_движ'!$I$13:$I$65433='58_02'!$I26)*('58_02_движ'!$C$13:$C$65433='58_02'!$C26),'58_02_движ'!$R$13:$R$65433)</f>
        <v>0</v>
      </c>
      <c r="W26" s="915">
        <f t="shared" si="4"/>
        <v>0</v>
      </c>
      <c r="X26" s="915">
        <f t="shared" si="5"/>
        <v>0</v>
      </c>
      <c r="Y26" s="1396"/>
      <c r="Z26" s="1765">
        <f t="shared" si="17"/>
        <v>0</v>
      </c>
      <c r="AA26" s="915">
        <f t="shared" si="18"/>
        <v>0</v>
      </c>
      <c r="AB26" s="1395"/>
      <c r="AC26" s="2759">
        <f t="shared" si="8"/>
        <v>0</v>
      </c>
      <c r="AD26" s="1396"/>
      <c r="AE26" s="1467"/>
      <c r="AG26" s="2830">
        <f t="shared" si="9"/>
        <v>0</v>
      </c>
      <c r="AH26" s="2830">
        <f t="shared" si="10"/>
        <v>0</v>
      </c>
      <c r="AI26" s="2130" t="b">
        <f t="shared" ref="AI26" si="20">IF(AA26&gt;0,IF(AC26&lt;&gt;0,TRUE,FALSE),IF(AC26=0,TRUE,FALSE))</f>
        <v>1</v>
      </c>
      <c r="AJ26" s="2130" t="b">
        <f t="shared" si="12"/>
        <v>1</v>
      </c>
      <c r="AK26" s="1996"/>
      <c r="AL26" s="2130" t="b">
        <f t="shared" si="13"/>
        <v>1</v>
      </c>
      <c r="AM26" s="2130" t="b">
        <f t="shared" si="14"/>
        <v>1</v>
      </c>
      <c r="AN26" s="2130"/>
    </row>
    <row r="27" spans="1:40" s="2830" customFormat="1" ht="15" thickBot="1">
      <c r="A27" s="2425" t="str">
        <f t="shared" ref="A27" si="21">"R50="&amp;C27&amp;";R4="&amp;IFERROR(MID(L27,FIND("{",L27)+1,FIND("}",L27)-FIND("{",L27)-1),"")&amp;";R7=;R36="&amp;MID(F27,1,30)&amp;";R43="&amp;MID(E27,1,30)&amp;";COM="&amp;AE27</f>
        <v>R50=;R4=;R7=;R36=;R43=;COM=</v>
      </c>
      <c r="C27" s="886"/>
      <c r="D27" s="1314" t="str">
        <f>IF(ISERROR(VLOOKUP($C27,Фин_договоры!$C$9:$R$32367,6,0)),"",VLOOKUP($C27,Фин_договоры!$C$9:$R$32367,6,0))</f>
        <v/>
      </c>
      <c r="E27" s="1314" t="str">
        <f>IF(ISERROR(VLOOKUP($C27,Фин_договоры!$C$9:$R$32367,7,0)),"",VLOOKUP($C27,Фин_договоры!$C$9:$R$32367,7,0))</f>
        <v/>
      </c>
      <c r="F27" s="1314" t="str">
        <f>IF(ISERROR(VLOOKUP($C27,Фин_договоры!$C$9:$R$32367,8,0)),"",VLOOKUP($C27,Фин_договоры!$C$9:$R$32367,8,0))</f>
        <v/>
      </c>
      <c r="G27" s="1314" t="str">
        <f>IF(ISERROR(VLOOKUP($C27,Фин_договоры!$C$9:$R$32367,2,0)),"",VLOOKUP($C27,Фин_договоры!$C$9:$R$32367,2,0))</f>
        <v/>
      </c>
      <c r="H27" s="1512" t="str">
        <f>IF(ISERROR(VLOOKUP($C27,Фин_договоры!$C$9:$U$32367,19,0)),"",VLOOKUP($C27,Фин_договоры!$C$9:$U$32367,19,0))</f>
        <v/>
      </c>
      <c r="I27" s="1512" t="str">
        <f>IF(ISERROR(VLOOKUP($C27,Фин_договоры!$C$9:$U$32367,17,0)),"",VLOOKUP($C27,Фин_договоры!$C$9:$U$32367,17,0))</f>
        <v/>
      </c>
      <c r="J27" s="1512" t="str">
        <f>IF(ISERROR(VLOOKUP($C27,Фин_договоры!$C$9:$U$32367,16,0)),"",VLOOKUP($C27,Фин_договоры!$C$9:$U$32367,16,0))</f>
        <v/>
      </c>
      <c r="K27" s="1512" t="str">
        <f>IF(ISERROR(VLOOKUP($C27,Фин_договоры!$C$9:$U$32367,18,0)),"",VLOOKUP($C27,Фин_договоры!$C$9:$U$32367,18,0))</f>
        <v/>
      </c>
      <c r="L27" s="1513"/>
      <c r="M27" s="1513"/>
      <c r="N27" s="1514">
        <f t="shared" ref="N27" si="22">SUM(Q27:R27)</f>
        <v>0</v>
      </c>
      <c r="O27" s="1501"/>
      <c r="P27" s="1766">
        <f t="shared" ref="P27" si="23">N27-O27</f>
        <v>0</v>
      </c>
      <c r="Q27" s="1553"/>
      <c r="R27" s="1501"/>
      <c r="S27" s="2751"/>
      <c r="T27" s="1514">
        <f>SUMPRODUCT(('58_02_движ'!$E$13:$E$65433='58_02'!$E27)*('58_02_движ'!$G$13:$G$65433='58_02'!$G27)*('58_02_движ'!$H$13:$H$65433='58_02'!$H27)*('58_02_движ'!$I$13:$I$65433='58_02'!$I27)*('58_02_движ'!$C$13:$C$65433='58_02'!$C27),'58_02_движ'!$P$13:$P$65433)</f>
        <v>0</v>
      </c>
      <c r="U27" s="1514">
        <f>SUMPRODUCT(('58_02_движ'!$E$13:$E$65433='58_02'!$E27)*('58_02_движ'!$G$13:$G$65433='58_02'!$G27)*('58_02_движ'!$H$13:$H$65433='58_02'!$H27)*('58_02_движ'!$I$13:$I$65433='58_02'!$I27)*('58_02_движ'!$C$13:$C$65433='58_02'!$C27),'58_02_движ'!$Q$13:$Q$65433)</f>
        <v>0</v>
      </c>
      <c r="V27" s="2760">
        <f>SUMPRODUCT(('58_02_движ'!$E$13:$E$65433='58_02'!$E27)*('58_02_движ'!$G$13:$G$65433='58_02'!$G27)*('58_02_движ'!$H$13:$H$65433='58_02'!$H27)*('58_02_движ'!$I$13:$I$65433='58_02'!$I27)*('58_02_движ'!$C$13:$C$65433='58_02'!$C27),'58_02_движ'!$R$13:$R$65433)</f>
        <v>0</v>
      </c>
      <c r="W27" s="1514">
        <f t="shared" ref="W27" si="24">M27+T27</f>
        <v>0</v>
      </c>
      <c r="X27" s="1514">
        <f t="shared" ref="X27" si="25">SUM(N27,U27)</f>
        <v>0</v>
      </c>
      <c r="Y27" s="1501"/>
      <c r="Z27" s="1766">
        <f t="shared" ref="Z27" si="26">X27-Y27</f>
        <v>0</v>
      </c>
      <c r="AA27" s="1514">
        <f t="shared" ref="AA27" si="27">X27-AB27</f>
        <v>0</v>
      </c>
      <c r="AB27" s="1513"/>
      <c r="AC27" s="2760">
        <f t="shared" ref="AC27" si="28">S27+V27</f>
        <v>0</v>
      </c>
      <c r="AD27" s="1501"/>
      <c r="AE27" s="905"/>
      <c r="AG27" s="2830">
        <f t="shared" ref="AG27" si="29">IF(K27=$AK$12,IF(AB27&gt;R27,AB27-R27,0),0)</f>
        <v>0</v>
      </c>
      <c r="AH27" s="2830">
        <f t="shared" ref="AH27" si="30">IF(K27=$AK$12,IF(AB27&lt;R27,-AB27+R27,0),0)</f>
        <v>0</v>
      </c>
      <c r="AI27" s="2130" t="b">
        <f t="shared" ref="AI27" si="31">IF(AA27&gt;0,IF(AC27&lt;&gt;0,TRUE,FALSE),IF(AC27=0,TRUE,FALSE))</f>
        <v>1</v>
      </c>
      <c r="AJ27" s="2130" t="b">
        <f t="shared" ref="AJ27" si="32">IF(OR(G27=$AK$13,G27=$AK$14,AND(N27=0,X27=0)),TRUE,FALSE)</f>
        <v>1</v>
      </c>
      <c r="AK27" s="1996"/>
      <c r="AL27" s="2130" t="b">
        <f t="shared" ref="AL27" si="33">OR(AND(X27&gt;0,AD27&lt;&gt;""),AND(X27=0,AD27=0))</f>
        <v>1</v>
      </c>
      <c r="AM27" s="2130" t="b">
        <f t="shared" ref="AM27" si="34">IF(S27&lt;=100%,AC27&lt;=100%,FALSE)</f>
        <v>1</v>
      </c>
      <c r="AN27" s="2130"/>
    </row>
  </sheetData>
  <sheetProtection algorithmName="SHA-512" hashValue="HP0SuEgcAy4/0keykVChLQy3a0El+MjDuKAKfDZNl9lzEWOKW68cy5pv1SZfcEjshTIYk/atn3KqYWGKXJ5aaA==" saltValue="km2BYxVueMXRnhUQK6OcsQ==" spinCount="100000" sheet="1" objects="1" scenarios="1" formatColumns="0" formatRows="0" autoFilter="0"/>
  <autoFilter ref="C10:AE10"/>
  <customSheetViews>
    <customSheetView guid="{3769259D-9653-4B34-A2F6-4FB6F9F4E533}" scale="70" showGridLines="0" hiddenRows="1" hiddenColumns="1">
      <pane xSplit="4" ySplit="11" topLeftCell="E12" activePane="bottomRight" state="frozen"/>
      <selection pane="bottomRight" activeCell="AL12" sqref="AL12"/>
      <pageMargins left="0.7" right="0.7" top="0.75" bottom="0.75" header="0.3" footer="0.3"/>
      <pageSetup paperSize="9" orientation="portrait" horizontalDpi="300" verticalDpi="0" copies="0" r:id="rId1"/>
    </customSheetView>
    <customSheetView guid="{40D7A2BB-326C-4ED3-999C-17852F56D6F4}" scale="70" showGridLines="0" hiddenRows="1" hiddenColumns="1">
      <pane xSplit="4" ySplit="11" topLeftCell="E12" activePane="bottomRight" state="frozen"/>
      <selection pane="bottomRight" activeCell="C17" sqref="C17"/>
      <pageMargins left="0.7" right="0.7" top="0.75" bottom="0.75" header="0.3" footer="0.3"/>
      <pageSetup paperSize="9" orientation="portrait" horizontalDpi="300" verticalDpi="0" copies="0" r:id="rId2"/>
    </customSheetView>
    <customSheetView guid="{5D121940-0CE8-4A0E-A493-67FAAA6E0FF8}" scale="70" showGridLines="0" hiddenRows="1" hiddenColumns="1" topLeftCell="B2">
      <pane xSplit="3" ySplit="10" topLeftCell="F12" activePane="bottomRight" state="frozen"/>
      <selection pane="bottomRight" activeCell="K9" sqref="K9"/>
      <pageMargins left="0.7" right="0.7" top="0.75" bottom="0.75" header="0.3" footer="0.3"/>
      <pageSetup paperSize="9" orientation="portrait" horizontalDpi="300" verticalDpi="0" copies="0" r:id="rId3"/>
    </customSheetView>
    <customSheetView guid="{47AEACC4-6EA5-412C-AF39-A6C5357B313A}" scale="70" showGridLines="0" hiddenRows="1" hiddenColumns="1" topLeftCell="B2">
      <pane xSplit="3" ySplit="10" topLeftCell="M12" activePane="bottomRight" state="frozen"/>
      <selection pane="bottomRight" activeCell="U11" sqref="U11"/>
      <pageMargins left="0.7" right="0.7" top="0.75" bottom="0.75" header="0.3" footer="0.3"/>
      <pageSetup paperSize="9" orientation="portrait" horizontalDpi="300" verticalDpi="0" copies="0" r:id="rId4"/>
    </customSheetView>
    <customSheetView guid="{C913A9E8-661B-40A4-A3C9-1BC5F2B2E9F0}" scale="70" showGridLines="0" hiddenRows="1" hiddenColumns="1" topLeftCell="B2">
      <pane xSplit="3" ySplit="10" topLeftCell="F12" activePane="bottomRight" state="frozen"/>
      <selection pane="bottomRight" activeCell="K9" sqref="K9"/>
      <pageMargins left="0.7" right="0.7" top="0.75" bottom="0.75" header="0.3" footer="0.3"/>
      <pageSetup paperSize="9" orientation="portrait" horizontalDpi="300" verticalDpi="0" copies="0" r:id="rId5"/>
    </customSheetView>
  </customSheetViews>
  <mergeCells count="24">
    <mergeCell ref="C6:C8"/>
    <mergeCell ref="J6:J8"/>
    <mergeCell ref="K6:K8"/>
    <mergeCell ref="L6:L8"/>
    <mergeCell ref="T6:U6"/>
    <mergeCell ref="I6:I8"/>
    <mergeCell ref="D6:D8"/>
    <mergeCell ref="E6:E8"/>
    <mergeCell ref="G6:G8"/>
    <mergeCell ref="H6:H8"/>
    <mergeCell ref="F6:F8"/>
    <mergeCell ref="AE6:AE8"/>
    <mergeCell ref="M7:M8"/>
    <mergeCell ref="N7:R7"/>
    <mergeCell ref="S7:S8"/>
    <mergeCell ref="T7:T8"/>
    <mergeCell ref="U7:U8"/>
    <mergeCell ref="W7:W8"/>
    <mergeCell ref="M6:S6"/>
    <mergeCell ref="AD6:AD8"/>
    <mergeCell ref="V6:V8"/>
    <mergeCell ref="W6:AC6"/>
    <mergeCell ref="X7:AB7"/>
    <mergeCell ref="AC7:AC8"/>
  </mergeCells>
  <phoneticPr fontId="0" type="noConversion"/>
  <dataValidations count="2">
    <dataValidation type="list" allowBlank="1" showInputMessage="1" showErrorMessage="1" sqref="L12:L27">
      <formula1>_9018</formula1>
    </dataValidation>
    <dataValidation type="list" allowBlank="1" showInputMessage="1" showErrorMessage="1" sqref="C12:C27">
      <formula1>dogovor_fin</formula1>
    </dataValidation>
  </dataValidations>
  <hyperlinks>
    <hyperlink ref="J5" location="Содержание!A1" display="Содержание"/>
  </hyperlinks>
  <pageMargins left="0.70866141732283472" right="0.70866141732283472" top="0.59055118110236227" bottom="0.74803149606299213" header="0.31496062992125984" footer="0.31496062992125984"/>
  <pageSetup paperSize="9" scale="34" fitToWidth="2" orientation="landscape" horizont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8530" r:id="rId9" name="Button 2">
              <controlPr defaultSize="0" print="0" autoFill="0" autoPict="0" macro="[0]!AddButtonsRowAdd">
                <anchor moveWithCells="1">
                  <from>
                    <xdr:col>5</xdr:col>
                    <xdr:colOff>69850</xdr:colOff>
                    <xdr:row>3</xdr:row>
                    <xdr:rowOff>76200</xdr:rowOff>
                  </from>
                  <to>
                    <xdr:col>5</xdr:col>
                    <xdr:colOff>1403350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9">
    <pageSetUpPr fitToPage="1"/>
  </sheetPr>
  <dimension ref="A1:AE21"/>
  <sheetViews>
    <sheetView topLeftCell="T2" zoomScale="76" zoomScaleNormal="76" workbookViewId="0">
      <selection activeCell="F17" sqref="F17"/>
    </sheetView>
  </sheetViews>
  <sheetFormatPr defaultColWidth="9.453125" defaultRowHeight="14.5"/>
  <cols>
    <col min="1" max="1" width="30.453125" style="271" hidden="1" customWidth="1"/>
    <col min="2" max="2" width="2.453125" style="32" customWidth="1"/>
    <col min="3" max="3" width="28" style="32" bestFit="1" customWidth="1"/>
    <col min="4" max="4" width="28" style="32" customWidth="1"/>
    <col min="5" max="5" width="15.453125" style="32" customWidth="1"/>
    <col min="6" max="6" width="20.54296875" style="32" customWidth="1"/>
    <col min="7" max="7" width="15.453125" style="32" customWidth="1"/>
    <col min="8" max="8" width="18.453125" style="32" customWidth="1"/>
    <col min="9" max="9" width="20" style="32" customWidth="1"/>
    <col min="10" max="10" width="17.453125" style="32" customWidth="1"/>
    <col min="11" max="11" width="25.54296875" style="32" customWidth="1"/>
    <col min="12" max="12" width="19.453125" style="32" customWidth="1"/>
    <col min="13" max="13" width="28.453125" style="32" customWidth="1"/>
    <col min="14" max="14" width="42.54296875" style="32" customWidth="1"/>
    <col min="15" max="15" width="24.453125" style="32" customWidth="1"/>
    <col min="16" max="16" width="19.453125" style="32" customWidth="1"/>
    <col min="17" max="17" width="22.453125" style="32" customWidth="1"/>
    <col min="18" max="19" width="15.453125" style="32" customWidth="1"/>
    <col min="20" max="20" width="24.453125" style="32" customWidth="1"/>
    <col min="21" max="21" width="26.54296875" style="32" customWidth="1"/>
    <col min="22" max="22" width="40.453125" style="32" customWidth="1"/>
    <col min="23" max="23" width="17" style="32" customWidth="1"/>
    <col min="24" max="24" width="17.54296875" style="32" customWidth="1"/>
    <col min="25" max="25" width="18.453125" style="32" customWidth="1"/>
    <col min="26" max="26" width="14.453125" style="32" customWidth="1"/>
    <col min="27" max="27" width="13.453125" style="32" customWidth="1"/>
    <col min="28" max="30" width="9.453125" style="32"/>
    <col min="31" max="31" width="16.54296875" style="32" customWidth="1"/>
    <col min="32" max="16384" width="9.453125" style="32"/>
  </cols>
  <sheetData>
    <row r="1" spans="1:31" s="10" customFormat="1" ht="21.75" hidden="1" customHeight="1">
      <c r="A1" s="167" t="s">
        <v>2829</v>
      </c>
      <c r="B1" s="22"/>
      <c r="C1" s="6"/>
      <c r="D1" s="6"/>
      <c r="E1" s="37"/>
      <c r="F1" s="37"/>
      <c r="G1" s="37"/>
      <c r="H1" s="37"/>
      <c r="I1" s="37"/>
      <c r="J1" s="37"/>
      <c r="K1" s="37"/>
      <c r="L1" s="37"/>
      <c r="M1" s="37"/>
      <c r="N1" s="6"/>
      <c r="O1" s="6"/>
      <c r="P1" s="6" t="s">
        <v>1032</v>
      </c>
      <c r="Q1" s="6" t="s">
        <v>1033</v>
      </c>
      <c r="R1" s="6" t="s">
        <v>5102</v>
      </c>
      <c r="S1" s="6" t="s">
        <v>1034</v>
      </c>
      <c r="T1" s="6" t="s">
        <v>1035</v>
      </c>
      <c r="U1" s="6"/>
    </row>
    <row r="2" spans="1:31" s="774" customFormat="1" ht="13" thickBot="1">
      <c r="A2" s="745"/>
      <c r="P2" s="774" t="s">
        <v>1648</v>
      </c>
      <c r="Q2" s="774" t="s">
        <v>1648</v>
      </c>
      <c r="R2" s="774" t="s">
        <v>1648</v>
      </c>
      <c r="S2" s="774" t="s">
        <v>1648</v>
      </c>
      <c r="T2" s="774" t="s">
        <v>1648</v>
      </c>
      <c r="U2" s="774" t="s">
        <v>1648</v>
      </c>
    </row>
    <row r="3" spans="1:31" s="10" customFormat="1" ht="11.25" customHeight="1">
      <c r="A3" s="745"/>
      <c r="Q3" s="324"/>
    </row>
    <row r="4" spans="1:31" s="10" customFormat="1" ht="30" customHeight="1" thickBot="1">
      <c r="A4" s="538"/>
      <c r="E4"/>
      <c r="F4" s="2358"/>
      <c r="J4" s="1897" t="s">
        <v>2067</v>
      </c>
      <c r="K4" s="1244">
        <f>Содержание!$D$2</f>
        <v>0</v>
      </c>
      <c r="Q4" s="326" t="b">
        <f>Q12='58_02'!U11</f>
        <v>1</v>
      </c>
    </row>
    <row r="5" spans="1:31" s="24" customFormat="1" ht="29.25" customHeight="1">
      <c r="A5" s="538"/>
      <c r="C5" s="105" t="s">
        <v>5257</v>
      </c>
      <c r="D5" s="105"/>
      <c r="E5" s="173"/>
      <c r="F5" s="173"/>
      <c r="G5" s="173"/>
      <c r="H5" s="173"/>
      <c r="I5" s="3044" t="s">
        <v>1436</v>
      </c>
      <c r="J5" s="1897" t="s">
        <v>2075</v>
      </c>
      <c r="K5" s="1244" t="str">
        <f>Содержание!$D$15</f>
        <v>2022 год</v>
      </c>
      <c r="L5" s="173"/>
      <c r="M5" s="173"/>
      <c r="N5" s="188"/>
      <c r="O5" s="173"/>
      <c r="P5" s="173"/>
      <c r="Q5" s="10"/>
      <c r="R5" s="173"/>
      <c r="S5" s="173"/>
      <c r="T5" s="173"/>
      <c r="U5" s="173"/>
      <c r="V5" s="173"/>
    </row>
    <row r="6" spans="1:31" s="24" customFormat="1" ht="15" thickBot="1">
      <c r="A6" s="538"/>
      <c r="C6" s="1202" t="s">
        <v>1436</v>
      </c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</row>
    <row r="7" spans="1:31" s="24" customFormat="1" ht="13.5" customHeight="1">
      <c r="A7" s="538"/>
      <c r="C7" s="3675" t="s">
        <v>1792</v>
      </c>
      <c r="D7" s="3677" t="s">
        <v>8488</v>
      </c>
      <c r="E7" s="3783" t="s">
        <v>8489</v>
      </c>
      <c r="F7" s="2360"/>
      <c r="G7" s="3783" t="s">
        <v>5384</v>
      </c>
      <c r="H7" s="3783" t="s">
        <v>5411</v>
      </c>
      <c r="I7" s="3783" t="s">
        <v>5412</v>
      </c>
      <c r="J7" s="3783" t="s">
        <v>4200</v>
      </c>
      <c r="K7" s="3783" t="s">
        <v>4201</v>
      </c>
      <c r="L7" s="3783" t="s">
        <v>2808</v>
      </c>
      <c r="M7" s="2391"/>
      <c r="N7" s="3783" t="s">
        <v>4202</v>
      </c>
      <c r="O7" s="3783" t="s">
        <v>4203</v>
      </c>
      <c r="P7" s="3713" t="s">
        <v>4679</v>
      </c>
      <c r="Q7" s="3713"/>
      <c r="R7" s="3713"/>
      <c r="S7" s="3713"/>
      <c r="T7" s="3713"/>
      <c r="U7" s="3713"/>
      <c r="V7" s="3711" t="s">
        <v>4183</v>
      </c>
    </row>
    <row r="8" spans="1:31" s="24" customFormat="1" ht="12.75" customHeight="1" thickBot="1">
      <c r="A8" s="538"/>
      <c r="C8" s="3804"/>
      <c r="D8" s="3775"/>
      <c r="E8" s="3784"/>
      <c r="F8" s="3784" t="s">
        <v>8394</v>
      </c>
      <c r="G8" s="3784"/>
      <c r="H8" s="3784"/>
      <c r="I8" s="3784"/>
      <c r="J8" s="3784"/>
      <c r="K8" s="3784"/>
      <c r="L8" s="3784"/>
      <c r="M8" s="3784" t="s">
        <v>8394</v>
      </c>
      <c r="N8" s="3784"/>
      <c r="O8" s="3784"/>
      <c r="P8" s="3710" t="s">
        <v>4679</v>
      </c>
      <c r="Q8" s="3710"/>
      <c r="R8" s="3710" t="s">
        <v>8632</v>
      </c>
      <c r="S8" s="3858" t="s">
        <v>4204</v>
      </c>
      <c r="T8" s="3858" t="s">
        <v>4205</v>
      </c>
      <c r="U8" s="3856" t="s">
        <v>4206</v>
      </c>
      <c r="V8" s="3712"/>
    </row>
    <row r="9" spans="1:31" s="24" customFormat="1" ht="39.5" thickBot="1">
      <c r="A9" s="538"/>
      <c r="C9" s="3804"/>
      <c r="D9" s="3775"/>
      <c r="E9" s="3784"/>
      <c r="F9" s="3807"/>
      <c r="G9" s="3784"/>
      <c r="H9" s="3784"/>
      <c r="I9" s="3784"/>
      <c r="J9" s="3784"/>
      <c r="K9" s="3784"/>
      <c r="L9" s="3784"/>
      <c r="M9" s="3807"/>
      <c r="N9" s="3784"/>
      <c r="O9" s="3784"/>
      <c r="P9" s="16" t="s">
        <v>5415</v>
      </c>
      <c r="Q9" s="16" t="s">
        <v>93</v>
      </c>
      <c r="R9" s="3710"/>
      <c r="S9" s="3840"/>
      <c r="T9" s="3840"/>
      <c r="U9" s="3857"/>
      <c r="V9" s="3712"/>
      <c r="W9" s="2945" t="s">
        <v>8680</v>
      </c>
      <c r="AE9" s="3406" t="s">
        <v>14240</v>
      </c>
    </row>
    <row r="10" spans="1:31" s="749" customFormat="1" ht="12.75" customHeight="1">
      <c r="A10" s="745"/>
      <c r="B10" s="752"/>
      <c r="C10" s="911"/>
      <c r="D10" s="1170" t="s">
        <v>5247</v>
      </c>
      <c r="E10" s="912" t="s">
        <v>4219</v>
      </c>
      <c r="F10" s="912" t="s">
        <v>5247</v>
      </c>
      <c r="G10" s="912" t="s">
        <v>3009</v>
      </c>
      <c r="H10" s="912" t="s">
        <v>5248</v>
      </c>
      <c r="I10" s="912" t="s">
        <v>5249</v>
      </c>
      <c r="J10" s="912"/>
      <c r="K10" s="912" t="s">
        <v>5247</v>
      </c>
      <c r="L10" s="912" t="s">
        <v>5247</v>
      </c>
      <c r="M10" s="912" t="s">
        <v>5247</v>
      </c>
      <c r="N10" s="912" t="s">
        <v>3394</v>
      </c>
      <c r="O10" s="912" t="s">
        <v>5250</v>
      </c>
      <c r="P10" s="912"/>
      <c r="Q10" s="912"/>
      <c r="R10" s="912"/>
      <c r="S10" s="912"/>
      <c r="T10" s="912"/>
      <c r="U10" s="751">
        <v>2540</v>
      </c>
      <c r="V10" s="913"/>
      <c r="AE10" s="3411" t="s">
        <v>14264</v>
      </c>
    </row>
    <row r="11" spans="1:31" s="698" customFormat="1" ht="10">
      <c r="A11" s="668"/>
      <c r="B11" s="701"/>
      <c r="C11" s="1348" t="s">
        <v>4164</v>
      </c>
      <c r="D11" s="1348" t="s">
        <v>4165</v>
      </c>
      <c r="E11" s="1348" t="s">
        <v>4166</v>
      </c>
      <c r="F11" s="1348" t="s">
        <v>5500</v>
      </c>
      <c r="G11" s="1348" t="s">
        <v>4169</v>
      </c>
      <c r="H11" s="1348" t="s">
        <v>4168</v>
      </c>
      <c r="I11" s="1348" t="s">
        <v>4178</v>
      </c>
      <c r="J11" s="1348" t="s">
        <v>4179</v>
      </c>
      <c r="K11" s="1348" t="s">
        <v>4167</v>
      </c>
      <c r="L11" s="1348" t="s">
        <v>5501</v>
      </c>
      <c r="M11" s="1348" t="s">
        <v>4701</v>
      </c>
      <c r="N11" s="1348" t="s">
        <v>4702</v>
      </c>
      <c r="O11" s="1348" t="s">
        <v>4703</v>
      </c>
      <c r="P11" s="1348" t="s">
        <v>5502</v>
      </c>
      <c r="Q11" s="1348" t="s">
        <v>5503</v>
      </c>
      <c r="R11" s="1348" t="s">
        <v>4853</v>
      </c>
      <c r="S11" s="1348" t="s">
        <v>4852</v>
      </c>
      <c r="T11" s="1348" t="s">
        <v>5505</v>
      </c>
      <c r="U11" s="1348" t="s">
        <v>4851</v>
      </c>
      <c r="V11" s="1348" t="s">
        <v>5506</v>
      </c>
    </row>
    <row r="12" spans="1:31" s="24" customFormat="1">
      <c r="A12" s="538"/>
      <c r="B12" s="567"/>
      <c r="C12" s="916" t="s">
        <v>4184</v>
      </c>
      <c r="D12" s="892" t="s">
        <v>4184</v>
      </c>
      <c r="E12" s="892" t="s">
        <v>4184</v>
      </c>
      <c r="F12" s="892" t="s">
        <v>4184</v>
      </c>
      <c r="G12" s="892" t="s">
        <v>4184</v>
      </c>
      <c r="H12" s="892" t="s">
        <v>4184</v>
      </c>
      <c r="I12" s="892" t="s">
        <v>4184</v>
      </c>
      <c r="J12" s="892" t="s">
        <v>4184</v>
      </c>
      <c r="K12" s="892" t="s">
        <v>4184</v>
      </c>
      <c r="L12" s="892" t="s">
        <v>4184</v>
      </c>
      <c r="M12" s="892" t="s">
        <v>4184</v>
      </c>
      <c r="N12" s="892" t="s">
        <v>4184</v>
      </c>
      <c r="O12" s="892" t="s">
        <v>4184</v>
      </c>
      <c r="P12" s="908">
        <f>SUM(P13:P10004)</f>
        <v>0</v>
      </c>
      <c r="Q12" s="908">
        <f>SUM(Q13:Q10004)</f>
        <v>0</v>
      </c>
      <c r="R12" s="892" t="s">
        <v>4184</v>
      </c>
      <c r="S12" s="908">
        <f>SUM(S13:S10004)</f>
        <v>0</v>
      </c>
      <c r="T12" s="908">
        <f>SUM(T13:T10004)</f>
        <v>0</v>
      </c>
      <c r="U12" s="892" t="s">
        <v>4184</v>
      </c>
      <c r="V12" s="895" t="s">
        <v>4184</v>
      </c>
      <c r="AE12" s="2169" t="b">
        <f ca="1">AND(AE13:AE5006)</f>
        <v>1</v>
      </c>
    </row>
    <row r="13" spans="1:31" s="524" customFormat="1">
      <c r="A13" s="9" t="str">
        <f>"R50="&amp;C13&amp;";R6="&amp;J13&amp;";R42="&amp;IF(M13&lt;&gt;"",M13,L13)&amp;";R57="&amp;MID(K13,1,60)&amp;";R9="&amp;IFERROR(MID(N13,FIND("{",N13)+1,FIND("}",N13)-FIND("{",N13)-1),"")&amp;";R10="&amp;IFERROR(MID(O13,FIND("{",O13)+1,FIND("}",O13)-FIND("{",O13)-1),"")&amp;";R11="&amp;IFERROR(MID(U13,FIND("{",U13)+1,FIND("}",U13)-FIND("{",U13)-1),"")&amp;";R4="&amp;IFERROR(MID(VLOOKUP(C13,'58_02'!C$1:L$65536,10,0),FIND("{",VLOOKUP(C13,'58_02'!C$1:L$65536,10,0))+1,FIND("}",VLOOKUP(C13,'58_02'!C$1:L$65536,10,0))-FIND("{",VLOOKUP(C13,'58_02'!C$1:L$65536,10,0))-1),"")&amp;";R36="&amp;F13&amp;";R43="&amp;MID(E13,1,30)&amp;";R48="&amp;MID(M13,1,30)&amp;";R51="&amp;MID(L13,1,30)&amp;";COM="&amp;V13</f>
        <v>R50=;R6=;R42=;R57=;R9=;R10=;R11=;R4=;R36=;R43=;R48=;R51=;COM=</v>
      </c>
      <c r="B13" s="568"/>
      <c r="C13" s="1460"/>
      <c r="D13" s="1673" t="str">
        <f>IF(ISERROR(VLOOKUP($C13,Фин_договоры!$C$9:$R$32367,6,0)),"",VLOOKUP($C13,Фин_договоры!$C$9:$R$32367,6,0))</f>
        <v/>
      </c>
      <c r="E13" s="1673" t="str">
        <f>IF(ISERROR(VLOOKUP($C13,Фин_договоры!$C$9:$R$32367,7,0)),"",VLOOKUP($C13,Фин_договоры!$C$9:$R$32367,7,0))</f>
        <v/>
      </c>
      <c r="F13" s="1673" t="str">
        <f>IF(ISERROR(VLOOKUP($C13,Фин_договоры!$C$9:$R$32367,8,0)),"",VLOOKUP($C13,Фин_договоры!$C$9:$R$32367,8,0))</f>
        <v/>
      </c>
      <c r="G13" s="1673" t="str">
        <f>IF(ISERROR(VLOOKUP(C13,Фин_договоры!$C$9:$U$32367,2,0)),"",VLOOKUP(C13,Фин_договоры!$C$9:$U$32367,2,0))</f>
        <v/>
      </c>
      <c r="H13" s="1673" t="str">
        <f>IF(ISERROR(VLOOKUP($C13,Фин_договоры!$C$9:$U$32367,19,0)),"",VLOOKUP($C13,Фин_договоры!$C$9:$U$32367,19,0))</f>
        <v/>
      </c>
      <c r="I13" s="1673" t="str">
        <f>IF(ISERROR(VLOOKUP($C13,Фин_договоры!$C$9:$U$32367,17,0)),"",VLOOKUP($C13,Фин_договоры!$C$9:$U$32367,17,0))</f>
        <v/>
      </c>
      <c r="J13" s="1461"/>
      <c r="K13" s="1462"/>
      <c r="L13" s="2442"/>
      <c r="M13" s="2442"/>
      <c r="N13" s="1463"/>
      <c r="O13" s="1464"/>
      <c r="P13" s="1465"/>
      <c r="Q13" s="1465"/>
      <c r="R13" s="2752"/>
      <c r="S13" s="1465"/>
      <c r="T13" s="1465"/>
      <c r="U13" s="1466"/>
      <c r="V13" s="1467"/>
      <c r="W13" s="2130" t="b">
        <f>IF(C13="",TRUE,IF(C13&lt;&gt;"",U13&gt;0,U13=0))</f>
        <v>1</v>
      </c>
      <c r="X13" s="2130" t="b">
        <f>IF(OR(G13=$Z$13,G13=$Z$14,COUNTBLANK(P13:T13)=5),TRUE,FALSE)</f>
        <v>1</v>
      </c>
      <c r="Y13" s="2130" t="str">
        <f>IF(OR(N13=$AA$13,N13=$AA$14),OR(AND(N13=$AA$13,Q13&lt;=0),AND(N13=$AA$14,Q13&gt;=0)),"ИСТИНА")</f>
        <v>ИСТИНА</v>
      </c>
      <c r="Z13" s="1996" t="s">
        <v>2999</v>
      </c>
      <c r="AA13" s="1996" t="s">
        <v>2786</v>
      </c>
      <c r="AD13" s="524" t="str">
        <f>IF(ISNA( IF(VLOOKUP(C13,'58_02'!$C$12:$X$34,22,FALSE)=0,"Выбыл","Учитывать")),"-",IF(VLOOKUP(C13,'58_02'!$C$12:$X$34,22,FALSE)=0,"Выбыл","Учитывать"))</f>
        <v>-</v>
      </c>
      <c r="AE13" s="2130" t="b">
        <f ca="1">IF(ISBLANK(J13),TRUE,IF(CELL("формат",J13)="D1",AND(LEN(TEXT(J13,"ДД.мм.ГГГГ"))=10,NOT(ISERR(SEARCH("??.??.????",TEXT(J13,"ДД.мм.ГГГГ"))))),AND(NOT(ISERROR(DATEVALUE(J13))),LEN(J13)=10,NOT(ISERR(SEARCH("??.??.????",TEXT(J13,"ДД.мм.ГГГГ")))))))</f>
        <v>1</v>
      </c>
    </row>
    <row r="14" spans="1:31" s="524" customFormat="1">
      <c r="A14" s="2427" t="str">
        <f>"R50="&amp;C14&amp;";R6="&amp;J14&amp;";R42="&amp;IF(M14&lt;&gt;"",M14,L14)&amp;";R57="&amp;MID(K14,1,60)&amp;";R9="&amp;IFERROR(MID(N14,FIND("{",N14)+1,FIND("}",N14)-FIND("{",N14)-1),"")&amp;";R10="&amp;IFERROR(MID(O14,FIND("{",O14)+1,FIND("}",O14)-FIND("{",O14)-1),"")&amp;";R11="&amp;IFERROR(MID(U14,FIND("{",U14)+1,FIND("}",U14)-FIND("{",U14)-1),"")&amp;";R4="&amp;IFERROR(MID(VLOOKUP(C14,'58_02'!C$1:L$65536,10,0),FIND("{",VLOOKUP(C14,'58_02'!C$1:L$65536,10,0))+1,FIND("}",VLOOKUP(C14,'58_02'!C$1:L$65536,10,0))-FIND("{",VLOOKUP(C14,'58_02'!C$1:L$65536,10,0))-1),"")&amp;";R36="&amp;F14&amp;";R43="&amp;MID(E14,1,30)&amp;";R48="&amp;MID(M14,1,30)&amp;";R51="&amp;MID(L14,1,30)&amp;";COM="&amp;V14</f>
        <v>R50=;R6=;R42=;R57=;R9=;R10=;R11=;R4=;R36=;R43=;R48=;R51=;COM=</v>
      </c>
      <c r="B14" s="568"/>
      <c r="C14" s="1460"/>
      <c r="D14" s="1673" t="str">
        <f>IF(ISERROR(VLOOKUP($C14,Фин_договоры!$C$9:$R$32367,6,0)),"",VLOOKUP($C14,Фин_договоры!$C$9:$R$32367,6,0))</f>
        <v/>
      </c>
      <c r="E14" s="1673" t="str">
        <f>IF(ISERROR(VLOOKUP($C14,Фин_договоры!$C$9:$R$32367,7,0)),"",VLOOKUP($C14,Фин_договоры!$C$9:$R$32367,7,0))</f>
        <v/>
      </c>
      <c r="F14" s="1673" t="str">
        <f>IF(ISERROR(VLOOKUP($C14,Фин_договоры!$C$9:$R$32367,8,0)),"",VLOOKUP($C14,Фин_договоры!$C$9:$R$32367,8,0))</f>
        <v/>
      </c>
      <c r="G14" s="1673" t="str">
        <f>IF(ISERROR(VLOOKUP(C14,Фин_договоры!$C$9:$U$32367,2,0)),"",VLOOKUP(C14,Фин_договоры!$C$9:$U$32367,2,0))</f>
        <v/>
      </c>
      <c r="H14" s="1673" t="str">
        <f>IF(ISERROR(VLOOKUP($C14,Фин_договоры!$C$9:$U$32367,19,0)),"",VLOOKUP($C14,Фин_договоры!$C$9:$U$32367,19,0))</f>
        <v/>
      </c>
      <c r="I14" s="1673" t="str">
        <f>IF(ISERROR(VLOOKUP($C14,Фин_договоры!$C$9:$U$32367,17,0)),"",VLOOKUP($C14,Фин_договоры!$C$9:$U$32367,17,0))</f>
        <v/>
      </c>
      <c r="J14" s="1461"/>
      <c r="K14" s="1462"/>
      <c r="L14" s="2442"/>
      <c r="M14" s="2442"/>
      <c r="N14" s="1463"/>
      <c r="O14" s="1464"/>
      <c r="P14" s="1465"/>
      <c r="Q14" s="1465"/>
      <c r="R14" s="2752"/>
      <c r="S14" s="1465"/>
      <c r="T14" s="1465"/>
      <c r="U14" s="1466"/>
      <c r="V14" s="1467"/>
      <c r="W14" s="2130" t="b">
        <f t="shared" ref="W14:W20" si="0">IF(C14="",TRUE,IF(C14&lt;&gt;"",U14&gt;0,U14=0))</f>
        <v>1</v>
      </c>
      <c r="X14" s="2130" t="b">
        <f t="shared" ref="X14:X20" si="1">IF(OR(G14=$Z$13,G14=$Z$14,COUNTBLANK(P14:T14)=5),TRUE,FALSE)</f>
        <v>1</v>
      </c>
      <c r="Y14" s="2130" t="str">
        <f t="shared" ref="Y14:Y20" si="2">IF(OR(N14=$AA$13,N14=$AA$14),OR(AND(N14=$AA$13,Q14&lt;=0),AND(N14=$AA$14,Q14&gt;=0)),"ИСТИНА")</f>
        <v>ИСТИНА</v>
      </c>
      <c r="Z14" s="1996" t="s">
        <v>3000</v>
      </c>
      <c r="AA14" s="1996" t="s">
        <v>2789</v>
      </c>
      <c r="AD14" s="524" t="str">
        <f>IF(ISNA( IF(VLOOKUP(C14,'58_02'!$C$12:$X$34,22,FALSE)=0,"Выбыл","Учитывать")),"-",IF(VLOOKUP(C14,'58_02'!$C$12:$X$34,22,FALSE)=0,"Выбыл","Учитывать"))</f>
        <v>-</v>
      </c>
      <c r="AE14" s="2130" t="b">
        <f t="shared" ref="AE14:AE21" ca="1" si="3">IF(ISBLANK(J14),TRUE,IF(CELL("формат",J14)="D1",AND(LEN(TEXT(J14,"ДД.мм.ГГГГ"))=10,NOT(ISERR(SEARCH("??.??.????",TEXT(J14,"ДД.мм.ГГГГ"))))),AND(NOT(ISERROR(DATEVALUE(J14))),LEN(J14)=10,NOT(ISERR(SEARCH("??.??.????",TEXT(J14,"ДД.мм.ГГГГ")))))))</f>
        <v>1</v>
      </c>
    </row>
    <row r="15" spans="1:31" s="524" customFormat="1">
      <c r="A15" s="2427" t="str">
        <f>"R50="&amp;C15&amp;";R6="&amp;J15&amp;";R42="&amp;IF(M15&lt;&gt;"",M15,L15)&amp;";R57="&amp;MID(K15,1,60)&amp;";R9="&amp;IFERROR(MID(N15,FIND("{",N15)+1,FIND("}",N15)-FIND("{",N15)-1),"")&amp;";R10="&amp;IFERROR(MID(O15,FIND("{",O15)+1,FIND("}",O15)-FIND("{",O15)-1),"")&amp;";R11="&amp;IFERROR(MID(U15,FIND("{",U15)+1,FIND("}",U15)-FIND("{",U15)-1),"")&amp;";R4="&amp;IFERROR(MID(VLOOKUP(C15,'58_02'!C$1:L$65536,10,0),FIND("{",VLOOKUP(C15,'58_02'!C$1:L$65536,10,0))+1,FIND("}",VLOOKUP(C15,'58_02'!C$1:L$65536,10,0))-FIND("{",VLOOKUP(C15,'58_02'!C$1:L$65536,10,0))-1),"")&amp;";R36="&amp;F15&amp;";R43="&amp;MID(E15,1,30)&amp;";R48="&amp;MID(M15,1,30)&amp;";R51="&amp;MID(L15,1,30)&amp;";COM="&amp;V15</f>
        <v>R50=;R6=;R42=;R57=;R9=;R10=;R11=;R4=;R36=;R43=;R48=;R51=;COM=</v>
      </c>
      <c r="B15" s="568"/>
      <c r="C15" s="1460"/>
      <c r="D15" s="1673" t="str">
        <f>IF(ISERROR(VLOOKUP($C15,Фин_договоры!$C$9:$R$32367,6,0)),"",VLOOKUP($C15,Фин_договоры!$C$9:$R$32367,6,0))</f>
        <v/>
      </c>
      <c r="E15" s="1673" t="str">
        <f>IF(ISERROR(VLOOKUP($C15,Фин_договоры!$C$9:$R$32367,7,0)),"",VLOOKUP($C15,Фин_договоры!$C$9:$R$32367,7,0))</f>
        <v/>
      </c>
      <c r="F15" s="1673" t="str">
        <f>IF(ISERROR(VLOOKUP($C15,Фин_договоры!$C$9:$R$32367,8,0)),"",VLOOKUP($C15,Фин_договоры!$C$9:$R$32367,8,0))</f>
        <v/>
      </c>
      <c r="G15" s="1673" t="str">
        <f>IF(ISERROR(VLOOKUP(C15,Фин_договоры!$C$9:$U$32367,2,0)),"",VLOOKUP(C15,Фин_договоры!$C$9:$U$32367,2,0))</f>
        <v/>
      </c>
      <c r="H15" s="1673" t="str">
        <f>IF(ISERROR(VLOOKUP($C15,Фин_договоры!$C$9:$U$32367,19,0)),"",VLOOKUP($C15,Фин_договоры!$C$9:$U$32367,19,0))</f>
        <v/>
      </c>
      <c r="I15" s="1673" t="str">
        <f>IF(ISERROR(VLOOKUP($C15,Фин_договоры!$C$9:$U$32367,17,0)),"",VLOOKUP($C15,Фин_договоры!$C$9:$U$32367,17,0))</f>
        <v/>
      </c>
      <c r="J15" s="1461"/>
      <c r="K15" s="1462"/>
      <c r="L15" s="2442"/>
      <c r="M15" s="2442"/>
      <c r="N15" s="1463"/>
      <c r="O15" s="1464"/>
      <c r="P15" s="1465"/>
      <c r="Q15" s="1465"/>
      <c r="R15" s="2752"/>
      <c r="S15" s="1465"/>
      <c r="T15" s="1465"/>
      <c r="U15" s="1466"/>
      <c r="V15" s="1467"/>
      <c r="W15" s="2130" t="b">
        <f t="shared" si="0"/>
        <v>1</v>
      </c>
      <c r="X15" s="2130" t="b">
        <f t="shared" si="1"/>
        <v>1</v>
      </c>
      <c r="Y15" s="2130" t="str">
        <f t="shared" si="2"/>
        <v>ИСТИНА</v>
      </c>
      <c r="AD15" s="524" t="str">
        <f>IF(ISNA( IF(VLOOKUP(C15,'58_02'!$C$12:$X$34,22,FALSE)=0,"Выбыл","Учитывать")),"-",IF(VLOOKUP(C15,'58_02'!$C$12:$X$34,22,FALSE)=0,"Выбыл","Учитывать"))</f>
        <v>-</v>
      </c>
      <c r="AE15" s="2130" t="b">
        <f t="shared" ca="1" si="3"/>
        <v>1</v>
      </c>
    </row>
    <row r="16" spans="1:31" s="524" customFormat="1">
      <c r="A16" s="2427" t="str">
        <f>"R50="&amp;C16&amp;";R6="&amp;J16&amp;";R42="&amp;IF(M16&lt;&gt;"",M16,L16)&amp;";R57="&amp;MID(K16,1,60)&amp;";R9="&amp;IFERROR(MID(N16,FIND("{",N16)+1,FIND("}",N16)-FIND("{",N16)-1),"")&amp;";R10="&amp;IFERROR(MID(O16,FIND("{",O16)+1,FIND("}",O16)-FIND("{",O16)-1),"")&amp;";R11="&amp;IFERROR(MID(U16,FIND("{",U16)+1,FIND("}",U16)-FIND("{",U16)-1),"")&amp;";R4="&amp;IFERROR(MID(VLOOKUP(C16,'58_02'!C$1:L$65536,10,0),FIND("{",VLOOKUP(C16,'58_02'!C$1:L$65536,10,0))+1,FIND("}",VLOOKUP(C16,'58_02'!C$1:L$65536,10,0))-FIND("{",VLOOKUP(C16,'58_02'!C$1:L$65536,10,0))-1),"")&amp;";R36="&amp;F16&amp;";R43="&amp;MID(E16,1,30)&amp;";R48="&amp;MID(M16,1,30)&amp;";R51="&amp;MID(L16,1,30)&amp;";COM="&amp;V16</f>
        <v>R50=;R6=;R42=;R57=;R9=;R10=;R11=;R4=;R36=;R43=;R48=;R51=;COM=</v>
      </c>
      <c r="B16" s="568"/>
      <c r="C16" s="1460"/>
      <c r="D16" s="1673" t="str">
        <f>IF(ISERROR(VLOOKUP($C16,Фин_договоры!$C$9:$R$32367,6,0)),"",VLOOKUP($C16,Фин_договоры!$C$9:$R$32367,6,0))</f>
        <v/>
      </c>
      <c r="E16" s="1673" t="str">
        <f>IF(ISERROR(VLOOKUP($C16,Фин_договоры!$C$9:$R$32367,7,0)),"",VLOOKUP($C16,Фин_договоры!$C$9:$R$32367,7,0))</f>
        <v/>
      </c>
      <c r="F16" s="1673" t="str">
        <f>IF(ISERROR(VLOOKUP($C16,Фин_договоры!$C$9:$R$32367,8,0)),"",VLOOKUP($C16,Фин_договоры!$C$9:$R$32367,8,0))</f>
        <v/>
      </c>
      <c r="G16" s="1673" t="str">
        <f>IF(ISERROR(VLOOKUP(C16,Фин_договоры!$C$9:$U$32367,2,0)),"",VLOOKUP(C16,Фин_договоры!$C$9:$U$32367,2,0))</f>
        <v/>
      </c>
      <c r="H16" s="1673" t="str">
        <f>IF(ISERROR(VLOOKUP($C16,Фин_договоры!$C$9:$U$32367,19,0)),"",VLOOKUP($C16,Фин_договоры!$C$9:$U$32367,19,0))</f>
        <v/>
      </c>
      <c r="I16" s="1673" t="str">
        <f>IF(ISERROR(VLOOKUP($C16,Фин_договоры!$C$9:$U$32367,17,0)),"",VLOOKUP($C16,Фин_договоры!$C$9:$U$32367,17,0))</f>
        <v/>
      </c>
      <c r="J16" s="1461"/>
      <c r="K16" s="1462"/>
      <c r="L16" s="2442"/>
      <c r="M16" s="2442"/>
      <c r="N16" s="1463"/>
      <c r="O16" s="1464"/>
      <c r="P16" s="1465"/>
      <c r="Q16" s="1465"/>
      <c r="R16" s="2752"/>
      <c r="S16" s="1465"/>
      <c r="T16" s="1465"/>
      <c r="U16" s="1466"/>
      <c r="V16" s="1467"/>
      <c r="W16" s="2130" t="b">
        <f t="shared" si="0"/>
        <v>1</v>
      </c>
      <c r="X16" s="2130" t="b">
        <f t="shared" si="1"/>
        <v>1</v>
      </c>
      <c r="Y16" s="2130" t="str">
        <f t="shared" si="2"/>
        <v>ИСТИНА</v>
      </c>
      <c r="AD16" s="524" t="str">
        <f>IF(ISNA( IF(VLOOKUP(C16,'58_02'!$C$12:$X$34,22,FALSE)=0,"Выбыл","Учитывать")),"-",IF(VLOOKUP(C16,'58_02'!$C$12:$X$34,22,FALSE)=0,"Выбыл","Учитывать"))</f>
        <v>-</v>
      </c>
      <c r="AE16" s="2130" t="b">
        <f t="shared" ca="1" si="3"/>
        <v>1</v>
      </c>
    </row>
    <row r="17" spans="1:31" s="524" customFormat="1">
      <c r="A17" s="2427" t="str">
        <f>"R50="&amp;C17&amp;";R6="&amp;J17&amp;";R42="&amp;IF(M17&lt;&gt;"",M17,L17)&amp;";R57="&amp;MID(K17,1,60)&amp;";R9="&amp;IFERROR(MID(N17,FIND("{",N17)+1,FIND("}",N17)-FIND("{",N17)-1),"")&amp;";R10="&amp;IFERROR(MID(O17,FIND("{",O17)+1,FIND("}",O17)-FIND("{",O17)-1),"")&amp;";R11="&amp;IFERROR(MID(U17,FIND("{",U17)+1,FIND("}",U17)-FIND("{",U17)-1),"")&amp;";R4="&amp;IFERROR(MID(VLOOKUP(C17,'58_02'!C$1:L$65536,10,0),FIND("{",VLOOKUP(C17,'58_02'!C$1:L$65536,10,0))+1,FIND("}",VLOOKUP(C17,'58_02'!C$1:L$65536,10,0))-FIND("{",VLOOKUP(C17,'58_02'!C$1:L$65536,10,0))-1),"")&amp;";R36="&amp;F17&amp;";R43="&amp;MID(E17,1,30)&amp;";R48="&amp;MID(M17,1,30)&amp;";R51="&amp;MID(L17,1,30)&amp;";COM="&amp;V17</f>
        <v>R50=;R6=;R42=;R57=;R9=;R10=;R11=;R4=;R36=;R43=;R48=;R51=;COM=</v>
      </c>
      <c r="B17" s="568"/>
      <c r="C17" s="1460"/>
      <c r="D17" s="1673" t="str">
        <f>IF(ISERROR(VLOOKUP($C17,Фин_договоры!$C$9:$R$32367,6,0)),"",VLOOKUP($C17,Фин_договоры!$C$9:$R$32367,6,0))</f>
        <v/>
      </c>
      <c r="E17" s="1673" t="str">
        <f>IF(ISERROR(VLOOKUP($C17,Фин_договоры!$C$9:$R$32367,7,0)),"",VLOOKUP($C17,Фин_договоры!$C$9:$R$32367,7,0))</f>
        <v/>
      </c>
      <c r="F17" s="1673" t="str">
        <f>IF(ISERROR(VLOOKUP($C17,Фин_договоры!$C$9:$R$32367,8,0)),"",VLOOKUP($C17,Фин_договоры!$C$9:$R$32367,8,0))</f>
        <v/>
      </c>
      <c r="G17" s="1673" t="str">
        <f>IF(ISERROR(VLOOKUP(C17,Фин_договоры!$C$9:$U$32367,2,0)),"",VLOOKUP(C17,Фин_договоры!$C$9:$U$32367,2,0))</f>
        <v/>
      </c>
      <c r="H17" s="1673" t="str">
        <f>IF(ISERROR(VLOOKUP($C17,Фин_договоры!$C$9:$U$32367,19,0)),"",VLOOKUP($C17,Фин_договоры!$C$9:$U$32367,19,0))</f>
        <v/>
      </c>
      <c r="I17" s="1673" t="str">
        <f>IF(ISERROR(VLOOKUP($C17,Фин_договоры!$C$9:$U$32367,17,0)),"",VLOOKUP($C17,Фин_договоры!$C$9:$U$32367,17,0))</f>
        <v/>
      </c>
      <c r="J17" s="1461"/>
      <c r="K17" s="1462"/>
      <c r="L17" s="2442"/>
      <c r="M17" s="2442"/>
      <c r="N17" s="1463"/>
      <c r="O17" s="1464"/>
      <c r="P17" s="1465"/>
      <c r="Q17" s="1465"/>
      <c r="R17" s="2752"/>
      <c r="S17" s="1465"/>
      <c r="T17" s="1465"/>
      <c r="U17" s="1466"/>
      <c r="V17" s="1467"/>
      <c r="W17" s="2130" t="b">
        <f t="shared" si="0"/>
        <v>1</v>
      </c>
      <c r="X17" s="2130" t="b">
        <f t="shared" si="1"/>
        <v>1</v>
      </c>
      <c r="Y17" s="2130" t="str">
        <f t="shared" si="2"/>
        <v>ИСТИНА</v>
      </c>
      <c r="AD17" s="524" t="str">
        <f>IF(ISNA( IF(VLOOKUP(C17,'58_02'!$C$12:$X$34,22,FALSE)=0,"Выбыл","Учитывать")),"-",IF(VLOOKUP(C17,'58_02'!$C$12:$X$34,22,FALSE)=0,"Выбыл","Учитывать"))</f>
        <v>-</v>
      </c>
      <c r="AE17" s="2130" t="b">
        <f t="shared" ca="1" si="3"/>
        <v>1</v>
      </c>
    </row>
    <row r="18" spans="1:31" s="524" customFormat="1">
      <c r="A18" s="2427" t="str">
        <f>"R50="&amp;C18&amp;";R6="&amp;J18&amp;";R42="&amp;IF(M18&lt;&gt;"",M18,L18)&amp;";R57="&amp;MID(K18,1,60)&amp;";R9="&amp;IFERROR(MID(N18,FIND("{",N18)+1,FIND("}",N18)-FIND("{",N18)-1),"")&amp;";R10="&amp;IFERROR(MID(O18,FIND("{",O18)+1,FIND("}",O18)-FIND("{",O18)-1),"")&amp;";R11="&amp;IFERROR(MID(U18,FIND("{",U18)+1,FIND("}",U18)-FIND("{",U18)-1),"")&amp;";R4="&amp;IFERROR(MID(VLOOKUP(C18,'58_02'!C$1:L$65536,10,0),FIND("{",VLOOKUP(C18,'58_02'!C$1:L$65536,10,0))+1,FIND("}",VLOOKUP(C18,'58_02'!C$1:L$65536,10,0))-FIND("{",VLOOKUP(C18,'58_02'!C$1:L$65536,10,0))-1),"")&amp;";R36="&amp;F18&amp;";R43="&amp;MID(E18,1,30)&amp;";R48="&amp;MID(M18,1,30)&amp;";R51="&amp;MID(L18,1,30)&amp;";COM="&amp;V18</f>
        <v>R50=;R6=;R42=;R57=;R9=;R10=;R11=;R4=;R36=;R43=;R48=;R51=;COM=</v>
      </c>
      <c r="B18" s="568"/>
      <c r="C18" s="1460"/>
      <c r="D18" s="1673" t="str">
        <f>IF(ISERROR(VLOOKUP($C18,Фин_договоры!$C$9:$R$32367,6,0)),"",VLOOKUP($C18,Фин_договоры!$C$9:$R$32367,6,0))</f>
        <v/>
      </c>
      <c r="E18" s="1673" t="str">
        <f>IF(ISERROR(VLOOKUP($C18,Фин_договоры!$C$9:$R$32367,7,0)),"",VLOOKUP($C18,Фин_договоры!$C$9:$R$32367,7,0))</f>
        <v/>
      </c>
      <c r="F18" s="1673" t="str">
        <f>IF(ISERROR(VLOOKUP($C18,Фин_договоры!$C$9:$R$32367,8,0)),"",VLOOKUP($C18,Фин_договоры!$C$9:$R$32367,8,0))</f>
        <v/>
      </c>
      <c r="G18" s="1673" t="str">
        <f>IF(ISERROR(VLOOKUP(C18,Фин_договоры!$C$9:$U$32367,2,0)),"",VLOOKUP(C18,Фин_договоры!$C$9:$U$32367,2,0))</f>
        <v/>
      </c>
      <c r="H18" s="1673" t="str">
        <f>IF(ISERROR(VLOOKUP($C18,Фин_договоры!$C$9:$U$32367,19,0)),"",VLOOKUP($C18,Фин_договоры!$C$9:$U$32367,19,0))</f>
        <v/>
      </c>
      <c r="I18" s="1673" t="str">
        <f>IF(ISERROR(VLOOKUP($C18,Фин_договоры!$C$9:$U$32367,17,0)),"",VLOOKUP($C18,Фин_договоры!$C$9:$U$32367,17,0))</f>
        <v/>
      </c>
      <c r="J18" s="1461"/>
      <c r="K18" s="1462"/>
      <c r="L18" s="2442"/>
      <c r="M18" s="2442"/>
      <c r="N18" s="1463"/>
      <c r="O18" s="1464"/>
      <c r="P18" s="1465"/>
      <c r="Q18" s="1465"/>
      <c r="R18" s="2752"/>
      <c r="S18" s="1465"/>
      <c r="T18" s="1465"/>
      <c r="U18" s="1466"/>
      <c r="V18" s="1467"/>
      <c r="W18" s="2130" t="b">
        <f t="shared" si="0"/>
        <v>1</v>
      </c>
      <c r="X18" s="2130" t="b">
        <f t="shared" si="1"/>
        <v>1</v>
      </c>
      <c r="Y18" s="2130" t="str">
        <f t="shared" si="2"/>
        <v>ИСТИНА</v>
      </c>
      <c r="AD18" s="524" t="str">
        <f>IF(ISNA( IF(VLOOKUP(C18,'58_02'!$C$12:$X$34,22,FALSE)=0,"Выбыл","Учитывать")),"-",IF(VLOOKUP(C18,'58_02'!$C$12:$X$34,22,FALSE)=0,"Выбыл","Учитывать"))</f>
        <v>-</v>
      </c>
      <c r="AE18" s="2130" t="b">
        <f t="shared" ca="1" si="3"/>
        <v>1</v>
      </c>
    </row>
    <row r="19" spans="1:31" s="524" customFormat="1">
      <c r="A19" s="2427" t="str">
        <f>"R50="&amp;C19&amp;";R6="&amp;J19&amp;";R42="&amp;IF(M19&lt;&gt;"",M19,L19)&amp;";R57="&amp;MID(K19,1,60)&amp;";R9="&amp;IFERROR(MID(N19,FIND("{",N19)+1,FIND("}",N19)-FIND("{",N19)-1),"")&amp;";R10="&amp;IFERROR(MID(O19,FIND("{",O19)+1,FIND("}",O19)-FIND("{",O19)-1),"")&amp;";R11="&amp;IFERROR(MID(U19,FIND("{",U19)+1,FIND("}",U19)-FIND("{",U19)-1),"")&amp;";R4="&amp;IFERROR(MID(VLOOKUP(C19,'58_02'!C$1:L$65536,10,0),FIND("{",VLOOKUP(C19,'58_02'!C$1:L$65536,10,0))+1,FIND("}",VLOOKUP(C19,'58_02'!C$1:L$65536,10,0))-FIND("{",VLOOKUP(C19,'58_02'!C$1:L$65536,10,0))-1),"")&amp;";R36="&amp;F19&amp;";R43="&amp;MID(E19,1,30)&amp;";R48="&amp;MID(M19,1,30)&amp;";R51="&amp;MID(L19,1,30)&amp;";COM="&amp;V19</f>
        <v>R50=;R6=;R42=;R57=;R9=;R10=;R11=;R4=;R36=;R43=;R48=;R51=;COM=</v>
      </c>
      <c r="B19" s="568"/>
      <c r="C19" s="1460"/>
      <c r="D19" s="1673" t="str">
        <f>IF(ISERROR(VLOOKUP($C19,Фин_договоры!$C$9:$R$32367,6,0)),"",VLOOKUP($C19,Фин_договоры!$C$9:$R$32367,6,0))</f>
        <v/>
      </c>
      <c r="E19" s="1673" t="str">
        <f>IF(ISERROR(VLOOKUP($C19,Фин_договоры!$C$9:$R$32367,7,0)),"",VLOOKUP($C19,Фин_договоры!$C$9:$R$32367,7,0))</f>
        <v/>
      </c>
      <c r="F19" s="1673" t="str">
        <f>IF(ISERROR(VLOOKUP($C19,Фин_договоры!$C$9:$R$32367,8,0)),"",VLOOKUP($C19,Фин_договоры!$C$9:$R$32367,8,0))</f>
        <v/>
      </c>
      <c r="G19" s="1673" t="str">
        <f>IF(ISERROR(VLOOKUP(C19,Фин_договоры!$C$9:$U$32367,2,0)),"",VLOOKUP(C19,Фин_договоры!$C$9:$U$32367,2,0))</f>
        <v/>
      </c>
      <c r="H19" s="1673" t="str">
        <f>IF(ISERROR(VLOOKUP($C19,Фин_договоры!$C$9:$U$32367,19,0)),"",VLOOKUP($C19,Фин_договоры!$C$9:$U$32367,19,0))</f>
        <v/>
      </c>
      <c r="I19" s="1673" t="str">
        <f>IF(ISERROR(VLOOKUP($C19,Фин_договоры!$C$9:$U$32367,17,0)),"",VLOOKUP($C19,Фин_договоры!$C$9:$U$32367,17,0))</f>
        <v/>
      </c>
      <c r="J19" s="1461"/>
      <c r="K19" s="1462"/>
      <c r="L19" s="2442"/>
      <c r="M19" s="2442"/>
      <c r="N19" s="1463"/>
      <c r="O19" s="1464"/>
      <c r="P19" s="1465"/>
      <c r="Q19" s="1465"/>
      <c r="R19" s="2752"/>
      <c r="S19" s="1465"/>
      <c r="T19" s="1465"/>
      <c r="U19" s="1466"/>
      <c r="V19" s="1467"/>
      <c r="W19" s="2130" t="b">
        <f t="shared" si="0"/>
        <v>1</v>
      </c>
      <c r="X19" s="2130" t="b">
        <f t="shared" si="1"/>
        <v>1</v>
      </c>
      <c r="Y19" s="2130" t="str">
        <f t="shared" si="2"/>
        <v>ИСТИНА</v>
      </c>
      <c r="AD19" s="524" t="str">
        <f>IF(ISNA( IF(VLOOKUP(C19,'58_02'!$C$12:$X$34,22,FALSE)=0,"Выбыл","Учитывать")),"-",IF(VLOOKUP(C19,'58_02'!$C$12:$X$34,22,FALSE)=0,"Выбыл","Учитывать"))</f>
        <v>-</v>
      </c>
      <c r="AE19" s="2130" t="b">
        <f t="shared" ca="1" si="3"/>
        <v>1</v>
      </c>
    </row>
    <row r="20" spans="1:31" s="524" customFormat="1">
      <c r="A20" s="2427" t="str">
        <f>"R50="&amp;C20&amp;";R6="&amp;J20&amp;";R42="&amp;IF(M20&lt;&gt;"",M20,L20)&amp;";R57="&amp;MID(K20,1,60)&amp;";R9="&amp;IFERROR(MID(N20,FIND("{",N20)+1,FIND("}",N20)-FIND("{",N20)-1),"")&amp;";R10="&amp;IFERROR(MID(O20,FIND("{",O20)+1,FIND("}",O20)-FIND("{",O20)-1),"")&amp;";R11="&amp;IFERROR(MID(U20,FIND("{",U20)+1,FIND("}",U20)-FIND("{",U20)-1),"")&amp;";R4="&amp;IFERROR(MID(VLOOKUP(C20,'58_02'!C$1:L$65536,10,0),FIND("{",VLOOKUP(C20,'58_02'!C$1:L$65536,10,0))+1,FIND("}",VLOOKUP(C20,'58_02'!C$1:L$65536,10,0))-FIND("{",VLOOKUP(C20,'58_02'!C$1:L$65536,10,0))-1),"")&amp;";R36="&amp;F20&amp;";R43="&amp;MID(E20,1,30)&amp;";R48="&amp;MID(M20,1,30)&amp;";R51="&amp;MID(L20,1,30)&amp;";COM="&amp;V20</f>
        <v>R50=;R6=;R42=;R57=;R9=;R10=;R11=;R4=;R36=;R43=;R48=;R51=;COM=</v>
      </c>
      <c r="B20" s="568"/>
      <c r="C20" s="1460"/>
      <c r="D20" s="1673" t="str">
        <f>IF(ISERROR(VLOOKUP($C20,Фин_договоры!$C$9:$R$32367,6,0)),"",VLOOKUP($C20,Фин_договоры!$C$9:$R$32367,6,0))</f>
        <v/>
      </c>
      <c r="E20" s="1673" t="str">
        <f>IF(ISERROR(VLOOKUP($C20,Фин_договоры!$C$9:$R$32367,7,0)),"",VLOOKUP($C20,Фин_договоры!$C$9:$R$32367,7,0))</f>
        <v/>
      </c>
      <c r="F20" s="1673" t="str">
        <f>IF(ISERROR(VLOOKUP($C20,Фин_договоры!$C$9:$R$32367,8,0)),"",VLOOKUP($C20,Фин_договоры!$C$9:$R$32367,8,0))</f>
        <v/>
      </c>
      <c r="G20" s="1673" t="str">
        <f>IF(ISERROR(VLOOKUP(C20,Фин_договоры!$C$9:$U$32367,2,0)),"",VLOOKUP(C20,Фин_договоры!$C$9:$U$32367,2,0))</f>
        <v/>
      </c>
      <c r="H20" s="1673" t="str">
        <f>IF(ISERROR(VLOOKUP($C20,Фин_договоры!$C$9:$U$32367,19,0)),"",VLOOKUP($C20,Фин_договоры!$C$9:$U$32367,19,0))</f>
        <v/>
      </c>
      <c r="I20" s="1673" t="str">
        <f>IF(ISERROR(VLOOKUP($C20,Фин_договоры!$C$9:$U$32367,17,0)),"",VLOOKUP($C20,Фин_договоры!$C$9:$U$32367,17,0))</f>
        <v/>
      </c>
      <c r="J20" s="1461"/>
      <c r="K20" s="1462"/>
      <c r="L20" s="2442"/>
      <c r="M20" s="2442"/>
      <c r="N20" s="1463"/>
      <c r="O20" s="1464"/>
      <c r="P20" s="1465"/>
      <c r="Q20" s="1465"/>
      <c r="R20" s="2752"/>
      <c r="S20" s="1465"/>
      <c r="T20" s="1465"/>
      <c r="U20" s="1466"/>
      <c r="V20" s="1467"/>
      <c r="W20" s="2130" t="b">
        <f t="shared" si="0"/>
        <v>1</v>
      </c>
      <c r="X20" s="2130" t="b">
        <f t="shared" si="1"/>
        <v>1</v>
      </c>
      <c r="Y20" s="2130" t="str">
        <f t="shared" si="2"/>
        <v>ИСТИНА</v>
      </c>
      <c r="AD20" s="524" t="str">
        <f>IF(ISNA( IF(VLOOKUP(C20,'58_02'!$C$12:$X$34,22,FALSE)=0,"Выбыл","Учитывать")),"-",IF(VLOOKUP(C20,'58_02'!$C$12:$X$34,22,FALSE)=0,"Выбыл","Учитывать"))</f>
        <v>-</v>
      </c>
      <c r="AE20" s="2130" t="b">
        <f t="shared" ca="1" si="3"/>
        <v>1</v>
      </c>
    </row>
    <row r="21" spans="1:31" s="524" customFormat="1" ht="15" thickBot="1">
      <c r="A21" s="2427" t="str">
        <f>"R50="&amp;C21&amp;";R6="&amp;J21&amp;";R42="&amp;IF(M21&lt;&gt;"",M21,L21)&amp;";R57="&amp;MID(K21,1,60)&amp;";R9="&amp;IFERROR(MID(N21,FIND("{",N21)+1,FIND("}",N21)-FIND("{",N21)-1),"")&amp;";R10="&amp;IFERROR(MID(O21,FIND("{",O21)+1,FIND("}",O21)-FIND("{",O21)-1),"")&amp;";R11="&amp;IFERROR(MID(U21,FIND("{",U21)+1,FIND("}",U21)-FIND("{",U21)-1),"")&amp;";R4="&amp;IFERROR(MID(VLOOKUP(C21,'58_02'!C$1:L$65536,10,0),FIND("{",VLOOKUP(C21,'58_02'!C$1:L$65536,10,0))+1,FIND("}",VLOOKUP(C21,'58_02'!C$1:L$65536,10,0))-FIND("{",VLOOKUP(C21,'58_02'!C$1:L$65536,10,0))-1),"")&amp;";R36="&amp;F21&amp;";R43="&amp;MID(E21,1,30)&amp;";R48="&amp;MID(M21,1,30)&amp;";R51="&amp;MID(L21,1,30)&amp;";COM="&amp;V21</f>
        <v>R50=;R6=;R42=;R57=;R9=;R10=;R11=;R4=;R36=;R43=;R48=;R51=;COM=</v>
      </c>
      <c r="B21" s="568"/>
      <c r="C21" s="925"/>
      <c r="D21" s="2368" t="str">
        <f>IF(ISERROR(VLOOKUP($C21,Фин_договоры!$C$9:$R$32367,6,0)),"",VLOOKUP($C21,Фин_договоры!$C$9:$R$32367,6,0))</f>
        <v/>
      </c>
      <c r="E21" s="2368" t="str">
        <f>IF(ISERROR(VLOOKUP($C21,Фин_договоры!$C$9:$R$32367,7,0)),"",VLOOKUP($C21,Фин_договоры!$C$9:$R$32367,7,0))</f>
        <v/>
      </c>
      <c r="F21" s="2368" t="str">
        <f>IF(ISERROR(VLOOKUP($C21,Фин_договоры!$C$9:$R$32367,8,0)),"",VLOOKUP($C21,Фин_договоры!$C$9:$R$32367,8,0))</f>
        <v/>
      </c>
      <c r="G21" s="2368" t="str">
        <f>IF(ISERROR(VLOOKUP(C21,Фин_договоры!$C$9:$U$32367,2,0)),"",VLOOKUP(C21,Фин_договоры!$C$9:$U$32367,2,0))</f>
        <v/>
      </c>
      <c r="H21" s="2368" t="str">
        <f>IF(ISERROR(VLOOKUP($C21,Фин_договоры!$C$9:$U$32367,19,0)),"",VLOOKUP($C21,Фин_договоры!$C$9:$U$32367,19,0))</f>
        <v/>
      </c>
      <c r="I21" s="2368" t="str">
        <f>IF(ISERROR(VLOOKUP($C21,Фин_договоры!$C$9:$U$32367,17,0)),"",VLOOKUP($C21,Фин_договоры!$C$9:$U$32367,17,0))</f>
        <v/>
      </c>
      <c r="J21" s="920"/>
      <c r="K21" s="921"/>
      <c r="L21" s="2443"/>
      <c r="M21" s="2443"/>
      <c r="N21" s="910"/>
      <c r="O21" s="922"/>
      <c r="P21" s="923"/>
      <c r="Q21" s="923"/>
      <c r="R21" s="2753"/>
      <c r="S21" s="923"/>
      <c r="T21" s="923"/>
      <c r="U21" s="910"/>
      <c r="V21" s="924"/>
      <c r="W21" s="2130" t="b">
        <f t="shared" ref="W21" si="4">IF(C21="",TRUE,IF(C21&lt;&gt;"",U21&gt;0,U21=0))</f>
        <v>1</v>
      </c>
      <c r="X21" s="2130" t="b">
        <f t="shared" ref="X21" si="5">IF(OR(G21=$Z$13,G21=$Z$14,COUNTBLANK(P21:T21)=5),TRUE,FALSE)</f>
        <v>1</v>
      </c>
      <c r="Y21" s="2130" t="str">
        <f t="shared" ref="Y21" si="6">IF(OR(N21=$AA$13,N21=$AA$14),OR(AND(N21=$AA$13,Q21&lt;=0),AND(N21=$AA$14,Q21&gt;=0)),"ИСТИНА")</f>
        <v>ИСТИНА</v>
      </c>
      <c r="AD21" s="524" t="str">
        <f>IF(ISNA( IF(VLOOKUP(C21,'58_02'!$C$12:$X$34,22,FALSE)=0,"Выбыл","Учитывать")),"-",IF(VLOOKUP(C21,'58_02'!$C$12:$X$34,22,FALSE)=0,"Выбыл","Учитывать"))</f>
        <v>-</v>
      </c>
      <c r="AE21" s="2130" t="b">
        <f t="shared" ca="1" si="3"/>
        <v>1</v>
      </c>
    </row>
  </sheetData>
  <sheetProtection algorithmName="SHA-512" hashValue="g7iX8uQ7B01yOFxlIL/5qI2euXibmqTdYSpeBBjMX7PYLA7uwsapMfOF239kbWRgJ88/NvAbC+Ei0nAeB6U59g==" saltValue="neOOOvuM6/WxG7s0dvFiMQ==" spinCount="100000" sheet="1" objects="1" scenarios="1" formatColumns="0" formatRows="0" autoFilter="0"/>
  <autoFilter ref="C11:AE11"/>
  <customSheetViews>
    <customSheetView guid="{3769259D-9653-4B34-A2F6-4FB6F9F4E533}" scale="80" showGridLines="0" showAutoFilter="1" hiddenRows="1" hiddenColumns="1">
      <pane xSplit="3" ySplit="11" topLeftCell="F12" activePane="bottomRight" state="frozen"/>
      <selection pane="bottomRight" activeCell="L13" sqref="L13"/>
      <pageMargins left="0.7" right="0.7" top="0.75" bottom="0.75" header="0.3" footer="0.3"/>
      <pageSetup orientation="portrait" r:id="rId1"/>
      <autoFilter ref="B1:T1"/>
    </customSheetView>
    <customSheetView guid="{40D7A2BB-326C-4ED3-999C-17852F56D6F4}" scale="80" showGridLines="0" showAutoFilter="1" hiddenRows="1" hiddenColumns="1">
      <pane xSplit="3" ySplit="11" topLeftCell="M12" activePane="bottomRight" state="frozen"/>
      <selection pane="bottomRight" activeCell="C17" sqref="C17"/>
      <pageMargins left="0.7" right="0.7" top="0.75" bottom="0.75" header="0.3" footer="0.3"/>
      <pageSetup orientation="portrait" r:id="rId2"/>
      <autoFilter ref="B1:T1"/>
    </customSheetView>
    <customSheetView guid="{5D121940-0CE8-4A0E-A493-67FAAA6E0FF8}" scale="80" showGridLines="0" showAutoFilter="1" hiddenRows="1" hiddenColumns="1" topLeftCell="B2">
      <pane xSplit="2" ySplit="10" topLeftCell="N12" activePane="bottomRight" state="frozen"/>
      <selection pane="bottomRight" activeCell="T34" sqref="T34"/>
      <pageMargins left="0.7" right="0.7" top="0.75" bottom="0.75" header="0.3" footer="0.3"/>
      <pageSetup orientation="portrait" r:id="rId3"/>
      <autoFilter ref="B1:T1"/>
    </customSheetView>
    <customSheetView guid="{47AEACC4-6EA5-412C-AF39-A6C5357B313A}" scale="80" showGridLines="0" showAutoFilter="1" hiddenRows="1" hiddenColumns="1" topLeftCell="B2">
      <pane xSplit="2" ySplit="10" topLeftCell="L12" activePane="bottomRight" state="frozen"/>
      <selection pane="bottomRight" activeCell="O4" sqref="O4"/>
      <pageMargins left="0.7" right="0.7" top="0.75" bottom="0.75" header="0.3" footer="0.3"/>
      <pageSetup orientation="portrait" r:id="rId4"/>
      <autoFilter ref="B1:T1"/>
    </customSheetView>
    <customSheetView guid="{4D957B38-5430-481E-B791-E0A66F913B50}" scale="70" hiddenColumns="1">
      <selection activeCell="S20" sqref="S20"/>
      <pageMargins left="0.7" right="0.7" top="0.75" bottom="0.75" header="0.3" footer="0.3"/>
      <pageSetup orientation="portrait" r:id="rId5"/>
    </customSheetView>
    <customSheetView guid="{1C36793E-2B7E-411E-AA99-985D5D59B75A}" scale="70">
      <selection activeCell="H26" sqref="H26"/>
      <pageMargins left="0.7" right="0.7" top="0.75" bottom="0.75" header="0.3" footer="0.3"/>
      <pageSetup orientation="portrait" r:id="rId6"/>
    </customSheetView>
    <customSheetView guid="{C913A9E8-661B-40A4-A3C9-1BC5F2B2E9F0}" scale="80" showGridLines="0" showAutoFilter="1" hiddenRows="1" hiddenColumns="1" topLeftCell="B2">
      <pane xSplit="2" ySplit="10" topLeftCell="N12" activePane="bottomRight" state="frozen"/>
      <selection pane="bottomRight" activeCell="T34" sqref="T34"/>
      <pageMargins left="0.7" right="0.7" top="0.75" bottom="0.75" header="0.3" footer="0.3"/>
      <pageSetup orientation="portrait" r:id="rId7"/>
      <autoFilter ref="B1:T1"/>
    </customSheetView>
  </customSheetViews>
  <mergeCells count="20">
    <mergeCell ref="M8:M9"/>
    <mergeCell ref="K7:K9"/>
    <mergeCell ref="L7:L9"/>
    <mergeCell ref="J7:J9"/>
    <mergeCell ref="C7:C9"/>
    <mergeCell ref="E7:E9"/>
    <mergeCell ref="G7:G9"/>
    <mergeCell ref="H7:H9"/>
    <mergeCell ref="I7:I9"/>
    <mergeCell ref="D7:D9"/>
    <mergeCell ref="F8:F9"/>
    <mergeCell ref="N7:N9"/>
    <mergeCell ref="O7:O9"/>
    <mergeCell ref="V7:V9"/>
    <mergeCell ref="P8:Q8"/>
    <mergeCell ref="R8:R9"/>
    <mergeCell ref="P7:U7"/>
    <mergeCell ref="U8:U9"/>
    <mergeCell ref="S8:S9"/>
    <mergeCell ref="T8:T9"/>
  </mergeCells>
  <phoneticPr fontId="0" type="noConversion"/>
  <dataValidations count="14">
    <dataValidation type="list" operator="equal" allowBlank="1" showErrorMessage="1" errorTitle="Выбор элемента списка" error="Данного элемента нет в списке" sqref="U65447:U65450">
      <formula1>_2540_58_02_</formula1>
    </dataValidation>
    <dataValidation type="list" operator="equal" allowBlank="1" showErrorMessage="1" errorTitle="Выбор элемента списка" error="Данного элемента нет в списке" sqref="O65447:O65450">
      <formula1>_6003_</formula1>
    </dataValidation>
    <dataValidation type="list" operator="equal" allowBlank="1" showErrorMessage="1" errorTitle="Выбор элемента списка" error="Данного элемента нет в списке" sqref="N65447:N65450">
      <formula1>_5100_58_02_</formula1>
    </dataValidation>
    <dataValidation operator="equal" allowBlank="1" showInputMessage="1" prompt="Дата в формате ДД.ММ.ГГГГ (01.01.2010)" sqref="J65447:J65450 E65447:F65450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G65448:G65450">
      <formula1>_2420_2421_58_02_</formula1>
    </dataValidation>
    <dataValidation type="list" operator="equal" allowBlank="1" showErrorMessage="1" errorTitle="Выбор элемента списка" error="Данного элемента нет в списке" sqref="I65447:I65450">
      <formula1>_2640_</formula1>
    </dataValidation>
    <dataValidation type="list" operator="equal" allowBlank="1" showErrorMessage="1" errorTitle="Выбор элемента списка" error="Данного элемента нет в списке" sqref="H65447:H65450">
      <formula1>_2422_58_02_</formula1>
    </dataValidation>
    <dataValidation type="list" operator="equal" allowBlank="1" showErrorMessage="1" errorTitle="Выбор элемента списка" error="Данного элемента нет в списке" sqref="G65447">
      <formula1>_2420_58_02_</formula1>
    </dataValidation>
    <dataValidation operator="equal" allowBlank="1" showInputMessage="1" prompt="Дата в формате ДД.ММ.ГГГГ (01.01.2014)" sqref="J14:J21"/>
    <dataValidation allowBlank="1" showInputMessage="1" showErrorMessage="1" prompt="Дата в формате ДД.ММ.ГГГГ (01.01.2014)" sqref="J13"/>
    <dataValidation type="list" operator="equal" allowBlank="1" showErrorMessage="1" errorTitle="Выбор элемента списка" error="Данного элемента нет в списке" sqref="O13:O21">
      <formula1>_6003</formula1>
    </dataValidation>
    <dataValidation type="list" operator="equal" allowBlank="1" showErrorMessage="1" errorTitle="Выбор элемента списка" error="Данного элемента нет в списке" sqref="N13:N21 AA13:AA14">
      <formula1>_5100_fin</formula1>
    </dataValidation>
    <dataValidation type="list" operator="equal" allowBlank="1" showErrorMessage="1" errorTitle="Выбор элемента списка" error="Данного элемента нет в списке" sqref="U13:U21">
      <formula1>_2540</formula1>
    </dataValidation>
    <dataValidation type="list" allowBlank="1" showInputMessage="1" showErrorMessage="1" sqref="C13:C21">
      <formula1>dogovor_fin</formula1>
    </dataValidation>
  </dataValidations>
  <hyperlinks>
    <hyperlink ref="C6" display="Содержание"/>
    <hyperlink ref="I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8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11" name="Button 1">
              <controlPr defaultSize="0" print="0" autoFill="0" autoPict="0" macro="[0]!AddButtonsRowAdd">
                <anchor moveWithCells="1">
                  <from>
                    <xdr:col>6</xdr:col>
                    <xdr:colOff>381000</xdr:colOff>
                    <xdr:row>2</xdr:row>
                    <xdr:rowOff>146050</xdr:rowOff>
                  </from>
                  <to>
                    <xdr:col>7</xdr:col>
                    <xdr:colOff>793750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>
    <pageSetUpPr fitToPage="1"/>
  </sheetPr>
  <dimension ref="A1:AL21"/>
  <sheetViews>
    <sheetView topLeftCell="B2" zoomScale="71" zoomScaleNormal="71" workbookViewId="0">
      <selection activeCell="G17" sqref="G17"/>
    </sheetView>
  </sheetViews>
  <sheetFormatPr defaultColWidth="9.453125" defaultRowHeight="14.5"/>
  <cols>
    <col min="1" max="1" width="22.54296875" style="32" hidden="1" customWidth="1"/>
    <col min="2" max="2" width="1.453125" style="32" customWidth="1"/>
    <col min="3" max="3" width="25" style="32" customWidth="1"/>
    <col min="4" max="5" width="17.453125" style="32" customWidth="1"/>
    <col min="6" max="6" width="21.453125" style="32" customWidth="1"/>
    <col min="7" max="7" width="17.453125" style="32" customWidth="1"/>
    <col min="8" max="8" width="18.453125" style="32" customWidth="1"/>
    <col min="9" max="9" width="19.54296875" style="32" customWidth="1"/>
    <col min="10" max="10" width="15.453125" style="32" customWidth="1"/>
    <col min="11" max="11" width="16.453125" style="32" customWidth="1"/>
    <col min="12" max="12" width="12.453125" style="32" customWidth="1"/>
    <col min="13" max="13" width="16.453125" style="32" customWidth="1"/>
    <col min="14" max="14" width="28.453125" style="32" customWidth="1"/>
    <col min="15" max="15" width="19.54296875" style="32" customWidth="1"/>
    <col min="16" max="16" width="18.54296875" style="32" customWidth="1"/>
    <col min="17" max="18" width="16.453125" style="32" customWidth="1"/>
    <col min="19" max="19" width="30.54296875" style="32" customWidth="1"/>
    <col min="20" max="20" width="30.453125" style="32" customWidth="1"/>
    <col min="21" max="21" width="24" style="32" customWidth="1"/>
    <col min="22" max="29" width="16.453125" style="32" customWidth="1"/>
    <col min="30" max="30" width="19.54296875" style="32" customWidth="1"/>
    <col min="31" max="31" width="11.453125" style="32" bestFit="1" customWidth="1"/>
    <col min="32" max="32" width="19.453125" style="32" bestFit="1" customWidth="1"/>
    <col min="33" max="33" width="18.453125" style="32" bestFit="1" customWidth="1"/>
    <col min="34" max="34" width="26.453125" style="32" customWidth="1"/>
    <col min="35" max="35" width="17.54296875" style="32" customWidth="1"/>
    <col min="36" max="36" width="18.453125" style="32" customWidth="1"/>
    <col min="37" max="37" width="16.1796875" style="32" customWidth="1"/>
    <col min="38" max="16384" width="9.453125" style="32"/>
  </cols>
  <sheetData>
    <row r="1" spans="1:38" s="10" customFormat="1" ht="18" hidden="1" customHeight="1">
      <c r="A1" s="167" t="s">
        <v>2830</v>
      </c>
      <c r="B1" s="22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6"/>
      <c r="P1" s="6"/>
      <c r="Q1" s="6" t="s">
        <v>1015</v>
      </c>
      <c r="R1" s="6" t="s">
        <v>1036</v>
      </c>
      <c r="S1" s="6" t="s">
        <v>1037</v>
      </c>
      <c r="T1" s="6" t="s">
        <v>1038</v>
      </c>
      <c r="U1" s="6" t="s">
        <v>1039</v>
      </c>
      <c r="V1" s="6" t="s">
        <v>1018</v>
      </c>
      <c r="W1" s="6" t="s">
        <v>1040</v>
      </c>
      <c r="X1" s="6" t="s">
        <v>1041</v>
      </c>
      <c r="Y1" s="6" t="s">
        <v>1042</v>
      </c>
      <c r="Z1" s="6" t="s">
        <v>1043</v>
      </c>
      <c r="AA1" s="6" t="s">
        <v>1021</v>
      </c>
      <c r="AB1" s="6" t="s">
        <v>1044</v>
      </c>
      <c r="AC1" s="6" t="s">
        <v>1023</v>
      </c>
      <c r="AD1" s="6" t="s">
        <v>512</v>
      </c>
      <c r="AE1" s="6"/>
      <c r="AF1" s="6" t="s">
        <v>5279</v>
      </c>
      <c r="AG1" s="6" t="s">
        <v>5280</v>
      </c>
      <c r="AJ1" s="2026"/>
    </row>
    <row r="2" spans="1:38" s="774" customFormat="1" ht="15.75" customHeight="1">
      <c r="A2" s="748"/>
      <c r="N2" s="1934"/>
      <c r="Q2" s="774" t="s">
        <v>1648</v>
      </c>
      <c r="R2" s="774" t="s">
        <v>1648</v>
      </c>
      <c r="S2" s="774" t="s">
        <v>1648</v>
      </c>
      <c r="T2" s="774" t="s">
        <v>1648</v>
      </c>
      <c r="U2" s="774" t="s">
        <v>1648</v>
      </c>
      <c r="V2" s="774" t="s">
        <v>1648</v>
      </c>
      <c r="W2" s="774" t="s">
        <v>1648</v>
      </c>
      <c r="X2" s="774" t="s">
        <v>1648</v>
      </c>
      <c r="Y2" s="774" t="s">
        <v>1648</v>
      </c>
      <c r="Z2" s="774" t="s">
        <v>1648</v>
      </c>
      <c r="AA2" s="774" t="s">
        <v>1648</v>
      </c>
      <c r="AB2" s="774" t="s">
        <v>1648</v>
      </c>
      <c r="AC2" s="774" t="s">
        <v>1648</v>
      </c>
      <c r="AD2" s="774" t="s">
        <v>1648</v>
      </c>
    </row>
    <row r="3" spans="1:38" s="774" customFormat="1" ht="15.75" customHeight="1">
      <c r="A3" s="748"/>
      <c r="N3" s="1934"/>
    </row>
    <row r="4" spans="1:38" s="24" customFormat="1" ht="13.5" customHeight="1">
      <c r="A4" s="9"/>
      <c r="C4" s="105" t="s">
        <v>4409</v>
      </c>
      <c r="D4" s="105"/>
      <c r="E4" s="105"/>
      <c r="F4" s="105"/>
      <c r="G4"/>
      <c r="J4" s="1897" t="s">
        <v>2067</v>
      </c>
      <c r="K4" s="1244">
        <f>Содержание!$D$2</f>
        <v>0</v>
      </c>
      <c r="S4" s="173"/>
      <c r="T4" s="173"/>
      <c r="U4" s="173"/>
    </row>
    <row r="5" spans="1:38" s="24" customFormat="1" ht="26.5" thickBot="1">
      <c r="A5" s="9"/>
      <c r="C5"/>
      <c r="D5" s="173"/>
      <c r="E5" s="173"/>
      <c r="F5" s="173"/>
      <c r="G5" s="173"/>
      <c r="H5" s="173"/>
      <c r="I5" s="3044" t="s">
        <v>1436</v>
      </c>
      <c r="J5" s="1897" t="s">
        <v>2075</v>
      </c>
      <c r="K5" s="1244" t="str">
        <f>Содержание!$D$15</f>
        <v>2022 год</v>
      </c>
      <c r="L5" s="173"/>
      <c r="M5" s="172"/>
      <c r="N5" s="173"/>
      <c r="O5" s="173"/>
      <c r="P5" s="173"/>
      <c r="Q5" s="173"/>
      <c r="R5" s="84"/>
      <c r="W5" s="84"/>
      <c r="Z5" s="84"/>
      <c r="AD5" s="173"/>
      <c r="AE5" s="173"/>
      <c r="AF5" s="173"/>
      <c r="AG5" s="173"/>
      <c r="AH5" s="173"/>
    </row>
    <row r="6" spans="1:38" s="24" customFormat="1" ht="14.25" customHeight="1" thickBot="1">
      <c r="A6" s="9"/>
      <c r="C6" s="3675" t="s">
        <v>1792</v>
      </c>
      <c r="D6" s="3677" t="s">
        <v>5381</v>
      </c>
      <c r="E6" s="3677" t="s">
        <v>8569</v>
      </c>
      <c r="F6" s="3783" t="s">
        <v>8394</v>
      </c>
      <c r="G6" s="3677" t="s">
        <v>5383</v>
      </c>
      <c r="H6" s="3677" t="s">
        <v>5384</v>
      </c>
      <c r="I6" s="3677" t="s">
        <v>5411</v>
      </c>
      <c r="J6" s="3677" t="s">
        <v>5510</v>
      </c>
      <c r="K6" s="3677" t="s">
        <v>4208</v>
      </c>
      <c r="L6" s="3677" t="s">
        <v>5385</v>
      </c>
      <c r="M6" s="3677" t="s">
        <v>5386</v>
      </c>
      <c r="N6" s="3677" t="s">
        <v>5413</v>
      </c>
      <c r="O6" s="3677" t="s">
        <v>4664</v>
      </c>
      <c r="P6" s="3677" t="s">
        <v>4209</v>
      </c>
      <c r="Q6" s="3677" t="s">
        <v>4210</v>
      </c>
      <c r="R6" s="3862" t="s">
        <v>4679</v>
      </c>
      <c r="S6" s="3863"/>
      <c r="T6" s="3863"/>
      <c r="U6" s="3863"/>
      <c r="V6" s="3863"/>
      <c r="W6" s="3863"/>
      <c r="X6" s="3863"/>
      <c r="Y6" s="3863"/>
      <c r="Z6" s="3863"/>
      <c r="AA6" s="3863"/>
      <c r="AB6" s="3863"/>
      <c r="AC6" s="3864"/>
      <c r="AD6" s="3677" t="s">
        <v>4211</v>
      </c>
      <c r="AE6" s="3859" t="s">
        <v>5390</v>
      </c>
      <c r="AF6" s="3860"/>
      <c r="AG6" s="3861"/>
      <c r="AH6" s="3772" t="s">
        <v>4183</v>
      </c>
    </row>
    <row r="7" spans="1:38" s="24" customFormat="1" ht="117">
      <c r="A7" s="9"/>
      <c r="C7" s="3804"/>
      <c r="D7" s="3775"/>
      <c r="E7" s="3775"/>
      <c r="F7" s="3807"/>
      <c r="G7" s="3775"/>
      <c r="H7" s="3775"/>
      <c r="I7" s="3775"/>
      <c r="J7" s="3775"/>
      <c r="K7" s="3775"/>
      <c r="L7" s="3775"/>
      <c r="M7" s="3775"/>
      <c r="N7" s="3775"/>
      <c r="O7" s="3775"/>
      <c r="P7" s="3775"/>
      <c r="Q7" s="3775"/>
      <c r="R7" s="15" t="s">
        <v>4212</v>
      </c>
      <c r="S7" s="15" t="s">
        <v>1707</v>
      </c>
      <c r="T7" s="15" t="s">
        <v>4213</v>
      </c>
      <c r="U7" s="15" t="s">
        <v>4214</v>
      </c>
      <c r="V7" s="15" t="s">
        <v>5392</v>
      </c>
      <c r="W7" s="15" t="s">
        <v>2968</v>
      </c>
      <c r="X7" s="15" t="s">
        <v>1704</v>
      </c>
      <c r="Y7" s="15" t="s">
        <v>2819</v>
      </c>
      <c r="Z7" s="15" t="s">
        <v>4217</v>
      </c>
      <c r="AA7" s="15" t="s">
        <v>5393</v>
      </c>
      <c r="AB7" s="15" t="s">
        <v>4215</v>
      </c>
      <c r="AC7" s="15" t="s">
        <v>4218</v>
      </c>
      <c r="AD7" s="3775"/>
      <c r="AE7" s="217" t="s">
        <v>5398</v>
      </c>
      <c r="AF7" s="217" t="s">
        <v>5399</v>
      </c>
      <c r="AG7" s="217" t="s">
        <v>5400</v>
      </c>
      <c r="AH7" s="3778"/>
      <c r="AI7" s="2945" t="s">
        <v>8681</v>
      </c>
      <c r="AK7" s="3216" t="s">
        <v>9997</v>
      </c>
    </row>
    <row r="8" spans="1:38" s="24" customFormat="1" ht="12.75" customHeight="1">
      <c r="A8" s="9"/>
      <c r="C8" s="155" t="s">
        <v>4219</v>
      </c>
      <c r="D8" s="151"/>
      <c r="E8" s="151"/>
      <c r="F8" s="912" t="s">
        <v>5247</v>
      </c>
      <c r="G8" s="151" t="s">
        <v>4219</v>
      </c>
      <c r="H8" s="151" t="s">
        <v>3009</v>
      </c>
      <c r="I8" s="151" t="s">
        <v>5248</v>
      </c>
      <c r="J8" s="151" t="s">
        <v>4408</v>
      </c>
      <c r="K8" s="151" t="s">
        <v>4219</v>
      </c>
      <c r="L8" s="151" t="s">
        <v>4219</v>
      </c>
      <c r="M8" s="151" t="s">
        <v>4219</v>
      </c>
      <c r="N8" s="151" t="s">
        <v>5251</v>
      </c>
      <c r="O8" s="151" t="s">
        <v>5250</v>
      </c>
      <c r="P8" s="151">
        <v>10018</v>
      </c>
      <c r="Q8" s="151" t="s">
        <v>672</v>
      </c>
      <c r="R8" s="204" t="s">
        <v>5499</v>
      </c>
      <c r="S8" s="204" t="s">
        <v>5407</v>
      </c>
      <c r="T8" s="204" t="s">
        <v>4220</v>
      </c>
      <c r="U8" s="204" t="s">
        <v>4221</v>
      </c>
      <c r="V8" s="204" t="s">
        <v>5402</v>
      </c>
      <c r="W8" s="204" t="s">
        <v>1836</v>
      </c>
      <c r="X8" s="204" t="s">
        <v>1703</v>
      </c>
      <c r="Y8" s="204" t="s">
        <v>4233</v>
      </c>
      <c r="Z8" s="204" t="s">
        <v>4222</v>
      </c>
      <c r="AA8" s="204" t="s">
        <v>5405</v>
      </c>
      <c r="AB8" s="204" t="s">
        <v>3966</v>
      </c>
      <c r="AC8" s="204" t="s">
        <v>5406</v>
      </c>
      <c r="AD8" s="151" t="s">
        <v>4163</v>
      </c>
      <c r="AE8" s="929"/>
      <c r="AF8" s="929"/>
      <c r="AG8" s="929"/>
      <c r="AH8" s="205"/>
    </row>
    <row r="9" spans="1:38" s="698" customFormat="1" ht="10">
      <c r="A9" s="668"/>
      <c r="B9" s="926"/>
      <c r="C9" s="1674" t="s">
        <v>4164</v>
      </c>
      <c r="D9" s="1675" t="s">
        <v>4165</v>
      </c>
      <c r="E9" s="1675" t="s">
        <v>4166</v>
      </c>
      <c r="F9" s="1675" t="s">
        <v>5500</v>
      </c>
      <c r="G9" s="1675" t="s">
        <v>4169</v>
      </c>
      <c r="H9" s="1675" t="s">
        <v>4168</v>
      </c>
      <c r="I9" s="1675" t="s">
        <v>4178</v>
      </c>
      <c r="J9" s="1675" t="s">
        <v>4179</v>
      </c>
      <c r="K9" s="1675" t="s">
        <v>4167</v>
      </c>
      <c r="L9" s="1675" t="s">
        <v>5501</v>
      </c>
      <c r="M9" s="1675" t="s">
        <v>4702</v>
      </c>
      <c r="N9" s="1675" t="s">
        <v>4702</v>
      </c>
      <c r="O9" s="1675" t="s">
        <v>4703</v>
      </c>
      <c r="P9" s="1675" t="s">
        <v>5502</v>
      </c>
      <c r="Q9" s="1675" t="s">
        <v>5503</v>
      </c>
      <c r="R9" s="1675" t="s">
        <v>5504</v>
      </c>
      <c r="S9" s="1675" t="s">
        <v>4853</v>
      </c>
      <c r="T9" s="1675" t="s">
        <v>4852</v>
      </c>
      <c r="U9" s="1675" t="s">
        <v>5505</v>
      </c>
      <c r="V9" s="1675" t="s">
        <v>4851</v>
      </c>
      <c r="W9" s="1675" t="s">
        <v>5506</v>
      </c>
      <c r="X9" s="1675" t="s">
        <v>4850</v>
      </c>
      <c r="Y9" s="1675" t="s">
        <v>3303</v>
      </c>
      <c r="Z9" s="1675" t="s">
        <v>3304</v>
      </c>
      <c r="AA9" s="1675" t="s">
        <v>3305</v>
      </c>
      <c r="AB9" s="1675" t="s">
        <v>3306</v>
      </c>
      <c r="AC9" s="1675" t="s">
        <v>3307</v>
      </c>
      <c r="AD9" s="1675" t="s">
        <v>3308</v>
      </c>
      <c r="AE9" s="1675" t="s">
        <v>3309</v>
      </c>
      <c r="AF9" s="1675" t="s">
        <v>3310</v>
      </c>
      <c r="AG9" s="1675" t="s">
        <v>3311</v>
      </c>
      <c r="AH9" s="1675" t="s">
        <v>3312</v>
      </c>
    </row>
    <row r="10" spans="1:38" s="24" customFormat="1" ht="12.5">
      <c r="A10" s="9"/>
      <c r="B10" s="927"/>
      <c r="C10" s="1676" t="s">
        <v>4184</v>
      </c>
      <c r="D10" s="176" t="s">
        <v>4184</v>
      </c>
      <c r="E10" s="176" t="s">
        <v>4184</v>
      </c>
      <c r="F10" s="176" t="s">
        <v>4184</v>
      </c>
      <c r="G10" s="176" t="s">
        <v>4184</v>
      </c>
      <c r="H10" s="176" t="s">
        <v>4184</v>
      </c>
      <c r="I10" s="176" t="s">
        <v>4184</v>
      </c>
      <c r="J10" s="176" t="s">
        <v>4184</v>
      </c>
      <c r="K10" s="176" t="s">
        <v>4184</v>
      </c>
      <c r="L10" s="176" t="s">
        <v>4184</v>
      </c>
      <c r="M10" s="176" t="s">
        <v>4184</v>
      </c>
      <c r="N10" s="176" t="s">
        <v>4184</v>
      </c>
      <c r="O10" s="176" t="s">
        <v>4184</v>
      </c>
      <c r="P10" s="176" t="s">
        <v>4184</v>
      </c>
      <c r="Q10" s="189">
        <f>SUM(Q11:Q10003)</f>
        <v>0</v>
      </c>
      <c r="R10" s="189">
        <f t="shared" ref="R10:AD10" si="0">SUM(R11:R10003)</f>
        <v>0</v>
      </c>
      <c r="S10" s="189">
        <f t="shared" si="0"/>
        <v>0</v>
      </c>
      <c r="T10" s="189">
        <f t="shared" si="0"/>
        <v>0</v>
      </c>
      <c r="U10" s="189">
        <f t="shared" si="0"/>
        <v>0</v>
      </c>
      <c r="V10" s="189">
        <f t="shared" si="0"/>
        <v>0</v>
      </c>
      <c r="W10" s="189">
        <f t="shared" si="0"/>
        <v>0</v>
      </c>
      <c r="X10" s="189">
        <f t="shared" si="0"/>
        <v>0</v>
      </c>
      <c r="Y10" s="189">
        <f t="shared" si="0"/>
        <v>0</v>
      </c>
      <c r="Z10" s="189">
        <f t="shared" si="0"/>
        <v>0</v>
      </c>
      <c r="AA10" s="189">
        <f t="shared" si="0"/>
        <v>0</v>
      </c>
      <c r="AB10" s="189">
        <f t="shared" si="0"/>
        <v>0</v>
      </c>
      <c r="AC10" s="189">
        <f t="shared" si="0"/>
        <v>0</v>
      </c>
      <c r="AD10" s="189">
        <f t="shared" si="0"/>
        <v>0</v>
      </c>
      <c r="AE10" s="185" t="s">
        <v>4184</v>
      </c>
      <c r="AF10" s="185" t="s">
        <v>4184</v>
      </c>
      <c r="AG10" s="185" t="s">
        <v>4184</v>
      </c>
      <c r="AH10" s="186" t="s">
        <v>4184</v>
      </c>
    </row>
    <row r="11" spans="1:38" s="24" customFormat="1" ht="78">
      <c r="A11" s="9" t="str">
        <f>"R50=7706664260XX"&amp;";R4=2090200"&amp;";R5="&amp;IFERROR(MID(AE12,FIND("{",AE12)+1,FIND("}",AE12)-FIND("{",AE12)-1),"")&amp;";COM="&amp;AH12</f>
        <v>R50=7706664260XX;R4=2090200;R5=;COM=</v>
      </c>
      <c r="B11" s="927"/>
      <c r="C11" s="1676" t="s">
        <v>4184</v>
      </c>
      <c r="D11" s="504" t="s">
        <v>9664</v>
      </c>
      <c r="E11" s="176" t="s">
        <v>4184</v>
      </c>
      <c r="F11" s="176" t="s">
        <v>4184</v>
      </c>
      <c r="G11" s="176" t="s">
        <v>4184</v>
      </c>
      <c r="H11" s="176" t="s">
        <v>4184</v>
      </c>
      <c r="I11" s="176" t="s">
        <v>4184</v>
      </c>
      <c r="J11" s="176" t="s">
        <v>4184</v>
      </c>
      <c r="K11" s="176" t="s">
        <v>4184</v>
      </c>
      <c r="L11" s="176" t="s">
        <v>4184</v>
      </c>
      <c r="M11" s="176" t="s">
        <v>4184</v>
      </c>
      <c r="N11" s="176" t="s">
        <v>4184</v>
      </c>
      <c r="O11" s="176" t="s">
        <v>4184</v>
      </c>
      <c r="P11" s="176" t="s">
        <v>4184</v>
      </c>
      <c r="Q11" s="569"/>
      <c r="R11" s="569"/>
      <c r="S11" s="569"/>
      <c r="T11" s="569"/>
      <c r="U11" s="569"/>
      <c r="V11" s="569"/>
      <c r="W11" s="569"/>
      <c r="X11" s="569"/>
      <c r="Y11" s="569"/>
      <c r="Z11" s="569"/>
      <c r="AA11" s="569"/>
      <c r="AB11" s="569"/>
      <c r="AC11" s="569"/>
      <c r="AD11" s="189">
        <f>SUM(Q11:AC11)</f>
        <v>0</v>
      </c>
      <c r="AE11" s="179"/>
      <c r="AF11" s="570"/>
      <c r="AG11" s="570"/>
      <c r="AH11" s="181"/>
    </row>
    <row r="12" spans="1:38" s="524" customFormat="1">
      <c r="A12" s="9" t="str">
        <f>"R50="&amp;C12&amp;";R4="&amp;IFERROR(MID(P12,FIND("{",P12)+1,FIND("}",P12)-FIND("{",P12)-1),"")&amp;";R5="&amp;IFERROR(MID(AE12,FIND("{",AE12)+1,FIND("}",AE12)-FIND("{",AE12)-1),"")&amp;";R12="&amp;IFERROR(IF(K12-Содержание!$D$14&gt;90,"1","2"),"")&amp;";R36="&amp;MID(F12,1,30)&amp;";R43="&amp;MID(E12,1,30)&amp;";COM="&amp;AH12</f>
        <v>R50=;R4=;R5=;R12=;R36=;R43=;COM=</v>
      </c>
      <c r="B12" s="927"/>
      <c r="C12" s="928"/>
      <c r="D12" s="1677" t="str">
        <f>IF(ISERROR(VLOOKUP($C12,Фин_договоры!$C$9:$U$32367,6,0)),"",VLOOKUP($C12,Фин_договоры!$C$9:$U$32367,6,0))</f>
        <v/>
      </c>
      <c r="E12" s="1677" t="str">
        <f>IF(ISERROR(VLOOKUP($C12,Фин_договоры!$C$9:$U$32367,7,0)),"",VLOOKUP($C12,Фин_договоры!$C$9:$U$32367,7,0))</f>
        <v/>
      </c>
      <c r="F12" s="1677" t="str">
        <f>IF(ISERROR(VLOOKUP($C12,Фин_договоры!$C$9:$U$32367,8,0)),"",VLOOKUP($C12,Фин_договоры!$C$9:$U$32367,8,0))</f>
        <v/>
      </c>
      <c r="G12" s="1678" t="str">
        <f>IF(ISERROR(VLOOKUP($C12,Фин_договоры!$C$9:$U$32367,5,0)),"",VLOOKUP($C12,Фин_договоры!$C$9:$U$32367,5,0))</f>
        <v/>
      </c>
      <c r="H12" s="1677" t="str">
        <f>IF(ISERROR(VLOOKUP($C12,Фин_договоры!$C$9:$U$32367,2,0)),"",VLOOKUP($C12,Фин_договоры!$C$9:$U$32367,2,0))</f>
        <v/>
      </c>
      <c r="I12" s="1677" t="str">
        <f>IF(ISERROR(VLOOKUP($C12,Фин_договоры!$C$9:$U$32367,19,0)),"",VLOOKUP($C12,Фин_договоры!$C$9:$U$32367,19,0))</f>
        <v/>
      </c>
      <c r="J12" s="1677" t="str">
        <f>IF(ISERROR(VLOOKUP($C12,Фин_договоры!$C$9:$U$32367,11,0)),"",VLOOKUP($C12,Фин_договоры!$C$9:$U$32367,11,0))</f>
        <v/>
      </c>
      <c r="K12" s="1678" t="str">
        <f>IF(ISERROR(VLOOKUP($C12,Фин_договоры!$C$9:$U$32367,12,0)),"",VLOOKUP($C12,Фин_договоры!$C$9:$U$32367,12,0))</f>
        <v/>
      </c>
      <c r="L12" s="1677" t="str">
        <f>IF(ISERROR(VLOOKUP($C12,Фин_договоры!$C$9:$U$32367,14,0)),"",VLOOKUP($C12,Фин_договоры!$C$9:$U$32367,14,0))</f>
        <v/>
      </c>
      <c r="M12" s="1677" t="str">
        <f>IF(ISERROR(VLOOKUP($C12,Фин_договоры!$C$9:$U$32367,15,0)),"",VLOOKUP($C12,Фин_договоры!$C$9:$U$32367,15,0))</f>
        <v/>
      </c>
      <c r="N12" s="1677" t="str">
        <f>IF(ISERROR(VLOOKUP($C12,Фин_договоры!$C$9:$U$32367,18,0)),"",VLOOKUP($C12,Фин_договоры!$C$9:$U$32367,18,0))</f>
        <v/>
      </c>
      <c r="O12" s="1677" t="str">
        <f>IF(ISERROR(VLOOKUP($C12,Фин_договоры!$C$9:$U$32367,16,0)),"",VLOOKUP($C12,Фин_договоры!$C$9:$U$32367,16,0))</f>
        <v/>
      </c>
      <c r="P12" s="1543"/>
      <c r="Q12" s="569"/>
      <c r="R12" s="569"/>
      <c r="S12" s="569"/>
      <c r="T12" s="569"/>
      <c r="U12" s="569"/>
      <c r="V12" s="569"/>
      <c r="W12" s="569"/>
      <c r="X12" s="569"/>
      <c r="Y12" s="569"/>
      <c r="Z12" s="569"/>
      <c r="AA12" s="569"/>
      <c r="AB12" s="569"/>
      <c r="AC12" s="569"/>
      <c r="AD12" s="189">
        <f t="shared" ref="AD12:AD18" si="1">SUM(Q12:AC12)</f>
        <v>0</v>
      </c>
      <c r="AE12" s="179"/>
      <c r="AF12" s="570"/>
      <c r="AG12" s="570"/>
      <c r="AH12" s="181"/>
      <c r="AI12" s="2130" t="b">
        <f>IF(C12="",TRUE,IF(OR(H12="{22} Облигации",H12="{11} Акции"),AND(IF(C12&lt;&gt;"",I12&gt;0,I12=0),IF(C12&lt;&gt;"",N12&gt;0,N12=0)),IF(OR(H12="{12} Паи и доли",H12="{21} Векселя"),IF(I12&lt;&gt;"",I12&gt;0,I12=0),AND(I12=0,N12=0))))</f>
        <v>1</v>
      </c>
      <c r="AJ12" s="2130" t="b">
        <f>IF(OR(H12=$AL$12,H12=$AL$13,H12=$AL$14,H12=$AL$15,H12=$AL$16,COUNTBLANK(Q12:AC12)=13),TRUE,FALSE)</f>
        <v>1</v>
      </c>
      <c r="AK12" s="2130" t="b">
        <f>IF(C12&lt;&gt;"",P12&lt;&gt;"",TRUE)</f>
        <v>1</v>
      </c>
      <c r="AL12" s="1996" t="s">
        <v>3001</v>
      </c>
    </row>
    <row r="13" spans="1:38" s="524" customFormat="1">
      <c r="A13" s="9" t="str">
        <f>"R50="&amp;C13&amp;";R4="&amp;IFERROR(MID(P13,FIND("{",P13)+1,FIND("}",P13)-FIND("{",P13)-1),"")&amp;";R5="&amp;IFERROR(MID(AE13,FIND("{",AE13)+1,FIND("}",AE13)-FIND("{",AE13)-1),"")&amp;";R12="&amp;IFERROR(IF(K13-Содержание!$D$14&gt;90,"1","2"),"")&amp;";R36="&amp;MID(F13,1,30)&amp;";R43="&amp;MID(E13,1,30)&amp;";COM="&amp;AH13</f>
        <v>R50=;R4=;R5=;R12=;R36=;R43=;COM=</v>
      </c>
      <c r="B13" s="927"/>
      <c r="C13" s="928"/>
      <c r="D13" s="1677" t="str">
        <f>IF(ISERROR(VLOOKUP($C13,Фин_договоры!$C$9:$U$32367,6,0)),"",VLOOKUP($C13,Фин_договоры!$C$9:$U$32367,6,0))</f>
        <v/>
      </c>
      <c r="E13" s="1677" t="str">
        <f>IF(ISERROR(VLOOKUP($C13,Фин_договоры!$C$9:$U$32367,7,0)),"",VLOOKUP($C13,Фин_договоры!$C$9:$U$32367,7,0))</f>
        <v/>
      </c>
      <c r="F13" s="1677" t="str">
        <f>IF(ISERROR(VLOOKUP($C13,Фин_договоры!$C$9:$U$32367,8,0)),"",VLOOKUP($C13,Фин_договоры!$C$9:$U$32367,8,0))</f>
        <v/>
      </c>
      <c r="G13" s="1678" t="str">
        <f>IF(ISERROR(VLOOKUP($C13,Фин_договоры!$C$9:$U$32367,5,0)),"",VLOOKUP($C13,Фин_договоры!$C$9:$U$32367,5,0))</f>
        <v/>
      </c>
      <c r="H13" s="1677" t="str">
        <f>IF(ISERROR(VLOOKUP($C13,Фин_договоры!$C$9:$U$32367,2,0)),"",VLOOKUP($C13,Фин_договоры!$C$9:$U$32367,2,0))</f>
        <v/>
      </c>
      <c r="I13" s="1677" t="str">
        <f>IF(ISERROR(VLOOKUP($C13,Фин_договоры!$C$9:$U$32367,19,0)),"",VLOOKUP($C13,Фин_договоры!$C$9:$U$32367,19,0))</f>
        <v/>
      </c>
      <c r="J13" s="1677" t="str">
        <f>IF(ISERROR(VLOOKUP($C13,Фин_договоры!$C$9:$U$32367,11,0)),"",VLOOKUP($C13,Фин_договоры!$C$9:$U$32367,11,0))</f>
        <v/>
      </c>
      <c r="K13" s="1678" t="str">
        <f>IF(ISERROR(VLOOKUP($C13,Фин_договоры!$C$9:$U$32367,12,0)),"",VLOOKUP($C13,Фин_договоры!$C$9:$U$32367,12,0))</f>
        <v/>
      </c>
      <c r="L13" s="1677" t="str">
        <f>IF(ISERROR(VLOOKUP($C13,Фин_договоры!$C$9:$U$32367,14,0)),"",VLOOKUP($C13,Фин_договоры!$C$9:$U$32367,14,0))</f>
        <v/>
      </c>
      <c r="M13" s="1677" t="str">
        <f>IF(ISERROR(VLOOKUP($C13,Фин_договоры!$C$9:$U$32367,15,0)),"",VLOOKUP($C13,Фин_договоры!$C$9:$U$32367,15,0))</f>
        <v/>
      </c>
      <c r="N13" s="1677" t="str">
        <f>IF(ISERROR(VLOOKUP($C13,Фин_договоры!$C$9:$U$32367,18,0)),"",VLOOKUP($C13,Фин_договоры!$C$9:$U$32367,18,0))</f>
        <v/>
      </c>
      <c r="O13" s="1677" t="str">
        <f>IF(ISERROR(VLOOKUP($C13,Фин_договоры!$C$9:$U$32367,16,0)),"",VLOOKUP($C13,Фин_договоры!$C$9:$U$32367,16,0))</f>
        <v/>
      </c>
      <c r="P13" s="1516"/>
      <c r="Q13" s="569"/>
      <c r="R13" s="569"/>
      <c r="S13" s="569"/>
      <c r="T13" s="569"/>
      <c r="U13" s="569"/>
      <c r="V13" s="569"/>
      <c r="W13" s="569"/>
      <c r="X13" s="569"/>
      <c r="Y13" s="569"/>
      <c r="Z13" s="569"/>
      <c r="AA13" s="569"/>
      <c r="AB13" s="569"/>
      <c r="AC13" s="569"/>
      <c r="AD13" s="189">
        <f t="shared" si="1"/>
        <v>0</v>
      </c>
      <c r="AE13" s="179"/>
      <c r="AF13" s="570"/>
      <c r="AG13" s="570"/>
      <c r="AH13" s="181"/>
      <c r="AI13" s="2130" t="b">
        <f t="shared" ref="AI13:AI20" si="2">IF(C13="",TRUE,IF(OR(H13="{22} Облигации",H13="{11} Акции"),AND(IF(C13&lt;&gt;"",I13&gt;0,I13=0),IF(C13&lt;&gt;"",N13&gt;0,N13=0)),IF(OR(H13="{12} Паи и доли",H13="{21} Векселя"),IF(I13&lt;&gt;"",I13&gt;0,I13=0),AND(I13=0,N13=0))))</f>
        <v>1</v>
      </c>
      <c r="AJ13" s="2130" t="b">
        <f t="shared" ref="AJ13:AJ19" si="3">IF(OR(H13=$AL$12,H13=$AL$13,H13=$AL$14,H13=$AL$15,H13=$AL$16,H13=""),TRUE,FALSE)</f>
        <v>1</v>
      </c>
      <c r="AK13" s="2130" t="b">
        <f t="shared" ref="AK13:AK20" si="4">IF(C13&lt;&gt;"",P13&lt;&gt;"",TRUE)</f>
        <v>1</v>
      </c>
      <c r="AL13" s="1996" t="s">
        <v>3002</v>
      </c>
    </row>
    <row r="14" spans="1:38" s="524" customFormat="1">
      <c r="A14" s="9" t="str">
        <f>"R50="&amp;C14&amp;";R4="&amp;IFERROR(MID(P14,FIND("{",P14)+1,FIND("}",P14)-FIND("{",P14)-1),"")&amp;";R5="&amp;IFERROR(MID(AE14,FIND("{",AE14)+1,FIND("}",AE14)-FIND("{",AE14)-1),"")&amp;";R12="&amp;IFERROR(IF(K14-Содержание!$D$14&gt;90,"1","2"),"")&amp;";R36="&amp;MID(F14,1,30)&amp;";R43="&amp;MID(E14,1,30)&amp;";COM="&amp;AH14</f>
        <v>R50=;R4=;R5=;R12=;R36=;R43=;COM=</v>
      </c>
      <c r="B14" s="927"/>
      <c r="C14" s="928"/>
      <c r="D14" s="1677" t="str">
        <f>IF(ISERROR(VLOOKUP($C14,Фин_договоры!$C$9:$U$32367,6,0)),"",VLOOKUP($C14,Фин_договоры!$C$9:$U$32367,6,0))</f>
        <v/>
      </c>
      <c r="E14" s="1677" t="str">
        <f>IF(ISERROR(VLOOKUP($C14,Фин_договоры!$C$9:$U$32367,7,0)),"",VLOOKUP($C14,Фин_договоры!$C$9:$U$32367,7,0))</f>
        <v/>
      </c>
      <c r="F14" s="1677" t="str">
        <f>IF(ISERROR(VLOOKUP($C14,Фин_договоры!$C$9:$U$32367,8,0)),"",VLOOKUP($C14,Фин_договоры!$C$9:$U$32367,8,0))</f>
        <v/>
      </c>
      <c r="G14" s="1678" t="str">
        <f>IF(ISERROR(VLOOKUP($C14,Фин_договоры!$C$9:$U$32367,5,0)),"",VLOOKUP($C14,Фин_договоры!$C$9:$U$32367,5,0))</f>
        <v/>
      </c>
      <c r="H14" s="1677" t="str">
        <f>IF(ISERROR(VLOOKUP($C14,Фин_договоры!$C$9:$U$32367,2,0)),"",VLOOKUP($C14,Фин_договоры!$C$9:$U$32367,2,0))</f>
        <v/>
      </c>
      <c r="I14" s="1677" t="str">
        <f>IF(ISERROR(VLOOKUP($C14,Фин_договоры!$C$9:$U$32367,19,0)),"",VLOOKUP($C14,Фин_договоры!$C$9:$U$32367,19,0))</f>
        <v/>
      </c>
      <c r="J14" s="1677" t="str">
        <f>IF(ISERROR(VLOOKUP($C14,Фин_договоры!$C$9:$U$32367,11,0)),"",VLOOKUP($C14,Фин_договоры!$C$9:$U$32367,11,0))</f>
        <v/>
      </c>
      <c r="K14" s="1678" t="str">
        <f>IF(ISERROR(VLOOKUP($C14,Фин_договоры!$C$9:$U$32367,12,0)),"",VLOOKUP($C14,Фин_договоры!$C$9:$U$32367,12,0))</f>
        <v/>
      </c>
      <c r="L14" s="1677" t="str">
        <f>IF(ISERROR(VLOOKUP($C14,Фин_договоры!$C$9:$U$32367,14,0)),"",VLOOKUP($C14,Фин_договоры!$C$9:$U$32367,14,0))</f>
        <v/>
      </c>
      <c r="M14" s="1677" t="str">
        <f>IF(ISERROR(VLOOKUP($C14,Фин_договоры!$C$9:$U$32367,15,0)),"",VLOOKUP($C14,Фин_договоры!$C$9:$U$32367,15,0))</f>
        <v/>
      </c>
      <c r="N14" s="1677" t="str">
        <f>IF(ISERROR(VLOOKUP($C14,Фин_договоры!$C$9:$U$32367,18,0)),"",VLOOKUP($C14,Фин_договоры!$C$9:$U$32367,18,0))</f>
        <v/>
      </c>
      <c r="O14" s="1677" t="str">
        <f>IF(ISERROR(VLOOKUP($C14,Фин_договоры!$C$9:$U$32367,16,0)),"",VLOOKUP($C14,Фин_договоры!$C$9:$U$32367,16,0))</f>
        <v/>
      </c>
      <c r="P14" s="1516"/>
      <c r="Q14" s="569"/>
      <c r="R14" s="569"/>
      <c r="S14" s="569"/>
      <c r="T14" s="569"/>
      <c r="U14" s="569"/>
      <c r="V14" s="569"/>
      <c r="W14" s="569"/>
      <c r="X14" s="569"/>
      <c r="Y14" s="569"/>
      <c r="Z14" s="569"/>
      <c r="AA14" s="569"/>
      <c r="AB14" s="569"/>
      <c r="AC14" s="569"/>
      <c r="AD14" s="189">
        <f t="shared" si="1"/>
        <v>0</v>
      </c>
      <c r="AE14" s="179"/>
      <c r="AF14" s="570"/>
      <c r="AG14" s="570"/>
      <c r="AH14" s="181"/>
      <c r="AI14" s="2130" t="b">
        <f t="shared" si="2"/>
        <v>1</v>
      </c>
      <c r="AJ14" s="2130" t="b">
        <f t="shared" si="3"/>
        <v>1</v>
      </c>
      <c r="AK14" s="2130" t="b">
        <f t="shared" si="4"/>
        <v>1</v>
      </c>
      <c r="AL14" s="1996" t="s">
        <v>3004</v>
      </c>
    </row>
    <row r="15" spans="1:38" s="524" customFormat="1">
      <c r="A15" s="9" t="str">
        <f>"R50="&amp;C15&amp;";R4="&amp;IFERROR(MID(P15,FIND("{",P15)+1,FIND("}",P15)-FIND("{",P15)-1),"")&amp;";R5="&amp;IFERROR(MID(AE15,FIND("{",AE15)+1,FIND("}",AE15)-FIND("{",AE15)-1),"")&amp;";R12="&amp;IFERROR(IF(K15-Содержание!$D$14&gt;90,"1","2"),"")&amp;";R36="&amp;MID(F15,1,30)&amp;";R43="&amp;MID(E15,1,30)&amp;";COM="&amp;AH15</f>
        <v>R50=;R4=;R5=;R12=;R36=;R43=;COM=</v>
      </c>
      <c r="B15" s="927"/>
      <c r="C15" s="928"/>
      <c r="D15" s="1677" t="str">
        <f>IF(ISERROR(VLOOKUP($C15,Фин_договоры!$C$9:$U$32367,6,0)),"",VLOOKUP($C15,Фин_договоры!$C$9:$U$32367,6,0))</f>
        <v/>
      </c>
      <c r="E15" s="1677" t="str">
        <f>IF(ISERROR(VLOOKUP($C15,Фин_договоры!$C$9:$U$32367,7,0)),"",VLOOKUP($C15,Фин_договоры!$C$9:$U$32367,7,0))</f>
        <v/>
      </c>
      <c r="F15" s="1677" t="str">
        <f>IF(ISERROR(VLOOKUP($C15,Фин_договоры!$C$9:$U$32367,8,0)),"",VLOOKUP($C15,Фин_договоры!$C$9:$U$32367,8,0))</f>
        <v/>
      </c>
      <c r="G15" s="1678" t="str">
        <f>IF(ISERROR(VLOOKUP($C15,Фин_договоры!$C$9:$U$32367,5,0)),"",VLOOKUP($C15,Фин_договоры!$C$9:$U$32367,5,0))</f>
        <v/>
      </c>
      <c r="H15" s="1677" t="str">
        <f>IF(ISERROR(VLOOKUP($C15,Фин_договоры!$C$9:$U$32367,2,0)),"",VLOOKUP($C15,Фин_договоры!$C$9:$U$32367,2,0))</f>
        <v/>
      </c>
      <c r="I15" s="1677" t="str">
        <f>IF(ISERROR(VLOOKUP($C15,Фин_договоры!$C$9:$U$32367,19,0)),"",VLOOKUP($C15,Фин_договоры!$C$9:$U$32367,19,0))</f>
        <v/>
      </c>
      <c r="J15" s="1677" t="str">
        <f>IF(ISERROR(VLOOKUP($C15,Фин_договоры!$C$9:$U$32367,11,0)),"",VLOOKUP($C15,Фин_договоры!$C$9:$U$32367,11,0))</f>
        <v/>
      </c>
      <c r="K15" s="1678" t="str">
        <f>IF(ISERROR(VLOOKUP($C15,Фин_договоры!$C$9:$U$32367,12,0)),"",VLOOKUP($C15,Фин_договоры!$C$9:$U$32367,12,0))</f>
        <v/>
      </c>
      <c r="L15" s="1677" t="str">
        <f>IF(ISERROR(VLOOKUP($C15,Фин_договоры!$C$9:$U$32367,14,0)),"",VLOOKUP($C15,Фин_договоры!$C$9:$U$32367,14,0))</f>
        <v/>
      </c>
      <c r="M15" s="1677" t="str">
        <f>IF(ISERROR(VLOOKUP($C15,Фин_договоры!$C$9:$U$32367,15,0)),"",VLOOKUP($C15,Фин_договоры!$C$9:$U$32367,15,0))</f>
        <v/>
      </c>
      <c r="N15" s="1677" t="str">
        <f>IF(ISERROR(VLOOKUP($C15,Фин_договоры!$C$9:$U$32367,18,0)),"",VLOOKUP($C15,Фин_договоры!$C$9:$U$32367,18,0))</f>
        <v/>
      </c>
      <c r="O15" s="1677" t="str">
        <f>IF(ISERROR(VLOOKUP($C15,Фин_договоры!$C$9:$U$32367,16,0)),"",VLOOKUP($C15,Фин_договоры!$C$9:$U$32367,16,0))</f>
        <v/>
      </c>
      <c r="P15" s="1516"/>
      <c r="Q15" s="569"/>
      <c r="R15" s="569"/>
      <c r="S15" s="569"/>
      <c r="T15" s="569"/>
      <c r="U15" s="569"/>
      <c r="V15" s="569"/>
      <c r="W15" s="569"/>
      <c r="X15" s="569"/>
      <c r="Y15" s="569"/>
      <c r="Z15" s="569"/>
      <c r="AA15" s="569"/>
      <c r="AB15" s="569"/>
      <c r="AC15" s="569"/>
      <c r="AD15" s="189">
        <f t="shared" si="1"/>
        <v>0</v>
      </c>
      <c r="AE15" s="179"/>
      <c r="AF15" s="570"/>
      <c r="AG15" s="570"/>
      <c r="AH15" s="181"/>
      <c r="AI15" s="2130" t="b">
        <f t="shared" si="2"/>
        <v>1</v>
      </c>
      <c r="AJ15" s="2130" t="b">
        <f t="shared" si="3"/>
        <v>1</v>
      </c>
      <c r="AK15" s="2130" t="b">
        <f t="shared" si="4"/>
        <v>1</v>
      </c>
      <c r="AL15" s="1996" t="s">
        <v>3005</v>
      </c>
    </row>
    <row r="16" spans="1:38" s="524" customFormat="1">
      <c r="A16" s="9" t="str">
        <f>"R50="&amp;C16&amp;";R4="&amp;IFERROR(MID(P16,FIND("{",P16)+1,FIND("}",P16)-FIND("{",P16)-1),"")&amp;";R5="&amp;IFERROR(MID(AE16,FIND("{",AE16)+1,FIND("}",AE16)-FIND("{",AE16)-1),"")&amp;";R12="&amp;IFERROR(IF(K16-Содержание!$D$14&gt;90,"1","2"),"")&amp;";R36="&amp;MID(F16,1,30)&amp;";R43="&amp;MID(E16,1,30)&amp;";COM="&amp;AH16</f>
        <v>R50=;R4=;R5=;R12=;R36=;R43=;COM=</v>
      </c>
      <c r="B16" s="927"/>
      <c r="C16" s="928"/>
      <c r="D16" s="1677" t="str">
        <f>IF(ISERROR(VLOOKUP($C16,Фин_договоры!$C$9:$U$32367,6,0)),"",VLOOKUP($C16,Фин_договоры!$C$9:$U$32367,6,0))</f>
        <v/>
      </c>
      <c r="E16" s="1677" t="str">
        <f>IF(ISERROR(VLOOKUP($C16,Фин_договоры!$C$9:$U$32367,7,0)),"",VLOOKUP($C16,Фин_договоры!$C$9:$U$32367,7,0))</f>
        <v/>
      </c>
      <c r="F16" s="1677" t="str">
        <f>IF(ISERROR(VLOOKUP($C16,Фин_договоры!$C$9:$U$32367,8,0)),"",VLOOKUP($C16,Фин_договоры!$C$9:$U$32367,8,0))</f>
        <v/>
      </c>
      <c r="G16" s="1678" t="str">
        <f>IF(ISERROR(VLOOKUP($C16,Фин_договоры!$C$9:$U$32367,5,0)),"",VLOOKUP($C16,Фин_договоры!$C$9:$U$32367,5,0))</f>
        <v/>
      </c>
      <c r="H16" s="1677" t="str">
        <f>IF(ISERROR(VLOOKUP($C16,Фин_договоры!$C$9:$U$32367,2,0)),"",VLOOKUP($C16,Фин_договоры!$C$9:$U$32367,2,0))</f>
        <v/>
      </c>
      <c r="I16" s="1677" t="str">
        <f>IF(ISERROR(VLOOKUP($C16,Фин_договоры!$C$9:$U$32367,19,0)),"",VLOOKUP($C16,Фин_договоры!$C$9:$U$32367,19,0))</f>
        <v/>
      </c>
      <c r="J16" s="1677" t="str">
        <f>IF(ISERROR(VLOOKUP($C16,Фин_договоры!$C$9:$U$32367,11,0)),"",VLOOKUP($C16,Фин_договоры!$C$9:$U$32367,11,0))</f>
        <v/>
      </c>
      <c r="K16" s="1678" t="str">
        <f>IF(ISERROR(VLOOKUP($C16,Фин_договоры!$C$9:$U$32367,12,0)),"",VLOOKUP($C16,Фин_договоры!$C$9:$U$32367,12,0))</f>
        <v/>
      </c>
      <c r="L16" s="1677" t="str">
        <f>IF(ISERROR(VLOOKUP($C16,Фин_договоры!$C$9:$U$32367,14,0)),"",VLOOKUP($C16,Фин_договоры!$C$9:$U$32367,14,0))</f>
        <v/>
      </c>
      <c r="M16" s="1677" t="str">
        <f>IF(ISERROR(VLOOKUP($C16,Фин_договоры!$C$9:$U$32367,15,0)),"",VLOOKUP($C16,Фин_договоры!$C$9:$U$32367,15,0))</f>
        <v/>
      </c>
      <c r="N16" s="1677" t="str">
        <f>IF(ISERROR(VLOOKUP($C16,Фин_договоры!$C$9:$U$32367,18,0)),"",VLOOKUP($C16,Фин_договоры!$C$9:$U$32367,18,0))</f>
        <v/>
      </c>
      <c r="O16" s="1677" t="str">
        <f>IF(ISERROR(VLOOKUP($C16,Фин_договоры!$C$9:$U$32367,16,0)),"",VLOOKUP($C16,Фин_договоры!$C$9:$U$32367,16,0))</f>
        <v/>
      </c>
      <c r="P16" s="1516"/>
      <c r="Q16" s="569"/>
      <c r="R16" s="569"/>
      <c r="S16" s="569"/>
      <c r="T16" s="569"/>
      <c r="U16" s="569"/>
      <c r="V16" s="569"/>
      <c r="W16" s="569"/>
      <c r="X16" s="569"/>
      <c r="Y16" s="569"/>
      <c r="Z16" s="569"/>
      <c r="AA16" s="569"/>
      <c r="AB16" s="569"/>
      <c r="AC16" s="569"/>
      <c r="AD16" s="189">
        <f t="shared" si="1"/>
        <v>0</v>
      </c>
      <c r="AE16" s="179"/>
      <c r="AF16" s="570"/>
      <c r="AG16" s="570"/>
      <c r="AH16" s="181"/>
      <c r="AI16" s="2130" t="b">
        <f t="shared" si="2"/>
        <v>1</v>
      </c>
      <c r="AJ16" s="2130" t="b">
        <f t="shared" si="3"/>
        <v>1</v>
      </c>
      <c r="AK16" s="2130" t="b">
        <f t="shared" si="4"/>
        <v>1</v>
      </c>
      <c r="AL16" s="1996" t="s">
        <v>3006</v>
      </c>
    </row>
    <row r="17" spans="1:37" s="524" customFormat="1">
      <c r="A17" s="9" t="str">
        <f>"R50="&amp;C17&amp;";R4="&amp;IFERROR(MID(P17,FIND("{",P17)+1,FIND("}",P17)-FIND("{",P17)-1),"")&amp;";R5="&amp;IFERROR(MID(AE17,FIND("{",AE17)+1,FIND("}",AE17)-FIND("{",AE17)-1),"")&amp;";R12="&amp;IFERROR(IF(K17-Содержание!$D$14&gt;90,"1","2"),"")&amp;";R36="&amp;MID(F17,1,30)&amp;";R43="&amp;MID(E17,1,30)&amp;";COM="&amp;AH17</f>
        <v>R50=;R4=;R5=;R12=;R36=;R43=;COM=</v>
      </c>
      <c r="B17" s="927"/>
      <c r="C17" s="928"/>
      <c r="D17" s="1677" t="str">
        <f>IF(ISERROR(VLOOKUP($C17,Фин_договоры!$C$9:$U$32367,6,0)),"",VLOOKUP($C17,Фин_договоры!$C$9:$U$32367,6,0))</f>
        <v/>
      </c>
      <c r="E17" s="1677" t="str">
        <f>IF(ISERROR(VLOOKUP($C17,Фин_договоры!$C$9:$U$32367,7,0)),"",VLOOKUP($C17,Фин_договоры!$C$9:$U$32367,7,0))</f>
        <v/>
      </c>
      <c r="F17" s="1677" t="str">
        <f>IF(ISERROR(VLOOKUP($C17,Фин_договоры!$C$9:$U$32367,8,0)),"",VLOOKUP($C17,Фин_договоры!$C$9:$U$32367,8,0))</f>
        <v/>
      </c>
      <c r="G17" s="1678" t="str">
        <f>IF(ISERROR(VLOOKUP($C17,Фин_договоры!$C$9:$U$32367,5,0)),"",VLOOKUP($C17,Фин_договоры!$C$9:$U$32367,5,0))</f>
        <v/>
      </c>
      <c r="H17" s="1677" t="str">
        <f>IF(ISERROR(VLOOKUP($C17,Фин_договоры!$C$9:$U$32367,2,0)),"",VLOOKUP($C17,Фин_договоры!$C$9:$U$32367,2,0))</f>
        <v/>
      </c>
      <c r="I17" s="1677" t="str">
        <f>IF(ISERROR(VLOOKUP($C17,Фин_договоры!$C$9:$U$32367,19,0)),"",VLOOKUP($C17,Фин_договоры!$C$9:$U$32367,19,0))</f>
        <v/>
      </c>
      <c r="J17" s="1677" t="str">
        <f>IF(ISERROR(VLOOKUP($C17,Фин_договоры!$C$9:$U$32367,11,0)),"",VLOOKUP($C17,Фин_договоры!$C$9:$U$32367,11,0))</f>
        <v/>
      </c>
      <c r="K17" s="1678" t="str">
        <f>IF(ISERROR(VLOOKUP($C17,Фин_договоры!$C$9:$U$32367,12,0)),"",VLOOKUP($C17,Фин_договоры!$C$9:$U$32367,12,0))</f>
        <v/>
      </c>
      <c r="L17" s="1677" t="str">
        <f>IF(ISERROR(VLOOKUP($C17,Фин_договоры!$C$9:$U$32367,14,0)),"",VLOOKUP($C17,Фин_договоры!$C$9:$U$32367,14,0))</f>
        <v/>
      </c>
      <c r="M17" s="1677" t="str">
        <f>IF(ISERROR(VLOOKUP($C17,Фин_договоры!$C$9:$U$32367,15,0)),"",VLOOKUP($C17,Фин_договоры!$C$9:$U$32367,15,0))</f>
        <v/>
      </c>
      <c r="N17" s="1677" t="str">
        <f>IF(ISERROR(VLOOKUP($C17,Фин_договоры!$C$9:$U$32367,18,0)),"",VLOOKUP($C17,Фин_договоры!$C$9:$U$32367,18,0))</f>
        <v/>
      </c>
      <c r="O17" s="1677" t="str">
        <f>IF(ISERROR(VLOOKUP($C17,Фин_договоры!$C$9:$U$32367,16,0)),"",VLOOKUP($C17,Фин_договоры!$C$9:$U$32367,16,0))</f>
        <v/>
      </c>
      <c r="P17" s="1516"/>
      <c r="Q17" s="569"/>
      <c r="R17" s="569"/>
      <c r="S17" s="569"/>
      <c r="T17" s="569"/>
      <c r="U17" s="569"/>
      <c r="V17" s="569"/>
      <c r="W17" s="569"/>
      <c r="X17" s="569"/>
      <c r="Y17" s="569"/>
      <c r="Z17" s="569"/>
      <c r="AA17" s="569"/>
      <c r="AB17" s="569"/>
      <c r="AC17" s="569"/>
      <c r="AD17" s="189">
        <f t="shared" si="1"/>
        <v>0</v>
      </c>
      <c r="AE17" s="179"/>
      <c r="AF17" s="570"/>
      <c r="AG17" s="570"/>
      <c r="AH17" s="181"/>
      <c r="AI17" s="2130" t="b">
        <f t="shared" si="2"/>
        <v>1</v>
      </c>
      <c r="AJ17" s="2130" t="b">
        <f t="shared" si="3"/>
        <v>1</v>
      </c>
      <c r="AK17" s="2130" t="b">
        <f t="shared" si="4"/>
        <v>1</v>
      </c>
    </row>
    <row r="18" spans="1:37" s="524" customFormat="1">
      <c r="A18" s="9" t="str">
        <f>"R50="&amp;C18&amp;";R4="&amp;IFERROR(MID(P18,FIND("{",P18)+1,FIND("}",P18)-FIND("{",P18)-1),"")&amp;";R5="&amp;IFERROR(MID(AE18,FIND("{",AE18)+1,FIND("}",AE18)-FIND("{",AE18)-1),"")&amp;";R12="&amp;IFERROR(IF(K18-Содержание!$D$14&gt;90,"1","2"),"")&amp;";R36="&amp;MID(F18,1,30)&amp;";R43="&amp;MID(E18,1,30)&amp;";COM="&amp;AH18</f>
        <v>R50=;R4=;R5=;R12=;R36=;R43=;COM=</v>
      </c>
      <c r="B18" s="927"/>
      <c r="C18" s="928"/>
      <c r="D18" s="1677" t="str">
        <f>IF(ISERROR(VLOOKUP($C18,Фин_договоры!$C$9:$U$32367,6,0)),"",VLOOKUP($C18,Фин_договоры!$C$9:$U$32367,6,0))</f>
        <v/>
      </c>
      <c r="E18" s="1677" t="str">
        <f>IF(ISERROR(VLOOKUP($C18,Фин_договоры!$C$9:$U$32367,7,0)),"",VLOOKUP($C18,Фин_договоры!$C$9:$U$32367,7,0))</f>
        <v/>
      </c>
      <c r="F18" s="1677" t="str">
        <f>IF(ISERROR(VLOOKUP($C18,Фин_договоры!$C$9:$U$32367,8,0)),"",VLOOKUP($C18,Фин_договоры!$C$9:$U$32367,8,0))</f>
        <v/>
      </c>
      <c r="G18" s="1678" t="str">
        <f>IF(ISERROR(VLOOKUP($C18,Фин_договоры!$C$9:$U$32367,5,0)),"",VLOOKUP($C18,Фин_договоры!$C$9:$U$32367,5,0))</f>
        <v/>
      </c>
      <c r="H18" s="1677" t="str">
        <f>IF(ISERROR(VLOOKUP($C18,Фин_договоры!$C$9:$U$32367,2,0)),"",VLOOKUP($C18,Фин_договоры!$C$9:$U$32367,2,0))</f>
        <v/>
      </c>
      <c r="I18" s="1677" t="str">
        <f>IF(ISERROR(VLOOKUP($C18,Фин_договоры!$C$9:$U$32367,19,0)),"",VLOOKUP($C18,Фин_договоры!$C$9:$U$32367,19,0))</f>
        <v/>
      </c>
      <c r="J18" s="1677" t="str">
        <f>IF(ISERROR(VLOOKUP($C18,Фин_договоры!$C$9:$U$32367,11,0)),"",VLOOKUP($C18,Фин_договоры!$C$9:$U$32367,11,0))</f>
        <v/>
      </c>
      <c r="K18" s="1678" t="str">
        <f>IF(ISERROR(VLOOKUP($C18,Фин_договоры!$C$9:$U$32367,12,0)),"",VLOOKUP($C18,Фин_договоры!$C$9:$U$32367,12,0))</f>
        <v/>
      </c>
      <c r="L18" s="1677" t="str">
        <f>IF(ISERROR(VLOOKUP($C18,Фин_договоры!$C$9:$U$32367,14,0)),"",VLOOKUP($C18,Фин_договоры!$C$9:$U$32367,14,0))</f>
        <v/>
      </c>
      <c r="M18" s="1677" t="str">
        <f>IF(ISERROR(VLOOKUP($C18,Фин_договоры!$C$9:$U$32367,15,0)),"",VLOOKUP($C18,Фин_договоры!$C$9:$U$32367,15,0))</f>
        <v/>
      </c>
      <c r="N18" s="1677" t="str">
        <f>IF(ISERROR(VLOOKUP($C18,Фин_договоры!$C$9:$U$32367,18,0)),"",VLOOKUP($C18,Фин_договоры!$C$9:$U$32367,18,0))</f>
        <v/>
      </c>
      <c r="O18" s="1677" t="str">
        <f>IF(ISERROR(VLOOKUP($C18,Фин_договоры!$C$9:$U$32367,16,0)),"",VLOOKUP($C18,Фин_договоры!$C$9:$U$32367,16,0))</f>
        <v/>
      </c>
      <c r="P18" s="1516"/>
      <c r="Q18" s="569"/>
      <c r="R18" s="569"/>
      <c r="S18" s="569"/>
      <c r="T18" s="569"/>
      <c r="U18" s="569"/>
      <c r="V18" s="569"/>
      <c r="W18" s="569"/>
      <c r="X18" s="569"/>
      <c r="Y18" s="569"/>
      <c r="Z18" s="569"/>
      <c r="AA18" s="569"/>
      <c r="AB18" s="569"/>
      <c r="AC18" s="569"/>
      <c r="AD18" s="189">
        <f t="shared" si="1"/>
        <v>0</v>
      </c>
      <c r="AE18" s="179"/>
      <c r="AF18" s="570"/>
      <c r="AG18" s="570"/>
      <c r="AH18" s="181"/>
      <c r="AI18" s="2130" t="b">
        <f t="shared" si="2"/>
        <v>1</v>
      </c>
      <c r="AJ18" s="2130" t="b">
        <f t="shared" si="3"/>
        <v>1</v>
      </c>
      <c r="AK18" s="2130" t="b">
        <f t="shared" si="4"/>
        <v>1</v>
      </c>
    </row>
    <row r="19" spans="1:37" s="524" customFormat="1">
      <c r="A19" s="2427" t="str">
        <f>"R50="&amp;C19&amp;";R4="&amp;IFERROR(MID(P19,FIND("{",P19)+1,FIND("}",P19)-FIND("{",P19)-1),"")&amp;";R5="&amp;IFERROR(MID(AE19,FIND("{",AE19)+1,FIND("}",AE19)-FIND("{",AE19)-1),"")&amp;";R12="&amp;IFERROR(IF(K19-Содержание!$D$14&gt;90,"1","2"),"")&amp;";R36="&amp;MID(F19,1,30)&amp;";R43="&amp;MID(E19,1,30)&amp;";COM="&amp;AH19</f>
        <v>R50=;R4=;R5=;R12=;R36=;R43=;COM=</v>
      </c>
      <c r="B19" s="927"/>
      <c r="C19" s="928"/>
      <c r="D19" s="1677" t="str">
        <f>IF(ISERROR(VLOOKUP($C19,Фин_договоры!$C$9:$U$32367,6,0)),"",VLOOKUP($C19,Фин_договоры!$C$9:$U$32367,6,0))</f>
        <v/>
      </c>
      <c r="E19" s="1677" t="str">
        <f>IF(ISERROR(VLOOKUP($C19,Фин_договоры!$C$9:$U$32367,7,0)),"",VLOOKUP($C19,Фин_договоры!$C$9:$U$32367,7,0))</f>
        <v/>
      </c>
      <c r="F19" s="1677" t="str">
        <f>IF(ISERROR(VLOOKUP($C19,Фин_договоры!$C$9:$U$32367,8,0)),"",VLOOKUP($C19,Фин_договоры!$C$9:$U$32367,8,0))</f>
        <v/>
      </c>
      <c r="G19" s="1678" t="str">
        <f>IF(ISERROR(VLOOKUP($C19,Фин_договоры!$C$9:$U$32367,5,0)),"",VLOOKUP($C19,Фин_договоры!$C$9:$U$32367,5,0))</f>
        <v/>
      </c>
      <c r="H19" s="1677" t="str">
        <f>IF(ISERROR(VLOOKUP($C19,Фин_договоры!$C$9:$U$32367,2,0)),"",VLOOKUP($C19,Фин_договоры!$C$9:$U$32367,2,0))</f>
        <v/>
      </c>
      <c r="I19" s="1677" t="str">
        <f>IF(ISERROR(VLOOKUP($C19,Фин_договоры!$C$9:$U$32367,19,0)),"",VLOOKUP($C19,Фин_договоры!$C$9:$U$32367,19,0))</f>
        <v/>
      </c>
      <c r="J19" s="1677" t="str">
        <f>IF(ISERROR(VLOOKUP($C19,Фин_договоры!$C$9:$U$32367,11,0)),"",VLOOKUP($C19,Фин_договоры!$C$9:$U$32367,11,0))</f>
        <v/>
      </c>
      <c r="K19" s="1678" t="str">
        <f>IF(ISERROR(VLOOKUP($C19,Фин_договоры!$C$9:$U$32367,12,0)),"",VLOOKUP($C19,Фин_договоры!$C$9:$U$32367,12,0))</f>
        <v/>
      </c>
      <c r="L19" s="1677" t="str">
        <f>IF(ISERROR(VLOOKUP($C19,Фин_договоры!$C$9:$U$32367,14,0)),"",VLOOKUP($C19,Фин_договоры!$C$9:$U$32367,14,0))</f>
        <v/>
      </c>
      <c r="M19" s="1677" t="str">
        <f>IF(ISERROR(VLOOKUP($C19,Фин_договоры!$C$9:$U$32367,15,0)),"",VLOOKUP($C19,Фин_договоры!$C$9:$U$32367,15,0))</f>
        <v/>
      </c>
      <c r="N19" s="1677" t="str">
        <f>IF(ISERROR(VLOOKUP($C19,Фин_договоры!$C$9:$U$32367,18,0)),"",VLOOKUP($C19,Фин_договоры!$C$9:$U$32367,18,0))</f>
        <v/>
      </c>
      <c r="O19" s="1677" t="str">
        <f>IF(ISERROR(VLOOKUP($C19,Фин_договоры!$C$9:$U$32367,16,0)),"",VLOOKUP($C19,Фин_договоры!$C$9:$U$32367,16,0))</f>
        <v/>
      </c>
      <c r="P19" s="1516"/>
      <c r="Q19" s="569"/>
      <c r="R19" s="569"/>
      <c r="S19" s="569"/>
      <c r="T19" s="569"/>
      <c r="U19" s="569"/>
      <c r="V19" s="569"/>
      <c r="W19" s="569"/>
      <c r="X19" s="569"/>
      <c r="Y19" s="569"/>
      <c r="Z19" s="569"/>
      <c r="AA19" s="569"/>
      <c r="AB19" s="569"/>
      <c r="AC19" s="569"/>
      <c r="AD19" s="189">
        <f>SUM(Q19:AC19)</f>
        <v>0</v>
      </c>
      <c r="AE19" s="179"/>
      <c r="AF19" s="570"/>
      <c r="AG19" s="570"/>
      <c r="AH19" s="181"/>
      <c r="AI19" s="2130" t="b">
        <f t="shared" si="2"/>
        <v>1</v>
      </c>
      <c r="AJ19" s="2130" t="b">
        <f t="shared" si="3"/>
        <v>1</v>
      </c>
      <c r="AK19" s="2130" t="b">
        <f t="shared" si="4"/>
        <v>1</v>
      </c>
    </row>
    <row r="20" spans="1:37" s="524" customFormat="1">
      <c r="A20" s="2427" t="str">
        <f>"R50="&amp;C20&amp;";R4="&amp;IFERROR(MID(P20,FIND("{",P20)+1,FIND("}",P20)-FIND("{",P20)-1),"")&amp;";R5="&amp;IFERROR(MID(AE20,FIND("{",AE20)+1,FIND("}",AE20)-FIND("{",AE20)-1),"")&amp;";R12="&amp;IFERROR(IF(K20-Содержание!$D$14&gt;90,"1","2"),"")&amp;";R36="&amp;MID(F20,1,30)&amp;";R43="&amp;MID(E20,1,30)&amp;";COM="&amp;AH20</f>
        <v>R50=;R4=;R5=;R12=;R36=;R43=;COM=</v>
      </c>
      <c r="B20" s="927"/>
      <c r="C20" s="928"/>
      <c r="D20" s="1677" t="str">
        <f>IF(ISERROR(VLOOKUP($C20,Фин_договоры!$C$9:$U$32367,6,0)),"",VLOOKUP($C20,Фин_договоры!$C$9:$U$32367,6,0))</f>
        <v/>
      </c>
      <c r="E20" s="1677" t="str">
        <f>IF(ISERROR(VLOOKUP($C20,Фин_договоры!$C$9:$U$32367,7,0)),"",VLOOKUP($C20,Фин_договоры!$C$9:$U$32367,7,0))</f>
        <v/>
      </c>
      <c r="F20" s="1677" t="str">
        <f>IF(ISERROR(VLOOKUP($C20,Фин_договоры!$C$9:$U$32367,8,0)),"",VLOOKUP($C20,Фин_договоры!$C$9:$U$32367,8,0))</f>
        <v/>
      </c>
      <c r="G20" s="1678" t="str">
        <f>IF(ISERROR(VLOOKUP($C20,Фин_договоры!$C$9:$U$32367,5,0)),"",VLOOKUP($C20,Фин_договоры!$C$9:$U$32367,5,0))</f>
        <v/>
      </c>
      <c r="H20" s="1677" t="str">
        <f>IF(ISERROR(VLOOKUP($C20,Фин_договоры!$C$9:$U$32367,2,0)),"",VLOOKUP($C20,Фин_договоры!$C$9:$U$32367,2,0))</f>
        <v/>
      </c>
      <c r="I20" s="1677" t="str">
        <f>IF(ISERROR(VLOOKUP($C20,Фин_договоры!$C$9:$U$32367,19,0)),"",VLOOKUP($C20,Фин_договоры!$C$9:$U$32367,19,0))</f>
        <v/>
      </c>
      <c r="J20" s="1677" t="str">
        <f>IF(ISERROR(VLOOKUP($C20,Фин_договоры!$C$9:$U$32367,11,0)),"",VLOOKUP($C20,Фин_договоры!$C$9:$U$32367,11,0))</f>
        <v/>
      </c>
      <c r="K20" s="1678" t="str">
        <f>IF(ISERROR(VLOOKUP($C20,Фин_договоры!$C$9:$U$32367,12,0)),"",VLOOKUP($C20,Фин_договоры!$C$9:$U$32367,12,0))</f>
        <v/>
      </c>
      <c r="L20" s="1677" t="str">
        <f>IF(ISERROR(VLOOKUP($C20,Фин_договоры!$C$9:$U$32367,14,0)),"",VLOOKUP($C20,Фин_договоры!$C$9:$U$32367,14,0))</f>
        <v/>
      </c>
      <c r="M20" s="1677" t="str">
        <f>IF(ISERROR(VLOOKUP($C20,Фин_договоры!$C$9:$U$32367,15,0)),"",VLOOKUP($C20,Фин_договоры!$C$9:$U$32367,15,0))</f>
        <v/>
      </c>
      <c r="N20" s="1677" t="str">
        <f>IF(ISERROR(VLOOKUP($C20,Фин_договоры!$C$9:$U$32367,18,0)),"",VLOOKUP($C20,Фин_договоры!$C$9:$U$32367,18,0))</f>
        <v/>
      </c>
      <c r="O20" s="1677" t="str">
        <f>IF(ISERROR(VLOOKUP($C20,Фин_договоры!$C$9:$U$32367,16,0)),"",VLOOKUP($C20,Фин_договоры!$C$9:$U$32367,16,0))</f>
        <v/>
      </c>
      <c r="P20" s="1516"/>
      <c r="Q20" s="569"/>
      <c r="R20" s="569"/>
      <c r="S20" s="569"/>
      <c r="T20" s="569"/>
      <c r="U20" s="569"/>
      <c r="V20" s="569"/>
      <c r="W20" s="569"/>
      <c r="X20" s="569"/>
      <c r="Y20" s="569"/>
      <c r="Z20" s="569"/>
      <c r="AA20" s="569"/>
      <c r="AB20" s="569"/>
      <c r="AC20" s="569"/>
      <c r="AD20" s="189">
        <f>SUM(Q20:AC20)</f>
        <v>0</v>
      </c>
      <c r="AE20" s="179"/>
      <c r="AF20" s="570"/>
      <c r="AG20" s="570"/>
      <c r="AH20" s="181"/>
      <c r="AI20" s="2130" t="b">
        <f t="shared" si="2"/>
        <v>1</v>
      </c>
      <c r="AJ20" s="2130" t="b">
        <f t="shared" ref="AJ20" si="5">IF(OR(H20=$AL$12,H20=$AL$13,H20=$AL$14,H20=$AL$15,H20=$AL$16,H20=""),TRUE,FALSE)</f>
        <v>1</v>
      </c>
      <c r="AK20" s="2130" t="b">
        <f t="shared" si="4"/>
        <v>1</v>
      </c>
    </row>
    <row r="21" spans="1:37" s="24" customFormat="1" ht="15" thickBot="1">
      <c r="A21" s="2427" t="str">
        <f>"R50="&amp;C21&amp;";R4="&amp;IFERROR(MID(P21,FIND("{",P21)+1,FIND("}",P21)-FIND("{",P21)-1),"")&amp;";R5="&amp;IFERROR(MID(AE21,FIND("{",AE21)+1,FIND("}",AE21)-FIND("{",AE21)-1),"")&amp;";R12="&amp;IFERROR(IF(K21-Содержание!$D$14&gt;90,"1","2"),"")&amp;";R36="&amp;MID(F21,1,30)&amp;";R43="&amp;MID(E21,1,30)&amp;";COM="&amp;AH21</f>
        <v>R50=;R4=;R5=;R12=;R36=;R43=;COM=</v>
      </c>
      <c r="B21" s="927"/>
      <c r="C21" s="2915"/>
      <c r="D21" s="2916" t="str">
        <f>IF(ISERROR(VLOOKUP($C21,Фин_договоры!$C$9:$U$32367,6,0)),"",VLOOKUP($C21,Фин_договоры!$C$9:$U$32367,6,0))</f>
        <v/>
      </c>
      <c r="E21" s="2916" t="str">
        <f>IF(ISERROR(VLOOKUP($C21,Фин_договоры!$C$9:$U$32367,7,0)),"",VLOOKUP($C21,Фин_договоры!$C$9:$U$32367,7,0))</f>
        <v/>
      </c>
      <c r="F21" s="2916" t="str">
        <f>IF(ISERROR(VLOOKUP($C21,Фин_договоры!$C$9:$U$32367,8,0)),"",VLOOKUP($C21,Фин_договоры!$C$9:$U$32367,8,0))</f>
        <v/>
      </c>
      <c r="G21" s="2917" t="str">
        <f>IF(ISERROR(VLOOKUP($C21,Фин_договоры!$C$9:$U$32367,5,0)),"",VLOOKUP($C21,Фин_договоры!$C$9:$U$32367,5,0))</f>
        <v/>
      </c>
      <c r="H21" s="2916" t="str">
        <f>IF(ISERROR(VLOOKUP($C21,Фин_договоры!$C$9:$U$32367,2,0)),"",VLOOKUP($C21,Фин_договоры!$C$9:$U$32367,2,0))</f>
        <v/>
      </c>
      <c r="I21" s="2916" t="str">
        <f>IF(ISERROR(VLOOKUP($C21,Фин_договоры!$C$9:$U$32367,19,0)),"",VLOOKUP($C21,Фин_договоры!$C$9:$U$32367,19,0))</f>
        <v/>
      </c>
      <c r="J21" s="2916" t="str">
        <f>IF(ISERROR(VLOOKUP($C21,Фин_договоры!$C$9:$U$32367,11,0)),"",VLOOKUP($C21,Фин_договоры!$C$9:$U$32367,11,0))</f>
        <v/>
      </c>
      <c r="K21" s="2917" t="str">
        <f>IF(ISERROR(VLOOKUP($C21,Фин_договоры!$C$9:$U$32367,12,0)),"",VLOOKUP($C21,Фин_договоры!$C$9:$U$32367,12,0))</f>
        <v/>
      </c>
      <c r="L21" s="2916" t="str">
        <f>IF(ISERROR(VLOOKUP($C21,Фин_договоры!$C$9:$U$32367,14,0)),"",VLOOKUP($C21,Фин_договоры!$C$9:$U$32367,14,0))</f>
        <v/>
      </c>
      <c r="M21" s="2916" t="str">
        <f>IF(ISERROR(VLOOKUP($C21,Фин_договоры!$C$9:$U$32367,15,0)),"",VLOOKUP($C21,Фин_договоры!$C$9:$U$32367,15,0))</f>
        <v/>
      </c>
      <c r="N21" s="2916" t="str">
        <f>IF(ISERROR(VLOOKUP($C21,Фин_договоры!$C$9:$U$32367,18,0)),"",VLOOKUP($C21,Фин_договоры!$C$9:$U$32367,18,0))</f>
        <v/>
      </c>
      <c r="O21" s="2916" t="str">
        <f>IF(ISERROR(VLOOKUP($C21,Фин_договоры!$C$9:$U$32367,16,0)),"",VLOOKUP($C21,Фин_договоры!$C$9:$U$32367,16,0))</f>
        <v/>
      </c>
      <c r="P21" s="2918"/>
      <c r="Q21" s="2918"/>
      <c r="R21" s="2918"/>
      <c r="S21" s="2918"/>
      <c r="T21" s="2918"/>
      <c r="U21" s="2918"/>
      <c r="V21" s="2918"/>
      <c r="W21" s="2918"/>
      <c r="X21" s="2918"/>
      <c r="Y21" s="2918"/>
      <c r="Z21" s="2918"/>
      <c r="AA21" s="2918"/>
      <c r="AB21" s="2918"/>
      <c r="AC21" s="2918"/>
      <c r="AD21" s="2919">
        <f>SUM(Q21:AC21)</f>
        <v>0</v>
      </c>
      <c r="AE21" s="2920"/>
      <c r="AF21" s="2921"/>
      <c r="AG21" s="2921"/>
      <c r="AH21" s="2922"/>
      <c r="AI21" s="2130" t="b">
        <f t="shared" ref="AI21" si="6">IF(C21="",TRUE,IF(OR(H21="{22} Облигации",H21="{11} Акции"),AND(IF(C21&lt;&gt;"",I21&gt;0,I21=0),IF(C21&lt;&gt;"",N21&gt;0,N21=0)),IF(OR(H21="{12} Паи и доли",H21="{21} Векселя"),IF(I21&lt;&gt;"",I21&gt;0,I21=0),AND(I21=0,N21=0))))</f>
        <v>1</v>
      </c>
      <c r="AJ21" s="2130" t="b">
        <f t="shared" ref="AJ21" si="7">IF(OR(H21=$AL$12,H21=$AL$13,H21=$AL$14,H21=$AL$15,H21=$AL$16,H21=""),TRUE,FALSE)</f>
        <v>1</v>
      </c>
      <c r="AK21" s="2130" t="b">
        <f t="shared" ref="AK21" si="8">IF(C21&lt;&gt;"",P21&lt;&gt;"",TRUE)</f>
        <v>1</v>
      </c>
    </row>
  </sheetData>
  <sheetProtection algorithmName="SHA-512" hashValue="xF86zMs+s7BzNXKLW02xjHRwNU9yxf60or9S5CRXBk/tl0ulkkH0QnC/JtUWt7kI1P0gG36t0reufLzVSFEyNQ==" saltValue="zRANwF6uzRr2zr098x8EhQ==" spinCount="100000" sheet="1" objects="1" scenarios="1" formatColumns="0" formatRows="0" autoFilter="0"/>
  <autoFilter ref="C9:AK9"/>
  <customSheetViews>
    <customSheetView guid="{3769259D-9653-4B34-A2F6-4FB6F9F4E533}" scale="85" showGridLines="0" showAutoFilter="1" hiddenRows="1" hiddenColumns="1">
      <pane xSplit="6" ySplit="10" topLeftCell="K11" activePane="bottomRight" state="frozen"/>
      <selection pane="bottomRight" activeCell="O8" sqref="O8"/>
      <pageMargins left="0.7" right="0.7" top="0.75" bottom="0.75" header="0.3" footer="0.3"/>
      <pageSetup orientation="portrait" r:id="rId1"/>
      <autoFilter ref="B1:AF1"/>
    </customSheetView>
    <customSheetView guid="{40D7A2BB-326C-4ED3-999C-17852F56D6F4}" scale="85" showGridLines="0" showAutoFilter="1" hiddenRows="1" hiddenColumns="1">
      <pane xSplit="6" ySplit="10" topLeftCell="K11" activePane="bottomRight" state="frozen"/>
      <selection pane="bottomRight" activeCell="O8" sqref="O8"/>
      <pageMargins left="0.7" right="0.7" top="0.75" bottom="0.75" header="0.3" footer="0.3"/>
      <pageSetup orientation="portrait" r:id="rId2"/>
      <autoFilter ref="B1:AF1"/>
    </customSheetView>
    <customSheetView guid="{5D121940-0CE8-4A0E-A493-67FAAA6E0FF8}" scale="85" showGridLines="0" showAutoFilter="1" hiddenRows="1" hiddenColumns="1" topLeftCell="B2">
      <pane xSplit="5" ySplit="9" topLeftCell="K11" activePane="bottomRight" state="frozen"/>
      <selection pane="bottomRight" activeCell="O8" sqref="O8"/>
      <pageMargins left="0.7" right="0.7" top="0.75" bottom="0.75" header="0.3" footer="0.3"/>
      <pageSetup orientation="portrait" r:id="rId3"/>
      <autoFilter ref="B1:AF1"/>
    </customSheetView>
    <customSheetView guid="{47AEACC4-6EA5-412C-AF39-A6C5357B313A}" scale="85" showGridLines="0" showAutoFilter="1" hiddenRows="1" hiddenColumns="1" topLeftCell="B2">
      <pane xSplit="5" ySplit="9" topLeftCell="V11" activePane="bottomRight" state="frozen"/>
      <selection pane="bottomRight" activeCell="AA11" sqref="AA11"/>
      <pageMargins left="0.7" right="0.7" top="0.75" bottom="0.75" header="0.3" footer="0.3"/>
      <pageSetup orientation="portrait" r:id="rId4"/>
      <autoFilter ref="B1:AF1"/>
    </customSheetView>
    <customSheetView guid="{4D957B38-5430-481E-B791-E0A66F913B50}" scale="70" hiddenColumns="1">
      <pageMargins left="0.7" right="0.7" top="0.75" bottom="0.75" header="0.3" footer="0.3"/>
      <pageSetup orientation="portrait" r:id="rId5"/>
    </customSheetView>
    <customSheetView guid="{1C36793E-2B7E-411E-AA99-985D5D59B75A}" scale="70">
      <pageMargins left="0.7" right="0.7" top="0.75" bottom="0.75" header="0.3" footer="0.3"/>
      <pageSetup orientation="portrait" r:id="rId6"/>
    </customSheetView>
    <customSheetView guid="{C913A9E8-661B-40A4-A3C9-1BC5F2B2E9F0}" scale="85" showGridLines="0" showAutoFilter="1" hiddenRows="1" hiddenColumns="1" topLeftCell="B2">
      <pane xSplit="5" ySplit="9" topLeftCell="K11" activePane="bottomRight" state="frozen"/>
      <selection pane="bottomRight" activeCell="O8" sqref="O8"/>
      <pageMargins left="0.7" right="0.7" top="0.75" bottom="0.75" header="0.3" footer="0.3"/>
      <pageSetup orientation="portrait" r:id="rId7"/>
      <autoFilter ref="B1:AF1"/>
    </customSheetView>
  </customSheetViews>
  <mergeCells count="19">
    <mergeCell ref="I6:I7"/>
    <mergeCell ref="C6:C7"/>
    <mergeCell ref="G6:G7"/>
    <mergeCell ref="H6:H7"/>
    <mergeCell ref="D6:D7"/>
    <mergeCell ref="E6:E7"/>
    <mergeCell ref="F6:F7"/>
    <mergeCell ref="AH6:AH7"/>
    <mergeCell ref="J6:J7"/>
    <mergeCell ref="Q6:Q7"/>
    <mergeCell ref="AD6:AD7"/>
    <mergeCell ref="AE6:AG6"/>
    <mergeCell ref="K6:K7"/>
    <mergeCell ref="L6:L7"/>
    <mergeCell ref="M6:M7"/>
    <mergeCell ref="N6:N7"/>
    <mergeCell ref="R6:AC6"/>
    <mergeCell ref="P6:P7"/>
    <mergeCell ref="O6:O7"/>
  </mergeCells>
  <phoneticPr fontId="0" type="noConversion"/>
  <dataValidations count="11">
    <dataValidation type="list" operator="equal" allowBlank="1" showErrorMessage="1" errorTitle="Выбор элемента списка" error="Данного элемента нет в списке" sqref="AE65535:AE65536">
      <formula1>_2780_</formula1>
    </dataValidation>
    <dataValidation type="list" operator="equal" allowBlank="1" showErrorMessage="1" errorTitle="Выбор элемента списка" error="Данного элемента нет в списке" sqref="P65535:P65536">
      <formula1>_2090_</formula1>
    </dataValidation>
    <dataValidation type="list" operator="equal" allowBlank="1" showErrorMessage="1" errorTitle="Выбор элемента списка" error="Данного элемента нет в списке" sqref="O65535:O65536">
      <formula1>_6003_</formula1>
    </dataValidation>
    <dataValidation type="list" operator="equal" allowBlank="1" showErrorMessage="1" errorTitle="Выбор элемента списка" error="Данного элемента нет в списке" sqref="N65535:N65536">
      <formula1>_2430_</formula1>
    </dataValidation>
    <dataValidation type="list" operator="equal" allowBlank="1" showErrorMessage="1" errorTitle="Выбор элемента списка" error="Данного элемента нет в списке" sqref="L65535:L65536">
      <formula1>_Да_Нет_</formula1>
    </dataValidation>
    <dataValidation type="list" operator="equal" allowBlank="1" showErrorMessage="1" errorTitle="Выбор элемента списка" error="Данного элемента нет в списке" sqref="I65535:J65536">
      <formula1>_2422_</formula1>
    </dataValidation>
    <dataValidation type="list" operator="equal" allowBlank="1" showErrorMessage="1" errorTitle="Выбор элемента списка" error="Данного элемента нет в списке" sqref="H65535:H65536">
      <formula1>_2420_2421_58_03_</formula1>
    </dataValidation>
    <dataValidation operator="equal" allowBlank="1" showInputMessage="1" prompt="Дата в формате ДД.ММ.ГГГГ (01.01.2010)" sqref="K65535:K65536 G65535:G65536">
      <formula1>0</formula1>
      <formula2>0</formula2>
    </dataValidation>
    <dataValidation type="list" allowBlank="1" showInputMessage="1" showErrorMessage="1" sqref="C12:C21">
      <formula1>dogovor_fin</formula1>
    </dataValidation>
    <dataValidation type="list" allowBlank="1" showInputMessage="1" showErrorMessage="1" sqref="P12:P21">
      <formula1>_9018</formula1>
    </dataValidation>
    <dataValidation type="list" operator="equal" allowBlank="1" showErrorMessage="1" errorTitle="Выбор элемента списка" error="Данного элемента нет в списке" sqref="AE11:AE21">
      <formula1>_2780</formula1>
    </dataValidation>
  </dataValidations>
  <hyperlinks>
    <hyperlink ref="I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3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11" name="Button 1">
              <controlPr defaultSize="0" print="0" autoFill="0" autoPict="0" macro="[0]!AddButtonsRowAdd">
                <anchor moveWithCells="1">
                  <from>
                    <xdr:col>7</xdr:col>
                    <xdr:colOff>190500</xdr:colOff>
                    <xdr:row>1</xdr:row>
                    <xdr:rowOff>107950</xdr:rowOff>
                  </from>
                  <to>
                    <xdr:col>8</xdr:col>
                    <xdr:colOff>419100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>
    <pageSetUpPr fitToPage="1"/>
  </sheetPr>
  <dimension ref="A1:AL114"/>
  <sheetViews>
    <sheetView topLeftCell="K5" zoomScale="71" zoomScaleNormal="71" workbookViewId="0">
      <selection activeCell="F17" sqref="F17"/>
    </sheetView>
  </sheetViews>
  <sheetFormatPr defaultColWidth="9.453125" defaultRowHeight="14.5"/>
  <cols>
    <col min="1" max="1" width="22.453125" style="522" hidden="1" customWidth="1"/>
    <col min="2" max="2" width="3.453125" style="32" customWidth="1"/>
    <col min="3" max="3" width="28.54296875" style="32" customWidth="1"/>
    <col min="4" max="4" width="18.453125" style="32" customWidth="1"/>
    <col min="5" max="5" width="13.54296875" style="32" customWidth="1"/>
    <col min="6" max="6" width="20.54296875" style="32" customWidth="1"/>
    <col min="7" max="7" width="13.54296875" style="32" customWidth="1"/>
    <col min="8" max="10" width="15.453125" style="32" customWidth="1"/>
    <col min="11" max="11" width="16.54296875" style="32" customWidth="1"/>
    <col min="12" max="12" width="12.453125" style="32" customWidth="1"/>
    <col min="13" max="13" width="16.453125" style="32" customWidth="1"/>
    <col min="14" max="14" width="32.54296875" style="32" customWidth="1"/>
    <col min="15" max="15" width="15.453125" style="32" customWidth="1"/>
    <col min="16" max="16" width="24.453125" style="32" customWidth="1"/>
    <col min="17" max="18" width="16.453125" style="32" customWidth="1"/>
    <col min="19" max="19" width="25.54296875" style="32" customWidth="1"/>
    <col min="20" max="20" width="23.54296875" style="32" customWidth="1"/>
    <col min="21" max="24" width="16.453125" style="32" customWidth="1"/>
    <col min="25" max="25" width="23.54296875" style="32" customWidth="1"/>
    <col min="26" max="26" width="21.453125" style="32" customWidth="1"/>
    <col min="27" max="33" width="16.453125" style="32" customWidth="1"/>
    <col min="34" max="34" width="38.453125" style="32" customWidth="1"/>
    <col min="35" max="35" width="16.54296875" style="32" customWidth="1"/>
    <col min="36" max="36" width="9.453125" style="32"/>
    <col min="37" max="37" width="23" style="32" customWidth="1"/>
    <col min="38" max="16384" width="9.453125" style="32"/>
  </cols>
  <sheetData>
    <row r="1" spans="1:38" s="10" customFormat="1" ht="17.25" hidden="1" customHeight="1">
      <c r="A1" s="167" t="s">
        <v>2831</v>
      </c>
      <c r="B1" s="22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6"/>
      <c r="P1" s="6"/>
      <c r="Q1" s="6" t="s">
        <v>1015</v>
      </c>
      <c r="R1" s="6" t="s">
        <v>1036</v>
      </c>
      <c r="S1" s="6" t="s">
        <v>1037</v>
      </c>
      <c r="T1" s="6" t="s">
        <v>1038</v>
      </c>
      <c r="U1" s="6" t="s">
        <v>1039</v>
      </c>
      <c r="V1" s="6" t="s">
        <v>1018</v>
      </c>
      <c r="W1" s="6" t="s">
        <v>1040</v>
      </c>
      <c r="X1" s="6" t="s">
        <v>1041</v>
      </c>
      <c r="Y1" s="6" t="s">
        <v>1042</v>
      </c>
      <c r="Z1" s="6" t="s">
        <v>1043</v>
      </c>
      <c r="AA1" s="6" t="s">
        <v>1021</v>
      </c>
      <c r="AB1" s="6" t="s">
        <v>1044</v>
      </c>
      <c r="AC1" s="6" t="s">
        <v>1023</v>
      </c>
      <c r="AD1" s="6" t="s">
        <v>512</v>
      </c>
      <c r="AE1" s="6"/>
      <c r="AF1" s="6" t="s">
        <v>5279</v>
      </c>
      <c r="AG1" s="6" t="s">
        <v>5280</v>
      </c>
      <c r="AH1" s="6"/>
    </row>
    <row r="2" spans="1:38" s="774" customFormat="1" ht="15.75" customHeight="1">
      <c r="A2" s="9"/>
      <c r="N2" s="1934"/>
      <c r="Q2" s="774" t="s">
        <v>1648</v>
      </c>
      <c r="R2" s="774" t="s">
        <v>1648</v>
      </c>
      <c r="S2" s="774" t="s">
        <v>1648</v>
      </c>
      <c r="T2" s="774" t="s">
        <v>1648</v>
      </c>
      <c r="U2" s="774" t="s">
        <v>1648</v>
      </c>
      <c r="V2" s="774" t="s">
        <v>1648</v>
      </c>
      <c r="W2" s="774" t="s">
        <v>1648</v>
      </c>
      <c r="X2" s="774" t="s">
        <v>1648</v>
      </c>
      <c r="Y2" s="774" t="s">
        <v>1648</v>
      </c>
      <c r="Z2" s="774" t="s">
        <v>1648</v>
      </c>
      <c r="AA2" s="774" t="s">
        <v>1648</v>
      </c>
      <c r="AB2" s="774" t="s">
        <v>1648</v>
      </c>
      <c r="AC2" s="774" t="s">
        <v>1648</v>
      </c>
      <c r="AD2" s="774" t="s">
        <v>1648</v>
      </c>
      <c r="AE2" s="774" t="s">
        <v>1648</v>
      </c>
      <c r="AF2" s="774" t="s">
        <v>1648</v>
      </c>
      <c r="AG2" s="774" t="s">
        <v>1648</v>
      </c>
    </row>
    <row r="3" spans="1:38" s="774" customFormat="1" ht="15.75" customHeight="1">
      <c r="A3" s="2427"/>
      <c r="N3" s="1934"/>
    </row>
    <row r="4" spans="1:38" s="24" customFormat="1" ht="24" customHeight="1">
      <c r="A4" s="9"/>
      <c r="C4" s="169" t="s">
        <v>4410</v>
      </c>
      <c r="D4" s="169"/>
      <c r="E4" s="169"/>
      <c r="F4" s="169"/>
      <c r="H4"/>
      <c r="I4" s="1897" t="s">
        <v>2067</v>
      </c>
      <c r="J4" s="1244">
        <f>Содержание!$D$2</f>
        <v>0</v>
      </c>
      <c r="S4" s="173"/>
      <c r="T4" s="173"/>
      <c r="U4" s="173"/>
    </row>
    <row r="5" spans="1:38" s="24" customFormat="1" ht="26.5" thickBot="1">
      <c r="A5" s="9"/>
      <c r="C5" s="173"/>
      <c r="D5"/>
      <c r="E5" s="173"/>
      <c r="F5" s="173"/>
      <c r="G5" s="173"/>
      <c r="H5" s="3044" t="s">
        <v>1436</v>
      </c>
      <c r="I5" s="1897" t="s">
        <v>2075</v>
      </c>
      <c r="J5" s="1244" t="str">
        <f>Содержание!$D$15</f>
        <v>2022 год</v>
      </c>
      <c r="L5" s="173"/>
      <c r="M5" s="172"/>
      <c r="N5" s="173"/>
      <c r="O5" s="173"/>
      <c r="P5" s="173"/>
      <c r="Q5" s="173"/>
      <c r="R5" s="84"/>
      <c r="W5" s="84"/>
      <c r="Z5" s="84"/>
      <c r="AD5" s="173"/>
      <c r="AE5" s="173"/>
      <c r="AF5" s="173"/>
      <c r="AG5" s="173"/>
      <c r="AH5" s="173"/>
    </row>
    <row r="6" spans="1:38" s="24" customFormat="1" ht="14.25" customHeight="1" thickBot="1">
      <c r="A6" s="9"/>
      <c r="C6" s="3675" t="s">
        <v>1792</v>
      </c>
      <c r="D6" s="3677" t="s">
        <v>5381</v>
      </c>
      <c r="E6" s="3677" t="s">
        <v>8569</v>
      </c>
      <c r="F6" s="3783" t="s">
        <v>8394</v>
      </c>
      <c r="G6" s="3677" t="s">
        <v>5383</v>
      </c>
      <c r="H6" s="3677" t="s">
        <v>5384</v>
      </c>
      <c r="I6" s="3677" t="s">
        <v>5411</v>
      </c>
      <c r="J6" s="3677" t="s">
        <v>5510</v>
      </c>
      <c r="K6" s="3677" t="s">
        <v>4208</v>
      </c>
      <c r="L6" s="3677" t="s">
        <v>5385</v>
      </c>
      <c r="M6" s="3677" t="s">
        <v>5386</v>
      </c>
      <c r="N6" s="3677" t="s">
        <v>5413</v>
      </c>
      <c r="O6" s="3677" t="s">
        <v>4664</v>
      </c>
      <c r="P6" s="3677" t="s">
        <v>4209</v>
      </c>
      <c r="Q6" s="3677" t="s">
        <v>4210</v>
      </c>
      <c r="R6" s="3862" t="s">
        <v>4679</v>
      </c>
      <c r="S6" s="3866"/>
      <c r="T6" s="3866"/>
      <c r="U6" s="3866"/>
      <c r="V6" s="3866"/>
      <c r="W6" s="3866"/>
      <c r="X6" s="3866"/>
      <c r="Y6" s="3866"/>
      <c r="Z6" s="3866"/>
      <c r="AA6" s="3866"/>
      <c r="AB6" s="3866"/>
      <c r="AC6" s="3829"/>
      <c r="AD6" s="3677" t="s">
        <v>4211</v>
      </c>
      <c r="AE6" s="3865" t="s">
        <v>5390</v>
      </c>
      <c r="AF6" s="3865"/>
      <c r="AG6" s="3865"/>
      <c r="AH6" s="3772" t="s">
        <v>4183</v>
      </c>
    </row>
    <row r="7" spans="1:38" s="24" customFormat="1" ht="91">
      <c r="A7" s="9"/>
      <c r="C7" s="3804"/>
      <c r="D7" s="3775"/>
      <c r="E7" s="3775"/>
      <c r="F7" s="3807"/>
      <c r="G7" s="3775"/>
      <c r="H7" s="3775"/>
      <c r="I7" s="3775"/>
      <c r="J7" s="3775"/>
      <c r="K7" s="3775"/>
      <c r="L7" s="3775"/>
      <c r="M7" s="3775"/>
      <c r="N7" s="3775"/>
      <c r="O7" s="3775"/>
      <c r="P7" s="3775"/>
      <c r="Q7" s="3775"/>
      <c r="R7" s="15" t="s">
        <v>4212</v>
      </c>
      <c r="S7" s="15" t="s">
        <v>1707</v>
      </c>
      <c r="T7" s="15" t="s">
        <v>4213</v>
      </c>
      <c r="U7" s="15" t="s">
        <v>4214</v>
      </c>
      <c r="V7" s="15" t="s">
        <v>5392</v>
      </c>
      <c r="W7" s="15" t="s">
        <v>2968</v>
      </c>
      <c r="X7" s="15" t="s">
        <v>1704</v>
      </c>
      <c r="Y7" s="15" t="s">
        <v>4216</v>
      </c>
      <c r="Z7" s="15" t="s">
        <v>4217</v>
      </c>
      <c r="AA7" s="15" t="s">
        <v>5393</v>
      </c>
      <c r="AB7" s="15" t="s">
        <v>4215</v>
      </c>
      <c r="AC7" s="15" t="s">
        <v>4218</v>
      </c>
      <c r="AD7" s="3775"/>
      <c r="AE7" s="217" t="s">
        <v>5398</v>
      </c>
      <c r="AF7" s="217" t="s">
        <v>5399</v>
      </c>
      <c r="AG7" s="217" t="s">
        <v>5400</v>
      </c>
      <c r="AH7" s="3778"/>
      <c r="AI7" s="2945" t="s">
        <v>8681</v>
      </c>
      <c r="AK7" s="3216" t="s">
        <v>9997</v>
      </c>
    </row>
    <row r="8" spans="1:38" s="24" customFormat="1" ht="13">
      <c r="A8" s="9"/>
      <c r="C8" s="99" t="s">
        <v>4219</v>
      </c>
      <c r="D8" s="99" t="s">
        <v>5247</v>
      </c>
      <c r="E8" s="15" t="s">
        <v>5247</v>
      </c>
      <c r="F8" s="912" t="s">
        <v>5247</v>
      </c>
      <c r="G8" s="15" t="s">
        <v>4219</v>
      </c>
      <c r="H8" s="15" t="s">
        <v>3009</v>
      </c>
      <c r="I8" s="15" t="s">
        <v>5248</v>
      </c>
      <c r="J8" s="151" t="s">
        <v>4408</v>
      </c>
      <c r="K8" s="15" t="s">
        <v>4219</v>
      </c>
      <c r="L8" s="15" t="s">
        <v>4219</v>
      </c>
      <c r="M8" s="15" t="s">
        <v>4219</v>
      </c>
      <c r="N8" s="15" t="s">
        <v>5251</v>
      </c>
      <c r="O8" s="15" t="s">
        <v>5250</v>
      </c>
      <c r="P8" s="15">
        <v>10018</v>
      </c>
      <c r="Q8" s="15" t="s">
        <v>672</v>
      </c>
      <c r="R8" s="16" t="s">
        <v>5499</v>
      </c>
      <c r="S8" s="16" t="s">
        <v>5407</v>
      </c>
      <c r="T8" s="16" t="s">
        <v>4220</v>
      </c>
      <c r="U8" s="16" t="s">
        <v>4221</v>
      </c>
      <c r="V8" s="16" t="s">
        <v>5402</v>
      </c>
      <c r="W8" s="16" t="s">
        <v>1836</v>
      </c>
      <c r="X8" s="204" t="s">
        <v>1703</v>
      </c>
      <c r="Y8" s="16" t="s">
        <v>4233</v>
      </c>
      <c r="Z8" s="16" t="s">
        <v>4222</v>
      </c>
      <c r="AA8" s="16" t="s">
        <v>5405</v>
      </c>
      <c r="AB8" s="16" t="s">
        <v>3966</v>
      </c>
      <c r="AC8" s="16" t="s">
        <v>5406</v>
      </c>
      <c r="AD8" s="15" t="s">
        <v>4163</v>
      </c>
      <c r="AE8" s="217"/>
      <c r="AF8" s="217"/>
      <c r="AG8" s="217"/>
      <c r="AH8" s="25"/>
    </row>
    <row r="9" spans="1:38" s="698" customFormat="1" ht="12.5">
      <c r="A9" s="9"/>
      <c r="B9" s="926"/>
      <c r="C9" s="1679" t="s">
        <v>4164</v>
      </c>
      <c r="D9" s="1680" t="s">
        <v>4165</v>
      </c>
      <c r="E9" s="1680" t="s">
        <v>4166</v>
      </c>
      <c r="F9" s="1680" t="s">
        <v>5500</v>
      </c>
      <c r="G9" s="1680" t="s">
        <v>4169</v>
      </c>
      <c r="H9" s="1680" t="s">
        <v>4168</v>
      </c>
      <c r="I9" s="1680" t="s">
        <v>4178</v>
      </c>
      <c r="J9" s="1675" t="s">
        <v>4179</v>
      </c>
      <c r="K9" s="1675" t="s">
        <v>4167</v>
      </c>
      <c r="L9" s="1675" t="s">
        <v>5501</v>
      </c>
      <c r="M9" s="1675" t="s">
        <v>4701</v>
      </c>
      <c r="N9" s="1675" t="s">
        <v>4702</v>
      </c>
      <c r="O9" s="1675" t="s">
        <v>4703</v>
      </c>
      <c r="P9" s="1675" t="s">
        <v>5502</v>
      </c>
      <c r="Q9" s="1675" t="s">
        <v>5503</v>
      </c>
      <c r="R9" s="1675" t="s">
        <v>5504</v>
      </c>
      <c r="S9" s="1675" t="s">
        <v>4853</v>
      </c>
      <c r="T9" s="1675" t="s">
        <v>4852</v>
      </c>
      <c r="U9" s="1675" t="s">
        <v>5505</v>
      </c>
      <c r="V9" s="1675" t="s">
        <v>4851</v>
      </c>
      <c r="W9" s="1675" t="s">
        <v>5506</v>
      </c>
      <c r="X9" s="1675" t="s">
        <v>4850</v>
      </c>
      <c r="Y9" s="1675" t="s">
        <v>3303</v>
      </c>
      <c r="Z9" s="1675" t="s">
        <v>3304</v>
      </c>
      <c r="AA9" s="1675" t="s">
        <v>3305</v>
      </c>
      <c r="AB9" s="1675" t="s">
        <v>3306</v>
      </c>
      <c r="AC9" s="1675" t="s">
        <v>3307</v>
      </c>
      <c r="AD9" s="1675" t="s">
        <v>3308</v>
      </c>
      <c r="AE9" s="1675" t="s">
        <v>3309</v>
      </c>
      <c r="AF9" s="1675" t="s">
        <v>3310</v>
      </c>
      <c r="AG9" s="1675" t="s">
        <v>3311</v>
      </c>
      <c r="AH9" s="1675" t="s">
        <v>3312</v>
      </c>
    </row>
    <row r="10" spans="1:38" s="24" customFormat="1" ht="12.5">
      <c r="A10" s="668"/>
      <c r="B10" s="927"/>
      <c r="C10" s="1681" t="s">
        <v>4184</v>
      </c>
      <c r="D10" s="946" t="s">
        <v>4184</v>
      </c>
      <c r="E10" s="946" t="s">
        <v>4184</v>
      </c>
      <c r="F10" s="946" t="s">
        <v>4184</v>
      </c>
      <c r="G10" s="946" t="s">
        <v>4184</v>
      </c>
      <c r="H10" s="946" t="s">
        <v>4184</v>
      </c>
      <c r="I10" s="946" t="s">
        <v>4184</v>
      </c>
      <c r="J10" s="176" t="s">
        <v>4184</v>
      </c>
      <c r="K10" s="946" t="s">
        <v>4184</v>
      </c>
      <c r="L10" s="946" t="s">
        <v>4184</v>
      </c>
      <c r="M10" s="946" t="s">
        <v>4184</v>
      </c>
      <c r="N10" s="946" t="s">
        <v>4184</v>
      </c>
      <c r="O10" s="946" t="s">
        <v>4184</v>
      </c>
      <c r="P10" s="893" t="s">
        <v>4184</v>
      </c>
      <c r="Q10" s="930">
        <f>SUM(Q11:Q10003)</f>
        <v>0</v>
      </c>
      <c r="R10" s="930">
        <f t="shared" ref="R10:AD10" si="0">SUM(R11:R10003)</f>
        <v>0</v>
      </c>
      <c r="S10" s="930">
        <f t="shared" si="0"/>
        <v>0</v>
      </c>
      <c r="T10" s="930">
        <f t="shared" si="0"/>
        <v>0</v>
      </c>
      <c r="U10" s="930">
        <f t="shared" si="0"/>
        <v>0</v>
      </c>
      <c r="V10" s="930">
        <f>SUM(V11:V10003)</f>
        <v>0</v>
      </c>
      <c r="W10" s="930">
        <f t="shared" si="0"/>
        <v>0</v>
      </c>
      <c r="X10" s="930">
        <f t="shared" si="0"/>
        <v>0</v>
      </c>
      <c r="Y10" s="930">
        <f t="shared" si="0"/>
        <v>0</v>
      </c>
      <c r="Z10" s="930">
        <f t="shared" si="0"/>
        <v>0</v>
      </c>
      <c r="AA10" s="930">
        <f>SUM(AA11:AA10003)</f>
        <v>0</v>
      </c>
      <c r="AB10" s="930">
        <f t="shared" si="0"/>
        <v>0</v>
      </c>
      <c r="AC10" s="930">
        <f t="shared" si="0"/>
        <v>0</v>
      </c>
      <c r="AD10" s="930">
        <f t="shared" si="0"/>
        <v>0</v>
      </c>
      <c r="AE10" s="931" t="s">
        <v>4184</v>
      </c>
      <c r="AF10" s="931" t="s">
        <v>4184</v>
      </c>
      <c r="AG10" s="931" t="s">
        <v>4184</v>
      </c>
      <c r="AH10" s="932" t="s">
        <v>4184</v>
      </c>
    </row>
    <row r="11" spans="1:38" s="24" customFormat="1" ht="78">
      <c r="A11" s="9" t="str">
        <f>"R50=7706413348XX"&amp;";R4=2090200"&amp;";R5="&amp;IFERROR(MID(AE11,FIND("{",AE11)+1,FIND("}",AE11)-FIND("{",AE11)-1),"")&amp;";COM="&amp;AH11</f>
        <v>R50=7706413348XX;R4=2090200;R5=;COM=</v>
      </c>
      <c r="B11" s="927"/>
      <c r="C11" s="1681" t="s">
        <v>4184</v>
      </c>
      <c r="D11" s="3085" t="s">
        <v>9664</v>
      </c>
      <c r="E11" s="1313" t="s">
        <v>4184</v>
      </c>
      <c r="F11" s="1313" t="s">
        <v>4184</v>
      </c>
      <c r="G11" s="1682" t="s">
        <v>4184</v>
      </c>
      <c r="H11" s="1313" t="s">
        <v>4184</v>
      </c>
      <c r="I11" s="1313" t="s">
        <v>4184</v>
      </c>
      <c r="J11" s="176" t="s">
        <v>4184</v>
      </c>
      <c r="K11" s="1682" t="s">
        <v>4184</v>
      </c>
      <c r="L11" s="1313" t="s">
        <v>4184</v>
      </c>
      <c r="M11" s="1313" t="s">
        <v>4184</v>
      </c>
      <c r="N11" s="1313" t="s">
        <v>4184</v>
      </c>
      <c r="O11" s="1313" t="s">
        <v>4184</v>
      </c>
      <c r="P11" s="1313" t="s">
        <v>4184</v>
      </c>
      <c r="Q11" s="918"/>
      <c r="R11" s="918"/>
      <c r="S11" s="934"/>
      <c r="T11" s="934"/>
      <c r="U11" s="934"/>
      <c r="V11" s="934"/>
      <c r="W11" s="934"/>
      <c r="X11" s="934"/>
      <c r="Y11" s="934"/>
      <c r="Z11" s="934"/>
      <c r="AA11" s="934"/>
      <c r="AB11" s="934"/>
      <c r="AC11" s="934"/>
      <c r="AD11" s="930">
        <f t="shared" ref="AD11:AD16" si="1">SUM(Q11:AC11)</f>
        <v>0</v>
      </c>
      <c r="AE11" s="899"/>
      <c r="AF11" s="935"/>
      <c r="AG11" s="935"/>
      <c r="AH11" s="900"/>
    </row>
    <row r="12" spans="1:38" s="24" customFormat="1">
      <c r="A12" s="9" t="str">
        <f>"R50="&amp;C12&amp;";R4="&amp;IFERROR(MID(P12,FIND("{",P12)+1,FIND("}",P12)-FIND("{",P12)-1),"")&amp;";R5="&amp;IFERROR(MID(AE12,FIND("{",AE12)+1,FIND("}",AE12)-FIND("{",AE12)-1),"")&amp;";R36="&amp;MID(F12,1,30)&amp;";R43="&amp;MID(E12,1,30)&amp;";COM="&amp;AH12</f>
        <v>R50=;R4=;R5=;R36=;R43=;COM=</v>
      </c>
      <c r="B12" s="927"/>
      <c r="C12" s="933"/>
      <c r="D12" s="1394" t="str">
        <f>IF(ISERROR(VLOOKUP($C12,Фин_договоры!$C$9:$U$32367,6,0)),"",VLOOKUP($C12,Фин_договоры!$C$9:$U$32367,6,0))</f>
        <v/>
      </c>
      <c r="E12" s="1394" t="str">
        <f>IF(ISERROR(VLOOKUP($C12,Фин_договоры!$C$9:$U$32367,7,0)),"",VLOOKUP($C12,Фин_договоры!$C$9:$U$32367,7,0))</f>
        <v/>
      </c>
      <c r="F12" s="1394" t="str">
        <f>IF(ISERROR(VLOOKUP($C12,Фин_договоры!$C$9:$U$32367,8,0)),"",VLOOKUP($C12,Фин_договоры!$C$9:$U$32367,8,0))</f>
        <v/>
      </c>
      <c r="G12" s="1683" t="str">
        <f>IF(ISERROR(VLOOKUP($C12,Фин_договоры!$C$9:$U$32367,5,0)),"",VLOOKUP($C12,Фин_договоры!$C$9:$U$32367,5,0))</f>
        <v/>
      </c>
      <c r="H12" s="1394" t="str">
        <f>IF(ISERROR(VLOOKUP($C12,Фин_договоры!$C$9:$U$32367,2,0)),"",VLOOKUP($C12,Фин_договоры!$C$9:$U$32367,2,0))</f>
        <v/>
      </c>
      <c r="I12" s="1394" t="str">
        <f>IF(ISERROR(VLOOKUP($C12,Фин_договоры!$C$9:$U$32367,19,0)),"",VLOOKUP($C12,Фин_договоры!$C$9:$U$32367,19,0))</f>
        <v/>
      </c>
      <c r="J12" s="1394" t="str">
        <f>IF(ISERROR(VLOOKUP($C12,Фин_договоры!$C$9:$U$32367,11,0)),"",VLOOKUP($C12,Фин_договоры!$C$9:$U$32367,11,0))</f>
        <v/>
      </c>
      <c r="K12" s="1683" t="str">
        <f>IF(ISERROR(VLOOKUP($C12,Фин_договоры!$C$9:$U$32367,12,0)),"",VLOOKUP($C12,Фин_договоры!$C$9:$U$32367,12,0))</f>
        <v/>
      </c>
      <c r="L12" s="1394" t="str">
        <f>IF(ISERROR(VLOOKUP($C12,Фин_договоры!$C$9:$U$32367,14,0)),"",VLOOKUP($C12,Фин_договоры!$C$9:$U$32367,14,0))</f>
        <v/>
      </c>
      <c r="M12" s="1394" t="str">
        <f>IF(ISERROR(VLOOKUP($C12,Фин_договоры!$C$9:$U$32367,15,0)),"",VLOOKUP($C12,Фин_договоры!$C$9:$U$32367,15,0))</f>
        <v/>
      </c>
      <c r="N12" s="1394" t="str">
        <f>IF(ISERROR(VLOOKUP($C12,Фин_договоры!$C$9:$U$32367,18,0)),"",VLOOKUP($C12,Фин_договоры!$C$9:$U$32367,18,0))</f>
        <v/>
      </c>
      <c r="O12" s="1394" t="str">
        <f>IF(ISERROR(VLOOKUP($C12,Фин_договоры!$C$9:$U$32367,16,0)),"",VLOOKUP($C12,Фин_договоры!$C$9:$U$32367,16,0))</f>
        <v/>
      </c>
      <c r="P12" s="918"/>
      <c r="Q12" s="918"/>
      <c r="R12" s="918"/>
      <c r="S12" s="934"/>
      <c r="T12" s="934"/>
      <c r="U12" s="934"/>
      <c r="V12" s="934"/>
      <c r="W12" s="934"/>
      <c r="X12" s="934"/>
      <c r="Y12" s="934"/>
      <c r="Z12" s="934"/>
      <c r="AA12" s="934"/>
      <c r="AB12" s="934"/>
      <c r="AC12" s="934"/>
      <c r="AD12" s="930">
        <f t="shared" si="1"/>
        <v>0</v>
      </c>
      <c r="AE12" s="899"/>
      <c r="AF12" s="935"/>
      <c r="AG12" s="935"/>
      <c r="AH12" s="900"/>
      <c r="AI12" s="2130" t="b">
        <f>IF(C12="",TRUE,IF(OR(H12="{22} Облигации",H12="{11} Акции"),AND(IF(C12&lt;&gt;"",I12&gt;0,I12=0),IF(C12&lt;&gt;"",N12&gt;0,N12=0)),IF(OR(H12="{12} Паи и доли",H12="{21} Векселя"),IF(I12&lt;&gt;"",I12&gt;0,I12=0),AND(I12=0,N12=0))))</f>
        <v>1</v>
      </c>
      <c r="AJ12" s="2130" t="b">
        <f>IF(OR(H12=$AL$12,H12=$AL$13,H12=$AL$14,H12=$AL$15,H12=$AL$16,COUNTBLANK(Q12:AC12)=13),TRUE,FALSE)</f>
        <v>1</v>
      </c>
      <c r="AK12" s="2130" t="b">
        <f>IF(C12&lt;&gt;"",P12&lt;&gt;"",TRUE)</f>
        <v>1</v>
      </c>
      <c r="AL12" s="1996" t="s">
        <v>3001</v>
      </c>
    </row>
    <row r="13" spans="1:38" s="24" customFormat="1">
      <c r="A13" s="9" t="str">
        <f t="shared" ref="A13:A16" si="2">"R50="&amp;C13&amp;";R4="&amp;IFERROR(MID(P13,FIND("{",P13)+1,FIND("}",P13)-FIND("{",P13)-1),"")&amp;";R5="&amp;IFERROR(MID(AE13,FIND("{",AE13)+1,FIND("}",AE13)-FIND("{",AE13)-1),"")&amp;";R36="&amp;MID(F13,1,30)&amp;";R43="&amp;MID(E13,1,30)&amp;";COM="&amp;AH13</f>
        <v>R50=;R4=;R5=;R36=;R43=;COM=</v>
      </c>
      <c r="B13" s="927"/>
      <c r="C13" s="933"/>
      <c r="D13" s="1394" t="str">
        <f>IF(ISERROR(VLOOKUP($C13,Фин_договоры!$C$9:$U$32367,6,0)),"",VLOOKUP($C13,Фин_договоры!$C$9:$U$32367,6,0))</f>
        <v/>
      </c>
      <c r="E13" s="1394" t="str">
        <f>IF(ISERROR(VLOOKUP($C13,Фин_договоры!$C$9:$U$32367,7,0)),"",VLOOKUP($C13,Фин_договоры!$C$9:$U$32367,7,0))</f>
        <v/>
      </c>
      <c r="F13" s="1394" t="str">
        <f>IF(ISERROR(VLOOKUP($C13,Фин_договоры!$C$9:$U$32367,8,0)),"",VLOOKUP($C13,Фин_договоры!$C$9:$U$32367,8,0))</f>
        <v/>
      </c>
      <c r="G13" s="1683" t="str">
        <f>IF(ISERROR(VLOOKUP($C13,Фин_договоры!$C$9:$U$32367,5,0)),"",VLOOKUP($C13,Фин_договоры!$C$9:$U$32367,5,0))</f>
        <v/>
      </c>
      <c r="H13" s="1394" t="str">
        <f>IF(ISERROR(VLOOKUP($C13,Фин_договоры!$C$9:$U$32367,2,0)),"",VLOOKUP($C13,Фин_договоры!$C$9:$U$32367,2,0))</f>
        <v/>
      </c>
      <c r="I13" s="1394" t="str">
        <f>IF(ISERROR(VLOOKUP($C13,Фин_договоры!$C$9:$U$32367,19,0)),"",VLOOKUP($C13,Фин_договоры!$C$9:$U$32367,19,0))</f>
        <v/>
      </c>
      <c r="J13" s="1394" t="str">
        <f>IF(ISERROR(VLOOKUP($C13,Фин_договоры!$C$9:$U$32367,11,0)),"",VLOOKUP($C13,Фин_договоры!$C$9:$U$32367,11,0))</f>
        <v/>
      </c>
      <c r="K13" s="1683" t="str">
        <f>IF(ISERROR(VLOOKUP($C13,Фин_договоры!$C$9:$U$32367,12,0)),"",VLOOKUP($C13,Фин_договоры!$C$9:$U$32367,12,0))</f>
        <v/>
      </c>
      <c r="L13" s="1394" t="str">
        <f>IF(ISERROR(VLOOKUP($C13,Фин_договоры!$C$9:$U$32367,14,0)),"",VLOOKUP($C13,Фин_договоры!$C$9:$U$32367,14,0))</f>
        <v/>
      </c>
      <c r="M13" s="1394" t="str">
        <f>IF(ISERROR(VLOOKUP($C13,Фин_договоры!$C$9:$U$32367,15,0)),"",VLOOKUP($C13,Фин_договоры!$C$9:$U$32367,15,0))</f>
        <v/>
      </c>
      <c r="N13" s="1394" t="str">
        <f>IF(ISERROR(VLOOKUP($C13,Фин_договоры!$C$9:$U$32367,18,0)),"",VLOOKUP($C13,Фин_договоры!$C$9:$U$32367,18,0))</f>
        <v/>
      </c>
      <c r="O13" s="1394" t="str">
        <f>IF(ISERROR(VLOOKUP($C13,Фин_договоры!$C$9:$U$32367,16,0)),"",VLOOKUP($C13,Фин_договоры!$C$9:$U$32367,16,0))</f>
        <v/>
      </c>
      <c r="P13" s="918"/>
      <c r="Q13" s="918"/>
      <c r="R13" s="918"/>
      <c r="S13" s="934"/>
      <c r="T13" s="934"/>
      <c r="U13" s="934"/>
      <c r="V13" s="934"/>
      <c r="W13" s="934"/>
      <c r="X13" s="934"/>
      <c r="Y13" s="934"/>
      <c r="Z13" s="934"/>
      <c r="AA13" s="934"/>
      <c r="AB13" s="934"/>
      <c r="AC13" s="934"/>
      <c r="AD13" s="930">
        <f t="shared" si="1"/>
        <v>0</v>
      </c>
      <c r="AE13" s="899"/>
      <c r="AF13" s="935"/>
      <c r="AG13" s="935"/>
      <c r="AH13" s="900"/>
      <c r="AI13" s="2130" t="b">
        <f t="shared" ref="AI13:AI16" si="3">IF(C13="",TRUE,IF(OR(H13="{22} Облигации",H13="{11} Акции"),AND(IF(C13&lt;&gt;"",I13&gt;0,I13=0),IF(C13&lt;&gt;"",N13&gt;0,N13=0)),IF(OR(H13="{12} Паи и доли",H13="{21} Векселя"),IF(I13&lt;&gt;"",I13&gt;0,I13=0),AND(I13=0,N13=0))))</f>
        <v>1</v>
      </c>
      <c r="AJ13" s="2130" t="b">
        <f t="shared" ref="AJ13:AJ16" si="4">IF(OR(H13=$AL$12,H13=$AL$13,H13=$AL$14,H13=$AL$15,H13=$AL$16,COUNTBLANK(Q13:AC13)=13),TRUE,FALSE)</f>
        <v>1</v>
      </c>
      <c r="AK13" s="2130" t="b">
        <f t="shared" ref="AK13:AK16" si="5">IF(C13&lt;&gt;"",P13&lt;&gt;"",TRUE)</f>
        <v>1</v>
      </c>
      <c r="AL13" s="1996" t="s">
        <v>3002</v>
      </c>
    </row>
    <row r="14" spans="1:38" s="24" customFormat="1">
      <c r="A14" s="9" t="str">
        <f t="shared" si="2"/>
        <v>R50=;R4=;R5=;R36=;R43=;COM=</v>
      </c>
      <c r="B14" s="927"/>
      <c r="C14" s="933"/>
      <c r="D14" s="1394" t="str">
        <f>IF(ISERROR(VLOOKUP($C14,Фин_договоры!$C$9:$U$32367,6,0)),"",VLOOKUP($C14,Фин_договоры!$C$9:$U$32367,6,0))</f>
        <v/>
      </c>
      <c r="E14" s="1394" t="str">
        <f>IF(ISERROR(VLOOKUP($C14,Фин_договоры!$C$9:$U$32367,7,0)),"",VLOOKUP($C14,Фин_договоры!$C$9:$U$32367,7,0))</f>
        <v/>
      </c>
      <c r="F14" s="1394" t="str">
        <f>IF(ISERROR(VLOOKUP($C14,Фин_договоры!$C$9:$U$32367,8,0)),"",VLOOKUP($C14,Фин_договоры!$C$9:$U$32367,8,0))</f>
        <v/>
      </c>
      <c r="G14" s="1683" t="str">
        <f>IF(ISERROR(VLOOKUP($C14,Фин_договоры!$C$9:$U$32367,5,0)),"",VLOOKUP($C14,Фин_договоры!$C$9:$U$32367,5,0))</f>
        <v/>
      </c>
      <c r="H14" s="1394" t="str">
        <f>IF(ISERROR(VLOOKUP($C14,Фин_договоры!$C$9:$U$32367,2,0)),"",VLOOKUP($C14,Фин_договоры!$C$9:$U$32367,2,0))</f>
        <v/>
      </c>
      <c r="I14" s="1394" t="str">
        <f>IF(ISERROR(VLOOKUP($C14,Фин_договоры!$C$9:$U$32367,19,0)),"",VLOOKUP($C14,Фин_договоры!$C$9:$U$32367,19,0))</f>
        <v/>
      </c>
      <c r="J14" s="1394" t="str">
        <f>IF(ISERROR(VLOOKUP($C14,Фин_договоры!$C$9:$U$32367,11,0)),"",VLOOKUP($C14,Фин_договоры!$C$9:$U$32367,11,0))</f>
        <v/>
      </c>
      <c r="K14" s="1683" t="str">
        <f>IF(ISERROR(VLOOKUP($C14,Фин_договоры!$C$9:$U$32367,12,0)),"",VLOOKUP($C14,Фин_договоры!$C$9:$U$32367,12,0))</f>
        <v/>
      </c>
      <c r="L14" s="1394" t="str">
        <f>IF(ISERROR(VLOOKUP($C14,Фин_договоры!$C$9:$U$32367,14,0)),"",VLOOKUP($C14,Фин_договоры!$C$9:$U$32367,14,0))</f>
        <v/>
      </c>
      <c r="M14" s="1394" t="str">
        <f>IF(ISERROR(VLOOKUP($C14,Фин_договоры!$C$9:$U$32367,15,0)),"",VLOOKUP($C14,Фин_договоры!$C$9:$U$32367,15,0))</f>
        <v/>
      </c>
      <c r="N14" s="1394" t="str">
        <f>IF(ISERROR(VLOOKUP($C14,Фин_договоры!$C$9:$U$32367,18,0)),"",VLOOKUP($C14,Фин_договоры!$C$9:$U$32367,18,0))</f>
        <v/>
      </c>
      <c r="O14" s="1394" t="str">
        <f>IF(ISERROR(VLOOKUP($C14,Фин_договоры!$C$9:$U$32367,16,0)),"",VLOOKUP($C14,Фин_договоры!$C$9:$U$32367,16,0))</f>
        <v/>
      </c>
      <c r="P14" s="918"/>
      <c r="Q14" s="918"/>
      <c r="R14" s="918"/>
      <c r="S14" s="934"/>
      <c r="T14" s="934"/>
      <c r="U14" s="934"/>
      <c r="V14" s="934"/>
      <c r="W14" s="934"/>
      <c r="X14" s="934"/>
      <c r="Y14" s="934"/>
      <c r="Z14" s="934"/>
      <c r="AA14" s="934"/>
      <c r="AB14" s="934"/>
      <c r="AC14" s="934"/>
      <c r="AD14" s="930">
        <f t="shared" si="1"/>
        <v>0</v>
      </c>
      <c r="AE14" s="899"/>
      <c r="AF14" s="935"/>
      <c r="AG14" s="935"/>
      <c r="AH14" s="900"/>
      <c r="AI14" s="2130" t="b">
        <f t="shared" si="3"/>
        <v>1</v>
      </c>
      <c r="AJ14" s="2130" t="b">
        <f t="shared" si="4"/>
        <v>1</v>
      </c>
      <c r="AK14" s="2130" t="b">
        <f t="shared" si="5"/>
        <v>1</v>
      </c>
      <c r="AL14" s="1996" t="s">
        <v>3004</v>
      </c>
    </row>
    <row r="15" spans="1:38" s="24" customFormat="1">
      <c r="A15" s="9" t="str">
        <f t="shared" si="2"/>
        <v>R50=;R4=;R5=;R36=;R43=;COM=</v>
      </c>
      <c r="B15" s="927"/>
      <c r="C15" s="933"/>
      <c r="D15" s="1394" t="str">
        <f>IF(ISERROR(VLOOKUP($C15,Фин_договоры!$C$9:$U$32367,6,0)),"",VLOOKUP($C15,Фин_договоры!$C$9:$U$32367,6,0))</f>
        <v/>
      </c>
      <c r="E15" s="1394" t="str">
        <f>IF(ISERROR(VLOOKUP($C15,Фин_договоры!$C$9:$U$32367,7,0)),"",VLOOKUP($C15,Фин_договоры!$C$9:$U$32367,7,0))</f>
        <v/>
      </c>
      <c r="F15" s="1394" t="str">
        <f>IF(ISERROR(VLOOKUP($C15,Фин_договоры!$C$9:$U$32367,8,0)),"",VLOOKUP($C15,Фин_договоры!$C$9:$U$32367,8,0))</f>
        <v/>
      </c>
      <c r="G15" s="1683" t="str">
        <f>IF(ISERROR(VLOOKUP($C15,Фин_договоры!$C$9:$U$32367,5,0)),"",VLOOKUP($C15,Фин_договоры!$C$9:$U$32367,5,0))</f>
        <v/>
      </c>
      <c r="H15" s="1394" t="str">
        <f>IF(ISERROR(VLOOKUP($C15,Фин_договоры!$C$9:$U$32367,2,0)),"",VLOOKUP($C15,Фин_договоры!$C$9:$U$32367,2,0))</f>
        <v/>
      </c>
      <c r="I15" s="1394" t="str">
        <f>IF(ISERROR(VLOOKUP($C15,Фин_договоры!$C$9:$U$32367,19,0)),"",VLOOKUP($C15,Фин_договоры!$C$9:$U$32367,19,0))</f>
        <v/>
      </c>
      <c r="J15" s="1394" t="str">
        <f>IF(ISERROR(VLOOKUP($C15,Фин_договоры!$C$9:$U$32367,11,0)),"",VLOOKUP($C15,Фин_договоры!$C$9:$U$32367,11,0))</f>
        <v/>
      </c>
      <c r="K15" s="1683" t="str">
        <f>IF(ISERROR(VLOOKUP($C15,Фин_договоры!$C$9:$U$32367,12,0)),"",VLOOKUP($C15,Фин_договоры!$C$9:$U$32367,12,0))</f>
        <v/>
      </c>
      <c r="L15" s="1394" t="str">
        <f>IF(ISERROR(VLOOKUP($C15,Фин_договоры!$C$9:$U$32367,14,0)),"",VLOOKUP($C15,Фин_договоры!$C$9:$U$32367,14,0))</f>
        <v/>
      </c>
      <c r="M15" s="1394" t="str">
        <f>IF(ISERROR(VLOOKUP($C15,Фин_договоры!$C$9:$U$32367,15,0)),"",VLOOKUP($C15,Фин_договоры!$C$9:$U$32367,15,0))</f>
        <v/>
      </c>
      <c r="N15" s="1394" t="str">
        <f>IF(ISERROR(VLOOKUP($C15,Фин_договоры!$C$9:$U$32367,18,0)),"",VLOOKUP($C15,Фин_договоры!$C$9:$U$32367,18,0))</f>
        <v/>
      </c>
      <c r="O15" s="1394" t="str">
        <f>IF(ISERROR(VLOOKUP($C15,Фин_договоры!$C$9:$U$32367,16,0)),"",VLOOKUP($C15,Фин_договоры!$C$9:$U$32367,16,0))</f>
        <v/>
      </c>
      <c r="P15" s="918"/>
      <c r="Q15" s="918"/>
      <c r="R15" s="918"/>
      <c r="S15" s="934"/>
      <c r="T15" s="934"/>
      <c r="U15" s="934"/>
      <c r="V15" s="934"/>
      <c r="W15" s="934"/>
      <c r="X15" s="934"/>
      <c r="Y15" s="934"/>
      <c r="Z15" s="934"/>
      <c r="AA15" s="934"/>
      <c r="AB15" s="934"/>
      <c r="AC15" s="934"/>
      <c r="AD15" s="930">
        <f t="shared" si="1"/>
        <v>0</v>
      </c>
      <c r="AE15" s="899"/>
      <c r="AF15" s="935"/>
      <c r="AG15" s="935"/>
      <c r="AH15" s="900"/>
      <c r="AI15" s="2130" t="b">
        <f t="shared" si="3"/>
        <v>1</v>
      </c>
      <c r="AJ15" s="2130" t="b">
        <f t="shared" si="4"/>
        <v>1</v>
      </c>
      <c r="AK15" s="2130" t="b">
        <f t="shared" si="5"/>
        <v>1</v>
      </c>
      <c r="AL15" s="1996" t="s">
        <v>3005</v>
      </c>
    </row>
    <row r="16" spans="1:38" s="24" customFormat="1" ht="15" thickBot="1">
      <c r="A16" s="9" t="str">
        <f t="shared" si="2"/>
        <v>R50=;R4=;R5=;R36=;R43=;COM=</v>
      </c>
      <c r="B16" s="927"/>
      <c r="C16" s="925"/>
      <c r="D16" s="1512" t="str">
        <f>IF(ISERROR(VLOOKUP($C16,Фин_договоры!$C$9:$U$32367,6,0)),"",VLOOKUP($C16,Фин_договоры!$C$9:$U$32367,6,0))</f>
        <v/>
      </c>
      <c r="E16" s="1512" t="str">
        <f>IF(ISERROR(VLOOKUP($C16,Фин_договоры!$C$9:$U$32367,7,0)),"",VLOOKUP($C16,Фин_договоры!$C$9:$U$32367,7,0))</f>
        <v/>
      </c>
      <c r="F16" s="2368" t="str">
        <f>IF(ISERROR(VLOOKUP($C16,Фин_договоры!$C$9:$U$32367,8,0)),"",VLOOKUP($C16,Фин_договоры!$C$9:$U$32367,8,0))</f>
        <v/>
      </c>
      <c r="G16" s="2369" t="str">
        <f>IF(ISERROR(VLOOKUP($C16,Фин_договоры!$C$9:$U$32367,5,0)),"",VLOOKUP($C16,Фин_договоры!$C$9:$U$32367,5,0))</f>
        <v/>
      </c>
      <c r="H16" s="2368" t="str">
        <f>IF(ISERROR(VLOOKUP($C16,Фин_договоры!$C$9:$U$32367,2,0)),"",VLOOKUP($C16,Фин_договоры!$C$9:$U$32367,2,0))</f>
        <v/>
      </c>
      <c r="I16" s="2368" t="str">
        <f>IF(ISERROR(VLOOKUP($C16,Фин_договоры!$C$9:$U$32367,19,0)),"",VLOOKUP($C16,Фин_договоры!$C$9:$U$32367,19,0))</f>
        <v/>
      </c>
      <c r="J16" s="2368" t="str">
        <f>IF(ISERROR(VLOOKUP($C16,Фин_договоры!$C$9:$U$32367,11,0)),"",VLOOKUP($C16,Фин_договоры!$C$9:$U$32367,11,0))</f>
        <v/>
      </c>
      <c r="K16" s="2369" t="str">
        <f>IF(ISERROR(VLOOKUP($C16,Фин_договоры!$C$9:$U$32367,12,0)),"",VLOOKUP($C16,Фин_договоры!$C$9:$U$32367,12,0))</f>
        <v/>
      </c>
      <c r="L16" s="2368" t="str">
        <f>IF(ISERROR(VLOOKUP($C16,Фин_договоры!$C$9:$U$32367,14,0)),"",VLOOKUP($C16,Фин_договоры!$C$9:$U$32367,14,0))</f>
        <v/>
      </c>
      <c r="M16" s="2368" t="str">
        <f>IF(ISERROR(VLOOKUP($C16,Фин_договоры!$C$9:$U$32367,15,0)),"",VLOOKUP($C16,Фин_договоры!$C$9:$U$32367,15,0))</f>
        <v/>
      </c>
      <c r="N16" s="2368" t="str">
        <f>IF(ISERROR(VLOOKUP($C16,Фин_договоры!$C$9:$U$32367,18,0)),"",VLOOKUP($C16,Фин_договоры!$C$9:$U$32367,18,0))</f>
        <v/>
      </c>
      <c r="O16" s="2368" t="str">
        <f>IF(ISERROR(VLOOKUP($C16,Фин_договоры!$C$9:$U$32367,16,0)),"",VLOOKUP($C16,Фин_договоры!$C$9:$U$32367,16,0))</f>
        <v/>
      </c>
      <c r="P16" s="923"/>
      <c r="Q16" s="936"/>
      <c r="R16" s="923"/>
      <c r="S16" s="936"/>
      <c r="T16" s="936"/>
      <c r="U16" s="936"/>
      <c r="V16" s="936"/>
      <c r="W16" s="936"/>
      <c r="X16" s="936"/>
      <c r="Y16" s="936"/>
      <c r="Z16" s="936"/>
      <c r="AA16" s="936"/>
      <c r="AB16" s="936"/>
      <c r="AC16" s="936"/>
      <c r="AD16" s="937">
        <f t="shared" si="1"/>
        <v>0</v>
      </c>
      <c r="AE16" s="904"/>
      <c r="AF16" s="938"/>
      <c r="AG16" s="938"/>
      <c r="AH16" s="905"/>
      <c r="AI16" s="2130" t="b">
        <f t="shared" si="3"/>
        <v>1</v>
      </c>
      <c r="AJ16" s="2130" t="b">
        <f t="shared" si="4"/>
        <v>1</v>
      </c>
      <c r="AK16" s="2130" t="b">
        <f t="shared" si="5"/>
        <v>1</v>
      </c>
      <c r="AL16" s="1996" t="s">
        <v>3006</v>
      </c>
    </row>
    <row r="17" spans="1:1">
      <c r="A17" s="9"/>
    </row>
    <row r="18" spans="1:1">
      <c r="A18" s="9"/>
    </row>
    <row r="19" spans="1:1">
      <c r="A19" s="9"/>
    </row>
    <row r="20" spans="1:1">
      <c r="A20" s="9"/>
    </row>
    <row r="21" spans="1:1">
      <c r="A21" s="9"/>
    </row>
    <row r="22" spans="1:1">
      <c r="A22" s="9"/>
    </row>
    <row r="23" spans="1:1">
      <c r="A23" s="9"/>
    </row>
    <row r="24" spans="1:1">
      <c r="A24" s="9"/>
    </row>
    <row r="25" spans="1:1">
      <c r="A25" s="9"/>
    </row>
    <row r="26" spans="1:1">
      <c r="A26" s="9"/>
    </row>
    <row r="27" spans="1:1">
      <c r="A27" s="9"/>
    </row>
    <row r="28" spans="1:1">
      <c r="A28" s="9"/>
    </row>
    <row r="29" spans="1:1">
      <c r="A29" s="9"/>
    </row>
    <row r="30" spans="1:1">
      <c r="A30" s="9"/>
    </row>
    <row r="31" spans="1:1">
      <c r="A31" s="9"/>
    </row>
    <row r="32" spans="1:1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</sheetData>
  <sheetProtection algorithmName="SHA-512" hashValue="WtY9unxAHy5Z0oCqAkuWMXpbtf49+clzkKwdhN88ZFS4hyGk/w7CD2GmeYAeM/MHFvUa2pyoVuGmbAKwmpFS1g==" saltValue="vo7LZ1xIwAC5t0bMiLZmxA==" spinCount="100000" sheet="1" objects="1" scenarios="1" formatColumns="0" formatRows="0" autoFilter="0"/>
  <autoFilter ref="C9:AK9"/>
  <customSheetViews>
    <customSheetView guid="{3769259D-9653-4B34-A2F6-4FB6F9F4E533}" scale="85" showGridLines="0" showAutoFilter="1" hiddenRows="1" hiddenColumns="1">
      <pane xSplit="6" ySplit="10" topLeftCell="G11" activePane="bottomRight" state="frozen"/>
      <selection pane="bottomRight" activeCell="N8" sqref="N8"/>
      <pageMargins left="0.7" right="0.7" top="0.75" bottom="0.75" header="0.3" footer="0.3"/>
      <pageSetup orientation="portrait" r:id="rId1"/>
      <autoFilter ref="B1:AE1"/>
    </customSheetView>
    <customSheetView guid="{40D7A2BB-326C-4ED3-999C-17852F56D6F4}" scale="85" showGridLines="0" showAutoFilter="1" hiddenRows="1" hiddenColumns="1">
      <pane xSplit="6" ySplit="10" topLeftCell="G11" activePane="bottomRight" state="frozen"/>
      <selection pane="bottomRight" activeCell="N8" sqref="N8"/>
      <pageMargins left="0.7" right="0.7" top="0.75" bottom="0.75" header="0.3" footer="0.3"/>
      <pageSetup orientation="portrait" r:id="rId2"/>
      <autoFilter ref="B1:AE1"/>
    </customSheetView>
    <customSheetView guid="{5D121940-0CE8-4A0E-A493-67FAAA6E0FF8}" scale="85" showGridLines="0" showAutoFilter="1" hiddenRows="1" hiddenColumns="1" topLeftCell="B2">
      <pane xSplit="5" ySplit="9" topLeftCell="J11" activePane="bottomRight" state="frozen"/>
      <selection pane="bottomRight" activeCell="N8" sqref="N8"/>
      <pageMargins left="0.7" right="0.7" top="0.75" bottom="0.75" header="0.3" footer="0.3"/>
      <pageSetup orientation="portrait" r:id="rId3"/>
      <autoFilter ref="B1:AE1"/>
    </customSheetView>
    <customSheetView guid="{47AEACC4-6EA5-412C-AF39-A6C5357B313A}" scale="85" showGridLines="0" showAutoFilter="1" hiddenRows="1" hiddenColumns="1" topLeftCell="B2">
      <pane xSplit="5" ySplit="9" topLeftCell="R11" activePane="bottomRight" state="frozen"/>
      <selection pane="bottomRight" activeCell="U8" sqref="U8"/>
      <pageMargins left="0.7" right="0.7" top="0.75" bottom="0.75" header="0.3" footer="0.3"/>
      <pageSetup orientation="portrait" r:id="rId4"/>
      <autoFilter ref="B1:AE1"/>
    </customSheetView>
    <customSheetView guid="{4D957B38-5430-481E-B791-E0A66F913B50}" scale="70" hiddenColumns="1">
      <selection activeCell="A29" sqref="A29"/>
      <pageMargins left="0.7" right="0.7" top="0.75" bottom="0.75" header="0.3" footer="0.3"/>
      <pageSetup orientation="portrait" r:id="rId5"/>
    </customSheetView>
    <customSheetView guid="{1C36793E-2B7E-411E-AA99-985D5D59B75A}" scale="70">
      <selection activeCell="N12" sqref="N12"/>
      <pageMargins left="0.7" right="0.7" top="0.75" bottom="0.75" header="0.3" footer="0.3"/>
      <pageSetup orientation="portrait" r:id="rId6"/>
    </customSheetView>
    <customSheetView guid="{C913A9E8-661B-40A4-A3C9-1BC5F2B2E9F0}" scale="85" showGridLines="0" showAutoFilter="1" hiddenRows="1" hiddenColumns="1" topLeftCell="B2">
      <pane xSplit="5" ySplit="9" topLeftCell="J11" activePane="bottomRight" state="frozen"/>
      <selection pane="bottomRight" activeCell="N8" sqref="N8"/>
      <pageMargins left="0.7" right="0.7" top="0.75" bottom="0.75" header="0.3" footer="0.3"/>
      <pageSetup orientation="portrait" r:id="rId7"/>
      <autoFilter ref="B1:AE1"/>
    </customSheetView>
  </customSheetViews>
  <mergeCells count="19">
    <mergeCell ref="K6:K7"/>
    <mergeCell ref="D6:D7"/>
    <mergeCell ref="E6:E7"/>
    <mergeCell ref="C6:C7"/>
    <mergeCell ref="G6:G7"/>
    <mergeCell ref="H6:H7"/>
    <mergeCell ref="I6:I7"/>
    <mergeCell ref="F6:F7"/>
    <mergeCell ref="J6:J7"/>
    <mergeCell ref="L6:L7"/>
    <mergeCell ref="AH6:AH7"/>
    <mergeCell ref="Q6:Q7"/>
    <mergeCell ref="AD6:AD7"/>
    <mergeCell ref="AE6:AG6"/>
    <mergeCell ref="P6:P7"/>
    <mergeCell ref="M6:M7"/>
    <mergeCell ref="N6:N7"/>
    <mergeCell ref="O6:O7"/>
    <mergeCell ref="R6:AC6"/>
  </mergeCells>
  <phoneticPr fontId="0" type="noConversion"/>
  <dataValidations count="11">
    <dataValidation type="list" operator="equal" allowBlank="1" showErrorMessage="1" errorTitle="Выбор элемента списка" error="Данного элемента нет в списке" sqref="AE65522:AE65528">
      <formula1>_2780_</formula1>
    </dataValidation>
    <dataValidation operator="equal" allowBlank="1" showInputMessage="1" prompt="Дата в формате ДД.ММ.ГГГГ (01.01.2010)" sqref="K65522:K65528 G65522:G65528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H65522:H65528">
      <formula1>_2420_2421_58_03_</formula1>
    </dataValidation>
    <dataValidation type="list" operator="equal" allowBlank="1" showErrorMessage="1" errorTitle="Выбор элемента списка" error="Данного элемента нет в списке" sqref="I65522:J65528">
      <formula1>_2422_</formula1>
    </dataValidation>
    <dataValidation type="list" operator="equal" allowBlank="1" showErrorMessage="1" errorTitle="Выбор элемента списка" error="Данного элемента нет в списке" sqref="L65522:L65528">
      <formula1>_Да_Нет_</formula1>
    </dataValidation>
    <dataValidation type="list" operator="equal" allowBlank="1" showErrorMessage="1" errorTitle="Выбор элемента списка" error="Данного элемента нет в списке" sqref="N65522:N65528">
      <formula1>_2430_</formula1>
    </dataValidation>
    <dataValidation type="list" operator="equal" allowBlank="1" showErrorMessage="1" errorTitle="Выбор элемента списка" error="Данного элемента нет в списке" sqref="O65522:O65528">
      <formula1>_6003_</formula1>
    </dataValidation>
    <dataValidation type="list" operator="equal" allowBlank="1" showErrorMessage="1" errorTitle="Выбор элемента списка" error="Данного элемента нет в списке" sqref="P65522:P65528">
      <formula1>_2090_</formula1>
    </dataValidation>
    <dataValidation type="list" allowBlank="1" showInputMessage="1" showErrorMessage="1" sqref="C12:C16">
      <formula1>dogovor_fin</formula1>
    </dataValidation>
    <dataValidation type="list" allowBlank="1" showInputMessage="1" showErrorMessage="1" sqref="P12:P16">
      <formula1>_9018</formula1>
    </dataValidation>
    <dataValidation type="list" operator="equal" allowBlank="1" showErrorMessage="1" errorTitle="Выбор элемента списка" error="Данного элемента нет в списке" sqref="AE11:AE16">
      <formula1>_2780</formula1>
    </dataValidation>
  </dataValidations>
  <hyperlinks>
    <hyperlink ref="H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6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11" name="Button 1">
              <controlPr defaultSize="0" print="0" autoFill="0" autoPict="0" macro="[0]!AddButtonsRowAdd">
                <anchor moveWithCells="1">
                  <from>
                    <xdr:col>12</xdr:col>
                    <xdr:colOff>565150</xdr:colOff>
                    <xdr:row>1</xdr:row>
                    <xdr:rowOff>38100</xdr:rowOff>
                  </from>
                  <to>
                    <xdr:col>13</xdr:col>
                    <xdr:colOff>869950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12" name="Button 34">
              <controlPr defaultSize="0" print="0" autoFill="0" autoPict="0" macro="[0]!AddButtonsRowAdd">
                <anchor moveWithCells="1">
                  <from>
                    <xdr:col>12</xdr:col>
                    <xdr:colOff>565150</xdr:colOff>
                    <xdr:row>1</xdr:row>
                    <xdr:rowOff>38100</xdr:rowOff>
                  </from>
                  <to>
                    <xdr:col>13</xdr:col>
                    <xdr:colOff>869950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>
    <pageSetUpPr fitToPage="1"/>
  </sheetPr>
  <dimension ref="A1:AH22"/>
  <sheetViews>
    <sheetView topLeftCell="R2" zoomScale="53" zoomScaleNormal="53" workbookViewId="0">
      <selection activeCell="AA8" sqref="AA8"/>
    </sheetView>
  </sheetViews>
  <sheetFormatPr defaultColWidth="9.453125" defaultRowHeight="14.5"/>
  <cols>
    <col min="1" max="1" width="33.54296875" style="522" hidden="1" customWidth="1"/>
    <col min="2" max="2" width="3.54296875" style="32" customWidth="1"/>
    <col min="3" max="3" width="28.54296875" style="588" bestFit="1" customWidth="1"/>
    <col min="4" max="4" width="31.453125" style="32" bestFit="1" customWidth="1"/>
    <col min="5" max="5" width="31.453125" style="32" customWidth="1"/>
    <col min="6" max="6" width="30.453125" style="32" customWidth="1"/>
    <col min="7" max="7" width="17.453125" style="32" customWidth="1"/>
    <col min="8" max="8" width="26.453125" style="32" customWidth="1"/>
    <col min="9" max="9" width="22.54296875" style="32" bestFit="1" customWidth="1"/>
    <col min="10" max="10" width="14" style="2093" customWidth="1"/>
    <col min="11" max="11" width="16.453125" style="32" bestFit="1" customWidth="1"/>
    <col min="12" max="12" width="27.54296875" style="32" bestFit="1" customWidth="1"/>
    <col min="13" max="13" width="26.453125" style="32" bestFit="1" customWidth="1"/>
    <col min="14" max="14" width="21.54296875" style="32" bestFit="1" customWidth="1"/>
    <col min="15" max="16" width="15.453125" style="32" customWidth="1"/>
    <col min="17" max="17" width="17.54296875" style="32" customWidth="1"/>
    <col min="18" max="21" width="15.453125" style="32" customWidth="1"/>
    <col min="22" max="22" width="17.453125" style="32" customWidth="1"/>
    <col min="23" max="23" width="15.453125" style="32" customWidth="1"/>
    <col min="24" max="24" width="18" style="32" customWidth="1"/>
    <col min="25" max="25" width="26.453125" style="32" customWidth="1"/>
    <col min="26" max="26" width="8.54296875" style="32" customWidth="1"/>
    <col min="27" max="27" width="24.453125" style="32" customWidth="1"/>
    <col min="28" max="28" width="20.453125" style="32" customWidth="1"/>
    <col min="29" max="30" width="25.54296875" style="32" customWidth="1"/>
    <col min="31" max="31" width="14.54296875" style="32" customWidth="1"/>
    <col min="32" max="32" width="14.453125" style="32" customWidth="1"/>
    <col min="33" max="33" width="25.54296875" style="32" customWidth="1"/>
    <col min="34" max="34" width="19.1796875" style="32" customWidth="1"/>
    <col min="35" max="16384" width="9.453125" style="32"/>
  </cols>
  <sheetData>
    <row r="1" spans="1:34" s="1163" customFormat="1" ht="15.75" hidden="1" customHeight="1">
      <c r="A1" s="167" t="s">
        <v>2832</v>
      </c>
      <c r="B1" s="22"/>
      <c r="C1" s="586"/>
      <c r="D1" s="6"/>
      <c r="E1" s="6"/>
      <c r="F1" s="37"/>
      <c r="G1" s="37"/>
      <c r="H1" s="37"/>
      <c r="I1" s="37"/>
      <c r="J1" s="6" t="s">
        <v>5280</v>
      </c>
      <c r="K1" s="37"/>
      <c r="L1" s="6"/>
      <c r="M1" s="6" t="s">
        <v>1045</v>
      </c>
      <c r="N1" s="6" t="s">
        <v>1046</v>
      </c>
      <c r="O1" s="6" t="s">
        <v>1047</v>
      </c>
      <c r="P1" s="6" t="s">
        <v>1018</v>
      </c>
      <c r="Q1" s="6" t="s">
        <v>1048</v>
      </c>
      <c r="R1" s="6" t="s">
        <v>1021</v>
      </c>
      <c r="S1" s="6" t="s">
        <v>1023</v>
      </c>
      <c r="T1" s="6"/>
      <c r="U1" s="6" t="s">
        <v>1049</v>
      </c>
      <c r="V1" s="6" t="s">
        <v>1050</v>
      </c>
      <c r="W1" s="6" t="s">
        <v>5281</v>
      </c>
      <c r="X1" s="6" t="s">
        <v>7751</v>
      </c>
      <c r="Y1" s="6"/>
    </row>
    <row r="2" spans="1:34" s="1948" customFormat="1">
      <c r="A2" s="748"/>
      <c r="C2" s="1949"/>
      <c r="L2" s="1923" t="s">
        <v>1648</v>
      </c>
      <c r="M2" s="1923" t="s">
        <v>1648</v>
      </c>
      <c r="N2" s="1923" t="s">
        <v>1648</v>
      </c>
      <c r="O2" s="1923" t="s">
        <v>1648</v>
      </c>
      <c r="P2" s="1923" t="s">
        <v>1648</v>
      </c>
      <c r="Q2" s="1923" t="s">
        <v>1648</v>
      </c>
      <c r="R2" s="1923" t="s">
        <v>1648</v>
      </c>
      <c r="S2" s="1923" t="s">
        <v>1648</v>
      </c>
      <c r="T2" s="1923" t="s">
        <v>1648</v>
      </c>
      <c r="U2" s="1923" t="s">
        <v>1648</v>
      </c>
      <c r="V2" s="1923" t="s">
        <v>1648</v>
      </c>
      <c r="W2" s="1923" t="s">
        <v>1648</v>
      </c>
      <c r="X2" s="1923" t="s">
        <v>1648</v>
      </c>
    </row>
    <row r="3" spans="1:34" s="1948" customFormat="1">
      <c r="A3" s="748"/>
      <c r="C3" s="1949"/>
      <c r="L3" s="1923"/>
      <c r="M3" s="1923"/>
      <c r="N3" s="1923"/>
      <c r="O3" s="1923"/>
      <c r="P3" s="1923"/>
      <c r="Q3" s="1923"/>
      <c r="R3" s="1923"/>
      <c r="S3" s="1923"/>
      <c r="T3" s="1923"/>
      <c r="U3" s="1923"/>
      <c r="V3" s="1923"/>
      <c r="W3" s="1923"/>
      <c r="X3" s="1923"/>
    </row>
    <row r="4" spans="1:34" s="1948" customFormat="1">
      <c r="A4" s="748"/>
      <c r="C4" s="1949"/>
      <c r="L4" s="1923"/>
      <c r="M4" s="1923"/>
      <c r="N4" s="1923"/>
      <c r="O4" s="1923"/>
      <c r="P4" s="1923"/>
      <c r="Q4" s="1923"/>
      <c r="R4" s="1923"/>
      <c r="S4" s="1923"/>
      <c r="T4" s="1923"/>
      <c r="U4" s="1923"/>
      <c r="V4" s="1923"/>
      <c r="W4" s="1923"/>
      <c r="X4" s="1923"/>
    </row>
    <row r="5" spans="1:34" s="24" customFormat="1" ht="26">
      <c r="A5" s="9"/>
      <c r="C5" s="523" t="s">
        <v>4225</v>
      </c>
      <c r="D5" s="105"/>
      <c r="E5" s="105"/>
      <c r="F5"/>
      <c r="G5" s="1897" t="s">
        <v>2067</v>
      </c>
      <c r="H5" s="1244">
        <f>Содержание!$D$2</f>
        <v>0</v>
      </c>
    </row>
    <row r="6" spans="1:34" s="24" customFormat="1" ht="15" thickBot="1">
      <c r="A6" s="9"/>
      <c r="C6"/>
      <c r="D6" s="251"/>
      <c r="E6" s="251"/>
      <c r="F6" s="3044" t="s">
        <v>1436</v>
      </c>
      <c r="G6" s="1897" t="s">
        <v>2075</v>
      </c>
      <c r="H6" s="1244" t="str">
        <f>Содержание!$D$15</f>
        <v>2022 год</v>
      </c>
      <c r="I6" s="2825" t="str">
        <f>TEXT(Содержание!D14,"дд.ММ.гг")</f>
        <v>31.12.22</v>
      </c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73"/>
      <c r="X6" s="173"/>
    </row>
    <row r="7" spans="1:34" s="24" customFormat="1" ht="32.15" customHeight="1" thickBot="1">
      <c r="A7" s="9"/>
      <c r="B7" s="193"/>
      <c r="C7" s="3851" t="s">
        <v>3010</v>
      </c>
      <c r="D7" s="3783" t="s">
        <v>5384</v>
      </c>
      <c r="E7" s="3713" t="s">
        <v>1792</v>
      </c>
      <c r="F7" s="3713" t="s">
        <v>4226</v>
      </c>
      <c r="G7" s="3713" t="s">
        <v>4227</v>
      </c>
      <c r="H7" s="3851" t="s">
        <v>8394</v>
      </c>
      <c r="I7" s="3713" t="s">
        <v>4228</v>
      </c>
      <c r="J7" s="3851" t="s">
        <v>5390</v>
      </c>
      <c r="K7" s="3713" t="s">
        <v>4229</v>
      </c>
      <c r="L7" s="3851" t="s">
        <v>5225</v>
      </c>
      <c r="M7" s="3783" t="s">
        <v>8570</v>
      </c>
      <c r="N7" s="3783" t="s">
        <v>5396</v>
      </c>
      <c r="O7" s="3713" t="s">
        <v>4679</v>
      </c>
      <c r="P7" s="3713"/>
      <c r="Q7" s="3713"/>
      <c r="R7" s="3713"/>
      <c r="S7" s="3713"/>
      <c r="T7" s="3740" t="s">
        <v>5233</v>
      </c>
      <c r="U7" s="3783" t="s">
        <v>5395</v>
      </c>
      <c r="V7" s="3783" t="s">
        <v>5396</v>
      </c>
      <c r="W7" s="3713" t="s">
        <v>4230</v>
      </c>
      <c r="X7" s="3713"/>
      <c r="Y7" s="3711" t="s">
        <v>4183</v>
      </c>
      <c r="AH7" s="3406" t="s">
        <v>14240</v>
      </c>
    </row>
    <row r="8" spans="1:34" s="24" customFormat="1" ht="117">
      <c r="A8" s="9"/>
      <c r="B8" s="193"/>
      <c r="C8" s="3717"/>
      <c r="D8" s="3777"/>
      <c r="E8" s="3713"/>
      <c r="F8" s="3713"/>
      <c r="G8" s="3713"/>
      <c r="H8" s="3807"/>
      <c r="I8" s="3713"/>
      <c r="J8" s="3717"/>
      <c r="K8" s="3713"/>
      <c r="L8" s="3717"/>
      <c r="M8" s="3777"/>
      <c r="N8" s="3777"/>
      <c r="O8" s="16" t="s">
        <v>1695</v>
      </c>
      <c r="P8" s="16" t="s">
        <v>5392</v>
      </c>
      <c r="Q8" s="16" t="s">
        <v>1700</v>
      </c>
      <c r="R8" s="16" t="s">
        <v>5393</v>
      </c>
      <c r="S8" s="16" t="s">
        <v>4218</v>
      </c>
      <c r="T8" s="3741"/>
      <c r="U8" s="3777"/>
      <c r="V8" s="3777"/>
      <c r="W8" s="16" t="s">
        <v>6329</v>
      </c>
      <c r="X8" s="16" t="s">
        <v>4231</v>
      </c>
      <c r="Y8" s="3711"/>
      <c r="AA8" s="3611" t="s">
        <v>15201</v>
      </c>
      <c r="AB8" s="2880" t="s">
        <v>8571</v>
      </c>
      <c r="AC8" s="2642" t="s">
        <v>8572</v>
      </c>
      <c r="AD8" s="2642" t="s">
        <v>8573</v>
      </c>
      <c r="AE8" s="2950" t="s">
        <v>8702</v>
      </c>
      <c r="AF8" s="2950" t="s">
        <v>8703</v>
      </c>
      <c r="AG8" s="3168" t="s">
        <v>9893</v>
      </c>
      <c r="AH8" s="3411" t="s">
        <v>14253</v>
      </c>
    </row>
    <row r="9" spans="1:34" s="24" customFormat="1" ht="13">
      <c r="A9" s="9"/>
      <c r="B9" s="193"/>
      <c r="C9" s="587" t="s">
        <v>4408</v>
      </c>
      <c r="D9" s="449" t="s">
        <v>3009</v>
      </c>
      <c r="E9" s="449"/>
      <c r="F9" s="15" t="s">
        <v>5247</v>
      </c>
      <c r="G9" s="15" t="s">
        <v>5247</v>
      </c>
      <c r="H9" s="2361" t="s">
        <v>5247</v>
      </c>
      <c r="I9" s="15" t="s">
        <v>5250</v>
      </c>
      <c r="J9" s="15" t="s">
        <v>5252</v>
      </c>
      <c r="K9" s="15" t="s">
        <v>4232</v>
      </c>
      <c r="L9" s="15" t="s">
        <v>672</v>
      </c>
      <c r="M9" s="15" t="s">
        <v>4142</v>
      </c>
      <c r="N9" s="15" t="s">
        <v>4142</v>
      </c>
      <c r="O9" s="16" t="s">
        <v>1694</v>
      </c>
      <c r="P9" s="16" t="s">
        <v>5402</v>
      </c>
      <c r="Q9" s="16" t="s">
        <v>1698</v>
      </c>
      <c r="R9" s="16" t="s">
        <v>5405</v>
      </c>
      <c r="S9" s="16" t="s">
        <v>5406</v>
      </c>
      <c r="T9" s="15" t="s">
        <v>4163</v>
      </c>
      <c r="U9" s="15" t="s">
        <v>4142</v>
      </c>
      <c r="V9" s="15" t="s">
        <v>4142</v>
      </c>
      <c r="W9" s="15" t="s">
        <v>6328</v>
      </c>
      <c r="X9" s="2411" t="s">
        <v>6328</v>
      </c>
      <c r="Y9" s="25"/>
      <c r="AA9" s="3010" t="b">
        <f>AND(AA12:AA25000)</f>
        <v>1</v>
      </c>
      <c r="AB9" s="2103" t="b">
        <f>AND(AB12:AB25000)</f>
        <v>1</v>
      </c>
      <c r="AC9" s="2103" t="b">
        <f>ABS(SUMIF($C:$C,"{1} Со сроком до даты погашения (размещения) три и менее месяцев",$O:$O)+'58_01_1'!$Q$11+'58_01_2'!$Q$11+SUMIF('50_51_52_55_57_движ'!C:C,"{5230300_~_~_~} Размещение денежных средств на депозите до востребования и сроком до 3-х месяцев",'50_51_52_55_57_движ'!J:J))&lt;=3</f>
        <v>1</v>
      </c>
      <c r="AD9" s="2103" t="b">
        <f>ABS(SUMIF($C:$C,"{1} Со сроком до даты погашения (размещения) три и менее месяцев",$Q:$Q)+'58_01_1'!$T$11+'58_01_2'!$T$11+SUMIF('50_51_52_55_57_движ'!C:C,"{5130300_~_~_~} Поступления от закрытия депозитов до востребования и сроком до 3-х месяцев",'50_51_52_55_57_движ'!J:J))&lt;=3</f>
        <v>1</v>
      </c>
      <c r="AE9" s="2103" t="b">
        <f>AND(AE12:AE25000)</f>
        <v>1</v>
      </c>
      <c r="AF9" s="2103" t="b">
        <f>AND(AF12:AF25000)</f>
        <v>1</v>
      </c>
      <c r="AG9" s="3010" t="b">
        <f>AND(AG12:AG25000)</f>
        <v>1</v>
      </c>
      <c r="AH9" s="3010" t="b">
        <f ca="1">AND(AH12:AH25000)</f>
        <v>1</v>
      </c>
    </row>
    <row r="10" spans="1:34" s="698" customFormat="1">
      <c r="A10" s="668"/>
      <c r="B10" s="699"/>
      <c r="C10" s="1689" t="s">
        <v>4164</v>
      </c>
      <c r="D10" s="1689" t="s">
        <v>4165</v>
      </c>
      <c r="E10" s="1689" t="s">
        <v>4166</v>
      </c>
      <c r="F10" s="1689" t="s">
        <v>5500</v>
      </c>
      <c r="G10" s="1689" t="s">
        <v>4169</v>
      </c>
      <c r="H10" s="1689" t="s">
        <v>4168</v>
      </c>
      <c r="I10" s="1689" t="s">
        <v>4178</v>
      </c>
      <c r="J10" s="1689" t="s">
        <v>4179</v>
      </c>
      <c r="K10" s="1689" t="s">
        <v>4167</v>
      </c>
      <c r="L10" s="1689" t="s">
        <v>5501</v>
      </c>
      <c r="M10" s="1689" t="s">
        <v>4701</v>
      </c>
      <c r="N10" s="1689" t="s">
        <v>4702</v>
      </c>
      <c r="O10" s="1689" t="s">
        <v>4703</v>
      </c>
      <c r="P10" s="1689" t="s">
        <v>5502</v>
      </c>
      <c r="Q10" s="1689" t="s">
        <v>5503</v>
      </c>
      <c r="R10" s="1689" t="s">
        <v>5504</v>
      </c>
      <c r="S10" s="1689" t="s">
        <v>4853</v>
      </c>
      <c r="T10" s="1689" t="s">
        <v>4852</v>
      </c>
      <c r="U10" s="1689" t="s">
        <v>5505</v>
      </c>
      <c r="V10" s="1689" t="s">
        <v>4851</v>
      </c>
      <c r="W10" s="1689" t="s">
        <v>5506</v>
      </c>
      <c r="X10" s="1689" t="s">
        <v>4850</v>
      </c>
      <c r="Y10" s="1689" t="s">
        <v>3303</v>
      </c>
      <c r="AH10" s="2169"/>
    </row>
    <row r="11" spans="1:34" s="24" customFormat="1" ht="12.5">
      <c r="A11" s="9"/>
      <c r="B11" s="193"/>
      <c r="C11" s="939" t="s">
        <v>3389</v>
      </c>
      <c r="D11" s="940" t="s">
        <v>3389</v>
      </c>
      <c r="E11" s="940"/>
      <c r="F11" s="35" t="s">
        <v>3389</v>
      </c>
      <c r="G11" s="35" t="s">
        <v>3389</v>
      </c>
      <c r="H11" s="35" t="s">
        <v>3389</v>
      </c>
      <c r="I11" s="35" t="s">
        <v>3389</v>
      </c>
      <c r="J11" s="35" t="s">
        <v>3389</v>
      </c>
      <c r="K11" s="35" t="s">
        <v>3389</v>
      </c>
      <c r="L11" s="189">
        <f>SUM(L12:L10003)</f>
        <v>0</v>
      </c>
      <c r="M11" s="189">
        <f>SUM(M12:M10003)</f>
        <v>0</v>
      </c>
      <c r="N11" s="189">
        <f>SUM(N12:N10003)</f>
        <v>0</v>
      </c>
      <c r="O11" s="189">
        <f t="shared" ref="O11:X11" si="0">SUM(O12:O10003)</f>
        <v>0</v>
      </c>
      <c r="P11" s="189">
        <f t="shared" si="0"/>
        <v>0</v>
      </c>
      <c r="Q11" s="189">
        <f t="shared" si="0"/>
        <v>0</v>
      </c>
      <c r="R11" s="189">
        <f t="shared" si="0"/>
        <v>0</v>
      </c>
      <c r="S11" s="189">
        <f t="shared" si="0"/>
        <v>0</v>
      </c>
      <c r="T11" s="189">
        <f t="shared" si="0"/>
        <v>0</v>
      </c>
      <c r="U11" s="189">
        <f t="shared" si="0"/>
        <v>0</v>
      </c>
      <c r="V11" s="189">
        <f t="shared" si="0"/>
        <v>0</v>
      </c>
      <c r="W11" s="189">
        <f t="shared" si="0"/>
        <v>0</v>
      </c>
      <c r="X11" s="189">
        <f t="shared" si="0"/>
        <v>0</v>
      </c>
      <c r="Y11" s="36" t="s">
        <v>3389</v>
      </c>
    </row>
    <row r="12" spans="1:34" s="651" customFormat="1" ht="12.5">
      <c r="A12" s="546" t="str">
        <f t="shared" ref="A12:A21" si="1">"R12="&amp;IFERROR(MID(C12,FIND("{",C12)+1,FIND("}",C12)-FIND("{",C12)-1),"")&amp;";R13="&amp;IFERROR(MID(D12,FIND("{",D12)+1,FIND("}",D12)-FIND("{",D12)-1),"")&amp;";R50="&amp;E12&amp;";R36="&amp;MID(H12,1,30)&amp;";R43="&amp;MID(G12,1,30)&amp;";COM="&amp;Y12</f>
        <v>R12=;R13=45;R50=;R36=;R43=;COM=</v>
      </c>
      <c r="B12" s="650" t="s">
        <v>5536</v>
      </c>
      <c r="C12" s="1443"/>
      <c r="D12" s="2896" t="str">
        <f t="shared" ref="D12:D21" si="2">"{45} Депозиты"</f>
        <v>{45} Депозиты</v>
      </c>
      <c r="E12" s="2894"/>
      <c r="F12" s="1665" t="str">
        <f>IF(ISERROR(VLOOKUP(E12,Фин_договоры!$C$9:$R$32367,6,0)),"",VLOOKUP(E12,Фин_договоры!$C$9:$R$32367,6,0))</f>
        <v/>
      </c>
      <c r="G12" s="1665" t="str">
        <f>IF(ISERROR(VLOOKUP(E12,Фин_договоры!$C$9:$R$32367,7,0)),"",VLOOKUP(E12,Фин_договоры!$C$9:$R$32367,7,0))</f>
        <v/>
      </c>
      <c r="H12" s="1665" t="str">
        <f>IF(ISERROR(VLOOKUP(E12,Фин_договоры!$C$9:$R$32367,8,0)),"",VLOOKUP(E12,Фин_договоры!$C$9:$R$32367,8,0))</f>
        <v/>
      </c>
      <c r="I12" s="1665" t="str">
        <f>IF(ISERROR(VLOOKUP(E12,Фин_договоры!$C$9:$R$32367,16,0)),"",VLOOKUP(E12,Фин_договоры!$C$9:$R$32367,16,0))</f>
        <v/>
      </c>
      <c r="J12" s="2092" t="str">
        <f>IF(ISERROR(VLOOKUP(E12,Фин_договоры!$C$9:$W$32367,21,0)),"",VLOOKUP(E12,Фин_договоры!$C$9:$W$32367,21,0))</f>
        <v/>
      </c>
      <c r="K12" s="1667" t="str">
        <f>IF(ISERROR(VLOOKUP(E12,Фин_договоры!$C$9:$R$32367,12,0)),"",VLOOKUP(E12,Фин_договоры!$C$9:$R$32367,12,0))</f>
        <v/>
      </c>
      <c r="L12" s="1685"/>
      <c r="M12" s="1685"/>
      <c r="N12" s="1690">
        <f>L12-M12</f>
        <v>0</v>
      </c>
      <c r="O12" s="1468"/>
      <c r="P12" s="1685"/>
      <c r="Q12" s="1468"/>
      <c r="R12" s="1685"/>
      <c r="S12" s="1685"/>
      <c r="T12" s="1686">
        <f>W12+X12</f>
        <v>0</v>
      </c>
      <c r="U12" s="1685"/>
      <c r="V12" s="1686">
        <f t="shared" ref="V12:V17" si="3">T12-U12</f>
        <v>0</v>
      </c>
      <c r="W12" s="2467"/>
      <c r="X12" s="2467"/>
      <c r="Y12" s="1687"/>
      <c r="AA12" s="651" t="b">
        <f>IF(C12&lt;&gt;"",E12&lt;&gt;"",TRUE)</f>
        <v>1</v>
      </c>
      <c r="AB12" s="651" t="b">
        <f>IF(E12&lt;&gt;"",IFERROR(VLOOKUP($E12,Фин_договоры!$C:$D,2,0)=D12,FALSE),TRUE)</f>
        <v>1</v>
      </c>
      <c r="AE12" s="651" t="b">
        <f>IF(AND(O12&gt;=0,P12&gt;=0,Q12&lt;=0,R12&lt;=0),TRUE,FALSE)</f>
        <v>1</v>
      </c>
      <c r="AF12" s="651" t="b">
        <f>(L12+O12+P12+Q12+R12+S12)=T12</f>
        <v>1</v>
      </c>
      <c r="AG12" s="651" t="b">
        <f>IF(C12="{1} Со сроком до даты погашения (размещения) три и менее месяцев",AND(M12="",U12=""),C12&lt;&gt;"{1} Со сроком до даты погашения (размещения) три и менее месяцев")</f>
        <v>1</v>
      </c>
      <c r="AH12" s="651" t="b">
        <f ca="1">IF(K12="",TRUE,IF(ISBLANK(K12),TRUE,IF(CELL("формат",K12)="D1",AND(LEN(TEXT(K12,"ДД.мм.ГГГГ"))=10,NOT(ISERR(SEARCH("??.??.????",TEXT(K12,"ДД.мм.ГГГГ"))))),AND(NOT(ISERROR(DATEVALUE(K12))),LEN(K12)=10,NOT(ISERR(SEARCH("??.??.????",TEXT(K12,"ДД.мм.ГГГГ"))))))))</f>
        <v>1</v>
      </c>
    </row>
    <row r="13" spans="1:34" s="651" customFormat="1" ht="12.5">
      <c r="A13" s="546" t="str">
        <f>"R12="&amp;IFERROR(MID(C13,FIND("{",C13)+1,FIND("}",C13)-FIND("{",C13)-1),"")&amp;";R13="&amp;IFERROR(MID(D13,FIND("{",D13)+1,FIND("}",D13)-FIND("{",D13)-1),"")&amp;";R50="&amp;E13&amp;";R36="&amp;MID(H13,1,30)&amp;";R43="&amp;MID(G13,1,30)&amp;";COM="&amp;Y13</f>
        <v>R12=;R13=45;R50=;R36=;R43=;COM=</v>
      </c>
      <c r="B13" s="650" t="s">
        <v>5536</v>
      </c>
      <c r="C13" s="1443"/>
      <c r="D13" s="2896" t="str">
        <f t="shared" si="2"/>
        <v>{45} Депозиты</v>
      </c>
      <c r="E13" s="2894"/>
      <c r="F13" s="1665" t="str">
        <f>IF(ISERROR(VLOOKUP(E13,Фин_договоры!$C$9:$R$32367,6,0)),"",VLOOKUP(E13,Фин_договоры!$C$9:$R$32367,6,0))</f>
        <v/>
      </c>
      <c r="G13" s="1665" t="str">
        <f>IF(ISERROR(VLOOKUP(E13,Фин_договоры!$C$9:$R$32367,7,0)),"",VLOOKUP(E13,Фин_договоры!$C$9:$R$32367,7,0))</f>
        <v/>
      </c>
      <c r="H13" s="1665" t="str">
        <f>IF(ISERROR(VLOOKUP(E13,Фин_договоры!$C$9:$R$32367,8,0)),"",VLOOKUP(E13,Фин_договоры!$C$9:$R$32367,8,0))</f>
        <v/>
      </c>
      <c r="I13" s="1665" t="str">
        <f>IF(ISERROR(VLOOKUP(E13,Фин_договоры!$C$9:$R$32367,16,0)),"",VLOOKUP(E13,Фин_договоры!$C$9:$R$32367,16,0))</f>
        <v/>
      </c>
      <c r="J13" s="2092" t="str">
        <f>IF(ISERROR(VLOOKUP(E13,Фин_договоры!$C$9:$W$32367,21,0)),"",VLOOKUP(E13,Фин_договоры!$C$9:$W$32367,21,0))</f>
        <v/>
      </c>
      <c r="K13" s="1667" t="str">
        <f>IF(ISERROR(VLOOKUP(E13,Фин_договоры!$C$9:$R$32367,12,0)),"",VLOOKUP(E13,Фин_договоры!$C$9:$R$32367,12,0))</f>
        <v/>
      </c>
      <c r="L13" s="1685"/>
      <c r="M13" s="1685"/>
      <c r="N13" s="1690">
        <f t="shared" ref="N13:N17" si="4">L13-M13</f>
        <v>0</v>
      </c>
      <c r="O13" s="1468"/>
      <c r="P13" s="1685"/>
      <c r="Q13" s="1468"/>
      <c r="R13" s="1685"/>
      <c r="S13" s="1685"/>
      <c r="T13" s="1686">
        <f>W13+X13</f>
        <v>0</v>
      </c>
      <c r="U13" s="1685"/>
      <c r="V13" s="1686">
        <f>T13-U13</f>
        <v>0</v>
      </c>
      <c r="W13" s="2467"/>
      <c r="X13" s="2467"/>
      <c r="Y13" s="1687"/>
      <c r="AA13" s="651" t="b">
        <f t="shared" ref="AA13:AA21" si="5">IF(C13&lt;&gt;"",E13&lt;&gt;"",TRUE)</f>
        <v>1</v>
      </c>
      <c r="AB13" s="651" t="b">
        <f>IF(E13&lt;&gt;"",IFERROR(VLOOKUP($E13,Фин_договоры!$C:$D,2,0)=D13,FALSE),TRUE)</f>
        <v>1</v>
      </c>
      <c r="AE13" s="651" t="b">
        <f t="shared" ref="AE13:AE21" si="6">IF(AND(O13&gt;=0,P13&gt;=0,Q13&lt;=0,R13&lt;=0),TRUE,FALSE)</f>
        <v>1</v>
      </c>
      <c r="AF13" s="651" t="b">
        <f t="shared" ref="AF13:AF21" si="7">(L13+O13+P13+Q13+R13+S13)=T13</f>
        <v>1</v>
      </c>
      <c r="AG13" s="651" t="b">
        <f t="shared" ref="AG13:AG21" si="8">IF(C13="{1} Со сроком до даты погашения (размещения) три и менее месяцев",AND(M13="",U13=""),C13&lt;&gt;"{1} Со сроком до даты погашения (размещения) три и менее месяцев")</f>
        <v>1</v>
      </c>
      <c r="AH13" s="651" t="b">
        <f ca="1">IF(K13="",TRUE,IF(ISBLANK(K13),TRUE,IF(CELL("формат",K13)="D1",AND(LEN(TEXT(K13,"ДД.мм.ГГГГ"))=10,NOT(ISERR(SEARCH("??.??.????",TEXT(K13,"ДД.мм.ГГГГ"))))),AND(NOT(ISERROR(DATEVALUE(K13))),LEN(K13)=10,NOT(ISERR(SEARCH("??.??.????",TEXT(K13,"ДД.мм.ГГГГ"))))))))</f>
        <v>1</v>
      </c>
    </row>
    <row r="14" spans="1:34" s="651" customFormat="1" ht="12.5">
      <c r="A14" s="546" t="str">
        <f t="shared" si="1"/>
        <v>R12=;R13=45;R50=;R36=;R43=;COM=</v>
      </c>
      <c r="B14" s="650"/>
      <c r="C14" s="1443"/>
      <c r="D14" s="2896" t="str">
        <f t="shared" si="2"/>
        <v>{45} Депозиты</v>
      </c>
      <c r="E14" s="2894"/>
      <c r="F14" s="1665" t="str">
        <f>IF(ISERROR(VLOOKUP(E14,Фин_договоры!$C$9:$R$32367,6,0)),"",VLOOKUP(E14,Фин_договоры!$C$9:$R$32367,6,0))</f>
        <v/>
      </c>
      <c r="G14" s="1665" t="str">
        <f>IF(ISERROR(VLOOKUP(E14,Фин_договоры!$C$9:$R$32367,7,0)),"",VLOOKUP(E14,Фин_договоры!$C$9:$R$32367,7,0))</f>
        <v/>
      </c>
      <c r="H14" s="1665" t="str">
        <f>IF(ISERROR(VLOOKUP(E14,Фин_договоры!$C$9:$R$32367,8,0)),"",VLOOKUP(E14,Фин_договоры!$C$9:$R$32367,8,0))</f>
        <v/>
      </c>
      <c r="I14" s="1665" t="str">
        <f>IF(ISERROR(VLOOKUP(E14,Фин_договоры!$C$9:$R$32367,16,0)),"",VLOOKUP(E14,Фин_договоры!$C$9:$R$32367,16,0))</f>
        <v/>
      </c>
      <c r="J14" s="2092" t="str">
        <f>IF(ISERROR(VLOOKUP(E14,Фин_договоры!$C$9:$W$32367,21,0)),"",VLOOKUP(E14,Фин_договоры!$C$9:$W$32367,21,0))</f>
        <v/>
      </c>
      <c r="K14" s="1667" t="str">
        <f>IF(ISERROR(VLOOKUP(E14,Фин_договоры!$C$9:$R$32367,12,0)),"",VLOOKUP(E14,Фин_договоры!$C$9:$R$32367,12,0))</f>
        <v/>
      </c>
      <c r="L14" s="1685"/>
      <c r="M14" s="1685"/>
      <c r="N14" s="1690">
        <f t="shared" si="4"/>
        <v>0</v>
      </c>
      <c r="O14" s="1468"/>
      <c r="P14" s="1685"/>
      <c r="Q14" s="1468"/>
      <c r="R14" s="1685"/>
      <c r="S14" s="1685"/>
      <c r="T14" s="1686">
        <f t="shared" ref="T14:T21" si="9">W14+X14</f>
        <v>0</v>
      </c>
      <c r="U14" s="1685"/>
      <c r="V14" s="1686">
        <f t="shared" si="3"/>
        <v>0</v>
      </c>
      <c r="W14" s="2467"/>
      <c r="X14" s="2467"/>
      <c r="Y14" s="1687"/>
      <c r="AA14" s="651" t="b">
        <f t="shared" si="5"/>
        <v>1</v>
      </c>
      <c r="AB14" s="651" t="b">
        <f>IF(E14&lt;&gt;"",IFERROR(VLOOKUP($E14,Фин_договоры!$C:$D,2,0)=D14,FALSE),TRUE)</f>
        <v>1</v>
      </c>
      <c r="AE14" s="651" t="b">
        <f t="shared" si="6"/>
        <v>1</v>
      </c>
      <c r="AF14" s="651" t="b">
        <f t="shared" si="7"/>
        <v>1</v>
      </c>
      <c r="AG14" s="651" t="b">
        <f t="shared" si="8"/>
        <v>1</v>
      </c>
      <c r="AH14" s="651" t="b">
        <f t="shared" ref="AH14:AH21" ca="1" si="10">IF(K14="",TRUE,IF(ISBLANK(K14),TRUE,IF(CELL("формат",K14)="D1",AND(LEN(TEXT(K14,"ДД.мм.ГГГГ"))=10,NOT(ISERR(SEARCH("??.??.????",TEXT(K14,"ДД.мм.ГГГГ"))))),AND(NOT(ISERROR(DATEVALUE(K14))),LEN(K14)=10,NOT(ISERR(SEARCH("??.??.????",TEXT(K14,"ДД.мм.ГГГГ"))))))))</f>
        <v>1</v>
      </c>
    </row>
    <row r="15" spans="1:34" s="651" customFormat="1" ht="12.5">
      <c r="A15" s="546" t="str">
        <f t="shared" si="1"/>
        <v>R12=;R13=45;R50=;R36=;R43=;COM=</v>
      </c>
      <c r="B15" s="650"/>
      <c r="C15" s="1443"/>
      <c r="D15" s="2896" t="str">
        <f t="shared" si="2"/>
        <v>{45} Депозиты</v>
      </c>
      <c r="E15" s="2894"/>
      <c r="F15" s="1665" t="str">
        <f>IF(ISERROR(VLOOKUP(E15,Фин_договоры!$C$9:$R$32367,6,0)),"",VLOOKUP(E15,Фин_договоры!$C$9:$R$32367,6,0))</f>
        <v/>
      </c>
      <c r="G15" s="1665" t="str">
        <f>IF(ISERROR(VLOOKUP(E15,Фин_договоры!$C$9:$R$32367,7,0)),"",VLOOKUP(E15,Фин_договоры!$C$9:$R$32367,7,0))</f>
        <v/>
      </c>
      <c r="H15" s="1665" t="str">
        <f>IF(ISERROR(VLOOKUP(E15,Фин_договоры!$C$9:$R$32367,8,0)),"",VLOOKUP(E15,Фин_договоры!$C$9:$R$32367,8,0))</f>
        <v/>
      </c>
      <c r="I15" s="1665" t="str">
        <f>IF(ISERROR(VLOOKUP(E15,Фин_договоры!$C$9:$R$32367,16,0)),"",VLOOKUP(E15,Фин_договоры!$C$9:$R$32367,16,0))</f>
        <v/>
      </c>
      <c r="J15" s="2092" t="str">
        <f>IF(ISERROR(VLOOKUP(E15,Фин_договоры!$C$9:$W$32367,21,0)),"",VLOOKUP(E15,Фин_договоры!$C$9:$W$32367,21,0))</f>
        <v/>
      </c>
      <c r="K15" s="1667" t="str">
        <f>IF(ISERROR(VLOOKUP(E15,Фин_договоры!$C$9:$R$32367,12,0)),"",VLOOKUP(E15,Фин_договоры!$C$9:$R$32367,12,0))</f>
        <v/>
      </c>
      <c r="L15" s="1685"/>
      <c r="M15" s="1685"/>
      <c r="N15" s="1690">
        <f t="shared" si="4"/>
        <v>0</v>
      </c>
      <c r="O15" s="1468"/>
      <c r="P15" s="1685"/>
      <c r="Q15" s="1468"/>
      <c r="R15" s="1685"/>
      <c r="S15" s="1685"/>
      <c r="T15" s="1686">
        <f t="shared" si="9"/>
        <v>0</v>
      </c>
      <c r="U15" s="1685"/>
      <c r="V15" s="1686">
        <f t="shared" si="3"/>
        <v>0</v>
      </c>
      <c r="W15" s="2467"/>
      <c r="X15" s="2467"/>
      <c r="Y15" s="1687"/>
      <c r="AA15" s="651" t="b">
        <f t="shared" si="5"/>
        <v>1</v>
      </c>
      <c r="AB15" s="651" t="b">
        <f>IF(E15&lt;&gt;"",IFERROR(VLOOKUP($E15,Фин_договоры!$C:$D,2,0)=D15,FALSE),TRUE)</f>
        <v>1</v>
      </c>
      <c r="AE15" s="651" t="b">
        <f t="shared" si="6"/>
        <v>1</v>
      </c>
      <c r="AF15" s="651" t="b">
        <f t="shared" si="7"/>
        <v>1</v>
      </c>
      <c r="AG15" s="651" t="b">
        <f t="shared" si="8"/>
        <v>1</v>
      </c>
      <c r="AH15" s="651" t="b">
        <f t="shared" ca="1" si="10"/>
        <v>1</v>
      </c>
    </row>
    <row r="16" spans="1:34" s="651" customFormat="1" ht="12.5">
      <c r="A16" s="546" t="str">
        <f t="shared" si="1"/>
        <v>R12=;R13=45;R50=;R36=;R43=;COM=</v>
      </c>
      <c r="B16" s="650"/>
      <c r="C16" s="1443"/>
      <c r="D16" s="2896" t="str">
        <f t="shared" si="2"/>
        <v>{45} Депозиты</v>
      </c>
      <c r="E16" s="2894"/>
      <c r="F16" s="1665" t="str">
        <f>IF(ISERROR(VLOOKUP(E16,Фин_договоры!$C$9:$R$32367,6,0)),"",VLOOKUP(E16,Фин_договоры!$C$9:$R$32367,6,0))</f>
        <v/>
      </c>
      <c r="G16" s="1665" t="str">
        <f>IF(ISERROR(VLOOKUP(E16,Фин_договоры!$C$9:$R$32367,7,0)),"",VLOOKUP(E16,Фин_договоры!$C$9:$R$32367,7,0))</f>
        <v/>
      </c>
      <c r="H16" s="1665" t="str">
        <f>IF(ISERROR(VLOOKUP(E16,Фин_договоры!$C$9:$R$32367,8,0)),"",VLOOKUP(E16,Фин_договоры!$C$9:$R$32367,8,0))</f>
        <v/>
      </c>
      <c r="I16" s="1665" t="str">
        <f>IF(ISERROR(VLOOKUP(E16,Фин_договоры!$C$9:$R$32367,16,0)),"",VLOOKUP(E16,Фин_договоры!$C$9:$R$32367,16,0))</f>
        <v/>
      </c>
      <c r="J16" s="2092" t="str">
        <f>IF(ISERROR(VLOOKUP(E16,Фин_договоры!$C$9:$W$32367,21,0)),"",VLOOKUP(E16,Фин_договоры!$C$9:$W$32367,21,0))</f>
        <v/>
      </c>
      <c r="K16" s="1667" t="str">
        <f>IF(ISERROR(VLOOKUP(E16,Фин_договоры!$C$9:$R$32367,12,0)),"",VLOOKUP(E16,Фин_договоры!$C$9:$R$32367,12,0))</f>
        <v/>
      </c>
      <c r="L16" s="1685"/>
      <c r="M16" s="1685"/>
      <c r="N16" s="1690">
        <f t="shared" si="4"/>
        <v>0</v>
      </c>
      <c r="O16" s="1468"/>
      <c r="P16" s="1685"/>
      <c r="Q16" s="1468"/>
      <c r="R16" s="1685"/>
      <c r="S16" s="1685"/>
      <c r="T16" s="1686">
        <f t="shared" si="9"/>
        <v>0</v>
      </c>
      <c r="U16" s="1685"/>
      <c r="V16" s="1686">
        <f t="shared" si="3"/>
        <v>0</v>
      </c>
      <c r="W16" s="2467"/>
      <c r="X16" s="2467"/>
      <c r="Y16" s="1687"/>
      <c r="AA16" s="651" t="b">
        <f t="shared" si="5"/>
        <v>1</v>
      </c>
      <c r="AB16" s="651" t="b">
        <f>IF(E16&lt;&gt;"",IFERROR(VLOOKUP($E16,Фин_договоры!$C:$D,2,0)=D16,FALSE),TRUE)</f>
        <v>1</v>
      </c>
      <c r="AE16" s="651" t="b">
        <f t="shared" si="6"/>
        <v>1</v>
      </c>
      <c r="AF16" s="651" t="b">
        <f t="shared" si="7"/>
        <v>1</v>
      </c>
      <c r="AG16" s="651" t="b">
        <f t="shared" si="8"/>
        <v>1</v>
      </c>
      <c r="AH16" s="651" t="b">
        <f t="shared" ca="1" si="10"/>
        <v>1</v>
      </c>
    </row>
    <row r="17" spans="1:34" s="651" customFormat="1" ht="12.5">
      <c r="A17" s="546" t="str">
        <f t="shared" si="1"/>
        <v>R12=;R13=45;R50=;R36=;R43=;COM=</v>
      </c>
      <c r="B17" s="650"/>
      <c r="C17" s="1443"/>
      <c r="D17" s="2896" t="str">
        <f t="shared" si="2"/>
        <v>{45} Депозиты</v>
      </c>
      <c r="E17" s="2894"/>
      <c r="F17" s="1665" t="str">
        <f>IF(ISERROR(VLOOKUP(E17,Фин_договоры!$C$9:$R$32367,6,0)),"",VLOOKUP(E17,Фин_договоры!$C$9:$R$32367,6,0))</f>
        <v/>
      </c>
      <c r="G17" s="1665" t="str">
        <f>IF(ISERROR(VLOOKUP(E17,Фин_договоры!$C$9:$R$32367,7,0)),"",VLOOKUP(E17,Фин_договоры!$C$9:$R$32367,7,0))</f>
        <v/>
      </c>
      <c r="H17" s="1665" t="str">
        <f>IF(ISERROR(VLOOKUP(E17,Фин_договоры!$C$9:$R$32367,8,0)),"",VLOOKUP(E17,Фин_договоры!$C$9:$R$32367,8,0))</f>
        <v/>
      </c>
      <c r="I17" s="1665" t="str">
        <f>IF(ISERROR(VLOOKUP(E17,Фин_договоры!$C$9:$R$32367,16,0)),"",VLOOKUP(E17,Фин_договоры!$C$9:$R$32367,16,0))</f>
        <v/>
      </c>
      <c r="J17" s="2092" t="str">
        <f>IF(ISERROR(VLOOKUP(E17,Фин_договоры!$C$9:$W$32367,21,0)),"",VLOOKUP(E17,Фин_договоры!$C$9:$W$32367,21,0))</f>
        <v/>
      </c>
      <c r="K17" s="1667" t="str">
        <f>IF(ISERROR(VLOOKUP(E17,Фин_договоры!$C$9:$R$32367,12,0)),"",VLOOKUP(E17,Фин_договоры!$C$9:$R$32367,12,0))</f>
        <v/>
      </c>
      <c r="L17" s="1685"/>
      <c r="M17" s="1685"/>
      <c r="N17" s="1690">
        <f t="shared" si="4"/>
        <v>0</v>
      </c>
      <c r="O17" s="1468"/>
      <c r="P17" s="1685"/>
      <c r="Q17" s="1468"/>
      <c r="R17" s="1685"/>
      <c r="S17" s="1685"/>
      <c r="T17" s="1686">
        <f t="shared" si="9"/>
        <v>0</v>
      </c>
      <c r="U17" s="1685"/>
      <c r="V17" s="1686">
        <f t="shared" si="3"/>
        <v>0</v>
      </c>
      <c r="W17" s="2467"/>
      <c r="X17" s="2467"/>
      <c r="Y17" s="1687"/>
      <c r="AA17" s="651" t="b">
        <f t="shared" si="5"/>
        <v>1</v>
      </c>
      <c r="AB17" s="651" t="b">
        <f>IF(E17&lt;&gt;"",IFERROR(VLOOKUP($E17,Фин_договоры!$C:$D,2,0)=D17,FALSE),TRUE)</f>
        <v>1</v>
      </c>
      <c r="AE17" s="651" t="b">
        <f t="shared" si="6"/>
        <v>1</v>
      </c>
      <c r="AF17" s="651" t="b">
        <f t="shared" si="7"/>
        <v>1</v>
      </c>
      <c r="AG17" s="651" t="b">
        <f t="shared" si="8"/>
        <v>1</v>
      </c>
      <c r="AH17" s="651" t="b">
        <f t="shared" ca="1" si="10"/>
        <v>1</v>
      </c>
    </row>
    <row r="18" spans="1:34" s="651" customFormat="1" ht="12.5">
      <c r="A18" s="546" t="str">
        <f t="shared" si="1"/>
        <v>R12=;R13=45;R50=;R36=;R43=;COM=</v>
      </c>
      <c r="B18" s="650"/>
      <c r="C18" s="1443"/>
      <c r="D18" s="2896" t="str">
        <f t="shared" si="2"/>
        <v>{45} Депозиты</v>
      </c>
      <c r="E18" s="2894"/>
      <c r="F18" s="1665" t="str">
        <f>IF(ISERROR(VLOOKUP(E18,Фин_договоры!$C$9:$R$32367,6,0)),"",VLOOKUP(E18,Фин_договоры!$C$9:$R$32367,6,0))</f>
        <v/>
      </c>
      <c r="G18" s="1665" t="str">
        <f>IF(ISERROR(VLOOKUP(E18,Фин_договоры!$C$9:$R$32367,7,0)),"",VLOOKUP(E18,Фин_договоры!$C$9:$R$32367,7,0))</f>
        <v/>
      </c>
      <c r="H18" s="1665" t="str">
        <f>IF(ISERROR(VLOOKUP(E18,Фин_договоры!$C$9:$R$32367,8,0)),"",VLOOKUP(E18,Фин_договоры!$C$9:$R$32367,8,0))</f>
        <v/>
      </c>
      <c r="I18" s="1665" t="str">
        <f>IF(ISERROR(VLOOKUP(E18,Фин_договоры!$C$9:$R$32367,16,0)),"",VLOOKUP(E18,Фин_договоры!$C$9:$R$32367,16,0))</f>
        <v/>
      </c>
      <c r="J18" s="2092" t="str">
        <f>IF(ISERROR(VLOOKUP(E18,Фин_договоры!$C$9:$W$32367,21,0)),"",VLOOKUP(E18,Фин_договоры!$C$9:$W$32367,21,0))</f>
        <v/>
      </c>
      <c r="K18" s="1667" t="str">
        <f>IF(ISERROR(VLOOKUP(E18,Фин_договоры!$C$9:$R$32367,12,0)),"",VLOOKUP(E18,Фин_договоры!$C$9:$R$32367,12,0))</f>
        <v/>
      </c>
      <c r="L18" s="1685"/>
      <c r="M18" s="1685"/>
      <c r="N18" s="1690">
        <f>L18-M18</f>
        <v>0</v>
      </c>
      <c r="O18" s="1468"/>
      <c r="P18" s="1685"/>
      <c r="Q18" s="1468"/>
      <c r="R18" s="1685"/>
      <c r="S18" s="1685"/>
      <c r="T18" s="1686">
        <f t="shared" si="9"/>
        <v>0</v>
      </c>
      <c r="U18" s="1685"/>
      <c r="V18" s="1686">
        <f>T18-U18</f>
        <v>0</v>
      </c>
      <c r="W18" s="2467"/>
      <c r="X18" s="2467"/>
      <c r="Y18" s="1687"/>
      <c r="AA18" s="651" t="b">
        <f t="shared" si="5"/>
        <v>1</v>
      </c>
      <c r="AB18" s="651" t="b">
        <f>IF(E18&lt;&gt;"",IFERROR(VLOOKUP($E18,Фин_договоры!$C:$D,2,0)=D18,FALSE),TRUE)</f>
        <v>1</v>
      </c>
      <c r="AE18" s="651" t="b">
        <f t="shared" si="6"/>
        <v>1</v>
      </c>
      <c r="AF18" s="651" t="b">
        <f t="shared" si="7"/>
        <v>1</v>
      </c>
      <c r="AG18" s="651" t="b">
        <f t="shared" si="8"/>
        <v>1</v>
      </c>
      <c r="AH18" s="651" t="b">
        <f t="shared" ca="1" si="10"/>
        <v>1</v>
      </c>
    </row>
    <row r="19" spans="1:34" s="651" customFormat="1" ht="12.5">
      <c r="A19" s="546" t="str">
        <f t="shared" si="1"/>
        <v>R12=;R13=45;R50=;R36=;R43=;COM=</v>
      </c>
      <c r="B19" s="650"/>
      <c r="C19" s="1443"/>
      <c r="D19" s="2896" t="str">
        <f t="shared" si="2"/>
        <v>{45} Депозиты</v>
      </c>
      <c r="E19" s="2894"/>
      <c r="F19" s="1665" t="str">
        <f>IF(ISERROR(VLOOKUP(E19,Фин_договоры!$C$9:$R$32367,6,0)),"",VLOOKUP(E19,Фин_договоры!$C$9:$R$32367,6,0))</f>
        <v/>
      </c>
      <c r="G19" s="1665" t="str">
        <f>IF(ISERROR(VLOOKUP(E19,Фин_договоры!$C$9:$R$32367,7,0)),"",VLOOKUP(E19,Фин_договоры!$C$9:$R$32367,7,0))</f>
        <v/>
      </c>
      <c r="H19" s="1665" t="str">
        <f>IF(ISERROR(VLOOKUP(E19,Фин_договоры!$C$9:$R$32367,8,0)),"",VLOOKUP(E19,Фин_договоры!$C$9:$R$32367,8,0))</f>
        <v/>
      </c>
      <c r="I19" s="1665" t="str">
        <f>IF(ISERROR(VLOOKUP(E19,Фин_договоры!$C$9:$R$32367,16,0)),"",VLOOKUP(E19,Фин_договоры!$C$9:$R$32367,16,0))</f>
        <v/>
      </c>
      <c r="J19" s="2092" t="str">
        <f>IF(ISERROR(VLOOKUP(E19,Фин_договоры!$C$9:$W$32367,21,0)),"",VLOOKUP(E19,Фин_договоры!$C$9:$W$32367,21,0))</f>
        <v/>
      </c>
      <c r="K19" s="1667" t="str">
        <f>IF(ISERROR(VLOOKUP(E19,Фин_договоры!$C$9:$R$32367,12,0)),"",VLOOKUP(E19,Фин_договоры!$C$9:$R$32367,12,0))</f>
        <v/>
      </c>
      <c r="L19" s="1685"/>
      <c r="M19" s="1685"/>
      <c r="N19" s="1690">
        <f>L19-M19</f>
        <v>0</v>
      </c>
      <c r="O19" s="1468"/>
      <c r="P19" s="1685"/>
      <c r="Q19" s="1468"/>
      <c r="R19" s="1685"/>
      <c r="S19" s="1685"/>
      <c r="T19" s="1686">
        <f t="shared" si="9"/>
        <v>0</v>
      </c>
      <c r="U19" s="1685"/>
      <c r="V19" s="1686">
        <f>T19-U19</f>
        <v>0</v>
      </c>
      <c r="W19" s="2467"/>
      <c r="X19" s="2467"/>
      <c r="Y19" s="1687"/>
      <c r="AA19" s="651" t="b">
        <f t="shared" si="5"/>
        <v>1</v>
      </c>
      <c r="AB19" s="651" t="b">
        <f>IF(E19&lt;&gt;"",IFERROR(VLOOKUP($E19,Фин_договоры!$C:$D,2,0)=D19,FALSE),TRUE)</f>
        <v>1</v>
      </c>
      <c r="AE19" s="651" t="b">
        <f t="shared" si="6"/>
        <v>1</v>
      </c>
      <c r="AF19" s="651" t="b">
        <f t="shared" si="7"/>
        <v>1</v>
      </c>
      <c r="AG19" s="651" t="b">
        <f t="shared" si="8"/>
        <v>1</v>
      </c>
      <c r="AH19" s="651" t="b">
        <f t="shared" ca="1" si="10"/>
        <v>1</v>
      </c>
    </row>
    <row r="20" spans="1:34" s="651" customFormat="1" ht="12.5">
      <c r="A20" s="546" t="str">
        <f t="shared" si="1"/>
        <v>R12=;R13=45;R50=;R36=;R43=;COM=</v>
      </c>
      <c r="B20" s="650"/>
      <c r="C20" s="1443"/>
      <c r="D20" s="2896" t="str">
        <f t="shared" si="2"/>
        <v>{45} Депозиты</v>
      </c>
      <c r="E20" s="2894"/>
      <c r="F20" s="1665" t="str">
        <f>IF(ISERROR(VLOOKUP(E20,Фин_договоры!$C$9:$R$32367,6,0)),"",VLOOKUP(E20,Фин_договоры!$C$9:$R$32367,6,0))</f>
        <v/>
      </c>
      <c r="G20" s="1665" t="str">
        <f>IF(ISERROR(VLOOKUP(E20,Фин_договоры!$C$9:$R$32367,7,0)),"",VLOOKUP(E20,Фин_договоры!$C$9:$R$32367,7,0))</f>
        <v/>
      </c>
      <c r="H20" s="1665" t="str">
        <f>IF(ISERROR(VLOOKUP(E20,Фин_договоры!$C$9:$R$32367,8,0)),"",VLOOKUP(E20,Фин_договоры!$C$9:$R$32367,8,0))</f>
        <v/>
      </c>
      <c r="I20" s="1665" t="str">
        <f>IF(ISERROR(VLOOKUP(E20,Фин_договоры!$C$9:$R$32367,16,0)),"",VLOOKUP(E20,Фин_договоры!$C$9:$R$32367,16,0))</f>
        <v/>
      </c>
      <c r="J20" s="2092" t="str">
        <f>IF(ISERROR(VLOOKUP(E20,Фин_договоры!$C$9:$W$32367,21,0)),"",VLOOKUP(E20,Фин_договоры!$C$9:$W$32367,21,0))</f>
        <v/>
      </c>
      <c r="K20" s="1667" t="str">
        <f>IF(ISERROR(VLOOKUP(E20,Фин_договоры!$C$9:$R$32367,12,0)),"",VLOOKUP(E20,Фин_договоры!$C$9:$R$32367,12,0))</f>
        <v/>
      </c>
      <c r="L20" s="1685"/>
      <c r="M20" s="1685"/>
      <c r="N20" s="1690">
        <f>L20-M20</f>
        <v>0</v>
      </c>
      <c r="O20" s="1468"/>
      <c r="P20" s="1685"/>
      <c r="Q20" s="1468"/>
      <c r="R20" s="1685"/>
      <c r="S20" s="1685"/>
      <c r="T20" s="1686">
        <f t="shared" si="9"/>
        <v>0</v>
      </c>
      <c r="U20" s="1685"/>
      <c r="V20" s="1686">
        <f>T20-U20</f>
        <v>0</v>
      </c>
      <c r="W20" s="2467"/>
      <c r="X20" s="2467"/>
      <c r="Y20" s="1687"/>
      <c r="AA20" s="651" t="b">
        <f t="shared" si="5"/>
        <v>1</v>
      </c>
      <c r="AB20" s="651" t="b">
        <f>IF(E20&lt;&gt;"",IFERROR(VLOOKUP($E20,Фин_договоры!$C:$D,2,0)=D20,FALSE),TRUE)</f>
        <v>1</v>
      </c>
      <c r="AE20" s="651" t="b">
        <f t="shared" si="6"/>
        <v>1</v>
      </c>
      <c r="AF20" s="651" t="b">
        <f t="shared" si="7"/>
        <v>1</v>
      </c>
      <c r="AG20" s="651" t="b">
        <f t="shared" si="8"/>
        <v>1</v>
      </c>
      <c r="AH20" s="651" t="b">
        <f t="shared" ca="1" si="10"/>
        <v>1</v>
      </c>
    </row>
    <row r="21" spans="1:34" s="24" customFormat="1" ht="13" thickBot="1">
      <c r="A21" s="546" t="str">
        <f t="shared" si="1"/>
        <v>R12=;R13=45;R50=;R36=;R43=;COM=</v>
      </c>
      <c r="B21" s="566"/>
      <c r="C21" s="1684"/>
      <c r="D21" s="2897" t="str">
        <f t="shared" si="2"/>
        <v>{45} Депозиты</v>
      </c>
      <c r="E21" s="2895"/>
      <c r="F21" s="2066" t="str">
        <f>IF(ISERROR(VLOOKUP(E21,Фин_договоры!$C$9:$R$32367,6,0)),"",VLOOKUP(E21,Фин_договоры!$C$9:$R$32367,6,0))</f>
        <v/>
      </c>
      <c r="G21" s="2066" t="str">
        <f>IF(ISERROR(VLOOKUP(E21,Фин_договоры!$C$9:$R$32367,7,0)),"",VLOOKUP(E21,Фин_договоры!$C$9:$R$32367,7,0))</f>
        <v/>
      </c>
      <c r="H21" s="2370" t="str">
        <f>IF(ISERROR(VLOOKUP(E21,Фин_договоры!$C$9:$R$32367,8,0)),"",VLOOKUP(E21,Фин_договоры!$C$9:$R$32367,8,0))</f>
        <v/>
      </c>
      <c r="I21" s="2364" t="str">
        <f>IF(ISERROR(VLOOKUP(E21,Фин_договоры!$C$9:$R$32367,16,0)),"",VLOOKUP(E21,Фин_договоры!$C$9:$R$32367,16,0))</f>
        <v/>
      </c>
      <c r="J21" s="2371" t="str">
        <f>IF(ISERROR(VLOOKUP(E21,Фин_договоры!$C$9:$W$32367,21,0)),"",VLOOKUP(E21,Фин_договоры!$C$9:$W$32367,21,0))</f>
        <v/>
      </c>
      <c r="K21" s="2366" t="str">
        <f>IF(ISERROR(VLOOKUP(E21,Фин_договоры!$C$9:$R$32367,12,0)),"",VLOOKUP(E21,Фин_договоры!$C$9:$R$32367,12,0))</f>
        <v/>
      </c>
      <c r="L21" s="349"/>
      <c r="M21" s="349"/>
      <c r="N21" s="1691">
        <f>L21-M21</f>
        <v>0</v>
      </c>
      <c r="O21" s="349"/>
      <c r="P21" s="349"/>
      <c r="Q21" s="349"/>
      <c r="R21" s="349"/>
      <c r="S21" s="349"/>
      <c r="T21" s="1688">
        <f t="shared" si="9"/>
        <v>0</v>
      </c>
      <c r="U21" s="349"/>
      <c r="V21" s="1688">
        <f>T21-U21</f>
        <v>0</v>
      </c>
      <c r="W21" s="2468"/>
      <c r="X21" s="2468"/>
      <c r="Y21" s="153"/>
      <c r="AA21" s="651" t="b">
        <f t="shared" si="5"/>
        <v>1</v>
      </c>
      <c r="AB21" s="651" t="b">
        <f>IF(E21&lt;&gt;"",IFERROR(VLOOKUP($E21,Фин_договоры!$C:$D,2,0)=D21,FALSE),TRUE)</f>
        <v>1</v>
      </c>
      <c r="AE21" s="651" t="b">
        <f t="shared" si="6"/>
        <v>1</v>
      </c>
      <c r="AF21" s="651" t="b">
        <f t="shared" si="7"/>
        <v>1</v>
      </c>
      <c r="AG21" s="651" t="b">
        <f t="shared" si="8"/>
        <v>1</v>
      </c>
      <c r="AH21" s="651" t="b">
        <f t="shared" ca="1" si="10"/>
        <v>1</v>
      </c>
    </row>
    <row r="22" spans="1:34">
      <c r="A22" s="546"/>
    </row>
  </sheetData>
  <sheetProtection algorithmName="SHA-512" hashValue="ByBr2gH4HEGDNbl8IjaO4+tWGvonErOFMcTfI00MSMHxFcq4bC8P2qwgBg+BKCTvmYpruk9O5UeSLEovS+jEGw==" saltValue="o2LRE6KYYT8sUdQbL99PyA==" spinCount="100000" sheet="1" objects="1" scenarios="1" formatColumns="0" formatRows="0" autoFilter="0"/>
  <autoFilter ref="C10:AH10"/>
  <customSheetViews>
    <customSheetView guid="{3769259D-9653-4B34-A2F6-4FB6F9F4E533}" showGridLines="0" showAutoFilter="1" hiddenRows="1" hiddenColumns="1">
      <pane xSplit="4" ySplit="11" topLeftCell="T12" activePane="bottomRight" state="frozen"/>
      <selection pane="bottomRight" activeCell="U9" sqref="U9"/>
      <pageMargins left="0.7" right="0.7" top="0.75" bottom="0.75" header="0.3" footer="0.3"/>
      <pageSetup orientation="portrait" r:id="rId1"/>
      <autoFilter ref="B1:V1"/>
    </customSheetView>
    <customSheetView guid="{40D7A2BB-326C-4ED3-999C-17852F56D6F4}" showGridLines="0" showAutoFilter="1" hiddenRows="1" hiddenColumns="1">
      <pane xSplit="4" ySplit="10.705882352941176" topLeftCell="T12" activePane="bottomRight" state="frozen"/>
      <selection pane="bottomRight" activeCell="U9" sqref="U9"/>
      <pageMargins left="0.7" right="0.7" top="0.75" bottom="0.75" header="0.3" footer="0.3"/>
      <pageSetup orientation="portrait" r:id="rId2"/>
      <autoFilter ref="B1:V1"/>
    </customSheetView>
    <customSheetView guid="{5D121940-0CE8-4A0E-A493-67FAAA6E0FF8}" showGridLines="0" showAutoFilter="1" hiddenRows="1" hiddenColumns="1" topLeftCell="B2">
      <pane xSplit="3" ySplit="10" topLeftCell="E12" activePane="bottomRight" state="frozen"/>
      <selection pane="bottomRight" activeCell="R13" sqref="R13"/>
      <pageMargins left="0.7" right="0.7" top="0.75" bottom="0.75" header="0.3" footer="0.3"/>
      <pageSetup orientation="portrait" r:id="rId3"/>
      <autoFilter ref="B1:V1"/>
    </customSheetView>
    <customSheetView guid="{47AEACC4-6EA5-412C-AF39-A6C5357B313A}" showGridLines="0" showAutoFilter="1" hiddenRows="1" hiddenColumns="1" topLeftCell="B2">
      <pane xSplit="3" ySplit="10" topLeftCell="S12" activePane="bottomRight" state="frozen"/>
      <selection pane="bottomRight" activeCell="D11" sqref="D11"/>
      <pageMargins left="0.7" right="0.7" top="0.75" bottom="0.75" header="0.3" footer="0.3"/>
      <pageSetup orientation="portrait" r:id="rId4"/>
      <autoFilter ref="B1:V1"/>
    </customSheetView>
    <customSheetView guid="{4D957B38-5430-481E-B791-E0A66F913B50}" scale="70">
      <selection activeCell="G6" sqref="G6:G9"/>
      <pageMargins left="0.7" right="0.7" top="0.75" bottom="0.75" header="0.3" footer="0.3"/>
      <pageSetup orientation="portrait" r:id="rId5"/>
    </customSheetView>
    <customSheetView guid="{1C36793E-2B7E-411E-AA99-985D5D59B75A}" scale="70">
      <pageMargins left="0.7" right="0.7" top="0.75" bottom="0.75" header="0.3" footer="0.3"/>
      <pageSetup orientation="portrait" r:id="rId6"/>
    </customSheetView>
    <customSheetView guid="{C913A9E8-661B-40A4-A3C9-1BC5F2B2E9F0}" showGridLines="0" showAutoFilter="1" hiddenRows="1" hiddenColumns="1" topLeftCell="B2">
      <pane xSplit="3" ySplit="10" topLeftCell="S12" activePane="bottomRight" state="frozen"/>
      <selection pane="bottomRight" activeCell="V9" sqref="V9"/>
      <pageMargins left="0.7" right="0.7" top="0.75" bottom="0.75" header="0.3" footer="0.3"/>
      <pageSetup orientation="portrait" r:id="rId7"/>
      <autoFilter ref="B1:V1"/>
    </customSheetView>
  </customSheetViews>
  <mergeCells count="18">
    <mergeCell ref="D7:D8"/>
    <mergeCell ref="C7:C8"/>
    <mergeCell ref="K7:K8"/>
    <mergeCell ref="F7:F8"/>
    <mergeCell ref="G7:G8"/>
    <mergeCell ref="I7:I8"/>
    <mergeCell ref="J7:J8"/>
    <mergeCell ref="E7:E8"/>
    <mergeCell ref="H7:H8"/>
    <mergeCell ref="Y7:Y8"/>
    <mergeCell ref="L7:L8"/>
    <mergeCell ref="O7:S7"/>
    <mergeCell ref="T7:T8"/>
    <mergeCell ref="U7:U8"/>
    <mergeCell ref="V7:V8"/>
    <mergeCell ref="W7:X7"/>
    <mergeCell ref="M7:M8"/>
    <mergeCell ref="N7:N8"/>
  </mergeCells>
  <phoneticPr fontId="0" type="noConversion"/>
  <dataValidations disablePrompts="1" count="7">
    <dataValidation type="list" operator="equal" allowBlank="1" showErrorMessage="1" errorTitle="Выбор элемента списка" error="Данного элемента нет в списке" sqref="I65530:I65536">
      <formula1>_6003_</formula1>
    </dataValidation>
    <dataValidation operator="equal" allowBlank="1" showInputMessage="1" prompt="Дата в формате ДД.ММ.ГГГГ (01.01.2010)" sqref="K65530:K65536">
      <formula1>0</formula1>
      <formula2>0</formula2>
    </dataValidation>
    <dataValidation operator="equal" allowBlank="1" showErrorMessage="1" errorTitle="Выбор элемента списка" error="Данного элемента нет в списке" sqref="D12:D21"/>
    <dataValidation type="list" operator="equal" allowBlank="1" showErrorMessage="1" errorTitle="Выбор элемента списка" error="Данного элемента нет в списке" sqref="C13:C21">
      <formula1>_2423</formula1>
    </dataValidation>
    <dataValidation type="list" operator="equal" allowBlank="1" showErrorMessage="1" errorTitle="Выбор элемента списка" error="Данного элемента нет в списке" sqref="C65530:E65536">
      <formula1>_2423_1008_58_04_1_</formula1>
    </dataValidation>
    <dataValidation type="list" allowBlank="1" showInputMessage="1" showErrorMessage="1" sqref="C12">
      <formula1>_2423</formula1>
    </dataValidation>
    <dataValidation type="list" allowBlank="1" showInputMessage="1" showErrorMessage="1" sqref="E12:E21">
      <formula1>dogovor_fin</formula1>
    </dataValidation>
  </dataValidations>
  <hyperlinks>
    <hyperlink ref="F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6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11" name="Button 1">
              <controlPr defaultSize="0" print="0" autoFill="0" autoPict="0" macro="[0]!AddButtonsRowAdd">
                <anchor moveWithCells="1">
                  <from>
                    <xdr:col>3</xdr:col>
                    <xdr:colOff>488950</xdr:colOff>
                    <xdr:row>1</xdr:row>
                    <xdr:rowOff>107950</xdr:rowOff>
                  </from>
                  <to>
                    <xdr:col>3</xdr:col>
                    <xdr:colOff>1898650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3">
    <pageSetUpPr fitToPage="1"/>
  </sheetPr>
  <dimension ref="A1:R14"/>
  <sheetViews>
    <sheetView topLeftCell="B2" zoomScale="70" zoomScaleNormal="70" workbookViewId="0">
      <selection activeCell="B1" sqref="A1:XFD1"/>
    </sheetView>
  </sheetViews>
  <sheetFormatPr defaultColWidth="9.453125" defaultRowHeight="14.5"/>
  <cols>
    <col min="1" max="1" width="23" style="32" hidden="1" customWidth="1"/>
    <col min="2" max="2" width="1.54296875" style="32" customWidth="1"/>
    <col min="3" max="3" width="27.453125" style="32" customWidth="1"/>
    <col min="4" max="5" width="17.453125" style="32" customWidth="1"/>
    <col min="6" max="6" width="24.54296875" style="32" customWidth="1"/>
    <col min="7" max="7" width="17.453125" style="32" customWidth="1"/>
    <col min="8" max="8" width="32.54296875" style="32" bestFit="1" customWidth="1"/>
    <col min="9" max="9" width="31.453125" style="32" bestFit="1" customWidth="1"/>
    <col min="10" max="10" width="31.453125" style="32" customWidth="1"/>
    <col min="11" max="11" width="27.54296875" style="32" bestFit="1" customWidth="1"/>
    <col min="12" max="12" width="19.453125" style="32" customWidth="1"/>
    <col min="13" max="15" width="16.453125" style="32" customWidth="1"/>
    <col min="16" max="16" width="27.453125" style="32" bestFit="1" customWidth="1"/>
    <col min="17" max="17" width="9.453125" style="32"/>
    <col min="18" max="18" width="16" style="32" customWidth="1"/>
    <col min="19" max="16384" width="9.453125" style="32"/>
  </cols>
  <sheetData>
    <row r="1" spans="1:18" ht="19.5" hidden="1" customHeight="1">
      <c r="A1" s="537" t="s">
        <v>2833</v>
      </c>
      <c r="B1" s="22"/>
      <c r="C1" s="22"/>
      <c r="D1" s="22"/>
      <c r="E1" s="22"/>
      <c r="F1" s="22"/>
      <c r="G1" s="22"/>
      <c r="H1" s="22"/>
      <c r="I1" s="22"/>
      <c r="J1" s="22"/>
      <c r="K1" s="6" t="s">
        <v>1051</v>
      </c>
      <c r="L1" s="6" t="s">
        <v>1052</v>
      </c>
      <c r="M1" s="6" t="s">
        <v>1053</v>
      </c>
      <c r="N1" s="6" t="s">
        <v>1054</v>
      </c>
      <c r="O1" s="2438" t="s">
        <v>1023</v>
      </c>
      <c r="P1" s="6" t="s">
        <v>513</v>
      </c>
    </row>
    <row r="2" spans="1:18" s="1919" customFormat="1">
      <c r="A2" s="745"/>
      <c r="K2" s="1778" t="s">
        <v>1648</v>
      </c>
      <c r="L2" s="1778" t="s">
        <v>1648</v>
      </c>
      <c r="M2" s="1778" t="s">
        <v>1648</v>
      </c>
      <c r="N2" s="1778" t="s">
        <v>1648</v>
      </c>
      <c r="O2" s="1778"/>
      <c r="P2" s="1778" t="s">
        <v>1648</v>
      </c>
    </row>
    <row r="3" spans="1:18" s="1919" customFormat="1">
      <c r="A3" s="745"/>
      <c r="K3" s="1778"/>
      <c r="L3" s="1778"/>
      <c r="M3" s="1778"/>
      <c r="N3" s="1778"/>
      <c r="O3" s="1778"/>
      <c r="P3" s="1778"/>
    </row>
    <row r="4" spans="1:18" s="1919" customFormat="1">
      <c r="A4" s="745"/>
      <c r="K4" s="1778"/>
      <c r="L4" s="1778"/>
      <c r="M4" s="1778"/>
      <c r="N4" s="1778"/>
      <c r="O4" s="1778"/>
      <c r="P4" s="1778"/>
    </row>
    <row r="5" spans="1:18" s="24" customFormat="1">
      <c r="A5" s="538"/>
      <c r="C5" s="169" t="s">
        <v>4236</v>
      </c>
      <c r="D5" s="168"/>
      <c r="E5" s="168"/>
      <c r="F5" s="168"/>
      <c r="G5" s="168"/>
      <c r="H5"/>
      <c r="I5" s="1897" t="s">
        <v>2067</v>
      </c>
      <c r="J5" s="1244">
        <f>Содержание!$D$2</f>
        <v>0</v>
      </c>
      <c r="K5" s="170"/>
      <c r="L5" s="168"/>
      <c r="M5" s="168"/>
      <c r="N5" s="168"/>
      <c r="O5" s="168"/>
      <c r="P5" s="168"/>
    </row>
    <row r="6" spans="1:18" s="24" customFormat="1" ht="15" thickBot="1">
      <c r="A6" s="538"/>
      <c r="C6" s="168"/>
      <c r="D6"/>
      <c r="E6" s="168"/>
      <c r="F6" s="168"/>
      <c r="G6" s="168"/>
      <c r="H6" s="3044" t="s">
        <v>1436</v>
      </c>
      <c r="I6" s="1897" t="s">
        <v>2075</v>
      </c>
      <c r="J6" s="1244" t="str">
        <f>Содержание!$D$15</f>
        <v>2022 год</v>
      </c>
      <c r="K6" s="170"/>
      <c r="M6" s="170"/>
      <c r="N6" s="170"/>
      <c r="O6" s="170"/>
      <c r="P6" s="170"/>
    </row>
    <row r="7" spans="1:18" s="24" customFormat="1" ht="91">
      <c r="A7" s="1935"/>
      <c r="C7" s="2681" t="s">
        <v>1792</v>
      </c>
      <c r="D7" s="2684" t="s">
        <v>5381</v>
      </c>
      <c r="E7" s="2684" t="s">
        <v>5531</v>
      </c>
      <c r="F7" s="2684" t="s">
        <v>8394</v>
      </c>
      <c r="G7" s="2680" t="s">
        <v>3972</v>
      </c>
      <c r="H7" s="2680" t="s">
        <v>4237</v>
      </c>
      <c r="I7" s="2680" t="s">
        <v>5384</v>
      </c>
      <c r="J7" s="2680" t="s">
        <v>4664</v>
      </c>
      <c r="K7" s="2686" t="s">
        <v>5225</v>
      </c>
      <c r="L7" s="2680" t="s">
        <v>5162</v>
      </c>
      <c r="M7" s="2680" t="s">
        <v>5163</v>
      </c>
      <c r="N7" s="2680" t="s">
        <v>2222</v>
      </c>
      <c r="O7" s="3104" t="s">
        <v>4079</v>
      </c>
      <c r="P7" s="2680" t="s">
        <v>4238</v>
      </c>
      <c r="R7" s="3106" t="s">
        <v>9684</v>
      </c>
    </row>
    <row r="8" spans="1:18" s="24" customFormat="1" ht="13">
      <c r="A8" s="1935"/>
      <c r="C8" s="832" t="s">
        <v>5247</v>
      </c>
      <c r="D8" s="833" t="s">
        <v>5247</v>
      </c>
      <c r="E8" s="833" t="s">
        <v>5247</v>
      </c>
      <c r="F8" s="833" t="s">
        <v>5247</v>
      </c>
      <c r="G8" s="833" t="s">
        <v>5247</v>
      </c>
      <c r="H8" s="833" t="s">
        <v>4142</v>
      </c>
      <c r="I8" s="944">
        <v>2420</v>
      </c>
      <c r="J8" s="944">
        <v>6003</v>
      </c>
      <c r="K8" s="954" t="s">
        <v>674</v>
      </c>
      <c r="L8" s="906" t="s">
        <v>4239</v>
      </c>
      <c r="M8" s="906" t="s">
        <v>4240</v>
      </c>
      <c r="N8" s="906" t="s">
        <v>4525</v>
      </c>
      <c r="O8" s="906" t="s">
        <v>5406</v>
      </c>
      <c r="P8" s="833" t="s">
        <v>694</v>
      </c>
    </row>
    <row r="9" spans="1:18" s="698" customFormat="1" ht="12.5">
      <c r="A9" s="700"/>
      <c r="B9" s="680"/>
      <c r="C9" s="1692" t="s">
        <v>4164</v>
      </c>
      <c r="D9" s="1669" t="s">
        <v>4165</v>
      </c>
      <c r="E9" s="1669" t="s">
        <v>4166</v>
      </c>
      <c r="F9" s="1669" t="s">
        <v>5500</v>
      </c>
      <c r="G9" s="1669" t="s">
        <v>4169</v>
      </c>
      <c r="H9" s="1669" t="s">
        <v>4168</v>
      </c>
      <c r="I9" s="1669" t="s">
        <v>4178</v>
      </c>
      <c r="J9" s="1669" t="s">
        <v>4179</v>
      </c>
      <c r="K9" s="1669" t="s">
        <v>4167</v>
      </c>
      <c r="L9" s="1669" t="s">
        <v>5501</v>
      </c>
      <c r="M9" s="1669" t="s">
        <v>4701</v>
      </c>
      <c r="N9" s="1669" t="s">
        <v>4702</v>
      </c>
      <c r="O9" s="1669" t="s">
        <v>4703</v>
      </c>
      <c r="P9" s="1669" t="s">
        <v>5502</v>
      </c>
      <c r="R9" s="3109" t="b">
        <f>IF(Содержание!$D$12="",TRUE,AND(R11:R1500))</f>
        <v>1</v>
      </c>
    </row>
    <row r="10" spans="1:18" s="24" customFormat="1" ht="12.5">
      <c r="A10" s="538"/>
      <c r="B10" s="207"/>
      <c r="C10" s="945" t="s">
        <v>4184</v>
      </c>
      <c r="D10" s="946" t="s">
        <v>4184</v>
      </c>
      <c r="E10" s="946" t="s">
        <v>4184</v>
      </c>
      <c r="F10" s="946" t="s">
        <v>4184</v>
      </c>
      <c r="G10" s="946" t="s">
        <v>4184</v>
      </c>
      <c r="H10" s="946" t="s">
        <v>4184</v>
      </c>
      <c r="I10" s="946" t="s">
        <v>4184</v>
      </c>
      <c r="J10" s="946" t="s">
        <v>4184</v>
      </c>
      <c r="K10" s="947">
        <f t="shared" ref="K10:P10" si="0">SUM(K11:K10001)</f>
        <v>0</v>
      </c>
      <c r="L10" s="947">
        <f t="shared" si="0"/>
        <v>0</v>
      </c>
      <c r="M10" s="947">
        <f t="shared" si="0"/>
        <v>0</v>
      </c>
      <c r="N10" s="947">
        <f t="shared" si="0"/>
        <v>0</v>
      </c>
      <c r="O10" s="947">
        <f t="shared" si="0"/>
        <v>0</v>
      </c>
      <c r="P10" s="947">
        <f t="shared" si="0"/>
        <v>0</v>
      </c>
      <c r="R10" s="2794"/>
    </row>
    <row r="11" spans="1:18" s="24" customFormat="1" ht="19.5" customHeight="1">
      <c r="A11" s="538" t="str">
        <f>"R50="&amp;C11&amp;";R14="&amp;IFERROR(MID(H11,FIND("{",H11)+1,FIND("}",H11)-FIND("{",H11)-1),"")&amp;";R15="&amp;";R36="&amp;MID(F11,1,30)&amp;";R43="&amp;MID(E11,1,30)&amp;";COM="</f>
        <v>R50=;R14=;R15=;R36=;R43=;COM=</v>
      </c>
      <c r="B11" s="207"/>
      <c r="C11" s="950"/>
      <c r="D11" s="1693" t="str">
        <f>IF(ISERROR(VLOOKUP($C11,Фин_договоры!$C$9:$U$32367,6,0)),"",VLOOKUP($C11,Фин_договоры!$C$9:$U$32367,6,0))</f>
        <v/>
      </c>
      <c r="E11" s="1693" t="str">
        <f>IF(ISERROR(VLOOKUP($C11,Фин_договоры!$C$9:$U$32367,7,0)),"",VLOOKUP($C11,Фин_договоры!$C$9:$U$32367,7,0))</f>
        <v/>
      </c>
      <c r="F11" s="1693" t="str">
        <f>IF(ISERROR(VLOOKUP($C11,Фин_договоры!$C$9:$U$32367,8,0)),"",VLOOKUP($C11,Фин_договоры!$C$9:$U$32367,8,0))</f>
        <v/>
      </c>
      <c r="G11" s="1694" t="str">
        <f>IF(ISERROR(VLOOKUP($C11,Фин_договоры!$C$9:$U$32367,9,0)),"",VLOOKUP($C11,Фин_договоры!$C$9:$U$32367,9,0))</f>
        <v/>
      </c>
      <c r="H11" s="951"/>
      <c r="I11" s="1670" t="str">
        <f>IF(ISERROR(VLOOKUP($C11,Фин_договоры!$C$9:$U$32367,2,0)),"",VLOOKUP($C11,Фин_договоры!$C$9:$U$32367,2,0))</f>
        <v/>
      </c>
      <c r="J11" s="1670" t="str">
        <f>IF(ISERROR(VLOOKUP($C11,Фин_договоры!$C$9:$U$32367,16,0)),"",VLOOKUP($C11,Фин_договоры!$C$9:$U$32367,16,0))</f>
        <v/>
      </c>
      <c r="K11" s="934"/>
      <c r="L11" s="934"/>
      <c r="M11" s="934"/>
      <c r="N11" s="934"/>
      <c r="O11" s="934"/>
      <c r="P11" s="930">
        <f>SUM(K11:O11)</f>
        <v>0</v>
      </c>
      <c r="R11" s="3109" t="str">
        <f>IF(Содержание!$D$12="","ИСТИНА",IF(VLOOKUP(Содержание!$D$12,Справочник!$BZ$4:$CA$173,2,0)=J11,O11="",TRUE))</f>
        <v>ИСТИНА</v>
      </c>
    </row>
    <row r="12" spans="1:18" s="24" customFormat="1" ht="18.75" customHeight="1">
      <c r="A12" s="2425" t="str">
        <f t="shared" ref="A12:A14" si="1">"R50="&amp;C12&amp;";R14="&amp;IFERROR(MID(H12,FIND("{",H12)+1,FIND("}",H12)-FIND("{",H12)-1),"")&amp;";R15="&amp;";R36="&amp;MID(F12,1,30)&amp;";R43="&amp;MID(E12,1,30)&amp;";COM="</f>
        <v>R50=;R14=;R15=;R36=;R43=;COM=</v>
      </c>
      <c r="B12" s="207"/>
      <c r="C12" s="950"/>
      <c r="D12" s="1693" t="str">
        <f>IF(ISERROR(VLOOKUP($C12,Фин_договоры!$C$9:$U$32367,6,0)),"",VLOOKUP($C12,Фин_договоры!$C$9:$U$32367,6,0))</f>
        <v/>
      </c>
      <c r="E12" s="1693" t="str">
        <f>IF(ISERROR(VLOOKUP($C12,Фин_договоры!$C$9:$U$32367,7,0)),"",VLOOKUP($C12,Фин_договоры!$C$9:$U$32367,7,0))</f>
        <v/>
      </c>
      <c r="F12" s="1693" t="str">
        <f>IF(ISERROR(VLOOKUP($C12,Фин_договоры!$C$9:$U$32367,8,0)),"",VLOOKUP($C12,Фин_договоры!$C$9:$U$32367,8,0))</f>
        <v/>
      </c>
      <c r="G12" s="1694" t="str">
        <f>IF(ISERROR(VLOOKUP($C12,Фин_договоры!$C$9:$U$32367,9,0)),"",VLOOKUP($C12,Фин_договоры!$C$9:$U$32367,9,0))</f>
        <v/>
      </c>
      <c r="H12" s="951"/>
      <c r="I12" s="1670" t="str">
        <f>IF(ISERROR(VLOOKUP($C12,Фин_договоры!$C$9:$U$32367,2,0)),"",VLOOKUP($C12,Фин_договоры!$C$9:$U$32367,2,0))</f>
        <v/>
      </c>
      <c r="J12" s="1670" t="str">
        <f>IF(ISERROR(VLOOKUP($C12,Фин_договоры!$C$9:$U$32367,16,0)),"",VLOOKUP($C12,Фин_договоры!$C$9:$U$32367,16,0))</f>
        <v/>
      </c>
      <c r="K12" s="934"/>
      <c r="L12" s="934"/>
      <c r="M12" s="934"/>
      <c r="N12" s="934"/>
      <c r="O12" s="934"/>
      <c r="P12" s="930">
        <f t="shared" ref="P12:P14" si="2">SUM(K12:O12)</f>
        <v>0</v>
      </c>
      <c r="R12" s="3109" t="str">
        <f>IF(Содержание!$D$12="","ИСТИНА",IF(VLOOKUP(Содержание!$D$12,Справочник!$BZ$4:$CA$173,2,0)=J12,O12="",TRUE))</f>
        <v>ИСТИНА</v>
      </c>
    </row>
    <row r="13" spans="1:18" s="24" customFormat="1" ht="19.5" customHeight="1">
      <c r="A13" s="2425" t="str">
        <f t="shared" si="1"/>
        <v>R50=;R14=;R15=;R36=;R43=;COM=</v>
      </c>
      <c r="B13" s="207"/>
      <c r="C13" s="950"/>
      <c r="D13" s="1693" t="str">
        <f>IF(ISERROR(VLOOKUP($C13,Фин_договоры!$C$9:$U$32367,6,0)),"",VLOOKUP($C13,Фин_договоры!$C$9:$U$32367,6,0))</f>
        <v/>
      </c>
      <c r="E13" s="1693" t="str">
        <f>IF(ISERROR(VLOOKUP($C13,Фин_договоры!$C$9:$U$32367,7,0)),"",VLOOKUP($C13,Фин_договоры!$C$9:$U$32367,7,0))</f>
        <v/>
      </c>
      <c r="F13" s="1693" t="str">
        <f>IF(ISERROR(VLOOKUP($C13,Фин_договоры!$C$9:$U$32367,8,0)),"",VLOOKUP($C13,Фин_договоры!$C$9:$U$32367,8,0))</f>
        <v/>
      </c>
      <c r="G13" s="1694" t="str">
        <f>IF(ISERROR(VLOOKUP($C13,Фин_договоры!$C$9:$U$32367,9,0)),"",VLOOKUP($C13,Фин_договоры!$C$9:$U$32367,9,0))</f>
        <v/>
      </c>
      <c r="H13" s="951"/>
      <c r="I13" s="1670" t="str">
        <f>IF(ISERROR(VLOOKUP($C13,Фин_договоры!$C$9:$U$32367,2,0)),"",VLOOKUP($C13,Фин_договоры!$C$9:$U$32367,2,0))</f>
        <v/>
      </c>
      <c r="J13" s="1670" t="str">
        <f>IF(ISERROR(VLOOKUP($C13,Фин_договоры!$C$9:$U$32367,16,0)),"",VLOOKUP($C13,Фин_договоры!$C$9:$U$32367,16,0))</f>
        <v/>
      </c>
      <c r="K13" s="934"/>
      <c r="L13" s="934"/>
      <c r="M13" s="934"/>
      <c r="N13" s="934"/>
      <c r="O13" s="934"/>
      <c r="P13" s="930">
        <f t="shared" si="2"/>
        <v>0</v>
      </c>
      <c r="R13" s="3109" t="str">
        <f>IF(Содержание!$D$12="","ИСТИНА",IF(VLOOKUP(Содержание!$D$12,Справочник!$BZ$4:$CA$173,2,0)=J13,O13="",TRUE))</f>
        <v>ИСТИНА</v>
      </c>
    </row>
    <row r="14" spans="1:18" s="24" customFormat="1" ht="19.5" customHeight="1" thickBot="1">
      <c r="A14" s="2425" t="str">
        <f t="shared" si="1"/>
        <v>R50=;R14=;R15=;R36=;R43=;COM=</v>
      </c>
      <c r="B14" s="207"/>
      <c r="C14" s="952"/>
      <c r="D14" s="1672" t="str">
        <f>IF(ISERROR(VLOOKUP($C14,Фин_договоры!$C$9:$U$32367,6,0)),"",VLOOKUP($C14,Фин_договоры!$C$9:$U$32367,6,0))</f>
        <v/>
      </c>
      <c r="E14" s="1672" t="str">
        <f>IF(ISERROR(VLOOKUP($C14,Фин_договоры!$C$9:$U$32367,7,0)),"",VLOOKUP($C14,Фин_договоры!$C$9:$U$32367,7,0))</f>
        <v/>
      </c>
      <c r="F14" s="2372" t="str">
        <f>IF(ISERROR(VLOOKUP($C14,Фин_договоры!$C$9:$U$32367,8,0)),"",VLOOKUP($C14,Фин_договоры!$C$9:$U$32367,8,0))</f>
        <v/>
      </c>
      <c r="G14" s="2373" t="str">
        <f>IF(ISERROR(VLOOKUP($C14,Фин_договоры!$C$9:$U$32367,9,0)),"",VLOOKUP($C14,Фин_договоры!$C$9:$U$32367,9,0))</f>
        <v/>
      </c>
      <c r="H14" s="953"/>
      <c r="I14" s="1672" t="str">
        <f>IF(ISERROR(VLOOKUP($C14,Фин_договоры!$C$9:$U$32367,2,0)),"",VLOOKUP($C14,Фин_договоры!$C$9:$U$32367,2,0))</f>
        <v/>
      </c>
      <c r="J14" s="2362" t="str">
        <f>IF(ISERROR(VLOOKUP($C14,Фин_договоры!$C$9:$U$32367,16,0)),"",VLOOKUP($C14,Фин_договоры!$C$9:$U$32367,16,0))</f>
        <v/>
      </c>
      <c r="K14" s="936"/>
      <c r="L14" s="936"/>
      <c r="M14" s="936"/>
      <c r="N14" s="936"/>
      <c r="O14" s="3105"/>
      <c r="P14" s="930">
        <f t="shared" si="2"/>
        <v>0</v>
      </c>
      <c r="R14" s="3109" t="str">
        <f>IF(Содержание!$D$12="","ИСТИНА",IF(VLOOKUP(Содержание!$D$12,Справочник!$BZ$4:$CA$173,2,0)=J14,O14="",TRUE))</f>
        <v>ИСТИНА</v>
      </c>
    </row>
  </sheetData>
  <sheetProtection algorithmName="SHA-512" hashValue="GgT+l9J52JQ8/0o0ODRGCsTSnvOHY5R3dJfCRHtt7di+4pNlVM8YR7g8QxV5QtTN2oPCHmn6B1C9XWjci+2pFQ==" saltValue="Wx50YGe3qUoP5tdDukhTAw==" spinCount="100000" sheet="1" objects="1" scenarios="1" formatColumns="0" formatRows="0" autoFilter="0"/>
  <autoFilter ref="C9:P9"/>
  <dataConsolidate/>
  <customSheetViews>
    <customSheetView guid="{3769259D-9653-4B34-A2F6-4FB6F9F4E533}" showGridLines="0" showAutoFilter="1" hiddenRows="1" hiddenColumns="1">
      <pane xSplit="6" ySplit="10" topLeftCell="I11" activePane="bottomRight" state="frozen"/>
      <selection pane="bottomRight" activeCell="K10" sqref="K10"/>
      <pageMargins left="0.7" right="0.7" top="0.75" bottom="0.75" header="0.3" footer="0.3"/>
      <pageSetup orientation="portrait" r:id="rId1"/>
      <autoFilter ref="B1:O1"/>
    </customSheetView>
    <customSheetView guid="{40D7A2BB-326C-4ED3-999C-17852F56D6F4}" showGridLines="0" showAutoFilter="1" hiddenRows="1" hiddenColumns="1">
      <pane xSplit="6" ySplit="10" topLeftCell="J11" activePane="bottomRight" state="frozen"/>
      <selection pane="bottomRight" activeCell="C17" sqref="C17"/>
      <pageMargins left="0.7" right="0.7" top="0.75" bottom="0.75" header="0.3" footer="0.3"/>
      <pageSetup orientation="portrait" r:id="rId2"/>
      <autoFilter ref="B1:O1"/>
    </customSheetView>
    <customSheetView guid="{5D121940-0CE8-4A0E-A493-67FAAA6E0FF8}" showGridLines="0" showAutoFilter="1" hiddenRows="1" hiddenColumns="1" topLeftCell="B2">
      <pane xSplit="5" ySplit="9" topLeftCell="O11" activePane="bottomRight" state="frozen"/>
      <selection pane="bottomRight" activeCell="C9" sqref="C9:P9"/>
      <pageMargins left="0.7" right="0.7" top="0.75" bottom="0.75" header="0.3" footer="0.3"/>
      <pageSetup orientation="portrait" r:id="rId3"/>
      <autoFilter ref="B1:O1"/>
    </customSheetView>
    <customSheetView guid="{47AEACC4-6EA5-412C-AF39-A6C5357B313A}" showGridLines="0" showAutoFilter="1" hiddenRows="1" hiddenColumns="1">
      <pane xSplit="6" ySplit="10" topLeftCell="H11" activePane="bottomRight" state="frozen"/>
      <selection pane="bottomRight" activeCell="I16" sqref="I16"/>
      <pageMargins left="0.7" right="0.7" top="0.75" bottom="0.75" header="0.3" footer="0.3"/>
      <pageSetup orientation="portrait" r:id="rId4"/>
      <autoFilter ref="B1:O1"/>
    </customSheetView>
    <customSheetView guid="{4D957B38-5430-481E-B791-E0A66F913B50}" scale="70" hiddenColumns="1">
      <pageMargins left="0.7" right="0.7" top="0.75" bottom="0.75" header="0.3" footer="0.3"/>
    </customSheetView>
    <customSheetView guid="{1C36793E-2B7E-411E-AA99-985D5D59B75A}" scale="70" topLeftCell="B1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5" ySplit="9" topLeftCell="O11" activePane="bottomRight" state="frozen"/>
      <selection pane="bottomRight" activeCell="C9" sqref="C9:P9"/>
      <pageMargins left="0.7" right="0.7" top="0.75" bottom="0.75" header="0.3" footer="0.3"/>
      <pageSetup orientation="portrait" r:id="rId5"/>
      <autoFilter ref="B1:O1"/>
    </customSheetView>
  </customSheetViews>
  <phoneticPr fontId="0" type="noConversion"/>
  <dataValidations count="2">
    <dataValidation type="list" operator="equal" allowBlank="1" showInputMessage="1" sqref="C11:C14">
      <formula1>dogovor_fin</formula1>
    </dataValidation>
    <dataValidation type="list" allowBlank="1" showInputMessage="1" showErrorMessage="1" sqref="H11:H14">
      <formula1>_1008</formula1>
    </dataValidation>
  </dataValidations>
  <hyperlinks>
    <hyperlink ref="H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52" fitToWidth="2" orientation="landscape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88" r:id="rId9" name="Button 16">
              <controlPr defaultSize="0" print="0" autoFill="0" autoPict="0" macro="[0]!AddButtonsRowAdd">
                <anchor moveWithCells="1">
                  <from>
                    <xdr:col>4</xdr:col>
                    <xdr:colOff>1060450</xdr:colOff>
                    <xdr:row>1</xdr:row>
                    <xdr:rowOff>76200</xdr:rowOff>
                  </from>
                  <to>
                    <xdr:col>5</xdr:col>
                    <xdr:colOff>1327150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pageSetUpPr fitToPage="1"/>
  </sheetPr>
  <dimension ref="A1:Y14"/>
  <sheetViews>
    <sheetView topLeftCell="B2" zoomScale="79" zoomScaleNormal="79" workbookViewId="0">
      <selection activeCell="A2" sqref="A1:A1048576"/>
    </sheetView>
  </sheetViews>
  <sheetFormatPr defaultColWidth="9.453125" defaultRowHeight="14.5"/>
  <cols>
    <col min="1" max="1" width="35.26953125" style="522" hidden="1" customWidth="1"/>
    <col min="2" max="2" width="4" style="32" customWidth="1"/>
    <col min="3" max="3" width="26.453125" style="32" customWidth="1"/>
    <col min="4" max="8" width="19.453125" style="32" customWidth="1"/>
    <col min="9" max="9" width="15.453125" style="32" customWidth="1"/>
    <col min="10" max="10" width="15" style="32" customWidth="1"/>
    <col min="11" max="11" width="28.453125" style="32" customWidth="1"/>
    <col min="12" max="12" width="31.453125" style="32" customWidth="1"/>
    <col min="13" max="16" width="17.453125" style="32" customWidth="1"/>
    <col min="17" max="17" width="21" style="32" customWidth="1"/>
    <col min="18" max="19" width="17.453125" style="32" customWidth="1"/>
    <col min="20" max="20" width="26.54296875" style="32" bestFit="1" customWidth="1"/>
    <col min="21" max="22" width="26.54296875" style="32" customWidth="1"/>
    <col min="23" max="23" width="23.54296875" style="32" customWidth="1"/>
    <col min="24" max="24" width="9.453125" style="32"/>
    <col min="25" max="25" width="21.54296875" style="32" customWidth="1"/>
    <col min="26" max="16384" width="9.453125" style="32"/>
  </cols>
  <sheetData>
    <row r="1" spans="1:25" ht="18.75" hidden="1" customHeight="1">
      <c r="A1" s="167" t="s">
        <v>2834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6"/>
      <c r="N1" s="6" t="s">
        <v>1055</v>
      </c>
      <c r="O1" s="6" t="s">
        <v>1056</v>
      </c>
      <c r="P1" s="6" t="s">
        <v>1052</v>
      </c>
      <c r="Q1" s="6" t="s">
        <v>1053</v>
      </c>
      <c r="R1" s="6" t="s">
        <v>1054</v>
      </c>
      <c r="S1" s="2438" t="s">
        <v>1023</v>
      </c>
      <c r="T1" s="6"/>
      <c r="U1" s="6" t="s">
        <v>1057</v>
      </c>
      <c r="V1" s="6" t="s">
        <v>1058</v>
      </c>
      <c r="W1" s="22"/>
    </row>
    <row r="2" spans="1:25" s="1919" customFormat="1" ht="13.5" customHeight="1">
      <c r="A2" s="748"/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/>
      <c r="T2" s="1778" t="s">
        <v>1648</v>
      </c>
      <c r="U2" s="1778" t="s">
        <v>1648</v>
      </c>
      <c r="V2" s="1778" t="s">
        <v>1648</v>
      </c>
    </row>
    <row r="3" spans="1:25" s="1919" customFormat="1" ht="13.5" customHeight="1">
      <c r="A3" s="748"/>
      <c r="M3" s="1778"/>
      <c r="N3" s="1778"/>
      <c r="O3" s="1778"/>
      <c r="P3" s="1778"/>
      <c r="Q3" s="1778"/>
      <c r="R3" s="1778"/>
      <c r="S3" s="1778"/>
      <c r="T3" s="1778"/>
      <c r="U3" s="1778"/>
      <c r="V3" s="1778"/>
    </row>
    <row r="4" spans="1:25" s="1919" customFormat="1" ht="13.5" customHeight="1">
      <c r="A4" s="748"/>
      <c r="M4" s="1778"/>
      <c r="N4" s="1778"/>
      <c r="O4" s="1778"/>
      <c r="P4" s="1778"/>
      <c r="Q4" s="1778"/>
      <c r="R4" s="1778"/>
      <c r="S4" s="1778"/>
      <c r="T4" s="1778"/>
      <c r="U4" s="1778"/>
      <c r="V4" s="1778"/>
    </row>
    <row r="5" spans="1:25" s="24" customFormat="1" ht="13">
      <c r="A5" s="9"/>
      <c r="C5" s="169" t="s">
        <v>4241</v>
      </c>
      <c r="D5" s="168"/>
      <c r="E5" s="168"/>
      <c r="F5" s="168"/>
      <c r="G5" s="168"/>
      <c r="H5" s="169"/>
      <c r="I5" s="168"/>
      <c r="J5" s="168"/>
      <c r="K5" s="1897" t="s">
        <v>2067</v>
      </c>
      <c r="L5" s="1244">
        <f>Содержание!$D$2</f>
        <v>0</v>
      </c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</row>
    <row r="6" spans="1:25" s="24" customFormat="1" ht="15" thickBot="1">
      <c r="A6" s="9"/>
      <c r="C6" s="168"/>
      <c r="D6"/>
      <c r="E6" s="168"/>
      <c r="F6" s="168"/>
      <c r="G6" s="168"/>
      <c r="H6" s="173"/>
      <c r="I6"/>
      <c r="J6" s="3044" t="s">
        <v>1436</v>
      </c>
      <c r="K6" s="1897" t="s">
        <v>2075</v>
      </c>
      <c r="L6" s="1244" t="str">
        <f>Содержание!$D$15</f>
        <v>2022 год</v>
      </c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</row>
    <row r="7" spans="1:25" s="24" customFormat="1" ht="65">
      <c r="A7" s="9"/>
      <c r="C7" s="2675" t="s">
        <v>1792</v>
      </c>
      <c r="D7" s="2683" t="s">
        <v>5381</v>
      </c>
      <c r="E7" s="2683" t="s">
        <v>5531</v>
      </c>
      <c r="F7" s="2684" t="s">
        <v>8394</v>
      </c>
      <c r="G7" s="2676" t="s">
        <v>3972</v>
      </c>
      <c r="H7" s="2676" t="s">
        <v>5384</v>
      </c>
      <c r="I7" s="2676" t="s">
        <v>5411</v>
      </c>
      <c r="J7" s="2676" t="s">
        <v>5412</v>
      </c>
      <c r="K7" s="2676" t="s">
        <v>5413</v>
      </c>
      <c r="L7" s="2676" t="s">
        <v>4664</v>
      </c>
      <c r="M7" s="2676" t="s">
        <v>5225</v>
      </c>
      <c r="N7" s="2676" t="s">
        <v>1649</v>
      </c>
      <c r="O7" s="2676" t="s">
        <v>442</v>
      </c>
      <c r="P7" s="2676" t="s">
        <v>5162</v>
      </c>
      <c r="Q7" s="2676" t="s">
        <v>5163</v>
      </c>
      <c r="R7" s="2676" t="s">
        <v>2222</v>
      </c>
      <c r="S7" s="2855" t="s">
        <v>4079</v>
      </c>
      <c r="T7" s="2676" t="s">
        <v>5233</v>
      </c>
      <c r="U7" s="2676" t="s">
        <v>1649</v>
      </c>
      <c r="V7" s="2676" t="s">
        <v>442</v>
      </c>
      <c r="W7" s="2676" t="s">
        <v>5414</v>
      </c>
      <c r="Y7" s="3107" t="s">
        <v>9684</v>
      </c>
    </row>
    <row r="8" spans="1:25" s="24" customFormat="1" ht="13">
      <c r="A8" s="9"/>
      <c r="C8" s="832" t="s">
        <v>5247</v>
      </c>
      <c r="D8" s="833" t="s">
        <v>5247</v>
      </c>
      <c r="E8" s="833" t="s">
        <v>5247</v>
      </c>
      <c r="F8" s="833" t="s">
        <v>5247</v>
      </c>
      <c r="G8" s="833" t="s">
        <v>5247</v>
      </c>
      <c r="H8" s="944">
        <v>2420</v>
      </c>
      <c r="I8" s="833" t="s">
        <v>5248</v>
      </c>
      <c r="J8" s="833" t="s">
        <v>5249</v>
      </c>
      <c r="K8" s="833" t="s">
        <v>5251</v>
      </c>
      <c r="L8" s="944">
        <v>6003</v>
      </c>
      <c r="M8" s="833" t="s">
        <v>674</v>
      </c>
      <c r="N8" s="833" t="s">
        <v>4142</v>
      </c>
      <c r="O8" s="833" t="s">
        <v>4142</v>
      </c>
      <c r="P8" s="906" t="s">
        <v>4239</v>
      </c>
      <c r="Q8" s="906" t="s">
        <v>4240</v>
      </c>
      <c r="R8" s="906" t="s">
        <v>4525</v>
      </c>
      <c r="S8" s="906" t="s">
        <v>5406</v>
      </c>
      <c r="T8" s="833" t="s">
        <v>694</v>
      </c>
      <c r="U8" s="833" t="s">
        <v>4142</v>
      </c>
      <c r="V8" s="833" t="s">
        <v>4142</v>
      </c>
      <c r="W8" s="833"/>
    </row>
    <row r="9" spans="1:25" s="698" customFormat="1" ht="12.5">
      <c r="A9" s="668"/>
      <c r="B9" s="701"/>
      <c r="C9" s="1348" t="s">
        <v>4164</v>
      </c>
      <c r="D9" s="1349" t="s">
        <v>4165</v>
      </c>
      <c r="E9" s="1349" t="s">
        <v>4166</v>
      </c>
      <c r="F9" s="1349" t="s">
        <v>5500</v>
      </c>
      <c r="G9" s="1349" t="s">
        <v>4169</v>
      </c>
      <c r="H9" s="1349" t="s">
        <v>4168</v>
      </c>
      <c r="I9" s="1349" t="s">
        <v>4178</v>
      </c>
      <c r="J9" s="1349" t="s">
        <v>4179</v>
      </c>
      <c r="K9" s="1349" t="s">
        <v>4167</v>
      </c>
      <c r="L9" s="1349" t="s">
        <v>5501</v>
      </c>
      <c r="M9" s="1349" t="s">
        <v>4701</v>
      </c>
      <c r="N9" s="1349" t="s">
        <v>4702</v>
      </c>
      <c r="O9" s="1349" t="s">
        <v>4703</v>
      </c>
      <c r="P9" s="1349" t="s">
        <v>5502</v>
      </c>
      <c r="Q9" s="1349" t="s">
        <v>5503</v>
      </c>
      <c r="R9" s="1349" t="s">
        <v>5504</v>
      </c>
      <c r="S9" s="1349" t="s">
        <v>4853</v>
      </c>
      <c r="T9" s="1349" t="s">
        <v>4852</v>
      </c>
      <c r="U9" s="1349" t="s">
        <v>5505</v>
      </c>
      <c r="V9" s="1349" t="s">
        <v>4851</v>
      </c>
      <c r="W9" s="1349" t="s">
        <v>5506</v>
      </c>
      <c r="Y9" s="3109" t="b">
        <f>IF(Содержание!$D$12="",TRUE,AND(Y11:Y1500))</f>
        <v>1</v>
      </c>
    </row>
    <row r="10" spans="1:25" s="24" customFormat="1" ht="12.5">
      <c r="A10" s="9"/>
      <c r="C10" s="955" t="s">
        <v>4184</v>
      </c>
      <c r="D10" s="948" t="s">
        <v>4184</v>
      </c>
      <c r="E10" s="948" t="s">
        <v>4184</v>
      </c>
      <c r="F10" s="948" t="s">
        <v>4184</v>
      </c>
      <c r="G10" s="948" t="s">
        <v>4184</v>
      </c>
      <c r="H10" s="946" t="s">
        <v>4184</v>
      </c>
      <c r="I10" s="946" t="s">
        <v>4184</v>
      </c>
      <c r="J10" s="892" t="s">
        <v>4184</v>
      </c>
      <c r="K10" s="946" t="s">
        <v>4184</v>
      </c>
      <c r="L10" s="946" t="s">
        <v>4184</v>
      </c>
      <c r="M10" s="930">
        <f t="shared" ref="M10:V10" si="0">SUM(M11:M10000)</f>
        <v>0</v>
      </c>
      <c r="N10" s="930">
        <f t="shared" si="0"/>
        <v>0</v>
      </c>
      <c r="O10" s="930">
        <f t="shared" si="0"/>
        <v>0</v>
      </c>
      <c r="P10" s="930">
        <f t="shared" si="0"/>
        <v>0</v>
      </c>
      <c r="Q10" s="930">
        <f t="shared" si="0"/>
        <v>0</v>
      </c>
      <c r="R10" s="930">
        <f t="shared" si="0"/>
        <v>0</v>
      </c>
      <c r="S10" s="930">
        <f>SUM(S11:S10000)</f>
        <v>0</v>
      </c>
      <c r="T10" s="930">
        <f>SUM(T11:T10000)</f>
        <v>0</v>
      </c>
      <c r="U10" s="930">
        <f t="shared" si="0"/>
        <v>0</v>
      </c>
      <c r="V10" s="930">
        <f t="shared" si="0"/>
        <v>0</v>
      </c>
      <c r="W10" s="1143" t="s">
        <v>4184</v>
      </c>
      <c r="Y10" s="2794"/>
    </row>
    <row r="11" spans="1:25" s="524" customFormat="1" ht="12.5">
      <c r="A11" s="9" t="str">
        <f>"R50="&amp;C11&amp;";R15="&amp;";R7="&amp;IFERROR(MID(W11,FIND("{",W11)+1,FIND("}",W11)-FIND("{",W11)-1),"")&amp;";R36="&amp;MID(F11,1,30)&amp;";R43="&amp;MID(E11,1,30)&amp;";COM="</f>
        <v>R50=;R15=;R7=;R36=;R43=;COM=</v>
      </c>
      <c r="B11" s="589"/>
      <c r="C11" s="956"/>
      <c r="D11" s="1313" t="str">
        <f>IF(ISERROR(VLOOKUP($C11,Фин_договоры!$C$9:$U$32367,6,0)),"",VLOOKUP($C11,Фин_договоры!$C$9:$U$32367,6,0))</f>
        <v/>
      </c>
      <c r="E11" s="1313" t="str">
        <f>IF(ISERROR(VLOOKUP($C11,Фин_договоры!$C$9:$U$32367,7,0)),"",VLOOKUP($C11,Фин_договоры!$C$9:$U$32367,7,0))</f>
        <v/>
      </c>
      <c r="F11" s="1313" t="str">
        <f>IF(ISERROR(VLOOKUP($C11,Фин_договоры!$C$9:$U$32367,8,0)),"",VLOOKUP($C11,Фин_договоры!$C$9:$U$32367,8,0))</f>
        <v/>
      </c>
      <c r="G11" s="1682" t="str">
        <f>IF(ISERROR(VLOOKUP($C11,Фин_договоры!$C$9:$U$32367,9,0)),"",VLOOKUP($C11,Фин_договоры!$C$9:$U$32367,9,0))</f>
        <v/>
      </c>
      <c r="H11" s="1394" t="str">
        <f>IF(ISERROR(VLOOKUP($C11,Фин_договоры!$C$9:$U$32367,2,0)),"",VLOOKUP($C11,Фин_договоры!$C$9:$U$32367,2,0))</f>
        <v/>
      </c>
      <c r="I11" s="1394" t="str">
        <f>IF(ISERROR(VLOOKUP($C11,Фин_договоры!$C$9:$U$32367,19,0)),"",VLOOKUP($C11,Фин_договоры!$C$9:$U$32367,19,0))</f>
        <v/>
      </c>
      <c r="J11" s="1394" t="str">
        <f>IF(ISERROR(VLOOKUP($C11,Фин_договоры!$C$9:$U$32367,17,0)),"",VLOOKUP($C11,Фин_договоры!$C$9:$U$32367,17,0))</f>
        <v/>
      </c>
      <c r="K11" s="1394" t="str">
        <f>IF(ISERROR(VLOOKUP($C11,Фин_договоры!$C$9:$U$32367,18,0)),"",VLOOKUP($C11,Фин_договоры!$C$9:$U$32367,18,0))</f>
        <v/>
      </c>
      <c r="L11" s="1670" t="str">
        <f>IF(ISERROR(VLOOKUP($C11,Фин_договоры!$C$9:$U$32367,16,0)),"",VLOOKUP($C11,Фин_договоры!$C$9:$U$32367,16,0))</f>
        <v/>
      </c>
      <c r="M11" s="918"/>
      <c r="N11" s="918"/>
      <c r="O11" s="1767">
        <f>M11-N11</f>
        <v>0</v>
      </c>
      <c r="P11" s="918"/>
      <c r="Q11" s="918"/>
      <c r="R11" s="918"/>
      <c r="S11" s="918"/>
      <c r="T11" s="930">
        <f>SUM(N11:S11)</f>
        <v>0</v>
      </c>
      <c r="U11" s="918"/>
      <c r="V11" s="1767">
        <f>T11-U11</f>
        <v>0</v>
      </c>
      <c r="W11" s="957"/>
      <c r="Y11" s="3109" t="str">
        <f>IF(Содержание!$D$12="","ИСТИНА",IF(VLOOKUP(Содержание!$D$12,Справочник!$BZ$4:$CA$173,2,0)=L11,S11="",TRUE))</f>
        <v>ИСТИНА</v>
      </c>
    </row>
    <row r="12" spans="1:25" s="524" customFormat="1" ht="12.5">
      <c r="A12" s="2427" t="str">
        <f t="shared" ref="A12:A14" si="1">"R50="&amp;C12&amp;";R15="&amp;";R7="&amp;IFERROR(MID(W12,FIND("{",W12)+1,FIND("}",W12)-FIND("{",W12)-1),"")&amp;";R36="&amp;MID(F12,1,30)&amp;";R43="&amp;MID(E12,1,30)&amp;";COM="</f>
        <v>R50=;R15=;R7=;R36=;R43=;COM=</v>
      </c>
      <c r="B12" s="589"/>
      <c r="C12" s="956"/>
      <c r="D12" s="1313" t="str">
        <f>IF(ISERROR(VLOOKUP($C12,Фин_договоры!$C$9:$U$32367,6,0)),"",VLOOKUP($C12,Фин_договоры!$C$9:$U$32367,6,0))</f>
        <v/>
      </c>
      <c r="E12" s="1313" t="str">
        <f>IF(ISERROR(VLOOKUP($C12,Фин_договоры!$C$9:$U$32367,7,0)),"",VLOOKUP($C12,Фин_договоры!$C$9:$U$32367,7,0))</f>
        <v/>
      </c>
      <c r="F12" s="1313" t="str">
        <f>IF(ISERROR(VLOOKUP($C12,Фин_договоры!$C$9:$U$32367,8,0)),"",VLOOKUP($C12,Фин_договоры!$C$9:$U$32367,8,0))</f>
        <v/>
      </c>
      <c r="G12" s="1682" t="str">
        <f>IF(ISERROR(VLOOKUP($C12,Фин_договоры!$C$9:$U$32367,9,0)),"",VLOOKUP($C12,Фин_договоры!$C$9:$U$32367,9,0))</f>
        <v/>
      </c>
      <c r="H12" s="1394" t="str">
        <f>IF(ISERROR(VLOOKUP($C12,Фин_договоры!$C$9:$U$32367,2,0)),"",VLOOKUP($C12,Фин_договоры!$C$9:$U$32367,2,0))</f>
        <v/>
      </c>
      <c r="I12" s="1394" t="str">
        <f>IF(ISERROR(VLOOKUP($C12,Фин_договоры!$C$9:$U$32367,19,0)),"",VLOOKUP($C12,Фин_договоры!$C$9:$U$32367,19,0))</f>
        <v/>
      </c>
      <c r="J12" s="1394" t="str">
        <f>IF(ISERROR(VLOOKUP($C12,Фин_договоры!$C$9:$U$32367,17,0)),"",VLOOKUP($C12,Фин_договоры!$C$9:$U$32367,17,0))</f>
        <v/>
      </c>
      <c r="K12" s="1394" t="str">
        <f>IF(ISERROR(VLOOKUP($C12,Фин_договоры!$C$9:$U$32367,18,0)),"",VLOOKUP($C12,Фин_договоры!$C$9:$U$32367,18,0))</f>
        <v/>
      </c>
      <c r="L12" s="1670" t="str">
        <f>IF(ISERROR(VLOOKUP($C12,Фин_договоры!$C$9:$U$32367,16,0)),"",VLOOKUP($C12,Фин_договоры!$C$9:$U$32367,16,0))</f>
        <v/>
      </c>
      <c r="M12" s="918"/>
      <c r="N12" s="918"/>
      <c r="O12" s="1767">
        <f>M12-N12</f>
        <v>0</v>
      </c>
      <c r="P12" s="918"/>
      <c r="Q12" s="918"/>
      <c r="R12" s="918"/>
      <c r="S12" s="918"/>
      <c r="T12" s="930">
        <f t="shared" ref="T12:T13" si="2">SUM(N12:S12)</f>
        <v>0</v>
      </c>
      <c r="U12" s="918"/>
      <c r="V12" s="1767">
        <f>T12-U12</f>
        <v>0</v>
      </c>
      <c r="W12" s="957"/>
      <c r="Y12" s="3109" t="str">
        <f>IF(Содержание!$D$12="","ИСТИНА",IF(VLOOKUP(Содержание!$D$12,Справочник!$BZ$4:$CA$173,2,0)=L12,S12="",TRUE))</f>
        <v>ИСТИНА</v>
      </c>
    </row>
    <row r="13" spans="1:25" s="524" customFormat="1" ht="12.5">
      <c r="A13" s="2427" t="str">
        <f t="shared" si="1"/>
        <v>R50=;R15=;R7=;R36=;R43=;COM=</v>
      </c>
      <c r="B13" s="589"/>
      <c r="C13" s="956"/>
      <c r="D13" s="1313" t="str">
        <f>IF(ISERROR(VLOOKUP($C13,Фин_договоры!$C$9:$U$32367,6,0)),"",VLOOKUP($C13,Фин_договоры!$C$9:$U$32367,6,0))</f>
        <v/>
      </c>
      <c r="E13" s="1313" t="str">
        <f>IF(ISERROR(VLOOKUP($C13,Фин_договоры!$C$9:$U$32367,7,0)),"",VLOOKUP($C13,Фин_договоры!$C$9:$U$32367,7,0))</f>
        <v/>
      </c>
      <c r="F13" s="1313" t="str">
        <f>IF(ISERROR(VLOOKUP($C13,Фин_договоры!$C$9:$U$32367,8,0)),"",VLOOKUP($C13,Фин_договоры!$C$9:$U$32367,8,0))</f>
        <v/>
      </c>
      <c r="G13" s="1682" t="str">
        <f>IF(ISERROR(VLOOKUP($C13,Фин_договоры!$C$9:$U$32367,9,0)),"",VLOOKUP($C13,Фин_договоры!$C$9:$U$32367,9,0))</f>
        <v/>
      </c>
      <c r="H13" s="1394" t="str">
        <f>IF(ISERROR(VLOOKUP($C13,Фин_договоры!$C$9:$U$32367,2,0)),"",VLOOKUP($C13,Фин_договоры!$C$9:$U$32367,2,0))</f>
        <v/>
      </c>
      <c r="I13" s="1394" t="str">
        <f>IF(ISERROR(VLOOKUP($C13,Фин_договоры!$C$9:$U$32367,19,0)),"",VLOOKUP($C13,Фин_договоры!$C$9:$U$32367,19,0))</f>
        <v/>
      </c>
      <c r="J13" s="1394" t="str">
        <f>IF(ISERROR(VLOOKUP($C13,Фин_договоры!$C$9:$U$32367,17,0)),"",VLOOKUP($C13,Фин_договоры!$C$9:$U$32367,17,0))</f>
        <v/>
      </c>
      <c r="K13" s="1394" t="str">
        <f>IF(ISERROR(VLOOKUP($C13,Фин_договоры!$C$9:$U$32367,18,0)),"",VLOOKUP($C13,Фин_договоры!$C$9:$U$32367,18,0))</f>
        <v/>
      </c>
      <c r="L13" s="1670" t="str">
        <f>IF(ISERROR(VLOOKUP($C13,Фин_договоры!$C$9:$U$32367,16,0)),"",VLOOKUP($C13,Фин_договоры!$C$9:$U$32367,16,0))</f>
        <v/>
      </c>
      <c r="M13" s="918"/>
      <c r="N13" s="918"/>
      <c r="O13" s="1767">
        <f>M13-N13</f>
        <v>0</v>
      </c>
      <c r="P13" s="918"/>
      <c r="Q13" s="918"/>
      <c r="R13" s="918"/>
      <c r="S13" s="918"/>
      <c r="T13" s="930">
        <f t="shared" si="2"/>
        <v>0</v>
      </c>
      <c r="U13" s="918"/>
      <c r="V13" s="1767">
        <f>T13-U13</f>
        <v>0</v>
      </c>
      <c r="W13" s="957"/>
      <c r="Y13" s="3109" t="str">
        <f>IF(Содержание!$D$12="","ИСТИНА",IF(VLOOKUP(Содержание!$D$12,Справочник!$BZ$4:$CA$173,2,0)=L13,S13="",TRUE))</f>
        <v>ИСТИНА</v>
      </c>
    </row>
    <row r="14" spans="1:25" s="524" customFormat="1" ht="13" thickBot="1">
      <c r="A14" s="2427" t="str">
        <f t="shared" si="1"/>
        <v>R50=;R15=;R7=;R36=;R43=;COM=</v>
      </c>
      <c r="B14" s="589"/>
      <c r="C14" s="919"/>
      <c r="D14" s="1768" t="str">
        <f>IF(ISERROR(VLOOKUP($C14,Фин_договоры!$C$9:$U$32367,6,0)),"",VLOOKUP($C14,Фин_договоры!$C$9:$U$32367,6,0))</f>
        <v/>
      </c>
      <c r="E14" s="1768" t="str">
        <f>IF(ISERROR(VLOOKUP($C14,Фин_договоры!$C$9:$U$32367,7,0)),"",VLOOKUP($C14,Фин_договоры!$C$9:$U$32367,7,0))</f>
        <v/>
      </c>
      <c r="F14" s="2374" t="str">
        <f>IF(ISERROR(VLOOKUP($C14,Фин_договоры!$C$9:$U$32367,8,0)),"",VLOOKUP($C14,Фин_договоры!$C$9:$U$32367,8,0))</f>
        <v/>
      </c>
      <c r="G14" s="2375" t="str">
        <f>IF(ISERROR(VLOOKUP($C14,Фин_договоры!$C$9:$U$32367,9,0)),"",VLOOKUP($C14,Фин_договоры!$C$9:$U$32367,9,0))</f>
        <v/>
      </c>
      <c r="H14" s="2368" t="str">
        <f>IF(ISERROR(VLOOKUP($C14,Фин_договоры!$C$9:$U$32367,2,0)),"",VLOOKUP($C14,Фин_договоры!$C$9:$U$32367,2,0))</f>
        <v/>
      </c>
      <c r="I14" s="2368" t="str">
        <f>IF(ISERROR(VLOOKUP($C14,Фин_договоры!$C$9:$U$32367,19,0)),"",VLOOKUP($C14,Фин_договоры!$C$9:$U$32367,19,0))</f>
        <v/>
      </c>
      <c r="J14" s="2368" t="str">
        <f>IF(ISERROR(VLOOKUP($C14,Фин_договоры!$C$9:$U$32367,17,0)),"",VLOOKUP($C14,Фин_договоры!$C$9:$U$32367,17,0))</f>
        <v/>
      </c>
      <c r="K14" s="2368" t="str">
        <f>IF(ISERROR(VLOOKUP($C14,Фин_договоры!$C$9:$U$32367,18,0)),"",VLOOKUP($C14,Фин_договоры!$C$9:$U$32367,18,0))</f>
        <v/>
      </c>
      <c r="L14" s="2362" t="str">
        <f>IF(ISERROR(VLOOKUP($C14,Фин_договоры!$C$9:$U$32367,16,0)),"",VLOOKUP($C14,Фин_договоры!$C$9:$U$32367,16,0))</f>
        <v/>
      </c>
      <c r="M14" s="923"/>
      <c r="N14" s="923"/>
      <c r="O14" s="1768">
        <f>M14-N14</f>
        <v>0</v>
      </c>
      <c r="P14" s="923"/>
      <c r="Q14" s="923"/>
      <c r="R14" s="923"/>
      <c r="S14" s="923"/>
      <c r="T14" s="1796">
        <f>SUM(N14:S14)</f>
        <v>0</v>
      </c>
      <c r="U14" s="923"/>
      <c r="V14" s="1768">
        <f>T14-U14</f>
        <v>0</v>
      </c>
      <c r="W14" s="921"/>
      <c r="Y14" s="3109" t="str">
        <f>IF(Содержание!$D$12="","ИСТИНА",IF(VLOOKUP(Содержание!$D$12,Справочник!$BZ$4:$CA$173,2,0)=L14,S14="",TRUE))</f>
        <v>ИСТИНА</v>
      </c>
    </row>
  </sheetData>
  <sheetProtection algorithmName="SHA-512" hashValue="Pq9cBTKEuCX1lA1L71ZTXQ1yTe8lKKCbTyFh87li7P+0AHBfh7hjYY1k7gri+eVcy/QgdWbLmsArYWR04naTvQ==" saltValue="m5Qp1FsbleQoFssyHf2EvQ==" spinCount="100000" sheet="1" objects="1" scenarios="1" formatColumns="0" formatRows="0" autoFilter="0"/>
  <autoFilter ref="C9:W9"/>
  <customSheetViews>
    <customSheetView guid="{3769259D-9653-4B34-A2F6-4FB6F9F4E533}" showGridLines="0" showAutoFilter="1" hiddenRows="1" hiddenColumns="1">
      <pane xSplit="4" ySplit="10" topLeftCell="M11" activePane="bottomRight" state="frozen"/>
      <selection pane="bottomRight" activeCell="O10" sqref="O10"/>
      <pageMargins left="0.7" right="0.7" top="0.75" bottom="0.75" header="0.3" footer="0.3"/>
      <pageSetup paperSize="9" orientation="portrait" horizontalDpi="0" verticalDpi="0" r:id="rId1"/>
      <autoFilter ref="B1:V1"/>
    </customSheetView>
    <customSheetView guid="{40D7A2BB-326C-4ED3-999C-17852F56D6F4}" showGridLines="0" showAutoFilter="1" hiddenRows="1" hiddenColumns="1">
      <pane xSplit="4" ySplit="10" topLeftCell="E11" activePane="bottomRight" state="frozen"/>
      <selection pane="bottomRight" activeCell="L11" sqref="L11:M11"/>
      <pageMargins left="0.7" right="0.7" top="0.75" bottom="0.75" header="0.3" footer="0.3"/>
      <pageSetup paperSize="9" orientation="portrait" horizontalDpi="0" verticalDpi="0" r:id="rId2"/>
      <autoFilter ref="B1:V1"/>
    </customSheetView>
    <customSheetView guid="{5D121940-0CE8-4A0E-A493-67FAAA6E0FF8}" showGridLines="0" showAutoFilter="1" hiddenRows="1" hiddenColumns="1" topLeftCell="B2">
      <pane xSplit="3" ySplit="9" topLeftCell="L11" activePane="bottomRight" state="frozen"/>
      <selection pane="bottomRight" activeCell="R11" sqref="R11"/>
      <pageMargins left="0.7" right="0.7" top="0.75" bottom="0.75" header="0.3" footer="0.3"/>
      <pageSetup paperSize="9" orientation="portrait" horizontalDpi="0" verticalDpi="0" r:id="rId3"/>
      <autoFilter ref="B1:V1"/>
    </customSheetView>
    <customSheetView guid="{47AEACC4-6EA5-412C-AF39-A6C5357B313A}" showGridLines="0" showAutoFilter="1" hiddenRows="1" hiddenColumns="1" topLeftCell="B2">
      <pane xSplit="3" ySplit="9" topLeftCell="J11" activePane="bottomRight" state="frozen"/>
      <selection pane="bottomRight" activeCell="M10" sqref="M10"/>
      <pageMargins left="0.7" right="0.7" top="0.75" bottom="0.75" header="0.3" footer="0.3"/>
      <pageSetup paperSize="9" orientation="portrait" horizontalDpi="0" verticalDpi="0" r:id="rId4"/>
      <autoFilter ref="B1:V1"/>
    </customSheetView>
    <customSheetView guid="{4D957B38-5430-481E-B791-E0A66F913B50}" scale="70" hiddenColumns="1"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9" topLeftCell="L11" activePane="bottomRight" state="frozen"/>
      <selection pane="bottomRight" activeCell="R11" sqref="R11"/>
      <pageMargins left="0.7" right="0.7" top="0.75" bottom="0.75" header="0.3" footer="0.3"/>
      <pageSetup paperSize="9" orientation="portrait" horizontalDpi="0" verticalDpi="0" r:id="rId5"/>
      <autoFilter ref="B1:V1"/>
    </customSheetView>
  </customSheetViews>
  <phoneticPr fontId="0" type="noConversion"/>
  <dataValidations count="6">
    <dataValidation type="list" operator="equal" allowBlank="1" showErrorMessage="1" errorTitle="Выбор элемента списка" error="Данного элемента нет в списке" sqref="K65444:K65451">
      <formula1>_2430_</formula1>
    </dataValidation>
    <dataValidation type="list" operator="equal" allowBlank="1" showErrorMessage="1" errorTitle="Выбор элемента списка" error="Данного элемента нет в списке" sqref="J65444:J65451">
      <formula1>_2640_</formula1>
    </dataValidation>
    <dataValidation type="list" operator="equal" allowBlank="1" showErrorMessage="1" errorTitle="Выбор элемента списка" error="Данного элемента нет в списке" sqref="I65444:I65451">
      <formula1>_2422_58_02_</formula1>
    </dataValidation>
    <dataValidation type="list" operator="equal" allowBlank="1" showErrorMessage="1" errorTitle="Выбор элемента списка" error="Данного элемента нет в списке" sqref="H65444:H65451">
      <formula1>_2420_2421_58_02_</formula1>
    </dataValidation>
    <dataValidation type="list" operator="equal" allowBlank="1" showErrorMessage="1" errorTitle="Выбор элемента списка" error="Данного элемента нет в списке" sqref="W11:W14">
      <formula1>_yn</formula1>
    </dataValidation>
    <dataValidation type="list" allowBlank="1" showInputMessage="1" showErrorMessage="1" sqref="C11:C14">
      <formula1>dogovor_fin</formula1>
    </dataValidation>
  </dataValidations>
  <hyperlinks>
    <hyperlink ref="J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8" fitToWidth="2" orientation="landscape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9" name="Button 1">
              <controlPr defaultSize="0" print="0" autoFill="0" autoPict="0" macro="[0]!AddButtonsRowAdd">
                <anchor moveWithCells="1">
                  <from>
                    <xdr:col>6</xdr:col>
                    <xdr:colOff>298450</xdr:colOff>
                    <xdr:row>1</xdr:row>
                    <xdr:rowOff>107950</xdr:rowOff>
                  </from>
                  <to>
                    <xdr:col>7</xdr:col>
                    <xdr:colOff>412750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pageSetUpPr fitToPage="1"/>
  </sheetPr>
  <dimension ref="A1:T14"/>
  <sheetViews>
    <sheetView topLeftCell="B2" zoomScale="84" zoomScaleNormal="84" workbookViewId="0">
      <selection activeCell="C12" sqref="C12"/>
    </sheetView>
  </sheetViews>
  <sheetFormatPr defaultColWidth="9.453125" defaultRowHeight="14.5"/>
  <cols>
    <col min="1" max="1" width="31.26953125" style="32" hidden="1" customWidth="1"/>
    <col min="2" max="2" width="2.54296875" style="32" customWidth="1"/>
    <col min="3" max="3" width="23.54296875" style="32" customWidth="1"/>
    <col min="4" max="5" width="18.453125" style="32" customWidth="1"/>
    <col min="6" max="6" width="24.453125" style="32" customWidth="1"/>
    <col min="7" max="7" width="13.54296875" style="32" customWidth="1"/>
    <col min="8" max="8" width="21.453125" style="32" customWidth="1"/>
    <col min="9" max="9" width="15.453125" style="32" customWidth="1"/>
    <col min="10" max="10" width="24.54296875" style="32" customWidth="1"/>
    <col min="11" max="11" width="19.54296875" style="32" customWidth="1"/>
    <col min="12" max="12" width="31.453125" style="32" customWidth="1"/>
    <col min="13" max="13" width="15.453125" style="32" customWidth="1"/>
    <col min="14" max="14" width="16.54296875" style="32" customWidth="1"/>
    <col min="15" max="15" width="15.453125" style="32" customWidth="1"/>
    <col min="16" max="17" width="16.54296875" style="32" customWidth="1"/>
    <col min="18" max="18" width="18.453125" style="32" customWidth="1"/>
    <col min="19" max="19" width="9.453125" style="32"/>
    <col min="20" max="20" width="13.54296875" style="32" customWidth="1"/>
    <col min="21" max="16384" width="9.453125" style="32"/>
  </cols>
  <sheetData>
    <row r="1" spans="1:20" ht="13.5" hidden="1" customHeight="1">
      <c r="A1" s="167" t="s">
        <v>2835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6" t="s">
        <v>1051</v>
      </c>
      <c r="N1" s="6" t="s">
        <v>1052</v>
      </c>
      <c r="O1" s="6" t="s">
        <v>1053</v>
      </c>
      <c r="P1" s="6" t="s">
        <v>1054</v>
      </c>
      <c r="Q1" s="2438" t="s">
        <v>1023</v>
      </c>
      <c r="R1" s="6" t="s">
        <v>513</v>
      </c>
    </row>
    <row r="2" spans="1:20" s="1919" customFormat="1">
      <c r="A2" s="748"/>
      <c r="M2" s="1778" t="s">
        <v>1648</v>
      </c>
      <c r="N2" s="1778" t="s">
        <v>1648</v>
      </c>
      <c r="O2" s="1778" t="s">
        <v>1648</v>
      </c>
      <c r="P2" s="1778" t="s">
        <v>1648</v>
      </c>
      <c r="Q2" s="1778"/>
      <c r="R2" s="1778" t="s">
        <v>1648</v>
      </c>
    </row>
    <row r="3" spans="1:20" s="1919" customFormat="1">
      <c r="A3" s="748"/>
      <c r="M3" s="1778"/>
      <c r="N3" s="1778"/>
      <c r="O3" s="1778"/>
      <c r="P3" s="1778"/>
      <c r="Q3" s="1778"/>
      <c r="R3" s="1778"/>
    </row>
    <row r="4" spans="1:20" s="1919" customFormat="1">
      <c r="A4" s="748"/>
      <c r="M4" s="1778"/>
      <c r="N4" s="1778"/>
      <c r="O4" s="1778"/>
      <c r="P4" s="1778"/>
      <c r="Q4" s="1778"/>
      <c r="R4" s="1778"/>
    </row>
    <row r="5" spans="1:20" s="24" customFormat="1" ht="26">
      <c r="A5" s="9"/>
      <c r="C5" s="169" t="s">
        <v>5494</v>
      </c>
      <c r="D5" s="169"/>
      <c r="G5" s="168"/>
      <c r="H5" s="168"/>
      <c r="I5" s="168"/>
      <c r="J5" s="168"/>
      <c r="K5" s="1897" t="s">
        <v>2067</v>
      </c>
      <c r="L5" s="1244">
        <f>Содержание!$D$2</f>
        <v>0</v>
      </c>
      <c r="M5" s="168"/>
      <c r="N5" s="168"/>
      <c r="O5" s="168"/>
      <c r="P5" s="168"/>
      <c r="Q5" s="168"/>
      <c r="R5" s="168"/>
    </row>
    <row r="6" spans="1:20" s="24" customFormat="1" ht="15" thickBot="1">
      <c r="A6" s="9"/>
      <c r="C6"/>
      <c r="D6" s="168"/>
      <c r="E6" s="170"/>
      <c r="F6" s="170"/>
      <c r="G6" s="170"/>
      <c r="H6" s="170"/>
      <c r="I6" s="170"/>
      <c r="J6" s="3044" t="s">
        <v>1436</v>
      </c>
      <c r="K6" s="1897" t="s">
        <v>2075</v>
      </c>
      <c r="L6" s="1244" t="str">
        <f>Содержание!$D$15</f>
        <v>2022 год</v>
      </c>
      <c r="M6" s="170"/>
      <c r="N6" s="170"/>
      <c r="O6" s="170"/>
      <c r="P6" s="170"/>
      <c r="Q6" s="170"/>
      <c r="R6" s="170"/>
    </row>
    <row r="7" spans="1:20" s="24" customFormat="1" ht="91">
      <c r="A7" s="9"/>
      <c r="C7" s="2675" t="s">
        <v>1792</v>
      </c>
      <c r="D7" s="2683" t="s">
        <v>5381</v>
      </c>
      <c r="E7" s="2676" t="s">
        <v>5531</v>
      </c>
      <c r="F7" s="2684" t="s">
        <v>8394</v>
      </c>
      <c r="G7" s="2676" t="s">
        <v>5382</v>
      </c>
      <c r="H7" s="2676" t="s">
        <v>5495</v>
      </c>
      <c r="I7" s="2676" t="s">
        <v>5384</v>
      </c>
      <c r="J7" s="2676" t="s">
        <v>5411</v>
      </c>
      <c r="K7" s="2676" t="s">
        <v>5413</v>
      </c>
      <c r="L7" s="2676" t="s">
        <v>4664</v>
      </c>
      <c r="M7" s="2676" t="s">
        <v>5225</v>
      </c>
      <c r="N7" s="2676" t="s">
        <v>5162</v>
      </c>
      <c r="O7" s="2676" t="s">
        <v>5163</v>
      </c>
      <c r="P7" s="2676" t="s">
        <v>2222</v>
      </c>
      <c r="Q7" s="2855" t="s">
        <v>4079</v>
      </c>
      <c r="R7" s="2676" t="s">
        <v>4238</v>
      </c>
      <c r="T7" s="3107" t="s">
        <v>9684</v>
      </c>
    </row>
    <row r="8" spans="1:20" s="24" customFormat="1" ht="13">
      <c r="A8" s="9"/>
      <c r="C8" s="832" t="s">
        <v>5247</v>
      </c>
      <c r="D8" s="833" t="s">
        <v>5247</v>
      </c>
      <c r="E8" s="833" t="s">
        <v>5247</v>
      </c>
      <c r="F8" s="833" t="s">
        <v>5247</v>
      </c>
      <c r="G8" s="833" t="s">
        <v>5247</v>
      </c>
      <c r="H8" s="833" t="s">
        <v>4142</v>
      </c>
      <c r="I8" s="833" t="s">
        <v>3009</v>
      </c>
      <c r="J8" s="833" t="s">
        <v>5248</v>
      </c>
      <c r="K8" s="833" t="s">
        <v>5251</v>
      </c>
      <c r="L8" s="944">
        <v>6003</v>
      </c>
      <c r="M8" s="833" t="s">
        <v>674</v>
      </c>
      <c r="N8" s="906" t="s">
        <v>4239</v>
      </c>
      <c r="O8" s="906" t="s">
        <v>4240</v>
      </c>
      <c r="P8" s="906" t="s">
        <v>4525</v>
      </c>
      <c r="Q8" s="906" t="s">
        <v>5406</v>
      </c>
      <c r="R8" s="833" t="s">
        <v>694</v>
      </c>
    </row>
    <row r="9" spans="1:20" s="698" customFormat="1" ht="12.5">
      <c r="A9" s="668"/>
      <c r="B9" s="679"/>
      <c r="C9" s="1348" t="s">
        <v>4164</v>
      </c>
      <c r="D9" s="1349" t="s">
        <v>4165</v>
      </c>
      <c r="E9" s="1349" t="s">
        <v>4166</v>
      </c>
      <c r="F9" s="1349" t="s">
        <v>5500</v>
      </c>
      <c r="G9" s="1349" t="s">
        <v>4169</v>
      </c>
      <c r="H9" s="1349" t="s">
        <v>4168</v>
      </c>
      <c r="I9" s="1349" t="s">
        <v>4178</v>
      </c>
      <c r="J9" s="1349" t="s">
        <v>4179</v>
      </c>
      <c r="K9" s="1349" t="s">
        <v>4167</v>
      </c>
      <c r="L9" s="1349" t="s">
        <v>5501</v>
      </c>
      <c r="M9" s="1349" t="s">
        <v>4701</v>
      </c>
      <c r="N9" s="1349" t="s">
        <v>4702</v>
      </c>
      <c r="O9" s="1349" t="s">
        <v>4703</v>
      </c>
      <c r="P9" s="1349" t="s">
        <v>5502</v>
      </c>
      <c r="Q9" s="1349" t="s">
        <v>5503</v>
      </c>
      <c r="R9" s="1349" t="s">
        <v>5504</v>
      </c>
      <c r="T9" s="3109" t="b">
        <f>IF(Содержание!$D$12="",TRUE,AND(T11:T1500))</f>
        <v>1</v>
      </c>
    </row>
    <row r="10" spans="1:20" s="24" customFormat="1" ht="12.5">
      <c r="A10" s="9"/>
      <c r="B10" s="575"/>
      <c r="C10" s="958" t="s">
        <v>4184</v>
      </c>
      <c r="D10" s="946" t="s">
        <v>4184</v>
      </c>
      <c r="E10" s="946" t="s">
        <v>4184</v>
      </c>
      <c r="F10" s="946" t="s">
        <v>4184</v>
      </c>
      <c r="G10" s="959" t="s">
        <v>4184</v>
      </c>
      <c r="H10" s="946" t="s">
        <v>4184</v>
      </c>
      <c r="I10" s="893" t="s">
        <v>4184</v>
      </c>
      <c r="J10" s="893" t="s">
        <v>4184</v>
      </c>
      <c r="K10" s="893" t="s">
        <v>4184</v>
      </c>
      <c r="L10" s="946" t="s">
        <v>4184</v>
      </c>
      <c r="M10" s="1143">
        <f t="shared" ref="M10:R10" si="0">SUM(M11:M10001)</f>
        <v>0</v>
      </c>
      <c r="N10" s="1143">
        <f t="shared" si="0"/>
        <v>0</v>
      </c>
      <c r="O10" s="1143">
        <f t="shared" si="0"/>
        <v>0</v>
      </c>
      <c r="P10" s="1143">
        <f t="shared" si="0"/>
        <v>0</v>
      </c>
      <c r="Q10" s="1143">
        <f t="shared" si="0"/>
        <v>0</v>
      </c>
      <c r="R10" s="1143">
        <f t="shared" si="0"/>
        <v>0</v>
      </c>
      <c r="T10" s="2794"/>
    </row>
    <row r="11" spans="1:20" s="24" customFormat="1" ht="12.5">
      <c r="A11" s="9" t="str">
        <f>"R50="&amp;C11&amp;";R14="&amp;IFERROR(MID(H11,FIND("{",H11)+1,FIND("}",H11)-FIND("{",H11)-1),"")&amp;";R15="&amp;";R36="&amp;MID(F11,1,30)&amp;";R43="&amp;MID(E11,1,30)&amp;";COM="</f>
        <v>R50=;R14=;R15=;R36=;R43=;COM=</v>
      </c>
      <c r="B11" s="575"/>
      <c r="C11" s="956"/>
      <c r="D11" s="1313" t="str">
        <f>IF(ISERROR(VLOOKUP($C11,Фин_договоры!$C$9:$U$32367,6,0)),"",VLOOKUP($C11,Фин_договоры!$C$9:$U$32367,6,0))</f>
        <v/>
      </c>
      <c r="E11" s="1313" t="str">
        <f>IF(ISERROR(VLOOKUP($C11,Фин_договоры!$C$9:$U$32367,7,0)),"",VLOOKUP($C11,Фин_договоры!$C$9:$U$32367,7,0))</f>
        <v/>
      </c>
      <c r="F11" s="1313" t="str">
        <f>IF(ISERROR(VLOOKUP($C11,Фин_договоры!$C$9:$U$32367,8,0)),"",VLOOKUP($C11,Фин_договоры!$C$9:$U$32367,8,0))</f>
        <v/>
      </c>
      <c r="G11" s="1313" t="str">
        <f>IF(ISERROR(VLOOKUP($C11,Фин_договоры!$C$9:$U$32367,4,0)),"",VLOOKUP($C11,Фин_договоры!$C$9:$U$32367,4,0))</f>
        <v/>
      </c>
      <c r="H11" s="1544"/>
      <c r="I11" s="1313" t="str">
        <f>IF(ISERROR(VLOOKUP($C11,Фин_договоры!$C$9:$U$32367,2,0)),"",VLOOKUP($C11,Фин_договоры!$C$9:$U$32367,2,0))</f>
        <v/>
      </c>
      <c r="J11" s="1313" t="str">
        <f>IF(ISERROR(VLOOKUP($C11,Фин_договоры!$C$9:$U$32367,19,0)),"",VLOOKUP($C11,Фин_договоры!$C$9:$U$32367,19,0))</f>
        <v/>
      </c>
      <c r="K11" s="1313" t="str">
        <f>IF(ISERROR(VLOOKUP($C11,Фин_договоры!$C$9:$U$32367,18,0)),"",VLOOKUP($C11,Фин_договоры!$C$9:$U$32367,18,0))</f>
        <v/>
      </c>
      <c r="L11" s="1670" t="str">
        <f>IF(ISERROR(VLOOKUP($C11,Фин_договоры!$C$9:$U$32367,16,0)),"",VLOOKUP($C11,Фин_договоры!$C$9:$U$32367,16,0))</f>
        <v/>
      </c>
      <c r="M11" s="1315"/>
      <c r="N11" s="1315"/>
      <c r="O11" s="1315"/>
      <c r="P11" s="1315"/>
      <c r="Q11" s="1315"/>
      <c r="R11" s="1143">
        <f>SUM(M11:Q11)</f>
        <v>0</v>
      </c>
      <c r="T11" s="3109" t="str">
        <f>IF(Содержание!$D$12="","ИСТИНА",IF(VLOOKUP(Содержание!$D$12,Справочник!$BZ$4:$CA$173,2,0)=L11,Q11="",TRUE))</f>
        <v>ИСТИНА</v>
      </c>
    </row>
    <row r="12" spans="1:20" s="24" customFormat="1" ht="12.5">
      <c r="A12" s="2427" t="str">
        <f t="shared" ref="A12:A14" si="1">"R50="&amp;C12&amp;";R14="&amp;IFERROR(MID(H12,FIND("{",H12)+1,FIND("}",H12)-FIND("{",H12)-1),"")&amp;";R15="&amp;";R36="&amp;MID(F12,1,30)&amp;";R43="&amp;MID(E12,1,30)&amp;";COM="</f>
        <v>R50=;R14=;R15=;R36=;R43=;COM=</v>
      </c>
      <c r="B12" s="575"/>
      <c r="C12" s="956"/>
      <c r="D12" s="1313" t="str">
        <f>IF(ISERROR(VLOOKUP($C12,Фин_договоры!$C$9:$U$32367,6,0)),"",VLOOKUP($C12,Фин_договоры!$C$9:$U$32367,6,0))</f>
        <v/>
      </c>
      <c r="E12" s="1313" t="str">
        <f>IF(ISERROR(VLOOKUP($C12,Фин_договоры!$C$9:$U$32367,7,0)),"",VLOOKUP($C12,Фин_договоры!$C$9:$U$32367,7,0))</f>
        <v/>
      </c>
      <c r="F12" s="1313" t="str">
        <f>IF(ISERROR(VLOOKUP($C12,Фин_договоры!$C$9:$U$32367,8,0)),"",VLOOKUP($C12,Фин_договоры!$C$9:$U$32367,8,0))</f>
        <v/>
      </c>
      <c r="G12" s="1313" t="str">
        <f>IF(ISERROR(VLOOKUP($C12,Фин_договоры!$C$9:$U$32367,4,0)),"",VLOOKUP($C12,Фин_договоры!$C$9:$U$32367,4,0))</f>
        <v/>
      </c>
      <c r="H12" s="1544"/>
      <c r="I12" s="1313" t="str">
        <f>IF(ISERROR(VLOOKUP($C12,Фин_договоры!$C$9:$U$32367,2,0)),"",VLOOKUP($C12,Фин_договоры!$C$9:$U$32367,2,0))</f>
        <v/>
      </c>
      <c r="J12" s="1313" t="str">
        <f>IF(ISERROR(VLOOKUP($C12,Фин_договоры!$C$9:$U$32367,19,0)),"",VLOOKUP($C12,Фин_договоры!$C$9:$U$32367,19,0))</f>
        <v/>
      </c>
      <c r="K12" s="1313" t="str">
        <f>IF(ISERROR(VLOOKUP($C12,Фин_договоры!$C$9:$U$32367,18,0)),"",VLOOKUP($C12,Фин_договоры!$C$9:$U$32367,18,0))</f>
        <v/>
      </c>
      <c r="L12" s="1670" t="str">
        <f>IF(ISERROR(VLOOKUP($C12,Фин_договоры!$C$9:$U$32367,16,0)),"",VLOOKUP($C12,Фин_договоры!$C$9:$U$32367,16,0))</f>
        <v/>
      </c>
      <c r="M12" s="1315"/>
      <c r="N12" s="1315"/>
      <c r="O12" s="1315"/>
      <c r="P12" s="1315"/>
      <c r="Q12" s="1315"/>
      <c r="R12" s="1143">
        <f t="shared" ref="R12" si="2">SUM(M12:Q12)</f>
        <v>0</v>
      </c>
      <c r="T12" s="3109" t="str">
        <f>IF(Содержание!$D$12="","ИСТИНА",IF(VLOOKUP(Содержание!$D$12,Справочник!$BZ$4:$CA$173,2,0)=L12,Q12="",TRUE))</f>
        <v>ИСТИНА</v>
      </c>
    </row>
    <row r="13" spans="1:20" s="24" customFormat="1" ht="12.5">
      <c r="A13" s="2427" t="str">
        <f t="shared" si="1"/>
        <v>R50=;R14=;R15=;R36=;R43=;COM=</v>
      </c>
      <c r="B13" s="575"/>
      <c r="C13" s="956"/>
      <c r="D13" s="1313" t="str">
        <f>IF(ISERROR(VLOOKUP($C13,Фин_договоры!$C$9:$U$32367,6,0)),"",VLOOKUP($C13,Фин_договоры!$C$9:$U$32367,6,0))</f>
        <v/>
      </c>
      <c r="E13" s="1313" t="str">
        <f>IF(ISERROR(VLOOKUP($C13,Фин_договоры!$C$9:$U$32367,7,0)),"",VLOOKUP($C13,Фин_договоры!$C$9:$U$32367,7,0))</f>
        <v/>
      </c>
      <c r="F13" s="1313" t="str">
        <f>IF(ISERROR(VLOOKUP($C13,Фин_договоры!$C$9:$U$32367,8,0)),"",VLOOKUP($C13,Фин_договоры!$C$9:$U$32367,8,0))</f>
        <v/>
      </c>
      <c r="G13" s="1313" t="str">
        <f>IF(ISERROR(VLOOKUP($C13,Фин_договоры!$C$9:$U$32367,4,0)),"",VLOOKUP($C13,Фин_договоры!$C$9:$U$32367,4,0))</f>
        <v/>
      </c>
      <c r="H13" s="1544"/>
      <c r="I13" s="1313" t="str">
        <f>IF(ISERROR(VLOOKUP($C13,Фин_договоры!$C$9:$U$32367,2,0)),"",VLOOKUP($C13,Фин_договоры!$C$9:$U$32367,2,0))</f>
        <v/>
      </c>
      <c r="J13" s="1313" t="str">
        <f>IF(ISERROR(VLOOKUP($C13,Фин_договоры!$C$9:$U$32367,19,0)),"",VLOOKUP($C13,Фин_договоры!$C$9:$U$32367,19,0))</f>
        <v/>
      </c>
      <c r="K13" s="1313" t="str">
        <f>IF(ISERROR(VLOOKUP($C13,Фин_договоры!$C$9:$U$32367,18,0)),"",VLOOKUP($C13,Фин_договоры!$C$9:$U$32367,18,0))</f>
        <v/>
      </c>
      <c r="L13" s="1670" t="str">
        <f>IF(ISERROR(VLOOKUP($C13,Фин_договоры!$C$9:$U$32367,16,0)),"",VLOOKUP($C13,Фин_договоры!$C$9:$U$32367,16,0))</f>
        <v/>
      </c>
      <c r="M13" s="1315"/>
      <c r="N13" s="1315"/>
      <c r="O13" s="1315"/>
      <c r="P13" s="1315"/>
      <c r="Q13" s="1315"/>
      <c r="R13" s="1143">
        <f>SUM(M13:Q13)</f>
        <v>0</v>
      </c>
      <c r="T13" s="3109" t="str">
        <f>IF(Содержание!$D$12="","ИСТИНА",IF(VLOOKUP(Содержание!$D$12,Справочник!$BZ$4:$CA$173,2,0)=L13,Q13="",TRUE))</f>
        <v>ИСТИНА</v>
      </c>
    </row>
    <row r="14" spans="1:20" s="24" customFormat="1" ht="13" thickBot="1">
      <c r="A14" s="2427" t="str">
        <f t="shared" si="1"/>
        <v>R50=;R14=;R15=;R36=;R43=;COM=</v>
      </c>
      <c r="B14" s="575"/>
      <c r="C14" s="919"/>
      <c r="D14" s="1314" t="str">
        <f>IF(ISERROR(VLOOKUP($C14,Фин_договоры!$C$9:$U$32367,6,0)),"",VLOOKUP($C14,Фин_договоры!$C$9:$U$32367,6,0))</f>
        <v/>
      </c>
      <c r="E14" s="1314" t="str">
        <f>IF(ISERROR(VLOOKUP($C14,Фин_договоры!$C$9:$U$32367,7,0)),"",VLOOKUP($C14,Фин_договоры!$C$9:$U$32367,7,0))</f>
        <v/>
      </c>
      <c r="F14" s="2374" t="str">
        <f>IF(ISERROR(VLOOKUP($C14,Фин_договоры!$C$9:$U$32367,8,0)),"",VLOOKUP($C14,Фин_договоры!$C$9:$U$32367,8,0))</f>
        <v/>
      </c>
      <c r="G14" s="1314" t="str">
        <f>IF(ISERROR(VLOOKUP($C14,Фин_договоры!$C$9:$U$32367,4,0)),"",VLOOKUP($C14,Фин_договоры!$C$9:$U$32367,4,0))</f>
        <v/>
      </c>
      <c r="H14" s="1545"/>
      <c r="I14" s="2374" t="str">
        <f>IF(ISERROR(VLOOKUP($C14,Фин_договоры!$C$9:$U$32367,2,0)),"",VLOOKUP($C14,Фин_договоры!$C$9:$U$32367,2,0))</f>
        <v/>
      </c>
      <c r="J14" s="2374" t="str">
        <f>IF(ISERROR(VLOOKUP($C14,Фин_договоры!$C$9:$U$32367,19,0)),"",VLOOKUP($C14,Фин_договоры!$C$9:$U$32367,19,0))</f>
        <v/>
      </c>
      <c r="K14" s="2374" t="str">
        <f>IF(ISERROR(VLOOKUP($C14,Фин_договоры!$C$9:$U$32367,18,0)),"",VLOOKUP($C14,Фин_договоры!$C$9:$U$32367,18,0))</f>
        <v/>
      </c>
      <c r="L14" s="2362" t="str">
        <f>IF(ISERROR(VLOOKUP($C14,Фин_договоры!$C$9:$U$32367,16,0)),"",VLOOKUP($C14,Фин_договоры!$C$9:$U$32367,16,0))</f>
        <v/>
      </c>
      <c r="M14" s="1316"/>
      <c r="N14" s="1316"/>
      <c r="O14" s="1316"/>
      <c r="P14" s="1316"/>
      <c r="Q14" s="1316"/>
      <c r="R14" s="1317">
        <f>SUM(M14:Q14)</f>
        <v>0</v>
      </c>
      <c r="T14" s="3109" t="str">
        <f>IF(Содержание!$D$12="","ИСТИНА",IF(VLOOKUP(Содержание!$D$12,Справочник!$BZ$4:$CA$173,2,0)=L14,Q14="",TRUE))</f>
        <v>ИСТИНА</v>
      </c>
    </row>
  </sheetData>
  <sheetProtection algorithmName="SHA-512" hashValue="TDd+J60+4ClNTEr/D5+brRFjTWkWjvDdHkEnsHOmiBBbkTpaegD5dPWQV+XexpNb/hTSDEk1xoLF01dhvsKfsQ==" saltValue="xbhrakn9IRl6U4y9mur1Uw==" spinCount="100000" sheet="1" objects="1" scenarios="1" formatColumns="0" formatRows="0" autoFilter="0"/>
  <autoFilter ref="C9:R9"/>
  <customSheetViews>
    <customSheetView guid="{3769259D-9653-4B34-A2F6-4FB6F9F4E533}" showGridLines="0" showAutoFilter="1" hiddenRows="1" hiddenColumns="1">
      <pane xSplit="3" ySplit="10" topLeftCell="J11" activePane="bottomRight" state="frozen"/>
      <selection pane="bottomRight" activeCell="M10" sqref="M10"/>
      <pageMargins left="0.7" right="0.7" top="0.75" bottom="0.75" header="0.3" footer="0.3"/>
      <autoFilter ref="B1:Q1"/>
    </customSheetView>
    <customSheetView guid="{40D7A2BB-326C-4ED3-999C-17852F56D6F4}" showGridLines="0" showAutoFilter="1" hiddenRows="1" hiddenColumns="1">
      <pane xSplit="3" ySplit="10" topLeftCell="D11" activePane="bottomRight" state="frozen"/>
      <selection pane="bottomRight" activeCell="C17" sqref="C17"/>
      <pageMargins left="0.7" right="0.7" top="0.75" bottom="0.75" header="0.3" footer="0.3"/>
      <autoFilter ref="B1:Q1"/>
    </customSheetView>
    <customSheetView guid="{5D121940-0CE8-4A0E-A493-67FAAA6E0FF8}" showGridLines="0" showAutoFilter="1" hiddenRows="1" hiddenColumns="1" topLeftCell="B2">
      <pane xSplit="2" ySplit="9" topLeftCell="K11" activePane="bottomRight" state="frozen"/>
      <selection pane="bottomRight" activeCell="N11" sqref="N11"/>
      <pageMargins left="0.7" right="0.7" top="0.75" bottom="0.75" header="0.3" footer="0.3"/>
      <autoFilter ref="B1:Q1"/>
    </customSheetView>
    <customSheetView guid="{47AEACC4-6EA5-412C-AF39-A6C5357B313A}" showGridLines="0" showAutoFilter="1" hiddenRows="1" hiddenColumns="1" topLeftCell="B2">
      <pane xSplit="2" ySplit="9" topLeftCell="F11" activePane="bottomRight" state="frozen"/>
      <selection pane="bottomRight" activeCell="K11" sqref="K11"/>
      <pageMargins left="0.7" right="0.7" top="0.75" bottom="0.75" header="0.3" footer="0.3"/>
      <autoFilter ref="B1:Q1"/>
    </customSheetView>
    <customSheetView guid="{4D957B38-5430-481E-B791-E0A66F913B50}" scale="70" hiddenColumns="1">
      <selection activeCell="C6" sqref="C6:C8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2" ySplit="9" topLeftCell="K11" activePane="bottomRight" state="frozen"/>
      <selection pane="bottomRight" activeCell="N11" sqref="N11"/>
      <pageMargins left="0.7" right="0.7" top="0.75" bottom="0.75" header="0.3" footer="0.3"/>
      <autoFilter ref="B1:Q1"/>
    </customSheetView>
  </customSheetViews>
  <phoneticPr fontId="0" type="noConversion"/>
  <dataValidations count="2">
    <dataValidation type="list" allowBlank="1" showInputMessage="1" showErrorMessage="1" sqref="C11:C14">
      <formula1>dogovor_fin</formula1>
    </dataValidation>
    <dataValidation type="list" allowBlank="1" showInputMessage="1" showErrorMessage="1" sqref="H11:H14">
      <formula1>_1008</formula1>
    </dataValidation>
  </dataValidations>
  <hyperlinks>
    <hyperlink ref="J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3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AddButtonsRowAdd">
                <anchor moveWithCells="1">
                  <from>
                    <xdr:col>7</xdr:col>
                    <xdr:colOff>222250</xdr:colOff>
                    <xdr:row>1</xdr:row>
                    <xdr:rowOff>69850</xdr:rowOff>
                  </from>
                  <to>
                    <xdr:col>8</xdr:col>
                    <xdr:colOff>190500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pageSetUpPr fitToPage="1"/>
  </sheetPr>
  <dimension ref="A1:AB17"/>
  <sheetViews>
    <sheetView topLeftCell="B2" zoomScale="67" zoomScaleNormal="67" workbookViewId="0">
      <selection activeCell="F17" sqref="F17"/>
    </sheetView>
  </sheetViews>
  <sheetFormatPr defaultColWidth="9.453125" defaultRowHeight="14.5"/>
  <cols>
    <col min="1" max="1" width="84.453125" style="1590" hidden="1" customWidth="1"/>
    <col min="2" max="2" width="2.453125" style="1163" customWidth="1"/>
    <col min="3" max="3" width="31.54296875" style="1163" customWidth="1"/>
    <col min="4" max="4" width="19" style="1163" customWidth="1"/>
    <col min="5" max="5" width="21" style="1163" customWidth="1"/>
    <col min="6" max="6" width="42.54296875" style="1163" customWidth="1"/>
    <col min="7" max="7" width="48.453125" style="1163" customWidth="1"/>
    <col min="8" max="8" width="32.453125" style="1163" customWidth="1"/>
    <col min="9" max="11" width="32.453125" style="2422" customWidth="1"/>
    <col min="12" max="12" width="21.54296875" style="1163" customWidth="1"/>
    <col min="13" max="13" width="16.54296875" style="1163" customWidth="1"/>
    <col min="14" max="14" width="23.54296875" style="1163" customWidth="1"/>
    <col min="15" max="15" width="14.453125" style="1163" customWidth="1"/>
    <col min="16" max="16" width="33.453125" style="1163" customWidth="1"/>
    <col min="17" max="17" width="16.54296875" style="1163" bestFit="1" customWidth="1"/>
    <col min="18" max="18" width="17.54296875" style="1163" bestFit="1" customWidth="1"/>
    <col min="19" max="19" width="27.453125" style="1163" customWidth="1"/>
    <col min="20" max="20" width="9.453125" style="1163"/>
    <col min="21" max="21" width="17.453125" style="1163" customWidth="1"/>
    <col min="22" max="22" width="16.54296875" style="1163" customWidth="1"/>
    <col min="23" max="23" width="17.453125" style="1163" customWidth="1"/>
    <col min="24" max="24" width="18.453125" style="1163" customWidth="1"/>
    <col min="25" max="16384" width="9.453125" style="1163"/>
  </cols>
  <sheetData>
    <row r="1" spans="1:28" ht="18" hidden="1" customHeight="1">
      <c r="A1" s="1596" t="s">
        <v>5042</v>
      </c>
      <c r="B1" s="22"/>
      <c r="C1" s="6"/>
      <c r="D1" s="37"/>
      <c r="E1" s="37"/>
      <c r="F1" s="37"/>
      <c r="G1" s="37"/>
      <c r="H1" s="37"/>
      <c r="I1" s="37"/>
      <c r="J1" s="37"/>
      <c r="K1" s="37"/>
      <c r="L1" s="6"/>
      <c r="M1" s="6"/>
      <c r="N1" s="6"/>
      <c r="O1" s="6" t="s">
        <v>5103</v>
      </c>
      <c r="P1" s="6"/>
      <c r="Q1" s="6" t="s">
        <v>1059</v>
      </c>
      <c r="R1" s="6" t="s">
        <v>1060</v>
      </c>
      <c r="S1" s="6"/>
    </row>
    <row r="2" spans="1:28" s="1778" customFormat="1">
      <c r="A2" s="748"/>
      <c r="Q2" s="1778" t="s">
        <v>1648</v>
      </c>
      <c r="R2" s="1778" t="s">
        <v>1648</v>
      </c>
    </row>
    <row r="3" spans="1:28">
      <c r="A3" s="9"/>
      <c r="C3" s="105" t="s">
        <v>5041</v>
      </c>
      <c r="D3" s="388"/>
      <c r="E3" s="388"/>
      <c r="F3" s="388"/>
      <c r="G3" s="388"/>
      <c r="H3" s="1897" t="s">
        <v>2067</v>
      </c>
      <c r="I3" s="1244">
        <f>Содержание!$D$2</f>
        <v>0</v>
      </c>
      <c r="J3" s="388"/>
      <c r="K3" s="2353"/>
      <c r="N3" s="388"/>
      <c r="O3" s="388"/>
      <c r="P3" s="388"/>
      <c r="Q3" s="388"/>
      <c r="R3" s="388"/>
      <c r="S3" s="388"/>
    </row>
    <row r="4" spans="1:28" ht="15" thickBot="1">
      <c r="A4" s="9"/>
      <c r="C4"/>
      <c r="D4" s="388"/>
      <c r="E4" s="388"/>
      <c r="F4" s="388"/>
      <c r="G4" s="388"/>
      <c r="H4" s="1897" t="s">
        <v>2075</v>
      </c>
      <c r="I4" s="1244" t="str">
        <f>Содержание!$D$15</f>
        <v>2022 год</v>
      </c>
      <c r="J4" s="3044" t="s">
        <v>1436</v>
      </c>
      <c r="K4" s="2353"/>
      <c r="N4" s="388"/>
      <c r="O4" s="388"/>
      <c r="P4"/>
      <c r="Q4" s="388"/>
      <c r="R4" s="388"/>
      <c r="S4" s="388"/>
    </row>
    <row r="5" spans="1:28" ht="15" customHeight="1">
      <c r="A5" s="9"/>
      <c r="C5" s="3876" t="s">
        <v>3983</v>
      </c>
      <c r="D5" s="3872" t="s">
        <v>5531</v>
      </c>
      <c r="E5" s="3874" t="s">
        <v>8394</v>
      </c>
      <c r="F5" s="3879" t="s">
        <v>3982</v>
      </c>
      <c r="G5" s="3870" t="s">
        <v>5383</v>
      </c>
      <c r="H5" s="3870" t="s">
        <v>5076</v>
      </c>
      <c r="I5" s="3806" t="s">
        <v>3990</v>
      </c>
      <c r="J5" s="3806" t="s">
        <v>3989</v>
      </c>
      <c r="K5" s="3874" t="s">
        <v>8394</v>
      </c>
      <c r="L5" s="3870" t="s">
        <v>3981</v>
      </c>
      <c r="M5" s="3870" t="s">
        <v>3979</v>
      </c>
      <c r="N5" s="3870"/>
      <c r="O5" s="3870" t="s">
        <v>3978</v>
      </c>
      <c r="P5" s="3872" t="s">
        <v>5718</v>
      </c>
      <c r="Q5" s="3870" t="s">
        <v>3980</v>
      </c>
      <c r="R5" s="3870"/>
      <c r="S5" s="3868" t="s">
        <v>3401</v>
      </c>
      <c r="Z5" s="3741" t="s">
        <v>14240</v>
      </c>
      <c r="AA5" s="3867"/>
      <c r="AB5" s="3867"/>
    </row>
    <row r="6" spans="1:28" ht="65">
      <c r="A6" s="9"/>
      <c r="C6" s="3877"/>
      <c r="D6" s="3878"/>
      <c r="E6" s="3807"/>
      <c r="F6" s="3880"/>
      <c r="G6" s="3871"/>
      <c r="H6" s="3871"/>
      <c r="I6" s="3873"/>
      <c r="J6" s="3873"/>
      <c r="K6" s="3875"/>
      <c r="L6" s="3871"/>
      <c r="M6" s="452" t="s">
        <v>3977</v>
      </c>
      <c r="N6" s="452" t="s">
        <v>3976</v>
      </c>
      <c r="O6" s="3871"/>
      <c r="P6" s="3871"/>
      <c r="Q6" s="452" t="s">
        <v>5225</v>
      </c>
      <c r="R6" s="452" t="s">
        <v>5233</v>
      </c>
      <c r="S6" s="3869"/>
      <c r="U6" s="2891" t="s">
        <v>8574</v>
      </c>
      <c r="V6" s="151" t="s">
        <v>8575</v>
      </c>
      <c r="W6" s="151" t="s">
        <v>8576</v>
      </c>
      <c r="X6" s="151" t="s">
        <v>10143</v>
      </c>
      <c r="Y6" s="151" t="s">
        <v>10264</v>
      </c>
      <c r="Z6" s="3412" t="s">
        <v>14252</v>
      </c>
      <c r="AA6" s="3412" t="s">
        <v>14265</v>
      </c>
      <c r="AB6" s="3412" t="s">
        <v>14255</v>
      </c>
    </row>
    <row r="7" spans="1:28">
      <c r="A7" s="9"/>
      <c r="C7" s="970" t="s">
        <v>4219</v>
      </c>
      <c r="D7" s="971" t="s">
        <v>4219</v>
      </c>
      <c r="E7" s="833" t="s">
        <v>5247</v>
      </c>
      <c r="F7" s="972" t="s">
        <v>4219</v>
      </c>
      <c r="G7" s="971" t="s">
        <v>4219</v>
      </c>
      <c r="H7" s="971" t="s">
        <v>4219</v>
      </c>
      <c r="I7" s="971" t="s">
        <v>4219</v>
      </c>
      <c r="J7" s="971" t="s">
        <v>4219</v>
      </c>
      <c r="K7" s="833" t="s">
        <v>5247</v>
      </c>
      <c r="L7" s="971" t="s">
        <v>715</v>
      </c>
      <c r="M7" s="971" t="s">
        <v>4219</v>
      </c>
      <c r="N7" s="971" t="s">
        <v>4219</v>
      </c>
      <c r="O7" s="971" t="s">
        <v>4219</v>
      </c>
      <c r="P7" s="971" t="s">
        <v>225</v>
      </c>
      <c r="Q7" s="971" t="s">
        <v>668</v>
      </c>
      <c r="R7" s="971" t="s">
        <v>669</v>
      </c>
      <c r="S7" s="869"/>
      <c r="U7" s="674"/>
      <c r="V7" s="674"/>
      <c r="W7" s="674"/>
    </row>
    <row r="8" spans="1:28" s="674" customFormat="1" ht="10.5">
      <c r="A8" s="668"/>
      <c r="B8" s="1599"/>
      <c r="C8" s="1696" t="s">
        <v>4164</v>
      </c>
      <c r="D8" s="1697" t="s">
        <v>4165</v>
      </c>
      <c r="E8" s="1697" t="s">
        <v>4166</v>
      </c>
      <c r="F8" s="1697" t="s">
        <v>5500</v>
      </c>
      <c r="G8" s="1697" t="s">
        <v>4169</v>
      </c>
      <c r="H8" s="1697" t="s">
        <v>4168</v>
      </c>
      <c r="I8" s="1697" t="s">
        <v>4178</v>
      </c>
      <c r="J8" s="1697" t="s">
        <v>4179</v>
      </c>
      <c r="K8" s="1697" t="s">
        <v>4167</v>
      </c>
      <c r="L8" s="1697" t="s">
        <v>5501</v>
      </c>
      <c r="M8" s="1697" t="s">
        <v>4701</v>
      </c>
      <c r="N8" s="1697" t="s">
        <v>4702</v>
      </c>
      <c r="O8" s="1697" t="s">
        <v>4703</v>
      </c>
      <c r="P8" s="1697" t="s">
        <v>5502</v>
      </c>
      <c r="Q8" s="1697" t="s">
        <v>5503</v>
      </c>
      <c r="R8" s="1697" t="s">
        <v>5504</v>
      </c>
      <c r="S8" s="1697" t="s">
        <v>4853</v>
      </c>
    </row>
    <row r="9" spans="1:28">
      <c r="A9" s="9"/>
      <c r="C9" s="873" t="s">
        <v>4170</v>
      </c>
      <c r="D9" s="874" t="s">
        <v>3389</v>
      </c>
      <c r="E9" s="874" t="s">
        <v>3389</v>
      </c>
      <c r="F9" s="874" t="s">
        <v>3389</v>
      </c>
      <c r="G9" s="874" t="s">
        <v>3389</v>
      </c>
      <c r="H9" s="874" t="s">
        <v>3389</v>
      </c>
      <c r="I9" s="874" t="s">
        <v>3389</v>
      </c>
      <c r="J9" s="874" t="s">
        <v>3389</v>
      </c>
      <c r="K9" s="874" t="s">
        <v>3389</v>
      </c>
      <c r="L9" s="874" t="s">
        <v>3389</v>
      </c>
      <c r="M9" s="874" t="s">
        <v>3389</v>
      </c>
      <c r="N9" s="874" t="s">
        <v>3389</v>
      </c>
      <c r="O9" s="874" t="s">
        <v>3389</v>
      </c>
      <c r="P9" s="874" t="s">
        <v>3389</v>
      </c>
      <c r="Q9" s="870">
        <f>SUM(Q10:Q9993)</f>
        <v>0</v>
      </c>
      <c r="R9" s="870">
        <f>SUM(R10:R9993)</f>
        <v>0</v>
      </c>
      <c r="S9" s="961" t="s">
        <v>3389</v>
      </c>
      <c r="U9" s="2038" t="b">
        <f t="shared" ref="U9:W9" si="0">AND(U10:U17)</f>
        <v>1</v>
      </c>
      <c r="V9" s="2038" t="b">
        <f t="shared" si="0"/>
        <v>1</v>
      </c>
      <c r="W9" s="2038" t="b">
        <f t="shared" si="0"/>
        <v>1</v>
      </c>
      <c r="X9" s="2038" t="b">
        <f>AND(X10:X17)</f>
        <v>1</v>
      </c>
      <c r="Y9" s="2038" t="b">
        <f>AND(Y10:Y17)</f>
        <v>1</v>
      </c>
      <c r="Z9" s="2038" t="b">
        <f t="shared" ref="Z9:AB9" ca="1" si="1">AND(Z10:Z17)</f>
        <v>1</v>
      </c>
      <c r="AA9" s="2038" t="b">
        <f t="shared" ca="1" si="1"/>
        <v>1</v>
      </c>
      <c r="AB9" s="2038" t="b">
        <f t="shared" ca="1" si="1"/>
        <v>1</v>
      </c>
    </row>
    <row r="10" spans="1:28">
      <c r="A10" s="9" t="str">
        <f t="shared" ref="A10:A15" si="2">"R42="&amp;MID(IF(E10&lt;&gt;"",E10,D10),1,30)&amp;";R57="&amp;MID(C10,1,60)&amp;";R50="&amp;MID(F10,1,60)&amp;";R33="&amp;G10&amp;";R19="&amp;M10&amp;";R20="&amp;N10&amp;";R21="&amp;IFERROR(MID(P10,FIND("{",P10)+1,FIND("}",P10)-FIND("{",P10)-1),"")&amp;";R30="&amp;IF(H10="","",IF(H10="Поручитель","05","04"))&amp;";R56="&amp;MID(J10,1,30)&amp;";R58="&amp;MID(I10,1,60)&amp;";R15="&amp;IFERROR(MID(L10,FIND("{",L10)+1,FIND("}",L10)-FIND("{",L10)-1),"")&amp;";R36="&amp;MID(E10,1,30)&amp;";R43="&amp;MID(D10,1,30)&amp;";R48="&amp;MID(K10,1,30)&amp;";R51="&amp;MID(J10,1,30)&amp;";COM="&amp;S10</f>
        <v>R42=;R57=;R50=;R33=;R19=;R20=;R21=;R30=;R56=;R58=;R15=;R36=;R43=;R48=;R51=;COM=</v>
      </c>
      <c r="B10" s="1611"/>
      <c r="C10" s="962"/>
      <c r="D10" s="963"/>
      <c r="E10" s="963"/>
      <c r="F10" s="963"/>
      <c r="G10" s="1678" t="str">
        <f>IF(ISERROR(VLOOKUP($F10,Фин_договоры!$C$9:$U$19390,5,0)),"",VLOOKUP($F10,Фин_договоры!$C$9:$U$19390,5,0))</f>
        <v/>
      </c>
      <c r="H10" s="964"/>
      <c r="I10" s="2878" t="str">
        <f>IF(ISERROR(VLOOKUP($F10,Фин_договоры!$C$9:$U$19390,6,0)),"",VLOOKUP($F10,Фин_договоры!$C$9:$U$19390,6,0))</f>
        <v/>
      </c>
      <c r="J10" s="2878" t="str">
        <f>IF(ISERROR(VLOOKUP($F10,Фин_договоры!$C$9:$U$19390,7,0)),"",VLOOKUP($F10,Фин_договоры!$C$9:$U$19390,7,0))</f>
        <v/>
      </c>
      <c r="K10" s="2878" t="str">
        <f>IF(ISERROR(VLOOKUP($F10,Фин_договоры!$C$9:$U$19390,8,0)),"",VLOOKUP($F10,Фин_договоры!$C$9:$U$19390,8,0))</f>
        <v/>
      </c>
      <c r="L10" s="963"/>
      <c r="M10" s="876"/>
      <c r="N10" s="876"/>
      <c r="O10" s="965"/>
      <c r="P10" s="977"/>
      <c r="Q10" s="871"/>
      <c r="R10" s="871"/>
      <c r="S10" s="967"/>
      <c r="U10" s="2038" t="b">
        <f>IF(C10&gt;0,I10&lt;&gt;"",TRUE)</f>
        <v>1</v>
      </c>
      <c r="V10" s="2038" t="b">
        <f>IF(C10&gt;0,OR(AND($D10&lt;&gt;"",$E10=""),AND($D10="",$E10&lt;&gt;""),AND($D10&lt;&gt;"",$E10&lt;&gt;"")),TRUE)</f>
        <v>1</v>
      </c>
      <c r="W10" s="2038" t="b">
        <f>IF(F10="",TRUE,IF(F10&lt;&gt;"",AND(I10&lt;&gt;0,OR(J10&lt;&gt;0,K10&lt;&gt;0)),FALSE))</f>
        <v>1</v>
      </c>
      <c r="X10" s="2038" t="b">
        <f>IF(OR(C10="",AND(E10="10000",K10="10000")),TRUE,AND(C10&lt;&gt;I10,IF(D10="",E10&lt;&gt;K10,D10&lt;&gt;J10)))</f>
        <v>1</v>
      </c>
      <c r="Y10" s="2038" t="b">
        <f>IF(F10="",TRUE,IF(F10&lt;&gt;"",AND(M10&lt;&gt;0,N10&lt;&gt;0),FALSE))</f>
        <v>1</v>
      </c>
      <c r="Z10" s="2038" t="b">
        <f ca="1">IF(G10="",TRUE,IF(ISBLANK(G10),TRUE,IF(CELL("формат",G10)="D1",AND(LEN(TEXT(G10,"ДД.мм.ГГГГ"))=10,NOT(ISERR(SEARCH("??.??.????",TEXT(G10,"ДД.мм.ГГГГ"))))),AND(NOT(ISERROR(DATEVALUE(G10))),LEN(G10)=10,NOT(ISERR(SEARCH("??.??.????",TEXT(G10,"ДД.мм.ГГГГ"))))))))</f>
        <v>1</v>
      </c>
      <c r="AA10" s="2038" t="b">
        <f ca="1">IF(M10="",TRUE,IF(ISBLANK(M10),TRUE,IF(CELL("формат",M10)="D1",AND(LEN(TEXT(M10,"ДД.мм.ГГГГ"))=10,NOT(ISERR(SEARCH("??.??.????",TEXT(M10,"ДД.мм.ГГГГ"))))),AND(NOT(ISERROR(DATEVALUE(M10))),LEN(M10)=10,NOT(ISERR(SEARCH("??.??.????",TEXT(M10,"ДД.мм.ГГГГ"))))))))</f>
        <v>1</v>
      </c>
      <c r="AB10" s="2038" t="b">
        <f ca="1">IF(N10="",TRUE,IF(ISBLANK(N10),TRUE,IF(CELL("формат",N10)="D1",AND(LEN(TEXT(N10,"ДД.мм.ГГГГ"))=10,NOT(ISERR(SEARCH("??.??.????",TEXT(N10,"ДД.мм.ГГГГ"))))),AND(NOT(ISERROR(DATEVALUE(N10))),LEN(N10)=10,NOT(ISERR(SEARCH("??.??.????",TEXT(N10,"ДД.мм.ГГГГ"))))))))</f>
        <v>1</v>
      </c>
    </row>
    <row r="11" spans="1:28">
      <c r="A11" s="2427" t="str">
        <f t="shared" si="2"/>
        <v>R42=;R57=;R50=;R33=;R19=;R20=;R21=;R30=;R56=;R58=;R15=;R36=;R43=;R48=;R51=;COM=</v>
      </c>
      <c r="B11" s="1611"/>
      <c r="C11" s="962"/>
      <c r="D11" s="963"/>
      <c r="E11" s="963"/>
      <c r="F11" s="963"/>
      <c r="G11" s="1678" t="str">
        <f>IF(ISERROR(VLOOKUP($F11,Фин_договоры!$C$9:$U$19390,5,0)),"",VLOOKUP($F11,Фин_договоры!$C$9:$U$19390,5,0))</f>
        <v/>
      </c>
      <c r="H11" s="964"/>
      <c r="I11" s="2878" t="str">
        <f>IF(ISERROR(VLOOKUP($F11,Фин_договоры!$C$9:$U$19390,6,0)),"",VLOOKUP($F11,Фин_договоры!$C$9:$U$19390,6,0))</f>
        <v/>
      </c>
      <c r="J11" s="2878" t="str">
        <f>IF(ISERROR(VLOOKUP($F11,Фин_договоры!$C$9:$U$19390,7,0)),"",VLOOKUP($F11,Фин_договоры!$C$9:$U$19390,7,0))</f>
        <v/>
      </c>
      <c r="K11" s="2878" t="str">
        <f>IF(ISERROR(VLOOKUP($F11,Фин_договоры!$C$9:$U$19390,8,0)),"",VLOOKUP($F11,Фин_договоры!$C$9:$U$19390,8,0))</f>
        <v/>
      </c>
      <c r="L11" s="963"/>
      <c r="M11" s="876"/>
      <c r="N11" s="876"/>
      <c r="O11" s="965"/>
      <c r="P11" s="977"/>
      <c r="Q11" s="871"/>
      <c r="R11" s="871"/>
      <c r="S11" s="967"/>
      <c r="U11" s="2038" t="b">
        <f t="shared" ref="U11:U15" si="3">IF(C11&gt;0,I11&lt;&gt;"",TRUE)</f>
        <v>1</v>
      </c>
      <c r="V11" s="2038" t="b">
        <f t="shared" ref="V11:V15" si="4">IF(C11&gt;0,OR(AND($D11&lt;&gt;"",$E11=""),AND($D11="",$E11&lt;&gt;""),AND($D11&lt;&gt;"",$E11&lt;&gt;"")),TRUE)</f>
        <v>1</v>
      </c>
      <c r="W11" s="2038" t="b">
        <f t="shared" ref="W11:W16" si="5">IF(F11="",TRUE,IF(F11&lt;&gt;"",AND(I11&lt;&gt;0,OR(J11&lt;&gt;0,K11&lt;&gt;0)),FALSE))</f>
        <v>1</v>
      </c>
      <c r="X11" s="2038" t="b">
        <f t="shared" ref="X11:X17" si="6">IF(OR(C11="",AND(E11="10000",K11="10000")),TRUE,AND(C11&lt;&gt;I11,IF(D11="",E11&lt;&gt;K11,D11&lt;&gt;J11)))</f>
        <v>1</v>
      </c>
      <c r="Y11" s="2038" t="b">
        <f t="shared" ref="Y11:Y17" si="7">IF(F11="",TRUE,IF(F11&lt;&gt;"",AND(M11&lt;&gt;0,N11&lt;&gt;0),FALSE))</f>
        <v>1</v>
      </c>
      <c r="Z11" s="2038" t="b">
        <f t="shared" ref="Z11:Z17" ca="1" si="8">IF(G11="",TRUE,IF(ISBLANK(G11),TRUE,IF(CELL("формат",G11)="D1",AND(LEN(TEXT(G11,"ДД.мм.ГГГГ"))=10,NOT(ISERR(SEARCH("??.??.????",TEXT(G11,"ДД.мм.ГГГГ"))))),AND(NOT(ISERROR(DATEVALUE(G11))),LEN(G11)=10,NOT(ISERR(SEARCH("??.??.????",TEXT(G11,"ДД.мм.ГГГГ"))))))))</f>
        <v>1</v>
      </c>
      <c r="AA11" s="2038" t="b">
        <f t="shared" ref="AA11:AA17" ca="1" si="9">IF(M11="",TRUE,IF(ISBLANK(M11),TRUE,IF(CELL("формат",M11)="D1",AND(LEN(TEXT(M11,"ДД.мм.ГГГГ"))=10,NOT(ISERR(SEARCH("??.??.????",TEXT(M11,"ДД.мм.ГГГГ"))))),AND(NOT(ISERROR(DATEVALUE(M11))),LEN(M11)=10,NOT(ISERR(SEARCH("??.??.????",TEXT(M11,"ДД.мм.ГГГГ"))))))))</f>
        <v>1</v>
      </c>
      <c r="AB11" s="2038" t="b">
        <f t="shared" ref="AB11:AB17" ca="1" si="10">IF(N11="",TRUE,IF(ISBLANK(N11),TRUE,IF(CELL("формат",N11)="D1",AND(LEN(TEXT(N11,"ДД.мм.ГГГГ"))=10,NOT(ISERR(SEARCH("??.??.????",TEXT(N11,"ДД.мм.ГГГГ"))))),AND(NOT(ISERROR(DATEVALUE(N11))),LEN(N11)=10,NOT(ISERR(SEARCH("??.??.????",TEXT(N11,"ДД.мм.ГГГГ"))))))))</f>
        <v>1</v>
      </c>
    </row>
    <row r="12" spans="1:28">
      <c r="A12" s="2427" t="str">
        <f t="shared" si="2"/>
        <v>R42=;R57=;R50=;R33=;R19=;R20=;R21=;R30=;R56=;R58=;R15=;R36=;R43=;R48=;R51=;COM=</v>
      </c>
      <c r="B12" s="1611"/>
      <c r="C12" s="962"/>
      <c r="D12" s="963"/>
      <c r="E12" s="963"/>
      <c r="F12" s="963"/>
      <c r="G12" s="1678" t="str">
        <f>IF(ISERROR(VLOOKUP($F12,Фин_договоры!$C$9:$U$19390,5,0)),"",VLOOKUP($F12,Фин_договоры!$C$9:$U$19390,5,0))</f>
        <v/>
      </c>
      <c r="H12" s="964"/>
      <c r="I12" s="2878" t="str">
        <f>IF(ISERROR(VLOOKUP($F12,Фин_договоры!$C$9:$U$19390,6,0)),"",VLOOKUP($F12,Фин_договоры!$C$9:$U$19390,6,0))</f>
        <v/>
      </c>
      <c r="J12" s="2878" t="str">
        <f>IF(ISERROR(VLOOKUP($F12,Фин_договоры!$C$9:$U$19390,7,0)),"",VLOOKUP($F12,Фин_договоры!$C$9:$U$19390,7,0))</f>
        <v/>
      </c>
      <c r="K12" s="2878" t="str">
        <f>IF(ISERROR(VLOOKUP($F12,Фин_договоры!$C$9:$U$19390,8,0)),"",VLOOKUP($F12,Фин_договоры!$C$9:$U$19390,8,0))</f>
        <v/>
      </c>
      <c r="L12" s="963"/>
      <c r="M12" s="876"/>
      <c r="N12" s="876"/>
      <c r="O12" s="965"/>
      <c r="P12" s="977"/>
      <c r="Q12" s="871"/>
      <c r="R12" s="871"/>
      <c r="S12" s="967"/>
      <c r="U12" s="2038" t="b">
        <f t="shared" si="3"/>
        <v>1</v>
      </c>
      <c r="V12" s="2038" t="b">
        <f t="shared" si="4"/>
        <v>1</v>
      </c>
      <c r="W12" s="2038" t="b">
        <f t="shared" si="5"/>
        <v>1</v>
      </c>
      <c r="X12" s="2038" t="b">
        <f t="shared" si="6"/>
        <v>1</v>
      </c>
      <c r="Y12" s="2038" t="b">
        <f t="shared" si="7"/>
        <v>1</v>
      </c>
      <c r="Z12" s="2038" t="b">
        <f t="shared" ca="1" si="8"/>
        <v>1</v>
      </c>
      <c r="AA12" s="2038" t="b">
        <f t="shared" ca="1" si="9"/>
        <v>1</v>
      </c>
      <c r="AB12" s="2038" t="b">
        <f t="shared" ca="1" si="10"/>
        <v>1</v>
      </c>
    </row>
    <row r="13" spans="1:28">
      <c r="A13" s="2427" t="str">
        <f t="shared" si="2"/>
        <v>R42=;R57=;R50=;R33=;R19=;R20=;R21=;R30=;R56=;R58=;R15=;R36=;R43=;R48=;R51=;COM=</v>
      </c>
      <c r="B13" s="1611"/>
      <c r="C13" s="962"/>
      <c r="D13" s="963"/>
      <c r="E13" s="963"/>
      <c r="F13" s="963"/>
      <c r="G13" s="1678" t="str">
        <f>IF(ISERROR(VLOOKUP($F13,Фин_договоры!$C$9:$U$19390,5,0)),"",VLOOKUP($F13,Фин_договоры!$C$9:$U$19390,5,0))</f>
        <v/>
      </c>
      <c r="H13" s="964"/>
      <c r="I13" s="2878" t="str">
        <f>IF(ISERROR(VLOOKUP($F13,Фин_договоры!$C$9:$U$19390,6,0)),"",VLOOKUP($F13,Фин_договоры!$C$9:$U$19390,6,0))</f>
        <v/>
      </c>
      <c r="J13" s="2878" t="str">
        <f>IF(ISERROR(VLOOKUP($F13,Фин_договоры!$C$9:$U$19390,7,0)),"",VLOOKUP($F13,Фин_договоры!$C$9:$U$19390,7,0))</f>
        <v/>
      </c>
      <c r="K13" s="2878" t="str">
        <f>IF(ISERROR(VLOOKUP($F13,Фин_договоры!$C$9:$U$19390,8,0)),"",VLOOKUP($F13,Фин_договоры!$C$9:$U$19390,8,0))</f>
        <v/>
      </c>
      <c r="L13" s="963"/>
      <c r="M13" s="876"/>
      <c r="N13" s="876"/>
      <c r="O13" s="965"/>
      <c r="P13" s="977"/>
      <c r="Q13" s="871"/>
      <c r="R13" s="871"/>
      <c r="S13" s="967"/>
      <c r="U13" s="2038" t="b">
        <f t="shared" si="3"/>
        <v>1</v>
      </c>
      <c r="V13" s="2038" t="b">
        <f t="shared" si="4"/>
        <v>1</v>
      </c>
      <c r="W13" s="2038" t="b">
        <f t="shared" si="5"/>
        <v>1</v>
      </c>
      <c r="X13" s="2038" t="b">
        <f t="shared" si="6"/>
        <v>1</v>
      </c>
      <c r="Y13" s="2038" t="b">
        <f t="shared" si="7"/>
        <v>1</v>
      </c>
      <c r="Z13" s="2038" t="b">
        <f t="shared" ca="1" si="8"/>
        <v>1</v>
      </c>
      <c r="AA13" s="2038" t="b">
        <f t="shared" ca="1" si="9"/>
        <v>1</v>
      </c>
      <c r="AB13" s="2038" t="b">
        <f t="shared" ca="1" si="10"/>
        <v>1</v>
      </c>
    </row>
    <row r="14" spans="1:28">
      <c r="A14" s="2427" t="str">
        <f t="shared" si="2"/>
        <v>R42=;R57=;R50=;R33=;R19=;R20=;R21=;R30=;R56=;R58=;R15=;R36=;R43=;R48=;R51=;COM=</v>
      </c>
      <c r="B14" s="1611"/>
      <c r="C14" s="962"/>
      <c r="D14" s="963"/>
      <c r="E14" s="963"/>
      <c r="F14" s="963"/>
      <c r="G14" s="1678" t="str">
        <f>IF(ISERROR(VLOOKUP($F14,Фин_договоры!$C$9:$U$19390,5,0)),"",VLOOKUP($F14,Фин_договоры!$C$9:$U$19390,5,0))</f>
        <v/>
      </c>
      <c r="H14" s="964"/>
      <c r="I14" s="2878" t="str">
        <f>IF(ISERROR(VLOOKUP($F14,Фин_договоры!$C$9:$U$19390,6,0)),"",VLOOKUP($F14,Фин_договоры!$C$9:$U$19390,6,0))</f>
        <v/>
      </c>
      <c r="J14" s="2878" t="str">
        <f>IF(ISERROR(VLOOKUP($F14,Фин_договоры!$C$9:$U$19390,7,0)),"",VLOOKUP($F14,Фин_договоры!$C$9:$U$19390,7,0))</f>
        <v/>
      </c>
      <c r="K14" s="2878" t="str">
        <f>IF(ISERROR(VLOOKUP($F14,Фин_договоры!$C$9:$U$19390,8,0)),"",VLOOKUP($F14,Фин_договоры!$C$9:$U$19390,8,0))</f>
        <v/>
      </c>
      <c r="L14" s="963"/>
      <c r="M14" s="876"/>
      <c r="N14" s="876"/>
      <c r="O14" s="965"/>
      <c r="P14" s="977"/>
      <c r="Q14" s="871"/>
      <c r="R14" s="871"/>
      <c r="S14" s="967"/>
      <c r="U14" s="2038" t="b">
        <f t="shared" si="3"/>
        <v>1</v>
      </c>
      <c r="V14" s="2038" t="b">
        <f t="shared" si="4"/>
        <v>1</v>
      </c>
      <c r="W14" s="2038" t="b">
        <f t="shared" si="5"/>
        <v>1</v>
      </c>
      <c r="X14" s="2038" t="b">
        <f t="shared" si="6"/>
        <v>1</v>
      </c>
      <c r="Y14" s="2038" t="b">
        <f t="shared" si="7"/>
        <v>1</v>
      </c>
      <c r="Z14" s="2038" t="b">
        <f t="shared" ca="1" si="8"/>
        <v>1</v>
      </c>
      <c r="AA14" s="2038" t="b">
        <f t="shared" ca="1" si="9"/>
        <v>1</v>
      </c>
      <c r="AB14" s="2038" t="b">
        <f t="shared" ca="1" si="10"/>
        <v>1</v>
      </c>
    </row>
    <row r="15" spans="1:28" s="2830" customFormat="1">
      <c r="A15" s="2427" t="str">
        <f t="shared" si="2"/>
        <v>R42=;R57=;R50=;R33=;R19=;R20=;R21=;R30=;R56=;R58=;R15=;R36=;R43=;R48=;R51=;COM=</v>
      </c>
      <c r="B15" s="1611"/>
      <c r="C15" s="962"/>
      <c r="D15" s="963"/>
      <c r="E15" s="963"/>
      <c r="F15" s="963"/>
      <c r="G15" s="1678" t="str">
        <f>IF(ISERROR(VLOOKUP($F15,Фин_договоры!$C$9:$U$19390,5,0)),"",VLOOKUP($F15,Фин_договоры!$C$9:$U$19390,5,0))</f>
        <v/>
      </c>
      <c r="H15" s="964"/>
      <c r="I15" s="2878" t="str">
        <f>IF(ISERROR(VLOOKUP($F15,Фин_договоры!$C$9:$U$19390,6,0)),"",VLOOKUP($F15,Фин_договоры!$C$9:$U$19390,6,0))</f>
        <v/>
      </c>
      <c r="J15" s="2878" t="str">
        <f>IF(ISERROR(VLOOKUP($F15,Фин_договоры!$C$9:$U$19390,7,0)),"",VLOOKUP($F15,Фин_договоры!$C$9:$U$19390,7,0))</f>
        <v/>
      </c>
      <c r="K15" s="2878" t="str">
        <f>IF(ISERROR(VLOOKUP($F15,Фин_договоры!$C$9:$U$19390,8,0)),"",VLOOKUP($F15,Фин_договоры!$C$9:$U$19390,8,0))</f>
        <v/>
      </c>
      <c r="L15" s="963"/>
      <c r="M15" s="876"/>
      <c r="N15" s="876"/>
      <c r="O15" s="965"/>
      <c r="P15" s="977"/>
      <c r="Q15" s="871"/>
      <c r="R15" s="871"/>
      <c r="S15" s="967"/>
      <c r="U15" s="2038" t="b">
        <f t="shared" si="3"/>
        <v>1</v>
      </c>
      <c r="V15" s="2038" t="b">
        <f t="shared" si="4"/>
        <v>1</v>
      </c>
      <c r="W15" s="2038" t="b">
        <f t="shared" si="5"/>
        <v>1</v>
      </c>
      <c r="X15" s="2038" t="b">
        <f t="shared" si="6"/>
        <v>1</v>
      </c>
      <c r="Y15" s="2038" t="b">
        <f t="shared" si="7"/>
        <v>1</v>
      </c>
      <c r="Z15" s="2038" t="b">
        <f t="shared" ca="1" si="8"/>
        <v>1</v>
      </c>
      <c r="AA15" s="2038" t="b">
        <f t="shared" ca="1" si="9"/>
        <v>1</v>
      </c>
      <c r="AB15" s="2038" t="b">
        <f t="shared" ca="1" si="10"/>
        <v>1</v>
      </c>
    </row>
    <row r="16" spans="1:28" s="2830" customFormat="1">
      <c r="A16" s="2427" t="str">
        <f t="shared" ref="A16" si="11">"R42="&amp;MID(IF(E16&lt;&gt;"",E16,D16),1,30)&amp;";R57="&amp;MID(C16,1,60)&amp;";R50="&amp;MID(F16,1,60)&amp;";R33="&amp;G16&amp;";R19="&amp;M16&amp;";R20="&amp;N16&amp;";R21="&amp;IFERROR(MID(P16,FIND("{",P16)+1,FIND("}",P16)-FIND("{",P16)-1),"")&amp;";R30="&amp;IF(H16="","",IF(H16="Поручитель","05","04"))&amp;";R56="&amp;MID(J16,1,30)&amp;";R58="&amp;MID(I16,1,60)&amp;";R15="&amp;IFERROR(MID(L16,FIND("{",L16)+1,FIND("}",L16)-FIND("{",L16)-1),"")&amp;";R36="&amp;MID(E16,1,30)&amp;";R43="&amp;MID(D16,1,30)&amp;";R48="&amp;MID(K16,1,30)&amp;";R51="&amp;MID(J16,1,30)&amp;";COM="&amp;S16</f>
        <v>R42=;R57=;R50=;R33=;R19=;R20=;R21=;R30=;R56=;R58=;R15=;R36=;R43=;R48=;R51=;COM=</v>
      </c>
      <c r="B16" s="1611"/>
      <c r="C16" s="962"/>
      <c r="D16" s="963"/>
      <c r="E16" s="963"/>
      <c r="F16" s="963"/>
      <c r="G16" s="1678" t="str">
        <f>IF(ISERROR(VLOOKUP($F16,Фин_договоры!$C$9:$U$19390,5,0)),"",VLOOKUP($F16,Фин_договоры!$C$9:$U$19390,5,0))</f>
        <v/>
      </c>
      <c r="H16" s="964"/>
      <c r="I16" s="2878" t="str">
        <f>IF(ISERROR(VLOOKUP($F16,Фин_договоры!$C$9:$U$19390,6,0)),"",VLOOKUP($F16,Фин_договоры!$C$9:$U$19390,6,0))</f>
        <v/>
      </c>
      <c r="J16" s="2878" t="str">
        <f>IF(ISERROR(VLOOKUP($F16,Фин_договоры!$C$9:$U$19390,7,0)),"",VLOOKUP($F16,Фин_договоры!$C$9:$U$19390,7,0))</f>
        <v/>
      </c>
      <c r="K16" s="2878" t="str">
        <f>IF(ISERROR(VLOOKUP($F16,Фин_договоры!$C$9:$U$19390,8,0)),"",VLOOKUP($F16,Фин_договоры!$C$9:$U$19390,8,0))</f>
        <v/>
      </c>
      <c r="L16" s="963"/>
      <c r="M16" s="876"/>
      <c r="N16" s="876"/>
      <c r="O16" s="965"/>
      <c r="P16" s="977"/>
      <c r="Q16" s="871"/>
      <c r="R16" s="871"/>
      <c r="S16" s="967"/>
      <c r="U16" s="2038" t="b">
        <f t="shared" ref="U16" si="12">IF(C16&gt;0,I16&lt;&gt;"",TRUE)</f>
        <v>1</v>
      </c>
      <c r="V16" s="2038" t="b">
        <f t="shared" ref="V16" si="13">IF(C16&gt;0,OR(AND($D16&lt;&gt;"",$E16=""),AND($D16="",$E16&lt;&gt;""),AND($D16&lt;&gt;"",$E16&lt;&gt;"")),TRUE)</f>
        <v>1</v>
      </c>
      <c r="W16" s="2038" t="b">
        <f t="shared" si="5"/>
        <v>1</v>
      </c>
      <c r="X16" s="2038" t="b">
        <f t="shared" si="6"/>
        <v>1</v>
      </c>
      <c r="Y16" s="2038" t="b">
        <f t="shared" si="7"/>
        <v>1</v>
      </c>
      <c r="Z16" s="2038" t="b">
        <f t="shared" ca="1" si="8"/>
        <v>1</v>
      </c>
      <c r="AA16" s="2038" t="b">
        <f t="shared" ca="1" si="9"/>
        <v>1</v>
      </c>
      <c r="AB16" s="2038" t="b">
        <f t="shared" ca="1" si="10"/>
        <v>1</v>
      </c>
    </row>
    <row r="17" spans="1:28" s="2830" customFormat="1" ht="15" thickBot="1">
      <c r="A17" s="2427" t="str">
        <f t="shared" ref="A17" si="14">"R42="&amp;MID(IF(E17&lt;&gt;"",E17,D17),1,30)&amp;";R57="&amp;MID(C17,1,60)&amp;";R50="&amp;MID(F17,1,60)&amp;";R33="&amp;G17&amp;";R19="&amp;M17&amp;";R20="&amp;N17&amp;";R21="&amp;IFERROR(MID(P17,FIND("{",P17)+1,FIND("}",P17)-FIND("{",P17)-1),"")&amp;";R30="&amp;IF(H17="","",IF(H17="Поручитель","05","04"))&amp;";R56="&amp;MID(J17,1,30)&amp;";R58="&amp;MID(I17,1,60)&amp;";R15="&amp;IFERROR(MID(L17,FIND("{",L17)+1,FIND("}",L17)-FIND("{",L17)-1),"")&amp;";R36="&amp;MID(E17,1,30)&amp;";R43="&amp;MID(D17,1,30)&amp;";R48="&amp;MID(K17,1,30)&amp;";R51="&amp;MID(J17,1,30)&amp;";COM="&amp;S17</f>
        <v>R42=;R57=;R50=;R33=;R19=;R20=;R21=;R30=;R56=;R58=;R15=;R36=;R43=;R48=;R51=;COM=</v>
      </c>
      <c r="B17" s="1611"/>
      <c r="C17" s="968"/>
      <c r="D17" s="969"/>
      <c r="E17" s="969"/>
      <c r="F17" s="2898"/>
      <c r="G17" s="2899" t="str">
        <f>IF(ISERROR(VLOOKUP($F17,Фин_договоры!$C$9:$U$19390,5,0)),"",VLOOKUP($F17,Фин_договоры!$C$9:$U$19390,5,0))</f>
        <v/>
      </c>
      <c r="H17" s="2900"/>
      <c r="I17" s="2901" t="str">
        <f>IF(ISERROR(VLOOKUP($F17,Фин_договоры!$C$9:$U$19390,6,0)),"",VLOOKUP($F17,Фин_договоры!$C$9:$U$19390,6,0))</f>
        <v/>
      </c>
      <c r="J17" s="2901" t="str">
        <f>IF(ISERROR(VLOOKUP($F17,Фин_договоры!$C$9:$U$19390,7,0)),"",VLOOKUP($F17,Фин_договоры!$C$9:$U$19390,7,0))</f>
        <v/>
      </c>
      <c r="K17" s="2901" t="str">
        <f>IF(ISERROR(VLOOKUP($F17,Фин_договоры!$C$9:$U$19390,8,0)),"",VLOOKUP($F17,Фин_договоры!$C$9:$U$19390,8,0))</f>
        <v/>
      </c>
      <c r="L17" s="2898"/>
      <c r="M17" s="2902"/>
      <c r="N17" s="2902"/>
      <c r="O17" s="2903"/>
      <c r="P17" s="2904"/>
      <c r="Q17" s="2904"/>
      <c r="R17" s="2904"/>
      <c r="S17" s="2905"/>
      <c r="U17" s="2038" t="b">
        <f t="shared" ref="U17" si="15">IF(C17&gt;0,I17&lt;&gt;"",TRUE)</f>
        <v>1</v>
      </c>
      <c r="V17" s="2038" t="b">
        <f t="shared" ref="V17" si="16">IF(C17&gt;0,OR(AND($D17&lt;&gt;"",$E17=""),AND($D17="",$E17&lt;&gt;""),AND($D17&lt;&gt;"",$E17&lt;&gt;"")),TRUE)</f>
        <v>1</v>
      </c>
      <c r="W17" s="2038" t="b">
        <f t="shared" ref="W17" si="17">IF(F17="",TRUE,IF(F17&lt;&gt;"",AND(I17&lt;&gt;0,OR(J17&lt;&gt;0,K17&lt;&gt;0)),FALSE))</f>
        <v>1</v>
      </c>
      <c r="X17" s="2038" t="b">
        <f t="shared" si="6"/>
        <v>1</v>
      </c>
      <c r="Y17" s="2038" t="b">
        <f t="shared" si="7"/>
        <v>1</v>
      </c>
      <c r="Z17" s="2038" t="b">
        <f t="shared" ca="1" si="8"/>
        <v>1</v>
      </c>
      <c r="AA17" s="2038" t="b">
        <f t="shared" ca="1" si="9"/>
        <v>1</v>
      </c>
      <c r="AB17" s="2038" t="b">
        <f t="shared" ca="1" si="10"/>
        <v>1</v>
      </c>
    </row>
  </sheetData>
  <sheetProtection algorithmName="SHA-512" hashValue="P9CDcllkbZQe3GI4AZNStvdk4TDbINVld4bH1amFee3+4kRr7en7LK9o3EhPBxgEbsB3DD74fMX/iAmxFiaSrw==" saltValue="EhIwkiwq744kj7p0vJwBjQ==" spinCount="100000" sheet="1" objects="1" scenarios="1" formatColumns="0" formatRows="0" autoFilter="0"/>
  <autoFilter ref="C8:AB8"/>
  <customSheetViews>
    <customSheetView guid="{3769259D-9653-4B34-A2F6-4FB6F9F4E533}" showGridLines="0" showAutoFilter="1">
      <pane xSplit="5" ySplit="8" topLeftCell="F9" activePane="bottomRight" state="frozen"/>
      <selection pane="bottomRight" activeCell="H8" sqref="H8"/>
      <pageMargins left="0.7" right="0.7" top="0.75" bottom="0.75" header="0.3" footer="0.3"/>
      <autoFilter ref="B1:N1"/>
    </customSheetView>
    <customSheetView guid="{40D7A2BB-326C-4ED3-999C-17852F56D6F4}" showGridLines="0" showAutoFilter="1">
      <pane xSplit="5" ySplit="8" topLeftCell="F9" activePane="bottomRight" state="frozen"/>
      <selection pane="bottomRight" activeCell="H8" sqref="H8"/>
      <pageMargins left="0.7" right="0.7" top="0.75" bottom="0.75" header="0.3" footer="0.3"/>
      <autoFilter ref="B1:N1"/>
    </customSheetView>
    <customSheetView guid="{5D121940-0CE8-4A0E-A493-67FAAA6E0FF8}" showGridLines="0" showAutoFilter="1" hiddenRows="1" hiddenColumns="1" topLeftCell="B2">
      <pane xSplit="4" ySplit="7" topLeftCell="F9" activePane="bottomRight" state="frozen"/>
      <selection pane="bottomRight" activeCell="H7" sqref="H7"/>
      <pageMargins left="0.7" right="0.7" top="0.75" bottom="0.75" header="0.3" footer="0.3"/>
      <autoFilter ref="B1:N1"/>
    </customSheetView>
    <customSheetView guid="{47AEACC4-6EA5-412C-AF39-A6C5357B313A}" showGridLines="0" showAutoFilter="1" hiddenRows="1" hiddenColumns="1" topLeftCell="B2">
      <pane xSplit="4" ySplit="7" topLeftCell="G9" activePane="bottomRight" state="frozen"/>
      <selection pane="bottomRight" activeCell="L10" sqref="L10"/>
      <pageMargins left="0.7" right="0.7" top="0.75" bottom="0.75" header="0.3" footer="0.3"/>
      <autoFilter ref="B1:N1"/>
    </customSheetView>
    <customSheetView guid="{4D957B38-5430-481E-B791-E0A66F913B50}" scale="70" topLeftCell="A69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4" ySplit="7" topLeftCell="F9" activePane="bottomRight" state="frozen"/>
      <selection pane="bottomRight" activeCell="H7" sqref="H7"/>
      <pageMargins left="0.7" right="0.7" top="0.75" bottom="0.75" header="0.3" footer="0.3"/>
      <autoFilter ref="B1:N1"/>
    </customSheetView>
  </customSheetViews>
  <mergeCells count="16">
    <mergeCell ref="I5:I6"/>
    <mergeCell ref="J5:J6"/>
    <mergeCell ref="K5:K6"/>
    <mergeCell ref="H5:H6"/>
    <mergeCell ref="C5:C6"/>
    <mergeCell ref="D5:D6"/>
    <mergeCell ref="F5:F6"/>
    <mergeCell ref="G5:G6"/>
    <mergeCell ref="E5:E6"/>
    <mergeCell ref="Z5:AB5"/>
    <mergeCell ref="S5:S6"/>
    <mergeCell ref="L5:L6"/>
    <mergeCell ref="Q5:R5"/>
    <mergeCell ref="M5:N5"/>
    <mergeCell ref="O5:O6"/>
    <mergeCell ref="P5:P6"/>
  </mergeCells>
  <phoneticPr fontId="0" type="noConversion"/>
  <dataValidations xWindow="906" yWindow="770" count="7">
    <dataValidation type="list" operator="equal" allowBlank="1" showErrorMessage="1" errorTitle="Выбор элемента списка" error="Данного элемента нет в списке" sqref="H10:H17">
      <formula1>_поручит</formula1>
    </dataValidation>
    <dataValidation operator="equal" allowBlank="1" showInputMessage="1" prompt="Дата в формате ДД.ММ.ГГГГ (01.01.2010)" sqref="M10:N17 G10:G17">
      <formula1>0</formula1>
      <formula2>0</formula2>
    </dataValidation>
    <dataValidation operator="equal" allowBlank="1" showErrorMessage="1" errorTitle="Ошибка" error="Вы должны ввести целое число" sqref="C3">
      <formula1>0</formula1>
      <formula2>0</formula2>
    </dataValidation>
    <dataValidation type="list" allowBlank="1" showInputMessage="1" showErrorMessage="1" sqref="L10:L17">
      <formula1>_9018_ДП_пол</formula1>
    </dataValidation>
    <dataValidation type="list" allowBlank="1" showInputMessage="1" showErrorMessage="1" sqref="P10:P17">
      <formula1>_9073</formula1>
    </dataValidation>
    <dataValidation type="list" showInputMessage="1" showErrorMessage="1" sqref="F10:F17">
      <formula1>dogovor_fin</formula1>
    </dataValidation>
    <dataValidation operator="equal" allowBlank="1" showInputMessage="1" sqref="I10:K17"/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8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AddButtonsRowAdd">
                <anchor moveWithCells="1">
                  <from>
                    <xdr:col>5</xdr:col>
                    <xdr:colOff>990600</xdr:colOff>
                    <xdr:row>1</xdr:row>
                    <xdr:rowOff>146050</xdr:rowOff>
                  </from>
                  <to>
                    <xdr:col>5</xdr:col>
                    <xdr:colOff>2432050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pageSetUpPr fitToPage="1"/>
  </sheetPr>
  <dimension ref="A1:Z19"/>
  <sheetViews>
    <sheetView topLeftCell="B2" zoomScale="75" zoomScaleNormal="75" workbookViewId="0">
      <selection activeCell="E10" sqref="E10"/>
    </sheetView>
  </sheetViews>
  <sheetFormatPr defaultColWidth="9.453125" defaultRowHeight="14.5"/>
  <cols>
    <col min="1" max="1" width="25" style="1590" hidden="1" customWidth="1"/>
    <col min="2" max="2" width="3.453125" style="1163" customWidth="1"/>
    <col min="3" max="3" width="15.54296875" style="1163" customWidth="1"/>
    <col min="4" max="4" width="14.453125" style="1163" customWidth="1"/>
    <col min="5" max="5" width="19.54296875" style="1163" customWidth="1"/>
    <col min="6" max="6" width="35.453125" style="1163" customWidth="1"/>
    <col min="7" max="7" width="27.54296875" style="1163" customWidth="1"/>
    <col min="8" max="8" width="14.453125" style="1163" customWidth="1"/>
    <col min="9" max="9" width="15.453125" style="1163" bestFit="1" customWidth="1"/>
    <col min="10" max="10" width="23.54296875" style="1163" customWidth="1"/>
    <col min="11" max="13" width="17.54296875" style="1163" customWidth="1"/>
    <col min="14" max="14" width="16.54296875" style="1163" customWidth="1"/>
    <col min="15" max="15" width="11.453125" style="1163" customWidth="1"/>
    <col min="16" max="16" width="29.54296875" style="1163" customWidth="1"/>
    <col min="17" max="18" width="9.453125" style="1163"/>
    <col min="19" max="20" width="12.453125" style="1163" customWidth="1"/>
    <col min="21" max="21" width="11.54296875" style="1163" customWidth="1"/>
    <col min="22" max="22" width="13.1796875" style="1163" customWidth="1"/>
    <col min="23" max="23" width="10" style="1163" customWidth="1"/>
    <col min="24" max="24" width="14.1796875" style="1163" customWidth="1"/>
    <col min="25" max="25" width="13.81640625" style="1163" customWidth="1"/>
    <col min="26" max="26" width="13.1796875" style="1163" customWidth="1"/>
    <col min="27" max="16384" width="9.453125" style="1163"/>
  </cols>
  <sheetData>
    <row r="1" spans="1:26" ht="21" hidden="1" customHeight="1">
      <c r="A1" s="1596" t="s">
        <v>5040</v>
      </c>
      <c r="B1" s="22"/>
      <c r="C1" s="6"/>
      <c r="D1" s="37"/>
      <c r="E1" s="37"/>
      <c r="F1" s="37"/>
      <c r="G1" s="37"/>
      <c r="H1" s="37"/>
      <c r="I1" s="37"/>
      <c r="J1" s="6"/>
      <c r="K1" s="6"/>
      <c r="L1" s="6"/>
      <c r="M1" s="6"/>
      <c r="N1" s="6"/>
      <c r="O1" s="2438" t="s">
        <v>1059</v>
      </c>
      <c r="P1" s="2438" t="s">
        <v>1060</v>
      </c>
    </row>
    <row r="2" spans="1:26" s="1778" customFormat="1">
      <c r="A2" s="748"/>
      <c r="N2" s="1778" t="s">
        <v>1648</v>
      </c>
      <c r="O2" s="1778" t="s">
        <v>1648</v>
      </c>
    </row>
    <row r="3" spans="1:26" ht="26">
      <c r="A3" s="9"/>
      <c r="C3" s="105" t="s">
        <v>5039</v>
      </c>
      <c r="D3" s="388"/>
      <c r="E3" s="388"/>
      <c r="F3" s="388"/>
      <c r="G3" s="388"/>
      <c r="H3" s="388"/>
      <c r="I3" s="388"/>
      <c r="J3" s="1897" t="s">
        <v>2067</v>
      </c>
      <c r="K3" s="1244">
        <f>Содержание!$D$2</f>
        <v>0</v>
      </c>
      <c r="L3" s="388"/>
      <c r="M3" s="388"/>
      <c r="N3" s="388"/>
      <c r="O3" s="388"/>
      <c r="P3" s="388"/>
    </row>
    <row r="4" spans="1:26" ht="15" thickBot="1">
      <c r="A4" s="9"/>
      <c r="C4" s="388"/>
      <c r="D4"/>
      <c r="E4" s="2358"/>
      <c r="F4" s="388"/>
      <c r="G4" s="388"/>
      <c r="H4" s="388"/>
      <c r="I4" s="3044" t="s">
        <v>1436</v>
      </c>
      <c r="J4" s="1897" t="s">
        <v>2075</v>
      </c>
      <c r="K4" s="1244" t="str">
        <f>Содержание!$D$15</f>
        <v>2022 год</v>
      </c>
      <c r="L4" s="388"/>
      <c r="M4" s="388"/>
      <c r="N4" s="388"/>
      <c r="O4" s="388"/>
      <c r="P4" s="388"/>
    </row>
    <row r="5" spans="1:26" ht="13.5" customHeight="1">
      <c r="A5" s="9"/>
      <c r="C5" s="3887" t="s">
        <v>3983</v>
      </c>
      <c r="D5" s="3806" t="s">
        <v>5531</v>
      </c>
      <c r="E5" s="3874" t="s">
        <v>8394</v>
      </c>
      <c r="F5" s="3806" t="s">
        <v>3982</v>
      </c>
      <c r="G5" s="3806" t="s">
        <v>5383</v>
      </c>
      <c r="H5" s="3806" t="s">
        <v>3990</v>
      </c>
      <c r="I5" s="3806" t="s">
        <v>3989</v>
      </c>
      <c r="J5" s="3874" t="s">
        <v>8394</v>
      </c>
      <c r="K5" s="3883" t="s">
        <v>3988</v>
      </c>
      <c r="L5" s="3885" t="s">
        <v>3986</v>
      </c>
      <c r="M5" s="3886"/>
      <c r="N5" s="3806" t="s">
        <v>5718</v>
      </c>
      <c r="O5" s="3885" t="s">
        <v>3987</v>
      </c>
      <c r="P5" s="3886"/>
      <c r="Q5" s="3881" t="s">
        <v>3401</v>
      </c>
      <c r="X5" s="3741" t="s">
        <v>14240</v>
      </c>
      <c r="Y5" s="3867"/>
      <c r="Z5" s="3867"/>
    </row>
    <row r="6" spans="1:26" ht="65">
      <c r="A6" s="9"/>
      <c r="C6" s="3888"/>
      <c r="D6" s="3873"/>
      <c r="E6" s="3875"/>
      <c r="F6" s="3873"/>
      <c r="G6" s="3873"/>
      <c r="H6" s="3873"/>
      <c r="I6" s="3873"/>
      <c r="J6" s="3875"/>
      <c r="K6" s="3884"/>
      <c r="L6" s="452" t="s">
        <v>3985</v>
      </c>
      <c r="M6" s="452" t="s">
        <v>3984</v>
      </c>
      <c r="N6" s="3884"/>
      <c r="O6" s="452" t="s">
        <v>5225</v>
      </c>
      <c r="P6" s="452" t="s">
        <v>5233</v>
      </c>
      <c r="Q6" s="3882"/>
      <c r="S6" s="2891" t="s">
        <v>8574</v>
      </c>
      <c r="T6" s="151" t="s">
        <v>8575</v>
      </c>
      <c r="U6" s="151" t="s">
        <v>8576</v>
      </c>
      <c r="V6" s="151" t="s">
        <v>10143</v>
      </c>
      <c r="W6" s="151" t="s">
        <v>10262</v>
      </c>
      <c r="X6" s="3412" t="s">
        <v>14252</v>
      </c>
      <c r="Y6" s="3412" t="s">
        <v>14254</v>
      </c>
      <c r="Z6" s="3412" t="s">
        <v>14265</v>
      </c>
    </row>
    <row r="7" spans="1:26">
      <c r="A7" s="9"/>
      <c r="C7" s="970" t="s">
        <v>4219</v>
      </c>
      <c r="D7" s="971" t="s">
        <v>4219</v>
      </c>
      <c r="E7" s="833" t="s">
        <v>5247</v>
      </c>
      <c r="F7" s="971" t="s">
        <v>4219</v>
      </c>
      <c r="G7" s="971" t="s">
        <v>4219</v>
      </c>
      <c r="H7" s="971" t="s">
        <v>4219</v>
      </c>
      <c r="I7" s="971" t="s">
        <v>4219</v>
      </c>
      <c r="J7" s="833" t="s">
        <v>5247</v>
      </c>
      <c r="K7" s="971"/>
      <c r="L7" s="971" t="s">
        <v>4219</v>
      </c>
      <c r="M7" s="971" t="s">
        <v>4219</v>
      </c>
      <c r="N7" s="971" t="s">
        <v>225</v>
      </c>
      <c r="O7" s="971" t="s">
        <v>668</v>
      </c>
      <c r="P7" s="971" t="s">
        <v>669</v>
      </c>
      <c r="Q7" s="869"/>
    </row>
    <row r="8" spans="1:26" s="674" customFormat="1" ht="10.5">
      <c r="A8" s="668"/>
      <c r="B8" s="1599"/>
      <c r="C8" s="1696" t="s">
        <v>4164</v>
      </c>
      <c r="D8" s="1697" t="s">
        <v>4165</v>
      </c>
      <c r="E8" s="1697" t="s">
        <v>4166</v>
      </c>
      <c r="F8" s="1697" t="s">
        <v>5500</v>
      </c>
      <c r="G8" s="1697" t="s">
        <v>4169</v>
      </c>
      <c r="H8" s="1697" t="s">
        <v>4168</v>
      </c>
      <c r="I8" s="1697" t="s">
        <v>4178</v>
      </c>
      <c r="J8" s="1697" t="s">
        <v>4179</v>
      </c>
      <c r="K8" s="1697" t="s">
        <v>4167</v>
      </c>
      <c r="L8" s="1697" t="s">
        <v>5501</v>
      </c>
      <c r="M8" s="1697" t="s">
        <v>4701</v>
      </c>
      <c r="N8" s="1697" t="s">
        <v>4702</v>
      </c>
      <c r="O8" s="1697" t="s">
        <v>4703</v>
      </c>
      <c r="P8" s="1697" t="s">
        <v>5502</v>
      </c>
      <c r="Q8" s="1697" t="s">
        <v>5503</v>
      </c>
    </row>
    <row r="9" spans="1:26">
      <c r="A9" s="9"/>
      <c r="C9" s="873" t="s">
        <v>4170</v>
      </c>
      <c r="D9" s="874" t="s">
        <v>3389</v>
      </c>
      <c r="E9" s="874" t="s">
        <v>3389</v>
      </c>
      <c r="F9" s="874" t="s">
        <v>3389</v>
      </c>
      <c r="G9" s="874" t="s">
        <v>3389</v>
      </c>
      <c r="H9" s="874" t="s">
        <v>3389</v>
      </c>
      <c r="I9" s="874" t="s">
        <v>3389</v>
      </c>
      <c r="J9" s="874" t="s">
        <v>3389</v>
      </c>
      <c r="K9" s="874" t="s">
        <v>3389</v>
      </c>
      <c r="L9" s="874" t="s">
        <v>3389</v>
      </c>
      <c r="M9" s="874" t="s">
        <v>3389</v>
      </c>
      <c r="N9" s="874" t="s">
        <v>3389</v>
      </c>
      <c r="O9" s="870">
        <f>SUM(O10:O9997)</f>
        <v>0</v>
      </c>
      <c r="P9" s="870">
        <f>SUM(P10:P9997)</f>
        <v>0</v>
      </c>
      <c r="Q9" s="961" t="s">
        <v>3389</v>
      </c>
      <c r="S9" s="2038" t="b">
        <f>AND(S10:S19)</f>
        <v>1</v>
      </c>
      <c r="T9" s="2038" t="b">
        <f>AND(T10:T19)</f>
        <v>1</v>
      </c>
      <c r="U9" s="2038" t="b">
        <f>AND(U10:U19)</f>
        <v>1</v>
      </c>
      <c r="V9" s="2038" t="b">
        <f>AND(V10:V19)</f>
        <v>1</v>
      </c>
      <c r="W9" s="2038" t="b">
        <f>AND(W10:W19)</f>
        <v>1</v>
      </c>
      <c r="X9" s="2038" t="b">
        <f t="shared" ref="X9:Z9" ca="1" si="0">AND(X10:X19)</f>
        <v>1</v>
      </c>
      <c r="Y9" s="2038" t="b">
        <f t="shared" ca="1" si="0"/>
        <v>1</v>
      </c>
      <c r="Z9" s="2038" t="b">
        <f t="shared" ca="1" si="0"/>
        <v>1</v>
      </c>
    </row>
    <row r="10" spans="1:26">
      <c r="A10" s="113" t="str">
        <f t="shared" ref="A10:A17" si="1">"R42="&amp;MID(IF(E10&lt;&gt;"",E10,D10),1,30)&amp;";R57="&amp;MID(C10,1,60)&amp;";R50="&amp;MID(F10,1,60)&amp;";R33="&amp;G10&amp;";R19="&amp;L10&amp;";R20="&amp;M10&amp;";R21="&amp;IFERROR(MID(N10,FIND("{",N10)+1,FIND("}",N10)-FIND("{",N10)-1),"")&amp;";R56="&amp;MID(I10,1,30)&amp;";R58="&amp;MID(H10,1,60)&amp;";R15="&amp;IFERROR(MID(K10,FIND("{",K10)+1,FIND("}",K10)-FIND("{",K10)-1),"")&amp;";R36="&amp;MID(E10,1,30)&amp;";R43="&amp;MID(D10,1,30)&amp;";R48="&amp;MID(J10,1,30)&amp;";R51="&amp;MID(I10,1,30)&amp;";COM="&amp;Q10</f>
        <v>R42=;R57=;R50=;R33=;R19=;R20=;R21=;R56=;R58=;R15=;R36=;R43=;R48=;R51=;COM=</v>
      </c>
      <c r="B10" s="1611"/>
      <c r="C10" s="962"/>
      <c r="D10" s="963"/>
      <c r="E10" s="963"/>
      <c r="F10" s="963"/>
      <c r="G10" s="1678" t="str">
        <f>IF(ISERROR(VLOOKUP($F10,Фин_договоры!$C$9:$U$19390,5,0)),"",VLOOKUP($F10,Фин_договоры!$C$9:$U$19390,5,0))</f>
        <v/>
      </c>
      <c r="H10" s="2878" t="str">
        <f>IF(ISERROR(VLOOKUP($F10,Фин_договоры!$C$9:$U$19390,6,0)),"",VLOOKUP($F10,Фин_договоры!$C$9:$U$19390,6,0))</f>
        <v/>
      </c>
      <c r="I10" s="2878" t="str">
        <f>IF(ISERROR(VLOOKUP($F10,Фин_договоры!$C$9:$U$19390,7,0)),"",VLOOKUP($F10,Фин_договоры!$C$9:$U$19390,7,0))</f>
        <v/>
      </c>
      <c r="J10" s="2878" t="str">
        <f>IF(ISERROR(VLOOKUP($F10,Фин_договоры!$C$9:$U$19390,8,0)),"",VLOOKUP($F10,Фин_договоры!$C$9:$U$19390,8,0))</f>
        <v/>
      </c>
      <c r="K10" s="963"/>
      <c r="L10" s="876"/>
      <c r="M10" s="876"/>
      <c r="N10" s="977"/>
      <c r="O10" s="871"/>
      <c r="P10" s="871"/>
      <c r="Q10" s="973"/>
      <c r="S10" s="2038" t="b">
        <f>IF(C10&gt;0,H10&lt;&gt;"",TRUE)</f>
        <v>1</v>
      </c>
      <c r="T10" s="2038" t="b">
        <f>IF(C10&gt;0,OR(AND($D10&lt;&gt;"",$E10=""),AND($D10="",$E10&lt;&gt;""),AND($D10&lt;&gt;"",$E10&lt;&gt;"")),TRUE)</f>
        <v>1</v>
      </c>
      <c r="U10" s="2038" t="b">
        <f>IF(F10="",TRUE,IF(F10&lt;&gt;"",AND(H10&lt;&gt;0,OR(I10&lt;&gt;0,J10&lt;&gt;0)),FALSE))</f>
        <v>1</v>
      </c>
      <c r="V10" s="2038" t="b">
        <f>IF(OR(C10="",AND(E10="10000",J10="10000")),TRUE,AND(C10&lt;&gt;H10,IF(D10="",E10&lt;&gt;J10,D10&lt;&gt;I10)))</f>
        <v>1</v>
      </c>
      <c r="W10" s="2038" t="b">
        <f>IF(F10="",TRUE,IF(F10&lt;&gt;"",AND(L10&lt;&gt;0,M10&lt;&gt;0),FALSE))</f>
        <v>1</v>
      </c>
      <c r="X10" s="2038" t="b">
        <f ca="1">IF(G10="",TRUE,IF(ISBLANK(G10),TRUE,IF(CELL("формат",G10)="D1",AND(LEN(TEXT(G10,"ДД.мм.ГГГГ"))=10,NOT(ISERR(SEARCH("??.??.????",TEXT(G10,"ДД.мм.ГГГГ"))))),AND(NOT(ISERROR(DATEVALUE(G10))),LEN(G10)=10,NOT(ISERR(SEARCH("??.??.????",TEXT(G10,"ДД.мм.ГГГГ"))))))))</f>
        <v>1</v>
      </c>
      <c r="Y10" s="2038" t="b">
        <f ca="1">IF(L10="",TRUE,IF(ISBLANK(L10),TRUE,IF(CELL("формат",L10)="D1",AND(LEN(TEXT(L10,"ДД.мм.ГГГГ"))=10,NOT(ISERR(SEARCH("??.??.????",TEXT(L10,"ДД.мм.ГГГГ"))))),AND(NOT(ISERROR(DATEVALUE(L10))),LEN(L10)=10,NOT(ISERR(SEARCH("??.??.????",TEXT(L10,"ДД.мм.ГГГГ"))))))))</f>
        <v>1</v>
      </c>
      <c r="Z10" s="2038" t="b">
        <f ca="1">IF(M10="",TRUE,IF(ISBLANK(M10),TRUE,IF(CELL("формат",M10)="D1",AND(LEN(TEXT(M10,"ДД.мм.ГГГГ"))=10,NOT(ISERR(SEARCH("??.??.????",TEXT(M10,"ДД.мм.ГГГГ"))))),AND(NOT(ISERROR(DATEVALUE(M10))),LEN(M10)=10,NOT(ISERR(SEARCH("??.??.????",TEXT(M10,"ДД.мм.ГГГГ"))))))))</f>
        <v>1</v>
      </c>
    </row>
    <row r="11" spans="1:26">
      <c r="A11" s="113" t="str">
        <f t="shared" si="1"/>
        <v>R42=;R57=;R50=;R33=;R19=;R20=;R21=;R56=;R58=;R15=;R36=;R43=;R48=;R51=;COM=</v>
      </c>
      <c r="B11" s="1611"/>
      <c r="C11" s="962"/>
      <c r="D11" s="963"/>
      <c r="E11" s="963"/>
      <c r="F11" s="963"/>
      <c r="G11" s="1678" t="str">
        <f>IF(ISERROR(VLOOKUP($F11,Фин_договоры!$C$9:$U$19390,5,0)),"",VLOOKUP($F11,Фин_договоры!$C$9:$U$19390,5,0))</f>
        <v/>
      </c>
      <c r="H11" s="2878" t="str">
        <f>IF(ISERROR(VLOOKUP($F11,Фин_договоры!$C$9:$U$19390,6,0)),"",VLOOKUP($F11,Фин_договоры!$C$9:$U$19390,6,0))</f>
        <v/>
      </c>
      <c r="I11" s="2878" t="str">
        <f>IF(ISERROR(VLOOKUP($F11,Фин_договоры!$C$9:$U$19390,7,0)),"",VLOOKUP($F11,Фин_договоры!$C$9:$U$19390,7,0))</f>
        <v/>
      </c>
      <c r="J11" s="2878" t="str">
        <f>IF(ISERROR(VLOOKUP($F11,Фин_договоры!$C$9:$U$19390,8,0)),"",VLOOKUP($F11,Фин_договоры!$C$9:$U$19390,8,0))</f>
        <v/>
      </c>
      <c r="K11" s="963"/>
      <c r="L11" s="876"/>
      <c r="M11" s="876"/>
      <c r="N11" s="977"/>
      <c r="O11" s="871"/>
      <c r="P11" s="871"/>
      <c r="Q11" s="973"/>
      <c r="S11" s="2038" t="b">
        <f t="shared" ref="S11:S17" si="2">IF(C11&gt;0,H11&lt;&gt;"",TRUE)</f>
        <v>1</v>
      </c>
      <c r="T11" s="2038" t="b">
        <f t="shared" ref="T11:T16" si="3">IF(C11&gt;0,OR(AND($D11&lt;&gt;"",$E11=""),AND($D11="",$E11&lt;&gt;""),AND($D11&lt;&gt;"",$E11&lt;&gt;"")),TRUE)</f>
        <v>1</v>
      </c>
      <c r="U11" s="2038" t="b">
        <f t="shared" ref="U11:U18" si="4">IF(F11="",TRUE,IF(F11&lt;&gt;"",AND(H11&lt;&gt;0,OR(I11&lt;&gt;0,J11&lt;&gt;0)),FALSE))</f>
        <v>1</v>
      </c>
      <c r="V11" s="2038" t="b">
        <f t="shared" ref="V11:V19" si="5">IF(OR(C11="",AND(E11="10000",J11="10000")),TRUE,AND(C11&lt;&gt;H11,IF(D11="",E11&lt;&gt;J11,D11&lt;&gt;I11)))</f>
        <v>1</v>
      </c>
      <c r="W11" s="2038" t="b">
        <f t="shared" ref="W11:W19" si="6">IF(F11="",TRUE,IF(F11&lt;&gt;"",AND(L11&lt;&gt;0,M11&lt;&gt;0),FALSE))</f>
        <v>1</v>
      </c>
      <c r="X11" s="2038" t="b">
        <f t="shared" ref="X11:X19" ca="1" si="7">IF(G11="",TRUE,IF(ISBLANK(G11),TRUE,IF(CELL("формат",G11)="D1",AND(LEN(TEXT(G11,"ДД.мм.ГГГГ"))=10,NOT(ISERR(SEARCH("??.??.????",TEXT(G11,"ДД.мм.ГГГГ"))))),AND(NOT(ISERROR(DATEVALUE(G11))),LEN(G11)=10,NOT(ISERR(SEARCH("??.??.????",TEXT(G11,"ДД.мм.ГГГГ"))))))))</f>
        <v>1</v>
      </c>
      <c r="Y11" s="2038" t="b">
        <f t="shared" ref="Y11:Y19" ca="1" si="8">IF(L11="",TRUE,IF(ISBLANK(L11),TRUE,IF(CELL("формат",L11)="D1",AND(LEN(TEXT(L11,"ДД.мм.ГГГГ"))=10,NOT(ISERR(SEARCH("??.??.????",TEXT(L11,"ДД.мм.ГГГГ"))))),AND(NOT(ISERROR(DATEVALUE(L11))),LEN(L11)=10,NOT(ISERR(SEARCH("??.??.????",TEXT(L11,"ДД.мм.ГГГГ"))))))))</f>
        <v>1</v>
      </c>
      <c r="Z11" s="2038" t="b">
        <f t="shared" ref="Z11:Z19" ca="1" si="9">IF(M11="",TRUE,IF(ISBLANK(M11),TRUE,IF(CELL("формат",M11)="D1",AND(LEN(TEXT(M11,"ДД.мм.ГГГГ"))=10,NOT(ISERR(SEARCH("??.??.????",TEXT(M11,"ДД.мм.ГГГГ"))))),AND(NOT(ISERROR(DATEVALUE(M11))),LEN(M11)=10,NOT(ISERR(SEARCH("??.??.????",TEXT(M11,"ДД.мм.ГГГГ"))))))))</f>
        <v>1</v>
      </c>
    </row>
    <row r="12" spans="1:26">
      <c r="A12" s="113" t="str">
        <f t="shared" si="1"/>
        <v>R42=;R57=;R50=;R33=;R19=;R20=;R21=;R56=;R58=;R15=;R36=;R43=;R48=;R51=;COM=</v>
      </c>
      <c r="B12" s="1611"/>
      <c r="C12" s="962"/>
      <c r="D12" s="963"/>
      <c r="E12" s="963"/>
      <c r="F12" s="963"/>
      <c r="G12" s="1678" t="str">
        <f>IF(ISERROR(VLOOKUP($F12,Фин_договоры!$C$9:$U$19390,5,0)),"",VLOOKUP($F12,Фин_договоры!$C$9:$U$19390,5,0))</f>
        <v/>
      </c>
      <c r="H12" s="2878" t="str">
        <f>IF(ISERROR(VLOOKUP($F12,Фин_договоры!$C$9:$U$19390,6,0)),"",VLOOKUP($F12,Фин_договоры!$C$9:$U$19390,6,0))</f>
        <v/>
      </c>
      <c r="I12" s="2878" t="str">
        <f>IF(ISERROR(VLOOKUP($F12,Фин_договоры!$C$9:$U$19390,7,0)),"",VLOOKUP($F12,Фин_договоры!$C$9:$U$19390,7,0))</f>
        <v/>
      </c>
      <c r="J12" s="2878" t="str">
        <f>IF(ISERROR(VLOOKUP($F12,Фин_договоры!$C$9:$U$19390,8,0)),"",VLOOKUP($F12,Фин_договоры!$C$9:$U$19390,8,0))</f>
        <v/>
      </c>
      <c r="K12" s="963"/>
      <c r="L12" s="876"/>
      <c r="M12" s="876"/>
      <c r="N12" s="977"/>
      <c r="O12" s="871"/>
      <c r="P12" s="871"/>
      <c r="Q12" s="973"/>
      <c r="S12" s="2038" t="b">
        <f t="shared" si="2"/>
        <v>1</v>
      </c>
      <c r="T12" s="2038" t="b">
        <f t="shared" si="3"/>
        <v>1</v>
      </c>
      <c r="U12" s="2038" t="b">
        <f t="shared" si="4"/>
        <v>1</v>
      </c>
      <c r="V12" s="2038" t="b">
        <f t="shared" si="5"/>
        <v>1</v>
      </c>
      <c r="W12" s="2038" t="b">
        <f t="shared" si="6"/>
        <v>1</v>
      </c>
      <c r="X12" s="2038" t="b">
        <f t="shared" ca="1" si="7"/>
        <v>1</v>
      </c>
      <c r="Y12" s="2038" t="b">
        <f t="shared" ca="1" si="8"/>
        <v>1</v>
      </c>
      <c r="Z12" s="2038" t="b">
        <f t="shared" ca="1" si="9"/>
        <v>1</v>
      </c>
    </row>
    <row r="13" spans="1:26">
      <c r="A13" s="113" t="str">
        <f t="shared" si="1"/>
        <v>R42=;R57=;R50=;R33=;R19=;R20=;R21=;R56=;R58=;R15=;R36=;R43=;R48=;R51=;COM=</v>
      </c>
      <c r="B13" s="1611"/>
      <c r="C13" s="962"/>
      <c r="D13" s="963"/>
      <c r="E13" s="963"/>
      <c r="F13" s="963"/>
      <c r="G13" s="1678" t="str">
        <f>IF(ISERROR(VLOOKUP($F13,Фин_договоры!$C$9:$U$19390,5,0)),"",VLOOKUP($F13,Фин_договоры!$C$9:$U$19390,5,0))</f>
        <v/>
      </c>
      <c r="H13" s="2878" t="str">
        <f>IF(ISERROR(VLOOKUP($F13,Фин_договоры!$C$9:$U$19390,6,0)),"",VLOOKUP($F13,Фин_договоры!$C$9:$U$19390,6,0))</f>
        <v/>
      </c>
      <c r="I13" s="2878" t="str">
        <f>IF(ISERROR(VLOOKUP($F13,Фин_договоры!$C$9:$U$19390,7,0)),"",VLOOKUP($F13,Фин_договоры!$C$9:$U$19390,7,0))</f>
        <v/>
      </c>
      <c r="J13" s="2878" t="str">
        <f>IF(ISERROR(VLOOKUP($F13,Фин_договоры!$C$9:$U$19390,8,0)),"",VLOOKUP($F13,Фин_договоры!$C$9:$U$19390,8,0))</f>
        <v/>
      </c>
      <c r="K13" s="963"/>
      <c r="L13" s="876"/>
      <c r="M13" s="876"/>
      <c r="N13" s="977"/>
      <c r="O13" s="871"/>
      <c r="P13" s="871"/>
      <c r="Q13" s="973"/>
      <c r="S13" s="2038" t="b">
        <f t="shared" si="2"/>
        <v>1</v>
      </c>
      <c r="T13" s="2038" t="b">
        <f t="shared" si="3"/>
        <v>1</v>
      </c>
      <c r="U13" s="2038" t="b">
        <f t="shared" si="4"/>
        <v>1</v>
      </c>
      <c r="V13" s="2038" t="b">
        <f t="shared" si="5"/>
        <v>1</v>
      </c>
      <c r="W13" s="2038" t="b">
        <f t="shared" si="6"/>
        <v>1</v>
      </c>
      <c r="X13" s="2038" t="b">
        <f t="shared" ca="1" si="7"/>
        <v>1</v>
      </c>
      <c r="Y13" s="2038" t="b">
        <f t="shared" ca="1" si="8"/>
        <v>1</v>
      </c>
      <c r="Z13" s="2038" t="b">
        <f t="shared" ca="1" si="9"/>
        <v>1</v>
      </c>
    </row>
    <row r="14" spans="1:26">
      <c r="A14" s="113" t="str">
        <f t="shared" si="1"/>
        <v>R42=;R57=;R50=;R33=;R19=;R20=;R21=;R56=;R58=;R15=;R36=;R43=;R48=;R51=;COM=</v>
      </c>
      <c r="B14" s="1611"/>
      <c r="C14" s="962"/>
      <c r="D14" s="963"/>
      <c r="E14" s="963"/>
      <c r="F14" s="963"/>
      <c r="G14" s="1678" t="str">
        <f>IF(ISERROR(VLOOKUP($F14,Фин_договоры!$C$9:$U$19390,5,0)),"",VLOOKUP($F14,Фин_договоры!$C$9:$U$19390,5,0))</f>
        <v/>
      </c>
      <c r="H14" s="2878" t="str">
        <f>IF(ISERROR(VLOOKUP($F14,Фин_договоры!$C$9:$U$19390,6,0)),"",VLOOKUP($F14,Фин_договоры!$C$9:$U$19390,6,0))</f>
        <v/>
      </c>
      <c r="I14" s="2878" t="str">
        <f>IF(ISERROR(VLOOKUP($F14,Фин_договоры!$C$9:$U$19390,7,0)),"",VLOOKUP($F14,Фин_договоры!$C$9:$U$19390,7,0))</f>
        <v/>
      </c>
      <c r="J14" s="2878" t="str">
        <f>IF(ISERROR(VLOOKUP($F14,Фин_договоры!$C$9:$U$19390,8,0)),"",VLOOKUP($F14,Фин_договоры!$C$9:$U$19390,8,0))</f>
        <v/>
      </c>
      <c r="K14" s="963"/>
      <c r="L14" s="876"/>
      <c r="M14" s="876"/>
      <c r="N14" s="977"/>
      <c r="O14" s="871"/>
      <c r="P14" s="871"/>
      <c r="Q14" s="973"/>
      <c r="S14" s="2038" t="b">
        <f t="shared" si="2"/>
        <v>1</v>
      </c>
      <c r="T14" s="2038" t="b">
        <f t="shared" si="3"/>
        <v>1</v>
      </c>
      <c r="U14" s="2038" t="b">
        <f t="shared" si="4"/>
        <v>1</v>
      </c>
      <c r="V14" s="2038" t="b">
        <f t="shared" si="5"/>
        <v>1</v>
      </c>
      <c r="W14" s="2038" t="b">
        <f t="shared" si="6"/>
        <v>1</v>
      </c>
      <c r="X14" s="2038" t="b">
        <f t="shared" ca="1" si="7"/>
        <v>1</v>
      </c>
      <c r="Y14" s="2038" t="b">
        <f t="shared" ca="1" si="8"/>
        <v>1</v>
      </c>
      <c r="Z14" s="2038" t="b">
        <f t="shared" ca="1" si="9"/>
        <v>1</v>
      </c>
    </row>
    <row r="15" spans="1:26">
      <c r="A15" s="113" t="str">
        <f t="shared" si="1"/>
        <v>R42=;R57=;R50=;R33=;R19=;R20=;R21=;R56=;R58=;R15=;R36=;R43=;R48=;R51=;COM=</v>
      </c>
      <c r="B15" s="1611"/>
      <c r="C15" s="962"/>
      <c r="D15" s="963"/>
      <c r="E15" s="963"/>
      <c r="F15" s="963"/>
      <c r="G15" s="1678" t="str">
        <f>IF(ISERROR(VLOOKUP($F15,Фин_договоры!$C$9:$U$19390,5,0)),"",VLOOKUP($F15,Фин_договоры!$C$9:$U$19390,5,0))</f>
        <v/>
      </c>
      <c r="H15" s="2878" t="str">
        <f>IF(ISERROR(VLOOKUP($F15,Фин_договоры!$C$9:$U$19390,6,0)),"",VLOOKUP($F15,Фин_договоры!$C$9:$U$19390,6,0))</f>
        <v/>
      </c>
      <c r="I15" s="2878" t="str">
        <f>IF(ISERROR(VLOOKUP($F15,Фин_договоры!$C$9:$U$19390,7,0)),"",VLOOKUP($F15,Фин_договоры!$C$9:$U$19390,7,0))</f>
        <v/>
      </c>
      <c r="J15" s="2878" t="str">
        <f>IF(ISERROR(VLOOKUP($F15,Фин_договоры!$C$9:$U$19390,8,0)),"",VLOOKUP($F15,Фин_договоры!$C$9:$U$19390,8,0))</f>
        <v/>
      </c>
      <c r="K15" s="963"/>
      <c r="L15" s="876"/>
      <c r="M15" s="876"/>
      <c r="N15" s="977"/>
      <c r="O15" s="871"/>
      <c r="P15" s="871"/>
      <c r="Q15" s="973"/>
      <c r="S15" s="2038" t="b">
        <f t="shared" si="2"/>
        <v>1</v>
      </c>
      <c r="T15" s="2038" t="b">
        <f t="shared" si="3"/>
        <v>1</v>
      </c>
      <c r="U15" s="2038" t="b">
        <f t="shared" si="4"/>
        <v>1</v>
      </c>
      <c r="V15" s="2038" t="b">
        <f t="shared" si="5"/>
        <v>1</v>
      </c>
      <c r="W15" s="2038" t="b">
        <f t="shared" si="6"/>
        <v>1</v>
      </c>
      <c r="X15" s="2038" t="b">
        <f t="shared" ca="1" si="7"/>
        <v>1</v>
      </c>
      <c r="Y15" s="2038" t="b">
        <f t="shared" ca="1" si="8"/>
        <v>1</v>
      </c>
      <c r="Z15" s="2038" t="b">
        <f t="shared" ca="1" si="9"/>
        <v>1</v>
      </c>
    </row>
    <row r="16" spans="1:26" s="2422" customFormat="1">
      <c r="A16" s="113" t="str">
        <f t="shared" si="1"/>
        <v>R42=;R57=;R50=;R33=;R19=;R20=;R21=;R56=;R58=;R15=;R36=;R43=;R48=;R51=;COM=</v>
      </c>
      <c r="B16" s="1611"/>
      <c r="C16" s="962"/>
      <c r="D16" s="963"/>
      <c r="E16" s="963"/>
      <c r="F16" s="963"/>
      <c r="G16" s="1678" t="str">
        <f>IF(ISERROR(VLOOKUP($F16,Фин_договоры!$C$9:$U$19390,5,0)),"",VLOOKUP($F16,Фин_договоры!$C$9:$U$19390,5,0))</f>
        <v/>
      </c>
      <c r="H16" s="2878" t="str">
        <f>IF(ISERROR(VLOOKUP($F16,Фин_договоры!$C$9:$U$19390,6,0)),"",VLOOKUP($F16,Фин_договоры!$C$9:$U$19390,6,0))</f>
        <v/>
      </c>
      <c r="I16" s="2878" t="str">
        <f>IF(ISERROR(VLOOKUP($F16,Фин_договоры!$C$9:$U$19390,7,0)),"",VLOOKUP($F16,Фин_договоры!$C$9:$U$19390,7,0))</f>
        <v/>
      </c>
      <c r="J16" s="2878" t="str">
        <f>IF(ISERROR(VLOOKUP($F16,Фин_договоры!$C$9:$U$19390,8,0)),"",VLOOKUP($F16,Фин_договоры!$C$9:$U$19390,8,0))</f>
        <v/>
      </c>
      <c r="K16" s="963"/>
      <c r="L16" s="876"/>
      <c r="M16" s="876"/>
      <c r="N16" s="977"/>
      <c r="O16" s="871"/>
      <c r="P16" s="871"/>
      <c r="Q16" s="973"/>
      <c r="S16" s="2038" t="b">
        <f>IF(C16&gt;0,H16&lt;&gt;"",TRUE)</f>
        <v>1</v>
      </c>
      <c r="T16" s="2038" t="b">
        <f t="shared" si="3"/>
        <v>1</v>
      </c>
      <c r="U16" s="2038" t="b">
        <f t="shared" si="4"/>
        <v>1</v>
      </c>
      <c r="V16" s="2038" t="b">
        <f t="shared" si="5"/>
        <v>1</v>
      </c>
      <c r="W16" s="2038" t="b">
        <f t="shared" si="6"/>
        <v>1</v>
      </c>
      <c r="X16" s="2038" t="b">
        <f t="shared" ca="1" si="7"/>
        <v>1</v>
      </c>
      <c r="Y16" s="2038" t="b">
        <f t="shared" ca="1" si="8"/>
        <v>1</v>
      </c>
      <c r="Z16" s="2038" t="b">
        <f t="shared" ca="1" si="9"/>
        <v>1</v>
      </c>
    </row>
    <row r="17" spans="1:26" s="2830" customFormat="1">
      <c r="A17" s="113" t="str">
        <f t="shared" si="1"/>
        <v>R42=;R57=;R50=;R33=;R19=;R20=;R21=;R56=;R58=;R15=;R36=;R43=;R48=;R51=;COM=</v>
      </c>
      <c r="B17" s="1611"/>
      <c r="C17" s="962"/>
      <c r="D17" s="963"/>
      <c r="E17" s="963"/>
      <c r="F17" s="963"/>
      <c r="G17" s="1678" t="str">
        <f>IF(ISERROR(VLOOKUP($F17,Фин_договоры!$C$9:$U$19390,5,0)),"",VLOOKUP($F17,Фин_договоры!$C$9:$U$19390,5,0))</f>
        <v/>
      </c>
      <c r="H17" s="2878" t="str">
        <f>IF(ISERROR(VLOOKUP($F17,Фин_договоры!$C$9:$U$19390,6,0)),"",VLOOKUP($F17,Фин_договоры!$C$9:$U$19390,6,0))</f>
        <v/>
      </c>
      <c r="I17" s="2878" t="str">
        <f>IF(ISERROR(VLOOKUP($F17,Фин_договоры!$C$9:$U$19390,7,0)),"",VLOOKUP($F17,Фин_договоры!$C$9:$U$19390,7,0))</f>
        <v/>
      </c>
      <c r="J17" s="2878" t="str">
        <f>IF(ISERROR(VLOOKUP($F17,Фин_договоры!$C$9:$U$19390,8,0)),"",VLOOKUP($F17,Фин_договоры!$C$9:$U$19390,8,0))</f>
        <v/>
      </c>
      <c r="K17" s="963"/>
      <c r="L17" s="876"/>
      <c r="M17" s="876"/>
      <c r="N17" s="977"/>
      <c r="O17" s="871"/>
      <c r="P17" s="871"/>
      <c r="Q17" s="973"/>
      <c r="S17" s="2038" t="b">
        <f t="shared" si="2"/>
        <v>1</v>
      </c>
      <c r="T17" s="2038" t="b">
        <f t="shared" ref="T17" si="10">IF(C17&gt;0,OR(AND($D17&lt;&gt;"",$E17=""),AND($D17="",$E17&lt;&gt;""),AND($D17&lt;&gt;"",$E17&lt;&gt;"")),TRUE)</f>
        <v>1</v>
      </c>
      <c r="U17" s="2038" t="b">
        <f t="shared" si="4"/>
        <v>1</v>
      </c>
      <c r="V17" s="2038" t="b">
        <f t="shared" si="5"/>
        <v>1</v>
      </c>
      <c r="W17" s="2038" t="b">
        <f t="shared" si="6"/>
        <v>1</v>
      </c>
      <c r="X17" s="2038" t="b">
        <f t="shared" ca="1" si="7"/>
        <v>1</v>
      </c>
      <c r="Y17" s="2038" t="b">
        <f t="shared" ca="1" si="8"/>
        <v>1</v>
      </c>
      <c r="Z17" s="2038" t="b">
        <f t="shared" ca="1" si="9"/>
        <v>1</v>
      </c>
    </row>
    <row r="18" spans="1:26" s="2830" customFormat="1">
      <c r="A18" s="113" t="str">
        <f t="shared" ref="A18" si="11">"R42="&amp;MID(IF(E18&lt;&gt;"",E18,D18),1,30)&amp;";R57="&amp;MID(C18,1,60)&amp;";R50="&amp;MID(F18,1,60)&amp;";R33="&amp;G18&amp;";R19="&amp;L18&amp;";R20="&amp;M18&amp;";R21="&amp;IFERROR(MID(N18,FIND("{",N18)+1,FIND("}",N18)-FIND("{",N18)-1),"")&amp;";R56="&amp;MID(I18,1,30)&amp;";R58="&amp;MID(H18,1,60)&amp;";R15="&amp;IFERROR(MID(K18,FIND("{",K18)+1,FIND("}",K18)-FIND("{",K18)-1),"")&amp;";R36="&amp;MID(E18,1,30)&amp;";R43="&amp;MID(D18,1,30)&amp;";R48="&amp;MID(J18,1,30)&amp;";R51="&amp;MID(I18,1,30)&amp;";COM="&amp;Q18</f>
        <v>R42=;R57=;R50=;R33=;R19=;R20=;R21=;R56=;R58=;R15=;R36=;R43=;R48=;R51=;COM=</v>
      </c>
      <c r="B18" s="1611"/>
      <c r="C18" s="962"/>
      <c r="D18" s="963"/>
      <c r="E18" s="963"/>
      <c r="F18" s="963"/>
      <c r="G18" s="1678" t="str">
        <f>IF(ISERROR(VLOOKUP($F18,Фин_договоры!$C$9:$U$19390,5,0)),"",VLOOKUP($F18,Фин_договоры!$C$9:$U$19390,5,0))</f>
        <v/>
      </c>
      <c r="H18" s="2878" t="str">
        <f>IF(ISERROR(VLOOKUP($F18,Фин_договоры!$C$9:$U$19390,6,0)),"",VLOOKUP($F18,Фин_договоры!$C$9:$U$19390,6,0))</f>
        <v/>
      </c>
      <c r="I18" s="2878" t="str">
        <f>IF(ISERROR(VLOOKUP($F18,Фин_договоры!$C$9:$U$19390,7,0)),"",VLOOKUP($F18,Фин_договоры!$C$9:$U$19390,7,0))</f>
        <v/>
      </c>
      <c r="J18" s="2878" t="str">
        <f>IF(ISERROR(VLOOKUP($F18,Фин_договоры!$C$9:$U$19390,8,0)),"",VLOOKUP($F18,Фин_договоры!$C$9:$U$19390,8,0))</f>
        <v/>
      </c>
      <c r="K18" s="963"/>
      <c r="L18" s="876"/>
      <c r="M18" s="876"/>
      <c r="N18" s="977"/>
      <c r="O18" s="871"/>
      <c r="P18" s="871"/>
      <c r="Q18" s="973"/>
      <c r="S18" s="2038" t="b">
        <f t="shared" ref="S18" si="12">IF(C18&gt;0,H18&lt;&gt;"",TRUE)</f>
        <v>1</v>
      </c>
      <c r="T18" s="2038" t="b">
        <f t="shared" ref="T18" si="13">IF(C18&gt;0,OR(AND($D18&lt;&gt;"",$E18=""),AND($D18="",$E18&lt;&gt;""),AND($D18&lt;&gt;"",$E18&lt;&gt;"")),TRUE)</f>
        <v>1</v>
      </c>
      <c r="U18" s="2038" t="b">
        <f t="shared" si="4"/>
        <v>1</v>
      </c>
      <c r="V18" s="2038" t="b">
        <f t="shared" si="5"/>
        <v>1</v>
      </c>
      <c r="W18" s="2038" t="b">
        <f t="shared" si="6"/>
        <v>1</v>
      </c>
      <c r="X18" s="2038" t="b">
        <f t="shared" ca="1" si="7"/>
        <v>1</v>
      </c>
      <c r="Y18" s="2038" t="b">
        <f t="shared" ca="1" si="8"/>
        <v>1</v>
      </c>
      <c r="Z18" s="2038" t="b">
        <f t="shared" ca="1" si="9"/>
        <v>1</v>
      </c>
    </row>
    <row r="19" spans="1:26" s="2830" customFormat="1" ht="15" thickBot="1">
      <c r="A19" s="113" t="str">
        <f t="shared" ref="A19" si="14">"R42="&amp;MID(IF(E19&lt;&gt;"",E19,D19),1,30)&amp;";R57="&amp;MID(C19,1,60)&amp;";R50="&amp;MID(F19,1,60)&amp;";R33="&amp;G19&amp;";R19="&amp;L19&amp;";R20="&amp;M19&amp;";R21="&amp;IFERROR(MID(N19,FIND("{",N19)+1,FIND("}",N19)-FIND("{",N19)-1),"")&amp;";R56="&amp;MID(I19,1,30)&amp;";R58="&amp;MID(H19,1,60)&amp;";R15="&amp;IFERROR(MID(K19,FIND("{",K19)+1,FIND("}",K19)-FIND("{",K19)-1),"")&amp;";R36="&amp;MID(E19,1,30)&amp;";R43="&amp;MID(D19,1,30)&amp;";R48="&amp;MID(J19,1,30)&amp;";R51="&amp;MID(I19,1,30)&amp;";COM="&amp;Q19</f>
        <v>R42=;R57=;R50=;R33=;R19=;R20=;R21=;R56=;R58=;R15=;R36=;R43=;R48=;R51=;COM=</v>
      </c>
      <c r="B19" s="1611"/>
      <c r="C19" s="974"/>
      <c r="D19" s="975"/>
      <c r="E19" s="975"/>
      <c r="F19" s="2906"/>
      <c r="G19" s="2907" t="str">
        <f>IF(ISERROR(VLOOKUP($F19,Фин_договоры!$C$9:$U$19390,5,0)),"",VLOOKUP($F19,Фин_договоры!$C$9:$U$19390,5,0))</f>
        <v/>
      </c>
      <c r="H19" s="2908" t="str">
        <f>IF(ISERROR(VLOOKUP($F19,Фин_договоры!$C$9:$U$19390,6,0)),"",VLOOKUP($F19,Фин_договоры!$C$9:$U$19390,6,0))</f>
        <v/>
      </c>
      <c r="I19" s="2908" t="str">
        <f>IF(ISERROR(VLOOKUP($F19,Фин_договоры!$C$9:$U$19390,7,0)),"",VLOOKUP($F19,Фин_договоры!$C$9:$U$19390,7,0))</f>
        <v/>
      </c>
      <c r="J19" s="2908" t="str">
        <f>IF(ISERROR(VLOOKUP($F19,Фин_договоры!$C$9:$U$19390,8,0)),"",VLOOKUP($F19,Фин_договоры!$C$9:$U$19390,8,0))</f>
        <v/>
      </c>
      <c r="K19" s="975"/>
      <c r="L19" s="878"/>
      <c r="M19" s="878"/>
      <c r="N19" s="872"/>
      <c r="O19" s="872"/>
      <c r="P19" s="872"/>
      <c r="Q19" s="976"/>
      <c r="S19" s="2038" t="b">
        <f t="shared" ref="S19" si="15">IF(C19&gt;0,H19&lt;&gt;"",TRUE)</f>
        <v>1</v>
      </c>
      <c r="T19" s="2038" t="b">
        <f t="shared" ref="T19" si="16">IF(C19&gt;0,OR(AND($D19&lt;&gt;"",$E19=""),AND($D19="",$E19&lt;&gt;""),AND($D19&lt;&gt;"",$E19&lt;&gt;"")),TRUE)</f>
        <v>1</v>
      </c>
      <c r="U19" s="2038" t="b">
        <f t="shared" ref="U19" si="17">IF(F19="",TRUE,IF(F19&lt;&gt;"",AND(H19&lt;&gt;0,OR(I19&lt;&gt;0,J19&lt;&gt;0)),FALSE))</f>
        <v>1</v>
      </c>
      <c r="V19" s="2038" t="b">
        <f t="shared" si="5"/>
        <v>1</v>
      </c>
      <c r="W19" s="2038" t="b">
        <f t="shared" si="6"/>
        <v>1</v>
      </c>
      <c r="X19" s="2038" t="b">
        <f t="shared" ca="1" si="7"/>
        <v>1</v>
      </c>
      <c r="Y19" s="2038" t="b">
        <f t="shared" ca="1" si="8"/>
        <v>1</v>
      </c>
      <c r="Z19" s="2038" t="b">
        <f t="shared" ca="1" si="9"/>
        <v>1</v>
      </c>
    </row>
  </sheetData>
  <sheetProtection algorithmName="SHA-512" hashValue="d2YO318ebc+MeGmZt5/s/A3+19cVA8yT40Y7dQ8x6eOFtt+rjiRtZ9Q7+hGVGkOV9dKJodBgkkypFtfTjGbe+Q==" saltValue="1GzHwT5LYlAM8goeCedQBQ==" spinCount="100000" sheet="1" objects="1" scenarios="1" formatColumns="0" formatRows="0" autoFilter="0"/>
  <autoFilter ref="C8:Z8"/>
  <customSheetViews>
    <customSheetView guid="{3769259D-9653-4B34-A2F6-4FB6F9F4E533}" showGridLines="0" showAutoFilter="1" hiddenRows="1" hiddenColumns="1">
      <pane xSplit="6" ySplit="8" topLeftCell="G9" activePane="bottomRight" state="frozen"/>
      <selection pane="bottomRight" activeCell="C16" sqref="C16"/>
      <pageMargins left="0.7" right="0.7" top="0.75" bottom="0.75" header="0.3" footer="0.3"/>
      <autoFilter ref="B1:N1"/>
    </customSheetView>
    <customSheetView guid="{40D7A2BB-326C-4ED3-999C-17852F56D6F4}" showGridLines="0" showAutoFilter="1" hiddenRows="1" hiddenColumns="1">
      <pane xSplit="6" ySplit="8" topLeftCell="G9" activePane="bottomRight" state="frozen"/>
      <selection pane="bottomRight" activeCell="C16" sqref="C16"/>
      <pageMargins left="0.7" right="0.7" top="0.75" bottom="0.75" header="0.3" footer="0.3"/>
      <autoFilter ref="B1:N1"/>
    </customSheetView>
    <customSheetView guid="{5D121940-0CE8-4A0E-A493-67FAAA6E0FF8}" showGridLines="0" showAutoFilter="1" hiddenRows="1" hiddenColumns="1" topLeftCell="B2">
      <pane xSplit="5" ySplit="7" topLeftCell="J9" activePane="bottomRight" state="frozen"/>
      <selection pane="bottomRight" activeCell="C8" sqref="C8:O8"/>
      <pageMargins left="0.7" right="0.7" top="0.75" bottom="0.75" header="0.3" footer="0.3"/>
      <autoFilter ref="B1:N1"/>
    </customSheetView>
    <customSheetView guid="{47AEACC4-6EA5-412C-AF39-A6C5357B313A}" showGridLines="0" showAutoFilter="1" hiddenRows="1" hiddenColumns="1" topLeftCell="B2">
      <pane xSplit="5" ySplit="7" topLeftCell="G9" activePane="bottomRight" state="frozen"/>
      <selection pane="bottomRight" activeCell="B2" sqref="A2:IV2"/>
      <pageMargins left="0.7" right="0.7" top="0.75" bottom="0.75" header="0.3" footer="0.3"/>
      <autoFilter ref="B1:N1"/>
    </customSheetView>
    <customSheetView guid="{4D957B38-5430-481E-B791-E0A66F913B50}" scale="70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5" ySplit="7" topLeftCell="J9" activePane="bottomRight" state="frozen"/>
      <selection pane="bottomRight" activeCell="C8" sqref="C8:O8"/>
      <pageMargins left="0.7" right="0.7" top="0.75" bottom="0.75" header="0.3" footer="0.3"/>
      <autoFilter ref="B1:N1"/>
    </customSheetView>
  </customSheetViews>
  <mergeCells count="14">
    <mergeCell ref="H5:H6"/>
    <mergeCell ref="C5:C6"/>
    <mergeCell ref="D5:D6"/>
    <mergeCell ref="F5:F6"/>
    <mergeCell ref="G5:G6"/>
    <mergeCell ref="E5:E6"/>
    <mergeCell ref="X5:Z5"/>
    <mergeCell ref="Q5:Q6"/>
    <mergeCell ref="I5:I6"/>
    <mergeCell ref="K5:K6"/>
    <mergeCell ref="O5:P5"/>
    <mergeCell ref="L5:M5"/>
    <mergeCell ref="N5:N6"/>
    <mergeCell ref="J5:J6"/>
  </mergeCells>
  <phoneticPr fontId="0" type="noConversion"/>
  <dataValidations count="5">
    <dataValidation operator="equal" allowBlank="1" showInputMessage="1" prompt="Дата в формате ДД.ММ.ГГГГ (01.01.2010)" sqref="L10:M19">
      <formula1>0</formula1>
      <formula2>0</formula2>
    </dataValidation>
    <dataValidation operator="equal" allowBlank="1" showErrorMessage="1" errorTitle="Ошибка" error="Вы должны ввести целое число" sqref="C3">
      <formula1>0</formula1>
      <formula2>0</formula2>
    </dataValidation>
    <dataValidation type="list" allowBlank="1" showInputMessage="1" showErrorMessage="1" sqref="N10:N19">
      <formula1>_9073</formula1>
    </dataValidation>
    <dataValidation type="list" showInputMessage="1" showErrorMessage="1" sqref="F10:F19">
      <formula1>dogovor_fin</formula1>
    </dataValidation>
    <dataValidation type="custom" showInputMessage="1" showErrorMessage="1" error="Не заполнять колонку, будет удалена в 2020г" sqref="K10:K19">
      <formula1>W9</formula1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7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Button 1">
              <controlPr defaultSize="0" print="0" autoFill="0" autoPict="0" macro="[0]!AddButtonsRowAdd">
                <anchor moveWithCells="1">
                  <from>
                    <xdr:col>6</xdr:col>
                    <xdr:colOff>38100</xdr:colOff>
                    <xdr:row>1</xdr:row>
                    <xdr:rowOff>184150</xdr:rowOff>
                  </from>
                  <to>
                    <xdr:col>6</xdr:col>
                    <xdr:colOff>1479550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6">
    <pageSetUpPr fitToPage="1"/>
  </sheetPr>
  <dimension ref="A1:AC37"/>
  <sheetViews>
    <sheetView topLeftCell="B2" zoomScale="84" zoomScaleNormal="84" workbookViewId="0">
      <selection activeCell="U11" sqref="U11"/>
    </sheetView>
  </sheetViews>
  <sheetFormatPr defaultColWidth="18.54296875" defaultRowHeight="14.5"/>
  <cols>
    <col min="1" max="1" width="29.453125" style="1163" hidden="1" customWidth="1"/>
    <col min="2" max="2" width="8.453125" style="32" customWidth="1"/>
    <col min="3" max="3" width="50" style="32" customWidth="1"/>
    <col min="4" max="21" width="18.54296875" style="32"/>
    <col min="22" max="22" width="0" style="32" hidden="1" customWidth="1"/>
    <col min="23" max="23" width="19.453125" style="32" customWidth="1"/>
    <col min="24" max="26" width="18.54296875" style="32"/>
    <col min="27" max="27" width="19.453125" style="32" customWidth="1"/>
    <col min="28" max="28" width="18.54296875" style="32"/>
    <col min="29" max="29" width="24.453125" style="32" customWidth="1"/>
    <col min="30" max="16384" width="18.54296875" style="32"/>
  </cols>
  <sheetData>
    <row r="1" spans="1:29" s="1163" customFormat="1" ht="14.25" hidden="1" customHeight="1">
      <c r="A1" s="167" t="s">
        <v>2836</v>
      </c>
      <c r="B1" s="5"/>
      <c r="C1" s="5"/>
      <c r="D1" s="6"/>
      <c r="E1" s="6"/>
      <c r="F1" s="6" t="s">
        <v>1061</v>
      </c>
      <c r="G1" s="6" t="s">
        <v>1062</v>
      </c>
      <c r="H1" s="6" t="s">
        <v>1063</v>
      </c>
      <c r="I1" s="6" t="s">
        <v>1064</v>
      </c>
      <c r="J1" s="6" t="s">
        <v>1065</v>
      </c>
      <c r="K1" s="6" t="s">
        <v>1066</v>
      </c>
      <c r="L1" s="6" t="s">
        <v>1067</v>
      </c>
      <c r="M1" s="6" t="s">
        <v>1068</v>
      </c>
      <c r="N1" s="6" t="s">
        <v>1069</v>
      </c>
      <c r="O1" s="6" t="s">
        <v>1070</v>
      </c>
      <c r="P1" s="6" t="s">
        <v>1071</v>
      </c>
      <c r="Q1" s="6"/>
      <c r="R1" s="6" t="s">
        <v>1072</v>
      </c>
      <c r="S1" s="6" t="s">
        <v>1073</v>
      </c>
    </row>
    <row r="2" spans="1:29" s="2137" customFormat="1">
      <c r="A2" s="2267"/>
      <c r="B2" s="2268"/>
      <c r="C2" s="2268"/>
      <c r="D2" s="2268"/>
      <c r="E2" s="2268"/>
      <c r="F2" s="2268" t="s">
        <v>1648</v>
      </c>
      <c r="G2" s="2268" t="s">
        <v>1648</v>
      </c>
      <c r="H2" s="2268" t="s">
        <v>1648</v>
      </c>
      <c r="I2" s="2268" t="s">
        <v>1648</v>
      </c>
      <c r="J2" s="2268" t="s">
        <v>1648</v>
      </c>
      <c r="K2" s="2268" t="s">
        <v>1648</v>
      </c>
      <c r="L2" s="2268" t="s">
        <v>1648</v>
      </c>
      <c r="M2" s="2268" t="s">
        <v>1648</v>
      </c>
      <c r="N2" s="2268" t="s">
        <v>1648</v>
      </c>
      <c r="O2" s="2268" t="s">
        <v>1648</v>
      </c>
      <c r="P2" s="2268" t="s">
        <v>1648</v>
      </c>
      <c r="Q2" s="2268"/>
      <c r="R2" s="2268" t="s">
        <v>1648</v>
      </c>
      <c r="S2" s="2268" t="s">
        <v>1648</v>
      </c>
    </row>
    <row r="3" spans="1:29">
      <c r="A3" s="741"/>
    </row>
    <row r="4" spans="1:29" s="24" customFormat="1" ht="26">
      <c r="A4" s="9"/>
      <c r="C4" s="105" t="s">
        <v>4075</v>
      </c>
      <c r="F4"/>
      <c r="G4" s="1897" t="s">
        <v>2067</v>
      </c>
      <c r="H4" s="1244">
        <f>Содержание!$D$2</f>
        <v>0</v>
      </c>
    </row>
    <row r="5" spans="1:29" s="24" customFormat="1" ht="15" thickBot="1">
      <c r="A5" s="9"/>
      <c r="C5"/>
      <c r="F5" s="3044" t="s">
        <v>1436</v>
      </c>
      <c r="G5" s="1897" t="s">
        <v>2075</v>
      </c>
      <c r="H5" s="1244" t="str">
        <f>Содержание!$D$15</f>
        <v>2022 год</v>
      </c>
    </row>
    <row r="6" spans="1:29" s="24" customFormat="1" ht="47.25" customHeight="1">
      <c r="A6" s="9"/>
      <c r="C6" s="85" t="s">
        <v>4090</v>
      </c>
      <c r="D6" s="28" t="s">
        <v>4664</v>
      </c>
      <c r="E6" s="28" t="s">
        <v>5225</v>
      </c>
      <c r="F6" s="28" t="s">
        <v>4081</v>
      </c>
      <c r="G6" s="28" t="s">
        <v>5396</v>
      </c>
      <c r="H6" s="28" t="s">
        <v>5497</v>
      </c>
      <c r="I6" s="28" t="s">
        <v>2820</v>
      </c>
      <c r="J6" s="713" t="s">
        <v>5391</v>
      </c>
      <c r="K6" s="28" t="s">
        <v>5498</v>
      </c>
      <c r="L6" s="28" t="s">
        <v>4076</v>
      </c>
      <c r="M6" s="28" t="s">
        <v>4077</v>
      </c>
      <c r="N6" s="28" t="s">
        <v>4078</v>
      </c>
      <c r="O6" s="28" t="s">
        <v>4079</v>
      </c>
      <c r="P6" s="28" t="s">
        <v>5524</v>
      </c>
      <c r="Q6" s="28" t="s">
        <v>4080</v>
      </c>
      <c r="R6" s="28" t="s">
        <v>4081</v>
      </c>
      <c r="S6" s="28" t="s">
        <v>5396</v>
      </c>
      <c r="T6" s="82" t="s">
        <v>3401</v>
      </c>
    </row>
    <row r="7" spans="1:29" s="24" customFormat="1" ht="26">
      <c r="A7" s="9"/>
      <c r="C7" s="832">
        <v>10022</v>
      </c>
      <c r="D7" s="833" t="s">
        <v>5250</v>
      </c>
      <c r="E7" s="984" t="s">
        <v>674</v>
      </c>
      <c r="F7" s="984" t="s">
        <v>4142</v>
      </c>
      <c r="G7" s="984" t="s">
        <v>4142</v>
      </c>
      <c r="H7" s="984" t="s">
        <v>4082</v>
      </c>
      <c r="I7" s="984" t="s">
        <v>3961</v>
      </c>
      <c r="J7" s="984" t="s">
        <v>4083</v>
      </c>
      <c r="K7" s="984" t="s">
        <v>4074</v>
      </c>
      <c r="L7" s="984" t="s">
        <v>4084</v>
      </c>
      <c r="M7" s="984" t="s">
        <v>4085</v>
      </c>
      <c r="N7" s="984" t="s">
        <v>4086</v>
      </c>
      <c r="O7" s="984" t="s">
        <v>4087</v>
      </c>
      <c r="P7" s="984" t="s">
        <v>4088</v>
      </c>
      <c r="Q7" s="984" t="s">
        <v>694</v>
      </c>
      <c r="R7" s="984" t="s">
        <v>4142</v>
      </c>
      <c r="S7" s="984" t="s">
        <v>4142</v>
      </c>
      <c r="T7" s="985"/>
      <c r="W7" s="2276" t="s">
        <v>6113</v>
      </c>
      <c r="X7" s="2276"/>
      <c r="Y7" s="698"/>
      <c r="Z7" s="698"/>
    </row>
    <row r="8" spans="1:29" s="698" customFormat="1" ht="12.75" customHeight="1" thickBot="1">
      <c r="A8" s="668"/>
      <c r="C8" s="1348" t="s">
        <v>4164</v>
      </c>
      <c r="D8" s="1348" t="s">
        <v>4165</v>
      </c>
      <c r="E8" s="1348" t="s">
        <v>4166</v>
      </c>
      <c r="F8" s="1348" t="s">
        <v>5500</v>
      </c>
      <c r="G8" s="1348" t="s">
        <v>4169</v>
      </c>
      <c r="H8" s="1348" t="s">
        <v>4168</v>
      </c>
      <c r="I8" s="1348" t="s">
        <v>4178</v>
      </c>
      <c r="J8" s="1348" t="s">
        <v>4179</v>
      </c>
      <c r="K8" s="1348" t="s">
        <v>4167</v>
      </c>
      <c r="L8" s="1348" t="s">
        <v>5501</v>
      </c>
      <c r="M8" s="1348" t="s">
        <v>4701</v>
      </c>
      <c r="N8" s="1348" t="s">
        <v>4702</v>
      </c>
      <c r="O8" s="1348" t="s">
        <v>4703</v>
      </c>
      <c r="P8" s="1348" t="s">
        <v>5502</v>
      </c>
      <c r="Q8" s="1348" t="s">
        <v>5503</v>
      </c>
      <c r="R8" s="1348" t="s">
        <v>5504</v>
      </c>
      <c r="S8" s="1348" t="s">
        <v>4853</v>
      </c>
      <c r="T8" s="1348" t="s">
        <v>4852</v>
      </c>
      <c r="U8" s="3614" t="b">
        <f>AND(U11:U5000)</f>
        <v>1</v>
      </c>
      <c r="W8" s="3889" t="s">
        <v>1756</v>
      </c>
      <c r="X8" s="3890"/>
      <c r="Y8" s="2274" t="b">
        <f>AND(Y11:Y5000)</f>
        <v>1</v>
      </c>
      <c r="Z8" s="2284" t="b">
        <f>AND(Z11:Z5000)</f>
        <v>1</v>
      </c>
      <c r="AC8" s="2798" t="b">
        <f>AND(AC11:AC5000)</f>
        <v>1</v>
      </c>
    </row>
    <row r="9" spans="1:29" s="24" customFormat="1" ht="39.75" customHeight="1">
      <c r="A9" s="9"/>
      <c r="B9" s="187"/>
      <c r="C9" s="978" t="s">
        <v>4170</v>
      </c>
      <c r="D9" s="979" t="s">
        <v>4184</v>
      </c>
      <c r="E9" s="1344">
        <f t="shared" ref="E9:S9" si="0">SUM(E10:E9996)</f>
        <v>0</v>
      </c>
      <c r="F9" s="1344">
        <f t="shared" si="0"/>
        <v>0</v>
      </c>
      <c r="G9" s="1344">
        <f t="shared" si="0"/>
        <v>0</v>
      </c>
      <c r="H9" s="1344">
        <f t="shared" si="0"/>
        <v>0</v>
      </c>
      <c r="I9" s="1344">
        <f t="shared" si="0"/>
        <v>0</v>
      </c>
      <c r="J9" s="1344">
        <f t="shared" si="0"/>
        <v>0</v>
      </c>
      <c r="K9" s="1344">
        <f t="shared" si="0"/>
        <v>0</v>
      </c>
      <c r="L9" s="1344">
        <f t="shared" si="0"/>
        <v>0</v>
      </c>
      <c r="M9" s="1344">
        <f t="shared" si="0"/>
        <v>0</v>
      </c>
      <c r="N9" s="1344">
        <f t="shared" si="0"/>
        <v>0</v>
      </c>
      <c r="O9" s="1344">
        <f t="shared" si="0"/>
        <v>0</v>
      </c>
      <c r="P9" s="1344">
        <f t="shared" si="0"/>
        <v>0</v>
      </c>
      <c r="Q9" s="1344">
        <f t="shared" si="0"/>
        <v>0</v>
      </c>
      <c r="R9" s="1344">
        <f t="shared" si="0"/>
        <v>0</v>
      </c>
      <c r="S9" s="1344">
        <f t="shared" si="0"/>
        <v>0</v>
      </c>
      <c r="T9" s="980" t="s">
        <v>4184</v>
      </c>
      <c r="U9" s="3613" t="s">
        <v>15232</v>
      </c>
      <c r="V9" s="24" t="b">
        <f>AND(V10:V500)</f>
        <v>1</v>
      </c>
      <c r="W9" s="2272" t="s">
        <v>6114</v>
      </c>
      <c r="X9" s="2272" t="s">
        <v>6115</v>
      </c>
      <c r="Y9" s="2271" t="s">
        <v>6117</v>
      </c>
      <c r="Z9" s="2271" t="s">
        <v>6119</v>
      </c>
      <c r="AA9" s="2325" t="s">
        <v>1652</v>
      </c>
      <c r="AB9" s="2325" t="s">
        <v>1196</v>
      </c>
      <c r="AC9" s="2797" t="s">
        <v>8577</v>
      </c>
    </row>
    <row r="10" spans="1:29" s="24" customFormat="1" ht="26">
      <c r="A10" s="9" t="str">
        <f>"R1=251021;R2=RUB;R35=200;COM="&amp;T10</f>
        <v>R1=251021;R2=RUB;R35=200;COM=</v>
      </c>
      <c r="C10" s="981" t="s">
        <v>5507</v>
      </c>
      <c r="D10" s="914" t="s">
        <v>4184</v>
      </c>
      <c r="E10" s="1472"/>
      <c r="F10" s="1335"/>
      <c r="G10" s="1344">
        <f t="shared" ref="G10:G15" si="1">E10-F10</f>
        <v>0</v>
      </c>
      <c r="H10" s="1472"/>
      <c r="I10" s="1472"/>
      <c r="J10" s="1472"/>
      <c r="K10" s="1472"/>
      <c r="L10" s="1472"/>
      <c r="M10" s="1475"/>
      <c r="N10" s="1475"/>
      <c r="O10" s="1472"/>
      <c r="P10" s="1472"/>
      <c r="Q10" s="1344">
        <f t="shared" ref="Q10:Q15" si="2">SUM(E10,H10:P10)</f>
        <v>0</v>
      </c>
      <c r="R10" s="1335"/>
      <c r="S10" s="1344">
        <f t="shared" ref="S10:S15" si="3">Q10-R10</f>
        <v>0</v>
      </c>
      <c r="T10" s="982"/>
      <c r="U10" s="1880"/>
      <c r="V10" s="24" t="b">
        <f t="shared" ref="V10:V15" si="4">IF(OR(F10&gt;0,G10&gt;0,R10&gt;0,S10&gt;0),FALSE,TRUE)</f>
        <v>1</v>
      </c>
      <c r="AA10" s="2324">
        <f>SUM(R11:R10000)</f>
        <v>0</v>
      </c>
      <c r="AB10" s="2324">
        <f>SUM(S11:S10000)</f>
        <v>0</v>
      </c>
      <c r="AC10" s="2289"/>
    </row>
    <row r="11" spans="1:29" s="24" customFormat="1">
      <c r="A11" s="9" t="str">
        <f>"R1="&amp;IFERROR(MID(C11,FIND("{",C11)+1,FIND("}",C11)-FIND("{",C11)-1),"")&amp;";R2="&amp;IFERROR(MID(D11,FIND("{",D11)+1,FIND("}",D11)-FIND("{",D11)-1),"")&amp;";R35=100;COM="&amp;T11</f>
        <v>R1=;R2=;R35=100;COM=</v>
      </c>
      <c r="B11" s="187"/>
      <c r="C11" s="1473"/>
      <c r="D11" s="1474"/>
      <c r="E11" s="1472"/>
      <c r="F11" s="1335"/>
      <c r="G11" s="1344">
        <f t="shared" si="1"/>
        <v>0</v>
      </c>
      <c r="H11" s="1472"/>
      <c r="I11" s="1472"/>
      <c r="J11" s="1472"/>
      <c r="K11" s="1335"/>
      <c r="L11" s="1476"/>
      <c r="M11" s="1477"/>
      <c r="N11" s="1477"/>
      <c r="O11" s="1478"/>
      <c r="P11" s="1472"/>
      <c r="Q11" s="1344">
        <f t="shared" si="2"/>
        <v>0</v>
      </c>
      <c r="R11" s="1335"/>
      <c r="S11" s="1344">
        <f t="shared" si="3"/>
        <v>0</v>
      </c>
      <c r="T11" s="982"/>
      <c r="U11" s="24" t="b">
        <f>IF(ABS(SUM(E11:S11))&gt;0,AND(C11&lt;&gt;"",D11&lt;&gt;""),TRUE)</f>
        <v>1</v>
      </c>
      <c r="V11" s="24" t="b">
        <f t="shared" si="4"/>
        <v>1</v>
      </c>
      <c r="W11" s="2279">
        <f>SUMIFS('60,62,63,76_контр'!$V$15:$V35000,'60,62,63,76_контр'!$J$15:$J35000,'60_01'!$C11,'60,62,63,76_контр'!$O$15:$O35000,'60_01'!$D11,'60,62,63,76_контр'!$C$15:$C35000,"60",'60,62,63,76_контр'!$N$15:$N35000,"{10} Долгосрочная",'60,62,63,76_контр'!$AY$15:$AY35000,"-")</f>
        <v>0</v>
      </c>
      <c r="X11" s="2280">
        <f>SUMIFS('60,62,63,76_контр'!$V$15:$V35000,'60,62,63,76_контр'!$J$15:$J35000,'60_01'!$C11,'60,62,63,76_контр'!$O$15:$O35000,'60_01'!$D11,'60,62,63,76_контр'!$C$15:$C35000,"60",'60,62,63,76_контр'!$N$15:$N35000,"{20} Краткосрочная",'60,62,63,76_контр'!$AY$15:$AY35000,"-")</f>
        <v>0</v>
      </c>
      <c r="Y11" s="2289" t="b">
        <f>IF(ABS(W11-SUMIFS(R:R,C:C,C11,D:D,D11))&lt;5,TRUE,FALSE)</f>
        <v>1</v>
      </c>
      <c r="Z11" s="2289" t="b">
        <f>IF(ABS(X11-SUMIFS(S:S,C:C,C11,D:D,D11))&lt;5,TRUE,FALSE)</f>
        <v>1</v>
      </c>
      <c r="AC11" s="2289" t="b">
        <f>IF(Содержание!$D$12="тыс. рублей",IF(AND(D11="{RUB} Российские рубли",O11&lt;&gt;0),FALSE,TRUE),TRUE)</f>
        <v>1</v>
      </c>
    </row>
    <row r="12" spans="1:29" s="24" customFormat="1">
      <c r="A12" s="2427" t="str">
        <f t="shared" ref="A12:A17" si="5">"R1="&amp;IFERROR(MID(C12,FIND("{",C12)+1,FIND("}",C12)-FIND("{",C12)-1),"")&amp;";R2="&amp;IFERROR(MID(D12,FIND("{",D12)+1,FIND("}",D12)-FIND("{",D12)-1),"")&amp;";R35=100;COM="&amp;T12</f>
        <v>R1=;R2=;R35=100;COM=</v>
      </c>
      <c r="B12" s="207"/>
      <c r="C12" s="1473"/>
      <c r="D12" s="1474"/>
      <c r="E12" s="1472"/>
      <c r="F12" s="1335"/>
      <c r="G12" s="1344">
        <f t="shared" si="1"/>
        <v>0</v>
      </c>
      <c r="H12" s="1472"/>
      <c r="I12" s="1472"/>
      <c r="J12" s="1472"/>
      <c r="K12" s="1335"/>
      <c r="L12" s="1476"/>
      <c r="M12" s="1477"/>
      <c r="N12" s="1477"/>
      <c r="O12" s="1478"/>
      <c r="P12" s="1472"/>
      <c r="Q12" s="1344">
        <f t="shared" si="2"/>
        <v>0</v>
      </c>
      <c r="R12" s="1470"/>
      <c r="S12" s="1344">
        <f t="shared" si="3"/>
        <v>0</v>
      </c>
      <c r="T12" s="1471"/>
      <c r="U12" s="24" t="b">
        <f t="shared" ref="U12:U17" si="6">IF(ABS(SUM(E12:S12))&gt;0,AND(C12&lt;&gt;"",D12&lt;&gt;""),TRUE)</f>
        <v>1</v>
      </c>
      <c r="V12" s="24" t="b">
        <f t="shared" si="4"/>
        <v>1</v>
      </c>
      <c r="W12" s="2279">
        <f>SUMIFS('60,62,63,76_контр'!$V$15:$V35001,'60,62,63,76_контр'!$J$15:$J35001,'60_01'!$C12,'60,62,63,76_контр'!$O$15:$O35001,'60_01'!$D12,'60,62,63,76_контр'!$C$15:$C35001,"60",'60,62,63,76_контр'!$N$15:$N35001,"{10} Долгосрочная",'60,62,63,76_контр'!$AY$15:$AY35001,"-")</f>
        <v>0</v>
      </c>
      <c r="X12" s="2280">
        <f>SUMIFS('60,62,63,76_контр'!$V$15:$V35001,'60,62,63,76_контр'!$J$15:$J35001,'60_01'!$C12,'60,62,63,76_контр'!$O$15:$O35001,'60_01'!$D12,'60,62,63,76_контр'!$C$15:$C35001,"60",'60,62,63,76_контр'!$N$15:$N35001,"{20} Краткосрочная",'60,62,63,76_контр'!$AY$15:$AY35001,"-")</f>
        <v>0</v>
      </c>
      <c r="Y12" s="2289" t="b">
        <f t="shared" ref="Y12:Y16" si="7">IF(ABS(W12-SUMIFS(R:R,C:C,C12,D:D,D12))&lt;5,TRUE,FALSE)</f>
        <v>1</v>
      </c>
      <c r="Z12" s="2289" t="b">
        <f t="shared" ref="Z12:Z16" si="8">IF(ABS(X12-SUMIFS(S:S,C:C,C12,D:D,D12))&lt;5,TRUE,FALSE)</f>
        <v>1</v>
      </c>
      <c r="AC12" s="2289" t="b">
        <f>IF(Содержание!$D$12="тыс. рублей",IF(AND(D12="{RUB} Российские рубли",O12&lt;&gt;0),FALSE,TRUE),TRUE)</f>
        <v>1</v>
      </c>
    </row>
    <row r="13" spans="1:29" s="24" customFormat="1">
      <c r="A13" s="2427" t="str">
        <f t="shared" si="5"/>
        <v>R1=;R2=;R35=100;COM=</v>
      </c>
      <c r="B13" s="207"/>
      <c r="C13" s="1473"/>
      <c r="D13" s="1474"/>
      <c r="E13" s="1472"/>
      <c r="F13" s="1335"/>
      <c r="G13" s="1344">
        <f t="shared" si="1"/>
        <v>0</v>
      </c>
      <c r="H13" s="1472"/>
      <c r="I13" s="1472"/>
      <c r="J13" s="1472"/>
      <c r="K13" s="1335"/>
      <c r="L13" s="1476"/>
      <c r="M13" s="1477"/>
      <c r="N13" s="1477"/>
      <c r="O13" s="1478"/>
      <c r="P13" s="1472"/>
      <c r="Q13" s="1344">
        <f t="shared" si="2"/>
        <v>0</v>
      </c>
      <c r="R13" s="1470"/>
      <c r="S13" s="1344">
        <f t="shared" si="3"/>
        <v>0</v>
      </c>
      <c r="T13" s="1471"/>
      <c r="U13" s="24" t="b">
        <f t="shared" si="6"/>
        <v>1</v>
      </c>
      <c r="V13" s="24" t="b">
        <f t="shared" si="4"/>
        <v>1</v>
      </c>
      <c r="W13" s="2279">
        <f>SUMIFS('60,62,63,76_контр'!$V$15:$V35002,'60,62,63,76_контр'!$J$15:$J35002,'60_01'!$C13,'60,62,63,76_контр'!$O$15:$O35002,'60_01'!$D13,'60,62,63,76_контр'!$C$15:$C35002,"60",'60,62,63,76_контр'!$N$15:$N35002,"{10} Долгосрочная",'60,62,63,76_контр'!$AY$15:$AY35002,"-")</f>
        <v>0</v>
      </c>
      <c r="X13" s="2280">
        <f>SUMIFS('60,62,63,76_контр'!$V$15:$V35002,'60,62,63,76_контр'!$J$15:$J35002,'60_01'!$C13,'60,62,63,76_контр'!$O$15:$O35002,'60_01'!$D13,'60,62,63,76_контр'!$C$15:$C35002,"60",'60,62,63,76_контр'!$N$15:$N35002,"{20} Краткосрочная",'60,62,63,76_контр'!$AY$15:$AY35002,"-")</f>
        <v>0</v>
      </c>
      <c r="Y13" s="2289" t="b">
        <f t="shared" si="7"/>
        <v>1</v>
      </c>
      <c r="Z13" s="2289" t="b">
        <f t="shared" si="8"/>
        <v>1</v>
      </c>
      <c r="AC13" s="2289" t="b">
        <f>IF(Содержание!$D$12="тыс. рублей",IF(AND(D13="{RUB} Российские рубли",O13&lt;&gt;0),FALSE,TRUE),TRUE)</f>
        <v>1</v>
      </c>
    </row>
    <row r="14" spans="1:29" s="24" customFormat="1">
      <c r="A14" s="2427" t="str">
        <f t="shared" si="5"/>
        <v>R1=;R2=;R35=100;COM=</v>
      </c>
      <c r="B14" s="207"/>
      <c r="C14" s="1469"/>
      <c r="D14" s="1463"/>
      <c r="E14" s="1470"/>
      <c r="F14" s="1470"/>
      <c r="G14" s="1344">
        <f t="shared" si="1"/>
        <v>0</v>
      </c>
      <c r="H14" s="1470"/>
      <c r="I14" s="1470"/>
      <c r="J14" s="1470"/>
      <c r="K14" s="1470"/>
      <c r="L14" s="1470"/>
      <c r="M14" s="1470"/>
      <c r="N14" s="1470"/>
      <c r="O14" s="1470"/>
      <c r="P14" s="1470"/>
      <c r="Q14" s="1344">
        <f t="shared" si="2"/>
        <v>0</v>
      </c>
      <c r="R14" s="1470"/>
      <c r="S14" s="1344">
        <f t="shared" si="3"/>
        <v>0</v>
      </c>
      <c r="T14" s="1471"/>
      <c r="U14" s="24" t="b">
        <f t="shared" si="6"/>
        <v>1</v>
      </c>
      <c r="V14" s="24" t="b">
        <f t="shared" si="4"/>
        <v>1</v>
      </c>
      <c r="W14" s="2279">
        <f>SUMIFS('60,62,63,76_контр'!$V$15:$V35003,'60,62,63,76_контр'!$J$15:$J35003,'60_01'!$C14,'60,62,63,76_контр'!$O$15:$O35003,'60_01'!$D14,'60,62,63,76_контр'!$C$15:$C35003,"60",'60,62,63,76_контр'!$N$15:$N35003,"{10} Долгосрочная",'60,62,63,76_контр'!$AY$15:$AY35003,"-")</f>
        <v>0</v>
      </c>
      <c r="X14" s="2280">
        <f>SUMIFS('60,62,63,76_контр'!$V$15:$V35003,'60,62,63,76_контр'!$J$15:$J35003,'60_01'!$C14,'60,62,63,76_контр'!$O$15:$O35003,'60_01'!$D14,'60,62,63,76_контр'!$C$15:$C35003,"60",'60,62,63,76_контр'!$N$15:$N35003,"{20} Краткосрочная",'60,62,63,76_контр'!$AY$15:$AY35003,"-")</f>
        <v>0</v>
      </c>
      <c r="Y14" s="2289" t="b">
        <f t="shared" si="7"/>
        <v>1</v>
      </c>
      <c r="Z14" s="2289" t="b">
        <f t="shared" si="8"/>
        <v>1</v>
      </c>
      <c r="AC14" s="2289" t="b">
        <f>IF(Содержание!$D$12="тыс. рублей",IF(AND(D14="{RUB} Российские рубли",O14&lt;&gt;0),FALSE,TRUE),TRUE)</f>
        <v>1</v>
      </c>
    </row>
    <row r="15" spans="1:29" s="24" customFormat="1">
      <c r="A15" s="2427" t="str">
        <f t="shared" si="5"/>
        <v>R1=;R2=;R35=100;COM=</v>
      </c>
      <c r="B15" s="207"/>
      <c r="C15" s="1469"/>
      <c r="D15" s="1463"/>
      <c r="E15" s="1470"/>
      <c r="F15" s="1470"/>
      <c r="G15" s="1344">
        <f t="shared" si="1"/>
        <v>0</v>
      </c>
      <c r="H15" s="1470"/>
      <c r="I15" s="1470"/>
      <c r="J15" s="1470"/>
      <c r="K15" s="1470"/>
      <c r="L15" s="1470"/>
      <c r="M15" s="1470"/>
      <c r="N15" s="1470"/>
      <c r="O15" s="1470"/>
      <c r="P15" s="1470"/>
      <c r="Q15" s="1344">
        <f t="shared" si="2"/>
        <v>0</v>
      </c>
      <c r="R15" s="1470"/>
      <c r="S15" s="1344">
        <f t="shared" si="3"/>
        <v>0</v>
      </c>
      <c r="T15" s="1471"/>
      <c r="U15" s="24" t="b">
        <f t="shared" si="6"/>
        <v>1</v>
      </c>
      <c r="V15" s="24" t="b">
        <f t="shared" si="4"/>
        <v>1</v>
      </c>
      <c r="W15" s="2279">
        <f>SUMIFS('60,62,63,76_контр'!$V$15:$V35004,'60,62,63,76_контр'!$J$15:$J35004,'60_01'!$C15,'60,62,63,76_контр'!$O$15:$O35004,'60_01'!$D15,'60,62,63,76_контр'!$C$15:$C35004,"60",'60,62,63,76_контр'!$N$15:$N35004,"{10} Долгосрочная",'60,62,63,76_контр'!$AY$15:$AY35004,"-")</f>
        <v>0</v>
      </c>
      <c r="X15" s="2280">
        <f>SUMIFS('60,62,63,76_контр'!$V$15:$V35004,'60,62,63,76_контр'!$J$15:$J35004,'60_01'!$C15,'60,62,63,76_контр'!$O$15:$O35004,'60_01'!$D15,'60,62,63,76_контр'!$C$15:$C35004,"60",'60,62,63,76_контр'!$N$15:$N35004,"{20} Краткосрочная",'60,62,63,76_контр'!$AY$15:$AY35004,"-")</f>
        <v>0</v>
      </c>
      <c r="Y15" s="2289" t="b">
        <f t="shared" si="7"/>
        <v>1</v>
      </c>
      <c r="Z15" s="2289" t="b">
        <f t="shared" si="8"/>
        <v>1</v>
      </c>
      <c r="AC15" s="2289" t="b">
        <f>IF(Содержание!$D$12="тыс. рублей",IF(AND(D15="{RUB} Российские рубли",O15&lt;&gt;0),FALSE,TRUE),TRUE)</f>
        <v>1</v>
      </c>
    </row>
    <row r="16" spans="1:29" s="24" customFormat="1">
      <c r="A16" s="2427" t="str">
        <f t="shared" si="5"/>
        <v>R1=;R2=;R35=100;COM=</v>
      </c>
      <c r="B16" s="207"/>
      <c r="C16" s="1469"/>
      <c r="D16" s="1463"/>
      <c r="E16" s="1470"/>
      <c r="F16" s="1470"/>
      <c r="G16" s="1344">
        <f>E16-F16</f>
        <v>0</v>
      </c>
      <c r="H16" s="1470"/>
      <c r="I16" s="1470"/>
      <c r="J16" s="1470"/>
      <c r="K16" s="1470"/>
      <c r="L16" s="1470"/>
      <c r="M16" s="1470"/>
      <c r="N16" s="1470"/>
      <c r="O16" s="1470"/>
      <c r="P16" s="1470"/>
      <c r="Q16" s="1344">
        <f>SUM(E16,H16:P16)</f>
        <v>0</v>
      </c>
      <c r="R16" s="1470"/>
      <c r="S16" s="1344">
        <f>Q16-R16</f>
        <v>0</v>
      </c>
      <c r="T16" s="1471"/>
      <c r="U16" s="24" t="b">
        <f t="shared" si="6"/>
        <v>1</v>
      </c>
      <c r="V16" s="24" t="b">
        <f>IF(OR(F16&gt;0,G16&gt;0,R16&gt;0,S16&gt;0),FALSE,TRUE)</f>
        <v>1</v>
      </c>
      <c r="W16" s="2279">
        <f>SUMIFS('60,62,63,76_контр'!$V$15:$V35005,'60,62,63,76_контр'!$J$15:$J35005,'60_01'!$C16,'60,62,63,76_контр'!$O$15:$O35005,'60_01'!$D16,'60,62,63,76_контр'!$C$15:$C35005,"60",'60,62,63,76_контр'!$N$15:$N35005,"{10} Долгосрочная",'60,62,63,76_контр'!$AY$15:$AY35005,"-")</f>
        <v>0</v>
      </c>
      <c r="X16" s="2280">
        <f>SUMIFS('60,62,63,76_контр'!$V$15:$V35005,'60,62,63,76_контр'!$J$15:$J35005,'60_01'!$C16,'60,62,63,76_контр'!$O$15:$O35005,'60_01'!$D16,'60,62,63,76_контр'!$C$15:$C35005,"60",'60,62,63,76_контр'!$N$15:$N35005,"{20} Краткосрочная",'60,62,63,76_контр'!$AY$15:$AY35005,"-")</f>
        <v>0</v>
      </c>
      <c r="Y16" s="2289" t="b">
        <f t="shared" si="7"/>
        <v>1</v>
      </c>
      <c r="Z16" s="2289" t="b">
        <f t="shared" si="8"/>
        <v>1</v>
      </c>
      <c r="AC16" s="2289" t="b">
        <f>IF(Содержание!$D$12="тыс. рублей",IF(AND(D16="{RUB} Российские рубли",O16&lt;&gt;0),FALSE,TRUE),TRUE)</f>
        <v>1</v>
      </c>
    </row>
    <row r="17" spans="1:29" s="24" customFormat="1" ht="15" thickBot="1">
      <c r="A17" s="2427" t="str">
        <f t="shared" si="5"/>
        <v>R1=;R2=;R35=100;COM=</v>
      </c>
      <c r="C17" s="1347"/>
      <c r="D17" s="1346"/>
      <c r="E17" s="1340"/>
      <c r="F17" s="1340"/>
      <c r="G17" s="1546">
        <f>E17-F17</f>
        <v>0</v>
      </c>
      <c r="H17" s="1340"/>
      <c r="I17" s="1340"/>
      <c r="J17" s="1340"/>
      <c r="K17" s="1340"/>
      <c r="L17" s="1340"/>
      <c r="M17" s="1340"/>
      <c r="N17" s="1340"/>
      <c r="O17" s="1340"/>
      <c r="P17" s="1340"/>
      <c r="Q17" s="1546">
        <f>SUM(E17,H17:P17)</f>
        <v>0</v>
      </c>
      <c r="R17" s="1340"/>
      <c r="S17" s="1546">
        <f>Q17-R17</f>
        <v>0</v>
      </c>
      <c r="T17" s="983"/>
      <c r="U17" s="24" t="b">
        <f t="shared" si="6"/>
        <v>1</v>
      </c>
      <c r="V17" s="24" t="b">
        <f>IF(OR(F17&gt;0,G17&gt;0,R17&gt;0,S17&gt;0),FALSE,TRUE)</f>
        <v>1</v>
      </c>
      <c r="W17" s="2279">
        <f>SUMIFS('60,62,63,76_контр'!$V$15:$V35006,'60,62,63,76_контр'!$J$15:$J35006,'60_01'!$C17,'60,62,63,76_контр'!$O$15:$O35006,'60_01'!$D17,'60,62,63,76_контр'!$C$15:$C35006,"60",'60,62,63,76_контр'!$N$15:$N35006,"{10} Долгосрочная",'60,62,63,76_контр'!$AY$15:$AY35006,"-")</f>
        <v>0</v>
      </c>
      <c r="X17" s="2280">
        <f>SUMIFS('60,62,63,76_контр'!$V$15:$V35006,'60,62,63,76_контр'!$J$15:$J35006,'60_01'!$C17,'60,62,63,76_контр'!$O$15:$O35006,'60_01'!$D17,'60,62,63,76_контр'!$C$15:$C35006,"60",'60,62,63,76_контр'!$N$15:$N35006,"{20} Краткосрочная",'60,62,63,76_контр'!$AY$15:$AY35006,"-")</f>
        <v>0</v>
      </c>
      <c r="Y17" s="2289" t="b">
        <f t="shared" ref="Y17" si="9">IF(ABS(W17-SUMIFS(R:R,C:C,C17,D:D,D17))&lt;5,TRUE,FALSE)</f>
        <v>1</v>
      </c>
      <c r="Z17" s="2289" t="b">
        <f t="shared" ref="Z17" si="10">IF(ABS(X17-SUMIFS(S:S,C:C,C17,D:D,D17))&lt;5,TRUE,FALSE)</f>
        <v>1</v>
      </c>
      <c r="AC17" s="2289" t="b">
        <f>IF(Содержание!$D$12="тыс. рублей",IF(AND(D17="{RUB} Российские рубли",O17&lt;&gt;0),FALSE,TRUE),TRUE)</f>
        <v>1</v>
      </c>
    </row>
    <row r="18" spans="1:29">
      <c r="A18" s="32"/>
      <c r="U18" s="24"/>
    </row>
    <row r="19" spans="1:29">
      <c r="A19" s="32"/>
      <c r="U19" s="24"/>
    </row>
    <row r="20" spans="1:29">
      <c r="A20" s="32"/>
      <c r="U20" s="24"/>
    </row>
    <row r="21" spans="1:29">
      <c r="A21" s="32"/>
    </row>
    <row r="22" spans="1:29">
      <c r="A22" s="32"/>
    </row>
    <row r="23" spans="1:29">
      <c r="A23" s="32"/>
    </row>
    <row r="24" spans="1:29">
      <c r="A24" s="32"/>
    </row>
    <row r="25" spans="1:29">
      <c r="A25" s="32"/>
    </row>
    <row r="26" spans="1:29">
      <c r="A26" s="32"/>
    </row>
    <row r="27" spans="1:29">
      <c r="A27" s="32"/>
    </row>
    <row r="28" spans="1:29">
      <c r="A28" s="32"/>
    </row>
    <row r="29" spans="1:29">
      <c r="A29" s="32"/>
    </row>
    <row r="30" spans="1:29">
      <c r="A30" s="32"/>
    </row>
    <row r="31" spans="1:29">
      <c r="A31" s="32"/>
    </row>
    <row r="32" spans="1:29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</sheetData>
  <sheetProtection algorithmName="SHA-512" hashValue="nBPJcI9qeyBI2OydfV/UNAJKm3HviIBVYAYRReTAfedHV+vP6+qVHXjJQELKFqZElQxSZTEa9Yj2tydO8ObtBw==" saltValue="eE4zIjhcUS8wbLW6rMqa9A==" spinCount="100000" sheet="1" objects="1" scenarios="1" formatColumns="0" formatRows="0" autoFilter="0"/>
  <autoFilter ref="C8:AC8">
    <filterColumn colId="20" showButton="0"/>
  </autoFilter>
  <customSheetViews>
    <customSheetView guid="{3769259D-9653-4B34-A2F6-4FB6F9F4E533}" scale="85" showGridLines="0" showAutoFilter="1" hiddenRows="1" hiddenColumns="1">
      <pane xSplit="5" ySplit="9" topLeftCell="F10" activePane="bottomRight" state="frozen"/>
      <selection pane="bottomRight" activeCell="C7" sqref="C7"/>
      <pageMargins left="0.7" right="0.7" top="0.75" bottom="0.75" header="0.3" footer="0.3"/>
      <pageSetup paperSize="9" orientation="portrait" r:id="rId1"/>
      <autoFilter ref="B1:S1"/>
    </customSheetView>
    <customSheetView guid="{40D7A2BB-326C-4ED3-999C-17852F56D6F4}" scale="85" showGridLines="0" showAutoFilter="1" hiddenRows="1" hiddenColumns="1">
      <pane xSplit="5" ySplit="9" topLeftCell="F10" activePane="bottomRight" state="frozen"/>
      <selection pane="bottomRight" activeCell="C7" sqref="C7"/>
      <pageMargins left="0.7" right="0.7" top="0.75" bottom="0.75" header="0.3" footer="0.3"/>
      <pageSetup paperSize="9" orientation="portrait" r:id="rId2"/>
      <autoFilter ref="B1:S1"/>
    </customSheetView>
    <customSheetView guid="{5D121940-0CE8-4A0E-A493-67FAAA6E0FF8}" scale="85" showGridLines="0" showAutoFilter="1" hiddenRows="1" hiddenColumns="1" topLeftCell="B2">
      <pane xSplit="4" ySplit="8" topLeftCell="Q10" activePane="bottomRight" state="frozen"/>
      <selection pane="bottomRight" activeCell="W18" sqref="W18"/>
      <pageMargins left="0.7" right="0.7" top="0.75" bottom="0.75" header="0.3" footer="0.3"/>
      <pageSetup paperSize="9" orientation="portrait" r:id="rId3"/>
      <autoFilter ref="B1:S1"/>
    </customSheetView>
    <customSheetView guid="{47AEACC4-6EA5-412C-AF39-A6C5357B313A}" scale="85" showGridLines="0" showAutoFilter="1" hiddenRows="1" hiddenColumns="1" topLeftCell="B2">
      <pane xSplit="4" ySplit="8" topLeftCell="K10" activePane="bottomRight" state="frozen"/>
      <selection pane="bottomRight" activeCell="C11" sqref="C11"/>
      <pageMargins left="0.7" right="0.7" top="0.75" bottom="0.75" header="0.3" footer="0.3"/>
      <pageSetup paperSize="9" orientation="portrait" r:id="rId4"/>
      <autoFilter ref="B1:S1"/>
    </customSheetView>
    <customSheetView guid="{4D957B38-5430-481E-B791-E0A66F913B50}" scale="70" topLeftCell="D1">
      <selection activeCell="K14" sqref="K14"/>
      <pageMargins left="0.7" right="0.7" top="0.75" bottom="0.75" header="0.3" footer="0.3"/>
      <pageSetup paperSize="9" orientation="portrait" r:id="rId5"/>
    </customSheetView>
    <customSheetView guid="{1C36793E-2B7E-411E-AA99-985D5D59B75A}" scale="70">
      <selection activeCell="J23" sqref="J23"/>
      <pageMargins left="0.7" right="0.7" top="0.75" bottom="0.75" header="0.3" footer="0.3"/>
      <pageSetup paperSize="9" orientation="portrait" r:id="rId6"/>
    </customSheetView>
    <customSheetView guid="{C913A9E8-661B-40A4-A3C9-1BC5F2B2E9F0}" scale="85" showGridLines="0" showAutoFilter="1" hiddenRows="1" hiddenColumns="1" topLeftCell="B2">
      <pane xSplit="4" ySplit="8" topLeftCell="Q10" activePane="bottomRight" state="frozen"/>
      <selection pane="bottomRight" activeCell="C7" sqref="C7"/>
      <pageMargins left="0.7" right="0.7" top="0.75" bottom="0.75" header="0.3" footer="0.3"/>
      <pageSetup paperSize="9" orientation="portrait" r:id="rId7"/>
      <autoFilter ref="B1:S1"/>
    </customSheetView>
  </customSheetViews>
  <mergeCells count="1">
    <mergeCell ref="W8:X8"/>
  </mergeCells>
  <phoneticPr fontId="0" type="noConversion"/>
  <dataValidations count="4">
    <dataValidation type="list" operator="equal" allowBlank="1" showErrorMessage="1" errorTitle="Выбор элемента списка" error="Данного элемента нет в списке" sqref="IN63983:IN63990">
      <formula1>_6003_</formula1>
    </dataValidation>
    <dataValidation type="list" operator="equal" allowBlank="1" showErrorMessage="1" errorTitle="Выбор элемента списка" error="Данного элемента нет в списке" sqref="IM63983:IM63990">
      <formula1>_2510_</formula1>
    </dataValidation>
    <dataValidation type="list" operator="equal" allowBlank="1" showErrorMessage="1" errorTitle="Выбор элемента списка" error="Данного элемента нет в списке" sqref="D11:D17">
      <formula1>_6003</formula1>
    </dataValidation>
    <dataValidation type="list" operator="equal" allowBlank="1" showErrorMessage="1" errorTitle="Выбор элемента списка" error="Данного элемента нет в списке" sqref="C11:C17">
      <formula1>_9022_60</formula1>
    </dataValidation>
  </dataValidations>
  <hyperlinks>
    <hyperlink ref="F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0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35" r:id="rId11" name="Button 19">
              <controlPr defaultSize="0" print="0" autoFill="0" autoPict="0" macro="[0]!AddButtonsRowAdd">
                <anchor moveWithCells="1">
                  <from>
                    <xdr:col>3</xdr:col>
                    <xdr:colOff>184150</xdr:colOff>
                    <xdr:row>2</xdr:row>
                    <xdr:rowOff>69850</xdr:rowOff>
                  </from>
                  <to>
                    <xdr:col>4</xdr:col>
                    <xdr:colOff>374650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">
    <pageSetUpPr fitToPage="1"/>
  </sheetPr>
  <dimension ref="A1:V37"/>
  <sheetViews>
    <sheetView topLeftCell="K5" zoomScale="70" zoomScaleNormal="70" workbookViewId="0">
      <selection activeCell="P15" sqref="P15"/>
    </sheetView>
  </sheetViews>
  <sheetFormatPr defaultColWidth="9.453125" defaultRowHeight="14.5"/>
  <cols>
    <col min="1" max="1" width="19.81640625" style="1569" hidden="1" customWidth="1"/>
    <col min="2" max="2" width="5" style="1569" customWidth="1"/>
    <col min="3" max="4" width="48.54296875" style="743" customWidth="1"/>
    <col min="5" max="5" width="27.54296875" style="743" customWidth="1"/>
    <col min="6" max="8" width="18.453125" style="743" customWidth="1"/>
    <col min="9" max="9" width="19.453125" style="743" bestFit="1" customWidth="1"/>
    <col min="10" max="12" width="18.453125" style="743" customWidth="1"/>
    <col min="13" max="13" width="22" style="743" customWidth="1"/>
    <col min="14" max="14" width="18.453125" style="743" customWidth="1"/>
    <col min="15" max="15" width="39.54296875" style="743" customWidth="1"/>
    <col min="16" max="16" width="18.453125" style="743" customWidth="1"/>
    <col min="17" max="17" width="11.453125" style="743" hidden="1" customWidth="1"/>
    <col min="18" max="18" width="15.54296875" style="743" customWidth="1"/>
    <col min="19" max="19" width="16.54296875" style="743" customWidth="1"/>
    <col min="20" max="21" width="22.453125" style="743" customWidth="1"/>
    <col min="22" max="22" width="24.453125" style="743" customWidth="1"/>
    <col min="23" max="23" width="26.453125" style="743" customWidth="1"/>
    <col min="24" max="16384" width="9.453125" style="743"/>
  </cols>
  <sheetData>
    <row r="1" spans="1:22" s="1569" customFormat="1" ht="22.5" hidden="1" customHeight="1">
      <c r="A1" s="2027" t="s">
        <v>2837</v>
      </c>
      <c r="B1" s="2140"/>
      <c r="C1" s="2140"/>
      <c r="D1" s="2140"/>
      <c r="E1" s="2141"/>
      <c r="F1" s="2141"/>
      <c r="G1" s="2141" t="s">
        <v>1074</v>
      </c>
      <c r="H1" s="2141" t="s">
        <v>1075</v>
      </c>
      <c r="I1" s="2141" t="s">
        <v>1076</v>
      </c>
      <c r="J1" s="2141" t="s">
        <v>1067</v>
      </c>
      <c r="K1" s="2141" t="s">
        <v>1071</v>
      </c>
      <c r="L1" s="2141"/>
      <c r="M1" s="2141" t="s">
        <v>1077</v>
      </c>
      <c r="N1" s="2141" t="s">
        <v>1078</v>
      </c>
      <c r="O1" s="2141"/>
    </row>
    <row r="2" spans="1:22" s="2144" customFormat="1">
      <c r="A2" s="2142"/>
      <c r="B2" s="2143"/>
      <c r="F2" s="2144" t="s">
        <v>1648</v>
      </c>
      <c r="G2" s="2144" t="s">
        <v>1648</v>
      </c>
      <c r="H2" s="2144" t="s">
        <v>1648</v>
      </c>
      <c r="I2" s="2144" t="s">
        <v>1648</v>
      </c>
      <c r="J2" s="2144" t="s">
        <v>1648</v>
      </c>
      <c r="K2" s="2144" t="s">
        <v>1648</v>
      </c>
      <c r="L2" s="2144" t="s">
        <v>1648</v>
      </c>
      <c r="M2" s="2144" t="s">
        <v>1648</v>
      </c>
      <c r="N2" s="2144" t="s">
        <v>1648</v>
      </c>
    </row>
    <row r="3" spans="1:22">
      <c r="A3" s="2142"/>
      <c r="B3" s="651"/>
      <c r="C3" s="1569"/>
      <c r="D3" s="1569"/>
    </row>
    <row r="4" spans="1:22" s="651" customFormat="1" ht="26">
      <c r="A4" s="546"/>
      <c r="B4" s="1569"/>
      <c r="C4" s="2145" t="s">
        <v>4089</v>
      </c>
      <c r="D4" s="2145"/>
      <c r="G4" s="528"/>
      <c r="H4" s="1897" t="s">
        <v>2067</v>
      </c>
      <c r="I4" s="2146">
        <f>Содержание!$D$2</f>
        <v>0</v>
      </c>
    </row>
    <row r="5" spans="1:22" s="651" customFormat="1" ht="15" thickBot="1">
      <c r="A5" s="546"/>
      <c r="B5" s="1569"/>
      <c r="C5" s="528"/>
      <c r="D5" s="528"/>
      <c r="E5" s="2147"/>
      <c r="F5" s="2148"/>
      <c r="G5" s="3044" t="s">
        <v>1436</v>
      </c>
      <c r="H5" s="1897" t="s">
        <v>2075</v>
      </c>
      <c r="I5" s="2146" t="str">
        <f>Содержание!$D$15</f>
        <v>2022 год</v>
      </c>
      <c r="J5" s="2147"/>
      <c r="K5" s="2147"/>
      <c r="L5" s="2148"/>
      <c r="M5" s="2148"/>
      <c r="N5" s="2148"/>
      <c r="O5" s="2147"/>
    </row>
    <row r="6" spans="1:22" s="234" customFormat="1" ht="39">
      <c r="A6" s="744"/>
      <c r="B6" s="1571"/>
      <c r="C6" s="85" t="s">
        <v>4090</v>
      </c>
      <c r="D6" s="3307" t="s">
        <v>3395</v>
      </c>
      <c r="E6" s="28" t="s">
        <v>4664</v>
      </c>
      <c r="F6" s="28" t="s">
        <v>5225</v>
      </c>
      <c r="G6" s="28" t="s">
        <v>4081</v>
      </c>
      <c r="H6" s="28" t="s">
        <v>5396</v>
      </c>
      <c r="I6" s="28" t="s">
        <v>4091</v>
      </c>
      <c r="J6" s="28" t="s">
        <v>4076</v>
      </c>
      <c r="K6" s="28" t="s">
        <v>5524</v>
      </c>
      <c r="L6" s="28" t="s">
        <v>5233</v>
      </c>
      <c r="M6" s="28" t="s">
        <v>4081</v>
      </c>
      <c r="N6" s="28" t="s">
        <v>5396</v>
      </c>
      <c r="O6" s="82" t="s">
        <v>4183</v>
      </c>
    </row>
    <row r="7" spans="1:22" s="651" customFormat="1">
      <c r="A7" s="546"/>
      <c r="B7" s="1569"/>
      <c r="C7" s="832">
        <v>10022</v>
      </c>
      <c r="D7" s="3308" t="s">
        <v>4097</v>
      </c>
      <c r="E7" s="833" t="s">
        <v>5250</v>
      </c>
      <c r="F7" s="2149" t="s">
        <v>672</v>
      </c>
      <c r="G7" s="2149" t="s">
        <v>4142</v>
      </c>
      <c r="H7" s="2149" t="s">
        <v>4142</v>
      </c>
      <c r="I7" s="2149" t="s">
        <v>4092</v>
      </c>
      <c r="J7" s="2149" t="s">
        <v>4084</v>
      </c>
      <c r="K7" s="2149" t="s">
        <v>4088</v>
      </c>
      <c r="L7" s="2149" t="s">
        <v>673</v>
      </c>
      <c r="M7" s="2149" t="s">
        <v>4142</v>
      </c>
      <c r="N7" s="2149" t="s">
        <v>4142</v>
      </c>
      <c r="O7" s="2150"/>
    </row>
    <row r="8" spans="1:22" s="673" customFormat="1" ht="10.5">
      <c r="A8" s="668"/>
      <c r="B8" s="674"/>
      <c r="C8" s="986" t="s">
        <v>4164</v>
      </c>
      <c r="D8" s="986" t="s">
        <v>4165</v>
      </c>
      <c r="E8" s="986" t="s">
        <v>4166</v>
      </c>
      <c r="F8" s="986" t="s">
        <v>5500</v>
      </c>
      <c r="G8" s="986" t="s">
        <v>4169</v>
      </c>
      <c r="H8" s="986" t="s">
        <v>4168</v>
      </c>
      <c r="I8" s="986" t="s">
        <v>4178</v>
      </c>
      <c r="J8" s="986" t="s">
        <v>4179</v>
      </c>
      <c r="K8" s="986" t="s">
        <v>4167</v>
      </c>
      <c r="L8" s="986" t="s">
        <v>5501</v>
      </c>
      <c r="M8" s="986" t="s">
        <v>4701</v>
      </c>
      <c r="N8" s="986" t="s">
        <v>4702</v>
      </c>
      <c r="O8" s="986" t="s">
        <v>4703</v>
      </c>
    </row>
    <row r="9" spans="1:22" s="651" customFormat="1">
      <c r="A9" s="546"/>
      <c r="B9" s="1569"/>
      <c r="C9" s="978" t="s">
        <v>4170</v>
      </c>
      <c r="D9" s="914" t="s">
        <v>4184</v>
      </c>
      <c r="E9" s="914" t="s">
        <v>4184</v>
      </c>
      <c r="F9" s="1344">
        <f>SUM(F10:F9944)</f>
        <v>0</v>
      </c>
      <c r="G9" s="1344">
        <f t="shared" ref="G9:N9" si="0">SUM(G10:G9944)</f>
        <v>0</v>
      </c>
      <c r="H9" s="1344">
        <f t="shared" si="0"/>
        <v>0</v>
      </c>
      <c r="I9" s="1344">
        <f t="shared" si="0"/>
        <v>0</v>
      </c>
      <c r="J9" s="1344">
        <f t="shared" si="0"/>
        <v>0</v>
      </c>
      <c r="K9" s="1344">
        <f t="shared" si="0"/>
        <v>0</v>
      </c>
      <c r="L9" s="1344">
        <f t="shared" si="0"/>
        <v>0</v>
      </c>
      <c r="M9" s="1344">
        <f t="shared" si="0"/>
        <v>0</v>
      </c>
      <c r="N9" s="1344">
        <f t="shared" si="0"/>
        <v>0</v>
      </c>
      <c r="O9" s="1398" t="s">
        <v>4184</v>
      </c>
      <c r="Q9" s="651" t="b">
        <f>AND(Q10:Q501)</f>
        <v>1</v>
      </c>
    </row>
    <row r="10" spans="1:22" s="651" customFormat="1" ht="25">
      <c r="A10" s="546" t="str">
        <f>"R1=251021;R2=RUB;R35=200;COM="&amp;O10</f>
        <v>R1=251021;R2=RUB;R35=200;COM=</v>
      </c>
      <c r="B10" s="1569"/>
      <c r="C10" s="1397" t="s">
        <v>8578</v>
      </c>
      <c r="D10" s="914" t="s">
        <v>4184</v>
      </c>
      <c r="E10" s="914" t="s">
        <v>4184</v>
      </c>
      <c r="F10" s="1009"/>
      <c r="G10" s="1009"/>
      <c r="H10" s="1332">
        <f t="shared" ref="H10:H17" si="1">F10-G10</f>
        <v>0</v>
      </c>
      <c r="I10" s="1009"/>
      <c r="J10" s="1009"/>
      <c r="K10" s="1009"/>
      <c r="L10" s="1332">
        <f t="shared" ref="L10:L17" si="2">SUM(F10,I10:K10)</f>
        <v>0</v>
      </c>
      <c r="M10" s="1009"/>
      <c r="N10" s="1332">
        <f t="shared" ref="N10:N17" si="3">L10-M10</f>
        <v>0</v>
      </c>
      <c r="O10" s="2151"/>
      <c r="Q10" s="651" t="b">
        <f>IF(OR(G10&lt;0,H10&lt;0,M10&lt;0,N10&lt;0),FALSE,TRUE)</f>
        <v>1</v>
      </c>
    </row>
    <row r="11" spans="1:22" s="651" customFormat="1" ht="37.5">
      <c r="A11" s="546" t="str">
        <f>"R1=251011;R2=RUB;R35=200;COM="&amp;O11</f>
        <v>R1=251011;R2=RUB;R35=200;COM=</v>
      </c>
      <c r="B11" s="1569"/>
      <c r="C11" s="1397" t="s">
        <v>4093</v>
      </c>
      <c r="D11" s="914" t="s">
        <v>4184</v>
      </c>
      <c r="E11" s="914" t="s">
        <v>4184</v>
      </c>
      <c r="F11" s="1009"/>
      <c r="G11" s="1009"/>
      <c r="H11" s="1332">
        <f t="shared" si="1"/>
        <v>0</v>
      </c>
      <c r="I11" s="1009"/>
      <c r="J11" s="1009"/>
      <c r="K11" s="1009"/>
      <c r="L11" s="1332">
        <f t="shared" si="2"/>
        <v>0</v>
      </c>
      <c r="M11" s="1009"/>
      <c r="N11" s="1332">
        <f t="shared" si="3"/>
        <v>0</v>
      </c>
      <c r="O11" s="2151"/>
      <c r="Q11" s="651" t="b">
        <f t="shared" ref="Q11:Q19" si="4">IF(OR(G11&lt;0,H11&lt;0,M11&lt;0,N11&lt;0),FALSE,TRUE)</f>
        <v>1</v>
      </c>
    </row>
    <row r="12" spans="1:22" s="651" customFormat="1" ht="25">
      <c r="A12" s="546" t="str">
        <f>"R1=251012;R2=RUB;R35=200;COM="&amp;O12</f>
        <v>R1=251012;R2=RUB;R35=200;COM=</v>
      </c>
      <c r="B12" s="1569"/>
      <c r="C12" s="1397" t="s">
        <v>4094</v>
      </c>
      <c r="D12" s="914" t="s">
        <v>4184</v>
      </c>
      <c r="E12" s="914" t="s">
        <v>4184</v>
      </c>
      <c r="F12" s="1009"/>
      <c r="G12" s="1009"/>
      <c r="H12" s="1332">
        <f t="shared" si="1"/>
        <v>0</v>
      </c>
      <c r="I12" s="1009"/>
      <c r="J12" s="1009"/>
      <c r="K12" s="1009"/>
      <c r="L12" s="1332">
        <f t="shared" si="2"/>
        <v>0</v>
      </c>
      <c r="M12" s="1009"/>
      <c r="N12" s="1332">
        <f t="shared" si="3"/>
        <v>0</v>
      </c>
      <c r="O12" s="2151"/>
      <c r="Q12" s="651" t="b">
        <f t="shared" si="4"/>
        <v>1</v>
      </c>
      <c r="R12" s="3892" t="s">
        <v>6113</v>
      </c>
      <c r="S12" s="3892"/>
      <c r="T12" s="698"/>
      <c r="U12" s="698"/>
    </row>
    <row r="13" spans="1:22" s="651" customFormat="1" ht="25.5" thickBot="1">
      <c r="A13" s="546" t="str">
        <f>"R1=251014;R2=RUB;R35=200;COM="&amp;O13</f>
        <v>R1=251014;R2=RUB;R35=200;COM=</v>
      </c>
      <c r="B13" s="1569"/>
      <c r="C13" s="1397" t="s">
        <v>4095</v>
      </c>
      <c r="D13" s="914" t="s">
        <v>4184</v>
      </c>
      <c r="E13" s="914" t="s">
        <v>4184</v>
      </c>
      <c r="F13" s="1009"/>
      <c r="G13" s="1009"/>
      <c r="H13" s="1332">
        <f t="shared" si="1"/>
        <v>0</v>
      </c>
      <c r="I13" s="1009"/>
      <c r="J13" s="1009"/>
      <c r="K13" s="1009"/>
      <c r="L13" s="1332">
        <f t="shared" si="2"/>
        <v>0</v>
      </c>
      <c r="M13" s="1009"/>
      <c r="N13" s="1332">
        <f t="shared" si="3"/>
        <v>0</v>
      </c>
      <c r="O13" s="2151"/>
      <c r="P13" s="3614" t="b">
        <f>AND(P15:P5000)</f>
        <v>1</v>
      </c>
      <c r="Q13" s="651" t="b">
        <f t="shared" si="4"/>
        <v>1</v>
      </c>
      <c r="R13" s="3891" t="s">
        <v>1755</v>
      </c>
      <c r="S13" s="3891"/>
      <c r="T13" s="2273" t="b">
        <f>AND(T15:T5000)</f>
        <v>1</v>
      </c>
      <c r="U13" s="2284" t="b">
        <f>AND(U15:U5000)</f>
        <v>1</v>
      </c>
      <c r="V13" s="3321" t="b">
        <f>AND(V15:V5000)</f>
        <v>1</v>
      </c>
    </row>
    <row r="14" spans="1:22" s="651" customFormat="1" ht="39">
      <c r="A14" s="546" t="str">
        <f>"R1=251015;R2=RUB;R35=200;COM="&amp;O14</f>
        <v>R1=251015;R2=RUB;R35=200;COM=</v>
      </c>
      <c r="B14" s="1569"/>
      <c r="C14" s="1397" t="s">
        <v>7441</v>
      </c>
      <c r="D14" s="914" t="s">
        <v>4184</v>
      </c>
      <c r="E14" s="914" t="s">
        <v>4184</v>
      </c>
      <c r="F14" s="1009"/>
      <c r="G14" s="1009"/>
      <c r="H14" s="1332">
        <f t="shared" si="1"/>
        <v>0</v>
      </c>
      <c r="I14" s="1009"/>
      <c r="J14" s="1009"/>
      <c r="K14" s="1009"/>
      <c r="L14" s="1332">
        <f t="shared" si="2"/>
        <v>0</v>
      </c>
      <c r="M14" s="1009"/>
      <c r="N14" s="1332">
        <f t="shared" si="3"/>
        <v>0</v>
      </c>
      <c r="O14" s="2151"/>
      <c r="P14" s="3613" t="s">
        <v>15232</v>
      </c>
      <c r="R14" s="2272" t="s">
        <v>6114</v>
      </c>
      <c r="S14" s="2272" t="s">
        <v>6115</v>
      </c>
      <c r="T14" s="2271" t="s">
        <v>6116</v>
      </c>
      <c r="U14" s="2271" t="s">
        <v>6118</v>
      </c>
      <c r="V14" s="2797" t="s">
        <v>10209</v>
      </c>
    </row>
    <row r="15" spans="1:22" s="651" customFormat="1">
      <c r="A15" s="546" t="str">
        <f>"R1="&amp;IFERROR(MID(C15,FIND("{",C15)+1,FIND("}",C15)-FIND("{",C15)-1),"")&amp;";R2="&amp;IFERROR(MID(E15,FIND("{",E15)+1,FIND("}",E15)-FIND("{",E15)-1),"")&amp;";R23="&amp;IFERROR(MID(D15,FIND("{",D15)+1,FIND("}",D15)-FIND("{",D15)-1),"")&amp;";R35=100"&amp;";COM="&amp;O15</f>
        <v>R1=;R2=;R23=;R35=100;COM=</v>
      </c>
      <c r="B15" s="1569"/>
      <c r="C15" s="933"/>
      <c r="D15" s="3309"/>
      <c r="E15" s="1557"/>
      <c r="F15" s="1009"/>
      <c r="G15" s="1009"/>
      <c r="H15" s="1332">
        <f t="shared" si="1"/>
        <v>0</v>
      </c>
      <c r="I15" s="1009"/>
      <c r="J15" s="1009"/>
      <c r="K15" s="1009"/>
      <c r="L15" s="1332">
        <f t="shared" si="2"/>
        <v>0</v>
      </c>
      <c r="M15" s="1009"/>
      <c r="N15" s="1332">
        <f t="shared" si="3"/>
        <v>0</v>
      </c>
      <c r="O15" s="2151"/>
      <c r="P15" s="651" t="b">
        <f>IF(ABS(SUM(F15:N15))&gt;0,AND(C15&lt;&gt;"",E15&lt;&gt;""),TRUE)</f>
        <v>1</v>
      </c>
      <c r="Q15" s="651" t="b">
        <f t="shared" si="4"/>
        <v>1</v>
      </c>
      <c r="R15" s="2279">
        <f>SUMIFS('60,62,63,76_контр'!$P$15:$P35000,'60,62,63,76_контр'!$J$15:$J35000,'60_02'!$C15,'60,62,63,76_контр'!$O$15:$O35000,'60_02'!$E15,'60,62,63,76_контр'!$C$15:$C35000,"60",'60,62,63,76_контр'!$N$15:$N35000,"{10} Долгосрочная",'60,62,63,76_контр'!$AY$15:$AY35000,"-")</f>
        <v>0</v>
      </c>
      <c r="S15" s="2280">
        <f>SUMIFS('60,62,63,76_контр'!$P$15:$P35000,'60,62,63,76_контр'!$J$15:$J35000,'60_02'!$C15,'60,62,63,76_контр'!$O$15:$O35000,'60_02'!$E15,'60,62,63,76_контр'!$C$15:$C35000,"60",'60,62,63,76_контр'!$N$15:$N35000,"{20} Краткосрочная",'60,62,63,76_контр'!$AY$15:$AY35000,"-")</f>
        <v>0</v>
      </c>
      <c r="T15" s="2289" t="b">
        <f t="shared" ref="T15:T22" si="5">IF(ABS(R15-SUMIFS(M:M,C:C,C15,E:E,E15))&lt;5,TRUE,FALSE)</f>
        <v>1</v>
      </c>
      <c r="U15" s="2289" t="b">
        <f t="shared" ref="U15:U22" si="6">IF(ABS(S15-SUMIFS(N:N,C:C,C15,E:E,E15))&lt;5,TRUE,FALSE)</f>
        <v>1</v>
      </c>
      <c r="V15" s="2289" t="b">
        <f>IF(COUNTBLANK(E15:O15)=8,TRUE,D15&lt;&gt;"")</f>
        <v>1</v>
      </c>
    </row>
    <row r="16" spans="1:22" s="651" customFormat="1">
      <c r="A16" s="546" t="str">
        <f t="shared" ref="A16:A22" si="7">"R1="&amp;IFERROR(MID(C16,FIND("{",C16)+1,FIND("}",C16)-FIND("{",C16)-1),"")&amp;";R2="&amp;IFERROR(MID(E16,FIND("{",E16)+1,FIND("}",E16)-FIND("{",E16)-1),"")&amp;";R23="&amp;IFERROR(MID(D16,FIND("{",D16)+1,FIND("}",D16)-FIND("{",D16)-1),"")&amp;";R35=100"&amp;";COM="&amp;O16</f>
        <v>R1=;R2=;R23=;R35=100;COM=</v>
      </c>
      <c r="B16" s="1569"/>
      <c r="C16" s="933"/>
      <c r="D16" s="3309"/>
      <c r="E16" s="1557"/>
      <c r="F16" s="1009"/>
      <c r="G16" s="1009"/>
      <c r="H16" s="1332">
        <f t="shared" si="1"/>
        <v>0</v>
      </c>
      <c r="I16" s="1009"/>
      <c r="J16" s="1009"/>
      <c r="K16" s="1009"/>
      <c r="L16" s="1332">
        <f t="shared" si="2"/>
        <v>0</v>
      </c>
      <c r="M16" s="1009"/>
      <c r="N16" s="1332">
        <f t="shared" si="3"/>
        <v>0</v>
      </c>
      <c r="O16" s="1492"/>
      <c r="P16" s="651" t="b">
        <f t="shared" ref="P16:P22" si="8">IF(ABS(SUM(F16:N16))&gt;0,AND(C16&lt;&gt;"",E16&lt;&gt;""),TRUE)</f>
        <v>1</v>
      </c>
      <c r="Q16" s="651" t="b">
        <f t="shared" si="4"/>
        <v>1</v>
      </c>
      <c r="R16" s="2279">
        <f>SUMIFS('60,62,63,76_контр'!$P$15:$P35001,'60,62,63,76_контр'!$J$15:$J35001,'60_02'!$C16,'60,62,63,76_контр'!$O$15:$O35001,'60_02'!$E16,'60,62,63,76_контр'!$C$15:$C35001,"60",'60,62,63,76_контр'!$N$15:$N35001,"{10} Долгосрочная",'60,62,63,76_контр'!$AY$15:$AY35001,"-")</f>
        <v>0</v>
      </c>
      <c r="S16" s="2280">
        <f>SUMIFS('60,62,63,76_контр'!$P$15:$P35001,'60,62,63,76_контр'!$J$15:$J35001,'60_02'!$C16,'60,62,63,76_контр'!$O$15:$O35001,'60_02'!$E16,'60,62,63,76_контр'!$C$15:$C35001,"60",'60,62,63,76_контр'!$N$15:$N35001,"{20} Краткосрочная",'60,62,63,76_контр'!$AY$15:$AY35001,"-")</f>
        <v>0</v>
      </c>
      <c r="T16" s="2289" t="b">
        <f t="shared" si="5"/>
        <v>1</v>
      </c>
      <c r="U16" s="2289" t="b">
        <f t="shared" si="6"/>
        <v>1</v>
      </c>
      <c r="V16" s="2289" t="b">
        <f t="shared" ref="V16:V22" si="9">IF(COUNTBLANK(E16:O16)=8,TRUE,D16&lt;&gt;"")</f>
        <v>1</v>
      </c>
    </row>
    <row r="17" spans="1:22" s="651" customFormat="1">
      <c r="A17" s="546" t="str">
        <f t="shared" si="7"/>
        <v>R1=;R2=;R23=;R35=100;COM=</v>
      </c>
      <c r="B17" s="1569"/>
      <c r="C17" s="933"/>
      <c r="D17" s="3309"/>
      <c r="E17" s="1462"/>
      <c r="F17" s="1491"/>
      <c r="G17" s="1491"/>
      <c r="H17" s="1332">
        <f t="shared" si="1"/>
        <v>0</v>
      </c>
      <c r="I17" s="1491"/>
      <c r="J17" s="1491"/>
      <c r="K17" s="1491"/>
      <c r="L17" s="1332">
        <f t="shared" si="2"/>
        <v>0</v>
      </c>
      <c r="M17" s="1009"/>
      <c r="N17" s="1332">
        <f t="shared" si="3"/>
        <v>0</v>
      </c>
      <c r="O17" s="1492"/>
      <c r="P17" s="651" t="b">
        <f t="shared" si="8"/>
        <v>1</v>
      </c>
      <c r="Q17" s="651" t="b">
        <f t="shared" si="4"/>
        <v>1</v>
      </c>
      <c r="R17" s="2279">
        <f>SUMIFS('60,62,63,76_контр'!$P$15:$P35002,'60,62,63,76_контр'!$J$15:$J35002,'60_02'!$C17,'60,62,63,76_контр'!$O$15:$O35002,'60_02'!$E17,'60,62,63,76_контр'!$C$15:$C35002,"60",'60,62,63,76_контр'!$N$15:$N35002,"{10} Долгосрочная",'60,62,63,76_контр'!$AY$15:$AY35002,"-")</f>
        <v>0</v>
      </c>
      <c r="S17" s="2280">
        <f>SUMIFS('60,62,63,76_контр'!$P$15:$P35002,'60,62,63,76_контр'!$J$15:$J35002,'60_02'!$C17,'60,62,63,76_контр'!$O$15:$O35002,'60_02'!$E17,'60,62,63,76_контр'!$C$15:$C35002,"60",'60,62,63,76_контр'!$N$15:$N35002,"{20} Краткосрочная",'60,62,63,76_контр'!$AY$15:$AY35002,"-")</f>
        <v>0</v>
      </c>
      <c r="T17" s="2289" t="b">
        <f t="shared" si="5"/>
        <v>1</v>
      </c>
      <c r="U17" s="2289" t="b">
        <f t="shared" si="6"/>
        <v>1</v>
      </c>
      <c r="V17" s="2289" t="b">
        <f t="shared" si="9"/>
        <v>1</v>
      </c>
    </row>
    <row r="18" spans="1:22" s="651" customFormat="1">
      <c r="A18" s="546" t="str">
        <f t="shared" si="7"/>
        <v>R1=;R2=;R23=;R35=100;COM=</v>
      </c>
      <c r="B18" s="1569"/>
      <c r="C18" s="933"/>
      <c r="D18" s="3309"/>
      <c r="E18" s="1462"/>
      <c r="F18" s="1491"/>
      <c r="G18" s="1491"/>
      <c r="H18" s="1332">
        <f>F18-G18</f>
        <v>0</v>
      </c>
      <c r="I18" s="1491"/>
      <c r="J18" s="1491"/>
      <c r="K18" s="1491"/>
      <c r="L18" s="1332">
        <f>SUM(F18,I18:K18)</f>
        <v>0</v>
      </c>
      <c r="M18" s="1009"/>
      <c r="N18" s="1332">
        <f>L18-M18</f>
        <v>0</v>
      </c>
      <c r="O18" s="1492"/>
      <c r="P18" s="651" t="b">
        <f t="shared" si="8"/>
        <v>1</v>
      </c>
      <c r="Q18" s="651" t="b">
        <f t="shared" si="4"/>
        <v>1</v>
      </c>
      <c r="R18" s="2279">
        <f>SUMIFS('60,62,63,76_контр'!$P$15:$P35003,'60,62,63,76_контр'!$J$15:$J35003,'60_02'!$C18,'60,62,63,76_контр'!$O$15:$O35003,'60_02'!$E18,'60,62,63,76_контр'!$C$15:$C35003,"60",'60,62,63,76_контр'!$N$15:$N35003,"{10} Долгосрочная",'60,62,63,76_контр'!$AY$15:$AY35003,"-")</f>
        <v>0</v>
      </c>
      <c r="S18" s="2280">
        <f>SUMIFS('60,62,63,76_контр'!$P$15:$P35003,'60,62,63,76_контр'!$J$15:$J35003,'60_02'!$C18,'60,62,63,76_контр'!$O$15:$O35003,'60_02'!$E18,'60,62,63,76_контр'!$C$15:$C35003,"60",'60,62,63,76_контр'!$N$15:$N35003,"{20} Краткосрочная",'60,62,63,76_контр'!$AY$15:$AY35003,"-")</f>
        <v>0</v>
      </c>
      <c r="T18" s="2289" t="b">
        <f t="shared" si="5"/>
        <v>1</v>
      </c>
      <c r="U18" s="2289" t="b">
        <f t="shared" si="6"/>
        <v>1</v>
      </c>
      <c r="V18" s="2289" t="b">
        <f t="shared" si="9"/>
        <v>1</v>
      </c>
    </row>
    <row r="19" spans="1:22" s="651" customFormat="1">
      <c r="A19" s="546" t="str">
        <f t="shared" si="7"/>
        <v>R1=;R2=;R23=;R35=100;COM=</v>
      </c>
      <c r="B19" s="1569"/>
      <c r="C19" s="933"/>
      <c r="D19" s="3309"/>
      <c r="E19" s="1462"/>
      <c r="F19" s="1491"/>
      <c r="G19" s="1491"/>
      <c r="H19" s="1332">
        <f>F19-G19</f>
        <v>0</v>
      </c>
      <c r="I19" s="1491"/>
      <c r="J19" s="1491"/>
      <c r="K19" s="1491"/>
      <c r="L19" s="1332">
        <f>SUM(F19,I19:K19)</f>
        <v>0</v>
      </c>
      <c r="M19" s="1009"/>
      <c r="N19" s="1332">
        <f>L19-M19</f>
        <v>0</v>
      </c>
      <c r="O19" s="1492"/>
      <c r="P19" s="651" t="b">
        <f t="shared" si="8"/>
        <v>1</v>
      </c>
      <c r="Q19" s="651" t="b">
        <f t="shared" si="4"/>
        <v>1</v>
      </c>
      <c r="R19" s="2279">
        <f>SUMIFS('60,62,63,76_контр'!$P$15:$P35004,'60,62,63,76_контр'!$J$15:$J35004,'60_02'!$C19,'60,62,63,76_контр'!$O$15:$O35004,'60_02'!$E19,'60,62,63,76_контр'!$C$15:$C35004,"60",'60,62,63,76_контр'!$N$15:$N35004,"{10} Долгосрочная",'60,62,63,76_контр'!$AY$15:$AY35004,"-")</f>
        <v>0</v>
      </c>
      <c r="S19" s="2280">
        <f>SUMIFS('60,62,63,76_контр'!$P$15:$P35004,'60,62,63,76_контр'!$J$15:$J35004,'60_02'!$C19,'60,62,63,76_контр'!$O$15:$O35004,'60_02'!$E19,'60,62,63,76_контр'!$C$15:$C35004,"60",'60,62,63,76_контр'!$N$15:$N35004,"{20} Краткосрочная",'60,62,63,76_контр'!$AY$15:$AY35004,"-")</f>
        <v>0</v>
      </c>
      <c r="T19" s="2289" t="b">
        <f t="shared" si="5"/>
        <v>1</v>
      </c>
      <c r="U19" s="2289" t="b">
        <f t="shared" si="6"/>
        <v>1</v>
      </c>
      <c r="V19" s="2289" t="b">
        <f t="shared" si="9"/>
        <v>1</v>
      </c>
    </row>
    <row r="20" spans="1:22" s="651" customFormat="1">
      <c r="A20" s="546" t="str">
        <f t="shared" si="7"/>
        <v>R1=;R2=;R23=;R35=100;COM=</v>
      </c>
      <c r="B20" s="1569"/>
      <c r="C20" s="933"/>
      <c r="D20" s="3309"/>
      <c r="E20" s="1462"/>
      <c r="F20" s="1491"/>
      <c r="G20" s="1491"/>
      <c r="H20" s="1332">
        <f>F20-G20</f>
        <v>0</v>
      </c>
      <c r="I20" s="1491"/>
      <c r="J20" s="1491"/>
      <c r="K20" s="1491"/>
      <c r="L20" s="1332">
        <f>SUM(F20,I20:K20)</f>
        <v>0</v>
      </c>
      <c r="M20" s="1009"/>
      <c r="N20" s="1332">
        <f>L20-M20</f>
        <v>0</v>
      </c>
      <c r="O20" s="1492"/>
      <c r="P20" s="651" t="b">
        <f t="shared" si="8"/>
        <v>1</v>
      </c>
      <c r="Q20" s="651" t="b">
        <f>IF(OR(G20&lt;0,H20&lt;0,M20&lt;0,N20&lt;0),FALSE,TRUE)</f>
        <v>1</v>
      </c>
      <c r="R20" s="2279">
        <f>SUMIFS('60,62,63,76_контр'!$P$15:$P35005,'60,62,63,76_контр'!$J$15:$J35005,'60_02'!$C20,'60,62,63,76_контр'!$O$15:$O35005,'60_02'!$E20,'60,62,63,76_контр'!$C$15:$C35005,"60",'60,62,63,76_контр'!$N$15:$N35005,"{10} Долгосрочная",'60,62,63,76_контр'!$AY$15:$AY35005,"-")</f>
        <v>0</v>
      </c>
      <c r="S20" s="2280">
        <f>SUMIFS('60,62,63,76_контр'!$P$15:$P35005,'60,62,63,76_контр'!$J$15:$J35005,'60_02'!$C20,'60,62,63,76_контр'!$O$15:$O35005,'60_02'!$E20,'60,62,63,76_контр'!$C$15:$C35005,"60",'60,62,63,76_контр'!$N$15:$N35005,"{20} Краткосрочная",'60,62,63,76_контр'!$AY$15:$AY35005,"-")</f>
        <v>0</v>
      </c>
      <c r="T20" s="2289" t="b">
        <f t="shared" si="5"/>
        <v>1</v>
      </c>
      <c r="U20" s="2289" t="b">
        <f t="shared" si="6"/>
        <v>1</v>
      </c>
      <c r="V20" s="2289" t="b">
        <f t="shared" si="9"/>
        <v>1</v>
      </c>
    </row>
    <row r="21" spans="1:22" s="651" customFormat="1">
      <c r="A21" s="546" t="str">
        <f t="shared" si="7"/>
        <v>R1=;R2=;R23=;R35=100;COM=</v>
      </c>
      <c r="B21" s="1569"/>
      <c r="C21" s="2152"/>
      <c r="D21" s="3309"/>
      <c r="E21" s="1462"/>
      <c r="F21" s="1491"/>
      <c r="G21" s="1491"/>
      <c r="H21" s="1332">
        <f>F21-G21</f>
        <v>0</v>
      </c>
      <c r="I21" s="1491"/>
      <c r="J21" s="1491"/>
      <c r="K21" s="1491"/>
      <c r="L21" s="1332">
        <f>SUM(F21,I21:K21)</f>
        <v>0</v>
      </c>
      <c r="M21" s="1009"/>
      <c r="N21" s="1332">
        <f>L21-M21</f>
        <v>0</v>
      </c>
      <c r="O21" s="1492"/>
      <c r="P21" s="651" t="b">
        <f t="shared" si="8"/>
        <v>1</v>
      </c>
      <c r="Q21" s="651" t="b">
        <f>IF(OR(G21&lt;0,H21&lt;0,M21&lt;0,N21&lt;0),FALSE,TRUE)</f>
        <v>1</v>
      </c>
      <c r="R21" s="2279">
        <f>SUMIFS('60,62,63,76_контр'!$P$15:$P35006,'60,62,63,76_контр'!$J$15:$J35006,'60_02'!$C21,'60,62,63,76_контр'!$O$15:$O35006,'60_02'!$E21,'60,62,63,76_контр'!$C$15:$C35006,"60",'60,62,63,76_контр'!$N$15:$N35006,"{10} Долгосрочная",'60,62,63,76_контр'!$AY$15:$AY35006,"-")</f>
        <v>0</v>
      </c>
      <c r="S21" s="2280">
        <f>SUMIFS('60,62,63,76_контр'!$P$15:$P35006,'60,62,63,76_контр'!$J$15:$J35006,'60_02'!$C21,'60,62,63,76_контр'!$O$15:$O35006,'60_02'!$E21,'60,62,63,76_контр'!$C$15:$C35006,"60",'60,62,63,76_контр'!$N$15:$N35006,"{20} Краткосрочная",'60,62,63,76_контр'!$AY$15:$AY35006,"-")</f>
        <v>0</v>
      </c>
      <c r="T21" s="2289" t="b">
        <f t="shared" si="5"/>
        <v>1</v>
      </c>
      <c r="U21" s="2289" t="b">
        <f t="shared" si="6"/>
        <v>1</v>
      </c>
      <c r="V21" s="2289" t="b">
        <f t="shared" si="9"/>
        <v>1</v>
      </c>
    </row>
    <row r="22" spans="1:22" ht="15" thickBot="1">
      <c r="A22" s="546" t="str">
        <f t="shared" si="7"/>
        <v>R1=;R2=;R23=;R35=100;COM=</v>
      </c>
      <c r="C22" s="1347"/>
      <c r="D22" s="1346"/>
      <c r="E22" s="1346"/>
      <c r="F22" s="1340"/>
      <c r="G22" s="1340"/>
      <c r="H22" s="1539">
        <f>F22-G22</f>
        <v>0</v>
      </c>
      <c r="I22" s="1340"/>
      <c r="J22" s="1340"/>
      <c r="K22" s="1340"/>
      <c r="L22" s="1539">
        <f>SUM(F22,I22:K22)</f>
        <v>0</v>
      </c>
      <c r="M22" s="1148"/>
      <c r="N22" s="1539">
        <f>L22-M22</f>
        <v>0</v>
      </c>
      <c r="O22" s="1540"/>
      <c r="P22" s="651" t="b">
        <f t="shared" si="8"/>
        <v>1</v>
      </c>
      <c r="Q22" s="651" t="b">
        <f>IF(OR(G22&lt;0,H22&lt;0,M22&lt;0,N22&lt;0),FALSE,TRUE)</f>
        <v>1</v>
      </c>
      <c r="R22" s="2279">
        <f>SUMIFS('60,62,63,76_контр'!$P$15:$P35007,'60,62,63,76_контр'!$J$15:$J35007,'60_02'!$C22,'60,62,63,76_контр'!$O$15:$O35007,'60_02'!$E22,'60,62,63,76_контр'!$C$15:$C35007,"60",'60,62,63,76_контр'!$N$15:$N35007,"{10} Долгосрочная",'60,62,63,76_контр'!$AY$15:$AY35007,"-")</f>
        <v>0</v>
      </c>
      <c r="S22" s="2280">
        <f>SUMIFS('60,62,63,76_контр'!$P$15:$P35007,'60,62,63,76_контр'!$J$15:$J35007,'60_02'!$C22,'60,62,63,76_контр'!$O$15:$O35007,'60_02'!$E22,'60,62,63,76_контр'!$C$15:$C35007,"60",'60,62,63,76_контр'!$N$15:$N35007,"{20} Краткосрочная",'60,62,63,76_контр'!$AY$15:$AY35007,"-")</f>
        <v>0</v>
      </c>
      <c r="T22" s="2289" t="b">
        <f t="shared" si="5"/>
        <v>1</v>
      </c>
      <c r="U22" s="2289" t="b">
        <f t="shared" si="6"/>
        <v>1</v>
      </c>
      <c r="V22" s="2289" t="b">
        <f t="shared" si="9"/>
        <v>1</v>
      </c>
    </row>
    <row r="23" spans="1:22">
      <c r="B23" s="743"/>
    </row>
    <row r="24" spans="1:22">
      <c r="B24" s="743"/>
    </row>
    <row r="25" spans="1:22">
      <c r="B25" s="743"/>
    </row>
    <row r="26" spans="1:22">
      <c r="B26" s="743"/>
    </row>
    <row r="27" spans="1:22">
      <c r="B27" s="743"/>
    </row>
    <row r="28" spans="1:22">
      <c r="B28" s="743"/>
    </row>
    <row r="29" spans="1:22">
      <c r="B29" s="743"/>
    </row>
    <row r="30" spans="1:22">
      <c r="B30" s="743"/>
    </row>
    <row r="31" spans="1:22">
      <c r="B31" s="743"/>
    </row>
    <row r="32" spans="1:22">
      <c r="B32" s="743"/>
    </row>
    <row r="33" spans="2:2">
      <c r="B33" s="743"/>
    </row>
    <row r="34" spans="2:2">
      <c r="B34" s="743"/>
    </row>
    <row r="35" spans="2:2">
      <c r="B35" s="743"/>
    </row>
    <row r="36" spans="2:2">
      <c r="B36" s="743"/>
    </row>
    <row r="37" spans="2:2">
      <c r="B37" s="743"/>
    </row>
  </sheetData>
  <sheetProtection algorithmName="SHA-512" hashValue="fKxxlDVhlC4HPcrfv5iN+RU2FjPllXfHQ7Yxbm1EdQjT3SZPXKGmUwPAJLOnGHO2YW/VNsfVvSiKwKRPaysj7w==" saltValue="iebb+eOVogmGIakn+Vzd3g==" spinCount="100000" sheet="1" objects="1" scenarios="1" formatColumns="0" formatRows="0" autoFilter="0"/>
  <autoFilter ref="C8:V8"/>
  <customSheetViews>
    <customSheetView guid="{3769259D-9653-4B34-A2F6-4FB6F9F4E533}" scale="85" showGridLines="0" showAutoFilter="1" hiddenRows="1" hiddenColumns="1">
      <pane xSplit="4" ySplit="9" topLeftCell="E10" activePane="bottomRight" state="frozen"/>
      <selection pane="bottomRight"/>
      <pageMargins left="0.7" right="0.7" top="0.75" bottom="0.75" header="0.3" footer="0.3"/>
      <pageSetup paperSize="9" orientation="portrait" horizontalDpi="300" verticalDpi="0" copies="0" r:id="rId1"/>
      <autoFilter ref="B1:M1"/>
    </customSheetView>
    <customSheetView guid="{40D7A2BB-326C-4ED3-999C-17852F56D6F4}" scale="85" showGridLines="0" showAutoFilter="1" hiddenRows="1" hiddenColumns="1">
      <pane xSplit="4" ySplit="9" topLeftCell="E10" activePane="bottomRight" state="frozen"/>
      <selection pane="bottomRight"/>
      <pageMargins left="0.7" right="0.7" top="0.75" bottom="0.75" header="0.3" footer="0.3"/>
      <pageSetup paperSize="9" orientation="portrait" horizontalDpi="300" verticalDpi="0" copies="0" r:id="rId2"/>
      <autoFilter ref="B1:M1"/>
    </customSheetView>
    <customSheetView guid="{5D121940-0CE8-4A0E-A493-67FAAA6E0FF8}" scale="85" showGridLines="0" showAutoFilter="1" hiddenRows="1" hiddenColumns="1" topLeftCell="B2">
      <pane xSplit="3" ySplit="8" topLeftCell="M10" activePane="bottomRight" state="frozen"/>
      <selection pane="bottomRight" activeCell="P2" sqref="P1:P65536"/>
      <pageMargins left="0.7" right="0.7" top="0.75" bottom="0.75" header="0.3" footer="0.3"/>
      <pageSetup paperSize="9" orientation="portrait" horizontalDpi="300" verticalDpi="0" copies="0" r:id="rId3"/>
      <autoFilter ref="B1:M1"/>
    </customSheetView>
    <customSheetView guid="{47AEACC4-6EA5-412C-AF39-A6C5357B313A}" scale="85" showGridLines="0" showAutoFilter="1" hiddenRows="1" hiddenColumns="1" topLeftCell="B2">
      <pane xSplit="3" ySplit="8" topLeftCell="G10" activePane="bottomRight" state="frozen"/>
      <selection pane="bottomRight" activeCell="K9" sqref="K9"/>
      <pageMargins left="0.7" right="0.7" top="0.75" bottom="0.75" header="0.3" footer="0.3"/>
      <pageSetup paperSize="9" orientation="portrait" horizontalDpi="300" verticalDpi="0" copies="0" r:id="rId4"/>
      <autoFilter ref="B1:M1"/>
    </customSheetView>
    <customSheetView guid="{4D957B38-5430-481E-B791-E0A66F913B50}" scale="70" topLeftCell="A2">
      <selection activeCell="D18" sqref="D18"/>
      <pageMargins left="0.7" right="0.7" top="0.75" bottom="0.75" header="0.3" footer="0.3"/>
    </customSheetView>
    <customSheetView guid="{1C36793E-2B7E-411E-AA99-985D5D59B75A}" scale="70">
      <selection activeCell="F8" sqref="F8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B2">
      <pane xSplit="3" ySplit="8" topLeftCell="K10" activePane="bottomRight" state="frozen"/>
      <selection pane="bottomRight" activeCell="C7" sqref="C7"/>
      <pageMargins left="0.7" right="0.7" top="0.75" bottom="0.75" header="0.3" footer="0.3"/>
      <pageSetup paperSize="9" orientation="portrait" horizontalDpi="300" verticalDpi="0" copies="0" r:id="rId5"/>
      <autoFilter ref="B1:M1"/>
    </customSheetView>
  </customSheetViews>
  <mergeCells count="2">
    <mergeCell ref="R13:S13"/>
    <mergeCell ref="R12:S12"/>
  </mergeCells>
  <phoneticPr fontId="0" type="noConversion"/>
  <dataValidations count="3">
    <dataValidation type="list" operator="equal" allowBlank="1" showErrorMessage="1" errorTitle="Выбор элемента списка" error="Данного элемента нет в списке" sqref="E15:E22">
      <formula1>_6003</formula1>
    </dataValidation>
    <dataValidation type="list" operator="equal" allowBlank="1" showErrorMessage="1" errorTitle="Выбор элемента списка" error="Данного элемента нет в списке" sqref="C15:C22">
      <formula1>_9022_60</formula1>
    </dataValidation>
    <dataValidation type="list" operator="equal" allowBlank="1" showErrorMessage="1" errorTitle="Выбор элемента списка" error="Данного элемента нет в списке" sqref="D15:D22">
      <formula1>_1010_60_02</formula1>
    </dataValidation>
  </dataValidations>
  <hyperlinks>
    <hyperlink ref="G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4" orientation="landscape" horizont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9" name="Button 1">
              <controlPr defaultSize="0" print="0" autoFill="0" autoPict="0" macro="[0]!AddButtonsRowAdd">
                <anchor moveWithCells="1">
                  <from>
                    <xdr:col>4</xdr:col>
                    <xdr:colOff>450850</xdr:colOff>
                    <xdr:row>2</xdr:row>
                    <xdr:rowOff>69850</xdr:rowOff>
                  </from>
                  <to>
                    <xdr:col>5</xdr:col>
                    <xdr:colOff>31750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">
    <pageSetUpPr fitToPage="1"/>
  </sheetPr>
  <dimension ref="A1:Z22"/>
  <sheetViews>
    <sheetView topLeftCell="D2" zoomScale="51" zoomScaleNormal="51" workbookViewId="0">
      <selection activeCell="T11" sqref="T11"/>
    </sheetView>
  </sheetViews>
  <sheetFormatPr defaultColWidth="9.453125" defaultRowHeight="14.5"/>
  <cols>
    <col min="1" max="1" width="63.453125" style="1163" hidden="1" customWidth="1"/>
    <col min="2" max="2" width="6" style="32" customWidth="1"/>
    <col min="3" max="3" width="55" style="32" customWidth="1"/>
    <col min="4" max="18" width="17.54296875" style="32" customWidth="1"/>
    <col min="19" max="19" width="45.453125" style="32" customWidth="1"/>
    <col min="20" max="20" width="20.453125" style="32" customWidth="1"/>
    <col min="21" max="21" width="20.453125" style="32" hidden="1" customWidth="1"/>
    <col min="22" max="23" width="16.453125" style="271" customWidth="1"/>
    <col min="24" max="24" width="14" style="32" customWidth="1"/>
    <col min="25" max="25" width="15" style="32" customWidth="1"/>
    <col min="26" max="26" width="21.54296875" style="32" customWidth="1"/>
    <col min="27" max="16384" width="9.453125" style="32"/>
  </cols>
  <sheetData>
    <row r="1" spans="1:26" s="1163" customFormat="1" ht="14.25" hidden="1" customHeight="1">
      <c r="A1" s="167" t="s">
        <v>2838</v>
      </c>
      <c r="B1" s="5"/>
      <c r="C1" s="5"/>
      <c r="D1" s="6"/>
      <c r="E1" s="6"/>
      <c r="F1" s="6" t="s">
        <v>1074</v>
      </c>
      <c r="G1" s="6" t="s">
        <v>1075</v>
      </c>
      <c r="H1" s="6" t="s">
        <v>392</v>
      </c>
      <c r="I1" s="6" t="s">
        <v>1063</v>
      </c>
      <c r="J1" s="6" t="s">
        <v>1064</v>
      </c>
      <c r="K1" s="6" t="s">
        <v>1065</v>
      </c>
      <c r="L1" s="6" t="s">
        <v>1066</v>
      </c>
      <c r="M1" s="6" t="s">
        <v>1067</v>
      </c>
      <c r="N1" s="6" t="s">
        <v>1070</v>
      </c>
      <c r="O1" s="6" t="s">
        <v>1071</v>
      </c>
      <c r="P1" s="6"/>
      <c r="Q1" s="6" t="s">
        <v>1077</v>
      </c>
      <c r="R1" s="6" t="s">
        <v>1078</v>
      </c>
      <c r="S1" s="6"/>
      <c r="V1" s="1564"/>
      <c r="W1" s="1564"/>
    </row>
    <row r="2" spans="1:26" s="1778" customFormat="1">
      <c r="A2" s="741"/>
      <c r="E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V2" s="1932"/>
      <c r="W2" s="1932"/>
    </row>
    <row r="3" spans="1:26">
      <c r="A3" s="741"/>
    </row>
    <row r="4" spans="1:26" s="24" customFormat="1" ht="26">
      <c r="A4" s="9"/>
      <c r="C4" s="105" t="s">
        <v>4096</v>
      </c>
      <c r="E4"/>
      <c r="F4" s="1897" t="s">
        <v>2067</v>
      </c>
      <c r="G4" s="1244">
        <f>Содержание!$D$2</f>
        <v>0</v>
      </c>
      <c r="V4" s="485"/>
      <c r="W4" s="485"/>
    </row>
    <row r="5" spans="1:26" s="24" customFormat="1" ht="15" thickBot="1">
      <c r="A5" s="9"/>
      <c r="C5"/>
      <c r="D5" s="192"/>
      <c r="E5" s="3044" t="s">
        <v>1436</v>
      </c>
      <c r="F5" s="1897" t="s">
        <v>2075</v>
      </c>
      <c r="G5" s="1244" t="str">
        <f>Содержание!$D$15</f>
        <v>2022 год</v>
      </c>
      <c r="H5" s="192"/>
      <c r="V5" s="485"/>
      <c r="W5" s="485"/>
    </row>
    <row r="6" spans="1:26" s="196" customFormat="1" ht="48.75" customHeight="1">
      <c r="A6" s="30"/>
      <c r="C6" s="85" t="s">
        <v>4090</v>
      </c>
      <c r="D6" s="28" t="s">
        <v>4664</v>
      </c>
      <c r="E6" s="28" t="s">
        <v>5225</v>
      </c>
      <c r="F6" s="28" t="s">
        <v>4081</v>
      </c>
      <c r="G6" s="28" t="s">
        <v>5396</v>
      </c>
      <c r="H6" s="28" t="s">
        <v>7615</v>
      </c>
      <c r="I6" s="28" t="s">
        <v>5497</v>
      </c>
      <c r="J6" s="28" t="s">
        <v>2820</v>
      </c>
      <c r="K6" s="28" t="s">
        <v>5391</v>
      </c>
      <c r="L6" s="28" t="s">
        <v>5498</v>
      </c>
      <c r="M6" s="28" t="s">
        <v>4076</v>
      </c>
      <c r="N6" s="28" t="s">
        <v>4079</v>
      </c>
      <c r="O6" s="28" t="s">
        <v>5524</v>
      </c>
      <c r="P6" s="28" t="s">
        <v>5233</v>
      </c>
      <c r="Q6" s="28" t="s">
        <v>4081</v>
      </c>
      <c r="R6" s="28" t="s">
        <v>5396</v>
      </c>
      <c r="S6" s="991" t="s">
        <v>4183</v>
      </c>
      <c r="V6" s="773"/>
      <c r="W6" s="773"/>
    </row>
    <row r="7" spans="1:26" s="24" customFormat="1" ht="13">
      <c r="A7" s="9"/>
      <c r="C7" s="832">
        <v>10022</v>
      </c>
      <c r="D7" s="833" t="s">
        <v>5250</v>
      </c>
      <c r="E7" s="984" t="s">
        <v>672</v>
      </c>
      <c r="F7" s="833" t="s">
        <v>4142</v>
      </c>
      <c r="G7" s="833" t="s">
        <v>4142</v>
      </c>
      <c r="H7" s="984" t="s">
        <v>4073</v>
      </c>
      <c r="I7" s="984" t="s">
        <v>4082</v>
      </c>
      <c r="J7" s="984" t="s">
        <v>3961</v>
      </c>
      <c r="K7" s="984" t="s">
        <v>4083</v>
      </c>
      <c r="L7" s="984" t="s">
        <v>4074</v>
      </c>
      <c r="M7" s="984" t="s">
        <v>4084</v>
      </c>
      <c r="N7" s="984" t="s">
        <v>4087</v>
      </c>
      <c r="O7" s="984" t="s">
        <v>4088</v>
      </c>
      <c r="P7" s="833" t="s">
        <v>673</v>
      </c>
      <c r="Q7" s="833" t="s">
        <v>4142</v>
      </c>
      <c r="R7" s="833" t="s">
        <v>4142</v>
      </c>
      <c r="S7" s="992"/>
      <c r="V7" s="485"/>
      <c r="W7" s="485"/>
    </row>
    <row r="8" spans="1:26" s="698" customFormat="1" ht="13.5" customHeight="1">
      <c r="A8" s="668"/>
      <c r="B8" s="702"/>
      <c r="C8" s="1699" t="s">
        <v>4164</v>
      </c>
      <c r="D8" s="1699" t="s">
        <v>4165</v>
      </c>
      <c r="E8" s="1699" t="s">
        <v>4166</v>
      </c>
      <c r="F8" s="1699" t="s">
        <v>5500</v>
      </c>
      <c r="G8" s="1699" t="s">
        <v>4169</v>
      </c>
      <c r="H8" s="1699" t="s">
        <v>4168</v>
      </c>
      <c r="I8" s="1699" t="s">
        <v>4178</v>
      </c>
      <c r="J8" s="1699" t="s">
        <v>4179</v>
      </c>
      <c r="K8" s="1699" t="s">
        <v>4167</v>
      </c>
      <c r="L8" s="1699" t="s">
        <v>5501</v>
      </c>
      <c r="M8" s="1699" t="s">
        <v>4701</v>
      </c>
      <c r="N8" s="1699" t="s">
        <v>4702</v>
      </c>
      <c r="O8" s="1699" t="s">
        <v>4703</v>
      </c>
      <c r="P8" s="1699" t="s">
        <v>5502</v>
      </c>
      <c r="Q8" s="1699" t="s">
        <v>5503</v>
      </c>
      <c r="R8" s="1699" t="s">
        <v>5504</v>
      </c>
      <c r="S8" s="1699" t="s">
        <v>4853</v>
      </c>
      <c r="V8" s="3892" t="s">
        <v>6113</v>
      </c>
      <c r="W8" s="3892"/>
    </row>
    <row r="9" spans="1:26" s="24" customFormat="1" ht="13.5" customHeight="1" thickBot="1">
      <c r="A9" s="9"/>
      <c r="C9" s="978" t="s">
        <v>4170</v>
      </c>
      <c r="D9" s="914" t="s">
        <v>4184</v>
      </c>
      <c r="E9" s="894">
        <f t="shared" ref="E9:R9" si="0">SUM(E10:E10004)</f>
        <v>0</v>
      </c>
      <c r="F9" s="894">
        <f t="shared" si="0"/>
        <v>0</v>
      </c>
      <c r="G9" s="894">
        <f t="shared" si="0"/>
        <v>0</v>
      </c>
      <c r="H9" s="894">
        <f t="shared" si="0"/>
        <v>0</v>
      </c>
      <c r="I9" s="894">
        <f t="shared" si="0"/>
        <v>0</v>
      </c>
      <c r="J9" s="894">
        <f t="shared" si="0"/>
        <v>0</v>
      </c>
      <c r="K9" s="894">
        <f t="shared" si="0"/>
        <v>0</v>
      </c>
      <c r="L9" s="894">
        <f t="shared" si="0"/>
        <v>0</v>
      </c>
      <c r="M9" s="894">
        <f t="shared" si="0"/>
        <v>0</v>
      </c>
      <c r="N9" s="894">
        <f t="shared" si="0"/>
        <v>0</v>
      </c>
      <c r="O9" s="894">
        <f t="shared" si="0"/>
        <v>0</v>
      </c>
      <c r="P9" s="894">
        <f t="shared" si="0"/>
        <v>0</v>
      </c>
      <c r="Q9" s="894">
        <f t="shared" si="0"/>
        <v>0</v>
      </c>
      <c r="R9" s="894">
        <f t="shared" si="0"/>
        <v>0</v>
      </c>
      <c r="S9" s="980" t="s">
        <v>4184</v>
      </c>
      <c r="T9" s="3614" t="b">
        <f>AND(T11:T5000)</f>
        <v>1</v>
      </c>
      <c r="U9" s="24" t="b">
        <f>AND(U10:U500)</f>
        <v>1</v>
      </c>
      <c r="V9" s="3891" t="s">
        <v>1755</v>
      </c>
      <c r="W9" s="3891"/>
      <c r="X9" s="2273" t="b">
        <f>AND(X11:X5000)</f>
        <v>1</v>
      </c>
      <c r="Y9" s="2284" t="b">
        <f>AND(Y11:Y5000)</f>
        <v>1</v>
      </c>
      <c r="Z9" s="2798" t="b">
        <f>AND(Z11:Z5000)</f>
        <v>1</v>
      </c>
    </row>
    <row r="10" spans="1:26" s="24" customFormat="1" ht="52">
      <c r="A10" s="9" t="str">
        <f>"R1=251111;R2=RUB;R35=200;COM="&amp;S10</f>
        <v>R1=251111;R2=RUB;R35=200;COM=</v>
      </c>
      <c r="C10" s="981" t="s">
        <v>5507</v>
      </c>
      <c r="D10" s="914" t="s">
        <v>4184</v>
      </c>
      <c r="E10" s="897"/>
      <c r="F10" s="897"/>
      <c r="G10" s="1533">
        <f>E10-F10</f>
        <v>0</v>
      </c>
      <c r="H10" s="897"/>
      <c r="I10" s="897"/>
      <c r="J10" s="897"/>
      <c r="K10" s="897"/>
      <c r="L10" s="897"/>
      <c r="M10" s="897"/>
      <c r="N10" s="897"/>
      <c r="O10" s="897"/>
      <c r="P10" s="1533">
        <f>SUM(E10,H10:O10)</f>
        <v>0</v>
      </c>
      <c r="Q10" s="897"/>
      <c r="R10" s="1533">
        <f>P10-Q10</f>
        <v>0</v>
      </c>
      <c r="S10" s="982"/>
      <c r="T10" s="3613" t="s">
        <v>15232</v>
      </c>
      <c r="U10" s="24" t="b">
        <f>IF(OR(F10&lt;0,G10&lt;0,Q10&lt;0,R10&lt;0),FALSE,TRUE)</f>
        <v>1</v>
      </c>
      <c r="V10" s="2272" t="s">
        <v>6114</v>
      </c>
      <c r="W10" s="2272" t="s">
        <v>6115</v>
      </c>
      <c r="X10" s="2271" t="s">
        <v>6116</v>
      </c>
      <c r="Y10" s="2271" t="s">
        <v>6118</v>
      </c>
      <c r="Z10" s="2797" t="s">
        <v>8577</v>
      </c>
    </row>
    <row r="11" spans="1:26" s="24" customFormat="1">
      <c r="A11" s="9" t="str">
        <f>"R1="&amp;IFERROR(MID(C11,FIND("{",C11)+1,FIND("}",C11)-FIND("{",C11)-1),"")&amp;";R2="&amp;IFERROR(MID(D11,FIND("{",D11)+1,FIND("}",D11)-FIND("{",D11)-1),"")&amp;";R35=100;COM="&amp;S11</f>
        <v>R1=;R2=;R35=100;COM=</v>
      </c>
      <c r="B11" s="207"/>
      <c r="C11" s="988"/>
      <c r="D11" s="917"/>
      <c r="E11" s="897"/>
      <c r="F11" s="897"/>
      <c r="G11" s="1533">
        <f t="shared" ref="G11:G16" si="1">E11-F11</f>
        <v>0</v>
      </c>
      <c r="H11" s="897"/>
      <c r="I11" s="897"/>
      <c r="J11" s="897"/>
      <c r="K11" s="897"/>
      <c r="L11" s="897"/>
      <c r="M11" s="897"/>
      <c r="N11" s="897"/>
      <c r="O11" s="897"/>
      <c r="P11" s="1533">
        <f t="shared" ref="P11:P16" si="2">SUM(E11,H11:O11)</f>
        <v>0</v>
      </c>
      <c r="Q11" s="897"/>
      <c r="R11" s="1533">
        <f t="shared" ref="R11:R16" si="3">P11-Q11</f>
        <v>0</v>
      </c>
      <c r="S11" s="1471"/>
      <c r="T11" s="24" t="b">
        <f>IF(ABS(SUM(E11:R11))&gt;0,AND(C11&lt;&gt;"",D11&lt;&gt;""),TRUE)</f>
        <v>1</v>
      </c>
      <c r="U11" s="24" t="b">
        <f t="shared" ref="U11:U16" si="4">IF(OR(F11&lt;0,G11&lt;0,Q11&lt;0,R11&lt;0),FALSE,TRUE)</f>
        <v>1</v>
      </c>
      <c r="V11" s="2282">
        <f>SUMIFS('60,62,63,76_контр'!$P$15:$P35000,'60,62,63,76_контр'!$J$15:$J35000,'62_01'!$C11,'60,62,63,76_контр'!$O$15:$O35000,'62_01'!$D11,'60,62,63,76_контр'!$C$15:$C35000,"62",'60,62,63,76_контр'!$N$15:$N35000,"{10} Долгосрочная",'60,62,63,76_контр'!$AY$15:$AY35000,"-")</f>
        <v>0</v>
      </c>
      <c r="W11" s="2282">
        <f>SUMIFS('60,62,63,76_контр'!$P$15:$P35000,'60,62,63,76_контр'!$J$15:$J35000,'62_01'!$C11,'60,62,63,76_контр'!$O$15:$O35000,'62_01'!$D11,'60,62,63,76_контр'!$C$15:$C35000,"62",'60,62,63,76_контр'!$N$15:$N35000,"{20} Краткосрочная",'60,62,63,76_контр'!$AY$15:$AY35000,"-")</f>
        <v>0</v>
      </c>
      <c r="X11" s="2289" t="b">
        <f>IF(ABS(V11-SUMIFS(Q:Q,C:C,C11,D:D,D11))&lt;5,TRUE,FALSE)</f>
        <v>1</v>
      </c>
      <c r="Y11" s="2289" t="b">
        <f>IF(ABS(W11-SUMIFS(R:R,C:C,C11,D:D,D11))&lt;5,TRUE,FALSE)</f>
        <v>1</v>
      </c>
      <c r="Z11" s="2289" t="b">
        <f>IF(Содержание!$D$12="тыс. рублей",IF(AND(D11="{RUB} Российские рубли",N11&lt;&gt;0),FALSE,TRUE),TRUE)</f>
        <v>1</v>
      </c>
    </row>
    <row r="12" spans="1:26" s="24" customFormat="1">
      <c r="A12" s="2427" t="str">
        <f t="shared" ref="A12:A18" si="5">"R1="&amp;IFERROR(MID(C12,FIND("{",C12)+1,FIND("}",C12)-FIND("{",C12)-1),"")&amp;";R2="&amp;IFERROR(MID(D12,FIND("{",D12)+1,FIND("}",D12)-FIND("{",D12)-1),"")&amp;";R35=100;COM="&amp;S12</f>
        <v>R1=;R2=;R35=100;COM=</v>
      </c>
      <c r="B12" s="207"/>
      <c r="C12" s="1479"/>
      <c r="D12" s="1464"/>
      <c r="E12" s="1480"/>
      <c r="F12" s="1480"/>
      <c r="G12" s="1533">
        <f t="shared" si="1"/>
        <v>0</v>
      </c>
      <c r="H12" s="1480"/>
      <c r="I12" s="1480"/>
      <c r="J12" s="1480"/>
      <c r="K12" s="1480"/>
      <c r="L12" s="1480"/>
      <c r="M12" s="1480"/>
      <c r="N12" s="1480"/>
      <c r="O12" s="1480"/>
      <c r="P12" s="1533">
        <f t="shared" si="2"/>
        <v>0</v>
      </c>
      <c r="Q12" s="1480"/>
      <c r="R12" s="1533">
        <f t="shared" si="3"/>
        <v>0</v>
      </c>
      <c r="S12" s="1471"/>
      <c r="T12" s="24" t="b">
        <f t="shared" ref="T12:T18" si="6">IF(ABS(SUM(E12:R12))&gt;0,AND(C12&lt;&gt;"",D12&lt;&gt;""),TRUE)</f>
        <v>1</v>
      </c>
      <c r="U12" s="24" t="b">
        <f t="shared" si="4"/>
        <v>1</v>
      </c>
      <c r="V12" s="2282">
        <f>SUMIFS('60,62,63,76_контр'!$P$15:$P35001,'60,62,63,76_контр'!$J$15:$J35001,'62_01'!$C12,'60,62,63,76_контр'!$O$15:$O35001,'62_01'!$D12,'60,62,63,76_контр'!$C$15:$C35001,"62",'60,62,63,76_контр'!$N$15:$N35001,"{10} Долгосрочная",'60,62,63,76_контр'!$AY$15:$AY35001,"-")</f>
        <v>0</v>
      </c>
      <c r="W12" s="2282">
        <f>SUMIFS('60,62,63,76_контр'!$P$15:$P35001,'60,62,63,76_контр'!$J$15:$J35001,'62_01'!$C12,'60,62,63,76_контр'!$O$15:$O35001,'62_01'!$D12,'60,62,63,76_контр'!$C$15:$C35001,"62",'60,62,63,76_контр'!$N$15:$N35001,"{20} Краткосрочная",'60,62,63,76_контр'!$AY$15:$AY35001,"-")</f>
        <v>0</v>
      </c>
      <c r="X12" s="2289" t="b">
        <f t="shared" ref="X12:X17" si="7">IF(ABS(V12-SUMIFS(Q:Q,C:C,C12,D:D,D12))&lt;5,TRUE,FALSE)</f>
        <v>1</v>
      </c>
      <c r="Y12" s="2289" t="b">
        <f t="shared" ref="Y12:Y17" si="8">IF(ABS(W12-SUMIFS(R:R,C:C,C12,D:D,D12))&lt;5,TRUE,FALSE)</f>
        <v>1</v>
      </c>
      <c r="Z12" s="2289" t="b">
        <f>IF(Содержание!$D$12="тыс. рублей",IF(AND(D12="{RUB} Российские рубли",N12&lt;&gt;0),FALSE,TRUE),TRUE)</f>
        <v>1</v>
      </c>
    </row>
    <row r="13" spans="1:26" s="24" customFormat="1">
      <c r="A13" s="2427" t="str">
        <f t="shared" si="5"/>
        <v>R1=;R2=;R35=100;COM=</v>
      </c>
      <c r="B13" s="207"/>
      <c r="C13" s="1479"/>
      <c r="D13" s="1464"/>
      <c r="E13" s="1480"/>
      <c r="F13" s="1480"/>
      <c r="G13" s="1533">
        <f t="shared" si="1"/>
        <v>0</v>
      </c>
      <c r="H13" s="1480"/>
      <c r="I13" s="1480"/>
      <c r="J13" s="1480"/>
      <c r="K13" s="1480"/>
      <c r="L13" s="1480"/>
      <c r="M13" s="1480"/>
      <c r="N13" s="1480"/>
      <c r="O13" s="1480"/>
      <c r="P13" s="1533">
        <f t="shared" si="2"/>
        <v>0</v>
      </c>
      <c r="Q13" s="1480"/>
      <c r="R13" s="1533">
        <f t="shared" si="3"/>
        <v>0</v>
      </c>
      <c r="S13" s="1471"/>
      <c r="T13" s="24" t="b">
        <f t="shared" si="6"/>
        <v>1</v>
      </c>
      <c r="U13" s="24" t="b">
        <f t="shared" si="4"/>
        <v>1</v>
      </c>
      <c r="V13" s="2282">
        <f>SUMIFS('60,62,63,76_контр'!$P$15:$P35002,'60,62,63,76_контр'!$J$15:$J35002,'62_01'!$C13,'60,62,63,76_контр'!$O$15:$O35002,'62_01'!$D13,'60,62,63,76_контр'!$C$15:$C35002,"62",'60,62,63,76_контр'!$N$15:$N35002,"{10} Долгосрочная",'60,62,63,76_контр'!$AY$15:$AY35002,"-")</f>
        <v>0</v>
      </c>
      <c r="W13" s="2282">
        <f>SUMIFS('60,62,63,76_контр'!$P$15:$P35002,'60,62,63,76_контр'!$J$15:$J35002,'62_01'!$C13,'60,62,63,76_контр'!$O$15:$O35002,'62_01'!$D13,'60,62,63,76_контр'!$C$15:$C35002,"62",'60,62,63,76_контр'!$N$15:$N35002,"{20} Краткосрочная",'60,62,63,76_контр'!$AY$15:$AY35002,"-")</f>
        <v>0</v>
      </c>
      <c r="X13" s="2289" t="b">
        <f t="shared" si="7"/>
        <v>1</v>
      </c>
      <c r="Y13" s="2289" t="b">
        <f t="shared" si="8"/>
        <v>1</v>
      </c>
      <c r="Z13" s="2289" t="b">
        <f>IF(Содержание!$D$12="тыс. рублей",IF(AND(D13="{RUB} Российские рубли",N13&lt;&gt;0),FALSE,TRUE),TRUE)</f>
        <v>1</v>
      </c>
    </row>
    <row r="14" spans="1:26" s="24" customFormat="1">
      <c r="A14" s="2427" t="str">
        <f t="shared" si="5"/>
        <v>R1=;R2=;R35=100;COM=</v>
      </c>
      <c r="B14" s="207"/>
      <c r="C14" s="1479"/>
      <c r="D14" s="1464"/>
      <c r="E14" s="1480"/>
      <c r="F14" s="1480"/>
      <c r="G14" s="1533">
        <f t="shared" si="1"/>
        <v>0</v>
      </c>
      <c r="H14" s="1480"/>
      <c r="I14" s="1480"/>
      <c r="J14" s="1480"/>
      <c r="K14" s="1480"/>
      <c r="L14" s="1480"/>
      <c r="M14" s="1480"/>
      <c r="N14" s="1480"/>
      <c r="O14" s="1480"/>
      <c r="P14" s="1533">
        <f t="shared" si="2"/>
        <v>0</v>
      </c>
      <c r="Q14" s="1480"/>
      <c r="R14" s="1533">
        <f t="shared" si="3"/>
        <v>0</v>
      </c>
      <c r="S14" s="1471"/>
      <c r="T14" s="24" t="b">
        <f t="shared" si="6"/>
        <v>1</v>
      </c>
      <c r="U14" s="24" t="b">
        <f t="shared" si="4"/>
        <v>1</v>
      </c>
      <c r="V14" s="2282">
        <f>SUMIFS('60,62,63,76_контр'!$P$15:$P35003,'60,62,63,76_контр'!$J$15:$J35003,'62_01'!$C14,'60,62,63,76_контр'!$O$15:$O35003,'62_01'!$D14,'60,62,63,76_контр'!$C$15:$C35003,"62",'60,62,63,76_контр'!$N$15:$N35003,"{10} Долгосрочная",'60,62,63,76_контр'!$AY$15:$AY35003,"-")</f>
        <v>0</v>
      </c>
      <c r="W14" s="2282">
        <f>SUMIFS('60,62,63,76_контр'!$P$15:$P35003,'60,62,63,76_контр'!$J$15:$J35003,'62_01'!$C14,'60,62,63,76_контр'!$O$15:$O35003,'62_01'!$D14,'60,62,63,76_контр'!$C$15:$C35003,"62",'60,62,63,76_контр'!$N$15:$N35003,"{20} Краткосрочная",'60,62,63,76_контр'!$AY$15:$AY35003,"-")</f>
        <v>0</v>
      </c>
      <c r="X14" s="2289" t="b">
        <f t="shared" si="7"/>
        <v>1</v>
      </c>
      <c r="Y14" s="2289" t="b">
        <f t="shared" si="8"/>
        <v>1</v>
      </c>
      <c r="Z14" s="2289" t="b">
        <f>IF(Содержание!$D$12="тыс. рублей",IF(AND(D14="{RUB} Российские рубли",N14&lt;&gt;0),FALSE,TRUE),TRUE)</f>
        <v>1</v>
      </c>
    </row>
    <row r="15" spans="1:26" s="24" customFormat="1">
      <c r="A15" s="2427" t="str">
        <f t="shared" si="5"/>
        <v>R1=;R2=;R35=100;COM=</v>
      </c>
      <c r="B15" s="207"/>
      <c r="C15" s="1479"/>
      <c r="D15" s="1464"/>
      <c r="E15" s="1480"/>
      <c r="F15" s="1480"/>
      <c r="G15" s="1533">
        <f t="shared" si="1"/>
        <v>0</v>
      </c>
      <c r="H15" s="1480"/>
      <c r="I15" s="1480"/>
      <c r="J15" s="1480"/>
      <c r="K15" s="1480"/>
      <c r="L15" s="1480"/>
      <c r="M15" s="1480"/>
      <c r="N15" s="1480"/>
      <c r="O15" s="1480"/>
      <c r="P15" s="1533">
        <f t="shared" si="2"/>
        <v>0</v>
      </c>
      <c r="Q15" s="1480"/>
      <c r="R15" s="1533">
        <f t="shared" si="3"/>
        <v>0</v>
      </c>
      <c r="S15" s="1471"/>
      <c r="T15" s="24" t="b">
        <f t="shared" si="6"/>
        <v>1</v>
      </c>
      <c r="U15" s="24" t="b">
        <f t="shared" si="4"/>
        <v>1</v>
      </c>
      <c r="V15" s="2282">
        <f>SUMIFS('60,62,63,76_контр'!$P$15:$P35004,'60,62,63,76_контр'!$J$15:$J35004,'62_01'!$C15,'60,62,63,76_контр'!$O$15:$O35004,'62_01'!$D15,'60,62,63,76_контр'!$C$15:$C35004,"62",'60,62,63,76_контр'!$N$15:$N35004,"{10} Долгосрочная",'60,62,63,76_контр'!$AY$15:$AY35004,"-")</f>
        <v>0</v>
      </c>
      <c r="W15" s="2282">
        <f>SUMIFS('60,62,63,76_контр'!$P$15:$P35004,'60,62,63,76_контр'!$J$15:$J35004,'62_01'!$C15,'60,62,63,76_контр'!$O$15:$O35004,'62_01'!$D15,'60,62,63,76_контр'!$C$15:$C35004,"62",'60,62,63,76_контр'!$N$15:$N35004,"{20} Краткосрочная",'60,62,63,76_контр'!$AY$15:$AY35004,"-")</f>
        <v>0</v>
      </c>
      <c r="X15" s="2289" t="b">
        <f t="shared" si="7"/>
        <v>1</v>
      </c>
      <c r="Y15" s="2289" t="b">
        <f t="shared" si="8"/>
        <v>1</v>
      </c>
      <c r="Z15" s="2289" t="b">
        <f>IF(Содержание!$D$12="тыс. рублей",IF(AND(D15="{RUB} Российские рубли",N15&lt;&gt;0),FALSE,TRUE),TRUE)</f>
        <v>1</v>
      </c>
    </row>
    <row r="16" spans="1:26" s="24" customFormat="1">
      <c r="A16" s="2427" t="str">
        <f t="shared" si="5"/>
        <v>R1=;R2=;R35=100;COM=</v>
      </c>
      <c r="B16" s="207"/>
      <c r="C16" s="1479"/>
      <c r="D16" s="1464"/>
      <c r="E16" s="1480"/>
      <c r="F16" s="1480"/>
      <c r="G16" s="1533">
        <f t="shared" si="1"/>
        <v>0</v>
      </c>
      <c r="H16" s="1480"/>
      <c r="I16" s="1480"/>
      <c r="J16" s="1480"/>
      <c r="K16" s="1480"/>
      <c r="L16" s="1480"/>
      <c r="M16" s="1480"/>
      <c r="N16" s="1480"/>
      <c r="O16" s="1480"/>
      <c r="P16" s="1533">
        <f t="shared" si="2"/>
        <v>0</v>
      </c>
      <c r="Q16" s="1480"/>
      <c r="R16" s="1533">
        <f t="shared" si="3"/>
        <v>0</v>
      </c>
      <c r="S16" s="1471"/>
      <c r="T16" s="24" t="b">
        <f t="shared" si="6"/>
        <v>1</v>
      </c>
      <c r="U16" s="24" t="b">
        <f t="shared" si="4"/>
        <v>1</v>
      </c>
      <c r="V16" s="2282">
        <f>SUMIFS('60,62,63,76_контр'!$P$15:$P35005,'60,62,63,76_контр'!$J$15:$J35005,'62_01'!$C16,'60,62,63,76_контр'!$O$15:$O35005,'62_01'!$D16,'60,62,63,76_контр'!$C$15:$C35005,"62",'60,62,63,76_контр'!$N$15:$N35005,"{10} Долгосрочная",'60,62,63,76_контр'!$AY$15:$AY35005,"-")</f>
        <v>0</v>
      </c>
      <c r="W16" s="2282">
        <f>SUMIFS('60,62,63,76_контр'!$P$15:$P35005,'60,62,63,76_контр'!$J$15:$J35005,'62_01'!$C16,'60,62,63,76_контр'!$O$15:$O35005,'62_01'!$D16,'60,62,63,76_контр'!$C$15:$C35005,"62",'60,62,63,76_контр'!$N$15:$N35005,"{20} Краткосрочная",'60,62,63,76_контр'!$AY$15:$AY35005,"-")</f>
        <v>0</v>
      </c>
      <c r="X16" s="2289" t="b">
        <f t="shared" si="7"/>
        <v>1</v>
      </c>
      <c r="Y16" s="2289" t="b">
        <f t="shared" si="8"/>
        <v>1</v>
      </c>
      <c r="Z16" s="2289" t="b">
        <f>IF(Содержание!$D$12="тыс. рублей",IF(AND(D16="{RUB} Российские рубли",N16&lt;&gt;0),FALSE,TRUE),TRUE)</f>
        <v>1</v>
      </c>
    </row>
    <row r="17" spans="1:26" s="24" customFormat="1">
      <c r="A17" s="2427" t="str">
        <f t="shared" si="5"/>
        <v>R1=;R2=;R35=100;COM=</v>
      </c>
      <c r="B17" s="207"/>
      <c r="C17" s="1479"/>
      <c r="D17" s="1464"/>
      <c r="E17" s="1480"/>
      <c r="F17" s="1480"/>
      <c r="G17" s="1533">
        <f>E17-F17</f>
        <v>0</v>
      </c>
      <c r="H17" s="1480"/>
      <c r="I17" s="1480"/>
      <c r="J17" s="1480"/>
      <c r="K17" s="1480"/>
      <c r="L17" s="1480"/>
      <c r="M17" s="1480"/>
      <c r="N17" s="1480"/>
      <c r="O17" s="1480"/>
      <c r="P17" s="1533">
        <f>SUM(E17,H17:O17)</f>
        <v>0</v>
      </c>
      <c r="Q17" s="1480"/>
      <c r="R17" s="1533">
        <f>P17-Q17</f>
        <v>0</v>
      </c>
      <c r="S17" s="1471"/>
      <c r="T17" s="24" t="b">
        <f t="shared" si="6"/>
        <v>1</v>
      </c>
      <c r="U17" s="24" t="b">
        <f>IF(OR(F17&lt;0,G17&lt;0,Q17&lt;0,R17&lt;0),FALSE,TRUE)</f>
        <v>1</v>
      </c>
      <c r="V17" s="2282">
        <f>SUMIFS('60,62,63,76_контр'!$P$15:$P35006,'60,62,63,76_контр'!$J$15:$J35006,'62_01'!$C17,'60,62,63,76_контр'!$O$15:$O35006,'62_01'!$D17,'60,62,63,76_контр'!$C$15:$C35006,"62",'60,62,63,76_контр'!$N$15:$N35006,"{10} Долгосрочная",'60,62,63,76_контр'!$AY$15:$AY35006,"-")</f>
        <v>0</v>
      </c>
      <c r="W17" s="2282">
        <f>SUMIFS('60,62,63,76_контр'!$P$15:$P35006,'60,62,63,76_контр'!$J$15:$J35006,'62_01'!$C17,'60,62,63,76_контр'!$O$15:$O35006,'62_01'!$D17,'60,62,63,76_контр'!$C$15:$C35006,"62",'60,62,63,76_контр'!$N$15:$N35006,"{20} Краткосрочная",'60,62,63,76_контр'!$AY$15:$AY35006,"-")</f>
        <v>0</v>
      </c>
      <c r="X17" s="2289" t="b">
        <f t="shared" si="7"/>
        <v>1</v>
      </c>
      <c r="Y17" s="2289" t="b">
        <f t="shared" si="8"/>
        <v>1</v>
      </c>
      <c r="Z17" s="2289" t="b">
        <f>IF(Содержание!$D$12="тыс. рублей",IF(AND(D17="{RUB} Российские рубли",N17&lt;&gt;0),FALSE,TRUE),TRUE)</f>
        <v>1</v>
      </c>
    </row>
    <row r="18" spans="1:26" ht="15" thickBot="1">
      <c r="A18" s="2427" t="str">
        <f t="shared" si="5"/>
        <v>R1=;R2=;R35=100;COM=</v>
      </c>
      <c r="C18" s="989"/>
      <c r="D18" s="990"/>
      <c r="E18" s="902"/>
      <c r="F18" s="902"/>
      <c r="G18" s="1535">
        <f>E18-F18</f>
        <v>0</v>
      </c>
      <c r="H18" s="902"/>
      <c r="I18" s="902"/>
      <c r="J18" s="902"/>
      <c r="K18" s="902"/>
      <c r="L18" s="902"/>
      <c r="M18" s="902"/>
      <c r="N18" s="902"/>
      <c r="O18" s="902"/>
      <c r="P18" s="1535">
        <f>SUM(E18,H18:O18)</f>
        <v>0</v>
      </c>
      <c r="Q18" s="902"/>
      <c r="R18" s="1535">
        <f>P18-Q18</f>
        <v>0</v>
      </c>
      <c r="S18" s="983"/>
      <c r="T18" s="24" t="b">
        <f t="shared" si="6"/>
        <v>1</v>
      </c>
      <c r="U18" s="24" t="b">
        <f>IF(OR(F18&lt;0,G18&lt;0,Q18&lt;0,R18&lt;0),FALSE,TRUE)</f>
        <v>1</v>
      </c>
      <c r="V18" s="2282">
        <f>SUMIFS('60,62,63,76_контр'!$P$15:$P35007,'60,62,63,76_контр'!$J$15:$J35007,'62_01'!$C18,'60,62,63,76_контр'!$O$15:$O35007,'62_01'!$D18,'60,62,63,76_контр'!$C$15:$C35007,"62",'60,62,63,76_контр'!$N$15:$N35007,"{10} Долгосрочная",'60,62,63,76_контр'!$AY$15:$AY35007,"-")</f>
        <v>0</v>
      </c>
      <c r="W18" s="2282">
        <f>SUMIFS('60,62,63,76_контр'!$P$15:$P35007,'60,62,63,76_контр'!$J$15:$J35007,'62_01'!$C18,'60,62,63,76_контр'!$O$15:$O35007,'62_01'!$D18,'60,62,63,76_контр'!$C$15:$C35007,"62",'60,62,63,76_контр'!$N$15:$N35007,"{20} Краткосрочная",'60,62,63,76_контр'!$AY$15:$AY35007,"-")</f>
        <v>0</v>
      </c>
      <c r="X18" s="2289" t="b">
        <f t="shared" ref="X18" si="9">IF(ABS(V18-SUMIFS(Q:Q,C:C,C18,D:D,D18))&lt;5,TRUE,FALSE)</f>
        <v>1</v>
      </c>
      <c r="Y18" s="2289" t="b">
        <f t="shared" ref="Y18" si="10">IF(ABS(W18-SUMIFS(R:R,C:C,C18,D:D,D18))&lt;5,TRUE,FALSE)</f>
        <v>1</v>
      </c>
      <c r="Z18" s="2289" t="b">
        <f>IF(Содержание!$D$12="тыс. рублей",IF(AND(D18="{RUB} Российские рубли",N18&lt;&gt;0),FALSE,TRUE),TRUE)</f>
        <v>1</v>
      </c>
    </row>
    <row r="19" spans="1:26">
      <c r="A19" s="32"/>
    </row>
    <row r="20" spans="1:26">
      <c r="A20" s="32"/>
    </row>
    <row r="21" spans="1:26">
      <c r="A21" s="32"/>
    </row>
    <row r="22" spans="1:26">
      <c r="A22" s="32"/>
    </row>
  </sheetData>
  <sheetProtection algorithmName="SHA-512" hashValue="MVSkoW+GMzSvygNWJIcaH67/GCtQ81UCFL+xuzq5Y336FURqj9knph6S+0y/CdG2y4aPRvfDyy4+l7PJWvvsgw==" saltValue="X0HBBSDzfsculqpjGpdz+A==" spinCount="100000" sheet="1" objects="1" scenarios="1" formatColumns="0" formatRows="0" autoFilter="0"/>
  <autoFilter ref="C8:Z8">
    <filterColumn colId="19" showButton="0"/>
  </autoFilter>
  <customSheetViews>
    <customSheetView guid="{3769259D-9653-4B34-A2F6-4FB6F9F4E533}" showGridLines="0" showAutoFilter="1" hiddenRows="1" hiddenColumns="1">
      <pane xSplit="4" ySplit="9" topLeftCell="E10" activePane="bottomRight" state="frozen"/>
      <selection pane="bottomRight" activeCell="C16" sqref="C16"/>
      <pageMargins left="0.7" right="0.7" top="0.75" bottom="0.75" header="0.3" footer="0.3"/>
      <autoFilter ref="B1:R1"/>
    </customSheetView>
    <customSheetView guid="{40D7A2BB-326C-4ED3-999C-17852F56D6F4}" showGridLines="0" showAutoFilter="1" hiddenRows="1" hiddenColumns="1">
      <pane xSplit="4" ySplit="9" topLeftCell="E10" activePane="bottomRight" state="frozen"/>
      <selection pane="bottomRight" activeCell="C16" sqref="C16"/>
      <pageMargins left="0.7" right="0.7" top="0.75" bottom="0.75" header="0.3" footer="0.3"/>
      <autoFilter ref="B1:R1"/>
    </customSheetView>
    <customSheetView guid="{5D121940-0CE8-4A0E-A493-67FAAA6E0FF8}" showGridLines="0" showAutoFilter="1" hiddenRows="1" hiddenColumns="1" topLeftCell="B2">
      <pane xSplit="3" ySplit="8" topLeftCell="T10" activePane="bottomRight" state="frozen"/>
      <selection pane="bottomRight" activeCell="U2" sqref="U1:U65536"/>
      <pageMargins left="0.7" right="0.7" top="0.75" bottom="0.75" header="0.3" footer="0.3"/>
      <autoFilter ref="B1:R1"/>
    </customSheetView>
    <customSheetView guid="{47AEACC4-6EA5-412C-AF39-A6C5357B313A}" showGridLines="0" showAutoFilter="1" hiddenRows="1" hiddenColumns="1" topLeftCell="B2">
      <pane xSplit="3" ySplit="8" topLeftCell="O10" activePane="bottomRight" state="frozen"/>
      <selection pane="bottomRight" activeCell="T10" sqref="T10"/>
      <pageMargins left="0.7" right="0.7" top="0.75" bottom="0.75" header="0.3" footer="0.3"/>
      <autoFilter ref="B1:R1"/>
    </customSheetView>
    <customSheetView guid="{4D957B38-5430-481E-B791-E0A66F913B50}" scale="70" topLeftCell="C1">
      <selection activeCell="L29" sqref="L29"/>
      <pageMargins left="0.7" right="0.7" top="0.75" bottom="0.75" header="0.3" footer="0.3"/>
    </customSheetView>
    <customSheetView guid="{1C36793E-2B7E-411E-AA99-985D5D59B75A}" scale="70">
      <selection activeCell="J29" sqref="J29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8" topLeftCell="R10" activePane="bottomRight" state="frozen"/>
      <selection pane="bottomRight" activeCell="C7" sqref="C7"/>
      <pageMargins left="0.7" right="0.7" top="0.75" bottom="0.75" header="0.3" footer="0.3"/>
      <autoFilter ref="B1:R1"/>
    </customSheetView>
  </customSheetViews>
  <mergeCells count="2">
    <mergeCell ref="V9:W9"/>
    <mergeCell ref="V8:W8"/>
  </mergeCell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D11:D18">
      <formula1>_6003</formula1>
    </dataValidation>
    <dataValidation type="list" operator="equal" allowBlank="1" showErrorMessage="1" errorTitle="Выбор элемента списка" error="Данного элемента нет в списке" sqref="C11:C18">
      <formula1>_9022_62</formula1>
    </dataValidation>
  </dataValidations>
  <hyperlinks>
    <hyperlink ref="E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8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AddButtonsRowAdd">
                <anchor moveWithCells="1">
                  <from>
                    <xdr:col>2</xdr:col>
                    <xdr:colOff>3308350</xdr:colOff>
                    <xdr:row>2</xdr:row>
                    <xdr:rowOff>76200</xdr:rowOff>
                  </from>
                  <to>
                    <xdr:col>3</xdr:col>
                    <xdr:colOff>1060450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X15"/>
  <sheetViews>
    <sheetView topLeftCell="K2" zoomScale="87" zoomScaleNormal="87" workbookViewId="0">
      <selection activeCell="O11" sqref="O11"/>
    </sheetView>
  </sheetViews>
  <sheetFormatPr defaultColWidth="9.453125" defaultRowHeight="14.5"/>
  <cols>
    <col min="1" max="1" width="20.54296875" style="1163" hidden="1" customWidth="1"/>
    <col min="2" max="2" width="9.453125" style="1163"/>
    <col min="3" max="3" width="33.453125" style="1163" customWidth="1"/>
    <col min="4" max="4" width="19.453125" style="1163" customWidth="1"/>
    <col min="5" max="5" width="19" style="1163" bestFit="1" customWidth="1"/>
    <col min="6" max="6" width="20.453125" style="1163" bestFit="1" customWidth="1"/>
    <col min="7" max="7" width="21.54296875" style="1163" bestFit="1" customWidth="1"/>
    <col min="8" max="8" width="13.54296875" style="1163" bestFit="1" customWidth="1"/>
    <col min="9" max="9" width="22.54296875" style="1163" customWidth="1"/>
    <col min="10" max="10" width="16.54296875" style="1163" bestFit="1" customWidth="1"/>
    <col min="11" max="11" width="17.54296875" style="1163" bestFit="1" customWidth="1"/>
    <col min="12" max="12" width="20.453125" style="1163" bestFit="1" customWidth="1"/>
    <col min="13" max="13" width="21.54296875" style="1163" bestFit="1" customWidth="1"/>
    <col min="14" max="14" width="30.54296875" style="1163" customWidth="1"/>
    <col min="15" max="15" width="30" style="1163" customWidth="1"/>
    <col min="16" max="16" width="7.81640625" style="1163" customWidth="1"/>
    <col min="17" max="17" width="22.7265625" style="1163" customWidth="1"/>
    <col min="18" max="18" width="14.453125" style="1163" customWidth="1"/>
    <col min="19" max="19" width="16.453125" style="1564" customWidth="1"/>
    <col min="20" max="20" width="16.54296875" style="1564" customWidth="1"/>
    <col min="21" max="21" width="16.453125" style="1564" customWidth="1"/>
    <col min="22" max="22" width="15" style="1564" customWidth="1"/>
    <col min="23" max="23" width="15.54296875" style="1163" customWidth="1"/>
    <col min="24" max="24" width="21.453125" style="1163" customWidth="1"/>
    <col min="25" max="16384" width="9.453125" style="1163"/>
  </cols>
  <sheetData>
    <row r="1" spans="1:24" ht="25.5" hidden="1" customHeight="1">
      <c r="A1" s="167" t="s">
        <v>2839</v>
      </c>
      <c r="B1" s="6"/>
      <c r="C1" s="6"/>
      <c r="D1" s="6"/>
      <c r="E1" s="6"/>
      <c r="F1" s="6" t="s">
        <v>1061</v>
      </c>
      <c r="G1" s="6" t="s">
        <v>1062</v>
      </c>
      <c r="H1" s="6" t="s">
        <v>1067</v>
      </c>
      <c r="I1" s="6" t="s">
        <v>1079</v>
      </c>
      <c r="J1" s="6" t="s">
        <v>1071</v>
      </c>
      <c r="K1" s="6"/>
      <c r="L1" s="6" t="s">
        <v>1072</v>
      </c>
      <c r="M1" s="6" t="s">
        <v>1073</v>
      </c>
      <c r="N1" s="6"/>
    </row>
    <row r="2" spans="1:24" s="1778" customFormat="1">
      <c r="A2" s="9"/>
      <c r="E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S2" s="1932"/>
      <c r="T2" s="1932"/>
      <c r="U2" s="1932"/>
      <c r="V2" s="1932"/>
    </row>
    <row r="3" spans="1:24">
      <c r="A3" s="9"/>
    </row>
    <row r="4" spans="1:24" ht="26">
      <c r="A4" s="9"/>
      <c r="C4" s="105" t="s">
        <v>5159</v>
      </c>
      <c r="D4"/>
      <c r="E4"/>
      <c r="F4" s="1897" t="s">
        <v>2067</v>
      </c>
      <c r="G4" s="1244">
        <f>Содержание!$D$2</f>
        <v>0</v>
      </c>
    </row>
    <row r="5" spans="1:24" ht="15" thickBot="1">
      <c r="A5" s="9"/>
      <c r="E5" s="3044" t="s">
        <v>1436</v>
      </c>
      <c r="F5" s="1897" t="s">
        <v>2075</v>
      </c>
      <c r="G5" s="1244" t="str">
        <f>Содержание!$D$15</f>
        <v>2022 год</v>
      </c>
    </row>
    <row r="6" spans="1:24" ht="87" customHeight="1">
      <c r="A6" s="9"/>
      <c r="C6" s="111" t="s">
        <v>4090</v>
      </c>
      <c r="D6" s="28" t="s">
        <v>4664</v>
      </c>
      <c r="E6" s="28" t="s">
        <v>5225</v>
      </c>
      <c r="F6" s="28" t="s">
        <v>4081</v>
      </c>
      <c r="G6" s="28" t="s">
        <v>5396</v>
      </c>
      <c r="H6" s="28" t="s">
        <v>4076</v>
      </c>
      <c r="I6" s="28" t="s">
        <v>9796</v>
      </c>
      <c r="J6" s="28" t="s">
        <v>5524</v>
      </c>
      <c r="K6" s="28" t="s">
        <v>5233</v>
      </c>
      <c r="L6" s="28" t="s">
        <v>4081</v>
      </c>
      <c r="M6" s="28" t="s">
        <v>5396</v>
      </c>
      <c r="N6" s="82" t="s">
        <v>4183</v>
      </c>
    </row>
    <row r="7" spans="1:24" ht="28.5" customHeight="1">
      <c r="A7" s="9"/>
      <c r="C7" s="250">
        <v>10022</v>
      </c>
      <c r="D7" s="15" t="s">
        <v>5250</v>
      </c>
      <c r="E7" s="247" t="s">
        <v>674</v>
      </c>
      <c r="F7" s="247" t="s">
        <v>4142</v>
      </c>
      <c r="G7" s="247" t="s">
        <v>4142</v>
      </c>
      <c r="H7" s="247" t="s">
        <v>4084</v>
      </c>
      <c r="I7" s="247" t="s">
        <v>5160</v>
      </c>
      <c r="J7" s="247" t="s">
        <v>4088</v>
      </c>
      <c r="K7" s="247" t="s">
        <v>694</v>
      </c>
      <c r="L7" s="247" t="s">
        <v>4142</v>
      </c>
      <c r="M7" s="247" t="s">
        <v>4142</v>
      </c>
      <c r="N7" s="248"/>
      <c r="Q7" s="3613" t="s">
        <v>6376</v>
      </c>
    </row>
    <row r="8" spans="1:24" ht="17.25" customHeight="1" thickBot="1">
      <c r="A8" s="9"/>
      <c r="C8" s="1700" t="s">
        <v>4164</v>
      </c>
      <c r="D8" s="1700" t="s">
        <v>4165</v>
      </c>
      <c r="E8" s="1700" t="s">
        <v>4166</v>
      </c>
      <c r="F8" s="1700" t="s">
        <v>5500</v>
      </c>
      <c r="G8" s="1700" t="s">
        <v>4169</v>
      </c>
      <c r="H8" s="1700" t="s">
        <v>4168</v>
      </c>
      <c r="I8" s="1700" t="s">
        <v>4178</v>
      </c>
      <c r="J8" s="1700" t="s">
        <v>4179</v>
      </c>
      <c r="K8" s="1700" t="s">
        <v>4167</v>
      </c>
      <c r="L8" s="1700" t="s">
        <v>5501</v>
      </c>
      <c r="M8" s="1700" t="s">
        <v>4701</v>
      </c>
      <c r="N8" s="1700" t="s">
        <v>4702</v>
      </c>
      <c r="S8" s="3892" t="s">
        <v>6113</v>
      </c>
      <c r="T8" s="3892"/>
      <c r="U8" s="708"/>
      <c r="V8" s="708"/>
    </row>
    <row r="9" spans="1:24" ht="25.5" customHeight="1" thickBot="1">
      <c r="A9" s="9"/>
      <c r="C9" s="978" t="s">
        <v>4170</v>
      </c>
      <c r="D9" s="993" t="s">
        <v>4184</v>
      </c>
      <c r="E9" s="1344">
        <f t="shared" ref="E9:M9" si="0">SUM(E10:E9983)</f>
        <v>0</v>
      </c>
      <c r="F9" s="1344">
        <f t="shared" si="0"/>
        <v>0</v>
      </c>
      <c r="G9" s="1344">
        <f t="shared" si="0"/>
        <v>0</v>
      </c>
      <c r="H9" s="1344">
        <f t="shared" si="0"/>
        <v>0</v>
      </c>
      <c r="I9" s="1344">
        <f t="shared" si="0"/>
        <v>0</v>
      </c>
      <c r="J9" s="1344">
        <f t="shared" si="0"/>
        <v>0</v>
      </c>
      <c r="K9" s="1344">
        <f t="shared" si="0"/>
        <v>0</v>
      </c>
      <c r="L9" s="1344">
        <f t="shared" si="0"/>
        <v>0</v>
      </c>
      <c r="M9" s="1344">
        <f t="shared" si="0"/>
        <v>0</v>
      </c>
      <c r="N9" s="1398" t="s">
        <v>4184</v>
      </c>
      <c r="O9" s="2275" t="b">
        <f>AND(O11:O5000)</f>
        <v>1</v>
      </c>
      <c r="Q9" s="1163" t="b">
        <f>AND(Q10:Q500)</f>
        <v>1</v>
      </c>
      <c r="S9" s="3891" t="s">
        <v>1756</v>
      </c>
      <c r="T9" s="3891"/>
      <c r="U9" s="2275" t="b">
        <f>AND(U11:U5000)</f>
        <v>1</v>
      </c>
      <c r="V9" s="2275" t="b">
        <f>AND(V11:V5000)</f>
        <v>1</v>
      </c>
      <c r="W9" s="2327" t="s">
        <v>1652</v>
      </c>
      <c r="X9" s="2327" t="s">
        <v>1196</v>
      </c>
    </row>
    <row r="10" spans="1:24" ht="52">
      <c r="A10" s="9" t="str">
        <f>"R1=251111;R2=RUB;R35=200;COM="&amp;N10</f>
        <v>R1=251111;R2=RUB;R35=200;COM=</v>
      </c>
      <c r="C10" s="1397" t="s">
        <v>5507</v>
      </c>
      <c r="D10" s="914" t="s">
        <v>4184</v>
      </c>
      <c r="E10" s="1335"/>
      <c r="F10" s="1335"/>
      <c r="G10" s="1332">
        <f t="shared" ref="G10:G15" si="1">E10-F10</f>
        <v>0</v>
      </c>
      <c r="H10" s="1335"/>
      <c r="I10" s="1335"/>
      <c r="J10" s="1335"/>
      <c r="K10" s="1332">
        <f t="shared" ref="K10:K15" si="2">SUM(E10,H10:J10)</f>
        <v>0</v>
      </c>
      <c r="L10" s="1335"/>
      <c r="M10" s="1332">
        <f t="shared" ref="M10:M15" si="3">K10-L10</f>
        <v>0</v>
      </c>
      <c r="N10" s="1336"/>
      <c r="O10" s="3613" t="s">
        <v>15232</v>
      </c>
      <c r="Q10" s="1163" t="b">
        <f t="shared" ref="Q10:Q15" si="4">IF(OR(F10&gt;0,G10&gt;0,L10&gt;0,M10&gt;0),FALSE,TRUE)</f>
        <v>1</v>
      </c>
      <c r="S10" s="2272" t="s">
        <v>6114</v>
      </c>
      <c r="T10" s="2272" t="s">
        <v>6115</v>
      </c>
      <c r="U10" s="2271" t="s">
        <v>6116</v>
      </c>
      <c r="V10" s="2271" t="s">
        <v>6118</v>
      </c>
      <c r="W10" s="2324">
        <f>SUM(L11:L10000)</f>
        <v>0</v>
      </c>
      <c r="X10" s="2324">
        <f>SUM(M11:M10000)</f>
        <v>0</v>
      </c>
    </row>
    <row r="11" spans="1:24">
      <c r="A11" s="9" t="str">
        <f>"R1="&amp;IFERROR(MID(C11,FIND("{",C11)+1,FIND("}",C11)-FIND("{",C11)-1),"")&amp;";R2="&amp;IFERROR(MID(D11,FIND("{",D11)+1,FIND("}",D11)-FIND("{",D11)-1),"")&amp;";R35=100;COM="&amp;N11</f>
        <v>R1=;R2=;R35=100;COM=</v>
      </c>
      <c r="C11" s="1479"/>
      <c r="D11" s="1481"/>
      <c r="E11" s="1470"/>
      <c r="F11" s="1470"/>
      <c r="G11" s="1332">
        <f t="shared" si="1"/>
        <v>0</v>
      </c>
      <c r="H11" s="1470"/>
      <c r="I11" s="1470"/>
      <c r="J11" s="1470"/>
      <c r="K11" s="1332">
        <f t="shared" si="2"/>
        <v>0</v>
      </c>
      <c r="L11" s="1470"/>
      <c r="M11" s="1332">
        <f t="shared" si="3"/>
        <v>0</v>
      </c>
      <c r="N11" s="1482"/>
      <c r="O11" s="1163" t="b">
        <f>IF(ABS(SUM(E11:M11))&gt;0,AND(C11&lt;&gt;"",D11&lt;&gt;""),TRUE)</f>
        <v>1</v>
      </c>
      <c r="Q11" s="1163" t="b">
        <f t="shared" si="4"/>
        <v>1</v>
      </c>
      <c r="S11" s="2283">
        <f>SUMIFS('60,62,63,76_контр'!$V$15:$V35000,'60,62,63,76_контр'!$J$15:$J35000,'62_02'!$C11,'60,62,63,76_контр'!$O$15:$O35000,'62_02'!$D11,'60,62,63,76_контр'!$C$15:$C35000,"62",'60,62,63,76_контр'!$N$15:$N35000,"{10} Долгосрочная",'60,62,63,76_контр'!$AY$15:$AY35000,"-")</f>
        <v>0</v>
      </c>
      <c r="T11" s="2283">
        <f>SUMIFS('60,62,63,76_контр'!$V$15:$V35000,'60,62,63,76_контр'!$J$15:$J35000,'62_02'!$C11,'60,62,63,76_контр'!$O$15:$O35000,'62_02'!$D11,'60,62,63,76_контр'!$C$15:$C35000,"62",'60,62,63,76_контр'!$N$15:$N35000,"{20} Краткосрочная",'60,62,63,76_контр'!$AY$15:$AY35000,"-")</f>
        <v>0</v>
      </c>
      <c r="U11" s="2289" t="b">
        <f>IF(ABS(S11-SUMIFS(L:L,C:C,C11,D:D,D11))&lt;5,TRUE,FALSE)</f>
        <v>1</v>
      </c>
      <c r="V11" s="2289" t="b">
        <f>IF(ABS(T11-SUMIFS(M:M,C:C,C11,D:D,D11))&lt;5,TRUE,FALSE)</f>
        <v>1</v>
      </c>
    </row>
    <row r="12" spans="1:24">
      <c r="A12" s="2427" t="str">
        <f t="shared" ref="A12:A15" si="5">"R1="&amp;IFERROR(MID(C12,FIND("{",C12)+1,FIND("}",C12)-FIND("{",C12)-1),"")&amp;";R2="&amp;IFERROR(MID(D12,FIND("{",D12)+1,FIND("}",D12)-FIND("{",D12)-1),"")&amp;";R35=100;COM="&amp;N12</f>
        <v>R1=;R2=;R35=100;COM=</v>
      </c>
      <c r="C12" s="1479"/>
      <c r="D12" s="1481"/>
      <c r="E12" s="1470"/>
      <c r="F12" s="1470"/>
      <c r="G12" s="1332">
        <f t="shared" si="1"/>
        <v>0</v>
      </c>
      <c r="H12" s="1470"/>
      <c r="I12" s="1470"/>
      <c r="J12" s="1470"/>
      <c r="K12" s="1332">
        <f t="shared" si="2"/>
        <v>0</v>
      </c>
      <c r="L12" s="1470"/>
      <c r="M12" s="1332">
        <f t="shared" si="3"/>
        <v>0</v>
      </c>
      <c r="N12" s="1482"/>
      <c r="O12" s="2830" t="b">
        <f t="shared" ref="O12:O15" si="6">IF(ABS(SUM(E12:M12))&gt;0,AND(C12&lt;&gt;"",D12&lt;&gt;""),TRUE)</f>
        <v>1</v>
      </c>
      <c r="Q12" s="1163" t="b">
        <f t="shared" si="4"/>
        <v>1</v>
      </c>
      <c r="S12" s="2283">
        <f>SUMIFS('60,62,63,76_контр'!$V$15:$V35001,'60,62,63,76_контр'!$J$15:$J35001,'62_02'!$C12,'60,62,63,76_контр'!$O$15:$O35001,'62_02'!$D12,'60,62,63,76_контр'!$C$15:$C35001,"62",'60,62,63,76_контр'!$N$15:$N35001,"{10} Долгосрочная",'60,62,63,76_контр'!$AY$15:$AY35001,"-")</f>
        <v>0</v>
      </c>
      <c r="T12" s="2283">
        <f>SUMIFS('60,62,63,76_контр'!$V$15:$V35001,'60,62,63,76_контр'!$J$15:$J35001,'62_02'!$C12,'60,62,63,76_контр'!$O$15:$O35001,'62_02'!$D12,'60,62,63,76_контр'!$C$15:$C35001,"62",'60,62,63,76_контр'!$N$15:$N35001,"{20} Краткосрочная",'60,62,63,76_контр'!$AY$15:$AY35001,"-")</f>
        <v>0</v>
      </c>
      <c r="U12" s="2289" t="b">
        <f t="shared" ref="U12:U14" si="7">IF(ABS(S12-SUMIFS(L:L,C:C,C12,D:D,D12))&lt;5,TRUE,FALSE)</f>
        <v>1</v>
      </c>
      <c r="V12" s="2289" t="b">
        <f t="shared" ref="V12:V14" si="8">IF(ABS(T12-SUMIFS(M:M,C:C,C12,D:D,D12))&lt;5,TRUE,FALSE)</f>
        <v>1</v>
      </c>
    </row>
    <row r="13" spans="1:24">
      <c r="A13" s="2427" t="str">
        <f t="shared" si="5"/>
        <v>R1=;R2=;R35=100;COM=</v>
      </c>
      <c r="C13" s="1479"/>
      <c r="D13" s="1481"/>
      <c r="E13" s="1470"/>
      <c r="F13" s="1470"/>
      <c r="G13" s="1332">
        <f t="shared" si="1"/>
        <v>0</v>
      </c>
      <c r="H13" s="1470"/>
      <c r="I13" s="1470"/>
      <c r="J13" s="1470"/>
      <c r="K13" s="1332">
        <f t="shared" si="2"/>
        <v>0</v>
      </c>
      <c r="L13" s="1470"/>
      <c r="M13" s="1332">
        <f t="shared" si="3"/>
        <v>0</v>
      </c>
      <c r="N13" s="1482"/>
      <c r="O13" s="2830" t="b">
        <f t="shared" si="6"/>
        <v>1</v>
      </c>
      <c r="Q13" s="1163" t="b">
        <f t="shared" si="4"/>
        <v>1</v>
      </c>
      <c r="S13" s="2283">
        <f>SUMIFS('60,62,63,76_контр'!$V$15:$V35002,'60,62,63,76_контр'!$J$15:$J35002,'62_02'!$C13,'60,62,63,76_контр'!$O$15:$O35002,'62_02'!$D13,'60,62,63,76_контр'!$C$15:$C35002,"62",'60,62,63,76_контр'!$N$15:$N35002,"{10} Долгосрочная",'60,62,63,76_контр'!$AY$15:$AY35002,"-")</f>
        <v>0</v>
      </c>
      <c r="T13" s="2283">
        <f>SUMIFS('60,62,63,76_контр'!$V$15:$V35002,'60,62,63,76_контр'!$J$15:$J35002,'62_02'!$C13,'60,62,63,76_контр'!$O$15:$O35002,'62_02'!$D13,'60,62,63,76_контр'!$C$15:$C35002,"62",'60,62,63,76_контр'!$N$15:$N35002,"{20} Краткосрочная",'60,62,63,76_контр'!$AY$15:$AY35002,"-")</f>
        <v>0</v>
      </c>
      <c r="U13" s="2289" t="b">
        <f t="shared" si="7"/>
        <v>1</v>
      </c>
      <c r="V13" s="2289" t="b">
        <f t="shared" si="8"/>
        <v>1</v>
      </c>
    </row>
    <row r="14" spans="1:24">
      <c r="A14" s="2427" t="str">
        <f t="shared" si="5"/>
        <v>R1=;R2=;R35=100;COM=</v>
      </c>
      <c r="C14" s="1479"/>
      <c r="D14" s="1481"/>
      <c r="E14" s="1470"/>
      <c r="F14" s="1470"/>
      <c r="G14" s="1332">
        <f t="shared" si="1"/>
        <v>0</v>
      </c>
      <c r="H14" s="1470"/>
      <c r="I14" s="1470"/>
      <c r="J14" s="1470"/>
      <c r="K14" s="1332">
        <f t="shared" si="2"/>
        <v>0</v>
      </c>
      <c r="L14" s="1470"/>
      <c r="M14" s="1332">
        <f t="shared" si="3"/>
        <v>0</v>
      </c>
      <c r="N14" s="1482"/>
      <c r="O14" s="2830" t="b">
        <f t="shared" si="6"/>
        <v>1</v>
      </c>
      <c r="Q14" s="1163" t="b">
        <f t="shared" si="4"/>
        <v>1</v>
      </c>
      <c r="S14" s="2283">
        <f>SUMIFS('60,62,63,76_контр'!$V$15:$V35003,'60,62,63,76_контр'!$J$15:$J35003,'62_02'!$C14,'60,62,63,76_контр'!$O$15:$O35003,'62_02'!$D14,'60,62,63,76_контр'!$C$15:$C35003,"62",'60,62,63,76_контр'!$N$15:$N35003,"{10} Долгосрочная",'60,62,63,76_контр'!$AY$15:$AY35003,"-")</f>
        <v>0</v>
      </c>
      <c r="T14" s="2283">
        <f>SUMIFS('60,62,63,76_контр'!$V$15:$V35003,'60,62,63,76_контр'!$J$15:$J35003,'62_02'!$C14,'60,62,63,76_контр'!$O$15:$O35003,'62_02'!$D14,'60,62,63,76_контр'!$C$15:$C35003,"62",'60,62,63,76_контр'!$N$15:$N35003,"{20} Краткосрочная",'60,62,63,76_контр'!$AY$15:$AY35003,"-")</f>
        <v>0</v>
      </c>
      <c r="U14" s="2289" t="b">
        <f t="shared" si="7"/>
        <v>1</v>
      </c>
      <c r="V14" s="2289" t="b">
        <f t="shared" si="8"/>
        <v>1</v>
      </c>
    </row>
    <row r="15" spans="1:24" ht="15" thickBot="1">
      <c r="A15" s="2427" t="str">
        <f t="shared" si="5"/>
        <v>R1=;R2=;R35=100;COM=</v>
      </c>
      <c r="C15" s="989"/>
      <c r="D15" s="1399"/>
      <c r="E15" s="1111"/>
      <c r="F15" s="1111"/>
      <c r="G15" s="1539">
        <f t="shared" si="1"/>
        <v>0</v>
      </c>
      <c r="H15" s="1111"/>
      <c r="I15" s="1111"/>
      <c r="J15" s="1111"/>
      <c r="K15" s="1539">
        <f t="shared" si="2"/>
        <v>0</v>
      </c>
      <c r="L15" s="1111"/>
      <c r="M15" s="1539">
        <f t="shared" si="3"/>
        <v>0</v>
      </c>
      <c r="N15" s="1400"/>
      <c r="O15" s="2830" t="b">
        <f t="shared" si="6"/>
        <v>1</v>
      </c>
      <c r="Q15" s="1163" t="b">
        <f t="shared" si="4"/>
        <v>1</v>
      </c>
      <c r="S15" s="2283">
        <f>SUMIFS('60,62,63,76_контр'!$V$15:$V35004,'60,62,63,76_контр'!$J$15:$J35004,'62_02'!$C15,'60,62,63,76_контр'!$O$15:$O35004,'62_02'!$D15,'60,62,63,76_контр'!$C$15:$C35004,"62",'60,62,63,76_контр'!$N$15:$N35004,"{10} Долгосрочная",'60,62,63,76_контр'!$AY$15:$AY35004,"-")</f>
        <v>0</v>
      </c>
      <c r="T15" s="2283">
        <f>SUMIFS('60,62,63,76_контр'!$V$15:$V35004,'60,62,63,76_контр'!$J$15:$J35004,'62_02'!$C15,'60,62,63,76_контр'!$O$15:$O35004,'62_02'!$D15,'60,62,63,76_контр'!$C$15:$C35004,"62",'60,62,63,76_контр'!$N$15:$N35004,"{20} Краткосрочная",'60,62,63,76_контр'!$AY$15:$AY35004,"-")</f>
        <v>0</v>
      </c>
      <c r="U15" s="2289" t="b">
        <f t="shared" ref="U15" si="9">IF(ABS(S15-SUMIFS(L:L,C:C,C15,D:D,D15))&lt;5,TRUE,FALSE)</f>
        <v>1</v>
      </c>
      <c r="V15" s="2289" t="b">
        <f t="shared" ref="V15" si="10">IF(ABS(T15-SUMIFS(M:M,C:C,C15,D:D,D15))&lt;5,TRUE,FALSE)</f>
        <v>1</v>
      </c>
    </row>
  </sheetData>
  <sheetProtection algorithmName="SHA-512" hashValue="ZQi/HzdHScBpyqDpyZWVOc6cgHxvzHp3HlibkzoajVi6iaoq/YCLsu/zneAvV/5uaPcrvDSycYjn3G3EsNTQTQ==" saltValue="9nZ0uIpTWx4J3YKxGXPHGQ==" spinCount="100000" sheet="1" objects="1" scenarios="1" formatColumns="0" formatRows="0" autoFilter="0"/>
  <autoFilter ref="C8:X8">
    <filterColumn colId="16" showButton="0"/>
  </autoFilter>
  <customSheetViews>
    <customSheetView guid="{3769259D-9653-4B34-A2F6-4FB6F9F4E533}" showGridLines="0" hiddenRows="1" hiddenColumns="1">
      <pane xSplit="4" ySplit="9" topLeftCell="E10" activePane="bottomRight" state="frozen"/>
      <selection pane="bottomRight" activeCell="C16" sqref="C16"/>
      <pageMargins left="0.7" right="0.7" top="0.75" bottom="0.75" header="0.3" footer="0.3"/>
    </customSheetView>
    <customSheetView guid="{40D7A2BB-326C-4ED3-999C-17852F56D6F4}" showGridLines="0" hiddenRows="1" hiddenColumns="1">
      <pane xSplit="4" ySplit="9" topLeftCell="E10" activePane="bottomRight" state="frozen"/>
      <selection pane="bottomRight" activeCell="C16" sqref="C16"/>
      <pageMargins left="0.7" right="0.7" top="0.75" bottom="0.75" header="0.3" footer="0.3"/>
    </customSheetView>
    <customSheetView guid="{5D121940-0CE8-4A0E-A493-67FAAA6E0FF8}" showGridLines="0" hiddenRows="1" hiddenColumns="1" topLeftCell="B2">
      <pane xSplit="3" ySplit="8" topLeftCell="N10" activePane="bottomRight" state="frozen"/>
      <selection pane="bottomRight" activeCell="Q17" sqref="Q13:Q17"/>
      <pageMargins left="0.7" right="0.7" top="0.75" bottom="0.75" header="0.3" footer="0.3"/>
    </customSheetView>
    <customSheetView guid="{47AEACC4-6EA5-412C-AF39-A6C5357B313A}" showGridLines="0" hiddenRows="1" hiddenColumns="1" topLeftCell="B2">
      <pane xSplit="3" ySplit="8" topLeftCell="E10" activePane="bottomRight" state="frozen"/>
      <selection pane="bottomRight" activeCell="F10" sqref="F10"/>
      <pageMargins left="0.7" right="0.7" top="0.75" bottom="0.75" header="0.3" footer="0.3"/>
    </customSheetView>
    <customSheetView guid="{C913A9E8-661B-40A4-A3C9-1BC5F2B2E9F0}" showGridLines="0" hiddenRows="1" hiddenColumns="1" topLeftCell="B2">
      <pane xSplit="3" ySplit="8" topLeftCell="J10" activePane="bottomRight" state="frozen"/>
      <selection pane="bottomRight" activeCell="C7" sqref="C7"/>
      <pageMargins left="0.7" right="0.7" top="0.75" bottom="0.75" header="0.3" footer="0.3"/>
    </customSheetView>
  </customSheetViews>
  <mergeCells count="2">
    <mergeCell ref="S9:T9"/>
    <mergeCell ref="S8:T8"/>
  </mergeCells>
  <phoneticPr fontId="0" type="noConversion"/>
  <dataValidations count="2">
    <dataValidation type="list" allowBlank="1" showInputMessage="1" showErrorMessage="1" sqref="C11:C15">
      <formula1>_9022_62</formula1>
    </dataValidation>
    <dataValidation type="list" allowBlank="1" showInputMessage="1" showErrorMessage="1" sqref="D11:D15">
      <formula1>_6003</formula1>
    </dataValidation>
  </dataValidations>
  <hyperlinks>
    <hyperlink ref="E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0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673" r:id="rId4" name="Button 1">
              <controlPr defaultSize="0" print="0" autoFill="0" autoPict="0" macro="[0]!AddButtonsRowAdd">
                <anchor moveWithCells="1"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4</xdr:col>
                    <xdr:colOff>184150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75" r:id="rId5" name="Button 3">
              <controlPr defaultSize="0" print="0" autoFill="0" autoPict="0" macro="[0]!AddButtonsRowAdd">
                <anchor moveWithCells="1"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4</xdr:col>
                    <xdr:colOff>184150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Y31"/>
  <sheetViews>
    <sheetView topLeftCell="B6" zoomScale="79" zoomScaleNormal="79" workbookViewId="0">
      <selection activeCell="F16" sqref="F16"/>
    </sheetView>
  </sheetViews>
  <sheetFormatPr defaultColWidth="9.453125" defaultRowHeight="14.5"/>
  <cols>
    <col min="1" max="1" width="51.1796875" style="1590" hidden="1" customWidth="1"/>
    <col min="2" max="2" width="12.453125" style="1163" customWidth="1"/>
    <col min="3" max="3" width="20.54296875" style="1163" customWidth="1"/>
    <col min="4" max="4" width="17.54296875" style="1163" customWidth="1"/>
    <col min="5" max="5" width="25.54296875" style="1163" customWidth="1"/>
    <col min="6" max="7" width="17.54296875" style="1163" customWidth="1"/>
    <col min="8" max="8" width="21.453125" style="1163" customWidth="1"/>
    <col min="9" max="9" width="24" style="1590" customWidth="1"/>
    <col min="10" max="11" width="17.54296875" style="1163" customWidth="1"/>
    <col min="12" max="12" width="24" style="1163" customWidth="1"/>
    <col min="13" max="16" width="17.54296875" style="1163" customWidth="1"/>
    <col min="17" max="17" width="38.453125" style="1163" customWidth="1"/>
    <col min="18" max="18" width="9.453125" style="1163"/>
    <col min="19" max="19" width="17.54296875" style="1163" customWidth="1"/>
    <col min="20" max="20" width="11.453125" style="1163" customWidth="1"/>
    <col min="21" max="21" width="11.54296875" style="1163" customWidth="1"/>
    <col min="22" max="22" width="18.54296875" style="1163" customWidth="1"/>
    <col min="23" max="24" width="9.453125" style="1163"/>
    <col min="25" max="25" width="13.453125" style="1163" customWidth="1"/>
    <col min="26" max="16384" width="9.453125" style="1163"/>
  </cols>
  <sheetData>
    <row r="1" spans="1:25" ht="36" hidden="1" customHeight="1">
      <c r="A1" s="1596" t="s">
        <v>5268</v>
      </c>
      <c r="B1" s="5"/>
      <c r="C1" s="6"/>
      <c r="D1" s="6"/>
      <c r="E1" s="6"/>
      <c r="F1" s="6" t="s">
        <v>693</v>
      </c>
      <c r="G1" s="6"/>
      <c r="H1" s="6"/>
      <c r="I1" s="571"/>
      <c r="J1" s="6"/>
      <c r="K1" s="6" t="s">
        <v>1080</v>
      </c>
      <c r="L1" s="6" t="s">
        <v>1081</v>
      </c>
      <c r="M1" s="6" t="s">
        <v>1082</v>
      </c>
      <c r="N1" s="6" t="s">
        <v>1083</v>
      </c>
      <c r="O1" s="6" t="s">
        <v>1084</v>
      </c>
      <c r="P1" s="6" t="s">
        <v>1085</v>
      </c>
      <c r="Q1" s="6"/>
    </row>
    <row r="2" spans="1:25" s="2130" customFormat="1" ht="22.5" customHeight="1">
      <c r="A2" s="2933"/>
      <c r="F2" s="2130" t="b">
        <f>AND(B10:B5000)</f>
        <v>1</v>
      </c>
      <c r="I2" s="2197"/>
      <c r="K2" s="2130" t="s">
        <v>1648</v>
      </c>
      <c r="L2" s="2130" t="s">
        <v>1648</v>
      </c>
      <c r="M2" s="2130" t="s">
        <v>1648</v>
      </c>
      <c r="N2" s="2130" t="s">
        <v>1648</v>
      </c>
      <c r="O2" s="2130" t="s">
        <v>1648</v>
      </c>
      <c r="P2" s="2130" t="s">
        <v>1648</v>
      </c>
    </row>
    <row r="3" spans="1:25" ht="26.5" thickBot="1">
      <c r="A3" s="564"/>
      <c r="C3" s="3894" t="s">
        <v>5267</v>
      </c>
      <c r="D3" s="3894"/>
      <c r="E3" s="3894"/>
      <c r="F3" s="3894"/>
      <c r="G3" s="3894"/>
      <c r="H3" s="3894"/>
      <c r="I3" s="3894"/>
      <c r="J3" s="3894"/>
      <c r="K3" s="1897" t="s">
        <v>2067</v>
      </c>
      <c r="L3" s="1244">
        <f>Содержание!$D$2</f>
        <v>0</v>
      </c>
      <c r="M3" s="442"/>
      <c r="N3" s="442"/>
      <c r="O3" s="442"/>
      <c r="P3" s="442"/>
      <c r="Q3" s="10"/>
    </row>
    <row r="4" spans="1:25" ht="32.25" customHeight="1" thickBot="1">
      <c r="A4" s="564"/>
      <c r="C4" s="3897" t="s">
        <v>5</v>
      </c>
      <c r="D4" s="3897"/>
      <c r="E4" s="3897"/>
      <c r="F4" s="3897"/>
      <c r="G4" s="3897"/>
      <c r="H4" s="3897"/>
      <c r="I4" s="10"/>
      <c r="J4" s="3044" t="s">
        <v>1436</v>
      </c>
      <c r="K4" s="1897" t="s">
        <v>2075</v>
      </c>
      <c r="L4" s="1244" t="str">
        <f>Содержание!$D$15</f>
        <v>2022 год</v>
      </c>
      <c r="M4" s="442"/>
      <c r="N4" s="442"/>
      <c r="O4" s="442"/>
      <c r="P4" s="442"/>
      <c r="Q4" s="442"/>
      <c r="W4" s="3893" t="s">
        <v>14240</v>
      </c>
      <c r="X4" s="3682"/>
    </row>
    <row r="5" spans="1:25" ht="41.25" customHeight="1" thickBot="1">
      <c r="A5" s="564"/>
      <c r="C5" s="3895" t="s">
        <v>3992</v>
      </c>
      <c r="D5" s="3722" t="s">
        <v>5531</v>
      </c>
      <c r="E5" s="3838" t="s">
        <v>8394</v>
      </c>
      <c r="F5" s="3896" t="s">
        <v>4140</v>
      </c>
      <c r="G5" s="3896"/>
      <c r="H5" s="3896"/>
      <c r="I5" s="3896"/>
      <c r="J5" s="3896" t="s">
        <v>4139</v>
      </c>
      <c r="K5" s="3896" t="s">
        <v>4138</v>
      </c>
      <c r="L5" s="3896" t="s">
        <v>4137</v>
      </c>
      <c r="M5" s="3896" t="s">
        <v>4136</v>
      </c>
      <c r="N5" s="3896"/>
      <c r="O5" s="3896" t="s">
        <v>4135</v>
      </c>
      <c r="P5" s="3896"/>
      <c r="Q5" s="3898" t="s">
        <v>3401</v>
      </c>
      <c r="S5" s="2038" t="b">
        <f>AND(S10:S1000)</f>
        <v>1</v>
      </c>
      <c r="T5" s="2038" t="b">
        <f t="shared" ref="T5:U5" si="0">AND(T10:T1000)</f>
        <v>1</v>
      </c>
      <c r="U5" s="2038" t="b">
        <f t="shared" si="0"/>
        <v>1</v>
      </c>
      <c r="V5" s="2038" t="b">
        <f t="shared" ref="V5:Y5" si="1">AND(V10:V1000)</f>
        <v>1</v>
      </c>
      <c r="W5" s="2038" t="b">
        <f t="shared" ca="1" si="1"/>
        <v>1</v>
      </c>
      <c r="X5" s="2038" t="b">
        <f t="shared" ca="1" si="1"/>
        <v>1</v>
      </c>
      <c r="Y5" s="2038" t="b">
        <f t="shared" si="1"/>
        <v>1</v>
      </c>
    </row>
    <row r="6" spans="1:25" ht="104">
      <c r="A6" s="564"/>
      <c r="C6" s="3895"/>
      <c r="D6" s="3722"/>
      <c r="E6" s="3807"/>
      <c r="F6" s="456" t="s">
        <v>5382</v>
      </c>
      <c r="G6" s="456" t="s">
        <v>5383</v>
      </c>
      <c r="H6" s="174" t="s">
        <v>4134</v>
      </c>
      <c r="I6" s="593" t="s">
        <v>5260</v>
      </c>
      <c r="J6" s="3896"/>
      <c r="K6" s="3896"/>
      <c r="L6" s="3896"/>
      <c r="M6" s="456" t="s">
        <v>4132</v>
      </c>
      <c r="N6" s="472" t="s">
        <v>4133</v>
      </c>
      <c r="O6" s="456" t="s">
        <v>4132</v>
      </c>
      <c r="P6" s="472" t="s">
        <v>4131</v>
      </c>
      <c r="Q6" s="3898"/>
      <c r="S6" s="472" t="s">
        <v>8147</v>
      </c>
      <c r="T6" s="2762" t="s">
        <v>6415</v>
      </c>
      <c r="U6" s="2762" t="s">
        <v>8146</v>
      </c>
      <c r="V6" s="3062" t="s">
        <v>9638</v>
      </c>
      <c r="W6" s="3413" t="s">
        <v>14252</v>
      </c>
      <c r="X6" s="3413" t="s">
        <v>14260</v>
      </c>
      <c r="Y6" s="3431" t="s">
        <v>14296</v>
      </c>
    </row>
    <row r="7" spans="1:25" s="762" customFormat="1">
      <c r="A7" s="748"/>
      <c r="C7" s="754" t="s">
        <v>5247</v>
      </c>
      <c r="D7" s="779" t="s">
        <v>5247</v>
      </c>
      <c r="E7" s="779" t="s">
        <v>5247</v>
      </c>
      <c r="F7" s="779" t="s">
        <v>4219</v>
      </c>
      <c r="G7" s="779" t="s">
        <v>4219</v>
      </c>
      <c r="H7" s="779"/>
      <c r="I7" s="740" t="s">
        <v>5250</v>
      </c>
      <c r="J7" s="779" t="s">
        <v>4219</v>
      </c>
      <c r="K7" s="779" t="s">
        <v>4219</v>
      </c>
      <c r="L7" s="779" t="s">
        <v>4219</v>
      </c>
      <c r="M7" s="779" t="s">
        <v>4219</v>
      </c>
      <c r="N7" s="779" t="s">
        <v>4219</v>
      </c>
      <c r="O7" s="779" t="s">
        <v>4219</v>
      </c>
      <c r="P7" s="779" t="s">
        <v>4219</v>
      </c>
      <c r="Q7" s="755"/>
    </row>
    <row r="8" spans="1:25" s="674" customFormat="1" ht="10.5">
      <c r="A8" s="668"/>
      <c r="B8" s="1581"/>
      <c r="C8" s="1622" t="s">
        <v>4164</v>
      </c>
      <c r="D8" s="1701" t="s">
        <v>4165</v>
      </c>
      <c r="E8" s="1701" t="s">
        <v>4166</v>
      </c>
      <c r="F8" s="1701" t="s">
        <v>5500</v>
      </c>
      <c r="G8" s="1701" t="s">
        <v>4169</v>
      </c>
      <c r="H8" s="1701" t="s">
        <v>4168</v>
      </c>
      <c r="I8" s="1701" t="s">
        <v>4178</v>
      </c>
      <c r="J8" s="1701" t="s">
        <v>4179</v>
      </c>
      <c r="K8" s="1701" t="s">
        <v>4167</v>
      </c>
      <c r="L8" s="1701" t="s">
        <v>5501</v>
      </c>
      <c r="M8" s="1701" t="s">
        <v>4701</v>
      </c>
      <c r="N8" s="1701" t="s">
        <v>4702</v>
      </c>
      <c r="O8" s="1701" t="s">
        <v>4703</v>
      </c>
      <c r="P8" s="1701" t="s">
        <v>5502</v>
      </c>
      <c r="Q8" s="1701" t="s">
        <v>5503</v>
      </c>
    </row>
    <row r="9" spans="1:25">
      <c r="A9" s="9"/>
      <c r="C9" s="995" t="s">
        <v>4170</v>
      </c>
      <c r="D9" s="996" t="s">
        <v>3389</v>
      </c>
      <c r="E9" s="996" t="s">
        <v>3389</v>
      </c>
      <c r="F9" s="996" t="s">
        <v>3389</v>
      </c>
      <c r="G9" s="996" t="s">
        <v>3389</v>
      </c>
      <c r="H9" s="996" t="s">
        <v>3389</v>
      </c>
      <c r="I9" s="996" t="s">
        <v>3389</v>
      </c>
      <c r="J9" s="996" t="s">
        <v>3389</v>
      </c>
      <c r="K9" s="941">
        <f>SUM(K10:K10001)</f>
        <v>0</v>
      </c>
      <c r="L9" s="941">
        <f>SUM(L10:L10001)</f>
        <v>0</v>
      </c>
      <c r="M9" s="941">
        <f>SUM(M10:M10001)</f>
        <v>0</v>
      </c>
      <c r="N9" s="941">
        <f>SUM(N10:N10001)</f>
        <v>0</v>
      </c>
      <c r="O9" s="997" t="s">
        <v>3389</v>
      </c>
      <c r="P9" s="997" t="s">
        <v>3389</v>
      </c>
      <c r="Q9" s="998" t="s">
        <v>4184</v>
      </c>
      <c r="S9" s="2038"/>
    </row>
    <row r="10" spans="1:25">
      <c r="A10" s="2427" t="str">
        <f>"R42="&amp;MID(IF(E10&lt;&gt;"",E10,D10),1,30)&amp;";R57="&amp;MID(C10,1,60)&amp;";R55="&amp;MID(F10,1,100)&amp;";R26="&amp;G10&amp;";R38="&amp;H10&amp;";R2="&amp;IFERROR(MID(I10,FIND("{",I10)+1,FIND("}",I10)-FIND("{",I10)-1),"")&amp;";R39="&amp;MID(J10,1,100)&amp;";R36="&amp;MID(E10,1,30)&amp;";R43="&amp;MID(D10,1,30)&amp;";COM="&amp;Q10</f>
        <v>R42=;R57=;R55=;R26=;R38=;R2=;R39=;R36=;R43=;COM=</v>
      </c>
      <c r="B10" s="601" t="b">
        <f>IF(COUNTIF(F10,"*№*"),FALSE,TRUE)</f>
        <v>1</v>
      </c>
      <c r="C10" s="862"/>
      <c r="D10" s="1000"/>
      <c r="E10" s="999"/>
      <c r="F10" s="1000"/>
      <c r="G10" s="884"/>
      <c r="H10" s="884"/>
      <c r="I10" s="1001"/>
      <c r="J10" s="999"/>
      <c r="K10" s="942"/>
      <c r="L10" s="942"/>
      <c r="M10" s="942"/>
      <c r="N10" s="942"/>
      <c r="O10" s="942"/>
      <c r="P10" s="942"/>
      <c r="Q10" s="1002"/>
      <c r="S10" s="2038" t="b">
        <f t="shared" ref="S10:S15" si="2">N10&gt;=M10+K10</f>
        <v>1</v>
      </c>
      <c r="T10" s="2038" t="b">
        <f>IF(C10&gt;0,OR(AND($D10&lt;&gt;"",$E10=""),AND($D10="",$E10&lt;&gt;""),AND($D10&lt;&gt;"",$E10&lt;&gt;"")),TRUE)</f>
        <v>1</v>
      </c>
      <c r="U10" s="2038" t="b">
        <f>IF(C10&lt;&gt;0,IF(OR(F10="0",F10=0,F10="",G10="0",G10=0,G10="",H10="0",H10=0,H10="",I10="0",I10=0,I10="",J10="0",J10=0,J10=""),FALSE,TRUE),TRUE)</f>
        <v>1</v>
      </c>
      <c r="V10" s="2038" t="b">
        <f>IF(F10="",TRUE,G10&lt;&gt;"")</f>
        <v>1</v>
      </c>
      <c r="W10" s="2038" t="b">
        <f ca="1">IF(ISBLANK(G10),TRUE,IF(CELL("формат",G10)="D1",AND(LEN(TEXT(G10,"ДД.мм.ГГГГ"))=10,NOT(ISERR(SEARCH("??.??.????",TEXT(G10,"ДД.мм.ГГГГ"))))),AND(NOT(ISERROR(DATEVALUE(G10))),LEN(G10)=10,NOT(ISERR(SEARCH("??.??.????",TEXT(G10,"ДД.мм.ГГГГ")))))))</f>
        <v>1</v>
      </c>
      <c r="X10" s="2038" t="b">
        <f ca="1">IF(ISBLANK(H10),TRUE,IF(CELL("формат",H10)="D1",AND(LEN(TEXT(H10,"ДД.мм.ГГГГ"))=10,NOT(ISERR(SEARCH("??.??.????",TEXT(H10,"ДД.мм.ГГГГ"))))),AND(NOT(ISERROR(DATEVALUE(H10))),LEN(H10)=10,NOT(ISERR(SEARCH("??.??.????",TEXT(H10,"ДД.мм.ГГГГ")))))))</f>
        <v>1</v>
      </c>
      <c r="Y10" s="2038" t="b">
        <f>IF(COUNTIF(F10,"*№*")=1,FALSE,IF(COUNTIF(F10,"*договор*")=1,FALSE,IF(COUNTIF(F10,"*контракт*")=1,FALSE,TRUE)))</f>
        <v>1</v>
      </c>
    </row>
    <row r="11" spans="1:25">
      <c r="A11" s="2427" t="str">
        <f t="shared" ref="A11:A22" si="3">"R42="&amp;MID(IF(E11&lt;&gt;"",E11,D11),1,30)&amp;";R57="&amp;MID(C11,1,60)&amp;";R55="&amp;MID(F11,1,100)&amp;";R26="&amp;G11&amp;";R38="&amp;H11&amp;";R2="&amp;IFERROR(MID(I11,FIND("{",I11)+1,FIND("}",I11)-FIND("{",I11)-1),"")&amp;";R39="&amp;MID(J11,1,100)&amp;";R36="&amp;MID(E11,1,30)&amp;";R43="&amp;MID(D11,1,30)&amp;";COM="&amp;Q11</f>
        <v>R42=;R57=;R55=;R26=;R38=;R2=;R39=;R36=;R43=;COM=</v>
      </c>
      <c r="B11" s="601" t="b">
        <f t="shared" ref="B11:B15" si="4">IF(COUNTIF(F11,"*№*"),FALSE,TRUE)</f>
        <v>1</v>
      </c>
      <c r="C11" s="862"/>
      <c r="D11" s="1000"/>
      <c r="E11" s="999"/>
      <c r="F11" s="1000"/>
      <c r="G11" s="884"/>
      <c r="H11" s="884"/>
      <c r="I11" s="1001"/>
      <c r="J11" s="999"/>
      <c r="K11" s="942"/>
      <c r="L11" s="942"/>
      <c r="M11" s="942"/>
      <c r="N11" s="942"/>
      <c r="O11" s="942"/>
      <c r="P11" s="942"/>
      <c r="Q11" s="1002"/>
      <c r="S11" s="2038" t="b">
        <f t="shared" si="2"/>
        <v>1</v>
      </c>
      <c r="T11" s="2038" t="b">
        <f>IF(C11&gt;0,OR(AND($D11&lt;&gt;"",$E11=""),AND($D11="",$E11&lt;&gt;""),AND($D11&lt;&gt;"",$E11&lt;&gt;"")),TRUE)</f>
        <v>1</v>
      </c>
      <c r="U11" s="2038" t="b">
        <f t="shared" ref="U11:U15" si="5">IF(C11&lt;&gt;0,IF(OR(F11="0",F11=0,F11="",G11="0",G11=0,G11="",H11="0",H11=0,H11="",I11="0",I11=0,I11="",J11="0",J11=0,J11=""),FALSE,TRUE),TRUE)</f>
        <v>1</v>
      </c>
      <c r="V11" s="2038" t="b">
        <f t="shared" ref="V11:V15" si="6">IF(F11="",TRUE,G11&lt;&gt;"")</f>
        <v>1</v>
      </c>
      <c r="W11" s="2038" t="b">
        <f ca="1">IF(ISBLANK(G11),TRUE,IF(CELL("формат",G11)="D1",AND(LEN(TEXT(G11,"ДД.мм.ГГГГ"))=10,NOT(ISERR(SEARCH("??.??.????",TEXT(G11,"ДД.мм.ГГГГ"))))),AND(NOT(ISERROR(DATEVALUE(G11))),LEN(G11)=10,NOT(ISERR(SEARCH("??.??.????",TEXT(G11,"ДД.мм.ГГГГ")))))))</f>
        <v>1</v>
      </c>
      <c r="X11" s="2038" t="b">
        <f ca="1">IF(ISBLANK(H11),TRUE,IF(CELL("формат",H11)="D1",AND(LEN(TEXT(H11,"ДД.мм.ГГГГ"))=10,NOT(ISERR(SEARCH("??.??.????",TEXT(H11,"ДД.мм.ГГГГ"))))),AND(NOT(ISERROR(DATEVALUE(H11))),LEN(H11)=10,NOT(ISERR(SEARCH("??.??.????",TEXT(H11,"ДД.мм.ГГГГ")))))))</f>
        <v>1</v>
      </c>
      <c r="Y11" s="2038" t="b">
        <f t="shared" ref="Y11:Y21" si="7">IF(COUNTIF(F11,"*№*")=1,FALSE,IF(COUNTIF(F11,"*договор*")=1,FALSE,IF(COUNTIF(F11,"*контракт*")=1,FALSE,TRUE)))</f>
        <v>1</v>
      </c>
    </row>
    <row r="12" spans="1:25">
      <c r="A12" s="2427" t="str">
        <f t="shared" si="3"/>
        <v>R42=;R57=;R55=;R26=;R38=;R2=;R39=;R36=;R43=;COM=</v>
      </c>
      <c r="B12" s="601" t="b">
        <f t="shared" si="4"/>
        <v>1</v>
      </c>
      <c r="C12" s="862"/>
      <c r="D12" s="1000"/>
      <c r="E12" s="999"/>
      <c r="F12" s="1000"/>
      <c r="G12" s="884"/>
      <c r="H12" s="884"/>
      <c r="I12" s="1001"/>
      <c r="J12" s="999"/>
      <c r="K12" s="942"/>
      <c r="L12" s="942"/>
      <c r="M12" s="942"/>
      <c r="N12" s="942"/>
      <c r="O12" s="942"/>
      <c r="P12" s="942"/>
      <c r="Q12" s="1002"/>
      <c r="S12" s="2038" t="b">
        <f>N12&gt;=M12+K12</f>
        <v>1</v>
      </c>
      <c r="T12" s="2038" t="b">
        <f>IF(C12&gt;0,OR(AND($D12&lt;&gt;"",$E12=""),AND($D12="",$E12&lt;&gt;""),AND($D12&lt;&gt;"",$E12&lt;&gt;"")),TRUE)</f>
        <v>1</v>
      </c>
      <c r="U12" s="2038" t="b">
        <f t="shared" si="5"/>
        <v>1</v>
      </c>
      <c r="V12" s="2038" t="b">
        <f t="shared" si="6"/>
        <v>1</v>
      </c>
      <c r="W12" s="2038" t="b">
        <f t="shared" ref="W12:W22" ca="1" si="8">IF(ISBLANK(G12),TRUE,IF(CELL("формат",G12)="D1",AND(LEN(TEXT(G12,"ДД.мм.ГГГГ"))=10,NOT(ISERR(SEARCH("??.??.????",TEXT(G12,"ДД.мм.ГГГГ"))))),AND(NOT(ISERROR(DATEVALUE(G12))),LEN(G12)=10,NOT(ISERR(SEARCH("??.??.????",TEXT(G12,"ДД.мм.ГГГГ")))))))</f>
        <v>1</v>
      </c>
      <c r="X12" s="2038" t="b">
        <f t="shared" ref="X12:X22" ca="1" si="9">IF(ISBLANK(H12),TRUE,IF(CELL("формат",H12)="D1",AND(LEN(TEXT(H12,"ДД.мм.ГГГГ"))=10,NOT(ISERR(SEARCH("??.??.????",TEXT(H12,"ДД.мм.ГГГГ"))))),AND(NOT(ISERROR(DATEVALUE(H12))),LEN(H12)=10,NOT(ISERR(SEARCH("??.??.????",TEXT(H12,"ДД.мм.ГГГГ")))))))</f>
        <v>1</v>
      </c>
      <c r="Y12" s="2038" t="b">
        <f t="shared" si="7"/>
        <v>1</v>
      </c>
    </row>
    <row r="13" spans="1:25">
      <c r="A13" s="2427" t="str">
        <f t="shared" si="3"/>
        <v>R42=;R57=;R55=;R26=;R38=;R2=;R39=;R36=;R43=;COM=</v>
      </c>
      <c r="B13" s="601" t="b">
        <f t="shared" si="4"/>
        <v>1</v>
      </c>
      <c r="C13" s="862"/>
      <c r="D13" s="1000"/>
      <c r="E13" s="999"/>
      <c r="F13" s="1000"/>
      <c r="G13" s="884"/>
      <c r="H13" s="884"/>
      <c r="I13" s="1001"/>
      <c r="J13" s="999"/>
      <c r="K13" s="942"/>
      <c r="L13" s="942"/>
      <c r="M13" s="942"/>
      <c r="N13" s="942"/>
      <c r="O13" s="942"/>
      <c r="P13" s="942"/>
      <c r="Q13" s="1002"/>
      <c r="S13" s="2038" t="b">
        <f t="shared" si="2"/>
        <v>1</v>
      </c>
      <c r="T13" s="2038" t="b">
        <f t="shared" ref="T13:T14" si="10">IF(C13&gt;0,OR(AND($D13&lt;&gt;"",$E13=""),AND($D13="",$E13&lt;&gt;""),AND($D13&lt;&gt;"",$E13&lt;&gt;"")),TRUE)</f>
        <v>1</v>
      </c>
      <c r="U13" s="2038" t="b">
        <f t="shared" si="5"/>
        <v>1</v>
      </c>
      <c r="V13" s="2038" t="b">
        <f t="shared" si="6"/>
        <v>1</v>
      </c>
      <c r="W13" s="2038" t="b">
        <f t="shared" ca="1" si="8"/>
        <v>1</v>
      </c>
      <c r="X13" s="2038" t="b">
        <f t="shared" ca="1" si="9"/>
        <v>1</v>
      </c>
      <c r="Y13" s="2038" t="b">
        <f t="shared" si="7"/>
        <v>1</v>
      </c>
    </row>
    <row r="14" spans="1:25">
      <c r="A14" s="2427" t="str">
        <f t="shared" si="3"/>
        <v>R42=;R57=;R55=;R26=;R38=;R2=;R39=;R36=;R43=;COM=</v>
      </c>
      <c r="B14" s="601" t="b">
        <f t="shared" si="4"/>
        <v>1</v>
      </c>
      <c r="C14" s="862"/>
      <c r="D14" s="1000"/>
      <c r="E14" s="999"/>
      <c r="F14" s="1000"/>
      <c r="G14" s="884"/>
      <c r="H14" s="884"/>
      <c r="I14" s="1001"/>
      <c r="J14" s="999"/>
      <c r="K14" s="942"/>
      <c r="L14" s="942"/>
      <c r="M14" s="942"/>
      <c r="N14" s="942"/>
      <c r="O14" s="942"/>
      <c r="P14" s="942"/>
      <c r="Q14" s="1002"/>
      <c r="S14" s="2038" t="b">
        <f t="shared" si="2"/>
        <v>1</v>
      </c>
      <c r="T14" s="2038" t="b">
        <f t="shared" si="10"/>
        <v>1</v>
      </c>
      <c r="U14" s="2038" t="b">
        <f t="shared" si="5"/>
        <v>1</v>
      </c>
      <c r="V14" s="2038" t="b">
        <f t="shared" si="6"/>
        <v>1</v>
      </c>
      <c r="W14" s="2038" t="b">
        <f t="shared" ca="1" si="8"/>
        <v>1</v>
      </c>
      <c r="X14" s="2038" t="b">
        <f t="shared" ca="1" si="9"/>
        <v>1</v>
      </c>
      <c r="Y14" s="2038" t="b">
        <f t="shared" si="7"/>
        <v>1</v>
      </c>
    </row>
    <row r="15" spans="1:25" s="2830" customFormat="1">
      <c r="A15" s="2427" t="str">
        <f t="shared" si="3"/>
        <v>R42=;R57=;R55=;R26=;R38=;R2=;R39=;R36=;R43=;COM=</v>
      </c>
      <c r="B15" s="601" t="b">
        <f t="shared" si="4"/>
        <v>1</v>
      </c>
      <c r="C15" s="862"/>
      <c r="D15" s="1000"/>
      <c r="E15" s="999"/>
      <c r="F15" s="1000"/>
      <c r="G15" s="884"/>
      <c r="H15" s="884"/>
      <c r="I15" s="1001"/>
      <c r="J15" s="999"/>
      <c r="K15" s="942"/>
      <c r="L15" s="942"/>
      <c r="M15" s="942"/>
      <c r="N15" s="942"/>
      <c r="O15" s="942"/>
      <c r="P15" s="942"/>
      <c r="Q15" s="1002"/>
      <c r="S15" s="2038" t="b">
        <f t="shared" si="2"/>
        <v>1</v>
      </c>
      <c r="T15" s="2038" t="b">
        <f t="shared" ref="T15:T22" si="11">IF(C15&gt;0,OR(AND($D15&lt;&gt;"",$E15=""),AND($D15="",$E15&lt;&gt;""),AND($D15&lt;&gt;"",$E15&lt;&gt;"")),TRUE)</f>
        <v>1</v>
      </c>
      <c r="U15" s="2038" t="b">
        <f t="shared" si="5"/>
        <v>1</v>
      </c>
      <c r="V15" s="2038" t="b">
        <f t="shared" si="6"/>
        <v>1</v>
      </c>
      <c r="W15" s="2038" t="b">
        <f t="shared" ca="1" si="8"/>
        <v>1</v>
      </c>
      <c r="X15" s="2038" t="b">
        <f t="shared" ca="1" si="9"/>
        <v>1</v>
      </c>
      <c r="Y15" s="2038" t="b">
        <f t="shared" si="7"/>
        <v>1</v>
      </c>
    </row>
    <row r="16" spans="1:25" s="2830" customFormat="1">
      <c r="A16" s="2427" t="str">
        <f t="shared" si="3"/>
        <v>R42=;R57=;R55=;R26=;R38=;R2=;R39=;R36=;R43=;COM=</v>
      </c>
      <c r="B16" s="601" t="b">
        <f t="shared" ref="B16" si="12">IF(COUNTIF(F16,"*№*"),FALSE,TRUE)</f>
        <v>1</v>
      </c>
      <c r="C16" s="862"/>
      <c r="D16" s="1000"/>
      <c r="E16" s="999"/>
      <c r="F16" s="1000"/>
      <c r="G16" s="884"/>
      <c r="H16" s="884"/>
      <c r="I16" s="1001"/>
      <c r="J16" s="999"/>
      <c r="K16" s="942"/>
      <c r="L16" s="942"/>
      <c r="M16" s="942"/>
      <c r="N16" s="942"/>
      <c r="O16" s="942"/>
      <c r="P16" s="942"/>
      <c r="Q16" s="1002"/>
      <c r="S16" s="2038" t="b">
        <f t="shared" ref="S16" si="13">N16&gt;=M16+K16</f>
        <v>1</v>
      </c>
      <c r="T16" s="2038" t="b">
        <f t="shared" si="11"/>
        <v>1</v>
      </c>
      <c r="U16" s="2038" t="b">
        <f t="shared" ref="U16" si="14">IF(C16&lt;&gt;0,IF(OR(F16="0",F16=0,F16="",G16="0",G16=0,G16="",H16="0",H16=0,H16="",I16="0",I16=0,I16="",J16="0",J16=0,J16=""),FALSE,TRUE),TRUE)</f>
        <v>1</v>
      </c>
      <c r="V16" s="2038" t="b">
        <f t="shared" ref="V16" si="15">IF(F16="",TRUE,G16&lt;&gt;"")</f>
        <v>1</v>
      </c>
      <c r="W16" s="2038" t="b">
        <f t="shared" ca="1" si="8"/>
        <v>1</v>
      </c>
      <c r="X16" s="2038" t="b">
        <f t="shared" ca="1" si="9"/>
        <v>1</v>
      </c>
      <c r="Y16" s="2038" t="b">
        <f t="shared" si="7"/>
        <v>1</v>
      </c>
    </row>
    <row r="17" spans="1:25" s="2830" customFormat="1">
      <c r="A17" s="2427" t="str">
        <f t="shared" si="3"/>
        <v>R42=;R57=;R55=;R26=;R38=;R2=;R39=;R36=;R43=;COM=</v>
      </c>
      <c r="B17" s="601" t="b">
        <f t="shared" ref="B17" si="16">IF(COUNTIF(F17,"*№*"),FALSE,TRUE)</f>
        <v>1</v>
      </c>
      <c r="C17" s="862"/>
      <c r="D17" s="1000"/>
      <c r="E17" s="999"/>
      <c r="F17" s="1000"/>
      <c r="G17" s="884"/>
      <c r="H17" s="884"/>
      <c r="I17" s="1001"/>
      <c r="J17" s="999"/>
      <c r="K17" s="942"/>
      <c r="L17" s="942"/>
      <c r="M17" s="942"/>
      <c r="N17" s="942"/>
      <c r="O17" s="942"/>
      <c r="P17" s="942"/>
      <c r="Q17" s="1002"/>
      <c r="S17" s="2038" t="b">
        <f t="shared" ref="S17" si="17">N17&gt;=M17+K17</f>
        <v>1</v>
      </c>
      <c r="T17" s="2038" t="b">
        <f t="shared" si="11"/>
        <v>1</v>
      </c>
      <c r="U17" s="2038" t="b">
        <f t="shared" ref="U17" si="18">IF(C17&lt;&gt;0,IF(OR(F17="0",F17=0,F17="",G17="0",G17=0,G17="",H17="0",H17=0,H17="",I17="0",I17=0,I17="",J17="0",J17=0,J17=""),FALSE,TRUE),TRUE)</f>
        <v>1</v>
      </c>
      <c r="V17" s="2038" t="b">
        <f t="shared" ref="V17" si="19">IF(F17="",TRUE,G17&lt;&gt;"")</f>
        <v>1</v>
      </c>
      <c r="W17" s="2038" t="b">
        <f t="shared" ca="1" si="8"/>
        <v>1</v>
      </c>
      <c r="X17" s="2038" t="b">
        <f t="shared" ca="1" si="9"/>
        <v>1</v>
      </c>
      <c r="Y17" s="2038" t="b">
        <f t="shared" si="7"/>
        <v>1</v>
      </c>
    </row>
    <row r="18" spans="1:25" s="2830" customFormat="1">
      <c r="A18" s="2427" t="str">
        <f t="shared" si="3"/>
        <v>R42=;R57=;R55=;R26=;R38=;R2=;R39=;R36=;R43=;COM=</v>
      </c>
      <c r="B18" s="601" t="b">
        <f t="shared" ref="B18" si="20">IF(COUNTIF(F18,"*№*"),FALSE,TRUE)</f>
        <v>1</v>
      </c>
      <c r="C18" s="862"/>
      <c r="D18" s="1000"/>
      <c r="E18" s="999"/>
      <c r="F18" s="1000"/>
      <c r="G18" s="884"/>
      <c r="H18" s="884"/>
      <c r="I18" s="1001"/>
      <c r="J18" s="999"/>
      <c r="K18" s="942"/>
      <c r="L18" s="942"/>
      <c r="M18" s="942"/>
      <c r="N18" s="942"/>
      <c r="O18" s="942"/>
      <c r="P18" s="942"/>
      <c r="Q18" s="1002"/>
      <c r="S18" s="2038" t="b">
        <f t="shared" ref="S18" si="21">N18&gt;=M18+K18</f>
        <v>1</v>
      </c>
      <c r="T18" s="2038" t="b">
        <f t="shared" si="11"/>
        <v>1</v>
      </c>
      <c r="U18" s="2038" t="b">
        <f t="shared" ref="U18" si="22">IF(C18&lt;&gt;0,IF(OR(F18="0",F18=0,F18="",G18="0",G18=0,G18="",H18="0",H18=0,H18="",I18="0",I18=0,I18="",J18="0",J18=0,J18=""),FALSE,TRUE),TRUE)</f>
        <v>1</v>
      </c>
      <c r="V18" s="2038" t="b">
        <f t="shared" ref="V18" si="23">IF(F18="",TRUE,G18&lt;&gt;"")</f>
        <v>1</v>
      </c>
      <c r="W18" s="2038" t="b">
        <f t="shared" ca="1" si="8"/>
        <v>1</v>
      </c>
      <c r="X18" s="2038" t="b">
        <f t="shared" ca="1" si="9"/>
        <v>1</v>
      </c>
      <c r="Y18" s="2038" t="b">
        <f t="shared" si="7"/>
        <v>1</v>
      </c>
    </row>
    <row r="19" spans="1:25" s="2830" customFormat="1">
      <c r="A19" s="2427" t="str">
        <f t="shared" si="3"/>
        <v>R42=;R57=;R55=;R26=;R38=;R2=;R39=;R36=;R43=;COM=</v>
      </c>
      <c r="B19" s="601" t="b">
        <f t="shared" ref="B19" si="24">IF(COUNTIF(F19,"*№*"),FALSE,TRUE)</f>
        <v>1</v>
      </c>
      <c r="C19" s="862"/>
      <c r="D19" s="1000"/>
      <c r="E19" s="999"/>
      <c r="F19" s="1000"/>
      <c r="G19" s="884"/>
      <c r="H19" s="884"/>
      <c r="I19" s="1001"/>
      <c r="J19" s="999"/>
      <c r="K19" s="942"/>
      <c r="L19" s="942"/>
      <c r="M19" s="942"/>
      <c r="N19" s="942"/>
      <c r="O19" s="942"/>
      <c r="P19" s="942"/>
      <c r="Q19" s="1002"/>
      <c r="S19" s="2038" t="b">
        <f t="shared" ref="S19" si="25">N19&gt;=M19+K19</f>
        <v>1</v>
      </c>
      <c r="T19" s="2038" t="b">
        <f t="shared" si="11"/>
        <v>1</v>
      </c>
      <c r="U19" s="2038" t="b">
        <f t="shared" ref="U19" si="26">IF(C19&lt;&gt;0,IF(OR(F19="0",F19=0,F19="",G19="0",G19=0,G19="",H19="0",H19=0,H19="",I19="0",I19=0,I19="",J19="0",J19=0,J19=""),FALSE,TRUE),TRUE)</f>
        <v>1</v>
      </c>
      <c r="V19" s="2038" t="b">
        <f t="shared" ref="V19" si="27">IF(F19="",TRUE,G19&lt;&gt;"")</f>
        <v>1</v>
      </c>
      <c r="W19" s="2038" t="b">
        <f t="shared" ca="1" si="8"/>
        <v>1</v>
      </c>
      <c r="X19" s="2038" t="b">
        <f t="shared" ca="1" si="9"/>
        <v>1</v>
      </c>
      <c r="Y19" s="2038" t="b">
        <f t="shared" si="7"/>
        <v>1</v>
      </c>
    </row>
    <row r="20" spans="1:25" s="2830" customFormat="1">
      <c r="A20" s="2427" t="str">
        <f t="shared" si="3"/>
        <v>R42=;R57=;R55=;R26=;R38=;R2=;R39=;R36=;R43=;COM=</v>
      </c>
      <c r="B20" s="601" t="b">
        <f t="shared" ref="B20" si="28">IF(COUNTIF(F20,"*№*"),FALSE,TRUE)</f>
        <v>1</v>
      </c>
      <c r="C20" s="862"/>
      <c r="D20" s="1000"/>
      <c r="E20" s="999"/>
      <c r="F20" s="1000"/>
      <c r="G20" s="884"/>
      <c r="H20" s="884"/>
      <c r="I20" s="1001"/>
      <c r="J20" s="999"/>
      <c r="K20" s="942"/>
      <c r="L20" s="942"/>
      <c r="M20" s="942"/>
      <c r="N20" s="942"/>
      <c r="O20" s="942"/>
      <c r="P20" s="942"/>
      <c r="Q20" s="1002"/>
      <c r="S20" s="2038" t="b">
        <f t="shared" ref="S20" si="29">N20&gt;=M20+K20</f>
        <v>1</v>
      </c>
      <c r="T20" s="2038" t="b">
        <f t="shared" si="11"/>
        <v>1</v>
      </c>
      <c r="U20" s="2038" t="b">
        <f t="shared" ref="U20" si="30">IF(C20&lt;&gt;0,IF(OR(F20="0",F20=0,F20="",G20="0",G20=0,G20="",H20="0",H20=0,H20="",I20="0",I20=0,I20="",J20="0",J20=0,J20=""),FALSE,TRUE),TRUE)</f>
        <v>1</v>
      </c>
      <c r="V20" s="2038" t="b">
        <f t="shared" ref="V20" si="31">IF(F20="",TRUE,G20&lt;&gt;"")</f>
        <v>1</v>
      </c>
      <c r="W20" s="2038" t="b">
        <f t="shared" ca="1" si="8"/>
        <v>1</v>
      </c>
      <c r="X20" s="2038" t="b">
        <f t="shared" ca="1" si="9"/>
        <v>1</v>
      </c>
      <c r="Y20" s="2038" t="b">
        <f t="shared" si="7"/>
        <v>1</v>
      </c>
    </row>
    <row r="21" spans="1:25" s="2830" customFormat="1">
      <c r="A21" s="2427" t="str">
        <f t="shared" si="3"/>
        <v>R42=;R57=;R55=;R26=;R38=;R2=;R39=;R36=;R43=;COM=</v>
      </c>
      <c r="B21" s="601" t="b">
        <f t="shared" ref="B21" si="32">IF(COUNTIF(F21,"*№*"),FALSE,TRUE)</f>
        <v>1</v>
      </c>
      <c r="C21" s="862"/>
      <c r="D21" s="1000"/>
      <c r="E21" s="999"/>
      <c r="F21" s="1000"/>
      <c r="G21" s="884"/>
      <c r="H21" s="884"/>
      <c r="I21" s="1001"/>
      <c r="J21" s="999"/>
      <c r="K21" s="942"/>
      <c r="L21" s="942"/>
      <c r="M21" s="942"/>
      <c r="N21" s="942"/>
      <c r="O21" s="942"/>
      <c r="P21" s="942"/>
      <c r="Q21" s="1002"/>
      <c r="S21" s="2038" t="b">
        <f t="shared" ref="S21" si="33">N21&gt;=M21+K21</f>
        <v>1</v>
      </c>
      <c r="T21" s="2038" t="b">
        <f t="shared" si="11"/>
        <v>1</v>
      </c>
      <c r="U21" s="2038" t="b">
        <f t="shared" ref="U21" si="34">IF(C21&lt;&gt;0,IF(OR(F21="0",F21=0,F21="",G21="0",G21=0,G21="",H21="0",H21=0,H21="",I21="0",I21=0,I21="",J21="0",J21=0,J21=""),FALSE,TRUE),TRUE)</f>
        <v>1</v>
      </c>
      <c r="V21" s="2038" t="b">
        <f t="shared" ref="V21" si="35">IF(F21="",TRUE,G21&lt;&gt;"")</f>
        <v>1</v>
      </c>
      <c r="W21" s="2038" t="b">
        <f t="shared" ca="1" si="8"/>
        <v>1</v>
      </c>
      <c r="X21" s="2038" t="b">
        <f t="shared" ca="1" si="9"/>
        <v>1</v>
      </c>
      <c r="Y21" s="2038" t="b">
        <f t="shared" si="7"/>
        <v>1</v>
      </c>
    </row>
    <row r="22" spans="1:25" s="2830" customFormat="1" ht="15" thickBot="1">
      <c r="A22" s="2427" t="str">
        <f t="shared" si="3"/>
        <v>R42=;R57=;R55=;R26=;R38=;R2=;R39=;R36=;R43=;COM=</v>
      </c>
      <c r="B22" s="601" t="b">
        <f t="shared" ref="B22" si="36">IF(COUNTIF(F22,"*№*"),FALSE,TRUE)</f>
        <v>1</v>
      </c>
      <c r="C22" s="864"/>
      <c r="D22" s="1004"/>
      <c r="E22" s="1003"/>
      <c r="F22" s="1004"/>
      <c r="G22" s="887"/>
      <c r="H22" s="887"/>
      <c r="I22" s="1005"/>
      <c r="J22" s="1003"/>
      <c r="K22" s="943"/>
      <c r="L22" s="943"/>
      <c r="M22" s="943"/>
      <c r="N22" s="943"/>
      <c r="O22" s="943"/>
      <c r="P22" s="943"/>
      <c r="Q22" s="1006"/>
      <c r="S22" s="2038" t="b">
        <f t="shared" ref="S22" si="37">N22&gt;=M22+K22</f>
        <v>1</v>
      </c>
      <c r="T22" s="2038" t="b">
        <f t="shared" si="11"/>
        <v>1</v>
      </c>
      <c r="U22" s="2038" t="b">
        <f t="shared" ref="U22" si="38">IF(C22&lt;&gt;0,IF(OR(F22="0",F22=0,F22="",G22="0",G22=0,G22="",H22="0",H22=0,H22="",I22="0",I22=0,I22="",J22="0",J22=0,J22=""),FALSE,TRUE),TRUE)</f>
        <v>1</v>
      </c>
      <c r="V22" s="2038" t="b">
        <f t="shared" ref="V22" si="39">IF(F22="",TRUE,G22&lt;&gt;"")</f>
        <v>1</v>
      </c>
      <c r="W22" s="2038" t="b">
        <f t="shared" ca="1" si="8"/>
        <v>1</v>
      </c>
      <c r="X22" s="2038" t="b">
        <f t="shared" ca="1" si="9"/>
        <v>1</v>
      </c>
      <c r="Y22" s="2038" t="b">
        <f>IF(COUNTIF(F22,"*№*")=1,FALSE,IF(COUNTIF(F22,"*договор*")=1,FALSE,IF(COUNTIF(F22,"*контракт*")=1,FALSE,TRUE)))</f>
        <v>1</v>
      </c>
    </row>
    <row r="23" spans="1:25">
      <c r="A23" s="9"/>
    </row>
    <row r="24" spans="1:25">
      <c r="A24" s="9"/>
    </row>
    <row r="25" spans="1:25">
      <c r="A25" s="9"/>
    </row>
    <row r="26" spans="1:25">
      <c r="A26" s="9"/>
    </row>
    <row r="27" spans="1:25">
      <c r="A27" s="9"/>
    </row>
    <row r="28" spans="1:25">
      <c r="A28" s="9"/>
    </row>
    <row r="29" spans="1:25">
      <c r="A29" s="9"/>
    </row>
    <row r="30" spans="1:25">
      <c r="A30" s="9"/>
    </row>
    <row r="31" spans="1:25">
      <c r="A31" s="9"/>
    </row>
  </sheetData>
  <sheetProtection algorithmName="SHA-512" hashValue="R/h0p34PVnnqQ01o8c4pPUrPa6G69ECDzU+vmhYz5HoDP3sNaChqPR0zzm59adnkoQLHnS3OQq+0pT6MBTBqdg==" saltValue="n8GA5ADhKF8ZdFXB1NCSIQ==" spinCount="100000" sheet="1" objects="1" scenarios="1" formatColumns="0" formatRows="0" autoFilter="0"/>
  <autoFilter ref="C8:Y8"/>
  <customSheetViews>
    <customSheetView guid="{3769259D-9653-4B34-A2F6-4FB6F9F4E533}" scale="85" showGridLines="0" showAutoFilter="1" hiddenRows="1" hiddenColumns="1">
      <pane xSplit="7" ySplit="8" topLeftCell="H9" activePane="bottomRight" state="frozen"/>
      <selection pane="bottomRight" activeCell="C16" sqref="C16"/>
      <pageMargins left="0.7" right="0.7" top="0.75" bottom="0.75" header="0.3" footer="0.3"/>
      <pageSetup paperSize="9" orientation="portrait" horizontalDpi="180" verticalDpi="180" r:id="rId1"/>
      <autoFilter ref="B1:O1"/>
    </customSheetView>
    <customSheetView guid="{40D7A2BB-326C-4ED3-999C-17852F56D6F4}" scale="85" showGridLines="0" showAutoFilter="1" hiddenRows="1" hiddenColumns="1">
      <pane xSplit="7" ySplit="8" topLeftCell="H9" activePane="bottomRight" state="frozen"/>
      <selection pane="bottomRight" activeCell="C16" sqref="C16"/>
      <pageMargins left="0.7" right="0.7" top="0.75" bottom="0.75" header="0.3" footer="0.3"/>
      <pageSetup paperSize="9" orientation="portrait" horizontalDpi="180" verticalDpi="180" r:id="rId2"/>
      <autoFilter ref="B1:O1"/>
    </customSheetView>
    <customSheetView guid="{5D121940-0CE8-4A0E-A493-67FAAA6E0FF8}" scale="85" showGridLines="0" showAutoFilter="1" hiddenRows="1" hiddenColumns="1" topLeftCell="B2">
      <pane xSplit="6" ySplit="7" topLeftCell="O9" activePane="bottomRight" state="frozen"/>
      <selection pane="bottomRight" activeCell="R2" sqref="R1:R65536"/>
      <pageMargins left="0.7" right="0.7" top="0.75" bottom="0.75" header="0.3" footer="0.3"/>
      <pageSetup paperSize="9" orientation="portrait" horizontalDpi="180" verticalDpi="180" r:id="rId3"/>
      <autoFilter ref="B1:O1"/>
    </customSheetView>
    <customSheetView guid="{47AEACC4-6EA5-412C-AF39-A6C5357B313A}" showGridLines="0" showAutoFilter="1" hiddenRows="1" hiddenColumns="1" topLeftCell="B2">
      <pane xSplit="5.6735905044510382" ySplit="7" topLeftCell="P9" activePane="bottomRight" state="frozen"/>
      <selection pane="bottomRight" activeCell="G21" sqref="G21"/>
      <pageMargins left="0.7" right="0.7" top="0.75" bottom="0.75" header="0.3" footer="0.3"/>
      <pageSetup paperSize="9" orientation="portrait" horizontalDpi="180" verticalDpi="180" r:id="rId4"/>
      <autoFilter ref="B1:O1"/>
    </customSheetView>
    <customSheetView guid="{4D957B38-5430-481E-B791-E0A66F913B50}" scale="70">
      <pageMargins left="0.7" right="0.7" top="0.75" bottom="0.75" header="0.3" footer="0.3"/>
      <pageSetup paperSize="9" orientation="portrait" horizontalDpi="180" verticalDpi="180" r:id="rId5"/>
    </customSheetView>
    <customSheetView guid="{C913A9E8-661B-40A4-A3C9-1BC5F2B2E9F0}" showGridLines="0" showAutoFilter="1" hiddenRows="1" hiddenColumns="1" topLeftCell="B2">
      <pane xSplit="5.637982195845697" ySplit="7" topLeftCell="P9" activePane="bottomRight" state="frozen"/>
      <selection pane="bottomRight" activeCell="C8" sqref="C8:P8"/>
      <pageMargins left="0.7" right="0.7" top="0.75" bottom="0.75" header="0.3" footer="0.3"/>
      <pageSetup paperSize="9" orientation="portrait" horizontalDpi="180" verticalDpi="180" r:id="rId6"/>
      <autoFilter ref="B1:O1"/>
    </customSheetView>
  </customSheetViews>
  <mergeCells count="13">
    <mergeCell ref="W4:X4"/>
    <mergeCell ref="C3:J3"/>
    <mergeCell ref="C5:C6"/>
    <mergeCell ref="D5:D6"/>
    <mergeCell ref="F5:I5"/>
    <mergeCell ref="J5:J6"/>
    <mergeCell ref="C4:H4"/>
    <mergeCell ref="E5:E6"/>
    <mergeCell ref="Q5:Q6"/>
    <mergeCell ref="K5:K6"/>
    <mergeCell ref="L5:L6"/>
    <mergeCell ref="M5:N5"/>
    <mergeCell ref="O5:P5"/>
  </mergeCell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I10:I22">
      <formula1>_6003</formula1>
    </dataValidation>
    <dataValidation operator="equal" allowBlank="1" showInputMessage="1" prompt="Дата в формате ДД.ММ.ГГГГ (01.01.2010)" sqref="G10:H22">
      <formula1>0</formula1>
      <formula2>0</formula2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0" orientation="landscape" horizontalDpi="180" verticalDpi="18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10" name="Button 1">
              <controlPr defaultSize="0" print="0" autoFill="0" autoPict="0" macro="[0]!AddButtonsRowAdd">
                <anchor moveWithCells="1">
                  <from>
                    <xdr:col>7</xdr:col>
                    <xdr:colOff>793750</xdr:colOff>
                    <xdr:row>0</xdr:row>
                    <xdr:rowOff>0</xdr:rowOff>
                  </from>
                  <to>
                    <xdr:col>8</xdr:col>
                    <xdr:colOff>800100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11" name="Button 2">
              <controlPr defaultSize="0" print="0" autoFill="0" autoPict="0" macro="[0]!AddButtonsRowAdd">
                <anchor moveWithCells="1">
                  <from>
                    <xdr:col>7</xdr:col>
                    <xdr:colOff>793750</xdr:colOff>
                    <xdr:row>1</xdr:row>
                    <xdr:rowOff>298450</xdr:rowOff>
                  </from>
                  <to>
                    <xdr:col>8</xdr:col>
                    <xdr:colOff>831850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pageSetUpPr fitToPage="1"/>
  </sheetPr>
  <dimension ref="A1:CG48"/>
  <sheetViews>
    <sheetView topLeftCell="BH7" zoomScale="35" zoomScaleNormal="35" workbookViewId="0">
      <selection activeCell="BL15" sqref="BL15"/>
    </sheetView>
  </sheetViews>
  <sheetFormatPr defaultColWidth="18.54296875" defaultRowHeight="14.5" outlineLevelCol="1"/>
  <cols>
    <col min="1" max="1" width="117.1796875" style="1598" hidden="1" customWidth="1"/>
    <col min="2" max="2" width="8.453125" style="1569" customWidth="1"/>
    <col min="3" max="3" width="24.453125" style="1569" customWidth="1"/>
    <col min="4" max="4" width="30.54296875" style="1569" customWidth="1"/>
    <col min="5" max="5" width="26.453125" style="2242" customWidth="1"/>
    <col min="6" max="6" width="31.54296875" style="1569" customWidth="1"/>
    <col min="7" max="7" width="26.453125" style="1569" customWidth="1"/>
    <col min="8" max="8" width="11.54296875" style="1569" customWidth="1"/>
    <col min="9" max="9" width="43.453125" style="1569" customWidth="1"/>
    <col min="10" max="10" width="74.54296875" style="1569" customWidth="1"/>
    <col min="11" max="11" width="26.54296875" style="1569" customWidth="1"/>
    <col min="12" max="12" width="19.54296875" style="1569" customWidth="1"/>
    <col min="13" max="16" width="18.54296875" style="1569" customWidth="1"/>
    <col min="17" max="17" width="18.54296875" style="1569" customWidth="1" outlineLevel="1"/>
    <col min="18" max="19" width="14.54296875" style="1569" customWidth="1" outlineLevel="1"/>
    <col min="20" max="21" width="18.54296875" style="1569" customWidth="1" outlineLevel="1"/>
    <col min="22" max="22" width="18.54296875" style="1569" customWidth="1"/>
    <col min="23" max="28" width="18.54296875" style="1569" customWidth="1" outlineLevel="1"/>
    <col min="29" max="34" width="18.54296875" style="1569" customWidth="1"/>
    <col min="35" max="35" width="18.54296875" style="1562" customWidth="1"/>
    <col min="36" max="36" width="40" style="1562" customWidth="1"/>
    <col min="37" max="37" width="29" style="1562" customWidth="1"/>
    <col min="38" max="38" width="13.54296875" style="1569" customWidth="1"/>
    <col min="39" max="39" width="15" style="1569" customWidth="1"/>
    <col min="40" max="40" width="29.453125" style="1569" customWidth="1"/>
    <col min="41" max="41" width="54.1796875" style="1569" customWidth="1"/>
    <col min="42" max="42" width="11.54296875" style="1569" customWidth="1"/>
    <col min="43" max="43" width="20" style="1569" customWidth="1"/>
    <col min="44" max="44" width="15.453125" style="1569" customWidth="1"/>
    <col min="45" max="45" width="16.453125" style="2172" customWidth="1"/>
    <col min="46" max="46" width="16.54296875" style="2172" customWidth="1"/>
    <col min="47" max="47" width="17" style="2172" customWidth="1"/>
    <col min="48" max="48" width="18.54296875" style="1569" customWidth="1"/>
    <col min="49" max="49" width="22.54296875" style="1569" customWidth="1"/>
    <col min="50" max="50" width="21.453125" style="1569" customWidth="1"/>
    <col min="51" max="51" width="12.54296875" style="1569" customWidth="1"/>
    <col min="52" max="52" width="25" style="1569" customWidth="1"/>
    <col min="53" max="53" width="28.453125" style="1569" customWidth="1"/>
    <col min="54" max="54" width="19.54296875" style="1569" customWidth="1"/>
    <col min="55" max="55" width="21.54296875" style="1569" customWidth="1"/>
    <col min="56" max="56" width="17.54296875" style="1569" customWidth="1"/>
    <col min="57" max="57" width="15.453125" style="1569" customWidth="1"/>
    <col min="58" max="58" width="23.54296875" style="1569" customWidth="1"/>
    <col min="59" max="59" width="15.453125" style="1569" customWidth="1"/>
    <col min="60" max="60" width="9.453125" style="1569" customWidth="1"/>
    <col min="61" max="61" width="16" style="1569" customWidth="1"/>
    <col min="62" max="62" width="14.54296875" style="1569" customWidth="1"/>
    <col min="63" max="63" width="19.453125" style="1569" customWidth="1"/>
    <col min="64" max="64" width="20.453125" style="1569" customWidth="1"/>
    <col min="65" max="65" width="14.453125" style="1569" customWidth="1"/>
    <col min="66" max="66" width="18.54296875" style="1569" customWidth="1"/>
    <col min="67" max="67" width="22.453125" style="1569" customWidth="1"/>
    <col min="68" max="68" width="27.453125" style="1569" customWidth="1"/>
    <col min="69" max="81" width="18.54296875" style="1569"/>
    <col min="82" max="82" width="18.54296875" style="3426"/>
    <col min="83" max="16384" width="18.54296875" style="1569"/>
  </cols>
  <sheetData>
    <row r="1" spans="1:85" ht="40.5" customHeight="1" thickBot="1">
      <c r="A1" s="2156" t="s">
        <v>8379</v>
      </c>
      <c r="B1" s="2140"/>
      <c r="C1" s="2140"/>
      <c r="D1" s="2140"/>
      <c r="E1" s="2454"/>
      <c r="F1" s="2140"/>
      <c r="G1" s="2140"/>
      <c r="H1" s="2140"/>
      <c r="I1" s="2140"/>
      <c r="J1" s="2140"/>
      <c r="K1" s="2140"/>
      <c r="L1" s="2140"/>
      <c r="M1" s="2140"/>
      <c r="N1" s="2140"/>
      <c r="O1" s="2140"/>
      <c r="P1" s="2141" t="s">
        <v>1086</v>
      </c>
      <c r="Q1" s="2141" t="s">
        <v>405</v>
      </c>
      <c r="R1" s="2141" t="s">
        <v>8423</v>
      </c>
      <c r="S1" s="2141" t="s">
        <v>406</v>
      </c>
      <c r="T1" s="2141" t="s">
        <v>1087</v>
      </c>
      <c r="U1" s="2141" t="s">
        <v>407</v>
      </c>
      <c r="V1" s="2141" t="s">
        <v>1009</v>
      </c>
      <c r="W1" s="2141" t="s">
        <v>8462</v>
      </c>
      <c r="X1" s="2141" t="s">
        <v>6463</v>
      </c>
      <c r="Y1" s="2141" t="s">
        <v>6464</v>
      </c>
      <c r="Z1" s="2141" t="s">
        <v>6465</v>
      </c>
      <c r="AA1" s="2141" t="s">
        <v>6466</v>
      </c>
      <c r="AB1" s="2141" t="s">
        <v>6467</v>
      </c>
      <c r="AC1" s="2141" t="s">
        <v>8424</v>
      </c>
      <c r="AD1" s="3" t="s">
        <v>8425</v>
      </c>
      <c r="AE1" s="3" t="s">
        <v>8426</v>
      </c>
      <c r="AF1" s="3" t="s">
        <v>8427</v>
      </c>
      <c r="AG1" s="3" t="s">
        <v>8428</v>
      </c>
      <c r="AH1" s="2438" t="s">
        <v>9692</v>
      </c>
      <c r="AI1" s="2861" t="s">
        <v>8429</v>
      </c>
      <c r="AJ1" s="2822"/>
      <c r="AK1" s="2823"/>
      <c r="AS1" s="1569"/>
      <c r="AT1" s="1569"/>
      <c r="AU1" s="1569"/>
      <c r="BF1" s="1569" t="s">
        <v>693</v>
      </c>
      <c r="BK1" s="3079"/>
    </row>
    <row r="2" spans="1:85" s="2144" customFormat="1" ht="51.75" customHeight="1" thickBot="1">
      <c r="A2" s="2157"/>
      <c r="E2" s="2455"/>
      <c r="F2" s="2158"/>
      <c r="K2" s="2144" t="s">
        <v>8696</v>
      </c>
      <c r="N2" s="2821">
        <f>Содержание!D14</f>
        <v>44926</v>
      </c>
      <c r="P2" s="2144" t="s">
        <v>1648</v>
      </c>
      <c r="Q2" s="2144" t="s">
        <v>1648</v>
      </c>
      <c r="S2" s="2144" t="s">
        <v>1648</v>
      </c>
      <c r="T2" s="2144" t="s">
        <v>1648</v>
      </c>
      <c r="U2" s="2144" t="s">
        <v>1648</v>
      </c>
      <c r="V2" s="2144" t="s">
        <v>1648</v>
      </c>
      <c r="X2" s="2144" t="s">
        <v>1648</v>
      </c>
      <c r="Y2" s="2144" t="s">
        <v>1648</v>
      </c>
      <c r="Z2" s="2144" t="s">
        <v>1648</v>
      </c>
      <c r="AA2" s="2144" t="s">
        <v>1648</v>
      </c>
      <c r="AB2" s="2144" t="s">
        <v>1648</v>
      </c>
      <c r="AI2" s="2862"/>
      <c r="AM2" s="3921" t="s">
        <v>4</v>
      </c>
      <c r="AN2" s="3922"/>
      <c r="AO2" s="3922"/>
      <c r="AP2" s="3923"/>
      <c r="AQ2" s="2650">
        <f>Содержание!D14</f>
        <v>44926</v>
      </c>
      <c r="AR2" s="2076" t="s">
        <v>7877</v>
      </c>
      <c r="AS2" s="2076" t="s">
        <v>6902</v>
      </c>
      <c r="AT2" s="3919" t="s">
        <v>6903</v>
      </c>
      <c r="AU2" s="3920"/>
      <c r="AV2" s="2487"/>
      <c r="AW2" s="1569"/>
      <c r="BA2" s="2720"/>
      <c r="BK2" s="3918" t="s">
        <v>8392</v>
      </c>
      <c r="BL2" s="3918"/>
      <c r="CD2" s="3426"/>
    </row>
    <row r="3" spans="1:85" ht="32.25" customHeight="1" thickBot="1">
      <c r="A3" s="556"/>
      <c r="D3" s="3914" t="s">
        <v>6307</v>
      </c>
      <c r="E3" s="3914"/>
      <c r="F3" s="3914"/>
      <c r="G3" s="3914"/>
      <c r="H3" s="3914"/>
      <c r="I3" s="3914"/>
      <c r="J3" s="3914"/>
      <c r="K3" s="2947"/>
      <c r="L3" s="2947"/>
      <c r="N3" s="1897" t="s">
        <v>2067</v>
      </c>
      <c r="O3" s="2146">
        <f>Содержание!$D$2</f>
        <v>0</v>
      </c>
      <c r="AI3" s="2862"/>
      <c r="AJ3" s="2144"/>
      <c r="AK3" s="2144"/>
      <c r="AM3" s="2159" t="s">
        <v>2</v>
      </c>
      <c r="AN3" s="2075" t="b">
        <f>IF(ABS((SUMIF($C:$C,60,$V:$V)+$V$11)-'60_01'!$Q$9)&lt;2,TRUE)</f>
        <v>1</v>
      </c>
      <c r="AO3" s="2159" t="s">
        <v>4356</v>
      </c>
      <c r="AP3" s="2075" t="b">
        <f>IF(ABS((SUMIF($C:$C,62,$V:$V)+$V$12)-'62_02'!$K$9)&lt;2,TRUE)</f>
        <v>1</v>
      </c>
      <c r="AR3" s="2075" t="b">
        <f>AND(AT6:AU6,AR6,BK6:BM6)</f>
        <v>1</v>
      </c>
      <c r="AS3" s="2075" t="b">
        <f>AND(AS6,AW6,BF6,BO6,BP6,BT6)</f>
        <v>1</v>
      </c>
      <c r="AT3" s="2159">
        <v>60</v>
      </c>
      <c r="AU3" s="2075" t="b">
        <f>IF(Содержание!D12="тыс. рублей",AND(IF(SUMIFS($P:$P,$C:$C,"60",E:E,"внешние контрагенты")&lt;10000,IF(SUMIF($C:$C,"60",$P:$P)*5%-SUMIFS($P:$P,$C:$C,"60",E:E,"внешние контрагенты")&lt;0,FALSE,TRUE),FALSE),IF(ABS(SUMIFS($V:$V,$C:$C,"60",E:E,"внешние контрагенты"))&lt;10000,IF(ABS(SUMIF($C:$C,"60",$V:$V)*5%)-ABS(SUMIFS($V:$V,$C:$C,"60",E:E,"внешние контрагенты"))&lt;0,FALSE,TRUE),FALSE)),IF(SUMIF($C:$C,"60",$P:$P)*5%-SUMIFS($P:$P,$C:$C,"60",E:E,"внешние контрагенты")&lt;0,FALSE,TRUE))</f>
        <v>1</v>
      </c>
      <c r="AW3" s="511"/>
      <c r="BA3" s="2720"/>
      <c r="BK3" s="3918"/>
      <c r="BL3" s="3918"/>
    </row>
    <row r="4" spans="1:85" ht="25.5" customHeight="1" thickBot="1">
      <c r="A4" s="556"/>
      <c r="C4" s="528"/>
      <c r="D4" s="1569" t="b">
        <f t="array" ref="D4">IF(SMALL(IF(""=C15:C100000,ROW(C15:C100000),100000),1)&gt;LARGE(IF(""&lt;&gt;C15:C100000,ROW(C15:C100000),0),1),TRUE,FALSE)</f>
        <v>1</v>
      </c>
      <c r="E4" s="2456" t="s">
        <v>8382</v>
      </c>
      <c r="F4" s="2145"/>
      <c r="M4" s="3044" t="s">
        <v>1436</v>
      </c>
      <c r="N4" s="1897" t="s">
        <v>2075</v>
      </c>
      <c r="O4" s="2824" t="str">
        <f>Содержание!$D$15</f>
        <v>2022 год</v>
      </c>
      <c r="P4" s="2825" t="str">
        <f>TEXT(Содержание!D14,"дд.ММ.гг")</f>
        <v>31.12.22</v>
      </c>
      <c r="R4" s="3311"/>
      <c r="S4" s="2825"/>
      <c r="T4" s="2825"/>
      <c r="U4" s="2825"/>
      <c r="W4" s="2825"/>
      <c r="X4" s="2825" t="str">
        <f>TEXT(EOMONTH(P4,6),"дд.ММ.гг")</f>
        <v>30.06.23</v>
      </c>
      <c r="Y4" s="2825" t="str">
        <f>TEXT(EOMONTH(P4,12),"дд.ММ.гг")</f>
        <v>31.12.23</v>
      </c>
      <c r="Z4" s="2825" t="str">
        <f>TEXT(EOMONTH(P4,24),"дд.ММ.гг")</f>
        <v>31.12.24</v>
      </c>
      <c r="AA4" s="2825" t="str">
        <f>TEXT(EOMONTH(P4,36),"дд.ММ.гг")</f>
        <v>31.12.25</v>
      </c>
      <c r="AB4" s="2825"/>
      <c r="AF4" s="2169" t="b">
        <f>ABS(AF10)&lt;=2</f>
        <v>1</v>
      </c>
      <c r="AI4" s="2862"/>
      <c r="AJ4" s="2144"/>
      <c r="AK4" s="2144"/>
      <c r="AM4" s="2159" t="s">
        <v>3</v>
      </c>
      <c r="AN4" s="2075" t="b">
        <f>IF(ABS((SUMIF($C:$C,60,$P:$P)+$P$11)-'60_02'!$L$9)&lt;2,TRUE)</f>
        <v>1</v>
      </c>
      <c r="AO4" s="2159">
        <v>76</v>
      </c>
      <c r="AP4" s="2075" t="b">
        <f>IF(AND(ABS((SUMIF($C:$C,76,$P:$P)+$P$13)-'76'!$R$8)&lt;2,ABS((SUMIF($C:$C,76,$V:$V)+$V$13)-'76'!$S$8)&lt;2),TRUE)</f>
        <v>1</v>
      </c>
      <c r="AS4" s="1569"/>
      <c r="AT4" s="2159">
        <v>62</v>
      </c>
      <c r="AU4" s="2075" t="b">
        <f>IF(Содержание!D12="тыс. рублей",AND(IF(SUMIFS($P:$P,$C:$C,"62",E:E,"внешние контрагенты")&lt;10000,IF(SUMIF($C:$C,"62",$P:$P)*5%-SUMIFS($P:$P,$C:$C,"62",E:E,"внешние контрагенты")&lt;0,FALSE,TRUE),FALSE),IF(ABS(SUMIFS($V:$V,$C:$C,"62",E:E,"внешние контрагенты"))&lt;10000,IF(ABS(SUMIF($C:$C,"62",$V:$V)*5%)-ABS(SUMIFS($V:$V,$C:$C,"62",E:E,"внешние контрагенты"))&lt;0,FALSE,TRUE),FALSE)),IF(SUMIF($C:$C,"62",$P:$P)*5%-SUMIFS($P:$P,$C:$C,"62",E:E,"внешние контрагенты")&lt;0,FALSE,TRUE))</f>
        <v>1</v>
      </c>
      <c r="BK4" s="3918"/>
      <c r="BL4" s="3918"/>
    </row>
    <row r="5" spans="1:85" ht="26.25" customHeight="1" thickBot="1">
      <c r="A5" s="556"/>
      <c r="C5" s="3905" t="s">
        <v>4149</v>
      </c>
      <c r="D5" s="3905" t="s">
        <v>5381</v>
      </c>
      <c r="E5" s="3908" t="s">
        <v>5531</v>
      </c>
      <c r="F5" s="3910" t="s">
        <v>8394</v>
      </c>
      <c r="G5" s="3907" t="s">
        <v>5382</v>
      </c>
      <c r="H5" s="3907" t="s">
        <v>5383</v>
      </c>
      <c r="I5" s="3722" t="s">
        <v>5183</v>
      </c>
      <c r="J5" s="3907" t="s">
        <v>4090</v>
      </c>
      <c r="K5" s="3722" t="s">
        <v>8695</v>
      </c>
      <c r="L5" s="3907" t="s">
        <v>8688</v>
      </c>
      <c r="M5" s="3907" t="s">
        <v>4208</v>
      </c>
      <c r="N5" s="3722" t="s">
        <v>5071</v>
      </c>
      <c r="O5" s="3907" t="s">
        <v>4664</v>
      </c>
      <c r="P5" s="3724" t="s">
        <v>1755</v>
      </c>
      <c r="Q5" s="3915"/>
      <c r="R5" s="3915"/>
      <c r="S5" s="3915"/>
      <c r="T5" s="3915"/>
      <c r="U5" s="3915"/>
      <c r="V5" s="3725" t="s">
        <v>1756</v>
      </c>
      <c r="W5" s="3924"/>
      <c r="X5" s="3924"/>
      <c r="Y5" s="3924"/>
      <c r="Z5" s="3924"/>
      <c r="AA5" s="3924"/>
      <c r="AB5" s="3925"/>
      <c r="AC5" s="3900" t="s">
        <v>5161</v>
      </c>
      <c r="AD5" s="3900" t="s">
        <v>2222</v>
      </c>
      <c r="AE5" s="3900" t="s">
        <v>5162</v>
      </c>
      <c r="AF5" s="3900" t="s">
        <v>8362</v>
      </c>
      <c r="AG5" s="3900" t="s">
        <v>5163</v>
      </c>
      <c r="AH5" s="3900" t="s">
        <v>4079</v>
      </c>
      <c r="AI5" s="3900" t="s">
        <v>5164</v>
      </c>
      <c r="AJ5" s="3900" t="s">
        <v>6213</v>
      </c>
      <c r="AK5" s="3916" t="s">
        <v>6211</v>
      </c>
      <c r="AM5" s="2159" t="s">
        <v>4353</v>
      </c>
      <c r="AN5" s="2075" t="b">
        <f>IF(ABS((SUMIF($C:$C,62,$P:$P)+$P$12)-'62_01'!$P$9)&lt;2,TRUE)</f>
        <v>1</v>
      </c>
      <c r="AS5" s="1569"/>
      <c r="AT5" s="2159">
        <v>76</v>
      </c>
      <c r="AU5" s="2075" t="b">
        <f>IF(Содержание!D12="тыс. рублей",AND(IF(SUMIFS($P:$P,$C:$C,"76",E:E,"внешние контрагенты")&lt;10000,IF(SUMIF($C:$C,"76",$P:$P)*5%-SUMIFS($P:$P,$C:$C,"76",E:E,"внешние контрагенты")&lt;0,FALSE,TRUE),FALSE),IF(ABS(SUMIFS($V:$V,$C:$C,"76",E:E,"внешние контрагенты"))&lt;10000,IF(ABS(SUMIF($C:$C,"76",$V:$V)*5%)-ABS(SUMIFS($V:$V,$C:$C,"76",E:E,"внешние контрагенты"))&lt;0,FALSE,TRUE),FALSE)),IF(SUMIF($C:$C,"76",$P:$P)*5%-SUMIFS($P:$P,$C:$C,"76",E:E,"внешние контрагенты")&lt;0,FALSE,TRUE))</f>
        <v>1</v>
      </c>
      <c r="BK5" s="3918"/>
      <c r="BL5" s="3918"/>
      <c r="BZ5" s="3741" t="s">
        <v>14650</v>
      </c>
      <c r="CA5" s="3867"/>
      <c r="CB5" s="3867"/>
      <c r="CC5" s="3911" t="s">
        <v>14287</v>
      </c>
      <c r="CD5" s="3912"/>
      <c r="CE5" s="3913"/>
    </row>
    <row r="6" spans="1:85" ht="63" customHeight="1" thickBot="1">
      <c r="A6" s="556"/>
      <c r="C6" s="3906"/>
      <c r="D6" s="3906"/>
      <c r="E6" s="3909"/>
      <c r="F6" s="3855"/>
      <c r="G6" s="3899"/>
      <c r="H6" s="3899"/>
      <c r="I6" s="3899"/>
      <c r="J6" s="3899"/>
      <c r="K6" s="3899"/>
      <c r="L6" s="3899"/>
      <c r="M6" s="3899"/>
      <c r="N6" s="3899"/>
      <c r="O6" s="3899"/>
      <c r="P6" s="3899" t="s">
        <v>5244</v>
      </c>
      <c r="Q6" s="3723" t="s">
        <v>6212</v>
      </c>
      <c r="R6" s="3902" t="s">
        <v>4148</v>
      </c>
      <c r="S6" s="3903"/>
      <c r="T6" s="3903"/>
      <c r="U6" s="3904"/>
      <c r="V6" s="3899" t="s">
        <v>5244</v>
      </c>
      <c r="W6" s="3902" t="s">
        <v>4147</v>
      </c>
      <c r="X6" s="3903"/>
      <c r="Y6" s="3903"/>
      <c r="Z6" s="3903"/>
      <c r="AA6" s="3903"/>
      <c r="AB6" s="3904"/>
      <c r="AC6" s="3901"/>
      <c r="AD6" s="3901"/>
      <c r="AE6" s="3901"/>
      <c r="AF6" s="3901"/>
      <c r="AG6" s="3901"/>
      <c r="AH6" s="3901"/>
      <c r="AI6" s="3901"/>
      <c r="AJ6" s="3901"/>
      <c r="AK6" s="3917"/>
      <c r="AL6" s="2169" t="b">
        <f>AND(AL11:AL25000)</f>
        <v>1</v>
      </c>
      <c r="AM6" s="2169" t="b">
        <f>AND(AM11:AM25000)</f>
        <v>1</v>
      </c>
      <c r="AN6" s="2169" t="b">
        <f t="shared" ref="AN6" si="0">AND(AN11:AN25000)</f>
        <v>1</v>
      </c>
      <c r="AP6" s="2169" t="b">
        <f>AND(AP11:AP25000)</f>
        <v>1</v>
      </c>
      <c r="AQ6" s="2169"/>
      <c r="AR6" s="2169" t="b">
        <f t="shared" ref="AR6:AU6" si="1">AND(AR11:AR25000)</f>
        <v>1</v>
      </c>
      <c r="AS6" s="2169" t="b">
        <f t="shared" si="1"/>
        <v>1</v>
      </c>
      <c r="AT6" s="2169" t="b">
        <f t="shared" si="1"/>
        <v>1</v>
      </c>
      <c r="AU6" s="2169" t="b">
        <f t="shared" si="1"/>
        <v>1</v>
      </c>
      <c r="AV6" s="2169"/>
      <c r="AW6" s="2169" t="b">
        <f>AND(AW11:AW25000)</f>
        <v>1</v>
      </c>
      <c r="AZ6" s="2169" t="b">
        <f t="shared" ref="AZ6:BB6" si="2">AND(AZ11:AZ25000)</f>
        <v>1</v>
      </c>
      <c r="BA6" s="2169" t="b">
        <f t="shared" si="2"/>
        <v>1</v>
      </c>
      <c r="BB6" s="2169" t="b">
        <f t="shared" si="2"/>
        <v>1</v>
      </c>
      <c r="BF6" s="2169" t="b">
        <f t="shared" ref="BF6:BG6" si="3">AND(BF11:BF25000)</f>
        <v>1</v>
      </c>
      <c r="BG6" s="2169" t="b">
        <f t="shared" si="3"/>
        <v>1</v>
      </c>
      <c r="BK6" s="2169" t="b">
        <f t="shared" ref="BK6:BS6" si="4">AND(BK11:BK25000)</f>
        <v>1</v>
      </c>
      <c r="BL6" s="2169" t="b">
        <f t="shared" si="4"/>
        <v>1</v>
      </c>
      <c r="BM6" s="2169" t="b">
        <f t="shared" si="4"/>
        <v>1</v>
      </c>
      <c r="BN6" s="2169" t="b">
        <f t="shared" si="4"/>
        <v>1</v>
      </c>
      <c r="BO6" s="2169" t="b">
        <f t="shared" si="4"/>
        <v>1</v>
      </c>
      <c r="BP6" s="2169" t="b">
        <f t="shared" si="4"/>
        <v>1</v>
      </c>
      <c r="BQ6" s="2169" t="b">
        <f t="shared" si="4"/>
        <v>1</v>
      </c>
      <c r="BR6" s="2169" t="b">
        <f t="shared" si="4"/>
        <v>1</v>
      </c>
      <c r="BS6" s="2169" t="b">
        <f t="shared" si="4"/>
        <v>1</v>
      </c>
      <c r="BT6" s="2169" t="b">
        <f>AND(BT11:BT25000)</f>
        <v>1</v>
      </c>
      <c r="BU6" s="2169" t="b">
        <f>IF(Содержание!$D$12="",TRUE,AND(BU11:BU25000))</f>
        <v>1</v>
      </c>
      <c r="BV6" s="2169" t="b">
        <f>IF(Содержание!$D$12="",TRUE,AND(BV11:BV25000))</f>
        <v>1</v>
      </c>
      <c r="BZ6" s="2169" t="b">
        <f>IF(Содержание!$D$12="",TRUE,AND(BZ11:BZ25000))</f>
        <v>1</v>
      </c>
      <c r="CA6" s="2169" t="b">
        <f>IF(Содержание!$D$12="",TRUE,AND(CA11:CA25000))</f>
        <v>1</v>
      </c>
      <c r="CB6" s="2169" t="b">
        <f>IF(Содержание!$D$12="",TRUE,AND(CB11:CB25000))</f>
        <v>1</v>
      </c>
      <c r="CC6" s="2169" t="b">
        <f ca="1">AND(CC14:CC2500)</f>
        <v>1</v>
      </c>
      <c r="CD6" s="3428"/>
      <c r="CE6" s="3429"/>
      <c r="CG6" s="2169" t="b">
        <f>AND(CG15:CG2500)</f>
        <v>1</v>
      </c>
    </row>
    <row r="7" spans="1:85" ht="104.5" thickBot="1">
      <c r="A7" s="556"/>
      <c r="C7" s="3906"/>
      <c r="D7" s="3906"/>
      <c r="E7" s="3909"/>
      <c r="F7" s="3807"/>
      <c r="G7" s="3899"/>
      <c r="H7" s="3899"/>
      <c r="I7" s="3899"/>
      <c r="J7" s="3899"/>
      <c r="K7" s="3899"/>
      <c r="L7" s="3899"/>
      <c r="M7" s="3899"/>
      <c r="N7" s="3899"/>
      <c r="O7" s="3899"/>
      <c r="P7" s="3899"/>
      <c r="Q7" s="3899"/>
      <c r="R7" s="1114" t="s">
        <v>8365</v>
      </c>
      <c r="S7" s="1114" t="s">
        <v>8366</v>
      </c>
      <c r="T7" s="1114" t="s">
        <v>4145</v>
      </c>
      <c r="U7" s="2317" t="s">
        <v>6214</v>
      </c>
      <c r="V7" s="3899"/>
      <c r="W7" s="3191" t="s">
        <v>6737</v>
      </c>
      <c r="X7" s="1114" t="s">
        <v>4146</v>
      </c>
      <c r="Y7" s="1114" t="s">
        <v>4145</v>
      </c>
      <c r="Z7" s="779" t="s">
        <v>4144</v>
      </c>
      <c r="AA7" s="779" t="s">
        <v>4143</v>
      </c>
      <c r="AB7" s="2323" t="s">
        <v>6218</v>
      </c>
      <c r="AC7" s="3717"/>
      <c r="AD7" s="3717"/>
      <c r="AE7" s="3717"/>
      <c r="AF7" s="3717"/>
      <c r="AG7" s="3717"/>
      <c r="AH7" s="3717"/>
      <c r="AI7" s="3717"/>
      <c r="AJ7" s="3717"/>
      <c r="AK7" s="3741"/>
      <c r="AL7" s="2647" t="s">
        <v>7691</v>
      </c>
      <c r="AM7" s="2647" t="s">
        <v>7694</v>
      </c>
      <c r="AN7" s="2828" t="s">
        <v>254</v>
      </c>
      <c r="AP7" s="2647" t="s">
        <v>7442</v>
      </c>
      <c r="AQ7" s="2647" t="s">
        <v>8389</v>
      </c>
      <c r="AR7" s="2647" t="s">
        <v>6415</v>
      </c>
      <c r="AS7" s="2651" t="s">
        <v>6313</v>
      </c>
      <c r="AT7" s="2076" t="s">
        <v>6901</v>
      </c>
      <c r="AU7" s="2076" t="s">
        <v>6900</v>
      </c>
      <c r="AW7" s="2076" t="s">
        <v>8527</v>
      </c>
      <c r="AX7" s="3889" t="s">
        <v>7876</v>
      </c>
      <c r="AY7" s="3890"/>
      <c r="AZ7" s="2646" t="s">
        <v>15150</v>
      </c>
      <c r="BA7" s="2646" t="s">
        <v>15151</v>
      </c>
      <c r="BB7" s="2948" t="s">
        <v>8689</v>
      </c>
      <c r="BC7" s="2725" t="s">
        <v>8391</v>
      </c>
      <c r="BD7" s="2645" t="s">
        <v>6219</v>
      </c>
      <c r="BE7" s="2645" t="s">
        <v>6220</v>
      </c>
      <c r="BF7" s="2076" t="s">
        <v>8528</v>
      </c>
      <c r="BG7" s="2754" t="s">
        <v>8390</v>
      </c>
      <c r="BJ7" s="2724" t="s">
        <v>7875</v>
      </c>
      <c r="BK7" s="2754" t="s">
        <v>5855</v>
      </c>
      <c r="BL7" s="2754" t="s">
        <v>7431</v>
      </c>
      <c r="BM7" s="2747" t="s">
        <v>8133</v>
      </c>
      <c r="BN7" s="2799" t="s">
        <v>8352</v>
      </c>
      <c r="BO7" s="2829" t="s">
        <v>8377</v>
      </c>
      <c r="BP7" s="2831" t="s">
        <v>8506</v>
      </c>
      <c r="BQ7" s="2875" t="s">
        <v>8492</v>
      </c>
      <c r="BR7" s="2882" t="s">
        <v>8545</v>
      </c>
      <c r="BS7" s="2946" t="s">
        <v>8712</v>
      </c>
      <c r="BT7" s="2967" t="s">
        <v>8793</v>
      </c>
      <c r="BU7" s="3107" t="s">
        <v>9684</v>
      </c>
      <c r="BV7" s="3206" t="s">
        <v>9934</v>
      </c>
      <c r="BZ7" s="3414" t="s">
        <v>14260</v>
      </c>
      <c r="CA7" s="3414" t="s">
        <v>14254</v>
      </c>
      <c r="CB7" s="3414" t="s">
        <v>14265</v>
      </c>
      <c r="CC7" s="3427" t="s">
        <v>14284</v>
      </c>
      <c r="CD7" s="3427" t="s">
        <v>14285</v>
      </c>
      <c r="CE7" s="3427" t="s">
        <v>14286</v>
      </c>
      <c r="CG7" s="3430" t="s">
        <v>14296</v>
      </c>
    </row>
    <row r="8" spans="1:85" ht="14.9" customHeight="1">
      <c r="A8" s="556"/>
      <c r="C8" s="1115"/>
      <c r="D8" s="1115" t="s">
        <v>5247</v>
      </c>
      <c r="E8" s="889" t="s">
        <v>5247</v>
      </c>
      <c r="F8" s="833" t="s">
        <v>5247</v>
      </c>
      <c r="G8" s="889" t="s">
        <v>4219</v>
      </c>
      <c r="H8" s="889" t="s">
        <v>4219</v>
      </c>
      <c r="I8" s="889">
        <v>10023</v>
      </c>
      <c r="J8" s="889">
        <v>10022</v>
      </c>
      <c r="K8" s="3002" t="s">
        <v>8882</v>
      </c>
      <c r="L8" s="889" t="s">
        <v>4219</v>
      </c>
      <c r="M8" s="889" t="s">
        <v>4219</v>
      </c>
      <c r="N8" s="889" t="s">
        <v>4142</v>
      </c>
      <c r="O8" s="889" t="s">
        <v>5250</v>
      </c>
      <c r="P8" s="1008" t="s">
        <v>673</v>
      </c>
      <c r="Q8" s="1008">
        <v>2561</v>
      </c>
      <c r="R8" s="1008"/>
      <c r="S8" s="1008">
        <v>2561</v>
      </c>
      <c r="T8" s="1008">
        <v>2561</v>
      </c>
      <c r="U8" s="1008">
        <v>2561</v>
      </c>
      <c r="V8" s="1008" t="s">
        <v>694</v>
      </c>
      <c r="W8" s="2439" t="s">
        <v>6417</v>
      </c>
      <c r="X8" s="1008">
        <v>2614</v>
      </c>
      <c r="Y8" s="1008">
        <v>2614</v>
      </c>
      <c r="Z8" s="1008">
        <v>2614</v>
      </c>
      <c r="AA8" s="1008">
        <v>2614</v>
      </c>
      <c r="AB8" s="1008">
        <v>2614</v>
      </c>
      <c r="AC8" s="906" t="s">
        <v>674</v>
      </c>
      <c r="AD8" s="906" t="s">
        <v>4525</v>
      </c>
      <c r="AE8" s="906" t="s">
        <v>4239</v>
      </c>
      <c r="AF8" s="906" t="s">
        <v>1305</v>
      </c>
      <c r="AG8" s="906" t="s">
        <v>4240</v>
      </c>
      <c r="AH8" s="906" t="s">
        <v>4087</v>
      </c>
      <c r="AI8" s="906" t="s">
        <v>674</v>
      </c>
      <c r="AJ8" s="1008" t="s">
        <v>6416</v>
      </c>
      <c r="AK8" s="1008"/>
      <c r="AN8" s="2169"/>
      <c r="AP8" s="2169"/>
      <c r="AQ8" s="2169"/>
      <c r="AR8" s="2169"/>
      <c r="AS8" s="2169"/>
      <c r="AT8" s="2169"/>
      <c r="AU8" s="2169"/>
      <c r="AW8" s="2169"/>
      <c r="AZ8" s="2169"/>
      <c r="BA8" s="2169"/>
      <c r="BB8" s="2169"/>
      <c r="BC8" s="2169"/>
    </row>
    <row r="9" spans="1:85" ht="14.25" customHeight="1">
      <c r="A9" s="556"/>
      <c r="C9" s="1702" t="s">
        <v>4164</v>
      </c>
      <c r="D9" s="1703" t="s">
        <v>4165</v>
      </c>
      <c r="E9" s="1703" t="s">
        <v>4166</v>
      </c>
      <c r="F9" s="1703" t="s">
        <v>5500</v>
      </c>
      <c r="G9" s="1703" t="s">
        <v>4169</v>
      </c>
      <c r="H9" s="1703" t="s">
        <v>4168</v>
      </c>
      <c r="I9" s="1703" t="s">
        <v>4178</v>
      </c>
      <c r="J9" s="1703" t="s">
        <v>4179</v>
      </c>
      <c r="K9" s="1703" t="s">
        <v>4167</v>
      </c>
      <c r="L9" s="1703" t="s">
        <v>5501</v>
      </c>
      <c r="M9" s="1703" t="s">
        <v>4701</v>
      </c>
      <c r="N9" s="1703" t="s">
        <v>4702</v>
      </c>
      <c r="O9" s="1703" t="s">
        <v>4703</v>
      </c>
      <c r="P9" s="1703" t="s">
        <v>5502</v>
      </c>
      <c r="Q9" s="1703" t="s">
        <v>5503</v>
      </c>
      <c r="R9" s="1703" t="s">
        <v>5504</v>
      </c>
      <c r="S9" s="1703" t="s">
        <v>4853</v>
      </c>
      <c r="T9" s="1703" t="s">
        <v>4852</v>
      </c>
      <c r="U9" s="1703" t="s">
        <v>5505</v>
      </c>
      <c r="V9" s="1703" t="s">
        <v>4851</v>
      </c>
      <c r="W9" s="1703" t="s">
        <v>5506</v>
      </c>
      <c r="X9" s="1703" t="s">
        <v>4850</v>
      </c>
      <c r="Y9" s="1703" t="s">
        <v>3303</v>
      </c>
      <c r="Z9" s="1703" t="s">
        <v>3304</v>
      </c>
      <c r="AA9" s="1703" t="s">
        <v>3305</v>
      </c>
      <c r="AB9" s="1703" t="s">
        <v>3306</v>
      </c>
      <c r="AC9" s="1703" t="s">
        <v>3307</v>
      </c>
      <c r="AD9" s="1703" t="s">
        <v>3308</v>
      </c>
      <c r="AE9" s="1703" t="s">
        <v>3309</v>
      </c>
      <c r="AF9" s="1703" t="s">
        <v>3310</v>
      </c>
      <c r="AG9" s="1703" t="s">
        <v>3311</v>
      </c>
      <c r="AH9" s="1703" t="s">
        <v>3312</v>
      </c>
      <c r="AI9" s="1703" t="s">
        <v>3313</v>
      </c>
      <c r="AJ9" s="1703" t="s">
        <v>3314</v>
      </c>
      <c r="AK9" s="1703" t="s">
        <v>3315</v>
      </c>
      <c r="AS9" s="2170"/>
      <c r="AT9" s="1569"/>
      <c r="AU9" s="1569"/>
    </row>
    <row r="10" spans="1:85">
      <c r="A10" s="556"/>
      <c r="C10" s="1129" t="s">
        <v>3196</v>
      </c>
      <c r="D10" s="2160" t="s">
        <v>4170</v>
      </c>
      <c r="E10" s="2457" t="s">
        <v>4184</v>
      </c>
      <c r="F10" s="2161" t="s">
        <v>4184</v>
      </c>
      <c r="G10" s="2161" t="s">
        <v>4184</v>
      </c>
      <c r="H10" s="2161" t="s">
        <v>4184</v>
      </c>
      <c r="I10" s="2161" t="s">
        <v>4184</v>
      </c>
      <c r="J10" s="2161" t="s">
        <v>4184</v>
      </c>
      <c r="K10" s="2161" t="s">
        <v>4184</v>
      </c>
      <c r="L10" s="2161" t="s">
        <v>4184</v>
      </c>
      <c r="M10" s="2161" t="s">
        <v>4184</v>
      </c>
      <c r="N10" s="2161" t="s">
        <v>4184</v>
      </c>
      <c r="O10" s="2161" t="s">
        <v>4184</v>
      </c>
      <c r="P10" s="2162">
        <f>SUM(P11:P25000)</f>
        <v>0</v>
      </c>
      <c r="Q10" s="2162">
        <f t="shared" ref="Q10:AI10" si="5">SUM(Q11:Q25000)</f>
        <v>0</v>
      </c>
      <c r="R10" s="2162">
        <f t="shared" si="5"/>
        <v>0</v>
      </c>
      <c r="S10" s="2162">
        <f t="shared" si="5"/>
        <v>0</v>
      </c>
      <c r="T10" s="2162">
        <f t="shared" si="5"/>
        <v>0</v>
      </c>
      <c r="U10" s="2162">
        <f t="shared" si="5"/>
        <v>0</v>
      </c>
      <c r="V10" s="2162">
        <f t="shared" si="5"/>
        <v>0</v>
      </c>
      <c r="W10" s="2162">
        <f>SUM(W11:W25000)</f>
        <v>0</v>
      </c>
      <c r="X10" s="2162">
        <f t="shared" si="5"/>
        <v>0</v>
      </c>
      <c r="Y10" s="2162">
        <f t="shared" si="5"/>
        <v>0</v>
      </c>
      <c r="Z10" s="2162">
        <f t="shared" si="5"/>
        <v>0</v>
      </c>
      <c r="AA10" s="2162">
        <f t="shared" si="5"/>
        <v>0</v>
      </c>
      <c r="AB10" s="2162">
        <f t="shared" si="5"/>
        <v>0</v>
      </c>
      <c r="AC10" s="2162">
        <f t="shared" si="5"/>
        <v>0</v>
      </c>
      <c r="AD10" s="2162">
        <f t="shared" si="5"/>
        <v>0</v>
      </c>
      <c r="AE10" s="2162">
        <f t="shared" si="5"/>
        <v>0</v>
      </c>
      <c r="AF10" s="2162">
        <f t="shared" si="5"/>
        <v>0</v>
      </c>
      <c r="AG10" s="2162">
        <f t="shared" si="5"/>
        <v>0</v>
      </c>
      <c r="AH10" s="2162">
        <f>SUM(AH11:AH25000)</f>
        <v>0</v>
      </c>
      <c r="AI10" s="2162">
        <f t="shared" si="5"/>
        <v>0</v>
      </c>
      <c r="AJ10" s="2826" t="s">
        <v>4184</v>
      </c>
      <c r="AK10" s="2826" t="s">
        <v>4184</v>
      </c>
      <c r="AS10" s="1569"/>
      <c r="AT10" s="1571" t="s">
        <v>3389</v>
      </c>
      <c r="AU10" s="1571" t="s">
        <v>3389</v>
      </c>
      <c r="AV10" s="1571" t="s">
        <v>3389</v>
      </c>
      <c r="AW10" s="1571" t="s">
        <v>3389</v>
      </c>
      <c r="AX10" s="1571" t="s">
        <v>3389</v>
      </c>
      <c r="AY10" s="1571" t="s">
        <v>3389</v>
      </c>
      <c r="AZ10" s="1571" t="s">
        <v>3389</v>
      </c>
      <c r="BA10" s="1571" t="s">
        <v>3389</v>
      </c>
      <c r="BB10" s="1571" t="s">
        <v>3389</v>
      </c>
      <c r="BC10" s="1571" t="s">
        <v>3389</v>
      </c>
      <c r="BD10" s="1571" t="s">
        <v>3389</v>
      </c>
      <c r="BE10" s="1571" t="s">
        <v>3389</v>
      </c>
    </row>
    <row r="11" spans="1:85" ht="72.75" customHeight="1">
      <c r="A11" s="556" t="str">
        <f>"R2="&amp;IFERROR(MID(Содержание!$D$12,FIND("{",Содержание!$D$12)+1,FIND("}",Содержание!$D$12)-FIND("{",Содержание!$D$12)-1),"RUB")&amp;";R42=16"&amp;";R11=;R7=255211"&amp;";R1=251021"&amp;";R26="&amp;";R49="&amp;";R4=20"&amp;";R32="&amp;";R33="&amp;";R57="&amp;";R46=1;COM="</f>
        <v>R2=RUB;R42=16;R11=;R7=255211;R1=251021;R26=;R49=;R4=20;R32=;R33=;R57=;R46=1;COM=</v>
      </c>
      <c r="C11" s="1129" t="s">
        <v>3196</v>
      </c>
      <c r="D11" s="2163" t="s">
        <v>5916</v>
      </c>
      <c r="E11" s="2458" t="s">
        <v>4184</v>
      </c>
      <c r="F11" s="2164" t="s">
        <v>4184</v>
      </c>
      <c r="G11" s="2164" t="s">
        <v>4184</v>
      </c>
      <c r="H11" s="2164" t="s">
        <v>4184</v>
      </c>
      <c r="I11" s="2164" t="s">
        <v>4184</v>
      </c>
      <c r="J11" s="2164" t="s">
        <v>4184</v>
      </c>
      <c r="K11" s="2164" t="s">
        <v>4184</v>
      </c>
      <c r="L11" s="2164" t="s">
        <v>4184</v>
      </c>
      <c r="M11" s="2164" t="s">
        <v>4184</v>
      </c>
      <c r="N11" s="2164" t="s">
        <v>4184</v>
      </c>
      <c r="O11" s="2164" t="s">
        <v>4184</v>
      </c>
      <c r="P11" s="1113"/>
      <c r="Q11" s="1289">
        <f>P11-SUM(R11:U11)</f>
        <v>0</v>
      </c>
      <c r="R11" s="1113"/>
      <c r="S11" s="1113"/>
      <c r="T11" s="1113"/>
      <c r="U11" s="1113"/>
      <c r="V11" s="1113"/>
      <c r="W11" s="1113"/>
      <c r="X11" s="2165" t="s">
        <v>4184</v>
      </c>
      <c r="Y11" s="2165" t="s">
        <v>4184</v>
      </c>
      <c r="Z11" s="2165" t="s">
        <v>4184</v>
      </c>
      <c r="AA11" s="2165" t="s">
        <v>4184</v>
      </c>
      <c r="AB11" s="2165" t="s">
        <v>4184</v>
      </c>
      <c r="AC11" s="2165" t="s">
        <v>4184</v>
      </c>
      <c r="AD11" s="2165" t="s">
        <v>4184</v>
      </c>
      <c r="AE11" s="2165" t="s">
        <v>4184</v>
      </c>
      <c r="AF11" s="2165" t="s">
        <v>4184</v>
      </c>
      <c r="AG11" s="2165" t="s">
        <v>4184</v>
      </c>
      <c r="AH11" s="2165" t="s">
        <v>4184</v>
      </c>
      <c r="AI11" s="2827" t="s">
        <v>4184</v>
      </c>
      <c r="AJ11" s="2827" t="s">
        <v>4184</v>
      </c>
      <c r="AK11" s="2827" t="s">
        <v>4184</v>
      </c>
      <c r="AL11" s="2168" t="b">
        <f>AND(Q11&gt;=0,S11&gt;=0,T11&gt;=0,U11&gt;=0)</f>
        <v>1</v>
      </c>
      <c r="AS11" s="1569"/>
      <c r="AT11" s="1571" t="s">
        <v>3389</v>
      </c>
      <c r="AU11" s="1571" t="s">
        <v>3389</v>
      </c>
      <c r="AV11" s="1571" t="s">
        <v>3389</v>
      </c>
      <c r="AW11" s="1571" t="s">
        <v>3389</v>
      </c>
      <c r="AX11" s="1571" t="s">
        <v>3389</v>
      </c>
      <c r="AY11" s="1571" t="s">
        <v>3389</v>
      </c>
      <c r="AZ11" s="1571" t="s">
        <v>3389</v>
      </c>
      <c r="BA11" s="1571" t="s">
        <v>3389</v>
      </c>
      <c r="BB11" s="1571" t="s">
        <v>3389</v>
      </c>
      <c r="BC11" s="1571" t="s">
        <v>3389</v>
      </c>
      <c r="BD11" s="1571" t="s">
        <v>3389</v>
      </c>
      <c r="BE11" s="1571" t="s">
        <v>3389</v>
      </c>
    </row>
    <row r="12" spans="1:85" ht="99.75" customHeight="1">
      <c r="A12" s="556" t="str">
        <f>"R2="&amp;IFERROR(MID(Содержание!$D$12,FIND("{",Содержание!$D$12)+1,FIND("}",Содержание!$D$12)-FIND("{",Содержание!$D$12)-1),"RUB")&amp;";R42=16"&amp;";R11=;R7=255221"&amp;";R1=251112"&amp;";R26="&amp;";R49="&amp;";R4=20"&amp;";R32="&amp;";R33="&amp;";R57="&amp;";R46=1;COM="</f>
        <v>R2=RUB;R42=16;R11=;R7=255221;R1=251112;R26=;R49=;R4=20;R32=;R33=;R57=;R46=1;COM=</v>
      </c>
      <c r="C12" s="1129" t="s">
        <v>3196</v>
      </c>
      <c r="D12" s="2163" t="s">
        <v>5917</v>
      </c>
      <c r="E12" s="2458" t="s">
        <v>4184</v>
      </c>
      <c r="F12" s="2164" t="s">
        <v>4184</v>
      </c>
      <c r="G12" s="2164" t="s">
        <v>4184</v>
      </c>
      <c r="H12" s="2164" t="s">
        <v>4184</v>
      </c>
      <c r="I12" s="2164" t="s">
        <v>4184</v>
      </c>
      <c r="J12" s="2164" t="s">
        <v>4184</v>
      </c>
      <c r="K12" s="2164" t="s">
        <v>4184</v>
      </c>
      <c r="L12" s="2164" t="s">
        <v>4184</v>
      </c>
      <c r="M12" s="2164" t="s">
        <v>4184</v>
      </c>
      <c r="N12" s="2164" t="s">
        <v>4184</v>
      </c>
      <c r="O12" s="2164" t="s">
        <v>4184</v>
      </c>
      <c r="P12" s="1113"/>
      <c r="Q12" s="1289">
        <f t="shared" ref="Q12:Q13" si="6">P12-SUM(R12:U12)</f>
        <v>0</v>
      </c>
      <c r="R12" s="1113"/>
      <c r="S12" s="1113"/>
      <c r="T12" s="1113"/>
      <c r="U12" s="1113"/>
      <c r="V12" s="1113"/>
      <c r="W12" s="1113"/>
      <c r="X12" s="2165" t="s">
        <v>4184</v>
      </c>
      <c r="Y12" s="2165" t="s">
        <v>4184</v>
      </c>
      <c r="Z12" s="2165" t="s">
        <v>4184</v>
      </c>
      <c r="AA12" s="2165" t="s">
        <v>4184</v>
      </c>
      <c r="AB12" s="2165" t="s">
        <v>4184</v>
      </c>
      <c r="AC12" s="2165" t="s">
        <v>4184</v>
      </c>
      <c r="AD12" s="2165" t="s">
        <v>4184</v>
      </c>
      <c r="AE12" s="2165" t="s">
        <v>4184</v>
      </c>
      <c r="AF12" s="2165" t="s">
        <v>4184</v>
      </c>
      <c r="AG12" s="2165" t="s">
        <v>4184</v>
      </c>
      <c r="AH12" s="2165" t="s">
        <v>4184</v>
      </c>
      <c r="AI12" s="2827" t="s">
        <v>4184</v>
      </c>
      <c r="AJ12" s="2827" t="s">
        <v>4184</v>
      </c>
      <c r="AK12" s="2827" t="s">
        <v>4184</v>
      </c>
      <c r="AL12" s="2168" t="b">
        <f t="shared" ref="AL12:AL13" si="7">AND(Q12&gt;=0,S12&gt;=0,T12&gt;=0,U12&gt;=0)</f>
        <v>1</v>
      </c>
      <c r="AT12" s="1571" t="s">
        <v>3389</v>
      </c>
      <c r="AU12" s="1571" t="s">
        <v>3389</v>
      </c>
      <c r="AV12" s="1571" t="s">
        <v>3389</v>
      </c>
      <c r="AW12" s="1571" t="s">
        <v>3389</v>
      </c>
      <c r="AX12" s="1571" t="s">
        <v>3389</v>
      </c>
      <c r="AY12" s="1571" t="s">
        <v>3389</v>
      </c>
      <c r="AZ12" s="1571" t="s">
        <v>3389</v>
      </c>
      <c r="BA12" s="1571" t="s">
        <v>3389</v>
      </c>
      <c r="BB12" s="1571" t="s">
        <v>3389</v>
      </c>
      <c r="BC12" s="1571" t="s">
        <v>3389</v>
      </c>
      <c r="BD12" s="1571" t="s">
        <v>3389</v>
      </c>
      <c r="BE12" s="1571" t="s">
        <v>3389</v>
      </c>
    </row>
    <row r="13" spans="1:85" ht="69" customHeight="1">
      <c r="A13" s="556" t="str">
        <f>"R2="&amp;IFERROR(MID(Содержание!$D$12,FIND("{",Содержание!$D$12)+1,FIND("}",Содержание!$D$12)-FIND("{",Содержание!$D$12)-1),"RUB")&amp;";R42=16"&amp;";R11=;R7=255211"&amp;";R1=252052"&amp;";R26="&amp;";R49="&amp;";R4=20"&amp;";R32="&amp;";R33="&amp;";R57="&amp;";R46=1;COM="</f>
        <v>R2=RUB;R42=16;R11=;R7=255211;R1=252052;R26=;R49=;R4=20;R32=;R33=;R57=;R46=1;COM=</v>
      </c>
      <c r="C13" s="1129" t="s">
        <v>3196</v>
      </c>
      <c r="D13" s="2163" t="s">
        <v>5918</v>
      </c>
      <c r="E13" s="2458" t="s">
        <v>4184</v>
      </c>
      <c r="F13" s="2164" t="s">
        <v>4184</v>
      </c>
      <c r="G13" s="2164" t="s">
        <v>4184</v>
      </c>
      <c r="H13" s="2164" t="s">
        <v>4184</v>
      </c>
      <c r="I13" s="2164" t="s">
        <v>4184</v>
      </c>
      <c r="J13" s="2164" t="s">
        <v>4184</v>
      </c>
      <c r="K13" s="2164" t="s">
        <v>4184</v>
      </c>
      <c r="L13" s="2164" t="s">
        <v>4184</v>
      </c>
      <c r="M13" s="2164" t="s">
        <v>4184</v>
      </c>
      <c r="N13" s="2164" t="s">
        <v>4184</v>
      </c>
      <c r="O13" s="2164" t="s">
        <v>4184</v>
      </c>
      <c r="P13" s="1113"/>
      <c r="Q13" s="1289">
        <f t="shared" si="6"/>
        <v>0</v>
      </c>
      <c r="R13" s="1113"/>
      <c r="S13" s="1113"/>
      <c r="T13" s="1113"/>
      <c r="U13" s="1113"/>
      <c r="V13" s="1113"/>
      <c r="W13" s="1113"/>
      <c r="X13" s="2165" t="s">
        <v>4184</v>
      </c>
      <c r="Y13" s="2165" t="s">
        <v>4184</v>
      </c>
      <c r="Z13" s="2165" t="s">
        <v>4184</v>
      </c>
      <c r="AA13" s="2165" t="s">
        <v>4184</v>
      </c>
      <c r="AB13" s="2165" t="s">
        <v>4184</v>
      </c>
      <c r="AC13" s="2165" t="s">
        <v>4184</v>
      </c>
      <c r="AD13" s="2165" t="s">
        <v>4184</v>
      </c>
      <c r="AE13" s="2165" t="s">
        <v>4184</v>
      </c>
      <c r="AF13" s="2165" t="s">
        <v>4184</v>
      </c>
      <c r="AG13" s="2165" t="s">
        <v>4184</v>
      </c>
      <c r="AH13" s="2165" t="s">
        <v>4184</v>
      </c>
      <c r="AI13" s="2827" t="s">
        <v>4184</v>
      </c>
      <c r="AJ13" s="2827" t="s">
        <v>4184</v>
      </c>
      <c r="AK13" s="2827" t="s">
        <v>4184</v>
      </c>
      <c r="AL13" s="2168" t="b">
        <f t="shared" si="7"/>
        <v>1</v>
      </c>
      <c r="AT13" s="1571" t="s">
        <v>3389</v>
      </c>
      <c r="AU13" s="1571" t="s">
        <v>3389</v>
      </c>
      <c r="AV13" s="1571" t="s">
        <v>3389</v>
      </c>
      <c r="AW13" s="1571" t="s">
        <v>3389</v>
      </c>
      <c r="AX13" s="1571" t="s">
        <v>3389</v>
      </c>
      <c r="AY13" s="1571" t="s">
        <v>3389</v>
      </c>
      <c r="AZ13" s="1571" t="s">
        <v>3389</v>
      </c>
      <c r="BA13" s="1571" t="s">
        <v>3389</v>
      </c>
      <c r="BB13" s="1571" t="s">
        <v>3389</v>
      </c>
      <c r="BC13" s="1571" t="s">
        <v>3389</v>
      </c>
      <c r="BD13" s="1571" t="s">
        <v>3389</v>
      </c>
      <c r="BE13" s="1571" t="s">
        <v>3389</v>
      </c>
      <c r="BI13" s="2166"/>
    </row>
    <row r="14" spans="1:85" ht="89.25" customHeight="1">
      <c r="A14" s="556" t="str">
        <f>"R2="&amp;IFERROR(MID(Содержание!$D$12,FIND("{",Содержание!$D$12)+1,FIND("}",Содержание!$D$12)-FIND("{",Содержание!$D$12)-1),"RUB")&amp;";R42=10015;R11=;R7=255221;R1=252099;R26=;R49=;R4=20;R32=;R33=;R57=;R46=1;COM="</f>
        <v>R2=RUB;R42=10015;R11=;R7=255221;R1=252099;R26=;R49=;R4=20;R32=;R33=;R57=;R46=1;COM=</v>
      </c>
      <c r="C14" s="1129" t="s">
        <v>3196</v>
      </c>
      <c r="D14" s="2163" t="s">
        <v>8378</v>
      </c>
      <c r="E14" s="2458" t="s">
        <v>4184</v>
      </c>
      <c r="F14" s="2164" t="s">
        <v>4184</v>
      </c>
      <c r="G14" s="2164" t="s">
        <v>4184</v>
      </c>
      <c r="H14" s="2164" t="s">
        <v>4184</v>
      </c>
      <c r="I14" s="2164" t="s">
        <v>4184</v>
      </c>
      <c r="J14" s="2164" t="s">
        <v>4184</v>
      </c>
      <c r="K14" s="2164" t="s">
        <v>4184</v>
      </c>
      <c r="L14" s="2164" t="s">
        <v>4184</v>
      </c>
      <c r="M14" s="2164" t="s">
        <v>4184</v>
      </c>
      <c r="N14" s="2164" t="s">
        <v>4184</v>
      </c>
      <c r="O14" s="2164" t="s">
        <v>4184</v>
      </c>
      <c r="P14" s="2164" t="s">
        <v>4184</v>
      </c>
      <c r="Q14" s="2164" t="s">
        <v>4184</v>
      </c>
      <c r="R14" s="2164" t="s">
        <v>4184</v>
      </c>
      <c r="S14" s="2164" t="s">
        <v>4184</v>
      </c>
      <c r="T14" s="2164" t="s">
        <v>4184</v>
      </c>
      <c r="U14" s="2164" t="s">
        <v>4184</v>
      </c>
      <c r="V14" s="2164" t="s">
        <v>4184</v>
      </c>
      <c r="W14" s="2164" t="s">
        <v>4184</v>
      </c>
      <c r="X14" s="2164" t="s">
        <v>4184</v>
      </c>
      <c r="Y14" s="2164" t="s">
        <v>4184</v>
      </c>
      <c r="Z14" s="2164" t="s">
        <v>4184</v>
      </c>
      <c r="AA14" s="2164" t="s">
        <v>4184</v>
      </c>
      <c r="AB14" s="2164" t="s">
        <v>4184</v>
      </c>
      <c r="AC14" s="1009"/>
      <c r="AD14" s="1009"/>
      <c r="AE14" s="1009"/>
      <c r="AF14" s="1009"/>
      <c r="AG14" s="1009"/>
      <c r="AH14" s="1009"/>
      <c r="AI14" s="2827">
        <f>SUM(AC14:AH14)</f>
        <v>0</v>
      </c>
      <c r="AJ14" s="2827" t="s">
        <v>4184</v>
      </c>
      <c r="AK14" s="2827" t="s">
        <v>4184</v>
      </c>
      <c r="AL14" s="2168"/>
      <c r="AT14" s="1571"/>
      <c r="AU14" s="1571"/>
      <c r="AV14" s="1571"/>
      <c r="AW14" s="1571"/>
      <c r="AX14" s="1571"/>
      <c r="AY14" s="1571"/>
      <c r="AZ14" s="1571"/>
      <c r="BA14" s="1571"/>
      <c r="BB14" s="1571"/>
      <c r="BC14" s="1571"/>
      <c r="BD14" s="1571"/>
      <c r="BE14" s="1571"/>
      <c r="BI14" s="2166"/>
      <c r="CC14" s="3034" t="b">
        <v>1</v>
      </c>
    </row>
    <row r="15" spans="1:85">
      <c r="A15" s="556" t="str">
        <f>"R2="&amp;IFERROR(MID(O15,FIND("{",O15)+1,FIND("}",O15)-FIND("{",O15)-1),"")&amp;";R42="&amp;MID(IF(F15&lt;&gt;"",F15,E15),1,30)&amp;";R55="&amp;MID(G15,1,100)&amp;";R7="&amp;IFERROR(MID(I15,FIND("{",I15)+1,FIND("}",I15)-FIND("{",I15)-1),"")&amp;";R1="&amp;IFERROR(MID(J15,FIND("{",J15)+1,FIND("}",J15)-FIND("{",J15)-1),"")&amp;";R26="&amp;H15&amp;";R16="&amp;IFERROR(MID(K15,FIND("{",K15)+1,FIND("}",K15)-FIND("{",K15)-1),K15)&amp;";R30="&amp;L15&amp;";R49="&amp;M15&amp;";R4="&amp;IFERROR(MID(N15,FIND("{",N15)+1,FIND("}",N15)-FIND("{",N15)-1),"")&amp;";R57="&amp;MID(D15,1,60)&amp;";R46="&amp;IFERROR(MID(AJ15,FIND("{",AJ15)+1,FIND("}",AJ15)-FIND("{",AJ15)-1),"")&amp;";R36="&amp;MID(F15,1,30)&amp;";R43="&amp;MID(E15,1,30)&amp;";COM="&amp;AK15</f>
        <v>R2=;R42=;R55=;R7=;R1=;R26=;R16=;R30=;R49=;R4=;R57=;R46=;R36=;R43=;COM=</v>
      </c>
      <c r="C15" s="1071"/>
      <c r="D15" s="2269"/>
      <c r="E15" s="2269"/>
      <c r="F15" s="1001"/>
      <c r="G15" s="2269"/>
      <c r="H15" s="2270"/>
      <c r="I15" s="2269"/>
      <c r="J15" s="2269"/>
      <c r="K15" s="2269"/>
      <c r="L15" s="2270"/>
      <c r="M15" s="2270"/>
      <c r="N15" s="2270"/>
      <c r="O15" s="1001"/>
      <c r="P15" s="1113"/>
      <c r="Q15" s="1289">
        <f t="shared" ref="Q15:Q16" si="8">IF($P$4-M15&lt;=0,P15,0)</f>
        <v>0</v>
      </c>
      <c r="R15" s="1289">
        <f t="shared" ref="R15:R16" si="9">IF(AND($P$4-M15&gt;0,$P$4-M15&lt;=90),P15,0)</f>
        <v>0</v>
      </c>
      <c r="S15" s="1289">
        <f t="shared" ref="S15:S16" si="10">IF(AND($P$4-M15&gt;=91,$P$4-M15&lt;=183),P15,0)</f>
        <v>0</v>
      </c>
      <c r="T15" s="1289">
        <f t="shared" ref="T15:T16" si="11">IF(AND($P$4-M15&gt;=184,$P$4-M15&lt;=365),P15,0)</f>
        <v>0</v>
      </c>
      <c r="U15" s="1289">
        <f t="shared" ref="U15:U16" si="12">IF($P$4-M15&gt;365,P15,0)</f>
        <v>0</v>
      </c>
      <c r="V15" s="1113"/>
      <c r="W15" s="1289">
        <f>IF(($P$4-M15)&gt;0,V15,0)</f>
        <v>0</v>
      </c>
      <c r="X15" s="1289">
        <f>IF(($X$4-M15)+1&gt;0,V15,0)-W15</f>
        <v>0</v>
      </c>
      <c r="Y15" s="1289">
        <f t="shared" ref="Y15:Y18" si="13">IF(($Y$4-M15)+1&gt;0,V15,0)-SUM(W15:X15)</f>
        <v>0</v>
      </c>
      <c r="Z15" s="1289">
        <f t="shared" ref="Z15:Z18" si="14">IF(($Z$4-M15)+1&gt;0,V15,0)-SUM(W15:Y15)</f>
        <v>0</v>
      </c>
      <c r="AA15" s="1289">
        <f t="shared" ref="AA15:AA18" si="15">IF(($AA$4-M15)+1&gt;0,V15,0)-SUM(W15:Z15)</f>
        <v>0</v>
      </c>
      <c r="AB15" s="1289">
        <f>V15-SUM(W15:AA15)</f>
        <v>0</v>
      </c>
      <c r="AC15" s="897"/>
      <c r="AD15" s="897"/>
      <c r="AE15" s="897"/>
      <c r="AF15" s="897"/>
      <c r="AG15" s="897"/>
      <c r="AH15" s="897"/>
      <c r="AI15" s="2827">
        <f t="shared" ref="AI15:AI47" si="16">SUM(AC15:AH15)</f>
        <v>0</v>
      </c>
      <c r="AJ15" s="1001"/>
      <c r="AK15" s="1001"/>
      <c r="AL15" s="3560" t="b">
        <f t="shared" ref="AL15:AL48" si="17">IF(AND(J15=$AO$22,I15=$AO$17),TRUE,IF(AND(J15=$BH$27,I15=$AO$17),AND(P15&lt;=0,Q15&lt;=0,S15&lt;=0,T15&lt;=0,U15&lt;=0),AND(P15&gt;=0,Q15&gt;=0,S15&gt;=0,T15&gt;=0,U15&gt;=0,V15&lt;=0,X15&lt;=0,Y15&lt;=0,Z15&lt;=0,AA15&lt;=0,AB15&lt;=0,W15&lt;=0)))</f>
        <v>1</v>
      </c>
      <c r="AM15" s="3560" t="b">
        <f t="shared" ref="AM15:AM48" si="18">IF(AND(J15=$AO$22,I15=$AO$17),TRUE,IF(AND(J15=$BH$27,I15=$AO$17),$P15&lt;0,AND(IF(AND(P15=0,V15=""),TRUE,(IF($I15&lt;&gt;0,OR(IF(OR($I15=$AO$15,$I15=$AO$17),$P15&gt;0),IF(OR($I15=$AO$16,$I15=$AO$18),$V15&lt;0)),TRUE))),IF(J15=$AO$21,V15&lt;0,TRUE),IF(J15=$AO$20,P15&gt;=0,TRUE))))</f>
        <v>1</v>
      </c>
      <c r="AN15" s="2551" t="b">
        <f t="shared" ref="AN15:AN43" si="19">OR(ABS((T15/2+U15)+AI15)&lt;=2,AJ15&lt;&gt;"")</f>
        <v>1</v>
      </c>
      <c r="AO15" s="2166" t="s">
        <v>3093</v>
      </c>
      <c r="AP15" s="2595" t="b">
        <f t="shared" ref="AP15:AP43" si="20">AND(IF(P15&gt;0,V15=0,TRUE),IF(V15&lt;0,P15=0,TRUE))</f>
        <v>1</v>
      </c>
      <c r="AQ15" s="2168"/>
      <c r="AR15" s="2167" t="b">
        <f t="shared" ref="AR15:AR43" si="21">OR(IF(OR(D15&lt;&gt;0,D15&lt;&gt;""),LEN(E15)&gt;3,TRUE),IF(OR(D15&lt;&gt;0,D15&lt;&gt;""),F15&gt;0,TRUE))</f>
        <v>1</v>
      </c>
      <c r="AS15" s="3561" t="b">
        <f>IF(J15="{252079} НДС по авансам выданным (перерасчетный) по арендным платежам Арендные обязательства",OR(I15=$AO$17,I15=$AO$16),IF(OR(J15="{252072} НДС с авансов, выданных по капитальному строительству (предварит)",J15="{252078} НДС по авансам выданным (предварительный) по арендным платежам Арендные обязательства",J15="{252025} НДС по авансам выданным (предварит) без кап строительства"),I15="{255221} Дебиторская задолженность",AND(IF(ISERROR(SEARCH("НДС",J15)),TRUE,IF(ISERROR(SEARCH("авансы",I15)),TRUE,FALSE)),IF(J15="{252026} НДС по авансам полученным",IF(I15="{255221} Дебиторская задолженность",TRUE,FALSE),TRUE),IF(J15="{252029} НДС по авансам выданным (перерасчетный) без капитального строительства",IF(I15="{255211} Кредиторская задолженность",TRUE,FALSE),TRUE),IF(J15="{252073} НДС с авансов, выданных по капитальному строительству (перерасчетный)",IF(I15="{255211} Кредиторская задолженность",TRUE,FALSE),TRUE))))</f>
        <v>1</v>
      </c>
      <c r="AT15" s="2171" t="b">
        <f t="shared" ref="AT15:AT43" si="22">AND(IF(E15="ВНЕШНИЕ КОНТРАГЕНТЫ",F15=10015,TRUE),IF(F15=10015,E15="ВНЕШНИЕ КОНТРАГЕНТЫ",TRUE))</f>
        <v>1</v>
      </c>
      <c r="AU15" s="2171" t="b">
        <f t="shared" ref="AU15:AU43" si="23">AND(IF(IFERROR(VLOOKUP(J15,$BH:$BH,1,0),TRUE)=J15,F15=10018,TRUE),IF(F15=10018,J15=IFERROR(VLOOKUP(J15,$BH:$BH,1,0),FALSE),TRUE),IF(F15=10018,IFERROR(VLOOKUP(J15,$BH:$BH,1,0)=J15,FALSE),TRUE))</f>
        <v>1</v>
      </c>
      <c r="AV15" s="2242" t="s">
        <v>7695</v>
      </c>
      <c r="AW15" s="2171" t="b">
        <f>IF(ISNA(VLOOKUP(J15,$BI$16:$BI$19,1,0)),TRUE,OR(I15="{255211} Кредиторская задолженность",I15="{255212} Авансы выданные"))</f>
        <v>1</v>
      </c>
      <c r="AX15" s="2277" t="str">
        <f t="shared" ref="AX15:AX43" si="24">IFERROR(RIGHT(I15,LEN(I15)-9),"")</f>
        <v/>
      </c>
      <c r="AY15" s="2278" t="str">
        <f t="shared" ref="AY15:AY48" si="25">IF(OR($BJ15=3801085668,$BJ15=7704765961,$BJ15=5256065824),"-",IF(ISNA(VLOOKUP($BJ15,_icompindex,1,0)),"-",VLOOKUP($BJ15,_icompindex,1,0)))</f>
        <v>-</v>
      </c>
      <c r="AZ15" s="2551" t="b">
        <f>AND(IF(AJ15="{3} Существует высокая вероятность погашения задолженности",AK15&lt;&gt;"",TRUE),IF(AK15&lt;&gt;"",IF(AJ15="{3} Существует высокая вероятность погашения задолженности",TRUE,FALSE),TRUE))</f>
        <v>1</v>
      </c>
      <c r="BA15" s="2551" t="b">
        <f t="shared" ref="BA15:BA43" si="26">AND(IF(AJ15="{1} Контрагент входит в периметр консолидации",IF(BC15="-",FALSE,TRUE),TRUE),IF((T15+U15)&gt;0,AND(IF(AJ15="{1} Контрагент входит в периметр консолидации",IF(E15=BC15,TRUE,FALSE),TRUE),IF(BC15=E15,IF(AJ15="{1} Контрагент входит в периметр консолидации",TRUE,FALSE),TRUE)),TRUE))</f>
        <v>1</v>
      </c>
      <c r="BB15" s="2551" t="b">
        <f>IF(AND(I15="{255222} Авансы полученные",N15="{10} Долгосрочная"),IF(OR(L15="0",L15=0,L15="",L15="-"),FALSE,TRUE),TRUE)</f>
        <v>1</v>
      </c>
      <c r="BC15" s="1569" t="str">
        <f>IF(OR($BJ15=3801085668,$BJ15=7704765961,$BJ15=7705762628,$BJ15=4714023642,$BJ15=1001169266,$BJ15=7422032148),"-",IF(ISNA(VLOOKUP($BJ15,_icompindex_,1,0)),"-",VLOOKUP($BJ15,_icompindex_,1,0)))</f>
        <v>-</v>
      </c>
      <c r="BD15" s="2324">
        <f>SUMIFS(V15:V25000,AY15:AY25000,"-",N15:N25000,"{10} Долгосрочная")</f>
        <v>0</v>
      </c>
      <c r="BE15" s="2324">
        <f>SUMIFS(V15:V25000,AY15:AY25000,"-",N15:N25000,"{20} Краткосрочная")</f>
        <v>0</v>
      </c>
      <c r="BF15" s="2171" t="b">
        <f>IF(ISNA(VLOOKUP(J15,$BI$20:$BI$23,1,0)),IF(J15=$BI$25,OR(I15="{255221} Дебиторская задолженность",I15="{255222} Авансы полученные"),TRUE),OR(I15="{255221} Дебиторская задолженность",I15="{255222} Авансы полученные"))</f>
        <v>1</v>
      </c>
      <c r="BG15" s="2171" t="b">
        <f>IF(IFERROR(VLOOKUP($AJ15,_606276_контр_,1,FALSE),FALSE)=FALSE,IF($AJ15="",TRUE,FALSE),TRUE)</f>
        <v>1</v>
      </c>
      <c r="BH15" s="2166" t="s">
        <v>1771</v>
      </c>
      <c r="BI15" s="2166"/>
      <c r="BJ15" s="1569">
        <f>IF(OR(IF(TEXT(LEFT(E15,1),"0")="0",TRUE,FALSE),ISERROR(E15*1)),E15,E15*1)</f>
        <v>0</v>
      </c>
      <c r="BK15" s="2171" t="b">
        <f>IF(AC15&lt;0,TRUE,IF(OR(AND(AI15&lt;0,P15&gt;0),NOT(COUNTBLANK(AD15:AG15)=4)),TRUE,IF(OR(BJ15="Гос.контракты",BJ15="Внешние контрагенты",BJ15="Физические лица",BJ15="НДС с авансов",BJ15="НДС по налоговому агенту"),TRUE,IF(ISBLANK(BJ15),TRUE,IF(ISNA(VLOOKUP(BJ15,Список_компаний!$B$3:$I$289,1,0)),TRUE,IF(OR(BJ15=7704765961,BJ15=3801085668,BJ15=7706729140,BJ15=1402048660,BJ15=5256065824,BJ15=7701927935,BJ15=7451382644,BJ15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15,Список_компаний!$B$3:$I$289,8,0)="Да",VLOOKUP(BJ15,Список_компаний!$B$3:$I$289,7,0)=""),TRUE,IF(AND(VLOOKUP(BJ15,Список_компаний!$B$3:$I$289,8,0)="Да",VLOOKUP(BJ15,Список_компаний!$B$3:$I$289,7,0)="Да"),FALSE,FALSE)),FALSE))))))))</f>
        <v>1</v>
      </c>
      <c r="BL15" s="2171" t="b">
        <f>IF(AC15&lt;0,TRUE,IF(OR(AND(AI15&lt;0,P15&gt;0),NOT(COUNTBLANK(AD15:AG15)=4)),TRUE,IF(OR(F15=10011,F15=10015,F15=10000,F15=10018,F15=10020,F15=10019,F15=567019,F15=10016),TRUE,IF(ISNA(VLOOKUP(F15,Список_компаний!$C$3:$I$289,1,0)),TRUE,IF(OR(F15=362,F15=122,F15=337,F15=330,F15=203,F15=204687,F15=402234,F15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15,Список_компаний!$C$3:$I$289,7,0)="Да",VLOOKUP(F15,Список_компаний!$C$3:$I$289,6,0)=""),TRUE,IF(AND(VLOOKUP(F15,Список_компаний!$C$3:$I$289,7,0)="Да",VLOOKUP(F15,Список_компаний!$C$3:$I$289,6,0)="Да"),FALSE,FALSE)),FALSE)))))))</f>
        <v>1</v>
      </c>
      <c r="BM15" s="2171" t="b">
        <f t="shared" ref="BM15:BM43" si="27">IF(D15&lt;&gt;0,IF(OR(G15="0",G15=0,G15=""),FALSE,TRUE),TRUE)</f>
        <v>1</v>
      </c>
      <c r="BN15" s="2171" t="b">
        <f t="shared" ref="BN15:BN43" si="28">IF(COUNTIF(Q15:U15,"&gt;1")&gt;1,FALSE,TRUE)</f>
        <v>1</v>
      </c>
      <c r="BO15" s="2171" t="b">
        <f>IF(OR(AD15&lt;0,AE15&lt;0),FALSE,IF(AG15&gt;0,FALSE,TRUE))</f>
        <v>1</v>
      </c>
      <c r="BP15" s="2171" t="b">
        <f>IF(AI15&lt;0,IF(OR(P15="0",P15=0,P15="",I15="{255211} Кредиторская задолженность",I15="{255222} Авансы полученные"),FALSE,TRUE),TRUE)</f>
        <v>1</v>
      </c>
      <c r="BQ15" s="2171" t="b">
        <f>IF(IFERROR(VLOOKUP($J15,_Проверка_,1,FALSE),FALSE)=FALSE,IF($J15="",TRUE,FALSE),TRUE)</f>
        <v>1</v>
      </c>
      <c r="BR15" s="2171" t="b">
        <f>IF(D15&lt;&gt;0,IF(OR(M15="0",M15=0,M15="",M15="-"),FALSE,TRUE),TRUE)</f>
        <v>1</v>
      </c>
      <c r="BS15" s="2171" t="b">
        <f>IF(AND(I15="",J15="",K15=""),TRUE,IF(AND(COUNTIF(I15,"*255212*"),OR(COUNTIF(J15,"*251011*"),COUNTIF(J15,"*251013*"),COUNTIF(J15,"*251015*"))),K15&lt;&gt;"не требуется",K15="не требуется"))</f>
        <v>1</v>
      </c>
      <c r="BT15" s="2171" t="b">
        <f t="shared" ref="BT15:BT47" si="29">IF(OR(I15="{255211} Кредиторская задолженность",I15="{255222} Авансы полученные"),(COUNTBLANK(AC15:AG15)=5),TRUE)</f>
        <v>1</v>
      </c>
      <c r="BU15" s="2171" t="str">
        <f>IF(Содержание!$D$12="","ИСТИНА",IF(VLOOKUP(Содержание!$D$12,Справочник!$BZ$4:$CA$173,2,0)=O15,AH15="",TRUE))</f>
        <v>ИСТИНА</v>
      </c>
      <c r="BV15" s="2171" t="b">
        <f>LEFT(H15,10)&lt;=LEFT(Содержание!$D$14,10)</f>
        <v>1</v>
      </c>
      <c r="BX15" s="1569" t="str">
        <f>IFERROR(VLOOKUP(G15,Долгосроч_договоры!D:D,1,0),"нет")</f>
        <v>нет</v>
      </c>
      <c r="BY15" s="1569" t="str">
        <f>IF(I15="{255212} Авансы выданные","да",IF(AND(I15="{255222} Авансы полученные",IFERROR(VLOOKUP(G15,Долгосроч_договоры!D:D,1,0),"нет")&lt;&gt;"нет"),"да","нет"))</f>
        <v>нет</v>
      </c>
      <c r="BZ15" s="2168" t="b">
        <f ca="1">IF(ISBLANK(H15),TRUE,IF(CELL("формат",H15)="D1",AND(LEN(TEXT(H15,"ДД.мм.ГГГГ"))=10,NOT(ISERR(SEARCH("??.??.????",TEXT(H15,"ДД.мм.ГГГГ"))))),AND(NOT(ISERROR(DATEVALUE(H15))),LEN(H15)=10,NOT(ISERR(SEARCH("??.??.????",TEXT(H15,"ДД.мм.ГГГГ")))))))</f>
        <v>1</v>
      </c>
      <c r="CA15" s="2168" t="b">
        <f ca="1">IF(I15="{255222} Авансы полученные",TRUE,IF(ISBLANK(L15),TRUE,IF(CELL("формат",L15)="D1",AND(LEN(TEXT(L15,"ДД.мм.ГГГГ"))=10,NOT(ISERR(SEARCH("??.??.????",TEXT(L15,"ДД.мм.ГГГГ"))))),AND(NOT(ISERROR(DATEVALUE(L15))),LEN(L15)=10,NOT(ISERR(SEARCH("??.??.????",TEXT(L15,"ДД.мм.ГГГГ"))))))))</f>
        <v>1</v>
      </c>
      <c r="CB15" s="2168" t="b">
        <f ca="1">IF(ISBLANK(M15),TRUE,IF(CELL("формат",M15)="D1",AND(LEN(TEXT(M15,"ДД.мм.ГГГГ"))=10,NOT(ISERR(SEARCH("??.??.????",TEXT(M15,"ДД.мм.ГГГГ"))))),AND(NOT(ISERROR(DATEVALUE(M15))),LEN(M15)=10,NOT(ISERR(SEARCH("??.??.????",TEXT(M15,"ДД.мм.ГГГГ")))))))</f>
        <v>1</v>
      </c>
      <c r="CC15" s="3426" t="str">
        <f ca="1">IF(C15=60,IF(IFERROR(VLOOKUP(I15,INDIRECT($CC$7),1,FALSE),FALSE)=FALSE,IF(I15="","",FALSE),""),IF(C15=62,IF(IFERROR(VLOOKUP(I15,INDIRECT($CD$7),1,FALSE),FALSE)=FALSE,IF(I15="","",FALSE),""),IF(C15=76,IF(IFERROR(VLOOKUP(I15,INDIRECT($CE$7),1,FALSE),FALSE)=FALSE,IF(I15="","",FALSE),""),"-")))</f>
        <v>-</v>
      </c>
      <c r="CG15" s="2168" t="b">
        <f>IF(COUNTIF(G15,"*№*")=1,FALSE,IF(COUNTIF(G15,"*договор*")=1,FALSE,IF(COUNTIF(G15,"*контракт*")=1,FALSE,TRUE)))</f>
        <v>1</v>
      </c>
    </row>
    <row r="16" spans="1:85">
      <c r="A16" s="556" t="str">
        <f t="shared" ref="A16:A47" si="30">"R2="&amp;IFERROR(MID(O16,FIND("{",O16)+1,FIND("}",O16)-FIND("{",O16)-1),"")&amp;";R42="&amp;MID(IF(F16&lt;&gt;"",F16,E16),1,30)&amp;";R55="&amp;MID(G16,1,100)&amp;";R7="&amp;IFERROR(MID(I16,FIND("{",I16)+1,FIND("}",I16)-FIND("{",I16)-1),"")&amp;";R1="&amp;IFERROR(MID(J16,FIND("{",J16)+1,FIND("}",J16)-FIND("{",J16)-1),"")&amp;";R26="&amp;H16&amp;";R16="&amp;IFERROR(MID(K16,FIND("{",K16)+1,FIND("}",K16)-FIND("{",K16)-1),K16)&amp;";R30="&amp;L16&amp;";R49="&amp;M16&amp;";R4="&amp;IFERROR(MID(N16,FIND("{",N16)+1,FIND("}",N16)-FIND("{",N16)-1),"")&amp;";R57="&amp;MID(D16,1,60)&amp;";R46="&amp;IFERROR(MID(AJ16,FIND("{",AJ16)+1,FIND("}",AJ16)-FIND("{",AJ16)-1),"")&amp;";R36="&amp;MID(F16,1,30)&amp;";R43="&amp;MID(E16,1,30)&amp;";COM="&amp;AK16</f>
        <v>R2=;R42=;R55=;R7=;R1=;R26=;R16=;R30=;R49=;R4=;R57=;R46=;R36=;R43=;COM=</v>
      </c>
      <c r="C16" s="1071"/>
      <c r="D16" s="2269"/>
      <c r="E16" s="2269"/>
      <c r="F16" s="1001"/>
      <c r="G16" s="2269"/>
      <c r="H16" s="2270"/>
      <c r="I16" s="2269"/>
      <c r="J16" s="2269"/>
      <c r="K16" s="2269"/>
      <c r="L16" s="2270"/>
      <c r="M16" s="2270"/>
      <c r="N16" s="2270"/>
      <c r="O16" s="1001"/>
      <c r="P16" s="1113"/>
      <c r="Q16" s="1289">
        <f t="shared" si="8"/>
        <v>0</v>
      </c>
      <c r="R16" s="1289">
        <f t="shared" si="9"/>
        <v>0</v>
      </c>
      <c r="S16" s="1289">
        <f t="shared" si="10"/>
        <v>0</v>
      </c>
      <c r="T16" s="1289">
        <f t="shared" si="11"/>
        <v>0</v>
      </c>
      <c r="U16" s="1289">
        <f t="shared" si="12"/>
        <v>0</v>
      </c>
      <c r="V16" s="1113"/>
      <c r="W16" s="1289">
        <f t="shared" ref="W16:W43" si="31">IF(($P$4-M16)&gt;0,V16,0)</f>
        <v>0</v>
      </c>
      <c r="X16" s="1289">
        <f t="shared" ref="X16:X18" si="32">IF(($X$4-M16)+1&gt;0,V16,0)-W16</f>
        <v>0</v>
      </c>
      <c r="Y16" s="1289">
        <f t="shared" si="13"/>
        <v>0</v>
      </c>
      <c r="Z16" s="1289">
        <f t="shared" si="14"/>
        <v>0</v>
      </c>
      <c r="AA16" s="1289">
        <f t="shared" si="15"/>
        <v>0</v>
      </c>
      <c r="AB16" s="1289">
        <f t="shared" ref="AB16:AB18" si="33">V16-SUM(W16:AA16)</f>
        <v>0</v>
      </c>
      <c r="AC16" s="897"/>
      <c r="AD16" s="897"/>
      <c r="AE16" s="897"/>
      <c r="AF16" s="897"/>
      <c r="AG16" s="897"/>
      <c r="AH16" s="897"/>
      <c r="AI16" s="2827">
        <f t="shared" si="16"/>
        <v>0</v>
      </c>
      <c r="AJ16" s="2269"/>
      <c r="AK16" s="2269"/>
      <c r="AL16" s="3560" t="b">
        <f t="shared" si="17"/>
        <v>1</v>
      </c>
      <c r="AM16" s="3560" t="b">
        <f t="shared" si="18"/>
        <v>1</v>
      </c>
      <c r="AN16" s="2551" t="b">
        <f t="shared" si="19"/>
        <v>1</v>
      </c>
      <c r="AO16" s="2166" t="s">
        <v>3094</v>
      </c>
      <c r="AP16" s="2595" t="b">
        <f t="shared" si="20"/>
        <v>1</v>
      </c>
      <c r="AQ16" s="2168"/>
      <c r="AR16" s="2167" t="b">
        <f t="shared" si="21"/>
        <v>1</v>
      </c>
      <c r="AS16" s="3561" t="b">
        <f t="shared" ref="AS16:AS48" si="34">IF(J16="{252079} НДС по авансам выданным (перерасчетный) по арендным платежам Арендные обязательства",OR(I16=$AO$17,I16=$AO$16),IF(OR(J16="{252072} НДС с авансов, выданных по капитальному строительству (предварит)",J16="{252078} НДС по авансам выданным (предварительный) по арендным платежам Арендные обязательства",J16="{252025} НДС по авансам выданным (предварит) без кап строительства"),I16="{255221} Дебиторская задолженность",AND(IF(ISERROR(SEARCH("НДС",J16)),TRUE,IF(ISERROR(SEARCH("авансы",I16)),TRUE,FALSE)),IF(J16="{252026} НДС по авансам полученным",IF(I16="{255221} Дебиторская задолженность",TRUE,FALSE),TRUE),IF(J16="{252029} НДС по авансам выданным (перерасчетный) без капитального строительства",IF(I16="{255211} Кредиторская задолженность",TRUE,FALSE),TRUE),IF(J16="{252073} НДС с авансов, выданных по капитальному строительству (перерасчетный)",IF(I16="{255211} Кредиторская задолженность",TRUE,FALSE),TRUE))))</f>
        <v>1</v>
      </c>
      <c r="AT16" s="2171" t="b">
        <f t="shared" si="22"/>
        <v>1</v>
      </c>
      <c r="AU16" s="2171" t="b">
        <f t="shared" si="23"/>
        <v>1</v>
      </c>
      <c r="AV16" s="2242" t="s">
        <v>7695</v>
      </c>
      <c r="AW16" s="2171" t="b">
        <f t="shared" ref="AW16:AW43" si="35">IF(ISNA(VLOOKUP(J16,$BI$16:$BI$19,1,0)),TRUE,OR(I16="{255211} Кредиторская задолженность",I16="{255212} Авансы выданные"))</f>
        <v>1</v>
      </c>
      <c r="AX16" s="2277" t="str">
        <f t="shared" si="24"/>
        <v/>
      </c>
      <c r="AY16" s="2278" t="str">
        <f t="shared" si="25"/>
        <v>-</v>
      </c>
      <c r="AZ16" s="2551" t="b">
        <f t="shared" ref="AZ16:AZ43" si="36">AND(IF(AJ16="{3} Существует высокая вероятность погашения задолженности",AK16&lt;&gt;"",TRUE),IF(AK16&lt;&gt;"",IF(AJ16="{3} Существует высокая вероятность погашения задолженности",TRUE,FALSE),TRUE))</f>
        <v>1</v>
      </c>
      <c r="BA16" s="2551" t="b">
        <f t="shared" si="26"/>
        <v>1</v>
      </c>
      <c r="BB16" s="2551" t="b">
        <f t="shared" ref="BB16:BB45" si="37">IF(AND(I16="{255222} Авансы полученные",N16="{10} Долгосрочная"),IF(OR(L16="0",L16=0,L16="",L16="-"),FALSE,TRUE),TRUE)</f>
        <v>1</v>
      </c>
      <c r="BC16" s="1569" t="str">
        <f>IF(OR($BJ16=3801085668,$BJ16=7704765961,$BJ16=7705762628,$BJ16=4714023642,$BJ16=1001169266,$BJ16=7422032148),"-",IF(ISNA(VLOOKUP($BJ16,_icompindex_,1,0)),"-",VLOOKUP($BJ16,_icompindex_,1,0)))</f>
        <v>-</v>
      </c>
      <c r="BE16" s="2118"/>
      <c r="BF16" s="2171" t="b">
        <f t="shared" ref="BF16:BF43" si="38">IF(ISNA(VLOOKUP(J16,$BI$20:$BI$23,1,0)),IF(J16=$BI$25,OR(I16="{255221} Дебиторская задолженность",I16="{255222} Авансы полученные"),TRUE),OR(I16="{255221} Дебиторская задолженность",I16="{255222} Авансы полученные"))</f>
        <v>1</v>
      </c>
      <c r="BG16" s="2171" t="b">
        <f t="shared" ref="BG16:BG48" si="39">IF(IFERROR(VLOOKUP($AJ16,_606276_контр_,1,FALSE),FALSE)=FALSE,IF($AJ16="",TRUE,FALSE),TRUE)</f>
        <v>1</v>
      </c>
      <c r="BH16" s="2166" t="s">
        <v>1772</v>
      </c>
      <c r="BI16" s="2166" t="s">
        <v>3040</v>
      </c>
      <c r="BJ16" s="1569">
        <f t="shared" ref="BJ16:BJ43" si="40">IF(OR(IF(TEXT(LEFT(E16,1),"0")="0",TRUE,FALSE),ISERROR(E16*1)),E16,E16*1)</f>
        <v>0</v>
      </c>
      <c r="BK16" s="2171" t="b">
        <f>IF(AC16&lt;0,TRUE,IF(OR(AND(AI16&lt;0,P16&gt;0),NOT(COUNTBLANK(AD16:AG16)=4)),TRUE,IF(OR(BJ16="Гос.контракты",BJ16="Внешние контрагенты",BJ16="Физические лица",BJ16="НДС с авансов",BJ16="НДС по налоговому агенту"),TRUE,IF(ISBLANK(BJ16),TRUE,IF(ISNA(VLOOKUP(BJ16,Список_компаний!$B$3:$I$289,1,0)),TRUE,IF(OR(BJ16=7704765961,BJ16=3801085668,BJ16=7706729140,BJ16=1402048660,BJ16=5256065824,BJ16=7701927935,BJ16=7451382644,BJ16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16,Список_компаний!$B$3:$I$289,8,0)="Да",VLOOKUP(BJ16,Список_компаний!$B$3:$I$289,7,0)=""),TRUE,IF(AND(VLOOKUP(BJ16,Список_компаний!$B$3:$I$289,8,0)="Да",VLOOKUP(BJ16,Список_компаний!$B$3:$I$289,7,0)="Да"),FALSE,FALSE)),FALSE))))))))</f>
        <v>1</v>
      </c>
      <c r="BL16" s="2171" t="b">
        <f>IF(AC16&lt;0,TRUE,IF(OR(AND(AI16&lt;0,P16&gt;0),NOT(COUNTBLANK(AD16:AG16)=4)),TRUE,IF(OR(F16=10011,F16=10015,F16=10000,F16=10018,F16=10020,F16=10019,F16=567019,F16=10016),TRUE,IF(ISNA(VLOOKUP(F16,Список_компаний!$C$3:$I$289,1,0)),TRUE,IF(OR(F16=362,F16=122,F16=337,F16=330,F16=203,F16=204687,F16=402234,F16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16,Список_компаний!$C$3:$I$289,7,0)="Да",VLOOKUP(F16,Список_компаний!$C$3:$I$289,6,0)=""),TRUE,IF(AND(VLOOKUP(F16,Список_компаний!$C$3:$I$289,7,0)="Да",VLOOKUP(F16,Список_компаний!$C$3:$I$289,6,0)="Да"),FALSE,FALSE)),FALSE)))))))</f>
        <v>1</v>
      </c>
      <c r="BM16" s="2171" t="b">
        <f t="shared" si="27"/>
        <v>1</v>
      </c>
      <c r="BN16" s="2171" t="b">
        <f t="shared" si="28"/>
        <v>1</v>
      </c>
      <c r="BO16" s="2171" t="b">
        <f t="shared" ref="BO16:BO43" si="41">IF(OR(AD16&lt;0,AE16&lt;0),FALSE,IF(AG16&gt;0,FALSE,TRUE))</f>
        <v>1</v>
      </c>
      <c r="BP16" s="2171" t="b">
        <f t="shared" ref="BP16:BP43" si="42">IF(AI16&lt;0,IF(OR(P16="0",P16=0,P16="",I16="{255211} Кредиторская задолженность",I16="{255222} Авансы полученные"),FALSE,TRUE),TRUE)</f>
        <v>1</v>
      </c>
      <c r="BQ16" s="2171" t="b">
        <f t="shared" ref="BQ16:BQ48" si="43">IF(IFERROR(VLOOKUP($J16,_Проверка_,1,FALSE),FALSE)=FALSE,IF($J16="",TRUE,FALSE),TRUE)</f>
        <v>1</v>
      </c>
      <c r="BR16" s="2171" t="b">
        <f t="shared" ref="BR16:BR43" si="44">IF(D16&lt;&gt;0,IF(OR(M16="0",M16=0,M16="",M16="-"),FALSE,TRUE),TRUE)</f>
        <v>1</v>
      </c>
      <c r="BS16" s="2171" t="b">
        <f t="shared" ref="BS16:BS45" si="45">IF(AND(I16="",J16="",K16=""),TRUE,IF(AND(COUNTIF(I16,"*255212*"),OR(COUNTIF(J16,"*251011*"),COUNTIF(J16,"*251013*"),COUNTIF(J16,"*251015*"))),K16&lt;&gt;"не требуется",K16="не требуется"))</f>
        <v>1</v>
      </c>
      <c r="BT16" s="2171" t="b">
        <f t="shared" si="29"/>
        <v>1</v>
      </c>
      <c r="BU16" s="2171" t="str">
        <f>IF(Содержание!$D$12="","ИСТИНА",IF(VLOOKUP(Содержание!$D$12,Справочник!$BZ$4:$CA$173,2,0)=O16,AH16="",TRUE))</f>
        <v>ИСТИНА</v>
      </c>
      <c r="BV16" s="2171" t="b">
        <f>LEFT(H16,10)&lt;=LEFT(Содержание!$D$14,10)</f>
        <v>1</v>
      </c>
      <c r="BX16" s="1569" t="str">
        <f>IFERROR(VLOOKUP(G16,Долгосроч_договоры!D:D,1,0),"нет")</f>
        <v>нет</v>
      </c>
      <c r="BY16" s="1569" t="str">
        <f>IF(I16="{255212} Авансы выданные","да",IF(AND(I16="{255222} Авансы полученные",IFERROR(VLOOKUP(G16,Долгосроч_договоры!D:D,1,0),"нет")&lt;&gt;"нет"),"да","нет"))</f>
        <v>нет</v>
      </c>
      <c r="BZ16" s="2168" t="b">
        <f t="shared" ref="BZ16:BZ48" ca="1" si="46">IF(ISBLANK(H16),TRUE,IF(CELL("формат",H16)="D1",AND(LEN(TEXT(H16,"ДД.мм.ГГГГ"))=10,NOT(ISERR(SEARCH("??.??.????",TEXT(H16,"ДД.мм.ГГГГ"))))),AND(NOT(ISERROR(DATEVALUE(H16))),LEN(H16)=10,NOT(ISERR(SEARCH("??.??.????",TEXT(H16,"ДД.мм.ГГГГ")))))))</f>
        <v>1</v>
      </c>
      <c r="CA16" s="2168" t="b">
        <f t="shared" ref="CA16:CA48" ca="1" si="47">IF(I16="{255222} Авансы полученные",TRUE,IF(ISBLANK(L16),TRUE,IF(CELL("формат",L16)="D1",AND(LEN(TEXT(L16,"ДД.мм.ГГГГ"))=10,NOT(ISERR(SEARCH("??.??.????",TEXT(L16,"ДД.мм.ГГГГ"))))),AND(NOT(ISERROR(DATEVALUE(L16))),LEN(L16)=10,NOT(ISERR(SEARCH("??.??.????",TEXT(L16,"ДД.мм.ГГГГ"))))))))</f>
        <v>1</v>
      </c>
      <c r="CB16" s="2168" t="b">
        <f t="shared" ref="CB16:CB48" ca="1" si="48">IF(ISBLANK(M16),TRUE,IF(CELL("формат",M16)="D1",AND(LEN(TEXT(M16,"ДД.мм.ГГГГ"))=10,NOT(ISERR(SEARCH("??.??.????",TEXT(M16,"ДД.мм.ГГГГ"))))),AND(NOT(ISERROR(DATEVALUE(M16))),LEN(M16)=10,NOT(ISERR(SEARCH("??.??.????",TEXT(M16,"ДД.мм.ГГГГ")))))))</f>
        <v>1</v>
      </c>
      <c r="CC16" s="3426" t="str">
        <f t="shared" ref="CC16:CC47" ca="1" si="49">IF(C16=60,IF(IFERROR(VLOOKUP(I16,INDIRECT($CC$7),1,FALSE),FALSE)=FALSE,IF(I16="","",FALSE),""),IF(C16=62,IF(IFERROR(VLOOKUP(I16,INDIRECT($CD$7),1,FALSE),FALSE)=FALSE,IF(I16="","",FALSE),""),IF(C16=76,IF(IFERROR(VLOOKUP(I16,INDIRECT($CE$7),1,FALSE),FALSE)=FALSE,IF(I16="","",FALSE),""),"-")))</f>
        <v>-</v>
      </c>
      <c r="CG16" s="2168" t="b">
        <f t="shared" ref="CG16:CG48" si="50">IF(COUNTIF(G16,"*№*")=1,FALSE,IF(COUNTIF(G16,"*договор*")=1,FALSE,IF(COUNTIF(G16,"*контракт*")=1,FALSE,TRUE)))</f>
        <v>1</v>
      </c>
    </row>
    <row r="17" spans="1:85">
      <c r="A17" s="556" t="str">
        <f t="shared" si="30"/>
        <v>R2=;R42=;R55=;R7=;R1=;R26=;R16=;R30=;R49=;R4=;R57=;R46=;R36=;R43=;COM=</v>
      </c>
      <c r="C17" s="1071"/>
      <c r="D17" s="2269"/>
      <c r="E17" s="2269"/>
      <c r="F17" s="1001"/>
      <c r="G17" s="2269"/>
      <c r="H17" s="2270"/>
      <c r="I17" s="2269"/>
      <c r="J17" s="2269"/>
      <c r="K17" s="2269"/>
      <c r="L17" s="2270"/>
      <c r="M17" s="2270"/>
      <c r="N17" s="2270"/>
      <c r="O17" s="1001"/>
      <c r="P17" s="1113"/>
      <c r="Q17" s="1289">
        <f t="shared" ref="Q17:Q18" si="51">IF($P$4-M17&lt;=0,P17,0)</f>
        <v>0</v>
      </c>
      <c r="R17" s="1289">
        <f t="shared" ref="R17:R47" si="52">IF(AND($P$4-M17&gt;0,$P$4-M17&lt;=90),P17,0)</f>
        <v>0</v>
      </c>
      <c r="S17" s="1289">
        <f t="shared" ref="S17:S47" si="53">IF(AND($P$4-M17&gt;=91,$P$4-M17&lt;=183),P17,0)</f>
        <v>0</v>
      </c>
      <c r="T17" s="1289">
        <f t="shared" ref="T17:T47" si="54">IF(AND($P$4-M17&gt;=184,$P$4-M17&lt;=365),P17,0)</f>
        <v>0</v>
      </c>
      <c r="U17" s="1289">
        <f t="shared" ref="U17:U47" si="55">IF($P$4-M17&gt;365,P17,0)</f>
        <v>0</v>
      </c>
      <c r="V17" s="1113"/>
      <c r="W17" s="1289">
        <f t="shared" si="31"/>
        <v>0</v>
      </c>
      <c r="X17" s="1289">
        <f t="shared" si="32"/>
        <v>0</v>
      </c>
      <c r="Y17" s="1289">
        <f t="shared" si="13"/>
        <v>0</v>
      </c>
      <c r="Z17" s="1289">
        <f t="shared" si="14"/>
        <v>0</v>
      </c>
      <c r="AA17" s="1289">
        <f t="shared" si="15"/>
        <v>0</v>
      </c>
      <c r="AB17" s="1289">
        <f t="shared" si="33"/>
        <v>0</v>
      </c>
      <c r="AC17" s="897"/>
      <c r="AD17" s="897"/>
      <c r="AE17" s="897"/>
      <c r="AF17" s="897"/>
      <c r="AG17" s="897"/>
      <c r="AH17" s="897"/>
      <c r="AI17" s="2827">
        <f t="shared" si="16"/>
        <v>0</v>
      </c>
      <c r="AJ17" s="2269"/>
      <c r="AK17" s="2269"/>
      <c r="AL17" s="3560" t="b">
        <f t="shared" si="17"/>
        <v>1</v>
      </c>
      <c r="AM17" s="3560" t="b">
        <f t="shared" si="18"/>
        <v>1</v>
      </c>
      <c r="AN17" s="2551" t="b">
        <f t="shared" si="19"/>
        <v>1</v>
      </c>
      <c r="AO17" s="2166" t="s">
        <v>3095</v>
      </c>
      <c r="AP17" s="2595" t="b">
        <f t="shared" si="20"/>
        <v>1</v>
      </c>
      <c r="AQ17" s="2168"/>
      <c r="AR17" s="2167" t="b">
        <f t="shared" si="21"/>
        <v>1</v>
      </c>
      <c r="AS17" s="3561" t="b">
        <f t="shared" si="34"/>
        <v>1</v>
      </c>
      <c r="AT17" s="2171" t="b">
        <f t="shared" si="22"/>
        <v>1</v>
      </c>
      <c r="AU17" s="2171" t="b">
        <f t="shared" si="23"/>
        <v>1</v>
      </c>
      <c r="AV17" s="2242" t="s">
        <v>7695</v>
      </c>
      <c r="AW17" s="2171" t="b">
        <f t="shared" si="35"/>
        <v>1</v>
      </c>
      <c r="AX17" s="2277" t="str">
        <f t="shared" si="24"/>
        <v/>
      </c>
      <c r="AY17" s="2278" t="str">
        <f t="shared" si="25"/>
        <v>-</v>
      </c>
      <c r="AZ17" s="2551" t="b">
        <f t="shared" si="36"/>
        <v>1</v>
      </c>
      <c r="BA17" s="2551" t="b">
        <f t="shared" si="26"/>
        <v>1</v>
      </c>
      <c r="BB17" s="2551" t="b">
        <f t="shared" si="37"/>
        <v>1</v>
      </c>
      <c r="BC17" s="1569" t="str">
        <f t="shared" ref="BC17:BC48" si="56">IF(OR($BJ17=3801085668,$BJ17=7704765961,$BJ17=7705762628,$BJ17=4714023642,$BJ17=1001169266,$BJ17=7422032148),"-",IF(ISNA(VLOOKUP($BJ17,_icompindex_,1,0)),"-",VLOOKUP($BJ17,_icompindex_,1,0)))</f>
        <v>-</v>
      </c>
      <c r="BF17" s="2171" t="b">
        <f>IF(ISNA(VLOOKUP(J17,$BI$20:$BI$23,1,0)),IF(J17=$BI$25,OR(I17="{255221} Дебиторская задолженность",I17="{255222} Авансы полученные"),TRUE),OR(I17="{255221} Дебиторская задолженность",I17="{255222} Авансы полученные"))</f>
        <v>1</v>
      </c>
      <c r="BG17" s="2171" t="b">
        <f t="shared" si="39"/>
        <v>1</v>
      </c>
      <c r="BH17" s="2166" t="s">
        <v>7523</v>
      </c>
      <c r="BI17" s="2166" t="s">
        <v>3042</v>
      </c>
      <c r="BJ17" s="1569">
        <f t="shared" si="40"/>
        <v>0</v>
      </c>
      <c r="BK17" s="2171" t="b">
        <f>IF(AC17&lt;0,TRUE,IF(OR(AND(AI17&lt;0,P17&gt;0),NOT(COUNTBLANK(AD17:AG17)=4)),TRUE,IF(OR(BJ17="Гос.контракты",BJ17="Внешние контрагенты",BJ17="Физические лица",BJ17="НДС с авансов",BJ17="НДС по налоговому агенту"),TRUE,IF(ISBLANK(BJ17),TRUE,IF(ISNA(VLOOKUP(BJ17,Список_компаний!$B$3:$I$289,1,0)),TRUE,IF(OR(BJ17=7704765961,BJ17=3801085668,BJ17=7706729140,BJ17=1402048660,BJ17=5256065824,BJ17=7701927935,BJ17=7451382644,BJ17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17,Список_компаний!$B$3:$I$289,8,0)="Да",VLOOKUP(BJ17,Список_компаний!$B$3:$I$289,7,0)=""),TRUE,IF(AND(VLOOKUP(BJ17,Список_компаний!$B$3:$I$289,8,0)="Да",VLOOKUP(BJ17,Список_компаний!$B$3:$I$289,7,0)="Да"),FALSE,FALSE)),FALSE))))))))</f>
        <v>1</v>
      </c>
      <c r="BL17" s="2171" t="b">
        <f>IF(AC17&lt;0,TRUE,IF(OR(AND(AI17&lt;0,P17&gt;0),NOT(COUNTBLANK(AD17:AG17)=4)),TRUE,IF(OR(F17=10011,F17=10015,F17=10000,F17=10018,F17=10020,F17=10019,F17=567019,F17=10016),TRUE,IF(ISNA(VLOOKUP(F17,Список_компаний!$C$3:$I$289,1,0)),TRUE,IF(OR(F17=362,F17=122,F17=337,F17=330,F17=203,F17=204687,F17=402234,F17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17,Список_компаний!$C$3:$I$289,7,0)="Да",VLOOKUP(F17,Список_компаний!$C$3:$I$289,6,0)=""),TRUE,IF(AND(VLOOKUP(F17,Список_компаний!$C$3:$I$289,7,0)="Да",VLOOKUP(F17,Список_компаний!$C$3:$I$289,6,0)="Да"),FALSE,FALSE)),FALSE)))))))</f>
        <v>1</v>
      </c>
      <c r="BM17" s="2171" t="b">
        <f t="shared" si="27"/>
        <v>1</v>
      </c>
      <c r="BN17" s="2171" t="b">
        <f t="shared" si="28"/>
        <v>1</v>
      </c>
      <c r="BO17" s="2171" t="b">
        <f t="shared" si="41"/>
        <v>1</v>
      </c>
      <c r="BP17" s="2171" t="b">
        <f t="shared" si="42"/>
        <v>1</v>
      </c>
      <c r="BQ17" s="2171" t="b">
        <f t="shared" si="43"/>
        <v>1</v>
      </c>
      <c r="BR17" s="2171" t="b">
        <f t="shared" si="44"/>
        <v>1</v>
      </c>
      <c r="BS17" s="2171" t="b">
        <f t="shared" si="45"/>
        <v>1</v>
      </c>
      <c r="BT17" s="2171" t="b">
        <f t="shared" si="29"/>
        <v>1</v>
      </c>
      <c r="BU17" s="2171" t="str">
        <f>IF(Содержание!$D$12="","ИСТИНА",IF(VLOOKUP(Содержание!$D$12,Справочник!$BZ$4:$CA$173,2,0)=O17,AH17="",TRUE))</f>
        <v>ИСТИНА</v>
      </c>
      <c r="BV17" s="2171" t="b">
        <f>LEFT(H17,10)&lt;=LEFT(Содержание!$D$14,10)</f>
        <v>1</v>
      </c>
      <c r="BX17" s="1569" t="str">
        <f>IFERROR(VLOOKUP(G17,Долгосроч_договоры!D:D,1,0),"нет")</f>
        <v>нет</v>
      </c>
      <c r="BY17" s="1569" t="str">
        <f>IF(I17="{255212} Авансы выданные","да",IF(AND(I17="{255222} Авансы полученные",IFERROR(VLOOKUP(G17,Долгосроч_договоры!D:D,1,0),"нет")&lt;&gt;"нет"),"да","нет"))</f>
        <v>нет</v>
      </c>
      <c r="BZ17" s="2168" t="b">
        <f t="shared" ca="1" si="46"/>
        <v>1</v>
      </c>
      <c r="CA17" s="2168" t="b">
        <f t="shared" ca="1" si="47"/>
        <v>1</v>
      </c>
      <c r="CB17" s="2168" t="b">
        <f t="shared" ca="1" si="48"/>
        <v>1</v>
      </c>
      <c r="CC17" s="3426" t="str">
        <f t="shared" ca="1" si="49"/>
        <v>-</v>
      </c>
      <c r="CG17" s="2168" t="b">
        <f t="shared" si="50"/>
        <v>1</v>
      </c>
    </row>
    <row r="18" spans="1:85" ht="15.75" customHeight="1">
      <c r="A18" s="556" t="str">
        <f t="shared" si="30"/>
        <v>R2=;R42=;R55=;R7=;R1=;R26=;R16=;R30=;R49=;R4=;R57=;R46=;R36=;R43=;COM=</v>
      </c>
      <c r="C18" s="1071"/>
      <c r="D18" s="2269"/>
      <c r="E18" s="2269"/>
      <c r="F18" s="1001"/>
      <c r="G18" s="2269"/>
      <c r="H18" s="2270"/>
      <c r="I18" s="2269"/>
      <c r="J18" s="2269"/>
      <c r="K18" s="2269"/>
      <c r="L18" s="2270"/>
      <c r="M18" s="2270"/>
      <c r="N18" s="2270"/>
      <c r="O18" s="1001"/>
      <c r="P18" s="1113"/>
      <c r="Q18" s="1289">
        <f t="shared" si="51"/>
        <v>0</v>
      </c>
      <c r="R18" s="1289">
        <f t="shared" si="52"/>
        <v>0</v>
      </c>
      <c r="S18" s="1289">
        <f t="shared" si="53"/>
        <v>0</v>
      </c>
      <c r="T18" s="1289">
        <f t="shared" si="54"/>
        <v>0</v>
      </c>
      <c r="U18" s="1289">
        <f t="shared" si="55"/>
        <v>0</v>
      </c>
      <c r="V18" s="1113"/>
      <c r="W18" s="1289">
        <f t="shared" si="31"/>
        <v>0</v>
      </c>
      <c r="X18" s="1289">
        <f t="shared" si="32"/>
        <v>0</v>
      </c>
      <c r="Y18" s="1289">
        <f t="shared" si="13"/>
        <v>0</v>
      </c>
      <c r="Z18" s="1289">
        <f t="shared" si="14"/>
        <v>0</v>
      </c>
      <c r="AA18" s="1289">
        <f t="shared" si="15"/>
        <v>0</v>
      </c>
      <c r="AB18" s="1289">
        <f t="shared" si="33"/>
        <v>0</v>
      </c>
      <c r="AC18" s="897"/>
      <c r="AD18" s="897"/>
      <c r="AE18" s="897"/>
      <c r="AF18" s="897"/>
      <c r="AG18" s="897"/>
      <c r="AH18" s="897"/>
      <c r="AI18" s="2827">
        <f t="shared" si="16"/>
        <v>0</v>
      </c>
      <c r="AJ18" s="2269"/>
      <c r="AK18" s="2269"/>
      <c r="AL18" s="3560" t="b">
        <f t="shared" si="17"/>
        <v>1</v>
      </c>
      <c r="AM18" s="3560" t="b">
        <f t="shared" si="18"/>
        <v>1</v>
      </c>
      <c r="AN18" s="2551" t="b">
        <f t="shared" si="19"/>
        <v>1</v>
      </c>
      <c r="AO18" s="2166" t="s">
        <v>3096</v>
      </c>
      <c r="AP18" s="2595" t="b">
        <f t="shared" si="20"/>
        <v>1</v>
      </c>
      <c r="AQ18" s="2168"/>
      <c r="AR18" s="2167" t="b">
        <f t="shared" si="21"/>
        <v>1</v>
      </c>
      <c r="AS18" s="3561" t="b">
        <f t="shared" si="34"/>
        <v>1</v>
      </c>
      <c r="AT18" s="2171" t="b">
        <f t="shared" si="22"/>
        <v>1</v>
      </c>
      <c r="AU18" s="2171" t="b">
        <f t="shared" si="23"/>
        <v>1</v>
      </c>
      <c r="AV18" s="2242" t="s">
        <v>7695</v>
      </c>
      <c r="AW18" s="2171" t="b">
        <f>IF(ISNA(VLOOKUP(J18,$BI$16:$BI$19,1,0)),TRUE,OR(I18="{255211} Кредиторская задолженность",I18="{255212} Авансы выданные"))</f>
        <v>1</v>
      </c>
      <c r="AX18" s="2277" t="str">
        <f t="shared" si="24"/>
        <v/>
      </c>
      <c r="AY18" s="2278" t="str">
        <f t="shared" si="25"/>
        <v>-</v>
      </c>
      <c r="AZ18" s="2551" t="b">
        <f t="shared" si="36"/>
        <v>1</v>
      </c>
      <c r="BA18" s="2551" t="b">
        <f t="shared" si="26"/>
        <v>1</v>
      </c>
      <c r="BB18" s="2551" t="b">
        <f t="shared" si="37"/>
        <v>1</v>
      </c>
      <c r="BC18" s="1569" t="str">
        <f t="shared" si="56"/>
        <v>-</v>
      </c>
      <c r="BF18" s="2171" t="b">
        <f t="shared" si="38"/>
        <v>1</v>
      </c>
      <c r="BG18" s="2171" t="b">
        <f t="shared" si="39"/>
        <v>1</v>
      </c>
      <c r="BH18" s="2166" t="s">
        <v>1773</v>
      </c>
      <c r="BI18" s="2166" t="s">
        <v>260</v>
      </c>
      <c r="BJ18" s="1569">
        <f t="shared" si="40"/>
        <v>0</v>
      </c>
      <c r="BK18" s="2171" t="b">
        <f>IF(AC18&lt;0,TRUE,IF(OR(AND(AI18&lt;0,P18&gt;0),NOT(COUNTBLANK(AD18:AG18)=4)),TRUE,IF(OR(BJ18="Гос.контракты",BJ18="Внешние контрагенты",BJ18="Физические лица",BJ18="НДС с авансов",BJ18="НДС по налоговому агенту"),TRUE,IF(ISBLANK(BJ18),TRUE,IF(ISNA(VLOOKUP(BJ18,Список_компаний!$B$3:$I$289,1,0)),TRUE,IF(OR(BJ18=7704765961,BJ18=3801085668,BJ18=7706729140,BJ18=1402048660,BJ18=5256065824,BJ18=7701927935,BJ18=7451382644,BJ18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18,Список_компаний!$B$3:$I$289,8,0)="Да",VLOOKUP(BJ18,Список_компаний!$B$3:$I$289,7,0)=""),TRUE,IF(AND(VLOOKUP(BJ18,Список_компаний!$B$3:$I$289,8,0)="Да",VLOOKUP(BJ18,Список_компаний!$B$3:$I$289,7,0)="Да"),FALSE,FALSE)),FALSE))))))))</f>
        <v>1</v>
      </c>
      <c r="BL18" s="2171" t="b">
        <f>IF(AC18&lt;0,TRUE,IF(OR(AND(AI18&lt;0,P18&gt;0),NOT(COUNTBLANK(AD18:AG18)=4)),TRUE,IF(OR(F18=10011,F18=10015,F18=10000,F18=10018,F18=10020,F18=10019,F18=567019,F18=10016),TRUE,IF(ISNA(VLOOKUP(F18,Список_компаний!$C$3:$I$289,1,0)),TRUE,IF(OR(F18=362,F18=122,F18=337,F18=330,F18=203,F18=204687,F18=402234,F18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18,Список_компаний!$C$3:$I$289,7,0)="Да",VLOOKUP(F18,Список_компаний!$C$3:$I$289,6,0)=""),TRUE,IF(AND(VLOOKUP(F18,Список_компаний!$C$3:$I$289,7,0)="Да",VLOOKUP(F18,Список_компаний!$C$3:$I$289,6,0)="Да"),FALSE,FALSE)),FALSE)))))))</f>
        <v>1</v>
      </c>
      <c r="BM18" s="2171" t="b">
        <f t="shared" si="27"/>
        <v>1</v>
      </c>
      <c r="BN18" s="2171" t="b">
        <f t="shared" si="28"/>
        <v>1</v>
      </c>
      <c r="BO18" s="2171" t="b">
        <f t="shared" si="41"/>
        <v>1</v>
      </c>
      <c r="BP18" s="2171" t="b">
        <f t="shared" si="42"/>
        <v>1</v>
      </c>
      <c r="BQ18" s="2171" t="b">
        <f t="shared" si="43"/>
        <v>1</v>
      </c>
      <c r="BR18" s="2171" t="b">
        <f t="shared" si="44"/>
        <v>1</v>
      </c>
      <c r="BS18" s="2171" t="b">
        <f t="shared" si="45"/>
        <v>1</v>
      </c>
      <c r="BT18" s="2171" t="b">
        <f t="shared" si="29"/>
        <v>1</v>
      </c>
      <c r="BU18" s="2171" t="str">
        <f>IF(Содержание!$D$12="","ИСТИНА",IF(VLOOKUP(Содержание!$D$12,Справочник!$BZ$4:$CA$173,2,0)=O18,AH18="",TRUE))</f>
        <v>ИСТИНА</v>
      </c>
      <c r="BV18" s="2171" t="b">
        <f>LEFT(H18,10)&lt;=LEFT(Содержание!$D$14,10)</f>
        <v>1</v>
      </c>
      <c r="BX18" s="1569" t="str">
        <f>IFERROR(VLOOKUP(G18,Долгосроч_договоры!D:D,1,0),"нет")</f>
        <v>нет</v>
      </c>
      <c r="BY18" s="1569" t="str">
        <f>IF(I18="{255212} Авансы выданные","да",IF(AND(I18="{255222} Авансы полученные",IFERROR(VLOOKUP(G18,Долгосроч_договоры!D:D,1,0),"нет")&lt;&gt;"нет"),"да","нет"))</f>
        <v>нет</v>
      </c>
      <c r="BZ18" s="2168" t="b">
        <f t="shared" ca="1" si="46"/>
        <v>1</v>
      </c>
      <c r="CA18" s="2168" t="b">
        <f t="shared" ca="1" si="47"/>
        <v>1</v>
      </c>
      <c r="CB18" s="2168" t="b">
        <f t="shared" ca="1" si="48"/>
        <v>1</v>
      </c>
      <c r="CC18" s="3426" t="str">
        <f t="shared" ca="1" si="49"/>
        <v>-</v>
      </c>
      <c r="CG18" s="2168" t="b">
        <f t="shared" si="50"/>
        <v>1</v>
      </c>
    </row>
    <row r="19" spans="1:85" ht="15.75" customHeight="1">
      <c r="A19" s="556" t="str">
        <f t="shared" si="30"/>
        <v>R2=;R42=;R55=;R7=;R1=;R26=;R16=;R30=;R49=;R4=;R57=;R46=;R36=;R43=;COM=</v>
      </c>
      <c r="C19" s="1071"/>
      <c r="D19" s="2269"/>
      <c r="E19" s="1001"/>
      <c r="F19" s="1001"/>
      <c r="G19" s="2269"/>
      <c r="H19" s="2270"/>
      <c r="I19" s="2269"/>
      <c r="J19" s="2269"/>
      <c r="K19" s="2269"/>
      <c r="L19" s="2270"/>
      <c r="M19" s="2270"/>
      <c r="N19" s="2270"/>
      <c r="O19" s="1001"/>
      <c r="P19" s="1113"/>
      <c r="Q19" s="1289">
        <f t="shared" ref="Q19:Q43" si="57">IF($P$4-M19&lt;=0,P19,0)</f>
        <v>0</v>
      </c>
      <c r="R19" s="1289">
        <f t="shared" si="52"/>
        <v>0</v>
      </c>
      <c r="S19" s="1289">
        <f t="shared" si="53"/>
        <v>0</v>
      </c>
      <c r="T19" s="1289">
        <f t="shared" si="54"/>
        <v>0</v>
      </c>
      <c r="U19" s="1289">
        <f t="shared" si="55"/>
        <v>0</v>
      </c>
      <c r="V19" s="1113"/>
      <c r="W19" s="1289">
        <f t="shared" si="31"/>
        <v>0</v>
      </c>
      <c r="X19" s="1289">
        <f t="shared" ref="X19:X43" si="58">IF(($X$4-M19)+1&gt;0,V19,0)-W19</f>
        <v>0</v>
      </c>
      <c r="Y19" s="1289">
        <f t="shared" ref="Y19:Y43" si="59">IF(($Y$4-M19)+1&gt;0,V19,0)-SUM(W19:X19)</f>
        <v>0</v>
      </c>
      <c r="Z19" s="1289">
        <f t="shared" ref="Z19:Z43" si="60">IF(($Z$4-M19)+1&gt;0,V19,0)-SUM(W19:Y19)</f>
        <v>0</v>
      </c>
      <c r="AA19" s="1289">
        <f t="shared" ref="AA19:AA43" si="61">IF(($AA$4-M19)+1&gt;0,V19,0)-SUM(W19:Z19)</f>
        <v>0</v>
      </c>
      <c r="AB19" s="1289">
        <f t="shared" ref="AB19:AB43" si="62">V19-SUM(W19:AA19)</f>
        <v>0</v>
      </c>
      <c r="AC19" s="897"/>
      <c r="AD19" s="897"/>
      <c r="AE19" s="897"/>
      <c r="AF19" s="897"/>
      <c r="AG19" s="897"/>
      <c r="AH19" s="897"/>
      <c r="AI19" s="2827">
        <f t="shared" si="16"/>
        <v>0</v>
      </c>
      <c r="AJ19" s="2722"/>
      <c r="AK19" s="2722"/>
      <c r="AL19" s="3560" t="b">
        <f t="shared" si="17"/>
        <v>1</v>
      </c>
      <c r="AM19" s="3560" t="b">
        <f t="shared" si="18"/>
        <v>1</v>
      </c>
      <c r="AN19" s="2551" t="b">
        <f t="shared" si="19"/>
        <v>1</v>
      </c>
      <c r="AO19" s="2166"/>
      <c r="AP19" s="2595" t="b">
        <f t="shared" si="20"/>
        <v>1</v>
      </c>
      <c r="AQ19" s="2168"/>
      <c r="AR19" s="2167" t="b">
        <f t="shared" si="21"/>
        <v>1</v>
      </c>
      <c r="AS19" s="3561" t="b">
        <f t="shared" si="34"/>
        <v>1</v>
      </c>
      <c r="AT19" s="2171" t="b">
        <f t="shared" si="22"/>
        <v>1</v>
      </c>
      <c r="AU19" s="2171" t="b">
        <f t="shared" si="23"/>
        <v>1</v>
      </c>
      <c r="AV19" s="2242" t="s">
        <v>7695</v>
      </c>
      <c r="AW19" s="2171" t="b">
        <f>IF(ISNA(VLOOKUP(J19,$BI$16:$BI$19,1,0)),TRUE,OR(I19="{255211} Кредиторская задолженность",I19="{255212} Авансы выданные"))</f>
        <v>1</v>
      </c>
      <c r="AX19" s="2277" t="str">
        <f t="shared" si="24"/>
        <v/>
      </c>
      <c r="AY19" s="2278" t="str">
        <f t="shared" si="25"/>
        <v>-</v>
      </c>
      <c r="AZ19" s="2551" t="b">
        <f t="shared" si="36"/>
        <v>1</v>
      </c>
      <c r="BA19" s="2551" t="b">
        <f t="shared" si="26"/>
        <v>1</v>
      </c>
      <c r="BB19" s="2551" t="b">
        <f t="shared" si="37"/>
        <v>1</v>
      </c>
      <c r="BC19" s="1569" t="str">
        <f t="shared" si="56"/>
        <v>-</v>
      </c>
      <c r="BF19" s="2171" t="b">
        <f t="shared" si="38"/>
        <v>1</v>
      </c>
      <c r="BG19" s="2171" t="b">
        <f>IF(IFERROR(VLOOKUP($AJ19,_606276_контр_,1,FALSE),FALSE)=FALSE,IF($AJ19="",TRUE,FALSE),TRUE)</f>
        <v>1</v>
      </c>
      <c r="BH19" s="2166" t="s">
        <v>1774</v>
      </c>
      <c r="BI19" s="2166"/>
      <c r="BJ19" s="1569">
        <f t="shared" si="40"/>
        <v>0</v>
      </c>
      <c r="BK19" s="2171" t="b">
        <f>IF(AC19&lt;0,TRUE,IF(OR(AND(AI19&lt;0,P19&gt;0),NOT(COUNTBLANK(AD19:AG19)=4)),TRUE,IF(OR(BJ19="Гос.контракты",BJ19="Внешние контрагенты",BJ19="Физические лица",BJ19="НДС с авансов",BJ19="НДС по налоговому агенту"),TRUE,IF(ISBLANK(BJ19),TRUE,IF(ISNA(VLOOKUP(BJ19,Список_компаний!$B$3:$I$289,1,0)),TRUE,IF(OR(BJ19=7704765961,BJ19=3801085668,BJ19=7706729140,BJ19=1402048660,BJ19=5256065824,BJ19=7701927935,BJ19=7451382644,BJ19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19,Список_компаний!$B$3:$I$289,8,0)="Да",VLOOKUP(BJ19,Список_компаний!$B$3:$I$289,7,0)=""),TRUE,IF(AND(VLOOKUP(BJ19,Список_компаний!$B$3:$I$289,8,0)="Да",VLOOKUP(BJ19,Список_компаний!$B$3:$I$289,7,0)="Да"),FALSE,FALSE)),FALSE))))))))</f>
        <v>1</v>
      </c>
      <c r="BL19" s="2171" t="b">
        <f>IF(AC19&lt;0,TRUE,IF(OR(AND(AI19&lt;0,P19&gt;0),NOT(COUNTBLANK(AD19:AG19)=4)),TRUE,IF(OR(F19=10011,F19=10015,F19=10000,F19=10018,F19=10020,F19=10019,F19=567019,F19=10016),TRUE,IF(ISNA(VLOOKUP(F19,Список_компаний!$C$3:$I$289,1,0)),TRUE,IF(OR(F19=362,F19=122,F19=337,F19=330,F19=203,F19=204687,F19=402234,F19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19,Список_компаний!$C$3:$I$289,7,0)="Да",VLOOKUP(F19,Список_компаний!$C$3:$I$289,6,0)=""),TRUE,IF(AND(VLOOKUP(F19,Список_компаний!$C$3:$I$289,7,0)="Да",VLOOKUP(F19,Список_компаний!$C$3:$I$289,6,0)="Да"),FALSE,FALSE)),FALSE)))))))</f>
        <v>1</v>
      </c>
      <c r="BM19" s="2171" t="b">
        <f t="shared" si="27"/>
        <v>1</v>
      </c>
      <c r="BN19" s="2171" t="b">
        <f t="shared" si="28"/>
        <v>1</v>
      </c>
      <c r="BO19" s="2171" t="b">
        <f t="shared" si="41"/>
        <v>1</v>
      </c>
      <c r="BP19" s="2171" t="b">
        <f t="shared" si="42"/>
        <v>1</v>
      </c>
      <c r="BQ19" s="2171" t="b">
        <f t="shared" si="43"/>
        <v>1</v>
      </c>
      <c r="BR19" s="2171" t="b">
        <f t="shared" si="44"/>
        <v>1</v>
      </c>
      <c r="BS19" s="2171" t="b">
        <f t="shared" si="45"/>
        <v>1</v>
      </c>
      <c r="BT19" s="2171" t="b">
        <f t="shared" si="29"/>
        <v>1</v>
      </c>
      <c r="BU19" s="2171" t="str">
        <f>IF(Содержание!$D$12="","ИСТИНА",IF(VLOOKUP(Содержание!$D$12,Справочник!$BZ$4:$CA$173,2,0)=O19,AH19="",TRUE))</f>
        <v>ИСТИНА</v>
      </c>
      <c r="BV19" s="2171" t="b">
        <f>LEFT(H19,10)&lt;=LEFT(Содержание!$D$14,10)</f>
        <v>1</v>
      </c>
      <c r="BX19" s="1569" t="str">
        <f>IFERROR(VLOOKUP(G19,Долгосроч_договоры!D:D,1,0),"нет")</f>
        <v>нет</v>
      </c>
      <c r="BY19" s="1569" t="str">
        <f>IF(I19="{255212} Авансы выданные","да",IF(AND(I19="{255222} Авансы полученные",IFERROR(VLOOKUP(G19,Долгосроч_договоры!D:D,1,0),"нет")&lt;&gt;"нет"),"да","нет"))</f>
        <v>нет</v>
      </c>
      <c r="BZ19" s="2168" t="b">
        <f t="shared" ca="1" si="46"/>
        <v>1</v>
      </c>
      <c r="CA19" s="2168" t="b">
        <f t="shared" ca="1" si="47"/>
        <v>1</v>
      </c>
      <c r="CB19" s="2168" t="b">
        <f t="shared" ca="1" si="48"/>
        <v>1</v>
      </c>
      <c r="CC19" s="3426" t="str">
        <f t="shared" ca="1" si="49"/>
        <v>-</v>
      </c>
      <c r="CG19" s="2168" t="b">
        <f t="shared" si="50"/>
        <v>1</v>
      </c>
    </row>
    <row r="20" spans="1:85" ht="16.5" customHeight="1">
      <c r="A20" s="556" t="str">
        <f t="shared" si="30"/>
        <v>R2=;R42=;R55=;R7=;R1=;R26=;R16=;R30=;R49=;R4=;R57=;R46=;R36=;R43=;COM=</v>
      </c>
      <c r="C20" s="1071"/>
      <c r="D20" s="2269"/>
      <c r="E20" s="1001"/>
      <c r="F20" s="1001"/>
      <c r="G20" s="2269"/>
      <c r="H20" s="2270"/>
      <c r="I20" s="2269"/>
      <c r="J20" s="2269"/>
      <c r="K20" s="2269"/>
      <c r="L20" s="2270"/>
      <c r="M20" s="2270"/>
      <c r="N20" s="2270"/>
      <c r="O20" s="1001"/>
      <c r="P20" s="1113"/>
      <c r="Q20" s="1289">
        <f t="shared" si="57"/>
        <v>0</v>
      </c>
      <c r="R20" s="1289">
        <f t="shared" si="52"/>
        <v>0</v>
      </c>
      <c r="S20" s="1289">
        <f t="shared" si="53"/>
        <v>0</v>
      </c>
      <c r="T20" s="1289">
        <f t="shared" si="54"/>
        <v>0</v>
      </c>
      <c r="U20" s="1289">
        <f t="shared" si="55"/>
        <v>0</v>
      </c>
      <c r="V20" s="1113"/>
      <c r="W20" s="1289">
        <f t="shared" si="31"/>
        <v>0</v>
      </c>
      <c r="X20" s="1289">
        <f t="shared" si="58"/>
        <v>0</v>
      </c>
      <c r="Y20" s="1289">
        <f t="shared" si="59"/>
        <v>0</v>
      </c>
      <c r="Z20" s="1289">
        <f t="shared" si="60"/>
        <v>0</v>
      </c>
      <c r="AA20" s="1289">
        <f t="shared" si="61"/>
        <v>0</v>
      </c>
      <c r="AB20" s="1289">
        <f t="shared" si="62"/>
        <v>0</v>
      </c>
      <c r="AC20" s="897"/>
      <c r="AD20" s="897"/>
      <c r="AE20" s="897"/>
      <c r="AF20" s="897"/>
      <c r="AG20" s="897"/>
      <c r="AH20" s="897"/>
      <c r="AI20" s="2827">
        <f t="shared" si="16"/>
        <v>0</v>
      </c>
      <c r="AJ20" s="2269"/>
      <c r="AK20" s="2269"/>
      <c r="AL20" s="3560" t="b">
        <f t="shared" si="17"/>
        <v>1</v>
      </c>
      <c r="AM20" s="3560" t="b">
        <f t="shared" si="18"/>
        <v>1</v>
      </c>
      <c r="AN20" s="2551" t="b">
        <f t="shared" si="19"/>
        <v>1</v>
      </c>
      <c r="AO20" s="2166" t="s">
        <v>3074</v>
      </c>
      <c r="AP20" s="2595" t="b">
        <f t="shared" si="20"/>
        <v>1</v>
      </c>
      <c r="AQ20" s="2168"/>
      <c r="AR20" s="2167" t="b">
        <f t="shared" si="21"/>
        <v>1</v>
      </c>
      <c r="AS20" s="3561" t="b">
        <f t="shared" si="34"/>
        <v>1</v>
      </c>
      <c r="AT20" s="2171" t="b">
        <f t="shared" si="22"/>
        <v>1</v>
      </c>
      <c r="AU20" s="2171" t="b">
        <f t="shared" si="23"/>
        <v>1</v>
      </c>
      <c r="AV20" s="2242" t="s">
        <v>7695</v>
      </c>
      <c r="AW20" s="2171" t="b">
        <f t="shared" si="35"/>
        <v>1</v>
      </c>
      <c r="AX20" s="2277" t="str">
        <f t="shared" si="24"/>
        <v/>
      </c>
      <c r="AY20" s="2278" t="str">
        <f t="shared" si="25"/>
        <v>-</v>
      </c>
      <c r="AZ20" s="2551" t="b">
        <f t="shared" si="36"/>
        <v>1</v>
      </c>
      <c r="BA20" s="2551" t="b">
        <f t="shared" si="26"/>
        <v>1</v>
      </c>
      <c r="BB20" s="2551" t="b">
        <f t="shared" si="37"/>
        <v>1</v>
      </c>
      <c r="BC20" s="1569" t="str">
        <f t="shared" si="56"/>
        <v>-</v>
      </c>
      <c r="BF20" s="2171" t="b">
        <f>IF(ISNA(VLOOKUP(J20,$BI$20:$BI$23,1,0)),IF(J20=$BI$25,OR(I20="{255221} Дебиторская задолженность",I20="{255222} Авансы полученные"),TRUE),OR(I20="{255221} Дебиторская задолженность",I20="{255222} Авансы полученные"))</f>
        <v>1</v>
      </c>
      <c r="BG20" s="2171" t="b">
        <f t="shared" si="39"/>
        <v>1</v>
      </c>
      <c r="BH20" s="2166" t="s">
        <v>1775</v>
      </c>
      <c r="BI20" s="2166"/>
      <c r="BJ20" s="1569">
        <f t="shared" si="40"/>
        <v>0</v>
      </c>
      <c r="BK20" s="2171" t="b">
        <f>IF(AC20&lt;0,TRUE,IF(OR(AND(AI20&lt;0,P20&gt;0),NOT(COUNTBLANK(AD20:AG20)=4)),TRUE,IF(OR(BJ20="Гос.контракты",BJ20="Внешние контрагенты",BJ20="Физические лица",BJ20="НДС с авансов",BJ20="НДС по налоговому агенту"),TRUE,IF(ISBLANK(BJ20),TRUE,IF(ISNA(VLOOKUP(BJ20,Список_компаний!$B$3:$I$289,1,0)),TRUE,IF(OR(BJ20=7704765961,BJ20=3801085668,BJ20=7706729140,BJ20=1402048660,BJ20=5256065824,BJ20=7701927935,BJ20=7451382644,BJ20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20,Список_компаний!$B$3:$I$289,8,0)="Да",VLOOKUP(BJ20,Список_компаний!$B$3:$I$289,7,0)=""),TRUE,IF(AND(VLOOKUP(BJ20,Список_компаний!$B$3:$I$289,8,0)="Да",VLOOKUP(BJ20,Список_компаний!$B$3:$I$289,7,0)="Да"),FALSE,FALSE)),FALSE))))))))</f>
        <v>1</v>
      </c>
      <c r="BL20" s="2171" t="b">
        <f>IF(AC20&lt;0,TRUE,IF(OR(AND(AI20&lt;0,P20&gt;0),NOT(COUNTBLANK(AD20:AG20)=4)),TRUE,IF(OR(F20=10011,F20=10015,F20=10000,F20=10018,F20=10020,F20=10019,F20=567019,F20=10016),TRUE,IF(ISNA(VLOOKUP(F20,Список_компаний!$C$3:$I$289,1,0)),TRUE,IF(OR(F20=362,F20=122,F20=337,F20=330,F20=203,F20=204687,F20=402234,F20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20,Список_компаний!$C$3:$I$289,7,0)="Да",VLOOKUP(F20,Список_компаний!$C$3:$I$289,6,0)=""),TRUE,IF(AND(VLOOKUP(F20,Список_компаний!$C$3:$I$289,7,0)="Да",VLOOKUP(F20,Список_компаний!$C$3:$I$289,6,0)="Да"),FALSE,FALSE)),FALSE)))))))</f>
        <v>1</v>
      </c>
      <c r="BM20" s="2171" t="b">
        <f t="shared" si="27"/>
        <v>1</v>
      </c>
      <c r="BN20" s="2171" t="b">
        <f t="shared" si="28"/>
        <v>1</v>
      </c>
      <c r="BO20" s="2171" t="b">
        <f t="shared" si="41"/>
        <v>1</v>
      </c>
      <c r="BP20" s="2171" t="b">
        <f t="shared" si="42"/>
        <v>1</v>
      </c>
      <c r="BQ20" s="2171" t="b">
        <f t="shared" si="43"/>
        <v>1</v>
      </c>
      <c r="BR20" s="2171" t="b">
        <f t="shared" si="44"/>
        <v>1</v>
      </c>
      <c r="BS20" s="2171" t="b">
        <f t="shared" si="45"/>
        <v>1</v>
      </c>
      <c r="BT20" s="2171" t="b">
        <f t="shared" si="29"/>
        <v>1</v>
      </c>
      <c r="BU20" s="2171" t="str">
        <f>IF(Содержание!$D$12="","ИСТИНА",IF(VLOOKUP(Содержание!$D$12,Справочник!$BZ$4:$CA$173,2,0)=O20,AH20="",TRUE))</f>
        <v>ИСТИНА</v>
      </c>
      <c r="BV20" s="2171" t="b">
        <f>LEFT(H20,10)&lt;=LEFT(Содержание!$D$14,10)</f>
        <v>1</v>
      </c>
      <c r="BX20" s="1569" t="str">
        <f>IFERROR(VLOOKUP(G20,Долгосроч_договоры!D:D,1,0),"нет")</f>
        <v>нет</v>
      </c>
      <c r="BY20" s="1569" t="str">
        <f>IF(I20="{255212} Авансы выданные","да",IF(AND(I20="{255222} Авансы полученные",IFERROR(VLOOKUP(G20,Долгосроч_договоры!D:D,1,0),"нет")&lt;&gt;"нет"),"да","нет"))</f>
        <v>нет</v>
      </c>
      <c r="BZ20" s="2168" t="b">
        <f t="shared" ca="1" si="46"/>
        <v>1</v>
      </c>
      <c r="CA20" s="2168" t="b">
        <f t="shared" ca="1" si="47"/>
        <v>1</v>
      </c>
      <c r="CB20" s="2168" t="b">
        <f t="shared" ca="1" si="48"/>
        <v>1</v>
      </c>
      <c r="CC20" s="3426" t="str">
        <f t="shared" ca="1" si="49"/>
        <v>-</v>
      </c>
      <c r="CG20" s="2168" t="b">
        <f t="shared" si="50"/>
        <v>1</v>
      </c>
    </row>
    <row r="21" spans="1:85" ht="16.5" customHeight="1">
      <c r="A21" s="556" t="str">
        <f t="shared" si="30"/>
        <v>R2=;R42=;R55=;R7=;R1=;R26=;R16=;R30=;R49=;R4=;R57=;R46=;R36=;R43=;COM=</v>
      </c>
      <c r="C21" s="1071"/>
      <c r="D21" s="885"/>
      <c r="E21" s="1001"/>
      <c r="F21" s="1001"/>
      <c r="G21" s="885"/>
      <c r="H21" s="1288"/>
      <c r="I21" s="2269"/>
      <c r="J21" s="2269"/>
      <c r="K21" s="2269"/>
      <c r="L21" s="2270"/>
      <c r="M21" s="2270"/>
      <c r="N21" s="2270"/>
      <c r="O21" s="1001"/>
      <c r="P21" s="1113"/>
      <c r="Q21" s="1289">
        <f t="shared" si="57"/>
        <v>0</v>
      </c>
      <c r="R21" s="1289">
        <f t="shared" si="52"/>
        <v>0</v>
      </c>
      <c r="S21" s="1289">
        <f t="shared" si="53"/>
        <v>0</v>
      </c>
      <c r="T21" s="1289">
        <f t="shared" si="54"/>
        <v>0</v>
      </c>
      <c r="U21" s="1289">
        <f t="shared" si="55"/>
        <v>0</v>
      </c>
      <c r="V21" s="1113"/>
      <c r="W21" s="1289">
        <f t="shared" si="31"/>
        <v>0</v>
      </c>
      <c r="X21" s="1289">
        <f t="shared" si="58"/>
        <v>0</v>
      </c>
      <c r="Y21" s="1289">
        <f t="shared" si="59"/>
        <v>0</v>
      </c>
      <c r="Z21" s="1289">
        <f t="shared" si="60"/>
        <v>0</v>
      </c>
      <c r="AA21" s="1289">
        <f t="shared" si="61"/>
        <v>0</v>
      </c>
      <c r="AB21" s="1289">
        <f t="shared" si="62"/>
        <v>0</v>
      </c>
      <c r="AC21" s="897"/>
      <c r="AD21" s="897"/>
      <c r="AE21" s="897"/>
      <c r="AF21" s="897"/>
      <c r="AG21" s="897"/>
      <c r="AH21" s="897"/>
      <c r="AI21" s="2827">
        <f t="shared" si="16"/>
        <v>0</v>
      </c>
      <c r="AJ21" s="2269"/>
      <c r="AK21" s="2269"/>
      <c r="AL21" s="3560" t="b">
        <f t="shared" si="17"/>
        <v>1</v>
      </c>
      <c r="AM21" s="3560" t="b">
        <f t="shared" si="18"/>
        <v>1</v>
      </c>
      <c r="AN21" s="2551" t="b">
        <f t="shared" si="19"/>
        <v>1</v>
      </c>
      <c r="AO21" s="2166" t="s">
        <v>3073</v>
      </c>
      <c r="AP21" s="2595" t="b">
        <f t="shared" si="20"/>
        <v>1</v>
      </c>
      <c r="AQ21" s="2168"/>
      <c r="AR21" s="2167" t="b">
        <f t="shared" si="21"/>
        <v>1</v>
      </c>
      <c r="AS21" s="3561" t="b">
        <f t="shared" si="34"/>
        <v>1</v>
      </c>
      <c r="AT21" s="2171" t="b">
        <f t="shared" si="22"/>
        <v>1</v>
      </c>
      <c r="AU21" s="2171" t="b">
        <f t="shared" si="23"/>
        <v>1</v>
      </c>
      <c r="AV21" s="2242" t="s">
        <v>7695</v>
      </c>
      <c r="AW21" s="2171" t="b">
        <f t="shared" si="35"/>
        <v>1</v>
      </c>
      <c r="AX21" s="2277" t="str">
        <f t="shared" si="24"/>
        <v/>
      </c>
      <c r="AY21" s="2278" t="str">
        <f t="shared" si="25"/>
        <v>-</v>
      </c>
      <c r="AZ21" s="2551" t="b">
        <f t="shared" si="36"/>
        <v>1</v>
      </c>
      <c r="BA21" s="2551" t="b">
        <f t="shared" si="26"/>
        <v>1</v>
      </c>
      <c r="BB21" s="2551" t="b">
        <f t="shared" si="37"/>
        <v>1</v>
      </c>
      <c r="BC21" s="1569" t="str">
        <f t="shared" si="56"/>
        <v>-</v>
      </c>
      <c r="BF21" s="2171" t="b">
        <f t="shared" si="38"/>
        <v>1</v>
      </c>
      <c r="BG21" s="2171" t="b">
        <f t="shared" si="39"/>
        <v>1</v>
      </c>
      <c r="BH21" s="2166" t="s">
        <v>7524</v>
      </c>
      <c r="BI21" s="2166" t="s">
        <v>1765</v>
      </c>
      <c r="BJ21" s="1569">
        <f t="shared" si="40"/>
        <v>0</v>
      </c>
      <c r="BK21" s="2171" t="b">
        <f>IF(AC21&lt;0,TRUE,IF(OR(AND(AI21&lt;0,P21&gt;0),NOT(COUNTBLANK(AD21:AG21)=4)),TRUE,IF(OR(BJ21="Гос.контракты",BJ21="Внешние контрагенты",BJ21="Физические лица",BJ21="НДС с авансов",BJ21="НДС по налоговому агенту"),TRUE,IF(ISBLANK(BJ21),TRUE,IF(ISNA(VLOOKUP(BJ21,Список_компаний!$B$3:$I$289,1,0)),TRUE,IF(OR(BJ21=7704765961,BJ21=3801085668,BJ21=7706729140,BJ21=1402048660,BJ21=5256065824,BJ21=7701927935,BJ21=7451382644,BJ21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21,Список_компаний!$B$3:$I$289,8,0)="Да",VLOOKUP(BJ21,Список_компаний!$B$3:$I$289,7,0)=""),TRUE,IF(AND(VLOOKUP(BJ21,Список_компаний!$B$3:$I$289,8,0)="Да",VLOOKUP(BJ21,Список_компаний!$B$3:$I$289,7,0)="Да"),FALSE,FALSE)),FALSE))))))))</f>
        <v>1</v>
      </c>
      <c r="BL21" s="2171" t="b">
        <f>IF(AC21&lt;0,TRUE,IF(OR(AND(AI21&lt;0,P21&gt;0),NOT(COUNTBLANK(AD21:AG21)=4)),TRUE,IF(OR(F21=10011,F21=10015,F21=10000,F21=10018,F21=10020,F21=10019,F21=567019,F21=10016),TRUE,IF(ISNA(VLOOKUP(F21,Список_компаний!$C$3:$I$289,1,0)),TRUE,IF(OR(F21=362,F21=122,F21=337,F21=330,F21=203,F21=204687,F21=402234,F21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21,Список_компаний!$C$3:$I$289,7,0)="Да",VLOOKUP(F21,Список_компаний!$C$3:$I$289,6,0)=""),TRUE,IF(AND(VLOOKUP(F21,Список_компаний!$C$3:$I$289,7,0)="Да",VLOOKUP(F21,Список_компаний!$C$3:$I$289,6,0)="Да"),FALSE,FALSE)),FALSE)))))))</f>
        <v>1</v>
      </c>
      <c r="BM21" s="2171" t="b">
        <f t="shared" si="27"/>
        <v>1</v>
      </c>
      <c r="BN21" s="2171" t="b">
        <f t="shared" si="28"/>
        <v>1</v>
      </c>
      <c r="BO21" s="2171" t="b">
        <f t="shared" si="41"/>
        <v>1</v>
      </c>
      <c r="BP21" s="2171" t="b">
        <f t="shared" si="42"/>
        <v>1</v>
      </c>
      <c r="BQ21" s="2171" t="b">
        <f t="shared" si="43"/>
        <v>1</v>
      </c>
      <c r="BR21" s="2171" t="b">
        <f t="shared" si="44"/>
        <v>1</v>
      </c>
      <c r="BS21" s="2171" t="b">
        <f t="shared" si="45"/>
        <v>1</v>
      </c>
      <c r="BT21" s="2171" t="b">
        <f t="shared" si="29"/>
        <v>1</v>
      </c>
      <c r="BU21" s="2171" t="str">
        <f>IF(Содержание!$D$12="","ИСТИНА",IF(VLOOKUP(Содержание!$D$12,Справочник!$BZ$4:$CA$173,2,0)=O21,AH21="",TRUE))</f>
        <v>ИСТИНА</v>
      </c>
      <c r="BV21" s="2171" t="b">
        <f>LEFT(H21,10)&lt;=LEFT(Содержание!$D$14,10)</f>
        <v>1</v>
      </c>
      <c r="BX21" s="1569" t="str">
        <f>IFERROR(VLOOKUP(G21,Долгосроч_договоры!D:D,1,0),"нет")</f>
        <v>нет</v>
      </c>
      <c r="BY21" s="1569" t="str">
        <f>IF(I21="{255212} Авансы выданные","да",IF(AND(I21="{255222} Авансы полученные",IFERROR(VLOOKUP(G21,Долгосроч_договоры!D:D,1,0),"нет")&lt;&gt;"нет"),"да","нет"))</f>
        <v>нет</v>
      </c>
      <c r="BZ21" s="2168" t="b">
        <f t="shared" ca="1" si="46"/>
        <v>1</v>
      </c>
      <c r="CA21" s="2168" t="b">
        <f t="shared" ca="1" si="47"/>
        <v>1</v>
      </c>
      <c r="CB21" s="2168" t="b">
        <f t="shared" ca="1" si="48"/>
        <v>1</v>
      </c>
      <c r="CC21" s="3426" t="str">
        <f t="shared" ca="1" si="49"/>
        <v>-</v>
      </c>
      <c r="CG21" s="2168" t="b">
        <f t="shared" si="50"/>
        <v>1</v>
      </c>
    </row>
    <row r="22" spans="1:85" ht="16.5" customHeight="1">
      <c r="A22" s="556" t="str">
        <f t="shared" si="30"/>
        <v>R2=;R42=;R55=;R7=;R1=;R26=;R16=;R30=;R49=;R4=;R57=;R46=;R36=;R43=;COM=</v>
      </c>
      <c r="C22" s="1071"/>
      <c r="D22" s="885"/>
      <c r="E22" s="1001"/>
      <c r="F22" s="1001"/>
      <c r="G22" s="885"/>
      <c r="H22" s="1288"/>
      <c r="I22" s="2269"/>
      <c r="J22" s="2269"/>
      <c r="K22" s="2269"/>
      <c r="L22" s="2270"/>
      <c r="M22" s="2270"/>
      <c r="N22" s="2270"/>
      <c r="O22" s="1001"/>
      <c r="P22" s="1113"/>
      <c r="Q22" s="1289">
        <f t="shared" si="57"/>
        <v>0</v>
      </c>
      <c r="R22" s="1289">
        <f t="shared" si="52"/>
        <v>0</v>
      </c>
      <c r="S22" s="1289">
        <f t="shared" si="53"/>
        <v>0</v>
      </c>
      <c r="T22" s="1289">
        <f t="shared" si="54"/>
        <v>0</v>
      </c>
      <c r="U22" s="1289">
        <f t="shared" si="55"/>
        <v>0</v>
      </c>
      <c r="V22" s="1113"/>
      <c r="W22" s="1289">
        <f t="shared" si="31"/>
        <v>0</v>
      </c>
      <c r="X22" s="1289">
        <f t="shared" si="58"/>
        <v>0</v>
      </c>
      <c r="Y22" s="1289">
        <f t="shared" si="59"/>
        <v>0</v>
      </c>
      <c r="Z22" s="1289">
        <f t="shared" si="60"/>
        <v>0</v>
      </c>
      <c r="AA22" s="1289">
        <f t="shared" si="61"/>
        <v>0</v>
      </c>
      <c r="AB22" s="1289">
        <f t="shared" si="62"/>
        <v>0</v>
      </c>
      <c r="AC22" s="897"/>
      <c r="AD22" s="897"/>
      <c r="AE22" s="897"/>
      <c r="AF22" s="897"/>
      <c r="AG22" s="897"/>
      <c r="AH22" s="897"/>
      <c r="AI22" s="2827">
        <f t="shared" si="16"/>
        <v>0</v>
      </c>
      <c r="AJ22" s="2269"/>
      <c r="AK22" s="2269"/>
      <c r="AL22" s="3560" t="b">
        <f t="shared" si="17"/>
        <v>1</v>
      </c>
      <c r="AM22" s="3560" t="b">
        <f t="shared" si="18"/>
        <v>1</v>
      </c>
      <c r="AN22" s="2551" t="b">
        <f t="shared" si="19"/>
        <v>1</v>
      </c>
      <c r="AO22" s="1911" t="s">
        <v>14469</v>
      </c>
      <c r="AP22" s="2595" t="b">
        <f t="shared" si="20"/>
        <v>1</v>
      </c>
      <c r="AQ22" s="2168"/>
      <c r="AR22" s="2167" t="b">
        <f t="shared" si="21"/>
        <v>1</v>
      </c>
      <c r="AS22" s="3561" t="b">
        <f t="shared" si="34"/>
        <v>1</v>
      </c>
      <c r="AT22" s="2171" t="b">
        <f t="shared" si="22"/>
        <v>1</v>
      </c>
      <c r="AU22" s="2171" t="b">
        <f t="shared" si="23"/>
        <v>1</v>
      </c>
      <c r="AV22" s="2242" t="s">
        <v>7695</v>
      </c>
      <c r="AW22" s="2171" t="b">
        <f t="shared" si="35"/>
        <v>1</v>
      </c>
      <c r="AX22" s="2277" t="str">
        <f t="shared" si="24"/>
        <v/>
      </c>
      <c r="AY22" s="2278" t="str">
        <f t="shared" si="25"/>
        <v>-</v>
      </c>
      <c r="AZ22" s="2551" t="b">
        <f t="shared" si="36"/>
        <v>1</v>
      </c>
      <c r="BA22" s="2551" t="b">
        <f t="shared" si="26"/>
        <v>1</v>
      </c>
      <c r="BB22" s="2551" t="b">
        <f t="shared" si="37"/>
        <v>1</v>
      </c>
      <c r="BC22" s="1569" t="str">
        <f>IF(OR($BJ22=3801085668,$BJ22=7704765961,$BJ22=7705762628,$BJ22=4714023642,$BJ22=1001169266,$BJ22=7422032148),"-",IF(ISNA(VLOOKUP($BJ22,_icompindex_,1,0)),"-",VLOOKUP($BJ22,_icompindex_,1,0)))</f>
        <v>-</v>
      </c>
      <c r="BF22" s="2171" t="b">
        <f t="shared" si="38"/>
        <v>1</v>
      </c>
      <c r="BG22" s="2171" t="b">
        <f t="shared" si="39"/>
        <v>1</v>
      </c>
      <c r="BH22" s="2166" t="s">
        <v>1776</v>
      </c>
      <c r="BI22" s="2166" t="s">
        <v>1767</v>
      </c>
      <c r="BJ22" s="1569">
        <f t="shared" si="40"/>
        <v>0</v>
      </c>
      <c r="BK22" s="2171" t="b">
        <f>IF(AC22&lt;0,TRUE,IF(OR(AND(AI22&lt;0,P22&gt;0),NOT(COUNTBLANK(AD22:AG22)=4)),TRUE,IF(OR(BJ22="Гос.контракты",BJ22="Внешние контрагенты",BJ22="Физические лица",BJ22="НДС с авансов",BJ22="НДС по налоговому агенту"),TRUE,IF(ISBLANK(BJ22),TRUE,IF(ISNA(VLOOKUP(BJ22,Список_компаний!$B$3:$I$289,1,0)),TRUE,IF(OR(BJ22=7704765961,BJ22=3801085668,BJ22=7706729140,BJ22=1402048660,BJ22=5256065824,BJ22=7701927935,BJ22=7451382644,BJ22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22,Список_компаний!$B$3:$I$289,8,0)="Да",VLOOKUP(BJ22,Список_компаний!$B$3:$I$289,7,0)=""),TRUE,IF(AND(VLOOKUP(BJ22,Список_компаний!$B$3:$I$289,8,0)="Да",VLOOKUP(BJ22,Список_компаний!$B$3:$I$289,7,0)="Да"),FALSE,FALSE)),FALSE))))))))</f>
        <v>1</v>
      </c>
      <c r="BL22" s="2171" t="b">
        <f>IF(AC22&lt;0,TRUE,IF(OR(AND(AI22&lt;0,P22&gt;0),NOT(COUNTBLANK(AD22:AG22)=4)),TRUE,IF(OR(F22=10011,F22=10015,F22=10000,F22=10018,F22=10020,F22=10019,F22=567019,F22=10016),TRUE,IF(ISNA(VLOOKUP(F22,Список_компаний!$C$3:$I$289,1,0)),TRUE,IF(OR(F22=362,F22=122,F22=337,F22=330,F22=203,F22=204687,F22=402234,F22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22,Список_компаний!$C$3:$I$289,7,0)="Да",VLOOKUP(F22,Список_компаний!$C$3:$I$289,6,0)=""),TRUE,IF(AND(VLOOKUP(F22,Список_компаний!$C$3:$I$289,7,0)="Да",VLOOKUP(F22,Список_компаний!$C$3:$I$289,6,0)="Да"),FALSE,FALSE)),FALSE)))))))</f>
        <v>1</v>
      </c>
      <c r="BM22" s="2171" t="b">
        <f t="shared" si="27"/>
        <v>1</v>
      </c>
      <c r="BN22" s="2171" t="b">
        <f t="shared" si="28"/>
        <v>1</v>
      </c>
      <c r="BO22" s="2171" t="b">
        <f t="shared" si="41"/>
        <v>1</v>
      </c>
      <c r="BP22" s="2171" t="b">
        <f t="shared" si="42"/>
        <v>1</v>
      </c>
      <c r="BQ22" s="2171" t="b">
        <f t="shared" si="43"/>
        <v>1</v>
      </c>
      <c r="BR22" s="2171" t="b">
        <f t="shared" si="44"/>
        <v>1</v>
      </c>
      <c r="BS22" s="2171" t="b">
        <f t="shared" si="45"/>
        <v>1</v>
      </c>
      <c r="BT22" s="2171" t="b">
        <f t="shared" si="29"/>
        <v>1</v>
      </c>
      <c r="BU22" s="2171" t="str">
        <f>IF(Содержание!$D$12="","ИСТИНА",IF(VLOOKUP(Содержание!$D$12,Справочник!$BZ$4:$CA$173,2,0)=O22,AH22="",TRUE))</f>
        <v>ИСТИНА</v>
      </c>
      <c r="BV22" s="2171" t="b">
        <f>LEFT(H22,10)&lt;=LEFT(Содержание!$D$14,10)</f>
        <v>1</v>
      </c>
      <c r="BX22" s="1569" t="str">
        <f>IFERROR(VLOOKUP(G22,Долгосроч_договоры!D:D,1,0),"нет")</f>
        <v>нет</v>
      </c>
      <c r="BY22" s="1569" t="str">
        <f>IF(I22="{255212} Авансы выданные","да",IF(AND(I22="{255222} Авансы полученные",IFERROR(VLOOKUP(G22,Долгосроч_договоры!D:D,1,0),"нет")&lt;&gt;"нет"),"да","нет"))</f>
        <v>нет</v>
      </c>
      <c r="BZ22" s="2168" t="b">
        <f t="shared" ca="1" si="46"/>
        <v>1</v>
      </c>
      <c r="CA22" s="2168" t="b">
        <f t="shared" ca="1" si="47"/>
        <v>1</v>
      </c>
      <c r="CB22" s="2168" t="b">
        <f t="shared" ca="1" si="48"/>
        <v>1</v>
      </c>
      <c r="CC22" s="3426" t="str">
        <f t="shared" ca="1" si="49"/>
        <v>-</v>
      </c>
      <c r="CG22" s="2168" t="b">
        <f t="shared" si="50"/>
        <v>1</v>
      </c>
    </row>
    <row r="23" spans="1:85" ht="16.5" customHeight="1">
      <c r="A23" s="556" t="str">
        <f t="shared" si="30"/>
        <v>R2=;R42=;R55=;R7=;R1=;R26=;R16=;R30=;R49=;R4=;R57=;R46=;R36=;R43=;COM=</v>
      </c>
      <c r="C23" s="1071"/>
      <c r="D23" s="2269"/>
      <c r="E23" s="1001"/>
      <c r="F23" s="1001"/>
      <c r="G23" s="1001"/>
      <c r="H23" s="2270"/>
      <c r="I23" s="2269"/>
      <c r="J23" s="2269"/>
      <c r="K23" s="2269"/>
      <c r="L23" s="2270"/>
      <c r="M23" s="2270"/>
      <c r="N23" s="2270"/>
      <c r="O23" s="1001"/>
      <c r="P23" s="1113"/>
      <c r="Q23" s="1289">
        <f t="shared" si="57"/>
        <v>0</v>
      </c>
      <c r="R23" s="1289">
        <f t="shared" si="52"/>
        <v>0</v>
      </c>
      <c r="S23" s="1289">
        <f t="shared" si="53"/>
        <v>0</v>
      </c>
      <c r="T23" s="1289">
        <f t="shared" si="54"/>
        <v>0</v>
      </c>
      <c r="U23" s="1289">
        <f t="shared" si="55"/>
        <v>0</v>
      </c>
      <c r="V23" s="1113"/>
      <c r="W23" s="1289">
        <f t="shared" si="31"/>
        <v>0</v>
      </c>
      <c r="X23" s="1289">
        <f t="shared" si="58"/>
        <v>0</v>
      </c>
      <c r="Y23" s="1289">
        <f t="shared" si="59"/>
        <v>0</v>
      </c>
      <c r="Z23" s="1289">
        <f t="shared" si="60"/>
        <v>0</v>
      </c>
      <c r="AA23" s="1289">
        <f t="shared" si="61"/>
        <v>0</v>
      </c>
      <c r="AB23" s="1289">
        <f t="shared" si="62"/>
        <v>0</v>
      </c>
      <c r="AC23" s="897"/>
      <c r="AD23" s="897"/>
      <c r="AE23" s="897"/>
      <c r="AF23" s="897"/>
      <c r="AG23" s="897"/>
      <c r="AH23" s="897"/>
      <c r="AI23" s="2827">
        <f t="shared" si="16"/>
        <v>0</v>
      </c>
      <c r="AJ23" s="2269"/>
      <c r="AK23" s="2269"/>
      <c r="AL23" s="3560" t="b">
        <f t="shared" si="17"/>
        <v>1</v>
      </c>
      <c r="AM23" s="3560" t="b">
        <f t="shared" si="18"/>
        <v>1</v>
      </c>
      <c r="AN23" s="2551" t="b">
        <f t="shared" si="19"/>
        <v>1</v>
      </c>
      <c r="AO23" s="2166"/>
      <c r="AP23" s="2595" t="b">
        <f t="shared" si="20"/>
        <v>1</v>
      </c>
      <c r="AQ23" s="2168"/>
      <c r="AR23" s="2167" t="b">
        <f t="shared" si="21"/>
        <v>1</v>
      </c>
      <c r="AS23" s="3561" t="b">
        <f t="shared" si="34"/>
        <v>1</v>
      </c>
      <c r="AT23" s="2171" t="b">
        <f t="shared" si="22"/>
        <v>1</v>
      </c>
      <c r="AU23" s="2171" t="b">
        <f t="shared" si="23"/>
        <v>1</v>
      </c>
      <c r="AV23" s="2242" t="s">
        <v>7695</v>
      </c>
      <c r="AW23" s="2171" t="b">
        <f t="shared" si="35"/>
        <v>1</v>
      </c>
      <c r="AX23" s="2277" t="str">
        <f t="shared" si="24"/>
        <v/>
      </c>
      <c r="AY23" s="2278" t="str">
        <f t="shared" si="25"/>
        <v>-</v>
      </c>
      <c r="AZ23" s="2551" t="b">
        <f t="shared" si="36"/>
        <v>1</v>
      </c>
      <c r="BA23" s="2551" t="b">
        <f t="shared" si="26"/>
        <v>1</v>
      </c>
      <c r="BB23" s="2551" t="b">
        <f t="shared" si="37"/>
        <v>1</v>
      </c>
      <c r="BC23" s="1569" t="str">
        <f t="shared" si="56"/>
        <v>-</v>
      </c>
      <c r="BF23" s="2171" t="b">
        <f t="shared" si="38"/>
        <v>1</v>
      </c>
      <c r="BG23" s="2171" t="b">
        <f t="shared" si="39"/>
        <v>1</v>
      </c>
      <c r="BH23" s="2166" t="s">
        <v>3078</v>
      </c>
      <c r="BI23" s="2166"/>
      <c r="BJ23" s="1569">
        <f t="shared" si="40"/>
        <v>0</v>
      </c>
      <c r="BK23" s="2171" t="b">
        <f>IF(AC23&lt;0,TRUE,IF(OR(AND(AI23&lt;0,P23&gt;0),NOT(COUNTBLANK(AD23:AG23)=4)),TRUE,IF(OR(BJ23="Гос.контракты",BJ23="Внешние контрагенты",BJ23="Физические лица",BJ23="НДС с авансов",BJ23="НДС по налоговому агенту"),TRUE,IF(ISBLANK(BJ23),TRUE,IF(ISNA(VLOOKUP(BJ23,Список_компаний!$B$3:$I$289,1,0)),TRUE,IF(OR(BJ23=7704765961,BJ23=3801085668,BJ23=7706729140,BJ23=1402048660,BJ23=5256065824,BJ23=7701927935,BJ23=7451382644,BJ23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23,Список_компаний!$B$3:$I$289,8,0)="Да",VLOOKUP(BJ23,Список_компаний!$B$3:$I$289,7,0)=""),TRUE,IF(AND(VLOOKUP(BJ23,Список_компаний!$B$3:$I$289,8,0)="Да",VLOOKUP(BJ23,Список_компаний!$B$3:$I$289,7,0)="Да"),FALSE,FALSE)),FALSE))))))))</f>
        <v>1</v>
      </c>
      <c r="BL23" s="2171" t="b">
        <f>IF(AC23&lt;0,TRUE,IF(OR(AND(AI23&lt;0,P23&gt;0),NOT(COUNTBLANK(AD23:AG23)=4)),TRUE,IF(OR(F23=10011,F23=10015,F23=10000,F23=10018,F23=10020,F23=10019,F23=567019,F23=10016),TRUE,IF(ISNA(VLOOKUP(F23,Список_компаний!$C$3:$I$289,1,0)),TRUE,IF(OR(F23=362,F23=122,F23=337,F23=330,F23=203,F23=204687,F23=402234,F23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23,Список_компаний!$C$3:$I$289,7,0)="Да",VLOOKUP(F23,Список_компаний!$C$3:$I$289,6,0)=""),TRUE,IF(AND(VLOOKUP(F23,Список_компаний!$C$3:$I$289,7,0)="Да",VLOOKUP(F23,Список_компаний!$C$3:$I$289,6,0)="Да"),FALSE,FALSE)),FALSE)))))))</f>
        <v>1</v>
      </c>
      <c r="BM23" s="2171" t="b">
        <f t="shared" si="27"/>
        <v>1</v>
      </c>
      <c r="BN23" s="2171" t="b">
        <f t="shared" si="28"/>
        <v>1</v>
      </c>
      <c r="BO23" s="2171" t="b">
        <f t="shared" si="41"/>
        <v>1</v>
      </c>
      <c r="BP23" s="2171" t="b">
        <f t="shared" si="42"/>
        <v>1</v>
      </c>
      <c r="BQ23" s="2171" t="b">
        <f t="shared" si="43"/>
        <v>1</v>
      </c>
      <c r="BR23" s="2171" t="b">
        <f t="shared" si="44"/>
        <v>1</v>
      </c>
      <c r="BS23" s="2171" t="b">
        <f t="shared" si="45"/>
        <v>1</v>
      </c>
      <c r="BT23" s="2171" t="b">
        <f t="shared" si="29"/>
        <v>1</v>
      </c>
      <c r="BU23" s="2171" t="str">
        <f>IF(Содержание!$D$12="","ИСТИНА",IF(VLOOKUP(Содержание!$D$12,Справочник!$BZ$4:$CA$173,2,0)=O23,AH23="",TRUE))</f>
        <v>ИСТИНА</v>
      </c>
      <c r="BV23" s="2171" t="b">
        <f>LEFT(H23,10)&lt;=LEFT(Содержание!$D$14,10)</f>
        <v>1</v>
      </c>
      <c r="BX23" s="1569" t="str">
        <f>IFERROR(VLOOKUP(G23,Долгосроч_договоры!D:D,1,0),"нет")</f>
        <v>нет</v>
      </c>
      <c r="BY23" s="1569" t="str">
        <f>IF(I23="{255212} Авансы выданные","да",IF(AND(I23="{255222} Авансы полученные",IFERROR(VLOOKUP(G23,Долгосроч_договоры!D:D,1,0),"нет")&lt;&gt;"нет"),"да","нет"))</f>
        <v>нет</v>
      </c>
      <c r="BZ23" s="2168" t="b">
        <f t="shared" ca="1" si="46"/>
        <v>1</v>
      </c>
      <c r="CA23" s="2168" t="b">
        <f t="shared" ca="1" si="47"/>
        <v>1</v>
      </c>
      <c r="CB23" s="2168" t="b">
        <f t="shared" ca="1" si="48"/>
        <v>1</v>
      </c>
      <c r="CC23" s="3426" t="str">
        <f t="shared" ca="1" si="49"/>
        <v>-</v>
      </c>
      <c r="CG23" s="2168" t="b">
        <f t="shared" si="50"/>
        <v>1</v>
      </c>
    </row>
    <row r="24" spans="1:85" ht="16.5" customHeight="1">
      <c r="A24" s="556" t="str">
        <f t="shared" si="30"/>
        <v>R2=;R42=;R55=;R7=;R1=;R26=;R16=;R30=;R49=;R4=;R57=;R46=;R36=;R43=;COM=</v>
      </c>
      <c r="C24" s="1071"/>
      <c r="D24" s="2269"/>
      <c r="E24" s="1001"/>
      <c r="F24" s="1001"/>
      <c r="G24" s="2269"/>
      <c r="H24" s="2270"/>
      <c r="I24" s="2269"/>
      <c r="J24" s="2269"/>
      <c r="K24" s="2269"/>
      <c r="L24" s="2270"/>
      <c r="M24" s="2270"/>
      <c r="N24" s="2270"/>
      <c r="O24" s="1001"/>
      <c r="P24" s="1113"/>
      <c r="Q24" s="1289">
        <f t="shared" si="57"/>
        <v>0</v>
      </c>
      <c r="R24" s="1289">
        <f t="shared" si="52"/>
        <v>0</v>
      </c>
      <c r="S24" s="1289">
        <f t="shared" si="53"/>
        <v>0</v>
      </c>
      <c r="T24" s="1289">
        <f t="shared" si="54"/>
        <v>0</v>
      </c>
      <c r="U24" s="1289">
        <f t="shared" si="55"/>
        <v>0</v>
      </c>
      <c r="V24" s="1113"/>
      <c r="W24" s="1289">
        <f t="shared" si="31"/>
        <v>0</v>
      </c>
      <c r="X24" s="1289">
        <f t="shared" si="58"/>
        <v>0</v>
      </c>
      <c r="Y24" s="1289">
        <f t="shared" si="59"/>
        <v>0</v>
      </c>
      <c r="Z24" s="1289">
        <f t="shared" si="60"/>
        <v>0</v>
      </c>
      <c r="AA24" s="1289">
        <f t="shared" si="61"/>
        <v>0</v>
      </c>
      <c r="AB24" s="1289">
        <f t="shared" si="62"/>
        <v>0</v>
      </c>
      <c r="AC24" s="897"/>
      <c r="AD24" s="897"/>
      <c r="AE24" s="897"/>
      <c r="AF24" s="897"/>
      <c r="AG24" s="897"/>
      <c r="AH24" s="897"/>
      <c r="AI24" s="2827">
        <f t="shared" si="16"/>
        <v>0</v>
      </c>
      <c r="AJ24" s="2269"/>
      <c r="AK24" s="2269"/>
      <c r="AL24" s="3560" t="b">
        <f t="shared" si="17"/>
        <v>1</v>
      </c>
      <c r="AM24" s="3560" t="b">
        <f t="shared" si="18"/>
        <v>1</v>
      </c>
      <c r="AN24" s="2551" t="b">
        <f t="shared" si="19"/>
        <v>1</v>
      </c>
      <c r="AO24" s="2166"/>
      <c r="AP24" s="2595" t="b">
        <f t="shared" si="20"/>
        <v>1</v>
      </c>
      <c r="AQ24" s="2168"/>
      <c r="AR24" s="2167" t="b">
        <f t="shared" si="21"/>
        <v>1</v>
      </c>
      <c r="AS24" s="3561" t="b">
        <f t="shared" si="34"/>
        <v>1</v>
      </c>
      <c r="AT24" s="2171" t="b">
        <f t="shared" si="22"/>
        <v>1</v>
      </c>
      <c r="AU24" s="2171" t="b">
        <f t="shared" si="23"/>
        <v>1</v>
      </c>
      <c r="AV24" s="2242" t="s">
        <v>7695</v>
      </c>
      <c r="AW24" s="2171" t="b">
        <f t="shared" si="35"/>
        <v>1</v>
      </c>
      <c r="AX24" s="2277" t="str">
        <f t="shared" si="24"/>
        <v/>
      </c>
      <c r="AY24" s="2278" t="str">
        <f t="shared" si="25"/>
        <v>-</v>
      </c>
      <c r="AZ24" s="2551" t="b">
        <f t="shared" si="36"/>
        <v>1</v>
      </c>
      <c r="BA24" s="2551" t="b">
        <f t="shared" si="26"/>
        <v>1</v>
      </c>
      <c r="BB24" s="2551" t="b">
        <f t="shared" si="37"/>
        <v>1</v>
      </c>
      <c r="BC24" s="1569" t="str">
        <f t="shared" si="56"/>
        <v>-</v>
      </c>
      <c r="BF24" s="2171" t="b">
        <f t="shared" si="38"/>
        <v>1</v>
      </c>
      <c r="BG24" s="2171" t="b">
        <f t="shared" si="39"/>
        <v>1</v>
      </c>
      <c r="BH24" s="2166" t="s">
        <v>6239</v>
      </c>
      <c r="BI24" s="2166"/>
      <c r="BJ24" s="1569">
        <f t="shared" si="40"/>
        <v>0</v>
      </c>
      <c r="BK24" s="2171" t="b">
        <f>IF(AC24&lt;0,TRUE,IF(OR(AND(AI24&lt;0,P24&gt;0),NOT(COUNTBLANK(AD24:AG24)=4)),TRUE,IF(OR(BJ24="Гос.контракты",BJ24="Внешние контрагенты",BJ24="Физические лица",BJ24="НДС с авансов",BJ24="НДС по налоговому агенту"),TRUE,IF(ISBLANK(BJ24),TRUE,IF(ISNA(VLOOKUP(BJ24,Список_компаний!$B$3:$I$289,1,0)),TRUE,IF(OR(BJ24=7704765961,BJ24=3801085668,BJ24=7706729140,BJ24=1402048660,BJ24=5256065824,BJ24=7701927935,BJ24=7451382644,BJ24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24,Список_компаний!$B$3:$I$289,8,0)="Да",VLOOKUP(BJ24,Список_компаний!$B$3:$I$289,7,0)=""),TRUE,IF(AND(VLOOKUP(BJ24,Список_компаний!$B$3:$I$289,8,0)="Да",VLOOKUP(BJ24,Список_компаний!$B$3:$I$289,7,0)="Да"),FALSE,FALSE)),FALSE))))))))</f>
        <v>1</v>
      </c>
      <c r="BL24" s="2171" t="b">
        <f>IF(AC24&lt;0,TRUE,IF(OR(AND(AI24&lt;0,P24&gt;0),NOT(COUNTBLANK(AD24:AG24)=4)),TRUE,IF(OR(F24=10011,F24=10015,F24=10000,F24=10018,F24=10020,F24=10019,F24=567019,F24=10016),TRUE,IF(ISNA(VLOOKUP(F24,Список_компаний!$C$3:$I$289,1,0)),TRUE,IF(OR(F24=362,F24=122,F24=337,F24=330,F24=203,F24=204687,F24=402234,F24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24,Список_компаний!$C$3:$I$289,7,0)="Да",VLOOKUP(F24,Список_компаний!$C$3:$I$289,6,0)=""),TRUE,IF(AND(VLOOKUP(F24,Список_компаний!$C$3:$I$289,7,0)="Да",VLOOKUP(F24,Список_компаний!$C$3:$I$289,6,0)="Да"),FALSE,FALSE)),FALSE)))))))</f>
        <v>1</v>
      </c>
      <c r="BM24" s="2171" t="b">
        <f t="shared" si="27"/>
        <v>1</v>
      </c>
      <c r="BN24" s="2171" t="b">
        <f t="shared" si="28"/>
        <v>1</v>
      </c>
      <c r="BO24" s="2171" t="b">
        <f t="shared" si="41"/>
        <v>1</v>
      </c>
      <c r="BP24" s="2171" t="b">
        <f t="shared" si="42"/>
        <v>1</v>
      </c>
      <c r="BQ24" s="2171" t="b">
        <f t="shared" si="43"/>
        <v>1</v>
      </c>
      <c r="BR24" s="2171" t="b">
        <f t="shared" si="44"/>
        <v>1</v>
      </c>
      <c r="BS24" s="2171" t="b">
        <f t="shared" si="45"/>
        <v>1</v>
      </c>
      <c r="BT24" s="2171" t="b">
        <f t="shared" si="29"/>
        <v>1</v>
      </c>
      <c r="BU24" s="2171" t="str">
        <f>IF(Содержание!$D$12="","ИСТИНА",IF(VLOOKUP(Содержание!$D$12,Справочник!$BZ$4:$CA$173,2,0)=O24,AH24="",TRUE))</f>
        <v>ИСТИНА</v>
      </c>
      <c r="BV24" s="2171" t="b">
        <f>LEFT(H24,10)&lt;=LEFT(Содержание!$D$14,10)</f>
        <v>1</v>
      </c>
      <c r="BX24" s="1569" t="str">
        <f>IFERROR(VLOOKUP(G24,Долгосроч_договоры!D:D,1,0),"нет")</f>
        <v>нет</v>
      </c>
      <c r="BY24" s="1569" t="str">
        <f>IF(I24="{255212} Авансы выданные","да",IF(AND(I24="{255222} Авансы полученные",IFERROR(VLOOKUP(G24,Долгосроч_договоры!D:D,1,0),"нет")&lt;&gt;"нет"),"да","нет"))</f>
        <v>нет</v>
      </c>
      <c r="BZ24" s="2168" t="b">
        <f t="shared" ca="1" si="46"/>
        <v>1</v>
      </c>
      <c r="CA24" s="2168" t="b">
        <f t="shared" ca="1" si="47"/>
        <v>1</v>
      </c>
      <c r="CB24" s="2168" t="b">
        <f t="shared" ca="1" si="48"/>
        <v>1</v>
      </c>
      <c r="CC24" s="3426" t="str">
        <f t="shared" ca="1" si="49"/>
        <v>-</v>
      </c>
      <c r="CG24" s="2168" t="b">
        <f t="shared" si="50"/>
        <v>1</v>
      </c>
    </row>
    <row r="25" spans="1:85" ht="16.5" customHeight="1">
      <c r="A25" s="556" t="str">
        <f t="shared" si="30"/>
        <v>R2=;R42=;R55=;R7=;R1=;R26=;R16=;R30=;R49=;R4=;R57=;R46=;R36=;R43=;COM=</v>
      </c>
      <c r="C25" s="1071"/>
      <c r="D25" s="2269"/>
      <c r="E25" s="1001"/>
      <c r="F25" s="1001"/>
      <c r="G25" s="2269"/>
      <c r="H25" s="2270"/>
      <c r="I25" s="2269"/>
      <c r="J25" s="2269"/>
      <c r="K25" s="2269"/>
      <c r="L25" s="2270"/>
      <c r="M25" s="2270"/>
      <c r="N25" s="2270"/>
      <c r="O25" s="1001"/>
      <c r="P25" s="1113"/>
      <c r="Q25" s="1289">
        <f t="shared" si="57"/>
        <v>0</v>
      </c>
      <c r="R25" s="1289">
        <f t="shared" si="52"/>
        <v>0</v>
      </c>
      <c r="S25" s="1289">
        <f t="shared" si="53"/>
        <v>0</v>
      </c>
      <c r="T25" s="1289">
        <f t="shared" si="54"/>
        <v>0</v>
      </c>
      <c r="U25" s="1289">
        <f t="shared" si="55"/>
        <v>0</v>
      </c>
      <c r="V25" s="1113"/>
      <c r="W25" s="1289">
        <f t="shared" si="31"/>
        <v>0</v>
      </c>
      <c r="X25" s="1289">
        <f t="shared" si="58"/>
        <v>0</v>
      </c>
      <c r="Y25" s="1289">
        <f t="shared" si="59"/>
        <v>0</v>
      </c>
      <c r="Z25" s="1289">
        <f t="shared" si="60"/>
        <v>0</v>
      </c>
      <c r="AA25" s="1289">
        <f t="shared" si="61"/>
        <v>0</v>
      </c>
      <c r="AB25" s="1289">
        <f t="shared" si="62"/>
        <v>0</v>
      </c>
      <c r="AC25" s="897"/>
      <c r="AD25" s="897"/>
      <c r="AE25" s="897"/>
      <c r="AF25" s="897"/>
      <c r="AG25" s="897"/>
      <c r="AH25" s="897"/>
      <c r="AI25" s="2827">
        <f t="shared" si="16"/>
        <v>0</v>
      </c>
      <c r="AJ25" s="2269"/>
      <c r="AK25" s="2269"/>
      <c r="AL25" s="3560" t="b">
        <f t="shared" si="17"/>
        <v>1</v>
      </c>
      <c r="AM25" s="3560" t="b">
        <f t="shared" si="18"/>
        <v>1</v>
      </c>
      <c r="AN25" s="2551" t="b">
        <f t="shared" si="19"/>
        <v>1</v>
      </c>
      <c r="AO25" s="2166"/>
      <c r="AP25" s="2595" t="b">
        <f t="shared" si="20"/>
        <v>1</v>
      </c>
      <c r="AQ25" s="2168"/>
      <c r="AR25" s="2167" t="b">
        <f t="shared" si="21"/>
        <v>1</v>
      </c>
      <c r="AS25" s="3561" t="b">
        <f t="shared" si="34"/>
        <v>1</v>
      </c>
      <c r="AT25" s="2171" t="b">
        <f t="shared" si="22"/>
        <v>1</v>
      </c>
      <c r="AU25" s="2171" t="b">
        <f t="shared" si="23"/>
        <v>1</v>
      </c>
      <c r="AV25" s="2242" t="s">
        <v>7695</v>
      </c>
      <c r="AW25" s="2171" t="b">
        <f t="shared" si="35"/>
        <v>1</v>
      </c>
      <c r="AX25" s="2277" t="str">
        <f t="shared" si="24"/>
        <v/>
      </c>
      <c r="AY25" s="2278" t="str">
        <f t="shared" si="25"/>
        <v>-</v>
      </c>
      <c r="AZ25" s="2551" t="b">
        <f t="shared" si="36"/>
        <v>1</v>
      </c>
      <c r="BA25" s="2551" t="b">
        <f t="shared" si="26"/>
        <v>1</v>
      </c>
      <c r="BB25" s="2551" t="b">
        <f t="shared" si="37"/>
        <v>1</v>
      </c>
      <c r="BC25" s="1569" t="str">
        <f t="shared" si="56"/>
        <v>-</v>
      </c>
      <c r="BF25" s="2171" t="b">
        <f t="shared" si="38"/>
        <v>1</v>
      </c>
      <c r="BG25" s="2171" t="b">
        <f t="shared" si="39"/>
        <v>1</v>
      </c>
      <c r="BH25" s="2166" t="s">
        <v>6240</v>
      </c>
      <c r="BI25" s="2166" t="s">
        <v>3035</v>
      </c>
      <c r="BJ25" s="1569">
        <f t="shared" si="40"/>
        <v>0</v>
      </c>
      <c r="BK25" s="2171" t="b">
        <f>IF(AC25&lt;0,TRUE,IF(OR(AND(AI25&lt;0,P25&gt;0),NOT(COUNTBLANK(AD25:AG25)=4)),TRUE,IF(OR(BJ25="Гос.контракты",BJ25="Внешние контрагенты",BJ25="Физические лица",BJ25="НДС с авансов",BJ25="НДС по налоговому агенту"),TRUE,IF(ISBLANK(BJ25),TRUE,IF(ISNA(VLOOKUP(BJ25,Список_компаний!$B$3:$I$289,1,0)),TRUE,IF(OR(BJ25=7704765961,BJ25=3801085668,BJ25=7706729140,BJ25=1402048660,BJ25=5256065824,BJ25=7701927935,BJ25=7451382644,BJ25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25,Список_компаний!$B$3:$I$289,8,0)="Да",VLOOKUP(BJ25,Список_компаний!$B$3:$I$289,7,0)=""),TRUE,IF(AND(VLOOKUP(BJ25,Список_компаний!$B$3:$I$289,8,0)="Да",VLOOKUP(BJ25,Список_компаний!$B$3:$I$289,7,0)="Да"),FALSE,FALSE)),FALSE))))))))</f>
        <v>1</v>
      </c>
      <c r="BL25" s="2171" t="b">
        <f>IF(AC25&lt;0,TRUE,IF(OR(AND(AI25&lt;0,P25&gt;0),NOT(COUNTBLANK(AD25:AG25)=4)),TRUE,IF(OR(F25=10011,F25=10015,F25=10000,F25=10018,F25=10020,F25=10019,F25=567019,F25=10016),TRUE,IF(ISNA(VLOOKUP(F25,Список_компаний!$C$3:$I$289,1,0)),TRUE,IF(OR(F25=362,F25=122,F25=337,F25=330,F25=203,F25=204687,F25=402234,F25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25,Список_компаний!$C$3:$I$289,7,0)="Да",VLOOKUP(F25,Список_компаний!$C$3:$I$289,6,0)=""),TRUE,IF(AND(VLOOKUP(F25,Список_компаний!$C$3:$I$289,7,0)="Да",VLOOKUP(F25,Список_компаний!$C$3:$I$289,6,0)="Да"),FALSE,FALSE)),FALSE)))))))</f>
        <v>1</v>
      </c>
      <c r="BM25" s="2171" t="b">
        <f t="shared" si="27"/>
        <v>1</v>
      </c>
      <c r="BN25" s="2171" t="b">
        <f t="shared" si="28"/>
        <v>1</v>
      </c>
      <c r="BO25" s="2171" t="b">
        <f t="shared" si="41"/>
        <v>1</v>
      </c>
      <c r="BP25" s="2171" t="b">
        <f t="shared" si="42"/>
        <v>1</v>
      </c>
      <c r="BQ25" s="2171" t="b">
        <f t="shared" si="43"/>
        <v>1</v>
      </c>
      <c r="BR25" s="2171" t="b">
        <f t="shared" si="44"/>
        <v>1</v>
      </c>
      <c r="BS25" s="2171" t="b">
        <f t="shared" si="45"/>
        <v>1</v>
      </c>
      <c r="BT25" s="2171" t="b">
        <f t="shared" si="29"/>
        <v>1</v>
      </c>
      <c r="BU25" s="2171" t="str">
        <f>IF(Содержание!$D$12="","ИСТИНА",IF(VLOOKUP(Содержание!$D$12,Справочник!$BZ$4:$CA$173,2,0)=O25,AH25="",TRUE))</f>
        <v>ИСТИНА</v>
      </c>
      <c r="BV25" s="2171" t="b">
        <f>LEFT(H25,10)&lt;=LEFT(Содержание!$D$14,10)</f>
        <v>1</v>
      </c>
      <c r="BX25" s="1569" t="str">
        <f>IFERROR(VLOOKUP(G25,Долгосроч_договоры!D:D,1,0),"нет")</f>
        <v>нет</v>
      </c>
      <c r="BY25" s="1569" t="str">
        <f>IF(I25="{255212} Авансы выданные","да",IF(AND(I25="{255222} Авансы полученные",IFERROR(VLOOKUP(G25,Долгосроч_договоры!D:D,1,0),"нет")&lt;&gt;"нет"),"да","нет"))</f>
        <v>нет</v>
      </c>
      <c r="BZ25" s="2168" t="b">
        <f t="shared" ca="1" si="46"/>
        <v>1</v>
      </c>
      <c r="CA25" s="2168" t="b">
        <f t="shared" ca="1" si="47"/>
        <v>1</v>
      </c>
      <c r="CB25" s="2168" t="b">
        <f t="shared" ca="1" si="48"/>
        <v>1</v>
      </c>
      <c r="CC25" s="3426" t="str">
        <f t="shared" ca="1" si="49"/>
        <v>-</v>
      </c>
      <c r="CG25" s="2168" t="b">
        <f t="shared" si="50"/>
        <v>1</v>
      </c>
    </row>
    <row r="26" spans="1:85" ht="16.5" customHeight="1">
      <c r="A26" s="556" t="str">
        <f t="shared" si="30"/>
        <v>R2=;R42=;R55=;R7=;R1=;R26=;R16=;R30=;R49=;R4=;R57=;R46=;R36=;R43=;COM=</v>
      </c>
      <c r="C26" s="1071"/>
      <c r="D26" s="2269"/>
      <c r="E26" s="1001"/>
      <c r="F26" s="1001"/>
      <c r="G26" s="2269"/>
      <c r="H26" s="2270"/>
      <c r="I26" s="2269"/>
      <c r="J26" s="2269"/>
      <c r="K26" s="2269"/>
      <c r="L26" s="2270"/>
      <c r="M26" s="2270"/>
      <c r="N26" s="2270"/>
      <c r="O26" s="1001"/>
      <c r="P26" s="1113"/>
      <c r="Q26" s="1289">
        <f t="shared" si="57"/>
        <v>0</v>
      </c>
      <c r="R26" s="1289">
        <f t="shared" si="52"/>
        <v>0</v>
      </c>
      <c r="S26" s="1289">
        <f t="shared" si="53"/>
        <v>0</v>
      </c>
      <c r="T26" s="1289">
        <f t="shared" si="54"/>
        <v>0</v>
      </c>
      <c r="U26" s="1289">
        <f t="shared" si="55"/>
        <v>0</v>
      </c>
      <c r="V26" s="1113"/>
      <c r="W26" s="1289">
        <f t="shared" si="31"/>
        <v>0</v>
      </c>
      <c r="X26" s="1289">
        <f t="shared" si="58"/>
        <v>0</v>
      </c>
      <c r="Y26" s="1289">
        <f t="shared" si="59"/>
        <v>0</v>
      </c>
      <c r="Z26" s="1289">
        <f t="shared" si="60"/>
        <v>0</v>
      </c>
      <c r="AA26" s="1289">
        <f t="shared" si="61"/>
        <v>0</v>
      </c>
      <c r="AB26" s="1289">
        <f t="shared" si="62"/>
        <v>0</v>
      </c>
      <c r="AC26" s="897"/>
      <c r="AD26" s="897"/>
      <c r="AE26" s="897"/>
      <c r="AF26" s="897"/>
      <c r="AG26" s="897"/>
      <c r="AH26" s="897"/>
      <c r="AI26" s="2827">
        <f t="shared" si="16"/>
        <v>0</v>
      </c>
      <c r="AJ26" s="2269"/>
      <c r="AK26" s="2269"/>
      <c r="AL26" s="3560" t="b">
        <f t="shared" si="17"/>
        <v>1</v>
      </c>
      <c r="AM26" s="3560" t="b">
        <f t="shared" si="18"/>
        <v>1</v>
      </c>
      <c r="AN26" s="2551" t="b">
        <f t="shared" si="19"/>
        <v>1</v>
      </c>
      <c r="AO26" s="2166"/>
      <c r="AP26" s="2595" t="b">
        <f t="shared" si="20"/>
        <v>1</v>
      </c>
      <c r="AQ26" s="2168"/>
      <c r="AR26" s="2167" t="b">
        <f t="shared" si="21"/>
        <v>1</v>
      </c>
      <c r="AS26" s="3561" t="b">
        <f t="shared" si="34"/>
        <v>1</v>
      </c>
      <c r="AT26" s="2171" t="b">
        <f t="shared" si="22"/>
        <v>1</v>
      </c>
      <c r="AU26" s="2171" t="b">
        <f t="shared" si="23"/>
        <v>1</v>
      </c>
      <c r="AV26" s="2242" t="s">
        <v>7695</v>
      </c>
      <c r="AW26" s="2171" t="b">
        <f t="shared" si="35"/>
        <v>1</v>
      </c>
      <c r="AX26" s="2277" t="str">
        <f t="shared" si="24"/>
        <v/>
      </c>
      <c r="AY26" s="2278" t="str">
        <f t="shared" si="25"/>
        <v>-</v>
      </c>
      <c r="AZ26" s="2551" t="b">
        <f t="shared" si="36"/>
        <v>1</v>
      </c>
      <c r="BA26" s="2551" t="b">
        <f t="shared" si="26"/>
        <v>1</v>
      </c>
      <c r="BB26" s="2551" t="b">
        <f t="shared" si="37"/>
        <v>1</v>
      </c>
      <c r="BC26" s="1569" t="str">
        <f t="shared" si="56"/>
        <v>-</v>
      </c>
      <c r="BF26" s="2171" t="b">
        <f t="shared" si="38"/>
        <v>1</v>
      </c>
      <c r="BG26" s="2171" t="b">
        <f t="shared" si="39"/>
        <v>1</v>
      </c>
      <c r="BH26" s="2166" t="s">
        <v>14472</v>
      </c>
      <c r="BJ26" s="1569">
        <f t="shared" si="40"/>
        <v>0</v>
      </c>
      <c r="BK26" s="2171" t="b">
        <f>IF(AC26&lt;0,TRUE,IF(OR(AND(AI26&lt;0,P26&gt;0),NOT(COUNTBLANK(AD26:AG26)=4)),TRUE,IF(OR(BJ26="Гос.контракты",BJ26="Внешние контрагенты",BJ26="Физические лица",BJ26="НДС с авансов",BJ26="НДС по налоговому агенту"),TRUE,IF(ISBLANK(BJ26),TRUE,IF(ISNA(VLOOKUP(BJ26,Список_компаний!$B$3:$I$289,1,0)),TRUE,IF(OR(BJ26=7704765961,BJ26=3801085668,BJ26=7706729140,BJ26=1402048660,BJ26=5256065824,BJ26=7701927935,BJ26=7451382644,BJ26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26,Список_компаний!$B$3:$I$289,8,0)="Да",VLOOKUP(BJ26,Список_компаний!$B$3:$I$289,7,0)=""),TRUE,IF(AND(VLOOKUP(BJ26,Список_компаний!$B$3:$I$289,8,0)="Да",VLOOKUP(BJ26,Список_компаний!$B$3:$I$289,7,0)="Да"),FALSE,FALSE)),FALSE))))))))</f>
        <v>1</v>
      </c>
      <c r="BL26" s="2171" t="b">
        <f>IF(AC26&lt;0,TRUE,IF(OR(AND(AI26&lt;0,P26&gt;0),NOT(COUNTBLANK(AD26:AG26)=4)),TRUE,IF(OR(F26=10011,F26=10015,F26=10000,F26=10018,F26=10020,F26=10019,F26=567019,F26=10016),TRUE,IF(ISNA(VLOOKUP(F26,Список_компаний!$C$3:$I$289,1,0)),TRUE,IF(OR(F26=362,F26=122,F26=337,F26=330,F26=203,F26=204687,F26=402234,F26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26,Список_компаний!$C$3:$I$289,7,0)="Да",VLOOKUP(F26,Список_компаний!$C$3:$I$289,6,0)=""),TRUE,IF(AND(VLOOKUP(F26,Список_компаний!$C$3:$I$289,7,0)="Да",VLOOKUP(F26,Список_компаний!$C$3:$I$289,6,0)="Да"),FALSE,FALSE)),FALSE)))))))</f>
        <v>1</v>
      </c>
      <c r="BM26" s="2171" t="b">
        <f t="shared" si="27"/>
        <v>1</v>
      </c>
      <c r="BN26" s="2171" t="b">
        <f t="shared" si="28"/>
        <v>1</v>
      </c>
      <c r="BO26" s="2171" t="b">
        <f t="shared" si="41"/>
        <v>1</v>
      </c>
      <c r="BP26" s="2171" t="b">
        <f t="shared" si="42"/>
        <v>1</v>
      </c>
      <c r="BQ26" s="2171" t="b">
        <f t="shared" si="43"/>
        <v>1</v>
      </c>
      <c r="BR26" s="2171" t="b">
        <f t="shared" si="44"/>
        <v>1</v>
      </c>
      <c r="BS26" s="2171" t="b">
        <f t="shared" si="45"/>
        <v>1</v>
      </c>
      <c r="BT26" s="2171" t="b">
        <f t="shared" si="29"/>
        <v>1</v>
      </c>
      <c r="BU26" s="2171" t="str">
        <f>IF(Содержание!$D$12="","ИСТИНА",IF(VLOOKUP(Содержание!$D$12,Справочник!$BZ$4:$CA$173,2,0)=O26,AH26="",TRUE))</f>
        <v>ИСТИНА</v>
      </c>
      <c r="BV26" s="2171" t="b">
        <f>LEFT(H26,10)&lt;=LEFT(Содержание!$D$14,10)</f>
        <v>1</v>
      </c>
      <c r="BX26" s="1569" t="str">
        <f>IFERROR(VLOOKUP(G26,Долгосроч_договоры!D:D,1,0),"нет")</f>
        <v>нет</v>
      </c>
      <c r="BY26" s="1569" t="str">
        <f>IF(I26="{255212} Авансы выданные","да",IF(AND(I26="{255222} Авансы полученные",IFERROR(VLOOKUP(G26,Долгосроч_договоры!D:D,1,0),"нет")&lt;&gt;"нет"),"да","нет"))</f>
        <v>нет</v>
      </c>
      <c r="BZ26" s="2168" t="b">
        <f t="shared" ca="1" si="46"/>
        <v>1</v>
      </c>
      <c r="CA26" s="2168" t="b">
        <f t="shared" ca="1" si="47"/>
        <v>1</v>
      </c>
      <c r="CB26" s="2168" t="b">
        <f t="shared" ca="1" si="48"/>
        <v>1</v>
      </c>
      <c r="CC26" s="3426" t="str">
        <f t="shared" ca="1" si="49"/>
        <v>-</v>
      </c>
      <c r="CG26" s="2168" t="b">
        <f t="shared" si="50"/>
        <v>1</v>
      </c>
    </row>
    <row r="27" spans="1:85" ht="16.5" customHeight="1">
      <c r="A27" s="556" t="str">
        <f t="shared" si="30"/>
        <v>R2=;R42=;R55=;R7=;R1=;R26=;R16=;R30=;R49=;R4=;R57=;R46=;R36=;R43=;COM=</v>
      </c>
      <c r="C27" s="1071"/>
      <c r="D27" s="2269"/>
      <c r="E27" s="1001"/>
      <c r="F27" s="1001"/>
      <c r="G27" s="2269"/>
      <c r="H27" s="2270"/>
      <c r="I27" s="2269"/>
      <c r="J27" s="2269"/>
      <c r="K27" s="2269"/>
      <c r="L27" s="2270"/>
      <c r="M27" s="2270"/>
      <c r="N27" s="2270"/>
      <c r="O27" s="1001"/>
      <c r="P27" s="1113"/>
      <c r="Q27" s="1289">
        <f t="shared" si="57"/>
        <v>0</v>
      </c>
      <c r="R27" s="1289">
        <f t="shared" si="52"/>
        <v>0</v>
      </c>
      <c r="S27" s="1289">
        <f t="shared" si="53"/>
        <v>0</v>
      </c>
      <c r="T27" s="1289">
        <f t="shared" si="54"/>
        <v>0</v>
      </c>
      <c r="U27" s="1289">
        <f t="shared" si="55"/>
        <v>0</v>
      </c>
      <c r="V27" s="1113"/>
      <c r="W27" s="1289">
        <f t="shared" si="31"/>
        <v>0</v>
      </c>
      <c r="X27" s="1289">
        <f t="shared" si="58"/>
        <v>0</v>
      </c>
      <c r="Y27" s="1289">
        <f t="shared" si="59"/>
        <v>0</v>
      </c>
      <c r="Z27" s="1289">
        <f t="shared" si="60"/>
        <v>0</v>
      </c>
      <c r="AA27" s="1289">
        <f t="shared" si="61"/>
        <v>0</v>
      </c>
      <c r="AB27" s="1289">
        <f t="shared" si="62"/>
        <v>0</v>
      </c>
      <c r="AC27" s="897"/>
      <c r="AD27" s="897"/>
      <c r="AE27" s="897"/>
      <c r="AF27" s="897"/>
      <c r="AG27" s="897"/>
      <c r="AH27" s="897"/>
      <c r="AI27" s="2827">
        <f t="shared" si="16"/>
        <v>0</v>
      </c>
      <c r="AJ27" s="2269"/>
      <c r="AK27" s="2269"/>
      <c r="AL27" s="3560" t="b">
        <f t="shared" si="17"/>
        <v>1</v>
      </c>
      <c r="AM27" s="3560" t="b">
        <f t="shared" si="18"/>
        <v>1</v>
      </c>
      <c r="AN27" s="2551" t="b">
        <f t="shared" si="19"/>
        <v>1</v>
      </c>
      <c r="AO27" s="2166"/>
      <c r="AP27" s="2595" t="b">
        <f t="shared" si="20"/>
        <v>1</v>
      </c>
      <c r="AQ27" s="2168"/>
      <c r="AR27" s="2167" t="b">
        <f t="shared" si="21"/>
        <v>1</v>
      </c>
      <c r="AS27" s="3561" t="b">
        <f t="shared" si="34"/>
        <v>1</v>
      </c>
      <c r="AT27" s="2171" t="b">
        <f t="shared" si="22"/>
        <v>1</v>
      </c>
      <c r="AU27" s="2171" t="b">
        <f t="shared" si="23"/>
        <v>1</v>
      </c>
      <c r="AV27" s="2242" t="s">
        <v>7695</v>
      </c>
      <c r="AW27" s="2171" t="b">
        <f t="shared" si="35"/>
        <v>1</v>
      </c>
      <c r="AX27" s="2277" t="str">
        <f t="shared" si="24"/>
        <v/>
      </c>
      <c r="AY27" s="2278" t="str">
        <f t="shared" si="25"/>
        <v>-</v>
      </c>
      <c r="AZ27" s="2551" t="b">
        <f t="shared" si="36"/>
        <v>1</v>
      </c>
      <c r="BA27" s="2551" t="b">
        <f t="shared" si="26"/>
        <v>1</v>
      </c>
      <c r="BB27" s="2551" t="b">
        <f t="shared" si="37"/>
        <v>1</v>
      </c>
      <c r="BC27" s="1569" t="str">
        <f t="shared" si="56"/>
        <v>-</v>
      </c>
      <c r="BF27" s="2171" t="b">
        <f t="shared" si="38"/>
        <v>1</v>
      </c>
      <c r="BG27" s="2171" t="b">
        <f t="shared" si="39"/>
        <v>1</v>
      </c>
      <c r="BH27" s="2166" t="s">
        <v>14473</v>
      </c>
      <c r="BJ27" s="1569">
        <f t="shared" si="40"/>
        <v>0</v>
      </c>
      <c r="BK27" s="2171" t="b">
        <f>IF(AC27&lt;0,TRUE,IF(OR(AND(AI27&lt;0,P27&gt;0),NOT(COUNTBLANK(AD27:AG27)=4)),TRUE,IF(OR(BJ27="Гос.контракты",BJ27="Внешние контрагенты",BJ27="Физические лица",BJ27="НДС с авансов",BJ27="НДС по налоговому агенту"),TRUE,IF(ISBLANK(BJ27),TRUE,IF(ISNA(VLOOKUP(BJ27,Список_компаний!$B$3:$I$289,1,0)),TRUE,IF(OR(BJ27=7704765961,BJ27=3801085668,BJ27=7706729140,BJ27=1402048660,BJ27=5256065824,BJ27=7701927935,BJ27=7451382644,BJ27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27,Список_компаний!$B$3:$I$289,8,0)="Да",VLOOKUP(BJ27,Список_компаний!$B$3:$I$289,7,0)=""),TRUE,IF(AND(VLOOKUP(BJ27,Список_компаний!$B$3:$I$289,8,0)="Да",VLOOKUP(BJ27,Список_компаний!$B$3:$I$289,7,0)="Да"),FALSE,FALSE)),FALSE))))))))</f>
        <v>1</v>
      </c>
      <c r="BL27" s="2171" t="b">
        <f>IF(AC27&lt;0,TRUE,IF(OR(AND(AI27&lt;0,P27&gt;0),NOT(COUNTBLANK(AD27:AG27)=4)),TRUE,IF(OR(F27=10011,F27=10015,F27=10000,F27=10018,F27=10020,F27=10019,F27=567019,F27=10016),TRUE,IF(ISNA(VLOOKUP(F27,Список_компаний!$C$3:$I$289,1,0)),TRUE,IF(OR(F27=362,F27=122,F27=337,F27=330,F27=203,F27=204687,F27=402234,F27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27,Список_компаний!$C$3:$I$289,7,0)="Да",VLOOKUP(F27,Список_компаний!$C$3:$I$289,6,0)=""),TRUE,IF(AND(VLOOKUP(F27,Список_компаний!$C$3:$I$289,7,0)="Да",VLOOKUP(F27,Список_компаний!$C$3:$I$289,6,0)="Да"),FALSE,FALSE)),FALSE)))))))</f>
        <v>1</v>
      </c>
      <c r="BM27" s="2171" t="b">
        <f t="shared" si="27"/>
        <v>1</v>
      </c>
      <c r="BN27" s="2171" t="b">
        <f t="shared" si="28"/>
        <v>1</v>
      </c>
      <c r="BO27" s="2171" t="b">
        <f t="shared" si="41"/>
        <v>1</v>
      </c>
      <c r="BP27" s="2171" t="b">
        <f t="shared" si="42"/>
        <v>1</v>
      </c>
      <c r="BQ27" s="2171" t="b">
        <f t="shared" si="43"/>
        <v>1</v>
      </c>
      <c r="BR27" s="2171" t="b">
        <f t="shared" si="44"/>
        <v>1</v>
      </c>
      <c r="BS27" s="2171" t="b">
        <f t="shared" si="45"/>
        <v>1</v>
      </c>
      <c r="BT27" s="2171" t="b">
        <f t="shared" si="29"/>
        <v>1</v>
      </c>
      <c r="BU27" s="2171" t="str">
        <f>IF(Содержание!$D$12="","ИСТИНА",IF(VLOOKUP(Содержание!$D$12,Справочник!$BZ$4:$CA$173,2,0)=O27,AH27="",TRUE))</f>
        <v>ИСТИНА</v>
      </c>
      <c r="BV27" s="2171" t="b">
        <f>LEFT(H27,10)&lt;=LEFT(Содержание!$D$14,10)</f>
        <v>1</v>
      </c>
      <c r="BX27" s="1569" t="str">
        <f>IFERROR(VLOOKUP(G27,Долгосроч_договоры!D:D,1,0),"нет")</f>
        <v>нет</v>
      </c>
      <c r="BY27" s="1569" t="str">
        <f>IF(I27="{255212} Авансы выданные","да",IF(AND(I27="{255222} Авансы полученные",IFERROR(VLOOKUP(G27,Долгосроч_договоры!D:D,1,0),"нет")&lt;&gt;"нет"),"да","нет"))</f>
        <v>нет</v>
      </c>
      <c r="BZ27" s="2168" t="b">
        <f t="shared" ca="1" si="46"/>
        <v>1</v>
      </c>
      <c r="CA27" s="2168" t="b">
        <f t="shared" ca="1" si="47"/>
        <v>1</v>
      </c>
      <c r="CB27" s="2168" t="b">
        <f t="shared" ca="1" si="48"/>
        <v>1</v>
      </c>
      <c r="CC27" s="3426" t="str">
        <f t="shared" ca="1" si="49"/>
        <v>-</v>
      </c>
      <c r="CG27" s="2168" t="b">
        <f t="shared" si="50"/>
        <v>1</v>
      </c>
    </row>
    <row r="28" spans="1:85" ht="16.5" customHeight="1">
      <c r="A28" s="556" t="str">
        <f t="shared" si="30"/>
        <v>R2=;R42=;R55=;R7=;R1=;R26=;R16=;R30=;R49=;R4=;R57=;R46=;R36=;R43=;COM=</v>
      </c>
      <c r="C28" s="1071"/>
      <c r="D28" s="2269"/>
      <c r="E28" s="1001"/>
      <c r="F28" s="1001"/>
      <c r="G28" s="2269"/>
      <c r="H28" s="2270"/>
      <c r="I28" s="2269"/>
      <c r="J28" s="2269"/>
      <c r="K28" s="2269"/>
      <c r="L28" s="2270"/>
      <c r="M28" s="1288"/>
      <c r="N28" s="2270"/>
      <c r="O28" s="1001"/>
      <c r="P28" s="1113"/>
      <c r="Q28" s="1289">
        <f t="shared" si="57"/>
        <v>0</v>
      </c>
      <c r="R28" s="1289">
        <f t="shared" si="52"/>
        <v>0</v>
      </c>
      <c r="S28" s="1289">
        <f t="shared" si="53"/>
        <v>0</v>
      </c>
      <c r="T28" s="1289">
        <f t="shared" si="54"/>
        <v>0</v>
      </c>
      <c r="U28" s="1289">
        <f t="shared" si="55"/>
        <v>0</v>
      </c>
      <c r="V28" s="1113"/>
      <c r="W28" s="1289">
        <f t="shared" si="31"/>
        <v>0</v>
      </c>
      <c r="X28" s="1289">
        <f t="shared" si="58"/>
        <v>0</v>
      </c>
      <c r="Y28" s="1289">
        <f t="shared" si="59"/>
        <v>0</v>
      </c>
      <c r="Z28" s="1289">
        <f t="shared" si="60"/>
        <v>0</v>
      </c>
      <c r="AA28" s="1289">
        <f t="shared" si="61"/>
        <v>0</v>
      </c>
      <c r="AB28" s="1289">
        <f t="shared" si="62"/>
        <v>0</v>
      </c>
      <c r="AC28" s="897"/>
      <c r="AD28" s="897"/>
      <c r="AE28" s="897"/>
      <c r="AF28" s="897"/>
      <c r="AG28" s="897"/>
      <c r="AH28" s="897"/>
      <c r="AI28" s="2827">
        <f t="shared" si="16"/>
        <v>0</v>
      </c>
      <c r="AJ28" s="2269"/>
      <c r="AK28" s="2269"/>
      <c r="AL28" s="3560" t="b">
        <f t="shared" si="17"/>
        <v>1</v>
      </c>
      <c r="AM28" s="3560" t="b">
        <f t="shared" si="18"/>
        <v>1</v>
      </c>
      <c r="AN28" s="2551" t="b">
        <f t="shared" si="19"/>
        <v>1</v>
      </c>
      <c r="AO28" s="2166"/>
      <c r="AP28" s="2595" t="b">
        <f t="shared" si="20"/>
        <v>1</v>
      </c>
      <c r="AQ28" s="2168"/>
      <c r="AR28" s="2167" t="b">
        <f t="shared" si="21"/>
        <v>1</v>
      </c>
      <c r="AS28" s="3561" t="b">
        <f t="shared" si="34"/>
        <v>1</v>
      </c>
      <c r="AT28" s="2171" t="b">
        <f t="shared" si="22"/>
        <v>1</v>
      </c>
      <c r="AU28" s="2171" t="b">
        <f t="shared" si="23"/>
        <v>1</v>
      </c>
      <c r="AV28" s="2242" t="s">
        <v>7695</v>
      </c>
      <c r="AW28" s="2171" t="b">
        <f t="shared" si="35"/>
        <v>1</v>
      </c>
      <c r="AX28" s="2277" t="str">
        <f t="shared" si="24"/>
        <v/>
      </c>
      <c r="AY28" s="2278" t="str">
        <f t="shared" si="25"/>
        <v>-</v>
      </c>
      <c r="AZ28" s="2551" t="b">
        <f t="shared" si="36"/>
        <v>1</v>
      </c>
      <c r="BA28" s="2551" t="b">
        <f t="shared" si="26"/>
        <v>1</v>
      </c>
      <c r="BB28" s="2551" t="b">
        <f t="shared" si="37"/>
        <v>1</v>
      </c>
      <c r="BC28" s="1569" t="str">
        <f t="shared" si="56"/>
        <v>-</v>
      </c>
      <c r="BF28" s="2171" t="b">
        <f t="shared" si="38"/>
        <v>1</v>
      </c>
      <c r="BG28" s="2171" t="b">
        <f>IF(IFERROR(VLOOKUP($AJ28,_606276_контр_,1,FALSE),FALSE)=FALSE,IF($AJ28="",TRUE,FALSE),TRUE)</f>
        <v>1</v>
      </c>
      <c r="BH28" s="2166" t="s">
        <v>14475</v>
      </c>
      <c r="BJ28" s="1569">
        <f t="shared" si="40"/>
        <v>0</v>
      </c>
      <c r="BK28" s="2171" t="b">
        <f>IF(AC28&lt;0,TRUE,IF(OR(AND(AI28&lt;0,P28&gt;0),NOT(COUNTBLANK(AD28:AG28)=4)),TRUE,IF(OR(BJ28="Гос.контракты",BJ28="Внешние контрагенты",BJ28="Физические лица",BJ28="НДС с авансов",BJ28="НДС по налоговому агенту"),TRUE,IF(ISBLANK(BJ28),TRUE,IF(ISNA(VLOOKUP(BJ28,Список_компаний!$B$3:$I$289,1,0)),TRUE,IF(OR(BJ28=7704765961,BJ28=3801085668,BJ28=7706729140,BJ28=1402048660,BJ28=5256065824,BJ28=7701927935,BJ28=7451382644,BJ28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28,Список_компаний!$B$3:$I$289,8,0)="Да",VLOOKUP(BJ28,Список_компаний!$B$3:$I$289,7,0)=""),TRUE,IF(AND(VLOOKUP(BJ28,Список_компаний!$B$3:$I$289,8,0)="Да",VLOOKUP(BJ28,Список_компаний!$B$3:$I$289,7,0)="Да"),FALSE,FALSE)),FALSE))))))))</f>
        <v>1</v>
      </c>
      <c r="BL28" s="2171" t="b">
        <f>IF(AC28&lt;0,TRUE,IF(OR(AND(AI28&lt;0,P28&gt;0),NOT(COUNTBLANK(AD28:AG28)=4)),TRUE,IF(OR(F28=10011,F28=10015,F28=10000,F28=10018,F28=10020,F28=10019,F28=567019,F28=10016),TRUE,IF(ISNA(VLOOKUP(F28,Список_компаний!$C$3:$I$289,1,0)),TRUE,IF(OR(F28=362,F28=122,F28=337,F28=330,F28=203,F28=204687,F28=402234,F28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28,Список_компаний!$C$3:$I$289,7,0)="Да",VLOOKUP(F28,Список_компаний!$C$3:$I$289,6,0)=""),TRUE,IF(AND(VLOOKUP(F28,Список_компаний!$C$3:$I$289,7,0)="Да",VLOOKUP(F28,Список_компаний!$C$3:$I$289,6,0)="Да"),FALSE,FALSE)),FALSE)))))))</f>
        <v>1</v>
      </c>
      <c r="BM28" s="2171" t="b">
        <f t="shared" si="27"/>
        <v>1</v>
      </c>
      <c r="BN28" s="2171" t="b">
        <f t="shared" si="28"/>
        <v>1</v>
      </c>
      <c r="BO28" s="2171" t="b">
        <f t="shared" si="41"/>
        <v>1</v>
      </c>
      <c r="BP28" s="2171" t="b">
        <f t="shared" si="42"/>
        <v>1</v>
      </c>
      <c r="BQ28" s="2171" t="b">
        <f t="shared" si="43"/>
        <v>1</v>
      </c>
      <c r="BR28" s="2171" t="b">
        <f t="shared" si="44"/>
        <v>1</v>
      </c>
      <c r="BS28" s="2171" t="b">
        <f t="shared" si="45"/>
        <v>1</v>
      </c>
      <c r="BT28" s="2171" t="b">
        <f t="shared" si="29"/>
        <v>1</v>
      </c>
      <c r="BU28" s="2171" t="str">
        <f>IF(Содержание!$D$12="","ИСТИНА",IF(VLOOKUP(Содержание!$D$12,Справочник!$BZ$4:$CA$173,2,0)=O28,AH28="",TRUE))</f>
        <v>ИСТИНА</v>
      </c>
      <c r="BV28" s="2171" t="b">
        <f>LEFT(H28,10)&lt;=LEFT(Содержание!$D$14,10)</f>
        <v>1</v>
      </c>
      <c r="BX28" s="1569" t="str">
        <f>IFERROR(VLOOKUP(G28,Долгосроч_договоры!D:D,1,0),"нет")</f>
        <v>нет</v>
      </c>
      <c r="BY28" s="1569" t="str">
        <f>IF(I28="{255212} Авансы выданные","да",IF(AND(I28="{255222} Авансы полученные",IFERROR(VLOOKUP(G28,Долгосроч_договоры!D:D,1,0),"нет")&lt;&gt;"нет"),"да","нет"))</f>
        <v>нет</v>
      </c>
      <c r="BZ28" s="2168" t="b">
        <f t="shared" ca="1" si="46"/>
        <v>1</v>
      </c>
      <c r="CA28" s="2168" t="b">
        <f t="shared" ca="1" si="47"/>
        <v>1</v>
      </c>
      <c r="CB28" s="2168" t="b">
        <f t="shared" ca="1" si="48"/>
        <v>1</v>
      </c>
      <c r="CC28" s="3426" t="str">
        <f t="shared" ca="1" si="49"/>
        <v>-</v>
      </c>
      <c r="CG28" s="2168" t="b">
        <f t="shared" si="50"/>
        <v>1</v>
      </c>
    </row>
    <row r="29" spans="1:85" ht="16.5" customHeight="1">
      <c r="A29" s="556" t="str">
        <f t="shared" si="30"/>
        <v>R2=;R42=;R55=;R7=;R1=;R26=;R16=;R30=;R49=;R4=;R57=;R46=;R36=;R43=;COM=</v>
      </c>
      <c r="C29" s="1071"/>
      <c r="D29" s="2269"/>
      <c r="E29" s="1001"/>
      <c r="F29" s="1001"/>
      <c r="G29" s="2269"/>
      <c r="H29" s="2270"/>
      <c r="I29" s="2269"/>
      <c r="J29" s="2269"/>
      <c r="K29" s="2269"/>
      <c r="L29" s="2270"/>
      <c r="M29" s="1288"/>
      <c r="N29" s="2270"/>
      <c r="O29" s="1001"/>
      <c r="P29" s="1113"/>
      <c r="Q29" s="1289">
        <f t="shared" si="57"/>
        <v>0</v>
      </c>
      <c r="R29" s="1289">
        <f t="shared" si="52"/>
        <v>0</v>
      </c>
      <c r="S29" s="1289">
        <f t="shared" si="53"/>
        <v>0</v>
      </c>
      <c r="T29" s="1289">
        <f t="shared" si="54"/>
        <v>0</v>
      </c>
      <c r="U29" s="1289">
        <f t="shared" si="55"/>
        <v>0</v>
      </c>
      <c r="V29" s="1113"/>
      <c r="W29" s="1289">
        <f t="shared" si="31"/>
        <v>0</v>
      </c>
      <c r="X29" s="1289">
        <f t="shared" si="58"/>
        <v>0</v>
      </c>
      <c r="Y29" s="1289">
        <f t="shared" si="59"/>
        <v>0</v>
      </c>
      <c r="Z29" s="1289">
        <f t="shared" si="60"/>
        <v>0</v>
      </c>
      <c r="AA29" s="1289">
        <f t="shared" si="61"/>
        <v>0</v>
      </c>
      <c r="AB29" s="1289">
        <f t="shared" si="62"/>
        <v>0</v>
      </c>
      <c r="AC29" s="897"/>
      <c r="AD29" s="897"/>
      <c r="AE29" s="897"/>
      <c r="AF29" s="897"/>
      <c r="AG29" s="897"/>
      <c r="AH29" s="897"/>
      <c r="AI29" s="2827">
        <f t="shared" si="16"/>
        <v>0</v>
      </c>
      <c r="AJ29" s="2269"/>
      <c r="AK29" s="2269"/>
      <c r="AL29" s="3560" t="b">
        <f t="shared" si="17"/>
        <v>1</v>
      </c>
      <c r="AM29" s="3560" t="b">
        <f t="shared" si="18"/>
        <v>1</v>
      </c>
      <c r="AN29" s="2551" t="b">
        <f t="shared" si="19"/>
        <v>1</v>
      </c>
      <c r="AO29" s="2166"/>
      <c r="AP29" s="2595" t="b">
        <f t="shared" si="20"/>
        <v>1</v>
      </c>
      <c r="AQ29" s="2168"/>
      <c r="AR29" s="2167" t="b">
        <f t="shared" si="21"/>
        <v>1</v>
      </c>
      <c r="AS29" s="3561" t="b">
        <f t="shared" si="34"/>
        <v>1</v>
      </c>
      <c r="AT29" s="2171" t="b">
        <f t="shared" si="22"/>
        <v>1</v>
      </c>
      <c r="AU29" s="2171" t="b">
        <f t="shared" si="23"/>
        <v>1</v>
      </c>
      <c r="AV29" s="2242" t="s">
        <v>7695</v>
      </c>
      <c r="AW29" s="2171" t="b">
        <f t="shared" si="35"/>
        <v>1</v>
      </c>
      <c r="AX29" s="2277" t="str">
        <f t="shared" si="24"/>
        <v/>
      </c>
      <c r="AY29" s="2278" t="str">
        <f t="shared" si="25"/>
        <v>-</v>
      </c>
      <c r="AZ29" s="2551" t="b">
        <f t="shared" si="36"/>
        <v>1</v>
      </c>
      <c r="BA29" s="2551" t="b">
        <f t="shared" si="26"/>
        <v>1</v>
      </c>
      <c r="BB29" s="2551" t="b">
        <f t="shared" si="37"/>
        <v>1</v>
      </c>
      <c r="BC29" s="1569" t="str">
        <f t="shared" si="56"/>
        <v>-</v>
      </c>
      <c r="BF29" s="2171" t="b">
        <f t="shared" si="38"/>
        <v>1</v>
      </c>
      <c r="BG29" s="2171" t="b">
        <f t="shared" si="39"/>
        <v>1</v>
      </c>
      <c r="BJ29" s="1569">
        <f t="shared" si="40"/>
        <v>0</v>
      </c>
      <c r="BK29" s="2171" t="b">
        <f>IF(AC29&lt;0,TRUE,IF(OR(AND(AI29&lt;0,P29&gt;0),NOT(COUNTBLANK(AD29:AG29)=4)),TRUE,IF(OR(BJ29="Гос.контракты",BJ29="Внешние контрагенты",BJ29="Физические лица",BJ29="НДС с авансов",BJ29="НДС по налоговому агенту"),TRUE,IF(ISBLANK(BJ29),TRUE,IF(ISNA(VLOOKUP(BJ29,Список_компаний!$B$3:$I$289,1,0)),TRUE,IF(OR(BJ29=7704765961,BJ29=3801085668,BJ29=7706729140,BJ29=1402048660,BJ29=5256065824,BJ29=7701927935,BJ29=7451382644,BJ29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29,Список_компаний!$B$3:$I$289,8,0)="Да",VLOOKUP(BJ29,Список_компаний!$B$3:$I$289,7,0)=""),TRUE,IF(AND(VLOOKUP(BJ29,Список_компаний!$B$3:$I$289,8,0)="Да",VLOOKUP(BJ29,Список_компаний!$B$3:$I$289,7,0)="Да"),FALSE,FALSE)),FALSE))))))))</f>
        <v>1</v>
      </c>
      <c r="BL29" s="2171" t="b">
        <f>IF(AC29&lt;0,TRUE,IF(OR(AND(AI29&lt;0,P29&gt;0),NOT(COUNTBLANK(AD29:AG29)=4)),TRUE,IF(OR(F29=10011,F29=10015,F29=10000,F29=10018,F29=10020,F29=10019,F29=567019,F29=10016),TRUE,IF(ISNA(VLOOKUP(F29,Список_компаний!$C$3:$I$289,1,0)),TRUE,IF(OR(F29=362,F29=122,F29=337,F29=330,F29=203,F29=204687,F29=402234,F29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29,Список_компаний!$C$3:$I$289,7,0)="Да",VLOOKUP(F29,Список_компаний!$C$3:$I$289,6,0)=""),TRUE,IF(AND(VLOOKUP(F29,Список_компаний!$C$3:$I$289,7,0)="Да",VLOOKUP(F29,Список_компаний!$C$3:$I$289,6,0)="Да"),FALSE,FALSE)),FALSE)))))))</f>
        <v>1</v>
      </c>
      <c r="BM29" s="2171" t="b">
        <f t="shared" si="27"/>
        <v>1</v>
      </c>
      <c r="BN29" s="2171" t="b">
        <f t="shared" si="28"/>
        <v>1</v>
      </c>
      <c r="BO29" s="2171" t="b">
        <f t="shared" si="41"/>
        <v>1</v>
      </c>
      <c r="BP29" s="2171" t="b">
        <f t="shared" si="42"/>
        <v>1</v>
      </c>
      <c r="BQ29" s="2171" t="b">
        <f t="shared" si="43"/>
        <v>1</v>
      </c>
      <c r="BR29" s="2171" t="b">
        <f t="shared" si="44"/>
        <v>1</v>
      </c>
      <c r="BS29" s="2171" t="b">
        <f t="shared" si="45"/>
        <v>1</v>
      </c>
      <c r="BT29" s="2171" t="b">
        <f t="shared" si="29"/>
        <v>1</v>
      </c>
      <c r="BU29" s="2171" t="str">
        <f>IF(Содержание!$D$12="","ИСТИНА",IF(VLOOKUP(Содержание!$D$12,Справочник!$BZ$4:$CA$173,2,0)=O29,AH29="",TRUE))</f>
        <v>ИСТИНА</v>
      </c>
      <c r="BV29" s="2171" t="b">
        <f>LEFT(H29,10)&lt;=LEFT(Содержание!$D$14,10)</f>
        <v>1</v>
      </c>
      <c r="BX29" s="1569" t="str">
        <f>IFERROR(VLOOKUP(G29,Долгосроч_договоры!D:D,1,0),"нет")</f>
        <v>нет</v>
      </c>
      <c r="BY29" s="1569" t="str">
        <f>IF(I29="{255212} Авансы выданные","да",IF(AND(I29="{255222} Авансы полученные",IFERROR(VLOOKUP(G29,Долгосроч_договоры!D:D,1,0),"нет")&lt;&gt;"нет"),"да","нет"))</f>
        <v>нет</v>
      </c>
      <c r="BZ29" s="2168" t="b">
        <f t="shared" ca="1" si="46"/>
        <v>1</v>
      </c>
      <c r="CA29" s="2168" t="b">
        <f t="shared" ca="1" si="47"/>
        <v>1</v>
      </c>
      <c r="CB29" s="2168" t="b">
        <f t="shared" ca="1" si="48"/>
        <v>1</v>
      </c>
      <c r="CC29" s="3426" t="str">
        <f t="shared" ca="1" si="49"/>
        <v>-</v>
      </c>
      <c r="CG29" s="2168" t="b">
        <f t="shared" si="50"/>
        <v>1</v>
      </c>
    </row>
    <row r="30" spans="1:85" ht="16.5" customHeight="1">
      <c r="A30" s="556" t="str">
        <f t="shared" si="30"/>
        <v>R2=;R42=;R55=;R7=;R1=;R26=;R16=;R30=;R49=;R4=;R57=;R46=;R36=;R43=;COM=</v>
      </c>
      <c r="C30" s="1071"/>
      <c r="D30" s="2269"/>
      <c r="E30" s="1001"/>
      <c r="F30" s="1001"/>
      <c r="G30" s="2269"/>
      <c r="H30" s="2270"/>
      <c r="I30" s="2269"/>
      <c r="J30" s="2269"/>
      <c r="K30" s="2269"/>
      <c r="L30" s="2270"/>
      <c r="M30" s="1288"/>
      <c r="N30" s="2270"/>
      <c r="O30" s="1001"/>
      <c r="P30" s="1113"/>
      <c r="Q30" s="1289">
        <f t="shared" si="57"/>
        <v>0</v>
      </c>
      <c r="R30" s="1289">
        <f t="shared" si="52"/>
        <v>0</v>
      </c>
      <c r="S30" s="1289">
        <f t="shared" si="53"/>
        <v>0</v>
      </c>
      <c r="T30" s="1289">
        <f t="shared" si="54"/>
        <v>0</v>
      </c>
      <c r="U30" s="1289">
        <f t="shared" si="55"/>
        <v>0</v>
      </c>
      <c r="V30" s="1113"/>
      <c r="W30" s="1289">
        <f t="shared" si="31"/>
        <v>0</v>
      </c>
      <c r="X30" s="1289">
        <f t="shared" si="58"/>
        <v>0</v>
      </c>
      <c r="Y30" s="1289">
        <f t="shared" si="59"/>
        <v>0</v>
      </c>
      <c r="Z30" s="1289">
        <f t="shared" si="60"/>
        <v>0</v>
      </c>
      <c r="AA30" s="1289">
        <f t="shared" si="61"/>
        <v>0</v>
      </c>
      <c r="AB30" s="1289">
        <f t="shared" si="62"/>
        <v>0</v>
      </c>
      <c r="AC30" s="897"/>
      <c r="AD30" s="897"/>
      <c r="AE30" s="897"/>
      <c r="AF30" s="897"/>
      <c r="AG30" s="897"/>
      <c r="AH30" s="897"/>
      <c r="AI30" s="2827">
        <f t="shared" si="16"/>
        <v>0</v>
      </c>
      <c r="AJ30" s="2269"/>
      <c r="AK30" s="2269"/>
      <c r="AL30" s="3560" t="b">
        <f t="shared" si="17"/>
        <v>1</v>
      </c>
      <c r="AM30" s="3560" t="b">
        <f t="shared" si="18"/>
        <v>1</v>
      </c>
      <c r="AN30" s="2551" t="b">
        <f t="shared" si="19"/>
        <v>1</v>
      </c>
      <c r="AO30" s="2166"/>
      <c r="AP30" s="2595" t="b">
        <f t="shared" si="20"/>
        <v>1</v>
      </c>
      <c r="AQ30" s="2168"/>
      <c r="AR30" s="2167" t="b">
        <f t="shared" si="21"/>
        <v>1</v>
      </c>
      <c r="AS30" s="3561" t="b">
        <f t="shared" si="34"/>
        <v>1</v>
      </c>
      <c r="AT30" s="2171" t="b">
        <f t="shared" si="22"/>
        <v>1</v>
      </c>
      <c r="AU30" s="2171" t="b">
        <f t="shared" si="23"/>
        <v>1</v>
      </c>
      <c r="AV30" s="2242" t="s">
        <v>7695</v>
      </c>
      <c r="AW30" s="2171" t="b">
        <f t="shared" si="35"/>
        <v>1</v>
      </c>
      <c r="AX30" s="2277" t="str">
        <f t="shared" si="24"/>
        <v/>
      </c>
      <c r="AY30" s="2278" t="str">
        <f t="shared" si="25"/>
        <v>-</v>
      </c>
      <c r="AZ30" s="2551" t="b">
        <f t="shared" si="36"/>
        <v>1</v>
      </c>
      <c r="BA30" s="2551" t="b">
        <f t="shared" si="26"/>
        <v>1</v>
      </c>
      <c r="BB30" s="2551" t="b">
        <f t="shared" si="37"/>
        <v>1</v>
      </c>
      <c r="BC30" s="1569" t="str">
        <f t="shared" si="56"/>
        <v>-</v>
      </c>
      <c r="BF30" s="2171" t="b">
        <f t="shared" si="38"/>
        <v>1</v>
      </c>
      <c r="BG30" s="2171" t="b">
        <f t="shared" si="39"/>
        <v>1</v>
      </c>
      <c r="BJ30" s="1569">
        <f t="shared" si="40"/>
        <v>0</v>
      </c>
      <c r="BK30" s="2171" t="b">
        <f>IF(AC30&lt;0,TRUE,IF(OR(AND(AI30&lt;0,P30&gt;0),NOT(COUNTBLANK(AD30:AG30)=4)),TRUE,IF(OR(BJ30="Гос.контракты",BJ30="Внешние контрагенты",BJ30="Физические лица",BJ30="НДС с авансов",BJ30="НДС по налоговому агенту"),TRUE,IF(ISBLANK(BJ30),TRUE,IF(ISNA(VLOOKUP(BJ30,Список_компаний!$B$3:$I$289,1,0)),TRUE,IF(OR(BJ30=7704765961,BJ30=3801085668,BJ30=7706729140,BJ30=1402048660,BJ30=5256065824,BJ30=7701927935,BJ30=7451382644,BJ30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30,Список_компаний!$B$3:$I$289,8,0)="Да",VLOOKUP(BJ30,Список_компаний!$B$3:$I$289,7,0)=""),TRUE,IF(AND(VLOOKUP(BJ30,Список_компаний!$B$3:$I$289,8,0)="Да",VLOOKUP(BJ30,Список_компаний!$B$3:$I$289,7,0)="Да"),FALSE,FALSE)),FALSE))))))))</f>
        <v>1</v>
      </c>
      <c r="BL30" s="2171" t="b">
        <f>IF(AC30&lt;0,TRUE,IF(OR(AND(AI30&lt;0,P30&gt;0),NOT(COUNTBLANK(AD30:AG30)=4)),TRUE,IF(OR(F30=10011,F30=10015,F30=10000,F30=10018,F30=10020,F30=10019,F30=567019,F30=10016),TRUE,IF(ISNA(VLOOKUP(F30,Список_компаний!$C$3:$I$289,1,0)),TRUE,IF(OR(F30=362,F30=122,F30=337,F30=330,F30=203,F30=204687,F30=402234,F30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30,Список_компаний!$C$3:$I$289,7,0)="Да",VLOOKUP(F30,Список_компаний!$C$3:$I$289,6,0)=""),TRUE,IF(AND(VLOOKUP(F30,Список_компаний!$C$3:$I$289,7,0)="Да",VLOOKUP(F30,Список_компаний!$C$3:$I$289,6,0)="Да"),FALSE,FALSE)),FALSE)))))))</f>
        <v>1</v>
      </c>
      <c r="BM30" s="2171" t="b">
        <f t="shared" si="27"/>
        <v>1</v>
      </c>
      <c r="BN30" s="2171" t="b">
        <f t="shared" si="28"/>
        <v>1</v>
      </c>
      <c r="BO30" s="2171" t="b">
        <f t="shared" si="41"/>
        <v>1</v>
      </c>
      <c r="BP30" s="2171" t="b">
        <f t="shared" si="42"/>
        <v>1</v>
      </c>
      <c r="BQ30" s="2171" t="b">
        <f t="shared" si="43"/>
        <v>1</v>
      </c>
      <c r="BR30" s="2171" t="b">
        <f t="shared" si="44"/>
        <v>1</v>
      </c>
      <c r="BS30" s="2171" t="b">
        <f t="shared" si="45"/>
        <v>1</v>
      </c>
      <c r="BT30" s="2171" t="b">
        <f t="shared" si="29"/>
        <v>1</v>
      </c>
      <c r="BU30" s="2171" t="str">
        <f>IF(Содержание!$D$12="","ИСТИНА",IF(VLOOKUP(Содержание!$D$12,Справочник!$BZ$4:$CA$173,2,0)=O30,AH30="",TRUE))</f>
        <v>ИСТИНА</v>
      </c>
      <c r="BV30" s="2171" t="b">
        <f>LEFT(H30,10)&lt;=LEFT(Содержание!$D$14,10)</f>
        <v>1</v>
      </c>
      <c r="BX30" s="1569" t="str">
        <f>IFERROR(VLOOKUP(G30,Долгосроч_договоры!D:D,1,0),"нет")</f>
        <v>нет</v>
      </c>
      <c r="BY30" s="1569" t="str">
        <f>IF(I30="{255212} Авансы выданные","да",IF(AND(I30="{255222} Авансы полученные",IFERROR(VLOOKUP(G30,Долгосроч_договоры!D:D,1,0),"нет")&lt;&gt;"нет"),"да","нет"))</f>
        <v>нет</v>
      </c>
      <c r="BZ30" s="2168" t="b">
        <f t="shared" ca="1" si="46"/>
        <v>1</v>
      </c>
      <c r="CA30" s="2168" t="b">
        <f t="shared" ca="1" si="47"/>
        <v>1</v>
      </c>
      <c r="CB30" s="2168" t="b">
        <f t="shared" ca="1" si="48"/>
        <v>1</v>
      </c>
      <c r="CC30" s="3426" t="str">
        <f t="shared" ca="1" si="49"/>
        <v>-</v>
      </c>
      <c r="CG30" s="2168" t="b">
        <f t="shared" si="50"/>
        <v>1</v>
      </c>
    </row>
    <row r="31" spans="1:85" ht="16.5" customHeight="1">
      <c r="A31" s="556" t="str">
        <f t="shared" si="30"/>
        <v>R2=;R42=;R55=;R7=;R1=;R26=;R16=;R30=;R49=;R4=;R57=;R46=;R36=;R43=;COM=</v>
      </c>
      <c r="C31" s="1071"/>
      <c r="D31" s="2269"/>
      <c r="E31" s="1001"/>
      <c r="F31" s="1001"/>
      <c r="G31" s="2269"/>
      <c r="H31" s="2270"/>
      <c r="I31" s="2269"/>
      <c r="J31" s="885"/>
      <c r="K31" s="2269"/>
      <c r="L31" s="2270"/>
      <c r="M31" s="1288"/>
      <c r="N31" s="2270"/>
      <c r="O31" s="1001"/>
      <c r="P31" s="1113"/>
      <c r="Q31" s="1289">
        <f t="shared" si="57"/>
        <v>0</v>
      </c>
      <c r="R31" s="1289">
        <f t="shared" si="52"/>
        <v>0</v>
      </c>
      <c r="S31" s="1289">
        <f t="shared" si="53"/>
        <v>0</v>
      </c>
      <c r="T31" s="1289">
        <f t="shared" si="54"/>
        <v>0</v>
      </c>
      <c r="U31" s="1289">
        <f t="shared" si="55"/>
        <v>0</v>
      </c>
      <c r="V31" s="1113"/>
      <c r="W31" s="1289">
        <f t="shared" si="31"/>
        <v>0</v>
      </c>
      <c r="X31" s="1289">
        <f t="shared" si="58"/>
        <v>0</v>
      </c>
      <c r="Y31" s="1289">
        <f t="shared" si="59"/>
        <v>0</v>
      </c>
      <c r="Z31" s="1289">
        <f t="shared" si="60"/>
        <v>0</v>
      </c>
      <c r="AA31" s="1289">
        <f t="shared" si="61"/>
        <v>0</v>
      </c>
      <c r="AB31" s="1289">
        <f t="shared" si="62"/>
        <v>0</v>
      </c>
      <c r="AC31" s="897"/>
      <c r="AD31" s="897"/>
      <c r="AE31" s="897"/>
      <c r="AF31" s="897"/>
      <c r="AG31" s="897"/>
      <c r="AH31" s="897"/>
      <c r="AI31" s="2827">
        <f t="shared" si="16"/>
        <v>0</v>
      </c>
      <c r="AJ31" s="2269"/>
      <c r="AK31" s="2269"/>
      <c r="AL31" s="3560" t="b">
        <f t="shared" si="17"/>
        <v>1</v>
      </c>
      <c r="AM31" s="3560" t="b">
        <f t="shared" si="18"/>
        <v>1</v>
      </c>
      <c r="AN31" s="2551" t="b">
        <f t="shared" si="19"/>
        <v>1</v>
      </c>
      <c r="AO31" s="2166"/>
      <c r="AP31" s="2595" t="b">
        <f t="shared" si="20"/>
        <v>1</v>
      </c>
      <c r="AQ31" s="2168"/>
      <c r="AR31" s="2167" t="b">
        <f t="shared" si="21"/>
        <v>1</v>
      </c>
      <c r="AS31" s="3561" t="b">
        <f t="shared" si="34"/>
        <v>1</v>
      </c>
      <c r="AT31" s="2171" t="b">
        <f t="shared" si="22"/>
        <v>1</v>
      </c>
      <c r="AU31" s="2171" t="b">
        <f t="shared" si="23"/>
        <v>1</v>
      </c>
      <c r="AV31" s="2242" t="s">
        <v>7695</v>
      </c>
      <c r="AW31" s="2171" t="b">
        <f t="shared" si="35"/>
        <v>1</v>
      </c>
      <c r="AX31" s="2277" t="str">
        <f t="shared" si="24"/>
        <v/>
      </c>
      <c r="AY31" s="2278" t="str">
        <f t="shared" si="25"/>
        <v>-</v>
      </c>
      <c r="AZ31" s="2551" t="b">
        <f t="shared" si="36"/>
        <v>1</v>
      </c>
      <c r="BA31" s="2551" t="b">
        <f t="shared" si="26"/>
        <v>1</v>
      </c>
      <c r="BB31" s="2551" t="b">
        <f t="shared" si="37"/>
        <v>1</v>
      </c>
      <c r="BC31" s="1569" t="str">
        <f t="shared" si="56"/>
        <v>-</v>
      </c>
      <c r="BF31" s="2171" t="b">
        <f t="shared" si="38"/>
        <v>1</v>
      </c>
      <c r="BG31" s="2171" t="b">
        <f t="shared" si="39"/>
        <v>1</v>
      </c>
      <c r="BJ31" s="1569">
        <f t="shared" si="40"/>
        <v>0</v>
      </c>
      <c r="BK31" s="2171" t="b">
        <f>IF(AC31&lt;0,TRUE,IF(OR(AND(AI31&lt;0,P31&gt;0),NOT(COUNTBLANK(AD31:AG31)=4)),TRUE,IF(OR(BJ31="Гос.контракты",BJ31="Внешние контрагенты",BJ31="Физические лица",BJ31="НДС с авансов",BJ31="НДС по налоговому агенту"),TRUE,IF(ISBLANK(BJ31),TRUE,IF(ISNA(VLOOKUP(BJ31,Список_компаний!$B$3:$I$289,1,0)),TRUE,IF(OR(BJ31=7704765961,BJ31=3801085668,BJ31=7706729140,BJ31=1402048660,BJ31=5256065824,BJ31=7701927935,BJ31=7451382644,BJ31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31,Список_компаний!$B$3:$I$289,8,0)="Да",VLOOKUP(BJ31,Список_компаний!$B$3:$I$289,7,0)=""),TRUE,IF(AND(VLOOKUP(BJ31,Список_компаний!$B$3:$I$289,8,0)="Да",VLOOKUP(BJ31,Список_компаний!$B$3:$I$289,7,0)="Да"),FALSE,FALSE)),FALSE))))))))</f>
        <v>1</v>
      </c>
      <c r="BL31" s="2171" t="b">
        <f>IF(AC31&lt;0,TRUE,IF(OR(AND(AI31&lt;0,P31&gt;0),NOT(COUNTBLANK(AD31:AG31)=4)),TRUE,IF(OR(F31=10011,F31=10015,F31=10000,F31=10018,F31=10020,F31=10019,F31=567019,F31=10016),TRUE,IF(ISNA(VLOOKUP(F31,Список_компаний!$C$3:$I$289,1,0)),TRUE,IF(OR(F31=362,F31=122,F31=337,F31=330,F31=203,F31=204687,F31=402234,F31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31,Список_компаний!$C$3:$I$289,7,0)="Да",VLOOKUP(F31,Список_компаний!$C$3:$I$289,6,0)=""),TRUE,IF(AND(VLOOKUP(F31,Список_компаний!$C$3:$I$289,7,0)="Да",VLOOKUP(F31,Список_компаний!$C$3:$I$289,6,0)="Да"),FALSE,FALSE)),FALSE)))))))</f>
        <v>1</v>
      </c>
      <c r="BM31" s="2171" t="b">
        <f t="shared" si="27"/>
        <v>1</v>
      </c>
      <c r="BN31" s="2171" t="b">
        <f t="shared" si="28"/>
        <v>1</v>
      </c>
      <c r="BO31" s="2171" t="b">
        <f t="shared" si="41"/>
        <v>1</v>
      </c>
      <c r="BP31" s="2171" t="b">
        <f t="shared" si="42"/>
        <v>1</v>
      </c>
      <c r="BQ31" s="2171" t="b">
        <f t="shared" si="43"/>
        <v>1</v>
      </c>
      <c r="BR31" s="2171" t="b">
        <f t="shared" si="44"/>
        <v>1</v>
      </c>
      <c r="BS31" s="2171" t="b">
        <f t="shared" si="45"/>
        <v>1</v>
      </c>
      <c r="BT31" s="2171" t="b">
        <f t="shared" si="29"/>
        <v>1</v>
      </c>
      <c r="BU31" s="2171" t="str">
        <f>IF(Содержание!$D$12="","ИСТИНА",IF(VLOOKUP(Содержание!$D$12,Справочник!$BZ$4:$CA$173,2,0)=O31,AH31="",TRUE))</f>
        <v>ИСТИНА</v>
      </c>
      <c r="BV31" s="2171" t="b">
        <f>LEFT(H31,10)&lt;=LEFT(Содержание!$D$14,10)</f>
        <v>1</v>
      </c>
      <c r="BX31" s="1569" t="str">
        <f>IFERROR(VLOOKUP(G31,Долгосроч_договоры!D:D,1,0),"нет")</f>
        <v>нет</v>
      </c>
      <c r="BY31" s="1569" t="str">
        <f>IF(I31="{255212} Авансы выданные","да",IF(AND(I31="{255222} Авансы полученные",IFERROR(VLOOKUP(G31,Долгосроч_договоры!D:D,1,0),"нет")&lt;&gt;"нет"),"да","нет"))</f>
        <v>нет</v>
      </c>
      <c r="BZ31" s="2168" t="b">
        <f t="shared" ca="1" si="46"/>
        <v>1</v>
      </c>
      <c r="CA31" s="2168" t="b">
        <f t="shared" ca="1" si="47"/>
        <v>1</v>
      </c>
      <c r="CB31" s="2168" t="b">
        <f t="shared" ca="1" si="48"/>
        <v>1</v>
      </c>
      <c r="CC31" s="3426" t="str">
        <f t="shared" ca="1" si="49"/>
        <v>-</v>
      </c>
      <c r="CG31" s="2168" t="b">
        <f t="shared" si="50"/>
        <v>1</v>
      </c>
    </row>
    <row r="32" spans="1:85" ht="16.5" customHeight="1">
      <c r="A32" s="556" t="str">
        <f t="shared" si="30"/>
        <v>R2=;R42=;R55=;R7=;R1=;R26=;R16=;R30=;R49=;R4=;R57=;R46=;R36=;R43=;COM=</v>
      </c>
      <c r="C32" s="1071"/>
      <c r="D32" s="2269"/>
      <c r="E32" s="1001"/>
      <c r="F32" s="1001"/>
      <c r="G32" s="2269"/>
      <c r="H32" s="2270"/>
      <c r="I32" s="2269"/>
      <c r="J32" s="2269"/>
      <c r="K32" s="2269"/>
      <c r="L32" s="2270"/>
      <c r="M32" s="1288"/>
      <c r="N32" s="2270"/>
      <c r="O32" s="1001"/>
      <c r="P32" s="1113"/>
      <c r="Q32" s="1289">
        <f t="shared" si="57"/>
        <v>0</v>
      </c>
      <c r="R32" s="1289">
        <f t="shared" si="52"/>
        <v>0</v>
      </c>
      <c r="S32" s="1289">
        <f t="shared" si="53"/>
        <v>0</v>
      </c>
      <c r="T32" s="1289">
        <f t="shared" si="54"/>
        <v>0</v>
      </c>
      <c r="U32" s="1289">
        <f t="shared" si="55"/>
        <v>0</v>
      </c>
      <c r="V32" s="1113"/>
      <c r="W32" s="1289">
        <f t="shared" si="31"/>
        <v>0</v>
      </c>
      <c r="X32" s="1289">
        <f t="shared" si="58"/>
        <v>0</v>
      </c>
      <c r="Y32" s="1289">
        <f t="shared" si="59"/>
        <v>0</v>
      </c>
      <c r="Z32" s="1289">
        <f t="shared" si="60"/>
        <v>0</v>
      </c>
      <c r="AA32" s="1289">
        <f t="shared" si="61"/>
        <v>0</v>
      </c>
      <c r="AB32" s="1289">
        <f t="shared" si="62"/>
        <v>0</v>
      </c>
      <c r="AC32" s="897"/>
      <c r="AD32" s="897"/>
      <c r="AE32" s="897"/>
      <c r="AF32" s="897"/>
      <c r="AG32" s="897"/>
      <c r="AH32" s="897"/>
      <c r="AI32" s="2827">
        <f t="shared" si="16"/>
        <v>0</v>
      </c>
      <c r="AJ32" s="2269"/>
      <c r="AK32" s="2269"/>
      <c r="AL32" s="3560" t="b">
        <f t="shared" si="17"/>
        <v>1</v>
      </c>
      <c r="AM32" s="3560" t="b">
        <f t="shared" si="18"/>
        <v>1</v>
      </c>
      <c r="AN32" s="2551" t="b">
        <f t="shared" si="19"/>
        <v>1</v>
      </c>
      <c r="AO32" s="2166"/>
      <c r="AP32" s="2595" t="b">
        <f t="shared" si="20"/>
        <v>1</v>
      </c>
      <c r="AQ32" s="2168"/>
      <c r="AR32" s="2167" t="b">
        <f t="shared" si="21"/>
        <v>1</v>
      </c>
      <c r="AS32" s="3561" t="b">
        <f t="shared" si="34"/>
        <v>1</v>
      </c>
      <c r="AT32" s="2171" t="b">
        <f t="shared" si="22"/>
        <v>1</v>
      </c>
      <c r="AU32" s="2171" t="b">
        <f t="shared" si="23"/>
        <v>1</v>
      </c>
      <c r="AV32" s="2242" t="s">
        <v>7695</v>
      </c>
      <c r="AW32" s="2171" t="b">
        <f t="shared" si="35"/>
        <v>1</v>
      </c>
      <c r="AX32" s="2277" t="str">
        <f t="shared" si="24"/>
        <v/>
      </c>
      <c r="AY32" s="2278" t="str">
        <f t="shared" si="25"/>
        <v>-</v>
      </c>
      <c r="AZ32" s="2551" t="b">
        <f t="shared" si="36"/>
        <v>1</v>
      </c>
      <c r="BA32" s="2551" t="b">
        <f t="shared" si="26"/>
        <v>1</v>
      </c>
      <c r="BB32" s="2551" t="b">
        <f t="shared" si="37"/>
        <v>1</v>
      </c>
      <c r="BC32" s="1569" t="str">
        <f t="shared" si="56"/>
        <v>-</v>
      </c>
      <c r="BF32" s="2171" t="b">
        <f t="shared" si="38"/>
        <v>1</v>
      </c>
      <c r="BG32" s="2171" t="b">
        <f t="shared" si="39"/>
        <v>1</v>
      </c>
      <c r="BJ32" s="1569">
        <f t="shared" si="40"/>
        <v>0</v>
      </c>
      <c r="BK32" s="2171" t="b">
        <f>IF(AC32&lt;0,TRUE,IF(OR(AND(AI32&lt;0,P32&gt;0),NOT(COUNTBLANK(AD32:AG32)=4)),TRUE,IF(OR(BJ32="Гос.контракты",BJ32="Внешние контрагенты",BJ32="Физические лица",BJ32="НДС с авансов",BJ32="НДС по налоговому агенту"),TRUE,IF(ISBLANK(BJ32),TRUE,IF(ISNA(VLOOKUP(BJ32,Список_компаний!$B$3:$I$289,1,0)),TRUE,IF(OR(BJ32=7704765961,BJ32=3801085668,BJ32=7706729140,BJ32=1402048660,BJ32=5256065824,BJ32=7701927935,BJ32=7451382644,BJ32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32,Список_компаний!$B$3:$I$289,8,0)="Да",VLOOKUP(BJ32,Список_компаний!$B$3:$I$289,7,0)=""),TRUE,IF(AND(VLOOKUP(BJ32,Список_компаний!$B$3:$I$289,8,0)="Да",VLOOKUP(BJ32,Список_компаний!$B$3:$I$289,7,0)="Да"),FALSE,FALSE)),FALSE))))))))</f>
        <v>1</v>
      </c>
      <c r="BL32" s="2171" t="b">
        <f>IF(AC32&lt;0,TRUE,IF(OR(AND(AI32&lt;0,P32&gt;0),NOT(COUNTBLANK(AD32:AG32)=4)),TRUE,IF(OR(F32=10011,F32=10015,F32=10000,F32=10018,F32=10020,F32=10019,F32=567019,F32=10016),TRUE,IF(ISNA(VLOOKUP(F32,Список_компаний!$C$3:$I$289,1,0)),TRUE,IF(OR(F32=362,F32=122,F32=337,F32=330,F32=203,F32=204687,F32=402234,F32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32,Список_компаний!$C$3:$I$289,7,0)="Да",VLOOKUP(F32,Список_компаний!$C$3:$I$289,6,0)=""),TRUE,IF(AND(VLOOKUP(F32,Список_компаний!$C$3:$I$289,7,0)="Да",VLOOKUP(F32,Список_компаний!$C$3:$I$289,6,0)="Да"),FALSE,FALSE)),FALSE)))))))</f>
        <v>1</v>
      </c>
      <c r="BM32" s="2171" t="b">
        <f t="shared" si="27"/>
        <v>1</v>
      </c>
      <c r="BN32" s="2171" t="b">
        <f t="shared" si="28"/>
        <v>1</v>
      </c>
      <c r="BO32" s="2171" t="b">
        <f t="shared" si="41"/>
        <v>1</v>
      </c>
      <c r="BP32" s="2171" t="b">
        <f t="shared" si="42"/>
        <v>1</v>
      </c>
      <c r="BQ32" s="2171" t="b">
        <f t="shared" si="43"/>
        <v>1</v>
      </c>
      <c r="BR32" s="2171" t="b">
        <f t="shared" si="44"/>
        <v>1</v>
      </c>
      <c r="BS32" s="2171" t="b">
        <f t="shared" si="45"/>
        <v>1</v>
      </c>
      <c r="BT32" s="2171" t="b">
        <f t="shared" si="29"/>
        <v>1</v>
      </c>
      <c r="BU32" s="2171" t="str">
        <f>IF(Содержание!$D$12="","ИСТИНА",IF(VLOOKUP(Содержание!$D$12,Справочник!$BZ$4:$CA$173,2,0)=O32,AH32="",TRUE))</f>
        <v>ИСТИНА</v>
      </c>
      <c r="BV32" s="2171" t="b">
        <f>LEFT(H32,10)&lt;=LEFT(Содержание!$D$14,10)</f>
        <v>1</v>
      </c>
      <c r="BX32" s="1569" t="str">
        <f>IFERROR(VLOOKUP(G32,Долгосроч_договоры!D:D,1,0),"нет")</f>
        <v>нет</v>
      </c>
      <c r="BY32" s="1569" t="str">
        <f>IF(I32="{255212} Авансы выданные","да",IF(AND(I32="{255222} Авансы полученные",IFERROR(VLOOKUP(G32,Долгосроч_договоры!D:D,1,0),"нет")&lt;&gt;"нет"),"да","нет"))</f>
        <v>нет</v>
      </c>
      <c r="BZ32" s="2168" t="b">
        <f t="shared" ca="1" si="46"/>
        <v>1</v>
      </c>
      <c r="CA32" s="2168" t="b">
        <f t="shared" ca="1" si="47"/>
        <v>1</v>
      </c>
      <c r="CB32" s="2168" t="b">
        <f t="shared" ca="1" si="48"/>
        <v>1</v>
      </c>
      <c r="CC32" s="3426" t="str">
        <f t="shared" ca="1" si="49"/>
        <v>-</v>
      </c>
      <c r="CG32" s="2168" t="b">
        <f t="shared" si="50"/>
        <v>1</v>
      </c>
    </row>
    <row r="33" spans="1:85" ht="16.5" customHeight="1">
      <c r="A33" s="556" t="str">
        <f t="shared" si="30"/>
        <v>R2=;R42=;R55=;R7=;R1=;R26=;R16=;R30=;R49=;R4=;R57=;R46=;R36=;R43=;COM=</v>
      </c>
      <c r="C33" s="1071"/>
      <c r="D33" s="2269"/>
      <c r="E33" s="1001"/>
      <c r="F33" s="1001"/>
      <c r="G33" s="2269"/>
      <c r="H33" s="2270"/>
      <c r="I33" s="2269"/>
      <c r="J33" s="2269"/>
      <c r="K33" s="2269"/>
      <c r="L33" s="2270"/>
      <c r="M33" s="1288"/>
      <c r="N33" s="2270"/>
      <c r="O33" s="1001"/>
      <c r="P33" s="1113"/>
      <c r="Q33" s="1289">
        <f t="shared" si="57"/>
        <v>0</v>
      </c>
      <c r="R33" s="1289">
        <f t="shared" si="52"/>
        <v>0</v>
      </c>
      <c r="S33" s="1289">
        <f t="shared" si="53"/>
        <v>0</v>
      </c>
      <c r="T33" s="1289">
        <f t="shared" si="54"/>
        <v>0</v>
      </c>
      <c r="U33" s="1289">
        <f t="shared" si="55"/>
        <v>0</v>
      </c>
      <c r="V33" s="1113"/>
      <c r="W33" s="1289">
        <f t="shared" si="31"/>
        <v>0</v>
      </c>
      <c r="X33" s="1289">
        <f t="shared" si="58"/>
        <v>0</v>
      </c>
      <c r="Y33" s="1289">
        <f t="shared" si="59"/>
        <v>0</v>
      </c>
      <c r="Z33" s="1289">
        <f t="shared" si="60"/>
        <v>0</v>
      </c>
      <c r="AA33" s="1289">
        <f t="shared" si="61"/>
        <v>0</v>
      </c>
      <c r="AB33" s="1289">
        <f t="shared" si="62"/>
        <v>0</v>
      </c>
      <c r="AC33" s="897"/>
      <c r="AD33" s="897"/>
      <c r="AE33" s="897"/>
      <c r="AF33" s="897"/>
      <c r="AG33" s="897"/>
      <c r="AH33" s="897"/>
      <c r="AI33" s="2827">
        <f t="shared" si="16"/>
        <v>0</v>
      </c>
      <c r="AJ33" s="2269"/>
      <c r="AK33" s="2269"/>
      <c r="AL33" s="3560" t="b">
        <f t="shared" si="17"/>
        <v>1</v>
      </c>
      <c r="AM33" s="3560" t="b">
        <f t="shared" si="18"/>
        <v>1</v>
      </c>
      <c r="AN33" s="2551" t="b">
        <f t="shared" si="19"/>
        <v>1</v>
      </c>
      <c r="AO33" s="2166"/>
      <c r="AP33" s="2595" t="b">
        <f t="shared" si="20"/>
        <v>1</v>
      </c>
      <c r="AQ33" s="2168"/>
      <c r="AR33" s="2167" t="b">
        <f t="shared" si="21"/>
        <v>1</v>
      </c>
      <c r="AS33" s="3561" t="b">
        <f t="shared" si="34"/>
        <v>1</v>
      </c>
      <c r="AT33" s="2171" t="b">
        <f t="shared" si="22"/>
        <v>1</v>
      </c>
      <c r="AU33" s="2171" t="b">
        <f t="shared" si="23"/>
        <v>1</v>
      </c>
      <c r="AV33" s="2242" t="s">
        <v>7695</v>
      </c>
      <c r="AW33" s="2171" t="b">
        <f t="shared" si="35"/>
        <v>1</v>
      </c>
      <c r="AX33" s="2277" t="str">
        <f t="shared" si="24"/>
        <v/>
      </c>
      <c r="AY33" s="2278" t="str">
        <f t="shared" si="25"/>
        <v>-</v>
      </c>
      <c r="AZ33" s="2551" t="b">
        <f t="shared" si="36"/>
        <v>1</v>
      </c>
      <c r="BA33" s="2551" t="b">
        <f t="shared" si="26"/>
        <v>1</v>
      </c>
      <c r="BB33" s="2551" t="b">
        <f t="shared" si="37"/>
        <v>1</v>
      </c>
      <c r="BC33" s="1569" t="str">
        <f t="shared" si="56"/>
        <v>-</v>
      </c>
      <c r="BF33" s="2171" t="b">
        <f t="shared" si="38"/>
        <v>1</v>
      </c>
      <c r="BG33" s="2171" t="b">
        <f t="shared" si="39"/>
        <v>1</v>
      </c>
      <c r="BJ33" s="1569">
        <f t="shared" si="40"/>
        <v>0</v>
      </c>
      <c r="BK33" s="2171" t="b">
        <f>IF(AC33&lt;0,TRUE,IF(OR(AND(AI33&lt;0,P33&gt;0),NOT(COUNTBLANK(AD33:AG33)=4)),TRUE,IF(OR(BJ33="Гос.контракты",BJ33="Внешние контрагенты",BJ33="Физические лица",BJ33="НДС с авансов",BJ33="НДС по налоговому агенту"),TRUE,IF(ISBLANK(BJ33),TRUE,IF(ISNA(VLOOKUP(BJ33,Список_компаний!$B$3:$I$289,1,0)),TRUE,IF(OR(BJ33=7704765961,BJ33=3801085668,BJ33=7706729140,BJ33=1402048660,BJ33=5256065824,BJ33=7701927935,BJ33=7451382644,BJ33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33,Список_компаний!$B$3:$I$289,8,0)="Да",VLOOKUP(BJ33,Список_компаний!$B$3:$I$289,7,0)=""),TRUE,IF(AND(VLOOKUP(BJ33,Список_компаний!$B$3:$I$289,8,0)="Да",VLOOKUP(BJ33,Список_компаний!$B$3:$I$289,7,0)="Да"),FALSE,FALSE)),FALSE))))))))</f>
        <v>1</v>
      </c>
      <c r="BL33" s="2171" t="b">
        <f>IF(AC33&lt;0,TRUE,IF(OR(AND(AI33&lt;0,P33&gt;0),NOT(COUNTBLANK(AD33:AG33)=4)),TRUE,IF(OR(F33=10011,F33=10015,F33=10000,F33=10018,F33=10020,F33=10019,F33=567019,F33=10016),TRUE,IF(ISNA(VLOOKUP(F33,Список_компаний!$C$3:$I$289,1,0)),TRUE,IF(OR(F33=362,F33=122,F33=337,F33=330,F33=203,F33=204687,F33=402234,F33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33,Список_компаний!$C$3:$I$289,7,0)="Да",VLOOKUP(F33,Список_компаний!$C$3:$I$289,6,0)=""),TRUE,IF(AND(VLOOKUP(F33,Список_компаний!$C$3:$I$289,7,0)="Да",VLOOKUP(F33,Список_компаний!$C$3:$I$289,6,0)="Да"),FALSE,FALSE)),FALSE)))))))</f>
        <v>1</v>
      </c>
      <c r="BM33" s="2171" t="b">
        <f t="shared" si="27"/>
        <v>1</v>
      </c>
      <c r="BN33" s="2171" t="b">
        <f t="shared" si="28"/>
        <v>1</v>
      </c>
      <c r="BO33" s="2171" t="b">
        <f t="shared" si="41"/>
        <v>1</v>
      </c>
      <c r="BP33" s="2171" t="b">
        <f t="shared" si="42"/>
        <v>1</v>
      </c>
      <c r="BQ33" s="2171" t="b">
        <f t="shared" si="43"/>
        <v>1</v>
      </c>
      <c r="BR33" s="2171" t="b">
        <f t="shared" si="44"/>
        <v>1</v>
      </c>
      <c r="BS33" s="2171" t="b">
        <f t="shared" si="45"/>
        <v>1</v>
      </c>
      <c r="BT33" s="2171" t="b">
        <f t="shared" si="29"/>
        <v>1</v>
      </c>
      <c r="BU33" s="2171" t="str">
        <f>IF(Содержание!$D$12="","ИСТИНА",IF(VLOOKUP(Содержание!$D$12,Справочник!$BZ$4:$CA$173,2,0)=O33,AH33="",TRUE))</f>
        <v>ИСТИНА</v>
      </c>
      <c r="BV33" s="2171" t="b">
        <f>LEFT(H33,10)&lt;=LEFT(Содержание!$D$14,10)</f>
        <v>1</v>
      </c>
      <c r="BX33" s="1569" t="str">
        <f>IFERROR(VLOOKUP(G33,Долгосроч_договоры!D:D,1,0),"нет")</f>
        <v>нет</v>
      </c>
      <c r="BY33" s="1569" t="str">
        <f>IF(I33="{255212} Авансы выданные","да",IF(AND(I33="{255222} Авансы полученные",IFERROR(VLOOKUP(G33,Долгосроч_договоры!D:D,1,0),"нет")&lt;&gt;"нет"),"да","нет"))</f>
        <v>нет</v>
      </c>
      <c r="BZ33" s="2168" t="b">
        <f t="shared" ca="1" si="46"/>
        <v>1</v>
      </c>
      <c r="CA33" s="2168" t="b">
        <f t="shared" ca="1" si="47"/>
        <v>1</v>
      </c>
      <c r="CB33" s="2168" t="b">
        <f t="shared" ca="1" si="48"/>
        <v>1</v>
      </c>
      <c r="CC33" s="3426" t="str">
        <f t="shared" ca="1" si="49"/>
        <v>-</v>
      </c>
      <c r="CG33" s="2168" t="b">
        <f t="shared" si="50"/>
        <v>1</v>
      </c>
    </row>
    <row r="34" spans="1:85" ht="16.5" customHeight="1">
      <c r="A34" s="556" t="str">
        <f t="shared" si="30"/>
        <v>R2=;R42=;R55=;R7=;R1=;R26=;R16=;R30=;R49=;R4=;R57=;R46=;R36=;R43=;COM=</v>
      </c>
      <c r="C34" s="1071"/>
      <c r="D34" s="2269"/>
      <c r="E34" s="1001"/>
      <c r="F34" s="1001"/>
      <c r="G34" s="2269"/>
      <c r="H34" s="2270"/>
      <c r="I34" s="2269"/>
      <c r="J34" s="2269"/>
      <c r="K34" s="2269"/>
      <c r="L34" s="2270"/>
      <c r="M34" s="1288"/>
      <c r="N34" s="2270"/>
      <c r="O34" s="1001"/>
      <c r="P34" s="1113"/>
      <c r="Q34" s="1289">
        <f t="shared" si="57"/>
        <v>0</v>
      </c>
      <c r="R34" s="1289">
        <f t="shared" si="52"/>
        <v>0</v>
      </c>
      <c r="S34" s="1289">
        <f t="shared" si="53"/>
        <v>0</v>
      </c>
      <c r="T34" s="1289">
        <f t="shared" si="54"/>
        <v>0</v>
      </c>
      <c r="U34" s="1289">
        <f t="shared" si="55"/>
        <v>0</v>
      </c>
      <c r="V34" s="1113"/>
      <c r="W34" s="1289">
        <f t="shared" si="31"/>
        <v>0</v>
      </c>
      <c r="X34" s="1289">
        <f t="shared" si="58"/>
        <v>0</v>
      </c>
      <c r="Y34" s="1289">
        <f t="shared" si="59"/>
        <v>0</v>
      </c>
      <c r="Z34" s="1289">
        <f t="shared" si="60"/>
        <v>0</v>
      </c>
      <c r="AA34" s="1289">
        <f t="shared" si="61"/>
        <v>0</v>
      </c>
      <c r="AB34" s="1289">
        <f t="shared" si="62"/>
        <v>0</v>
      </c>
      <c r="AC34" s="897"/>
      <c r="AD34" s="897"/>
      <c r="AE34" s="897"/>
      <c r="AF34" s="897"/>
      <c r="AG34" s="897"/>
      <c r="AH34" s="897"/>
      <c r="AI34" s="2827">
        <f t="shared" si="16"/>
        <v>0</v>
      </c>
      <c r="AJ34" s="2269"/>
      <c r="AK34" s="2269"/>
      <c r="AL34" s="3560" t="b">
        <f t="shared" si="17"/>
        <v>1</v>
      </c>
      <c r="AM34" s="3560" t="b">
        <f t="shared" si="18"/>
        <v>1</v>
      </c>
      <c r="AN34" s="2551" t="b">
        <f t="shared" si="19"/>
        <v>1</v>
      </c>
      <c r="AO34" s="2166"/>
      <c r="AP34" s="2595" t="b">
        <f t="shared" si="20"/>
        <v>1</v>
      </c>
      <c r="AQ34" s="2168"/>
      <c r="AR34" s="2167" t="b">
        <f t="shared" si="21"/>
        <v>1</v>
      </c>
      <c r="AS34" s="3561" t="b">
        <f t="shared" si="34"/>
        <v>1</v>
      </c>
      <c r="AT34" s="2171" t="b">
        <f t="shared" si="22"/>
        <v>1</v>
      </c>
      <c r="AU34" s="2171" t="b">
        <f t="shared" si="23"/>
        <v>1</v>
      </c>
      <c r="AV34" s="2242" t="s">
        <v>7695</v>
      </c>
      <c r="AW34" s="2171" t="b">
        <f t="shared" si="35"/>
        <v>1</v>
      </c>
      <c r="AX34" s="2277" t="str">
        <f t="shared" si="24"/>
        <v/>
      </c>
      <c r="AY34" s="2278" t="str">
        <f t="shared" si="25"/>
        <v>-</v>
      </c>
      <c r="AZ34" s="2551" t="b">
        <f t="shared" si="36"/>
        <v>1</v>
      </c>
      <c r="BA34" s="2551" t="b">
        <f t="shared" si="26"/>
        <v>1</v>
      </c>
      <c r="BB34" s="2551" t="b">
        <f t="shared" si="37"/>
        <v>1</v>
      </c>
      <c r="BC34" s="1569" t="str">
        <f t="shared" si="56"/>
        <v>-</v>
      </c>
      <c r="BF34" s="2171" t="b">
        <f t="shared" si="38"/>
        <v>1</v>
      </c>
      <c r="BG34" s="2171" t="b">
        <f t="shared" si="39"/>
        <v>1</v>
      </c>
      <c r="BJ34" s="1569">
        <f t="shared" si="40"/>
        <v>0</v>
      </c>
      <c r="BK34" s="2171" t="b">
        <f>IF(AC34&lt;0,TRUE,IF(OR(AND(AI34&lt;0,P34&gt;0),NOT(COUNTBLANK(AD34:AG34)=4)),TRUE,IF(OR(BJ34="Гос.контракты",BJ34="Внешние контрагенты",BJ34="Физические лица",BJ34="НДС с авансов",BJ34="НДС по налоговому агенту"),TRUE,IF(ISBLANK(BJ34),TRUE,IF(ISNA(VLOOKUP(BJ34,Список_компаний!$B$3:$I$289,1,0)),TRUE,IF(OR(BJ34=7704765961,BJ34=3801085668,BJ34=7706729140,BJ34=1402048660,BJ34=5256065824,BJ34=7701927935,BJ34=7451382644,BJ34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34,Список_компаний!$B$3:$I$289,8,0)="Да",VLOOKUP(BJ34,Список_компаний!$B$3:$I$289,7,0)=""),TRUE,IF(AND(VLOOKUP(BJ34,Список_компаний!$B$3:$I$289,8,0)="Да",VLOOKUP(BJ34,Список_компаний!$B$3:$I$289,7,0)="Да"),FALSE,FALSE)),FALSE))))))))</f>
        <v>1</v>
      </c>
      <c r="BL34" s="2171" t="b">
        <f>IF(AC34&lt;0,TRUE,IF(OR(AND(AI34&lt;0,P34&gt;0),NOT(COUNTBLANK(AD34:AG34)=4)),TRUE,IF(OR(F34=10011,F34=10015,F34=10000,F34=10018,F34=10020,F34=10019,F34=567019,F34=10016),TRUE,IF(ISNA(VLOOKUP(F34,Список_компаний!$C$3:$I$289,1,0)),TRUE,IF(OR(F34=362,F34=122,F34=337,F34=330,F34=203,F34=204687,F34=402234,F34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34,Список_компаний!$C$3:$I$289,7,0)="Да",VLOOKUP(F34,Список_компаний!$C$3:$I$289,6,0)=""),TRUE,IF(AND(VLOOKUP(F34,Список_компаний!$C$3:$I$289,7,0)="Да",VLOOKUP(F34,Список_компаний!$C$3:$I$289,6,0)="Да"),FALSE,FALSE)),FALSE)))))))</f>
        <v>1</v>
      </c>
      <c r="BM34" s="2171" t="b">
        <f t="shared" si="27"/>
        <v>1</v>
      </c>
      <c r="BN34" s="2171" t="b">
        <f t="shared" si="28"/>
        <v>1</v>
      </c>
      <c r="BO34" s="2171" t="b">
        <f t="shared" si="41"/>
        <v>1</v>
      </c>
      <c r="BP34" s="2171" t="b">
        <f t="shared" si="42"/>
        <v>1</v>
      </c>
      <c r="BQ34" s="2171" t="b">
        <f t="shared" si="43"/>
        <v>1</v>
      </c>
      <c r="BR34" s="2171" t="b">
        <f t="shared" si="44"/>
        <v>1</v>
      </c>
      <c r="BS34" s="2171" t="b">
        <f t="shared" si="45"/>
        <v>1</v>
      </c>
      <c r="BT34" s="2171" t="b">
        <f t="shared" si="29"/>
        <v>1</v>
      </c>
      <c r="BU34" s="2171" t="str">
        <f>IF(Содержание!$D$12="","ИСТИНА",IF(VLOOKUP(Содержание!$D$12,Справочник!$BZ$4:$CA$173,2,0)=O34,AH34="",TRUE))</f>
        <v>ИСТИНА</v>
      </c>
      <c r="BV34" s="2171" t="b">
        <f>LEFT(H34,10)&lt;=LEFT(Содержание!$D$14,10)</f>
        <v>1</v>
      </c>
      <c r="BX34" s="1569" t="str">
        <f>IFERROR(VLOOKUP(G34,Долгосроч_договоры!D:D,1,0),"нет")</f>
        <v>нет</v>
      </c>
      <c r="BY34" s="1569" t="str">
        <f>IF(I34="{255212} Авансы выданные","да",IF(AND(I34="{255222} Авансы полученные",IFERROR(VLOOKUP(G34,Долгосроч_договоры!D:D,1,0),"нет")&lt;&gt;"нет"),"да","нет"))</f>
        <v>нет</v>
      </c>
      <c r="BZ34" s="2168" t="b">
        <f t="shared" ca="1" si="46"/>
        <v>1</v>
      </c>
      <c r="CA34" s="2168" t="b">
        <f t="shared" ca="1" si="47"/>
        <v>1</v>
      </c>
      <c r="CB34" s="2168" t="b">
        <f t="shared" ca="1" si="48"/>
        <v>1</v>
      </c>
      <c r="CC34" s="3426" t="str">
        <f t="shared" ca="1" si="49"/>
        <v>-</v>
      </c>
      <c r="CG34" s="2168" t="b">
        <f t="shared" si="50"/>
        <v>1</v>
      </c>
    </row>
    <row r="35" spans="1:85" ht="16.5" customHeight="1">
      <c r="A35" s="556" t="str">
        <f t="shared" si="30"/>
        <v>R2=;R42=;R55=;R7=;R1=;R26=;R16=;R30=;R49=;R4=;R57=;R46=;R36=;R43=;COM=</v>
      </c>
      <c r="C35" s="1071"/>
      <c r="D35" s="885"/>
      <c r="E35" s="885"/>
      <c r="F35" s="1001"/>
      <c r="G35" s="885"/>
      <c r="H35" s="1288"/>
      <c r="I35" s="885"/>
      <c r="J35" s="885"/>
      <c r="K35" s="2269"/>
      <c r="L35" s="2270"/>
      <c r="M35" s="1288"/>
      <c r="N35" s="2270"/>
      <c r="O35" s="1001"/>
      <c r="P35" s="1113"/>
      <c r="Q35" s="1289">
        <f t="shared" si="57"/>
        <v>0</v>
      </c>
      <c r="R35" s="1289">
        <f t="shared" si="52"/>
        <v>0</v>
      </c>
      <c r="S35" s="1289">
        <f t="shared" si="53"/>
        <v>0</v>
      </c>
      <c r="T35" s="1289">
        <f t="shared" si="54"/>
        <v>0</v>
      </c>
      <c r="U35" s="1289">
        <f t="shared" si="55"/>
        <v>0</v>
      </c>
      <c r="V35" s="1113"/>
      <c r="W35" s="1289">
        <f t="shared" si="31"/>
        <v>0</v>
      </c>
      <c r="X35" s="1289">
        <f t="shared" si="58"/>
        <v>0</v>
      </c>
      <c r="Y35" s="1289">
        <f t="shared" si="59"/>
        <v>0</v>
      </c>
      <c r="Z35" s="1289">
        <f t="shared" si="60"/>
        <v>0</v>
      </c>
      <c r="AA35" s="1289">
        <f t="shared" si="61"/>
        <v>0</v>
      </c>
      <c r="AB35" s="1289">
        <f t="shared" si="62"/>
        <v>0</v>
      </c>
      <c r="AC35" s="897"/>
      <c r="AD35" s="897"/>
      <c r="AE35" s="897"/>
      <c r="AF35" s="897"/>
      <c r="AG35" s="897"/>
      <c r="AH35" s="897"/>
      <c r="AI35" s="2827">
        <f t="shared" si="16"/>
        <v>0</v>
      </c>
      <c r="AJ35" s="2269"/>
      <c r="AK35" s="2269"/>
      <c r="AL35" s="3560" t="b">
        <f t="shared" si="17"/>
        <v>1</v>
      </c>
      <c r="AM35" s="3560" t="b">
        <f t="shared" si="18"/>
        <v>1</v>
      </c>
      <c r="AN35" s="2551" t="b">
        <f t="shared" si="19"/>
        <v>1</v>
      </c>
      <c r="AO35" s="2166"/>
      <c r="AP35" s="2595" t="b">
        <f t="shared" si="20"/>
        <v>1</v>
      </c>
      <c r="AQ35" s="2168"/>
      <c r="AR35" s="2167" t="b">
        <f t="shared" si="21"/>
        <v>1</v>
      </c>
      <c r="AS35" s="3561" t="b">
        <f t="shared" si="34"/>
        <v>1</v>
      </c>
      <c r="AT35" s="2171" t="b">
        <f t="shared" si="22"/>
        <v>1</v>
      </c>
      <c r="AU35" s="2171" t="b">
        <f t="shared" si="23"/>
        <v>1</v>
      </c>
      <c r="AV35" s="2242" t="s">
        <v>7695</v>
      </c>
      <c r="AW35" s="2171" t="b">
        <f t="shared" si="35"/>
        <v>1</v>
      </c>
      <c r="AX35" s="2277" t="str">
        <f t="shared" si="24"/>
        <v/>
      </c>
      <c r="AY35" s="2278" t="str">
        <f t="shared" si="25"/>
        <v>-</v>
      </c>
      <c r="AZ35" s="2551" t="b">
        <f t="shared" si="36"/>
        <v>1</v>
      </c>
      <c r="BA35" s="2551" t="b">
        <f t="shared" si="26"/>
        <v>1</v>
      </c>
      <c r="BB35" s="2551" t="b">
        <f t="shared" si="37"/>
        <v>1</v>
      </c>
      <c r="BC35" s="1569" t="str">
        <f t="shared" si="56"/>
        <v>-</v>
      </c>
      <c r="BF35" s="2171" t="b">
        <f t="shared" si="38"/>
        <v>1</v>
      </c>
      <c r="BG35" s="2171" t="b">
        <f t="shared" si="39"/>
        <v>1</v>
      </c>
      <c r="BJ35" s="1569">
        <f t="shared" si="40"/>
        <v>0</v>
      </c>
      <c r="BK35" s="2171" t="b">
        <f>IF(AC35&lt;0,TRUE,IF(OR(AND(AI35&lt;0,P35&gt;0),NOT(COUNTBLANK(AD35:AG35)=4)),TRUE,IF(OR(BJ35="Гос.контракты",BJ35="Внешние контрагенты",BJ35="Физические лица",BJ35="НДС с авансов",BJ35="НДС по налоговому агенту"),TRUE,IF(ISBLANK(BJ35),TRUE,IF(ISNA(VLOOKUP(BJ35,Список_компаний!$B$3:$I$289,1,0)),TRUE,IF(OR(BJ35=7704765961,BJ35=3801085668,BJ35=7706729140,BJ35=1402048660,BJ35=5256065824,BJ35=7701927935,BJ35=7451382644,BJ35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35,Список_компаний!$B$3:$I$289,8,0)="Да",VLOOKUP(BJ35,Список_компаний!$B$3:$I$289,7,0)=""),TRUE,IF(AND(VLOOKUP(BJ35,Список_компаний!$B$3:$I$289,8,0)="Да",VLOOKUP(BJ35,Список_компаний!$B$3:$I$289,7,0)="Да"),FALSE,FALSE)),FALSE))))))))</f>
        <v>1</v>
      </c>
      <c r="BL35" s="2171" t="b">
        <f>IF(AC35&lt;0,TRUE,IF(OR(AND(AI35&lt;0,P35&gt;0),NOT(COUNTBLANK(AD35:AG35)=4)),TRUE,IF(OR(F35=10011,F35=10015,F35=10000,F35=10018,F35=10020,F35=10019,F35=567019,F35=10016),TRUE,IF(ISNA(VLOOKUP(F35,Список_компаний!$C$3:$I$289,1,0)),TRUE,IF(OR(F35=362,F35=122,F35=337,F35=330,F35=203,F35=204687,F35=402234,F35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35,Список_компаний!$C$3:$I$289,7,0)="Да",VLOOKUP(F35,Список_компаний!$C$3:$I$289,6,0)=""),TRUE,IF(AND(VLOOKUP(F35,Список_компаний!$C$3:$I$289,7,0)="Да",VLOOKUP(F35,Список_компаний!$C$3:$I$289,6,0)="Да"),FALSE,FALSE)),FALSE)))))))</f>
        <v>1</v>
      </c>
      <c r="BM35" s="2171" t="b">
        <f t="shared" si="27"/>
        <v>1</v>
      </c>
      <c r="BN35" s="2171" t="b">
        <f t="shared" si="28"/>
        <v>1</v>
      </c>
      <c r="BO35" s="2171" t="b">
        <f t="shared" si="41"/>
        <v>1</v>
      </c>
      <c r="BP35" s="2171" t="b">
        <f t="shared" si="42"/>
        <v>1</v>
      </c>
      <c r="BQ35" s="2171" t="b">
        <f t="shared" si="43"/>
        <v>1</v>
      </c>
      <c r="BR35" s="2171" t="b">
        <f t="shared" si="44"/>
        <v>1</v>
      </c>
      <c r="BS35" s="2171" t="b">
        <f t="shared" si="45"/>
        <v>1</v>
      </c>
      <c r="BT35" s="2171" t="b">
        <f t="shared" si="29"/>
        <v>1</v>
      </c>
      <c r="BU35" s="2171" t="str">
        <f>IF(Содержание!$D$12="","ИСТИНА",IF(VLOOKUP(Содержание!$D$12,Справочник!$BZ$4:$CA$173,2,0)=O35,AH35="",TRUE))</f>
        <v>ИСТИНА</v>
      </c>
      <c r="BV35" s="2171" t="b">
        <f>LEFT(H35,10)&lt;=LEFT(Содержание!$D$14,10)</f>
        <v>1</v>
      </c>
      <c r="BX35" s="1569" t="str">
        <f>IFERROR(VLOOKUP(G35,Долгосроч_договоры!D:D,1,0),"нет")</f>
        <v>нет</v>
      </c>
      <c r="BY35" s="1569" t="str">
        <f>IF(I35="{255212} Авансы выданные","да",IF(AND(I35="{255222} Авансы полученные",IFERROR(VLOOKUP(G35,Долгосроч_договоры!D:D,1,0),"нет")&lt;&gt;"нет"),"да","нет"))</f>
        <v>нет</v>
      </c>
      <c r="BZ35" s="2168" t="b">
        <f t="shared" ca="1" si="46"/>
        <v>1</v>
      </c>
      <c r="CA35" s="2168" t="b">
        <f t="shared" ca="1" si="47"/>
        <v>1</v>
      </c>
      <c r="CB35" s="2168" t="b">
        <f t="shared" ca="1" si="48"/>
        <v>1</v>
      </c>
      <c r="CC35" s="3426" t="str">
        <f t="shared" ca="1" si="49"/>
        <v>-</v>
      </c>
      <c r="CG35" s="2168" t="b">
        <f t="shared" si="50"/>
        <v>1</v>
      </c>
    </row>
    <row r="36" spans="1:85" ht="16.5" customHeight="1">
      <c r="A36" s="556" t="str">
        <f t="shared" si="30"/>
        <v>R2=;R42=;R55=;R7=;R1=;R26=;R16=;R30=;R49=;R4=;R57=;R46=;R36=;R43=;COM=</v>
      </c>
      <c r="C36" s="1071"/>
      <c r="D36" s="885"/>
      <c r="E36" s="885"/>
      <c r="F36" s="1001"/>
      <c r="G36" s="885"/>
      <c r="H36" s="1288"/>
      <c r="I36" s="885"/>
      <c r="J36" s="885"/>
      <c r="K36" s="2269"/>
      <c r="L36" s="2270"/>
      <c r="M36" s="1288"/>
      <c r="N36" s="2270"/>
      <c r="O36" s="1001"/>
      <c r="P36" s="1113"/>
      <c r="Q36" s="1289">
        <f t="shared" si="57"/>
        <v>0</v>
      </c>
      <c r="R36" s="1289">
        <f t="shared" si="52"/>
        <v>0</v>
      </c>
      <c r="S36" s="1289">
        <f t="shared" si="53"/>
        <v>0</v>
      </c>
      <c r="T36" s="1289">
        <f t="shared" si="54"/>
        <v>0</v>
      </c>
      <c r="U36" s="1289">
        <f t="shared" si="55"/>
        <v>0</v>
      </c>
      <c r="V36" s="1113"/>
      <c r="W36" s="1289">
        <f t="shared" si="31"/>
        <v>0</v>
      </c>
      <c r="X36" s="1289">
        <f t="shared" si="58"/>
        <v>0</v>
      </c>
      <c r="Y36" s="1289">
        <f t="shared" si="59"/>
        <v>0</v>
      </c>
      <c r="Z36" s="1289">
        <f t="shared" si="60"/>
        <v>0</v>
      </c>
      <c r="AA36" s="1289">
        <f t="shared" si="61"/>
        <v>0</v>
      </c>
      <c r="AB36" s="1289">
        <f t="shared" si="62"/>
        <v>0</v>
      </c>
      <c r="AC36" s="897"/>
      <c r="AD36" s="897"/>
      <c r="AE36" s="897"/>
      <c r="AF36" s="897"/>
      <c r="AG36" s="897"/>
      <c r="AH36" s="897"/>
      <c r="AI36" s="2827">
        <f t="shared" si="16"/>
        <v>0</v>
      </c>
      <c r="AJ36" s="2269"/>
      <c r="AK36" s="2269"/>
      <c r="AL36" s="3560" t="b">
        <f t="shared" si="17"/>
        <v>1</v>
      </c>
      <c r="AM36" s="3560" t="b">
        <f t="shared" si="18"/>
        <v>1</v>
      </c>
      <c r="AN36" s="2551" t="b">
        <f t="shared" si="19"/>
        <v>1</v>
      </c>
      <c r="AO36" s="2166"/>
      <c r="AP36" s="2595" t="b">
        <f t="shared" si="20"/>
        <v>1</v>
      </c>
      <c r="AQ36" s="2168"/>
      <c r="AR36" s="2167" t="b">
        <f t="shared" si="21"/>
        <v>1</v>
      </c>
      <c r="AS36" s="3561" t="b">
        <f t="shared" si="34"/>
        <v>1</v>
      </c>
      <c r="AT36" s="2171" t="b">
        <f t="shared" si="22"/>
        <v>1</v>
      </c>
      <c r="AU36" s="2171" t="b">
        <f t="shared" si="23"/>
        <v>1</v>
      </c>
      <c r="AV36" s="2242" t="s">
        <v>7695</v>
      </c>
      <c r="AW36" s="2171" t="b">
        <f t="shared" si="35"/>
        <v>1</v>
      </c>
      <c r="AX36" s="2277" t="str">
        <f t="shared" si="24"/>
        <v/>
      </c>
      <c r="AY36" s="2278" t="str">
        <f t="shared" si="25"/>
        <v>-</v>
      </c>
      <c r="AZ36" s="2551" t="b">
        <f t="shared" si="36"/>
        <v>1</v>
      </c>
      <c r="BA36" s="2551" t="b">
        <f t="shared" si="26"/>
        <v>1</v>
      </c>
      <c r="BB36" s="2551" t="b">
        <f t="shared" si="37"/>
        <v>1</v>
      </c>
      <c r="BC36" s="1569" t="str">
        <f t="shared" si="56"/>
        <v>-</v>
      </c>
      <c r="BF36" s="2171" t="b">
        <f t="shared" si="38"/>
        <v>1</v>
      </c>
      <c r="BG36" s="2171" t="b">
        <f t="shared" si="39"/>
        <v>1</v>
      </c>
      <c r="BJ36" s="1569">
        <f t="shared" si="40"/>
        <v>0</v>
      </c>
      <c r="BK36" s="2171" t="b">
        <f>IF(AC36&lt;0,TRUE,IF(OR(AND(AI36&lt;0,P36&gt;0),NOT(COUNTBLANK(AD36:AG36)=4)),TRUE,IF(OR(BJ36="Гос.контракты",BJ36="Внешние контрагенты",BJ36="Физические лица",BJ36="НДС с авансов",BJ36="НДС по налоговому агенту"),TRUE,IF(ISBLANK(BJ36),TRUE,IF(ISNA(VLOOKUP(BJ36,Список_компаний!$B$3:$I$289,1,0)),TRUE,IF(OR(BJ36=7704765961,BJ36=3801085668,BJ36=7706729140,BJ36=1402048660,BJ36=5256065824,BJ36=7701927935,BJ36=7451382644,BJ36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36,Список_компаний!$B$3:$I$289,8,0)="Да",VLOOKUP(BJ36,Список_компаний!$B$3:$I$289,7,0)=""),TRUE,IF(AND(VLOOKUP(BJ36,Список_компаний!$B$3:$I$289,8,0)="Да",VLOOKUP(BJ36,Список_компаний!$B$3:$I$289,7,0)="Да"),FALSE,FALSE)),FALSE))))))))</f>
        <v>1</v>
      </c>
      <c r="BL36" s="2171" t="b">
        <f>IF(AC36&lt;0,TRUE,IF(OR(AND(AI36&lt;0,P36&gt;0),NOT(COUNTBLANK(AD36:AG36)=4)),TRUE,IF(OR(F36=10011,F36=10015,F36=10000,F36=10018,F36=10020,F36=10019,F36=567019,F36=10016),TRUE,IF(ISNA(VLOOKUP(F36,Список_компаний!$C$3:$I$289,1,0)),TRUE,IF(OR(F36=362,F36=122,F36=337,F36=330,F36=203,F36=204687,F36=402234,F36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36,Список_компаний!$C$3:$I$289,7,0)="Да",VLOOKUP(F36,Список_компаний!$C$3:$I$289,6,0)=""),TRUE,IF(AND(VLOOKUP(F36,Список_компаний!$C$3:$I$289,7,0)="Да",VLOOKUP(F36,Список_компаний!$C$3:$I$289,6,0)="Да"),FALSE,FALSE)),FALSE)))))))</f>
        <v>1</v>
      </c>
      <c r="BM36" s="2171" t="b">
        <f t="shared" si="27"/>
        <v>1</v>
      </c>
      <c r="BN36" s="2171" t="b">
        <f t="shared" si="28"/>
        <v>1</v>
      </c>
      <c r="BO36" s="2171" t="b">
        <f t="shared" si="41"/>
        <v>1</v>
      </c>
      <c r="BP36" s="2171" t="b">
        <f t="shared" si="42"/>
        <v>1</v>
      </c>
      <c r="BQ36" s="2171" t="b">
        <f t="shared" si="43"/>
        <v>1</v>
      </c>
      <c r="BR36" s="2171" t="b">
        <f t="shared" si="44"/>
        <v>1</v>
      </c>
      <c r="BS36" s="2171" t="b">
        <f t="shared" si="45"/>
        <v>1</v>
      </c>
      <c r="BT36" s="2171" t="b">
        <f t="shared" si="29"/>
        <v>1</v>
      </c>
      <c r="BU36" s="2171" t="str">
        <f>IF(Содержание!$D$12="","ИСТИНА",IF(VLOOKUP(Содержание!$D$12,Справочник!$BZ$4:$CA$173,2,0)=O36,AH36="",TRUE))</f>
        <v>ИСТИНА</v>
      </c>
      <c r="BV36" s="2171" t="b">
        <f>LEFT(H36,10)&lt;=LEFT(Содержание!$D$14,10)</f>
        <v>1</v>
      </c>
      <c r="BX36" s="1569" t="str">
        <f>IFERROR(VLOOKUP(G36,Долгосроч_договоры!D:D,1,0),"нет")</f>
        <v>нет</v>
      </c>
      <c r="BY36" s="1569" t="str">
        <f>IF(I36="{255212} Авансы выданные","да",IF(AND(I36="{255222} Авансы полученные",IFERROR(VLOOKUP(G36,Долгосроч_договоры!D:D,1,0),"нет")&lt;&gt;"нет"),"да","нет"))</f>
        <v>нет</v>
      </c>
      <c r="BZ36" s="2168" t="b">
        <f t="shared" ca="1" si="46"/>
        <v>1</v>
      </c>
      <c r="CA36" s="2168" t="b">
        <f t="shared" ca="1" si="47"/>
        <v>1</v>
      </c>
      <c r="CB36" s="2168" t="b">
        <f t="shared" ca="1" si="48"/>
        <v>1</v>
      </c>
      <c r="CC36" s="3426" t="str">
        <f t="shared" ca="1" si="49"/>
        <v>-</v>
      </c>
      <c r="CG36" s="2168" t="b">
        <f t="shared" si="50"/>
        <v>1</v>
      </c>
    </row>
    <row r="37" spans="1:85" ht="16.5" customHeight="1">
      <c r="A37" s="556" t="str">
        <f t="shared" si="30"/>
        <v>R2=;R42=;R55=;R7=;R1=;R26=;R16=;R30=;R49=;R4=;R57=;R46=;R36=;R43=;COM=</v>
      </c>
      <c r="C37" s="1071"/>
      <c r="D37" s="885"/>
      <c r="E37" s="885"/>
      <c r="F37" s="1001"/>
      <c r="G37" s="885"/>
      <c r="H37" s="1288"/>
      <c r="I37" s="885"/>
      <c r="J37" s="885"/>
      <c r="K37" s="2269"/>
      <c r="L37" s="2270"/>
      <c r="M37" s="1288"/>
      <c r="N37" s="2270"/>
      <c r="O37" s="1001"/>
      <c r="P37" s="1113"/>
      <c r="Q37" s="1289">
        <f t="shared" si="57"/>
        <v>0</v>
      </c>
      <c r="R37" s="1289">
        <f t="shared" si="52"/>
        <v>0</v>
      </c>
      <c r="S37" s="1289">
        <f t="shared" si="53"/>
        <v>0</v>
      </c>
      <c r="T37" s="1289">
        <f t="shared" si="54"/>
        <v>0</v>
      </c>
      <c r="U37" s="1289">
        <f t="shared" si="55"/>
        <v>0</v>
      </c>
      <c r="V37" s="1113"/>
      <c r="W37" s="1289">
        <f t="shared" si="31"/>
        <v>0</v>
      </c>
      <c r="X37" s="1289">
        <f t="shared" si="58"/>
        <v>0</v>
      </c>
      <c r="Y37" s="1289">
        <f t="shared" si="59"/>
        <v>0</v>
      </c>
      <c r="Z37" s="1289">
        <f t="shared" si="60"/>
        <v>0</v>
      </c>
      <c r="AA37" s="1289">
        <f t="shared" si="61"/>
        <v>0</v>
      </c>
      <c r="AB37" s="1289">
        <f t="shared" si="62"/>
        <v>0</v>
      </c>
      <c r="AC37" s="897"/>
      <c r="AD37" s="897"/>
      <c r="AE37" s="897"/>
      <c r="AF37" s="897"/>
      <c r="AG37" s="897"/>
      <c r="AH37" s="897"/>
      <c r="AI37" s="2827">
        <f t="shared" si="16"/>
        <v>0</v>
      </c>
      <c r="AJ37" s="2269"/>
      <c r="AK37" s="2269"/>
      <c r="AL37" s="3560" t="b">
        <f t="shared" si="17"/>
        <v>1</v>
      </c>
      <c r="AM37" s="3560" t="b">
        <f t="shared" si="18"/>
        <v>1</v>
      </c>
      <c r="AN37" s="2551" t="b">
        <f t="shared" si="19"/>
        <v>1</v>
      </c>
      <c r="AO37" s="2166"/>
      <c r="AP37" s="2595" t="b">
        <f t="shared" si="20"/>
        <v>1</v>
      </c>
      <c r="AQ37" s="2168"/>
      <c r="AR37" s="2167" t="b">
        <f t="shared" si="21"/>
        <v>1</v>
      </c>
      <c r="AS37" s="3561" t="b">
        <f t="shared" si="34"/>
        <v>1</v>
      </c>
      <c r="AT37" s="2171" t="b">
        <f t="shared" si="22"/>
        <v>1</v>
      </c>
      <c r="AU37" s="2171" t="b">
        <f t="shared" si="23"/>
        <v>1</v>
      </c>
      <c r="AV37" s="2242" t="s">
        <v>7695</v>
      </c>
      <c r="AW37" s="2171" t="b">
        <f t="shared" si="35"/>
        <v>1</v>
      </c>
      <c r="AX37" s="2277" t="str">
        <f t="shared" si="24"/>
        <v/>
      </c>
      <c r="AY37" s="2278" t="str">
        <f t="shared" si="25"/>
        <v>-</v>
      </c>
      <c r="AZ37" s="2551" t="b">
        <f t="shared" si="36"/>
        <v>1</v>
      </c>
      <c r="BA37" s="2551" t="b">
        <f t="shared" si="26"/>
        <v>1</v>
      </c>
      <c r="BB37" s="2551" t="b">
        <f t="shared" si="37"/>
        <v>1</v>
      </c>
      <c r="BC37" s="1569" t="str">
        <f t="shared" si="56"/>
        <v>-</v>
      </c>
      <c r="BF37" s="2171" t="b">
        <f t="shared" si="38"/>
        <v>1</v>
      </c>
      <c r="BG37" s="2171" t="b">
        <f t="shared" si="39"/>
        <v>1</v>
      </c>
      <c r="BJ37" s="1569">
        <f t="shared" si="40"/>
        <v>0</v>
      </c>
      <c r="BK37" s="2171" t="b">
        <f>IF(AC37&lt;0,TRUE,IF(OR(AND(AI37&lt;0,P37&gt;0),NOT(COUNTBLANK(AD37:AG37)=4)),TRUE,IF(OR(BJ37="Гос.контракты",BJ37="Внешние контрагенты",BJ37="Физические лица",BJ37="НДС с авансов",BJ37="НДС по налоговому агенту"),TRUE,IF(ISBLANK(BJ37),TRUE,IF(ISNA(VLOOKUP(BJ37,Список_компаний!$B$3:$I$289,1,0)),TRUE,IF(OR(BJ37=7704765961,BJ37=3801085668,BJ37=7706729140,BJ37=1402048660,BJ37=5256065824,BJ37=7701927935,BJ37=7451382644,BJ37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37,Список_компаний!$B$3:$I$289,8,0)="Да",VLOOKUP(BJ37,Список_компаний!$B$3:$I$289,7,0)=""),TRUE,IF(AND(VLOOKUP(BJ37,Список_компаний!$B$3:$I$289,8,0)="Да",VLOOKUP(BJ37,Список_компаний!$B$3:$I$289,7,0)="Да"),FALSE,FALSE)),FALSE))))))))</f>
        <v>1</v>
      </c>
      <c r="BL37" s="2171" t="b">
        <f>IF(AC37&lt;0,TRUE,IF(OR(AND(AI37&lt;0,P37&gt;0),NOT(COUNTBLANK(AD37:AG37)=4)),TRUE,IF(OR(F37=10011,F37=10015,F37=10000,F37=10018,F37=10020,F37=10019,F37=567019,F37=10016),TRUE,IF(ISNA(VLOOKUP(F37,Список_компаний!$C$3:$I$289,1,0)),TRUE,IF(OR(F37=362,F37=122,F37=337,F37=330,F37=203,F37=204687,F37=402234,F37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37,Список_компаний!$C$3:$I$289,7,0)="Да",VLOOKUP(F37,Список_компаний!$C$3:$I$289,6,0)=""),TRUE,IF(AND(VLOOKUP(F37,Список_компаний!$C$3:$I$289,7,0)="Да",VLOOKUP(F37,Список_компаний!$C$3:$I$289,6,0)="Да"),FALSE,FALSE)),FALSE)))))))</f>
        <v>1</v>
      </c>
      <c r="BM37" s="2171" t="b">
        <f t="shared" si="27"/>
        <v>1</v>
      </c>
      <c r="BN37" s="2171" t="b">
        <f t="shared" si="28"/>
        <v>1</v>
      </c>
      <c r="BO37" s="2171" t="b">
        <f t="shared" si="41"/>
        <v>1</v>
      </c>
      <c r="BP37" s="2171" t="b">
        <f t="shared" si="42"/>
        <v>1</v>
      </c>
      <c r="BQ37" s="2171" t="b">
        <f t="shared" si="43"/>
        <v>1</v>
      </c>
      <c r="BR37" s="2171" t="b">
        <f t="shared" si="44"/>
        <v>1</v>
      </c>
      <c r="BS37" s="2171" t="b">
        <f t="shared" si="45"/>
        <v>1</v>
      </c>
      <c r="BT37" s="2171" t="b">
        <f t="shared" si="29"/>
        <v>1</v>
      </c>
      <c r="BU37" s="2171" t="str">
        <f>IF(Содержание!$D$12="","ИСТИНА",IF(VLOOKUP(Содержание!$D$12,Справочник!$BZ$4:$CA$173,2,0)=O37,AH37="",TRUE))</f>
        <v>ИСТИНА</v>
      </c>
      <c r="BV37" s="2171" t="b">
        <f>LEFT(H37,10)&lt;=LEFT(Содержание!$D$14,10)</f>
        <v>1</v>
      </c>
      <c r="BX37" s="1569" t="str">
        <f>IFERROR(VLOOKUP(G37,Долгосроч_договоры!D:D,1,0),"нет")</f>
        <v>нет</v>
      </c>
      <c r="BY37" s="1569" t="str">
        <f>IF(I37="{255212} Авансы выданные","да",IF(AND(I37="{255222} Авансы полученные",IFERROR(VLOOKUP(G37,Долгосроч_договоры!D:D,1,0),"нет")&lt;&gt;"нет"),"да","нет"))</f>
        <v>нет</v>
      </c>
      <c r="BZ37" s="2168" t="b">
        <f t="shared" ca="1" si="46"/>
        <v>1</v>
      </c>
      <c r="CA37" s="2168" t="b">
        <f t="shared" ca="1" si="47"/>
        <v>1</v>
      </c>
      <c r="CB37" s="2168" t="b">
        <f t="shared" ca="1" si="48"/>
        <v>1</v>
      </c>
      <c r="CC37" s="3426" t="str">
        <f t="shared" ca="1" si="49"/>
        <v>-</v>
      </c>
      <c r="CG37" s="2168" t="b">
        <f t="shared" si="50"/>
        <v>1</v>
      </c>
    </row>
    <row r="38" spans="1:85" ht="16.5" customHeight="1">
      <c r="A38" s="556" t="str">
        <f t="shared" si="30"/>
        <v>R2=;R42=;R55=;R7=;R1=;R26=;R16=;R30=;R49=;R4=;R57=;R46=;R36=;R43=;COM=</v>
      </c>
      <c r="C38" s="1071"/>
      <c r="D38" s="885"/>
      <c r="E38" s="885"/>
      <c r="F38" s="1001"/>
      <c r="G38" s="885"/>
      <c r="H38" s="1288"/>
      <c r="I38" s="885"/>
      <c r="J38" s="885"/>
      <c r="K38" s="2269"/>
      <c r="L38" s="2270"/>
      <c r="M38" s="1288"/>
      <c r="N38" s="2270"/>
      <c r="O38" s="1001"/>
      <c r="P38" s="1113"/>
      <c r="Q38" s="1289">
        <f t="shared" si="57"/>
        <v>0</v>
      </c>
      <c r="R38" s="1289">
        <f t="shared" si="52"/>
        <v>0</v>
      </c>
      <c r="S38" s="1289">
        <f t="shared" si="53"/>
        <v>0</v>
      </c>
      <c r="T38" s="1289">
        <f t="shared" si="54"/>
        <v>0</v>
      </c>
      <c r="U38" s="1289">
        <f t="shared" si="55"/>
        <v>0</v>
      </c>
      <c r="V38" s="1113"/>
      <c r="W38" s="1289">
        <f t="shared" si="31"/>
        <v>0</v>
      </c>
      <c r="X38" s="1289">
        <f t="shared" si="58"/>
        <v>0</v>
      </c>
      <c r="Y38" s="1289">
        <f t="shared" si="59"/>
        <v>0</v>
      </c>
      <c r="Z38" s="1289">
        <f t="shared" si="60"/>
        <v>0</v>
      </c>
      <c r="AA38" s="1289">
        <f t="shared" si="61"/>
        <v>0</v>
      </c>
      <c r="AB38" s="1289">
        <f t="shared" si="62"/>
        <v>0</v>
      </c>
      <c r="AC38" s="897"/>
      <c r="AD38" s="897"/>
      <c r="AE38" s="897"/>
      <c r="AF38" s="897"/>
      <c r="AG38" s="897"/>
      <c r="AH38" s="897"/>
      <c r="AI38" s="2827">
        <f t="shared" si="16"/>
        <v>0</v>
      </c>
      <c r="AJ38" s="2269"/>
      <c r="AK38" s="2269"/>
      <c r="AL38" s="3560" t="b">
        <f t="shared" si="17"/>
        <v>1</v>
      </c>
      <c r="AM38" s="3560" t="b">
        <f t="shared" si="18"/>
        <v>1</v>
      </c>
      <c r="AN38" s="2551" t="b">
        <f t="shared" si="19"/>
        <v>1</v>
      </c>
      <c r="AO38" s="2166"/>
      <c r="AP38" s="2595" t="b">
        <f t="shared" si="20"/>
        <v>1</v>
      </c>
      <c r="AQ38" s="2168"/>
      <c r="AR38" s="2167" t="b">
        <f t="shared" si="21"/>
        <v>1</v>
      </c>
      <c r="AS38" s="3561" t="b">
        <f t="shared" si="34"/>
        <v>1</v>
      </c>
      <c r="AT38" s="2171" t="b">
        <f t="shared" si="22"/>
        <v>1</v>
      </c>
      <c r="AU38" s="2171" t="b">
        <f t="shared" si="23"/>
        <v>1</v>
      </c>
      <c r="AV38" s="2242" t="s">
        <v>7695</v>
      </c>
      <c r="AW38" s="2171" t="b">
        <f t="shared" si="35"/>
        <v>1</v>
      </c>
      <c r="AX38" s="2277" t="str">
        <f t="shared" si="24"/>
        <v/>
      </c>
      <c r="AY38" s="2278" t="str">
        <f t="shared" si="25"/>
        <v>-</v>
      </c>
      <c r="AZ38" s="2551" t="b">
        <f t="shared" si="36"/>
        <v>1</v>
      </c>
      <c r="BA38" s="2551" t="b">
        <f t="shared" si="26"/>
        <v>1</v>
      </c>
      <c r="BB38" s="2551" t="b">
        <f t="shared" si="37"/>
        <v>1</v>
      </c>
      <c r="BC38" s="1569" t="str">
        <f t="shared" si="56"/>
        <v>-</v>
      </c>
      <c r="BF38" s="2171" t="b">
        <f t="shared" si="38"/>
        <v>1</v>
      </c>
      <c r="BG38" s="2171" t="b">
        <f t="shared" si="39"/>
        <v>1</v>
      </c>
      <c r="BJ38" s="1569">
        <f t="shared" si="40"/>
        <v>0</v>
      </c>
      <c r="BK38" s="2171" t="b">
        <f>IF(AC38&lt;0,TRUE,IF(OR(AND(AI38&lt;0,P38&gt;0),NOT(COUNTBLANK(AD38:AG38)=4)),TRUE,IF(OR(BJ38="Гос.контракты",BJ38="Внешние контрагенты",BJ38="Физические лица",BJ38="НДС с авансов",BJ38="НДС по налоговому агенту"),TRUE,IF(ISBLANK(BJ38),TRUE,IF(ISNA(VLOOKUP(BJ38,Список_компаний!$B$3:$I$289,1,0)),TRUE,IF(OR(BJ38=7704765961,BJ38=3801085668,BJ38=7706729140,BJ38=1402048660,BJ38=5256065824,BJ38=7701927935,BJ38=7451382644,BJ38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38,Список_компаний!$B$3:$I$289,8,0)="Да",VLOOKUP(BJ38,Список_компаний!$B$3:$I$289,7,0)=""),TRUE,IF(AND(VLOOKUP(BJ38,Список_компаний!$B$3:$I$289,8,0)="Да",VLOOKUP(BJ38,Список_компаний!$B$3:$I$289,7,0)="Да"),FALSE,FALSE)),FALSE))))))))</f>
        <v>1</v>
      </c>
      <c r="BL38" s="2171" t="b">
        <f>IF(AC38&lt;0,TRUE,IF(OR(AND(AI38&lt;0,P38&gt;0),NOT(COUNTBLANK(AD38:AG38)=4)),TRUE,IF(OR(F38=10011,F38=10015,F38=10000,F38=10018,F38=10020,F38=10019,F38=567019,F38=10016),TRUE,IF(ISNA(VLOOKUP(F38,Список_компаний!$C$3:$I$289,1,0)),TRUE,IF(OR(F38=362,F38=122,F38=337,F38=330,F38=203,F38=204687,F38=402234,F38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38,Список_компаний!$C$3:$I$289,7,0)="Да",VLOOKUP(F38,Список_компаний!$C$3:$I$289,6,0)=""),TRUE,IF(AND(VLOOKUP(F38,Список_компаний!$C$3:$I$289,7,0)="Да",VLOOKUP(F38,Список_компаний!$C$3:$I$289,6,0)="Да"),FALSE,FALSE)),FALSE)))))))</f>
        <v>1</v>
      </c>
      <c r="BM38" s="2171" t="b">
        <f t="shared" si="27"/>
        <v>1</v>
      </c>
      <c r="BN38" s="2171" t="b">
        <f t="shared" si="28"/>
        <v>1</v>
      </c>
      <c r="BO38" s="2171" t="b">
        <f t="shared" si="41"/>
        <v>1</v>
      </c>
      <c r="BP38" s="2171" t="b">
        <f t="shared" si="42"/>
        <v>1</v>
      </c>
      <c r="BQ38" s="2171" t="b">
        <f t="shared" si="43"/>
        <v>1</v>
      </c>
      <c r="BR38" s="2171" t="b">
        <f t="shared" si="44"/>
        <v>1</v>
      </c>
      <c r="BS38" s="2171" t="b">
        <f t="shared" si="45"/>
        <v>1</v>
      </c>
      <c r="BT38" s="2171" t="b">
        <f t="shared" si="29"/>
        <v>1</v>
      </c>
      <c r="BU38" s="2171" t="str">
        <f>IF(Содержание!$D$12="","ИСТИНА",IF(VLOOKUP(Содержание!$D$12,Справочник!$BZ$4:$CA$173,2,0)=O38,AH38="",TRUE))</f>
        <v>ИСТИНА</v>
      </c>
      <c r="BV38" s="2171" t="b">
        <f>LEFT(H38,10)&lt;=LEFT(Содержание!$D$14,10)</f>
        <v>1</v>
      </c>
      <c r="BX38" s="1569" t="str">
        <f>IFERROR(VLOOKUP(G38,Долгосроч_договоры!D:D,1,0),"нет")</f>
        <v>нет</v>
      </c>
      <c r="BY38" s="1569" t="str">
        <f>IF(I38="{255212} Авансы выданные","да",IF(AND(I38="{255222} Авансы полученные",IFERROR(VLOOKUP(G38,Долгосроч_договоры!D:D,1,0),"нет")&lt;&gt;"нет"),"да","нет"))</f>
        <v>нет</v>
      </c>
      <c r="BZ38" s="2168" t="b">
        <f t="shared" ca="1" si="46"/>
        <v>1</v>
      </c>
      <c r="CA38" s="2168" t="b">
        <f t="shared" ca="1" si="47"/>
        <v>1</v>
      </c>
      <c r="CB38" s="2168" t="b">
        <f t="shared" ca="1" si="48"/>
        <v>1</v>
      </c>
      <c r="CC38" s="3426" t="str">
        <f t="shared" ca="1" si="49"/>
        <v>-</v>
      </c>
      <c r="CD38" s="3426" t="str">
        <f t="shared" ref="CD38:CD47" ca="1" si="63">IF(C38=60,IF(IFERROR(VLOOKUP(I38,INDIRECT($CC$7),1,FALSE),FALSE)=FALSE,IF(I38="","",FALSE),""),IF(C38=62,IF(IFERROR(VLOOKUP(I38,INDIRECT($CD$7),1,FALSE),FALSE)=FALSE,IF(I38="","",FALSE),""),IF(C38=76,IF(IFERROR(VLOOKUP(I38,INDIRECT($CE$7),1,FALSE),FALSE)=FALSE,IF(I38="","",FALSE),""),"-")))</f>
        <v>-</v>
      </c>
      <c r="CG38" s="2168" t="b">
        <f t="shared" si="50"/>
        <v>1</v>
      </c>
    </row>
    <row r="39" spans="1:85" ht="16.5" customHeight="1">
      <c r="A39" s="556" t="str">
        <f t="shared" si="30"/>
        <v>R2=;R42=;R55=;R7=;R1=;R26=;R16=;R30=;R49=;R4=;R57=;R46=;R36=;R43=;COM=</v>
      </c>
      <c r="C39" s="1071"/>
      <c r="D39" s="885"/>
      <c r="E39" s="885"/>
      <c r="F39" s="1001"/>
      <c r="G39" s="885"/>
      <c r="H39" s="1288"/>
      <c r="I39" s="885"/>
      <c r="J39" s="885"/>
      <c r="K39" s="2269"/>
      <c r="L39" s="2270"/>
      <c r="M39" s="1288"/>
      <c r="N39" s="2270"/>
      <c r="O39" s="1001"/>
      <c r="P39" s="1113"/>
      <c r="Q39" s="1289">
        <f t="shared" si="57"/>
        <v>0</v>
      </c>
      <c r="R39" s="1289">
        <f t="shared" si="52"/>
        <v>0</v>
      </c>
      <c r="S39" s="1289">
        <f t="shared" si="53"/>
        <v>0</v>
      </c>
      <c r="T39" s="1289">
        <f t="shared" si="54"/>
        <v>0</v>
      </c>
      <c r="U39" s="1289">
        <f t="shared" si="55"/>
        <v>0</v>
      </c>
      <c r="V39" s="1113"/>
      <c r="W39" s="1289">
        <f t="shared" si="31"/>
        <v>0</v>
      </c>
      <c r="X39" s="1289">
        <f t="shared" si="58"/>
        <v>0</v>
      </c>
      <c r="Y39" s="1289">
        <f t="shared" si="59"/>
        <v>0</v>
      </c>
      <c r="Z39" s="1289">
        <f t="shared" si="60"/>
        <v>0</v>
      </c>
      <c r="AA39" s="1289">
        <f t="shared" si="61"/>
        <v>0</v>
      </c>
      <c r="AB39" s="1289">
        <f t="shared" si="62"/>
        <v>0</v>
      </c>
      <c r="AC39" s="897"/>
      <c r="AD39" s="897"/>
      <c r="AE39" s="897"/>
      <c r="AF39" s="897"/>
      <c r="AG39" s="897"/>
      <c r="AH39" s="897"/>
      <c r="AI39" s="2827">
        <f t="shared" si="16"/>
        <v>0</v>
      </c>
      <c r="AJ39" s="2269"/>
      <c r="AK39" s="2269"/>
      <c r="AL39" s="3560" t="b">
        <f t="shared" si="17"/>
        <v>1</v>
      </c>
      <c r="AM39" s="3560" t="b">
        <f t="shared" si="18"/>
        <v>1</v>
      </c>
      <c r="AN39" s="2551" t="b">
        <f t="shared" si="19"/>
        <v>1</v>
      </c>
      <c r="AO39" s="2166"/>
      <c r="AP39" s="2595" t="b">
        <f t="shared" si="20"/>
        <v>1</v>
      </c>
      <c r="AQ39" s="2168"/>
      <c r="AR39" s="2167" t="b">
        <f t="shared" si="21"/>
        <v>1</v>
      </c>
      <c r="AS39" s="3561" t="b">
        <f t="shared" si="34"/>
        <v>1</v>
      </c>
      <c r="AT39" s="2171" t="b">
        <f t="shared" si="22"/>
        <v>1</v>
      </c>
      <c r="AU39" s="2171" t="b">
        <f t="shared" si="23"/>
        <v>1</v>
      </c>
      <c r="AV39" s="2242" t="s">
        <v>7695</v>
      </c>
      <c r="AW39" s="2171" t="b">
        <f t="shared" si="35"/>
        <v>1</v>
      </c>
      <c r="AX39" s="2277" t="str">
        <f t="shared" si="24"/>
        <v/>
      </c>
      <c r="AY39" s="2278" t="str">
        <f t="shared" si="25"/>
        <v>-</v>
      </c>
      <c r="AZ39" s="2551" t="b">
        <f t="shared" si="36"/>
        <v>1</v>
      </c>
      <c r="BA39" s="2551" t="b">
        <f t="shared" si="26"/>
        <v>1</v>
      </c>
      <c r="BB39" s="2551" t="b">
        <f t="shared" si="37"/>
        <v>1</v>
      </c>
      <c r="BC39" s="1569" t="str">
        <f t="shared" si="56"/>
        <v>-</v>
      </c>
      <c r="BF39" s="2171" t="b">
        <f t="shared" si="38"/>
        <v>1</v>
      </c>
      <c r="BG39" s="2171" t="b">
        <f t="shared" si="39"/>
        <v>1</v>
      </c>
      <c r="BJ39" s="1569">
        <f t="shared" si="40"/>
        <v>0</v>
      </c>
      <c r="BK39" s="2171" t="b">
        <f>IF(AC39&lt;0,TRUE,IF(OR(AND(AI39&lt;0,P39&gt;0),NOT(COUNTBLANK(AD39:AG39)=4)),TRUE,IF(OR(BJ39="Гос.контракты",BJ39="Внешние контрагенты",BJ39="Физические лица",BJ39="НДС с авансов",BJ39="НДС по налоговому агенту"),TRUE,IF(ISBLANK(BJ39),TRUE,IF(ISNA(VLOOKUP(BJ39,Список_компаний!$B$3:$I$289,1,0)),TRUE,IF(OR(BJ39=7704765961,BJ39=3801085668,BJ39=7706729140,BJ39=1402048660,BJ39=5256065824,BJ39=7701927935,BJ39=7451382644,BJ39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39,Список_компаний!$B$3:$I$289,8,0)="Да",VLOOKUP(BJ39,Список_компаний!$B$3:$I$289,7,0)=""),TRUE,IF(AND(VLOOKUP(BJ39,Список_компаний!$B$3:$I$289,8,0)="Да",VLOOKUP(BJ39,Список_компаний!$B$3:$I$289,7,0)="Да"),FALSE,FALSE)),FALSE))))))))</f>
        <v>1</v>
      </c>
      <c r="BL39" s="2171" t="b">
        <f>IF(AC39&lt;0,TRUE,IF(OR(AND(AI39&lt;0,P39&gt;0),NOT(COUNTBLANK(AD39:AG39)=4)),TRUE,IF(OR(F39=10011,F39=10015,F39=10000,F39=10018,F39=10020,F39=10019,F39=567019,F39=10016),TRUE,IF(ISNA(VLOOKUP(F39,Список_компаний!$C$3:$I$289,1,0)),TRUE,IF(OR(F39=362,F39=122,F39=337,F39=330,F39=203,F39=204687,F39=402234,F39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39,Список_компаний!$C$3:$I$289,7,0)="Да",VLOOKUP(F39,Список_компаний!$C$3:$I$289,6,0)=""),TRUE,IF(AND(VLOOKUP(F39,Список_компаний!$C$3:$I$289,7,0)="Да",VLOOKUP(F39,Список_компаний!$C$3:$I$289,6,0)="Да"),FALSE,FALSE)),FALSE)))))))</f>
        <v>1</v>
      </c>
      <c r="BM39" s="2171" t="b">
        <f t="shared" si="27"/>
        <v>1</v>
      </c>
      <c r="BN39" s="2171" t="b">
        <f t="shared" si="28"/>
        <v>1</v>
      </c>
      <c r="BO39" s="2171" t="b">
        <f t="shared" si="41"/>
        <v>1</v>
      </c>
      <c r="BP39" s="2171" t="b">
        <f t="shared" si="42"/>
        <v>1</v>
      </c>
      <c r="BQ39" s="2171" t="b">
        <f t="shared" si="43"/>
        <v>1</v>
      </c>
      <c r="BR39" s="2171" t="b">
        <f t="shared" si="44"/>
        <v>1</v>
      </c>
      <c r="BS39" s="2171" t="b">
        <f t="shared" si="45"/>
        <v>1</v>
      </c>
      <c r="BT39" s="2171" t="b">
        <f t="shared" si="29"/>
        <v>1</v>
      </c>
      <c r="BU39" s="2171" t="str">
        <f>IF(Содержание!$D$12="","ИСТИНА",IF(VLOOKUP(Содержание!$D$12,Справочник!$BZ$4:$CA$173,2,0)=O39,AH39="",TRUE))</f>
        <v>ИСТИНА</v>
      </c>
      <c r="BV39" s="2171" t="b">
        <f>LEFT(H39,10)&lt;=LEFT(Содержание!$D$14,10)</f>
        <v>1</v>
      </c>
      <c r="BX39" s="1569" t="str">
        <f>IFERROR(VLOOKUP(G39,Долгосроч_договоры!D:D,1,0),"нет")</f>
        <v>нет</v>
      </c>
      <c r="BY39" s="1569" t="str">
        <f>IF(I39="{255212} Авансы выданные","да",IF(AND(I39="{255222} Авансы полученные",IFERROR(VLOOKUP(G39,Долгосроч_договоры!D:D,1,0),"нет")&lt;&gt;"нет"),"да","нет"))</f>
        <v>нет</v>
      </c>
      <c r="BZ39" s="2168" t="b">
        <f t="shared" ca="1" si="46"/>
        <v>1</v>
      </c>
      <c r="CA39" s="2168" t="b">
        <f t="shared" ca="1" si="47"/>
        <v>1</v>
      </c>
      <c r="CB39" s="2168" t="b">
        <f t="shared" ca="1" si="48"/>
        <v>1</v>
      </c>
      <c r="CC39" s="3426" t="str">
        <f t="shared" ca="1" si="49"/>
        <v>-</v>
      </c>
      <c r="CD39" s="3426" t="str">
        <f t="shared" ca="1" si="63"/>
        <v>-</v>
      </c>
      <c r="CG39" s="2168" t="b">
        <f t="shared" si="50"/>
        <v>1</v>
      </c>
    </row>
    <row r="40" spans="1:85" ht="16.5" customHeight="1">
      <c r="A40" s="556" t="str">
        <f t="shared" si="30"/>
        <v>R2=;R42=;R55=;R7=;R1=;R26=;R16=;R30=;R49=;R4=;R57=;R46=;R36=;R43=;COM=</v>
      </c>
      <c r="C40" s="1071"/>
      <c r="D40" s="885"/>
      <c r="E40" s="885"/>
      <c r="F40" s="1001"/>
      <c r="G40" s="885"/>
      <c r="H40" s="1288"/>
      <c r="I40" s="885"/>
      <c r="J40" s="885"/>
      <c r="K40" s="2269"/>
      <c r="L40" s="2270"/>
      <c r="M40" s="1288"/>
      <c r="N40" s="2270"/>
      <c r="O40" s="1001"/>
      <c r="P40" s="1113"/>
      <c r="Q40" s="1289">
        <f t="shared" si="57"/>
        <v>0</v>
      </c>
      <c r="R40" s="1289">
        <f t="shared" si="52"/>
        <v>0</v>
      </c>
      <c r="S40" s="1289">
        <f t="shared" si="53"/>
        <v>0</v>
      </c>
      <c r="T40" s="1289">
        <f t="shared" si="54"/>
        <v>0</v>
      </c>
      <c r="U40" s="1289">
        <f t="shared" si="55"/>
        <v>0</v>
      </c>
      <c r="V40" s="1113"/>
      <c r="W40" s="1289">
        <f t="shared" si="31"/>
        <v>0</v>
      </c>
      <c r="X40" s="1289">
        <f t="shared" si="58"/>
        <v>0</v>
      </c>
      <c r="Y40" s="1289">
        <f t="shared" si="59"/>
        <v>0</v>
      </c>
      <c r="Z40" s="1289">
        <f t="shared" si="60"/>
        <v>0</v>
      </c>
      <c r="AA40" s="1289">
        <f t="shared" si="61"/>
        <v>0</v>
      </c>
      <c r="AB40" s="1289">
        <f t="shared" si="62"/>
        <v>0</v>
      </c>
      <c r="AC40" s="897"/>
      <c r="AD40" s="897"/>
      <c r="AE40" s="897"/>
      <c r="AF40" s="897"/>
      <c r="AG40" s="897"/>
      <c r="AH40" s="897"/>
      <c r="AI40" s="2827">
        <f t="shared" si="16"/>
        <v>0</v>
      </c>
      <c r="AJ40" s="2269"/>
      <c r="AK40" s="2269"/>
      <c r="AL40" s="3560" t="b">
        <f t="shared" si="17"/>
        <v>1</v>
      </c>
      <c r="AM40" s="3560" t="b">
        <f t="shared" si="18"/>
        <v>1</v>
      </c>
      <c r="AN40" s="2551" t="b">
        <f t="shared" si="19"/>
        <v>1</v>
      </c>
      <c r="AO40" s="2166"/>
      <c r="AP40" s="2595" t="b">
        <f t="shared" si="20"/>
        <v>1</v>
      </c>
      <c r="AQ40" s="2168"/>
      <c r="AR40" s="2167" t="b">
        <f t="shared" si="21"/>
        <v>1</v>
      </c>
      <c r="AS40" s="3561" t="b">
        <f t="shared" si="34"/>
        <v>1</v>
      </c>
      <c r="AT40" s="2171" t="b">
        <f t="shared" si="22"/>
        <v>1</v>
      </c>
      <c r="AU40" s="2171" t="b">
        <f t="shared" si="23"/>
        <v>1</v>
      </c>
      <c r="AV40" s="2242" t="s">
        <v>7695</v>
      </c>
      <c r="AW40" s="2171" t="b">
        <f t="shared" si="35"/>
        <v>1</v>
      </c>
      <c r="AX40" s="2277" t="str">
        <f t="shared" si="24"/>
        <v/>
      </c>
      <c r="AY40" s="2278" t="str">
        <f t="shared" si="25"/>
        <v>-</v>
      </c>
      <c r="AZ40" s="2551" t="b">
        <f t="shared" si="36"/>
        <v>1</v>
      </c>
      <c r="BA40" s="2551" t="b">
        <f t="shared" si="26"/>
        <v>1</v>
      </c>
      <c r="BB40" s="2551" t="b">
        <f t="shared" si="37"/>
        <v>1</v>
      </c>
      <c r="BC40" s="1569" t="str">
        <f t="shared" si="56"/>
        <v>-</v>
      </c>
      <c r="BF40" s="2171" t="b">
        <f t="shared" si="38"/>
        <v>1</v>
      </c>
      <c r="BG40" s="2171" t="b">
        <f t="shared" si="39"/>
        <v>1</v>
      </c>
      <c r="BJ40" s="1569">
        <f t="shared" si="40"/>
        <v>0</v>
      </c>
      <c r="BK40" s="2171" t="b">
        <f>IF(AC40&lt;0,TRUE,IF(OR(AND(AI40&lt;0,P40&gt;0),NOT(COUNTBLANK(AD40:AG40)=4)),TRUE,IF(OR(BJ40="Гос.контракты",BJ40="Внешние контрагенты",BJ40="Физические лица",BJ40="НДС с авансов",BJ40="НДС по налоговому агенту"),TRUE,IF(ISBLANK(BJ40),TRUE,IF(ISNA(VLOOKUP(BJ40,Список_компаний!$B$3:$I$289,1,0)),TRUE,IF(OR(BJ40=7704765961,BJ40=3801085668,BJ40=7706729140,BJ40=1402048660,BJ40=5256065824,BJ40=7701927935,BJ40=7451382644,BJ40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40,Список_компаний!$B$3:$I$289,8,0)="Да",VLOOKUP(BJ40,Список_компаний!$B$3:$I$289,7,0)=""),TRUE,IF(AND(VLOOKUP(BJ40,Список_компаний!$B$3:$I$289,8,0)="Да",VLOOKUP(BJ40,Список_компаний!$B$3:$I$289,7,0)="Да"),FALSE,FALSE)),FALSE))))))))</f>
        <v>1</v>
      </c>
      <c r="BL40" s="2171" t="b">
        <f>IF(AC40&lt;0,TRUE,IF(OR(AND(AI40&lt;0,P40&gt;0),NOT(COUNTBLANK(AD40:AG40)=4)),TRUE,IF(OR(F40=10011,F40=10015,F40=10000,F40=10018,F40=10020,F40=10019,F40=567019,F40=10016),TRUE,IF(ISNA(VLOOKUP(F40,Список_компаний!$C$3:$I$289,1,0)),TRUE,IF(OR(F40=362,F40=122,F40=337,F40=330,F40=203,F40=204687,F40=402234,F40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40,Список_компаний!$C$3:$I$289,7,0)="Да",VLOOKUP(F40,Список_компаний!$C$3:$I$289,6,0)=""),TRUE,IF(AND(VLOOKUP(F40,Список_компаний!$C$3:$I$289,7,0)="Да",VLOOKUP(F40,Список_компаний!$C$3:$I$289,6,0)="Да"),FALSE,FALSE)),FALSE)))))))</f>
        <v>1</v>
      </c>
      <c r="BM40" s="2171" t="b">
        <f t="shared" si="27"/>
        <v>1</v>
      </c>
      <c r="BN40" s="2171" t="b">
        <f t="shared" si="28"/>
        <v>1</v>
      </c>
      <c r="BO40" s="2171" t="b">
        <f t="shared" si="41"/>
        <v>1</v>
      </c>
      <c r="BP40" s="2171" t="b">
        <f t="shared" si="42"/>
        <v>1</v>
      </c>
      <c r="BQ40" s="2171" t="b">
        <f t="shared" si="43"/>
        <v>1</v>
      </c>
      <c r="BR40" s="2171" t="b">
        <f t="shared" si="44"/>
        <v>1</v>
      </c>
      <c r="BS40" s="2171" t="b">
        <f t="shared" si="45"/>
        <v>1</v>
      </c>
      <c r="BT40" s="2171" t="b">
        <f t="shared" si="29"/>
        <v>1</v>
      </c>
      <c r="BU40" s="2171" t="str">
        <f>IF(Содержание!$D$12="","ИСТИНА",IF(VLOOKUP(Содержание!$D$12,Справочник!$BZ$4:$CA$173,2,0)=O40,AH40="",TRUE))</f>
        <v>ИСТИНА</v>
      </c>
      <c r="BV40" s="2171" t="b">
        <f>LEFT(H40,10)&lt;=LEFT(Содержание!$D$14,10)</f>
        <v>1</v>
      </c>
      <c r="BX40" s="1569" t="str">
        <f>IFERROR(VLOOKUP(G40,Долгосроч_договоры!D:D,1,0),"нет")</f>
        <v>нет</v>
      </c>
      <c r="BY40" s="1569" t="str">
        <f>IF(I40="{255212} Авансы выданные","да",IF(AND(I40="{255222} Авансы полученные",IFERROR(VLOOKUP(G40,Долгосроч_договоры!D:D,1,0),"нет")&lt;&gt;"нет"),"да","нет"))</f>
        <v>нет</v>
      </c>
      <c r="BZ40" s="2168" t="b">
        <f t="shared" ca="1" si="46"/>
        <v>1</v>
      </c>
      <c r="CA40" s="2168" t="b">
        <f t="shared" ca="1" si="47"/>
        <v>1</v>
      </c>
      <c r="CB40" s="2168" t="b">
        <f t="shared" ca="1" si="48"/>
        <v>1</v>
      </c>
      <c r="CC40" s="3426" t="str">
        <f t="shared" ca="1" si="49"/>
        <v>-</v>
      </c>
      <c r="CD40" s="3426" t="str">
        <f t="shared" ca="1" si="63"/>
        <v>-</v>
      </c>
      <c r="CG40" s="2168" t="b">
        <f t="shared" si="50"/>
        <v>1</v>
      </c>
    </row>
    <row r="41" spans="1:85" ht="16.5" customHeight="1">
      <c r="A41" s="556" t="str">
        <f t="shared" si="30"/>
        <v>R2=;R42=;R55=;R7=;R1=;R26=;R16=;R30=;R49=;R4=;R57=;R46=;R36=;R43=;COM=</v>
      </c>
      <c r="C41" s="1071"/>
      <c r="D41" s="885"/>
      <c r="E41" s="885"/>
      <c r="F41" s="1001"/>
      <c r="G41" s="885"/>
      <c r="H41" s="1288"/>
      <c r="I41" s="885"/>
      <c r="J41" s="885"/>
      <c r="K41" s="2269"/>
      <c r="L41" s="2270"/>
      <c r="M41" s="1288"/>
      <c r="N41" s="2270"/>
      <c r="O41" s="1001"/>
      <c r="P41" s="1113"/>
      <c r="Q41" s="1289">
        <f t="shared" si="57"/>
        <v>0</v>
      </c>
      <c r="R41" s="1289">
        <f t="shared" si="52"/>
        <v>0</v>
      </c>
      <c r="S41" s="1289">
        <f t="shared" si="53"/>
        <v>0</v>
      </c>
      <c r="T41" s="1289">
        <f t="shared" si="54"/>
        <v>0</v>
      </c>
      <c r="U41" s="1289">
        <f t="shared" si="55"/>
        <v>0</v>
      </c>
      <c r="V41" s="1113"/>
      <c r="W41" s="1289">
        <f t="shared" si="31"/>
        <v>0</v>
      </c>
      <c r="X41" s="1289">
        <f t="shared" si="58"/>
        <v>0</v>
      </c>
      <c r="Y41" s="1289">
        <f t="shared" si="59"/>
        <v>0</v>
      </c>
      <c r="Z41" s="1289">
        <f t="shared" si="60"/>
        <v>0</v>
      </c>
      <c r="AA41" s="1289">
        <f t="shared" si="61"/>
        <v>0</v>
      </c>
      <c r="AB41" s="1289">
        <f t="shared" si="62"/>
        <v>0</v>
      </c>
      <c r="AC41" s="897"/>
      <c r="AD41" s="897"/>
      <c r="AE41" s="897"/>
      <c r="AF41" s="897"/>
      <c r="AG41" s="897"/>
      <c r="AH41" s="897"/>
      <c r="AI41" s="2827">
        <f t="shared" si="16"/>
        <v>0</v>
      </c>
      <c r="AJ41" s="2269"/>
      <c r="AK41" s="2269"/>
      <c r="AL41" s="3560" t="b">
        <f t="shared" si="17"/>
        <v>1</v>
      </c>
      <c r="AM41" s="3560" t="b">
        <f t="shared" si="18"/>
        <v>1</v>
      </c>
      <c r="AN41" s="2551" t="b">
        <f t="shared" si="19"/>
        <v>1</v>
      </c>
      <c r="AO41" s="2166"/>
      <c r="AP41" s="2595" t="b">
        <f t="shared" si="20"/>
        <v>1</v>
      </c>
      <c r="AQ41" s="2168"/>
      <c r="AR41" s="2167" t="b">
        <f t="shared" si="21"/>
        <v>1</v>
      </c>
      <c r="AS41" s="3561" t="b">
        <f t="shared" si="34"/>
        <v>1</v>
      </c>
      <c r="AT41" s="2171" t="b">
        <f t="shared" si="22"/>
        <v>1</v>
      </c>
      <c r="AU41" s="2171" t="b">
        <f t="shared" si="23"/>
        <v>1</v>
      </c>
      <c r="AV41" s="2242" t="s">
        <v>7695</v>
      </c>
      <c r="AW41" s="2171" t="b">
        <f t="shared" si="35"/>
        <v>1</v>
      </c>
      <c r="AX41" s="2277" t="str">
        <f t="shared" si="24"/>
        <v/>
      </c>
      <c r="AY41" s="2278" t="str">
        <f t="shared" si="25"/>
        <v>-</v>
      </c>
      <c r="AZ41" s="2551" t="b">
        <f t="shared" si="36"/>
        <v>1</v>
      </c>
      <c r="BA41" s="2551" t="b">
        <f t="shared" si="26"/>
        <v>1</v>
      </c>
      <c r="BB41" s="2551" t="b">
        <f t="shared" si="37"/>
        <v>1</v>
      </c>
      <c r="BC41" s="1569" t="str">
        <f t="shared" si="56"/>
        <v>-</v>
      </c>
      <c r="BF41" s="2171" t="b">
        <f t="shared" si="38"/>
        <v>1</v>
      </c>
      <c r="BG41" s="2171" t="b">
        <f t="shared" si="39"/>
        <v>1</v>
      </c>
      <c r="BJ41" s="1569">
        <f t="shared" si="40"/>
        <v>0</v>
      </c>
      <c r="BK41" s="2171" t="b">
        <f>IF(AC41&lt;0,TRUE,IF(OR(AND(AI41&lt;0,P41&gt;0),NOT(COUNTBLANK(AD41:AG41)=4)),TRUE,IF(OR(BJ41="Гос.контракты",BJ41="Внешние контрагенты",BJ41="Физические лица",BJ41="НДС с авансов",BJ41="НДС по налоговому агенту"),TRUE,IF(ISBLANK(BJ41),TRUE,IF(ISNA(VLOOKUP(BJ41,Список_компаний!$B$3:$I$289,1,0)),TRUE,IF(OR(BJ41=7704765961,BJ41=3801085668,BJ41=7706729140,BJ41=1402048660,BJ41=5256065824,BJ41=7701927935,BJ41=7451382644,BJ41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41,Список_компаний!$B$3:$I$289,8,0)="Да",VLOOKUP(BJ41,Список_компаний!$B$3:$I$289,7,0)=""),TRUE,IF(AND(VLOOKUP(BJ41,Список_компаний!$B$3:$I$289,8,0)="Да",VLOOKUP(BJ41,Список_компаний!$B$3:$I$289,7,0)="Да"),FALSE,FALSE)),FALSE))))))))</f>
        <v>1</v>
      </c>
      <c r="BL41" s="2171" t="b">
        <f>IF(AC41&lt;0,TRUE,IF(OR(AND(AI41&lt;0,P41&gt;0),NOT(COUNTBLANK(AD41:AG41)=4)),TRUE,IF(OR(F41=10011,F41=10015,F41=10000,F41=10018,F41=10020,F41=10019,F41=567019,F41=10016),TRUE,IF(ISNA(VLOOKUP(F41,Список_компаний!$C$3:$I$289,1,0)),TRUE,IF(OR(F41=362,F41=122,F41=337,F41=330,F41=203,F41=204687,F41=402234,F41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41,Список_компаний!$C$3:$I$289,7,0)="Да",VLOOKUP(F41,Список_компаний!$C$3:$I$289,6,0)=""),TRUE,IF(AND(VLOOKUP(F41,Список_компаний!$C$3:$I$289,7,0)="Да",VLOOKUP(F41,Список_компаний!$C$3:$I$289,6,0)="Да"),FALSE,FALSE)),FALSE)))))))</f>
        <v>1</v>
      </c>
      <c r="BM41" s="2171" t="b">
        <f t="shared" si="27"/>
        <v>1</v>
      </c>
      <c r="BN41" s="2171" t="b">
        <f t="shared" si="28"/>
        <v>1</v>
      </c>
      <c r="BO41" s="2171" t="b">
        <f t="shared" si="41"/>
        <v>1</v>
      </c>
      <c r="BP41" s="2171" t="b">
        <f t="shared" si="42"/>
        <v>1</v>
      </c>
      <c r="BQ41" s="2171" t="b">
        <f t="shared" si="43"/>
        <v>1</v>
      </c>
      <c r="BR41" s="2171" t="b">
        <f t="shared" si="44"/>
        <v>1</v>
      </c>
      <c r="BS41" s="2171" t="b">
        <f t="shared" si="45"/>
        <v>1</v>
      </c>
      <c r="BT41" s="2171" t="b">
        <f t="shared" si="29"/>
        <v>1</v>
      </c>
      <c r="BU41" s="2171" t="str">
        <f>IF(Содержание!$D$12="","ИСТИНА",IF(VLOOKUP(Содержание!$D$12,Справочник!$BZ$4:$CA$173,2,0)=O41,AH41="",TRUE))</f>
        <v>ИСТИНА</v>
      </c>
      <c r="BV41" s="2171" t="b">
        <f>LEFT(H41,10)&lt;=LEFT(Содержание!$D$14,10)</f>
        <v>1</v>
      </c>
      <c r="BX41" s="1569" t="str">
        <f>IFERROR(VLOOKUP(G41,Долгосроч_договоры!D:D,1,0),"нет")</f>
        <v>нет</v>
      </c>
      <c r="BY41" s="1569" t="str">
        <f>IF(I41="{255212} Авансы выданные","да",IF(AND(I41="{255222} Авансы полученные",IFERROR(VLOOKUP(G41,Долгосроч_договоры!D:D,1,0),"нет")&lt;&gt;"нет"),"да","нет"))</f>
        <v>нет</v>
      </c>
      <c r="BZ41" s="2168" t="b">
        <f t="shared" ca="1" si="46"/>
        <v>1</v>
      </c>
      <c r="CA41" s="2168" t="b">
        <f t="shared" ca="1" si="47"/>
        <v>1</v>
      </c>
      <c r="CB41" s="2168" t="b">
        <f t="shared" ca="1" si="48"/>
        <v>1</v>
      </c>
      <c r="CC41" s="3426" t="str">
        <f t="shared" ca="1" si="49"/>
        <v>-</v>
      </c>
      <c r="CD41" s="3426" t="str">
        <f t="shared" ca="1" si="63"/>
        <v>-</v>
      </c>
      <c r="CG41" s="2168" t="b">
        <f t="shared" si="50"/>
        <v>1</v>
      </c>
    </row>
    <row r="42" spans="1:85" ht="16.5" customHeight="1">
      <c r="A42" s="556" t="str">
        <f t="shared" si="30"/>
        <v>R2=;R42=;R55=;R7=;R1=;R26=;R16=;R30=;R49=;R4=;R57=;R46=;R36=;R43=;COM=</v>
      </c>
      <c r="C42" s="1071"/>
      <c r="D42" s="885"/>
      <c r="E42" s="885"/>
      <c r="F42" s="1001"/>
      <c r="G42" s="885"/>
      <c r="H42" s="1288"/>
      <c r="I42" s="885"/>
      <c r="J42" s="885"/>
      <c r="K42" s="2269"/>
      <c r="L42" s="2270"/>
      <c r="M42" s="1288"/>
      <c r="N42" s="2270"/>
      <c r="O42" s="1001"/>
      <c r="P42" s="1113"/>
      <c r="Q42" s="1289">
        <f t="shared" si="57"/>
        <v>0</v>
      </c>
      <c r="R42" s="1289">
        <f t="shared" si="52"/>
        <v>0</v>
      </c>
      <c r="S42" s="1289">
        <f t="shared" si="53"/>
        <v>0</v>
      </c>
      <c r="T42" s="1289">
        <f t="shared" si="54"/>
        <v>0</v>
      </c>
      <c r="U42" s="1289">
        <f t="shared" si="55"/>
        <v>0</v>
      </c>
      <c r="V42" s="1113"/>
      <c r="W42" s="1289">
        <f t="shared" si="31"/>
        <v>0</v>
      </c>
      <c r="X42" s="1289">
        <f t="shared" si="58"/>
        <v>0</v>
      </c>
      <c r="Y42" s="1289">
        <f t="shared" si="59"/>
        <v>0</v>
      </c>
      <c r="Z42" s="1289">
        <f t="shared" si="60"/>
        <v>0</v>
      </c>
      <c r="AA42" s="1289">
        <f t="shared" si="61"/>
        <v>0</v>
      </c>
      <c r="AB42" s="1289">
        <f t="shared" si="62"/>
        <v>0</v>
      </c>
      <c r="AC42" s="897"/>
      <c r="AD42" s="897"/>
      <c r="AE42" s="897"/>
      <c r="AF42" s="897"/>
      <c r="AG42" s="897"/>
      <c r="AH42" s="897"/>
      <c r="AI42" s="2827">
        <f t="shared" si="16"/>
        <v>0</v>
      </c>
      <c r="AJ42" s="2269"/>
      <c r="AK42" s="2269"/>
      <c r="AL42" s="3560" t="b">
        <f t="shared" si="17"/>
        <v>1</v>
      </c>
      <c r="AM42" s="3560" t="b">
        <f t="shared" si="18"/>
        <v>1</v>
      </c>
      <c r="AN42" s="2551" t="b">
        <f t="shared" si="19"/>
        <v>1</v>
      </c>
      <c r="AO42" s="2166"/>
      <c r="AP42" s="2595" t="b">
        <f t="shared" si="20"/>
        <v>1</v>
      </c>
      <c r="AQ42" s="2168"/>
      <c r="AR42" s="2167" t="b">
        <f t="shared" si="21"/>
        <v>1</v>
      </c>
      <c r="AS42" s="3561" t="b">
        <f t="shared" si="34"/>
        <v>1</v>
      </c>
      <c r="AT42" s="2171" t="b">
        <f t="shared" si="22"/>
        <v>1</v>
      </c>
      <c r="AU42" s="2171" t="b">
        <f t="shared" si="23"/>
        <v>1</v>
      </c>
      <c r="AV42" s="2242" t="s">
        <v>7695</v>
      </c>
      <c r="AW42" s="2171" t="b">
        <f t="shared" si="35"/>
        <v>1</v>
      </c>
      <c r="AX42" s="2277" t="str">
        <f t="shared" si="24"/>
        <v/>
      </c>
      <c r="AY42" s="2278" t="str">
        <f t="shared" si="25"/>
        <v>-</v>
      </c>
      <c r="AZ42" s="2551" t="b">
        <f t="shared" si="36"/>
        <v>1</v>
      </c>
      <c r="BA42" s="2551" t="b">
        <f t="shared" si="26"/>
        <v>1</v>
      </c>
      <c r="BB42" s="2551" t="b">
        <f t="shared" si="37"/>
        <v>1</v>
      </c>
      <c r="BC42" s="1569" t="str">
        <f t="shared" si="56"/>
        <v>-</v>
      </c>
      <c r="BF42" s="2171" t="b">
        <f t="shared" si="38"/>
        <v>1</v>
      </c>
      <c r="BG42" s="2171" t="b">
        <f t="shared" si="39"/>
        <v>1</v>
      </c>
      <c r="BJ42" s="1569">
        <f t="shared" si="40"/>
        <v>0</v>
      </c>
      <c r="BK42" s="2171" t="b">
        <f>IF(AC42&lt;0,TRUE,IF(OR(AND(AI42&lt;0,P42&gt;0),NOT(COUNTBLANK(AD42:AG42)=4)),TRUE,IF(OR(BJ42="Гос.контракты",BJ42="Внешние контрагенты",BJ42="Физические лица",BJ42="НДС с авансов",BJ42="НДС по налоговому агенту"),TRUE,IF(ISBLANK(BJ42),TRUE,IF(ISNA(VLOOKUP(BJ42,Список_компаний!$B$3:$I$289,1,0)),TRUE,IF(OR(BJ42=7704765961,BJ42=3801085668,BJ42=7706729140,BJ42=1402048660,BJ42=5256065824,BJ42=7701927935,BJ42=7451382644,BJ42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42,Список_компаний!$B$3:$I$289,8,0)="Да",VLOOKUP(BJ42,Список_компаний!$B$3:$I$289,7,0)=""),TRUE,IF(AND(VLOOKUP(BJ42,Список_компаний!$B$3:$I$289,8,0)="Да",VLOOKUP(BJ42,Список_компаний!$B$3:$I$289,7,0)="Да"),FALSE,FALSE)),FALSE))))))))</f>
        <v>1</v>
      </c>
      <c r="BL42" s="2171" t="b">
        <f>IF(AC42&lt;0,TRUE,IF(OR(AND(AI42&lt;0,P42&gt;0),NOT(COUNTBLANK(AD42:AG42)=4)),TRUE,IF(OR(F42=10011,F42=10015,F42=10000,F42=10018,F42=10020,F42=10019,F42=567019,F42=10016),TRUE,IF(ISNA(VLOOKUP(F42,Список_компаний!$C$3:$I$289,1,0)),TRUE,IF(OR(F42=362,F42=122,F42=337,F42=330,F42=203,F42=204687,F42=402234,F42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42,Список_компаний!$C$3:$I$289,7,0)="Да",VLOOKUP(F42,Список_компаний!$C$3:$I$289,6,0)=""),TRUE,IF(AND(VLOOKUP(F42,Список_компаний!$C$3:$I$289,7,0)="Да",VLOOKUP(F42,Список_компаний!$C$3:$I$289,6,0)="Да"),FALSE,FALSE)),FALSE)))))))</f>
        <v>1</v>
      </c>
      <c r="BM42" s="2171" t="b">
        <f t="shared" si="27"/>
        <v>1</v>
      </c>
      <c r="BN42" s="2171" t="b">
        <f t="shared" si="28"/>
        <v>1</v>
      </c>
      <c r="BO42" s="2171" t="b">
        <f t="shared" si="41"/>
        <v>1</v>
      </c>
      <c r="BP42" s="2171" t="b">
        <f t="shared" si="42"/>
        <v>1</v>
      </c>
      <c r="BQ42" s="2171" t="b">
        <f t="shared" si="43"/>
        <v>1</v>
      </c>
      <c r="BR42" s="2171" t="b">
        <f t="shared" si="44"/>
        <v>1</v>
      </c>
      <c r="BS42" s="2171" t="b">
        <f t="shared" si="45"/>
        <v>1</v>
      </c>
      <c r="BT42" s="2171" t="b">
        <f t="shared" si="29"/>
        <v>1</v>
      </c>
      <c r="BU42" s="2171" t="str">
        <f>IF(Содержание!$D$12="","ИСТИНА",IF(VLOOKUP(Содержание!$D$12,Справочник!$BZ$4:$CA$173,2,0)=O42,AH42="",TRUE))</f>
        <v>ИСТИНА</v>
      </c>
      <c r="BV42" s="2171" t="b">
        <f>LEFT(H42,10)&lt;=LEFT(Содержание!$D$14,10)</f>
        <v>1</v>
      </c>
      <c r="BX42" s="1569" t="str">
        <f>IFERROR(VLOOKUP(G42,Долгосроч_договоры!D:D,1,0),"нет")</f>
        <v>нет</v>
      </c>
      <c r="BY42" s="1569" t="str">
        <f>IF(I42="{255212} Авансы выданные","да",IF(AND(I42="{255222} Авансы полученные",IFERROR(VLOOKUP(G42,Долгосроч_договоры!D:D,1,0),"нет")&lt;&gt;"нет"),"да","нет"))</f>
        <v>нет</v>
      </c>
      <c r="BZ42" s="2168" t="b">
        <f t="shared" ca="1" si="46"/>
        <v>1</v>
      </c>
      <c r="CA42" s="2168" t="b">
        <f t="shared" ca="1" si="47"/>
        <v>1</v>
      </c>
      <c r="CB42" s="2168" t="b">
        <f t="shared" ca="1" si="48"/>
        <v>1</v>
      </c>
      <c r="CC42" s="3426" t="str">
        <f t="shared" ca="1" si="49"/>
        <v>-</v>
      </c>
      <c r="CD42" s="3426" t="str">
        <f t="shared" ca="1" si="63"/>
        <v>-</v>
      </c>
      <c r="CG42" s="2168" t="b">
        <f t="shared" si="50"/>
        <v>1</v>
      </c>
    </row>
    <row r="43" spans="1:85" ht="16.5" customHeight="1">
      <c r="A43" s="556" t="str">
        <f t="shared" si="30"/>
        <v>R2=;R42=;R55=;R7=;R1=;R26=;R16=;R30=;R49=;R4=;R57=;R46=;R36=;R43=;COM=</v>
      </c>
      <c r="C43" s="1071"/>
      <c r="D43" s="2269"/>
      <c r="E43" s="2269"/>
      <c r="F43" s="1001"/>
      <c r="G43" s="2269"/>
      <c r="H43" s="2270"/>
      <c r="I43" s="2269"/>
      <c r="J43" s="2269"/>
      <c r="K43" s="2269"/>
      <c r="L43" s="2270"/>
      <c r="M43" s="2270"/>
      <c r="N43" s="2270"/>
      <c r="O43" s="1001"/>
      <c r="P43" s="1113"/>
      <c r="Q43" s="1289">
        <f t="shared" si="57"/>
        <v>0</v>
      </c>
      <c r="R43" s="1289">
        <f t="shared" si="52"/>
        <v>0</v>
      </c>
      <c r="S43" s="1289">
        <f t="shared" si="53"/>
        <v>0</v>
      </c>
      <c r="T43" s="1289">
        <f t="shared" si="54"/>
        <v>0</v>
      </c>
      <c r="U43" s="1289">
        <f t="shared" si="55"/>
        <v>0</v>
      </c>
      <c r="V43" s="1113"/>
      <c r="W43" s="1289">
        <f t="shared" si="31"/>
        <v>0</v>
      </c>
      <c r="X43" s="1289">
        <f t="shared" si="58"/>
        <v>0</v>
      </c>
      <c r="Y43" s="1289">
        <f t="shared" si="59"/>
        <v>0</v>
      </c>
      <c r="Z43" s="1289">
        <f t="shared" si="60"/>
        <v>0</v>
      </c>
      <c r="AA43" s="1289">
        <f t="shared" si="61"/>
        <v>0</v>
      </c>
      <c r="AB43" s="1289">
        <f t="shared" si="62"/>
        <v>0</v>
      </c>
      <c r="AC43" s="897"/>
      <c r="AD43" s="897"/>
      <c r="AE43" s="897"/>
      <c r="AF43" s="897"/>
      <c r="AG43" s="897"/>
      <c r="AH43" s="897"/>
      <c r="AI43" s="2827">
        <f t="shared" si="16"/>
        <v>0</v>
      </c>
      <c r="AJ43" s="2269"/>
      <c r="AK43" s="2269"/>
      <c r="AL43" s="3560" t="b">
        <f t="shared" si="17"/>
        <v>1</v>
      </c>
      <c r="AM43" s="3560" t="b">
        <f t="shared" si="18"/>
        <v>1</v>
      </c>
      <c r="AN43" s="2551" t="b">
        <f t="shared" si="19"/>
        <v>1</v>
      </c>
      <c r="AO43" s="2166"/>
      <c r="AP43" s="2595" t="b">
        <f t="shared" si="20"/>
        <v>1</v>
      </c>
      <c r="AQ43" s="2168"/>
      <c r="AR43" s="2167" t="b">
        <f t="shared" si="21"/>
        <v>1</v>
      </c>
      <c r="AS43" s="3561" t="b">
        <f t="shared" si="34"/>
        <v>1</v>
      </c>
      <c r="AT43" s="2171" t="b">
        <f t="shared" si="22"/>
        <v>1</v>
      </c>
      <c r="AU43" s="2171" t="b">
        <f t="shared" si="23"/>
        <v>1</v>
      </c>
      <c r="AV43" s="2242" t="s">
        <v>7695</v>
      </c>
      <c r="AW43" s="2171" t="b">
        <f t="shared" si="35"/>
        <v>1</v>
      </c>
      <c r="AX43" s="2277" t="str">
        <f t="shared" si="24"/>
        <v/>
      </c>
      <c r="AY43" s="2278" t="str">
        <f t="shared" si="25"/>
        <v>-</v>
      </c>
      <c r="AZ43" s="2551" t="b">
        <f t="shared" si="36"/>
        <v>1</v>
      </c>
      <c r="BA43" s="2551" t="b">
        <f t="shared" si="26"/>
        <v>1</v>
      </c>
      <c r="BB43" s="2551" t="b">
        <f t="shared" si="37"/>
        <v>1</v>
      </c>
      <c r="BC43" s="1569" t="str">
        <f t="shared" si="56"/>
        <v>-</v>
      </c>
      <c r="BF43" s="2171" t="b">
        <f t="shared" si="38"/>
        <v>1</v>
      </c>
      <c r="BG43" s="2171" t="b">
        <f t="shared" si="39"/>
        <v>1</v>
      </c>
      <c r="BJ43" s="1569">
        <f t="shared" si="40"/>
        <v>0</v>
      </c>
      <c r="BK43" s="2171" t="b">
        <f>IF(AC43&lt;0,TRUE,IF(OR(AND(AI43&lt;0,P43&gt;0),NOT(COUNTBLANK(AD43:AG43)=4)),TRUE,IF(OR(BJ43="Гос.контракты",BJ43="Внешние контрагенты",BJ43="Физические лица",BJ43="НДС с авансов",BJ43="НДС по налоговому агенту"),TRUE,IF(ISBLANK(BJ43),TRUE,IF(ISNA(VLOOKUP(BJ43,Список_компаний!$B$3:$I$289,1,0)),TRUE,IF(OR(BJ43=7704765961,BJ43=3801085668,BJ43=7706729140,BJ43=1402048660,BJ43=5256065824,BJ43=7701927935,BJ43=7451382644,BJ43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43,Список_компаний!$B$3:$I$289,8,0)="Да",VLOOKUP(BJ43,Список_компаний!$B$3:$I$289,7,0)=""),TRUE,IF(AND(VLOOKUP(BJ43,Список_компаний!$B$3:$I$289,8,0)="Да",VLOOKUP(BJ43,Список_компаний!$B$3:$I$289,7,0)="Да"),FALSE,FALSE)),FALSE))))))))</f>
        <v>1</v>
      </c>
      <c r="BL43" s="2171" t="b">
        <f>IF(AC43&lt;0,TRUE,IF(OR(AND(AI43&lt;0,P43&gt;0),NOT(COUNTBLANK(AD43:AG43)=4)),TRUE,IF(OR(F43=10011,F43=10015,F43=10000,F43=10018,F43=10020,F43=10019,F43=567019,F43=10016),TRUE,IF(ISNA(VLOOKUP(F43,Список_компаний!$C$3:$I$289,1,0)),TRUE,IF(OR(F43=362,F43=122,F43=337,F43=330,F43=203,F43=204687,F43=402234,F43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43,Список_компаний!$C$3:$I$289,7,0)="Да",VLOOKUP(F43,Список_компаний!$C$3:$I$289,6,0)=""),TRUE,IF(AND(VLOOKUP(F43,Список_компаний!$C$3:$I$289,7,0)="Да",VLOOKUP(F43,Список_компаний!$C$3:$I$289,6,0)="Да"),FALSE,FALSE)),FALSE)))))))</f>
        <v>1</v>
      </c>
      <c r="BM43" s="2171" t="b">
        <f t="shared" si="27"/>
        <v>1</v>
      </c>
      <c r="BN43" s="2171" t="b">
        <f t="shared" si="28"/>
        <v>1</v>
      </c>
      <c r="BO43" s="2171" t="b">
        <f t="shared" si="41"/>
        <v>1</v>
      </c>
      <c r="BP43" s="2171" t="b">
        <f t="shared" si="42"/>
        <v>1</v>
      </c>
      <c r="BQ43" s="2171" t="b">
        <f t="shared" si="43"/>
        <v>1</v>
      </c>
      <c r="BR43" s="2171" t="b">
        <f t="shared" si="44"/>
        <v>1</v>
      </c>
      <c r="BS43" s="2171" t="b">
        <f t="shared" si="45"/>
        <v>1</v>
      </c>
      <c r="BT43" s="2171" t="b">
        <f t="shared" si="29"/>
        <v>1</v>
      </c>
      <c r="BU43" s="2171" t="str">
        <f>IF(Содержание!$D$12="","ИСТИНА",IF(VLOOKUP(Содержание!$D$12,Справочник!$BZ$4:$CA$173,2,0)=O43,AH43="",TRUE))</f>
        <v>ИСТИНА</v>
      </c>
      <c r="BV43" s="2171" t="b">
        <f>LEFT(H43,10)&lt;=LEFT(Содержание!$D$14,10)</f>
        <v>1</v>
      </c>
      <c r="BX43" s="1569" t="str">
        <f>IFERROR(VLOOKUP(G43,Долгосроч_договоры!D:D,1,0),"нет")</f>
        <v>нет</v>
      </c>
      <c r="BY43" s="1569" t="str">
        <f>IF(I43="{255212} Авансы выданные","да",IF(AND(I43="{255222} Авансы полученные",IFERROR(VLOOKUP(G43,Долгосроч_договоры!D:D,1,0),"нет")&lt;&gt;"нет"),"да","нет"))</f>
        <v>нет</v>
      </c>
      <c r="BZ43" s="2168" t="b">
        <f t="shared" ca="1" si="46"/>
        <v>1</v>
      </c>
      <c r="CA43" s="2168" t="b">
        <f t="shared" ca="1" si="47"/>
        <v>1</v>
      </c>
      <c r="CB43" s="2168" t="b">
        <f t="shared" ca="1" si="48"/>
        <v>1</v>
      </c>
      <c r="CC43" s="3426" t="str">
        <f t="shared" ca="1" si="49"/>
        <v>-</v>
      </c>
      <c r="CD43" s="3426" t="str">
        <f t="shared" ca="1" si="63"/>
        <v>-</v>
      </c>
      <c r="CG43" s="2168" t="b">
        <f t="shared" si="50"/>
        <v>1</v>
      </c>
    </row>
    <row r="44" spans="1:85" ht="16.5" customHeight="1">
      <c r="A44" s="556" t="str">
        <f t="shared" si="30"/>
        <v>R2=;R42=;R55=;R7=;R1=;R26=;R16=;R30=;R49=;R4=;R57=;R46=;R36=;R43=;COM=</v>
      </c>
      <c r="C44" s="1071"/>
      <c r="D44" s="2269"/>
      <c r="E44" s="2269"/>
      <c r="F44" s="1001"/>
      <c r="G44" s="2269"/>
      <c r="H44" s="2270"/>
      <c r="I44" s="2269"/>
      <c r="J44" s="2269"/>
      <c r="K44" s="2269"/>
      <c r="L44" s="2270"/>
      <c r="M44" s="2270"/>
      <c r="N44" s="2270"/>
      <c r="O44" s="1001"/>
      <c r="P44" s="1113"/>
      <c r="Q44" s="1289">
        <f t="shared" ref="Q44" si="64">IF($P$4-M44&lt;=0,P44,0)</f>
        <v>0</v>
      </c>
      <c r="R44" s="1289">
        <f t="shared" si="52"/>
        <v>0</v>
      </c>
      <c r="S44" s="1289">
        <f t="shared" si="53"/>
        <v>0</v>
      </c>
      <c r="T44" s="1289">
        <f t="shared" si="54"/>
        <v>0</v>
      </c>
      <c r="U44" s="1289">
        <f t="shared" si="55"/>
        <v>0</v>
      </c>
      <c r="V44" s="1113"/>
      <c r="W44" s="1289">
        <f t="shared" ref="W44" si="65">IF(($P$4-M44)&gt;0,V44,0)</f>
        <v>0</v>
      </c>
      <c r="X44" s="1289">
        <f t="shared" ref="X44" si="66">IF(($X$4-M44)+1&gt;0,V44,0)-W44</f>
        <v>0</v>
      </c>
      <c r="Y44" s="1289">
        <f t="shared" ref="Y44" si="67">IF(($Y$4-M44)+1&gt;0,V44,0)-SUM(W44:X44)</f>
        <v>0</v>
      </c>
      <c r="Z44" s="1289">
        <f t="shared" ref="Z44" si="68">IF(($Z$4-M44)+1&gt;0,V44,0)-SUM(W44:Y44)</f>
        <v>0</v>
      </c>
      <c r="AA44" s="1289">
        <f t="shared" ref="AA44" si="69">IF(($AA$4-M44)+1&gt;0,V44,0)-SUM(W44:Z44)</f>
        <v>0</v>
      </c>
      <c r="AB44" s="1289">
        <f t="shared" ref="AB44" si="70">V44-SUM(W44:AA44)</f>
        <v>0</v>
      </c>
      <c r="AC44" s="897"/>
      <c r="AD44" s="897"/>
      <c r="AE44" s="897"/>
      <c r="AF44" s="897"/>
      <c r="AG44" s="897"/>
      <c r="AH44" s="897"/>
      <c r="AI44" s="2827">
        <f t="shared" si="16"/>
        <v>0</v>
      </c>
      <c r="AJ44" s="2269"/>
      <c r="AK44" s="2269"/>
      <c r="AL44" s="3560" t="b">
        <f t="shared" si="17"/>
        <v>1</v>
      </c>
      <c r="AM44" s="3560" t="b">
        <f t="shared" si="18"/>
        <v>1</v>
      </c>
      <c r="AN44" s="2551" t="b">
        <f t="shared" ref="AN44" si="71">OR(ABS((T44/2+U44)+AI44)&lt;=2,AJ44&lt;&gt;"")</f>
        <v>1</v>
      </c>
      <c r="AO44" s="2166"/>
      <c r="AP44" s="2595" t="b">
        <f t="shared" ref="AP44" si="72">AND(IF(P44&gt;0,V44=0,TRUE),IF(V44&lt;0,P44=0,TRUE))</f>
        <v>1</v>
      </c>
      <c r="AQ44" s="2168"/>
      <c r="AR44" s="2167" t="b">
        <f t="shared" ref="AR44" si="73">OR(IF(OR(D44&lt;&gt;0,D44&lt;&gt;""),LEN(E44)&gt;3,TRUE),IF(OR(D44&lt;&gt;0,D44&lt;&gt;""),F44&gt;0,TRUE))</f>
        <v>1</v>
      </c>
      <c r="AS44" s="3561" t="b">
        <f t="shared" si="34"/>
        <v>1</v>
      </c>
      <c r="AT44" s="2171" t="b">
        <f t="shared" ref="AT44" si="74">AND(IF(E44="ВНЕШНИЕ КОНТРАГЕНТЫ",F44=10015,TRUE),IF(F44=10015,E44="ВНЕШНИЕ КОНТРАГЕНТЫ",TRUE))</f>
        <v>1</v>
      </c>
      <c r="AU44" s="2171" t="b">
        <f t="shared" ref="AU44" si="75">AND(IF(IFERROR(VLOOKUP(J44,$BH:$BH,1,0),TRUE)=J44,F44=10018,TRUE),IF(F44=10018,J44=IFERROR(VLOOKUP(J44,$BH:$BH,1,0),FALSE),TRUE),IF(F44=10018,IFERROR(VLOOKUP(J44,$BH:$BH,1,0)=J44,FALSE),TRUE))</f>
        <v>1</v>
      </c>
      <c r="AV44" s="2242" t="s">
        <v>7695</v>
      </c>
      <c r="AW44" s="2171" t="b">
        <f t="shared" ref="AW44" si="76">IF(ISNA(VLOOKUP(J44,$BI$16:$BI$19,1,0)),TRUE,OR(I44="{255211} Кредиторская задолженность",I44="{255212} Авансы выданные"))</f>
        <v>1</v>
      </c>
      <c r="AX44" s="2277" t="str">
        <f t="shared" ref="AX44" si="77">IFERROR(RIGHT(I44,LEN(I44)-9),"")</f>
        <v/>
      </c>
      <c r="AY44" s="2278" t="str">
        <f t="shared" si="25"/>
        <v>-</v>
      </c>
      <c r="AZ44" s="2551" t="b">
        <f t="shared" ref="AZ44" si="78">AND(IF(AJ44="{3} Существует высокая вероятность погашения задолженности",AK44&lt;&gt;"",TRUE),IF(AK44&lt;&gt;"",IF(AJ44="{3} Существует высокая вероятность погашения задолженности",TRUE,FALSE),TRUE))</f>
        <v>1</v>
      </c>
      <c r="BA44" s="2551" t="b">
        <f t="shared" ref="BA44" si="79">AND(IF(AJ44="{1} Контрагент входит в периметр консолидации",IF(BC44="-",FALSE,TRUE),TRUE),IF((T44+U44)&gt;0,AND(IF(AJ44="{1} Контрагент входит в периметр консолидации",IF(E44=BC44,TRUE,FALSE),TRUE),IF(BC44=E44,IF(AJ44="{1} Контрагент входит в периметр консолидации",TRUE,FALSE),TRUE)),TRUE))</f>
        <v>1</v>
      </c>
      <c r="BB44" s="2551" t="b">
        <f t="shared" si="37"/>
        <v>1</v>
      </c>
      <c r="BC44" s="1569" t="str">
        <f t="shared" si="56"/>
        <v>-</v>
      </c>
      <c r="BF44" s="2171" t="b">
        <f t="shared" ref="BF44" si="80">IF(ISNA(VLOOKUP(J44,$BI$20:$BI$23,1,0)),IF(J44=$BI$25,OR(I44="{255221} Дебиторская задолженность",I44="{255222} Авансы полученные"),TRUE),OR(I44="{255221} Дебиторская задолженность",I44="{255222} Авансы полученные"))</f>
        <v>1</v>
      </c>
      <c r="BG44" s="2171" t="b">
        <f t="shared" si="39"/>
        <v>1</v>
      </c>
      <c r="BJ44" s="1569">
        <f t="shared" ref="BJ44" si="81">IF(OR(IF(TEXT(LEFT(E44,1),"0")="0",TRUE,FALSE),ISERROR(E44*1)),E44,E44*1)</f>
        <v>0</v>
      </c>
      <c r="BK44" s="2171" t="b">
        <f>IF(AC44&lt;0,TRUE,IF(OR(AND(AI44&lt;0,P44&gt;0),NOT(COUNTBLANK(AD44:AG44)=4)),TRUE,IF(OR(BJ44="Гос.контракты",BJ44="Внешние контрагенты",BJ44="Физические лица",BJ44="НДС с авансов",BJ44="НДС по налоговому агенту"),TRUE,IF(ISBLANK(BJ44),TRUE,IF(ISNA(VLOOKUP(BJ44,Список_компаний!$B$3:$I$289,1,0)),TRUE,IF(OR(BJ44=7704765961,BJ44=3801085668,BJ44=7706729140,BJ44=1402048660,BJ44=5256065824,BJ44=7701927935,BJ44=7451382644,BJ44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44,Список_компаний!$B$3:$I$289,8,0)="Да",VLOOKUP(BJ44,Список_компаний!$B$3:$I$289,7,0)=""),TRUE,IF(AND(VLOOKUP(BJ44,Список_компаний!$B$3:$I$289,8,0)="Да",VLOOKUP(BJ44,Список_компаний!$B$3:$I$289,7,0)="Да"),FALSE,FALSE)),FALSE))))))))</f>
        <v>1</v>
      </c>
      <c r="BL44" s="2171" t="b">
        <f>IF(AC44&lt;0,TRUE,IF(OR(AND(AI44&lt;0,P44&gt;0),NOT(COUNTBLANK(AD44:AG44)=4)),TRUE,IF(OR(F44=10011,F44=10015,F44=10000,F44=10018,F44=10020,F44=10019,F44=567019,F44=10016),TRUE,IF(ISNA(VLOOKUP(F44,Список_компаний!$C$3:$I$289,1,0)),TRUE,IF(OR(F44=362,F44=122,F44=337,F44=330,F44=203,F44=204687,F44=402234,F44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44,Список_компаний!$C$3:$I$289,7,0)="Да",VLOOKUP(F44,Список_компаний!$C$3:$I$289,6,0)=""),TRUE,IF(AND(VLOOKUP(F44,Список_компаний!$C$3:$I$289,7,0)="Да",VLOOKUP(F44,Список_компаний!$C$3:$I$289,6,0)="Да"),FALSE,FALSE)),FALSE)))))))</f>
        <v>1</v>
      </c>
      <c r="BM44" s="2171" t="b">
        <f t="shared" ref="BM44" si="82">IF(D44&lt;&gt;0,IF(OR(G44="0",G44=0,G44=""),FALSE,TRUE),TRUE)</f>
        <v>1</v>
      </c>
      <c r="BN44" s="2171" t="b">
        <f t="shared" ref="BN44" si="83">IF(COUNTIF(Q44:U44,"&gt;1")&gt;1,FALSE,TRUE)</f>
        <v>1</v>
      </c>
      <c r="BO44" s="2171" t="b">
        <f t="shared" ref="BO44" si="84">IF(OR(AD44&lt;0,AE44&lt;0),FALSE,IF(AG44&gt;0,FALSE,TRUE))</f>
        <v>1</v>
      </c>
      <c r="BP44" s="2171" t="b">
        <f t="shared" ref="BP44" si="85">IF(AI44&lt;0,IF(OR(P44="0",P44=0,P44="",I44="{255211} Кредиторская задолженность",I44="{255222} Авансы полученные"),FALSE,TRUE),TRUE)</f>
        <v>1</v>
      </c>
      <c r="BQ44" s="2171" t="b">
        <f t="shared" si="43"/>
        <v>1</v>
      </c>
      <c r="BR44" s="2171" t="b">
        <f t="shared" ref="BR44" si="86">IF(D44&lt;&gt;0,IF(OR(M44="0",M44=0,M44="",M44="-"),FALSE,TRUE),TRUE)</f>
        <v>1</v>
      </c>
      <c r="BS44" s="2171" t="b">
        <f t="shared" si="45"/>
        <v>1</v>
      </c>
      <c r="BT44" s="2171" t="b">
        <f t="shared" si="29"/>
        <v>1</v>
      </c>
      <c r="BU44" s="2171" t="str">
        <f>IF(Содержание!$D$12="","ИСТИНА",IF(VLOOKUP(Содержание!$D$12,Справочник!$BZ$4:$CA$173,2,0)=O44,AH44="",TRUE))</f>
        <v>ИСТИНА</v>
      </c>
      <c r="BV44" s="2171" t="b">
        <f>LEFT(H44,10)&lt;=LEFT(Содержание!$D$14,10)</f>
        <v>1</v>
      </c>
      <c r="BX44" s="1569" t="str">
        <f>IFERROR(VLOOKUP(G44,Долгосроч_договоры!D:D,1,0),"нет")</f>
        <v>нет</v>
      </c>
      <c r="BY44" s="1569" t="str">
        <f>IF(I44="{255212} Авансы выданные","да",IF(AND(I44="{255222} Авансы полученные",IFERROR(VLOOKUP(G44,Долгосроч_договоры!D:D,1,0),"нет")&lt;&gt;"нет"),"да","нет"))</f>
        <v>нет</v>
      </c>
      <c r="BZ44" s="2168" t="b">
        <f t="shared" ca="1" si="46"/>
        <v>1</v>
      </c>
      <c r="CA44" s="2168" t="b">
        <f t="shared" ca="1" si="47"/>
        <v>1</v>
      </c>
      <c r="CB44" s="2168" t="b">
        <f t="shared" ca="1" si="48"/>
        <v>1</v>
      </c>
      <c r="CC44" s="3426" t="str">
        <f t="shared" ca="1" si="49"/>
        <v>-</v>
      </c>
      <c r="CD44" s="3426" t="str">
        <f t="shared" ca="1" si="63"/>
        <v>-</v>
      </c>
      <c r="CG44" s="2168" t="b">
        <f t="shared" si="50"/>
        <v>1</v>
      </c>
    </row>
    <row r="45" spans="1:85" ht="16.5" customHeight="1">
      <c r="A45" s="556" t="str">
        <f t="shared" si="30"/>
        <v>R2=;R42=;R55=;R7=;R1=;R26=;R16=;R30=;R49=;R4=;R57=;R46=;R36=;R43=;COM=</v>
      </c>
      <c r="C45" s="1071"/>
      <c r="D45" s="2269"/>
      <c r="E45" s="2269"/>
      <c r="F45" s="1001"/>
      <c r="G45" s="2269"/>
      <c r="H45" s="2270"/>
      <c r="I45" s="2269"/>
      <c r="J45" s="2269"/>
      <c r="K45" s="2269"/>
      <c r="L45" s="2270"/>
      <c r="M45" s="2270"/>
      <c r="N45" s="2270"/>
      <c r="O45" s="1001"/>
      <c r="P45" s="1113"/>
      <c r="Q45" s="1289">
        <f t="shared" ref="Q45" si="87">IF($P$4-M45&lt;=0,P45,0)</f>
        <v>0</v>
      </c>
      <c r="R45" s="1289">
        <f t="shared" si="52"/>
        <v>0</v>
      </c>
      <c r="S45" s="1289">
        <f t="shared" si="53"/>
        <v>0</v>
      </c>
      <c r="T45" s="1289">
        <f t="shared" si="54"/>
        <v>0</v>
      </c>
      <c r="U45" s="1289">
        <f t="shared" si="55"/>
        <v>0</v>
      </c>
      <c r="V45" s="1113"/>
      <c r="W45" s="1289">
        <f t="shared" ref="W45" si="88">IF(($P$4-M45)&gt;0,V45,0)</f>
        <v>0</v>
      </c>
      <c r="X45" s="1289">
        <f t="shared" ref="X45" si="89">IF(($X$4-M45)+1&gt;0,V45,0)-W45</f>
        <v>0</v>
      </c>
      <c r="Y45" s="1289">
        <f t="shared" ref="Y45" si="90">IF(($Y$4-M45)+1&gt;0,V45,0)-SUM(W45:X45)</f>
        <v>0</v>
      </c>
      <c r="Z45" s="1289">
        <f t="shared" ref="Z45" si="91">IF(($Z$4-M45)+1&gt;0,V45,0)-SUM(W45:Y45)</f>
        <v>0</v>
      </c>
      <c r="AA45" s="1289">
        <f t="shared" ref="AA45" si="92">IF(($AA$4-M45)+1&gt;0,V45,0)-SUM(W45:Z45)</f>
        <v>0</v>
      </c>
      <c r="AB45" s="1289">
        <f t="shared" ref="AB45" si="93">V45-SUM(W45:AA45)</f>
        <v>0</v>
      </c>
      <c r="AC45" s="897"/>
      <c r="AD45" s="897"/>
      <c r="AE45" s="897"/>
      <c r="AF45" s="897"/>
      <c r="AG45" s="897"/>
      <c r="AH45" s="897"/>
      <c r="AI45" s="2827">
        <f t="shared" si="16"/>
        <v>0</v>
      </c>
      <c r="AJ45" s="2269"/>
      <c r="AK45" s="2269"/>
      <c r="AL45" s="3560" t="b">
        <f t="shared" si="17"/>
        <v>1</v>
      </c>
      <c r="AM45" s="3560" t="b">
        <f t="shared" si="18"/>
        <v>1</v>
      </c>
      <c r="AN45" s="2551" t="b">
        <f t="shared" ref="AN45" si="94">OR(ABS((T45/2+U45)+AI45)&lt;=2,AJ45&lt;&gt;"")</f>
        <v>1</v>
      </c>
      <c r="AO45" s="2166"/>
      <c r="AP45" s="2595" t="b">
        <f t="shared" ref="AP45" si="95">AND(IF(P45&gt;0,V45=0,TRUE),IF(V45&lt;0,P45=0,TRUE))</f>
        <v>1</v>
      </c>
      <c r="AQ45" s="2168"/>
      <c r="AR45" s="2167" t="b">
        <f t="shared" ref="AR45" si="96">OR(IF(OR(D45&lt;&gt;0,D45&lt;&gt;""),LEN(E45)&gt;3,TRUE),IF(OR(D45&lt;&gt;0,D45&lt;&gt;""),F45&gt;0,TRUE))</f>
        <v>1</v>
      </c>
      <c r="AS45" s="3561" t="b">
        <f t="shared" si="34"/>
        <v>1</v>
      </c>
      <c r="AT45" s="2171" t="b">
        <f t="shared" ref="AT45" si="97">AND(IF(E45="ВНЕШНИЕ КОНТРАГЕНТЫ",F45=10015,TRUE),IF(F45=10015,E45="ВНЕШНИЕ КОНТРАГЕНТЫ",TRUE))</f>
        <v>1</v>
      </c>
      <c r="AU45" s="2171" t="b">
        <f t="shared" ref="AU45" si="98">AND(IF(IFERROR(VLOOKUP(J45,$BH:$BH,1,0),TRUE)=J45,F45=10018,TRUE),IF(F45=10018,J45=IFERROR(VLOOKUP(J45,$BH:$BH,1,0),FALSE),TRUE),IF(F45=10018,IFERROR(VLOOKUP(J45,$BH:$BH,1,0)=J45,FALSE),TRUE))</f>
        <v>1</v>
      </c>
      <c r="AV45" s="2242" t="s">
        <v>7695</v>
      </c>
      <c r="AW45" s="2171" t="b">
        <f t="shared" ref="AW45" si="99">IF(ISNA(VLOOKUP(J45,$BI$16:$BI$19,1,0)),TRUE,OR(I45="{255211} Кредиторская задолженность",I45="{255212} Авансы выданные"))</f>
        <v>1</v>
      </c>
      <c r="AX45" s="2277" t="str">
        <f t="shared" ref="AX45" si="100">IFERROR(RIGHT(I45,LEN(I45)-9),"")</f>
        <v/>
      </c>
      <c r="AY45" s="2278" t="str">
        <f t="shared" si="25"/>
        <v>-</v>
      </c>
      <c r="AZ45" s="2551" t="b">
        <f t="shared" ref="AZ45" si="101">AND(IF(AJ45="{3} Существует высокая вероятность погашения задолженности",AK45&lt;&gt;"",TRUE),IF(AK45&lt;&gt;"",IF(AJ45="{3} Существует высокая вероятность погашения задолженности",TRUE,FALSE),TRUE))</f>
        <v>1</v>
      </c>
      <c r="BA45" s="2551" t="b">
        <f t="shared" ref="BA45" si="102">AND(IF(AJ45="{1} Контрагент входит в периметр консолидации",IF(BC45="-",FALSE,TRUE),TRUE),IF((T45+U45)&gt;0,AND(IF(AJ45="{1} Контрагент входит в периметр консолидации",IF(E45=BC45,TRUE,FALSE),TRUE),IF(BC45=E45,IF(AJ45="{1} Контрагент входит в периметр консолидации",TRUE,FALSE),TRUE)),TRUE))</f>
        <v>1</v>
      </c>
      <c r="BB45" s="2551" t="b">
        <f t="shared" si="37"/>
        <v>1</v>
      </c>
      <c r="BC45" s="1569" t="str">
        <f t="shared" si="56"/>
        <v>-</v>
      </c>
      <c r="BF45" s="2171" t="b">
        <f t="shared" ref="BF45" si="103">IF(ISNA(VLOOKUP(J45,$BI$20:$BI$23,1,0)),IF(J45=$BI$25,OR(I45="{255221} Дебиторская задолженность",I45="{255222} Авансы полученные"),TRUE),OR(I45="{255221} Дебиторская задолженность",I45="{255222} Авансы полученные"))</f>
        <v>1</v>
      </c>
      <c r="BG45" s="2171" t="b">
        <f t="shared" si="39"/>
        <v>1</v>
      </c>
      <c r="BJ45" s="1569">
        <f t="shared" ref="BJ45" si="104">IF(OR(IF(TEXT(LEFT(E45,1),"0")="0",TRUE,FALSE),ISERROR(E45*1)),E45,E45*1)</f>
        <v>0</v>
      </c>
      <c r="BK45" s="2171" t="b">
        <f>IF(AC45&lt;0,TRUE,IF(OR(AND(AI45&lt;0,P45&gt;0),NOT(COUNTBLANK(AD45:AG45)=4)),TRUE,IF(OR(BJ45="Гос.контракты",BJ45="Внешние контрагенты",BJ45="Физические лица",BJ45="НДС с авансов",BJ45="НДС по налоговому агенту"),TRUE,IF(ISBLANK(BJ45),TRUE,IF(ISNA(VLOOKUP(BJ45,Список_компаний!$B$3:$I$289,1,0)),TRUE,IF(OR(BJ45=7704765961,BJ45=3801085668,BJ45=7706729140,BJ45=1402048660,BJ45=5256065824,BJ45=7701927935,BJ45=7451382644,BJ45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45,Список_компаний!$B$3:$I$289,8,0)="Да",VLOOKUP(BJ45,Список_компаний!$B$3:$I$289,7,0)=""),TRUE,IF(AND(VLOOKUP(BJ45,Список_компаний!$B$3:$I$289,8,0)="Да",VLOOKUP(BJ45,Список_компаний!$B$3:$I$289,7,0)="Да"),FALSE,FALSE)),FALSE))))))))</f>
        <v>1</v>
      </c>
      <c r="BL45" s="2171" t="b">
        <f>IF(AC45&lt;0,TRUE,IF(OR(AND(AI45&lt;0,P45&gt;0),NOT(COUNTBLANK(AD45:AG45)=4)),TRUE,IF(OR(F45=10011,F45=10015,F45=10000,F45=10018,F45=10020,F45=10019,F45=567019,F45=10016),TRUE,IF(ISNA(VLOOKUP(F45,Список_компаний!$C$3:$I$289,1,0)),TRUE,IF(OR(F45=362,F45=122,F45=337,F45=330,F45=203,F45=204687,F45=402234,F45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45,Список_компаний!$C$3:$I$289,7,0)="Да",VLOOKUP(F45,Список_компаний!$C$3:$I$289,6,0)=""),TRUE,IF(AND(VLOOKUP(F45,Список_компаний!$C$3:$I$289,7,0)="Да",VLOOKUP(F45,Список_компаний!$C$3:$I$289,6,0)="Да"),FALSE,FALSE)),FALSE)))))))</f>
        <v>1</v>
      </c>
      <c r="BM45" s="2171" t="b">
        <f t="shared" ref="BM45" si="105">IF(D45&lt;&gt;0,IF(OR(G45="0",G45=0,G45=""),FALSE,TRUE),TRUE)</f>
        <v>1</v>
      </c>
      <c r="BN45" s="2171" t="b">
        <f t="shared" ref="BN45" si="106">IF(COUNTIF(Q45:U45,"&gt;1")&gt;1,FALSE,TRUE)</f>
        <v>1</v>
      </c>
      <c r="BO45" s="2171" t="b">
        <f t="shared" ref="BO45" si="107">IF(OR(AD45&lt;0,AE45&lt;0),FALSE,IF(AG45&gt;0,FALSE,TRUE))</f>
        <v>1</v>
      </c>
      <c r="BP45" s="2171" t="b">
        <f t="shared" ref="BP45" si="108">IF(AI45&lt;0,IF(OR(P45="0",P45=0,P45="",I45="{255211} Кредиторская задолженность",I45="{255222} Авансы полученные"),FALSE,TRUE),TRUE)</f>
        <v>1</v>
      </c>
      <c r="BQ45" s="2171" t="b">
        <f t="shared" si="43"/>
        <v>1</v>
      </c>
      <c r="BR45" s="2171" t="b">
        <f t="shared" ref="BR45" si="109">IF(D45&lt;&gt;0,IF(OR(M45="0",M45=0,M45="",M45="-"),FALSE,TRUE),TRUE)</f>
        <v>1</v>
      </c>
      <c r="BS45" s="2171" t="b">
        <f t="shared" si="45"/>
        <v>1</v>
      </c>
      <c r="BT45" s="2171" t="b">
        <f t="shared" si="29"/>
        <v>1</v>
      </c>
      <c r="BU45" s="2171" t="str">
        <f>IF(Содержание!$D$12="","ИСТИНА",IF(VLOOKUP(Содержание!$D$12,Справочник!$BZ$4:$CA$173,2,0)=O45,AH45="",TRUE))</f>
        <v>ИСТИНА</v>
      </c>
      <c r="BV45" s="2171" t="b">
        <f>LEFT(H45,10)&lt;=LEFT(Содержание!$D$14,10)</f>
        <v>1</v>
      </c>
      <c r="BX45" s="1569" t="str">
        <f>IFERROR(VLOOKUP(G45,Долгосроч_договоры!D:D,1,0),"нет")</f>
        <v>нет</v>
      </c>
      <c r="BY45" s="1569" t="str">
        <f>IF(I45="{255212} Авансы выданные","да",IF(AND(I45="{255222} Авансы полученные",IFERROR(VLOOKUP(G45,Долгосроч_договоры!D:D,1,0),"нет")&lt;&gt;"нет"),"да","нет"))</f>
        <v>нет</v>
      </c>
      <c r="BZ45" s="2168" t="b">
        <f t="shared" ca="1" si="46"/>
        <v>1</v>
      </c>
      <c r="CA45" s="2168" t="b">
        <f t="shared" ca="1" si="47"/>
        <v>1</v>
      </c>
      <c r="CB45" s="2168" t="b">
        <f t="shared" ca="1" si="48"/>
        <v>1</v>
      </c>
      <c r="CC45" s="3426" t="str">
        <f t="shared" ca="1" si="49"/>
        <v>-</v>
      </c>
      <c r="CD45" s="3426" t="str">
        <f t="shared" ca="1" si="63"/>
        <v>-</v>
      </c>
      <c r="CG45" s="2168" t="b">
        <f t="shared" si="50"/>
        <v>1</v>
      </c>
    </row>
    <row r="46" spans="1:85" ht="16.5" customHeight="1">
      <c r="A46" s="556" t="str">
        <f t="shared" si="30"/>
        <v>R2=;R42=;R55=;R7=;R1=;R26=;R16=;R30=;R49=;R4=;R57=;R46=;R36=;R43=;COM=</v>
      </c>
      <c r="C46" s="1071"/>
      <c r="D46" s="2269"/>
      <c r="E46" s="2269"/>
      <c r="F46" s="1001"/>
      <c r="G46" s="2269"/>
      <c r="H46" s="2270"/>
      <c r="I46" s="2269"/>
      <c r="J46" s="2269"/>
      <c r="K46" s="2269"/>
      <c r="L46" s="2270"/>
      <c r="M46" s="2270"/>
      <c r="N46" s="2270"/>
      <c r="O46" s="1001"/>
      <c r="P46" s="1113"/>
      <c r="Q46" s="1289">
        <f t="shared" ref="Q46" si="110">IF($P$4-M46&lt;=0,P46,0)</f>
        <v>0</v>
      </c>
      <c r="R46" s="1289">
        <f t="shared" si="52"/>
        <v>0</v>
      </c>
      <c r="S46" s="1289">
        <f t="shared" si="53"/>
        <v>0</v>
      </c>
      <c r="T46" s="1289">
        <f t="shared" si="54"/>
        <v>0</v>
      </c>
      <c r="U46" s="1289">
        <f t="shared" si="55"/>
        <v>0</v>
      </c>
      <c r="V46" s="1113"/>
      <c r="W46" s="1289">
        <f t="shared" ref="W46" si="111">IF(($P$4-M46)&gt;0,V46,0)</f>
        <v>0</v>
      </c>
      <c r="X46" s="1289">
        <f t="shared" ref="X46" si="112">IF(($X$4-M46)+1&gt;0,V46,0)-W46</f>
        <v>0</v>
      </c>
      <c r="Y46" s="1289">
        <f t="shared" ref="Y46" si="113">IF(($Y$4-M46)+1&gt;0,V46,0)-SUM(W46:X46)</f>
        <v>0</v>
      </c>
      <c r="Z46" s="1289">
        <f t="shared" ref="Z46" si="114">IF(($Z$4-M46)+1&gt;0,V46,0)-SUM(W46:Y46)</f>
        <v>0</v>
      </c>
      <c r="AA46" s="1289">
        <f t="shared" ref="AA46" si="115">IF(($AA$4-M46)+1&gt;0,V46,0)-SUM(W46:Z46)</f>
        <v>0</v>
      </c>
      <c r="AB46" s="1289">
        <f t="shared" ref="AB46" si="116">V46-SUM(W46:AA46)</f>
        <v>0</v>
      </c>
      <c r="AC46" s="897"/>
      <c r="AD46" s="897"/>
      <c r="AE46" s="897"/>
      <c r="AF46" s="897"/>
      <c r="AG46" s="897"/>
      <c r="AH46" s="897"/>
      <c r="AI46" s="2827">
        <f t="shared" si="16"/>
        <v>0</v>
      </c>
      <c r="AJ46" s="2269"/>
      <c r="AK46" s="2269"/>
      <c r="AL46" s="3560" t="b">
        <f t="shared" si="17"/>
        <v>1</v>
      </c>
      <c r="AM46" s="3560" t="b">
        <f t="shared" si="18"/>
        <v>1</v>
      </c>
      <c r="AN46" s="2551" t="b">
        <f t="shared" ref="AN46" si="117">OR(ABS((T46/2+U46)+AI46)&lt;=2,AJ46&lt;&gt;"")</f>
        <v>1</v>
      </c>
      <c r="AO46" s="2166"/>
      <c r="AP46" s="2595" t="b">
        <f t="shared" ref="AP46" si="118">AND(IF(P46&gt;0,V46=0,TRUE),IF(V46&lt;0,P46=0,TRUE))</f>
        <v>1</v>
      </c>
      <c r="AQ46" s="2168"/>
      <c r="AR46" s="2167" t="b">
        <f t="shared" ref="AR46" si="119">OR(IF(OR(D46&lt;&gt;0,D46&lt;&gt;""),LEN(E46)&gt;3,TRUE),IF(OR(D46&lt;&gt;0,D46&lt;&gt;""),F46&gt;0,TRUE))</f>
        <v>1</v>
      </c>
      <c r="AS46" s="3561" t="b">
        <f t="shared" si="34"/>
        <v>1</v>
      </c>
      <c r="AT46" s="2171" t="b">
        <f t="shared" ref="AT46" si="120">AND(IF(E46="ВНЕШНИЕ КОНТРАГЕНТЫ",F46=10015,TRUE),IF(F46=10015,E46="ВНЕШНИЕ КОНТРАГЕНТЫ",TRUE))</f>
        <v>1</v>
      </c>
      <c r="AU46" s="2171" t="b">
        <f t="shared" ref="AU46" si="121">AND(IF(IFERROR(VLOOKUP(J46,$BH:$BH,1,0),TRUE)=J46,F46=10018,TRUE),IF(F46=10018,J46=IFERROR(VLOOKUP(J46,$BH:$BH,1,0),FALSE),TRUE),IF(F46=10018,IFERROR(VLOOKUP(J46,$BH:$BH,1,0)=J46,FALSE),TRUE))</f>
        <v>1</v>
      </c>
      <c r="AV46" s="2242" t="s">
        <v>8713</v>
      </c>
      <c r="AW46" s="2171" t="b">
        <f t="shared" ref="AW46" si="122">IF(ISNA(VLOOKUP(J46,$BI$16:$BI$19,1,0)),TRUE,OR(I46="{255211} Кредиторская задолженность",I46="{255212} Авансы выданные"))</f>
        <v>1</v>
      </c>
      <c r="AX46" s="2277" t="str">
        <f t="shared" ref="AX46" si="123">IFERROR(RIGHT(I46,LEN(I46)-9),"")</f>
        <v/>
      </c>
      <c r="AY46" s="2278" t="str">
        <f t="shared" si="25"/>
        <v>-</v>
      </c>
      <c r="AZ46" s="2551" t="b">
        <f t="shared" ref="AZ46" si="124">AND(IF(AJ46="{3} Существует высокая вероятность погашения задолженности",AK46&lt;&gt;"",TRUE),IF(AK46&lt;&gt;"",IF(AJ46="{3} Существует высокая вероятность погашения задолженности",TRUE,FALSE),TRUE))</f>
        <v>1</v>
      </c>
      <c r="BA46" s="2551" t="b">
        <f t="shared" ref="BA46" si="125">AND(IF(AJ46="{1} Контрагент входит в периметр консолидации",IF(BC46="-",FALSE,TRUE),TRUE),IF((T46+U46)&gt;0,AND(IF(AJ46="{1} Контрагент входит в периметр консолидации",IF(E46=BC46,TRUE,FALSE),TRUE),IF(BC46=E46,IF(AJ46="{1} Контрагент входит в периметр консолидации",TRUE,FALSE),TRUE)),TRUE))</f>
        <v>1</v>
      </c>
      <c r="BB46" s="2551" t="b">
        <f t="shared" ref="BB46" si="126">IF(AND(I46="{255222} Авансы полученные",N46="{10} Долгосрочная"),IF(OR(L46="0",L46=0,L46="",L46="-"),FALSE,TRUE),TRUE)</f>
        <v>1</v>
      </c>
      <c r="BC46" s="1569" t="str">
        <f t="shared" si="56"/>
        <v>-</v>
      </c>
      <c r="BF46" s="2171" t="b">
        <f t="shared" ref="BF46" si="127">IF(ISNA(VLOOKUP(J46,$BI$20:$BI$23,1,0)),IF(J46=$BI$25,OR(I46="{255221} Дебиторская задолженность",I46="{255222} Авансы полученные"),TRUE),OR(I46="{255221} Дебиторская задолженность",I46="{255222} Авансы полученные"))</f>
        <v>1</v>
      </c>
      <c r="BG46" s="2171" t="b">
        <f t="shared" si="39"/>
        <v>1</v>
      </c>
      <c r="BJ46" s="1569">
        <f t="shared" ref="BJ46" si="128">IF(OR(IF(TEXT(LEFT(E46,1),"0")="0",TRUE,FALSE),ISERROR(E46*1)),E46,E46*1)</f>
        <v>0</v>
      </c>
      <c r="BK46" s="2171" t="b">
        <f>IF(AC46&lt;0,TRUE,IF(OR(AND(AI46&lt;0,P46&gt;0),NOT(COUNTBLANK(AD46:AG46)=4)),TRUE,IF(OR(BJ46="Гос.контракты",BJ46="Внешние контрагенты",BJ46="Физические лица",BJ46="НДС с авансов",BJ46="НДС по налоговому агенту"),TRUE,IF(ISBLANK(BJ46),TRUE,IF(ISNA(VLOOKUP(BJ46,Список_компаний!$B$3:$I$289,1,0)),TRUE,IF(OR(BJ46=7704765961,BJ46=3801085668,BJ46=7706729140,BJ46=1402048660,BJ46=5256065824,BJ46=7701927935,BJ46=7451382644,BJ46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46,Список_компаний!$B$3:$I$289,8,0)="Да",VLOOKUP(BJ46,Список_компаний!$B$3:$I$289,7,0)=""),TRUE,IF(AND(VLOOKUP(BJ46,Список_компаний!$B$3:$I$289,8,0)="Да",VLOOKUP(BJ46,Список_компаний!$B$3:$I$289,7,0)="Да"),FALSE,FALSE)),FALSE))))))))</f>
        <v>1</v>
      </c>
      <c r="BL46" s="2171" t="b">
        <f>IF(AC46&lt;0,TRUE,IF(OR(AND(AI46&lt;0,P46&gt;0),NOT(COUNTBLANK(AD46:AG46)=4)),TRUE,IF(OR(F46=10011,F46=10015,F46=10000,F46=10018,F46=10020,F46=10019,F46=567019,F46=10016),TRUE,IF(ISNA(VLOOKUP(F46,Список_компаний!$C$3:$I$289,1,0)),TRUE,IF(OR(F46=362,F46=122,F46=337,F46=330,F46=203,F46=204687,F46=402234,F46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46,Список_компаний!$C$3:$I$289,7,0)="Да",VLOOKUP(F46,Список_компаний!$C$3:$I$289,6,0)=""),TRUE,IF(AND(VLOOKUP(F46,Список_компаний!$C$3:$I$289,7,0)="Да",VLOOKUP(F46,Список_компаний!$C$3:$I$289,6,0)="Да"),FALSE,FALSE)),FALSE)))))))</f>
        <v>1</v>
      </c>
      <c r="BM46" s="2171" t="b">
        <f t="shared" ref="BM46" si="129">IF(D46&lt;&gt;0,IF(OR(G46="0",G46=0,G46=""),FALSE,TRUE),TRUE)</f>
        <v>1</v>
      </c>
      <c r="BN46" s="2171" t="b">
        <f t="shared" ref="BN46" si="130">IF(COUNTIF(Q46:U46,"&gt;1")&gt;1,FALSE,TRUE)</f>
        <v>1</v>
      </c>
      <c r="BO46" s="2171" t="b">
        <f t="shared" ref="BO46" si="131">IF(OR(AD46&lt;0,AE46&lt;0),FALSE,IF(AG46&gt;0,FALSE,TRUE))</f>
        <v>1</v>
      </c>
      <c r="BP46" s="2171" t="b">
        <f t="shared" ref="BP46" si="132">IF(AI46&lt;0,IF(OR(P46="0",P46=0,P46="",I46="{255211} Кредиторская задолженность",I46="{255222} Авансы полученные"),FALSE,TRUE),TRUE)</f>
        <v>1</v>
      </c>
      <c r="BQ46" s="2171" t="b">
        <f t="shared" si="43"/>
        <v>1</v>
      </c>
      <c r="BR46" s="2171" t="b">
        <f t="shared" ref="BR46" si="133">IF(D46&lt;&gt;0,IF(OR(M46="0",M46=0,M46="",M46="-"),FALSE,TRUE),TRUE)</f>
        <v>1</v>
      </c>
      <c r="BS46" s="2171" t="b">
        <f t="shared" ref="BS46" si="134">IF(AND(I46="",J46="",K46=""),TRUE,IF(AND(COUNTIF(I46,"*255212*"),OR(COUNTIF(J46,"*251011*"),COUNTIF(J46,"*251013*"),COUNTIF(J46,"*251015*"))),K46&lt;&gt;"не требуется",K46="не требуется"))</f>
        <v>1</v>
      </c>
      <c r="BT46" s="2171" t="b">
        <f t="shared" si="29"/>
        <v>1</v>
      </c>
      <c r="BU46" s="2171" t="str">
        <f>IF(Содержание!$D$12="","ИСТИНА",IF(VLOOKUP(Содержание!$D$12,Справочник!$BZ$4:$CA$173,2,0)=O46,AH46="",TRUE))</f>
        <v>ИСТИНА</v>
      </c>
      <c r="BV46" s="2171" t="b">
        <f>LEFT(H46,10)&lt;=LEFT(Содержание!$D$14,10)</f>
        <v>1</v>
      </c>
      <c r="BX46" s="1569" t="str">
        <f>IFERROR(VLOOKUP(G46,Долгосроч_договоры!D:D,1,0),"нет")</f>
        <v>нет</v>
      </c>
      <c r="BY46" s="1569" t="str">
        <f>IF(I46="{255212} Авансы выданные","да",IF(AND(I46="{255222} Авансы полученные",IFERROR(VLOOKUP(G46,Долгосроч_договоры!D:D,1,0),"нет")&lt;&gt;"нет"),"да","нет"))</f>
        <v>нет</v>
      </c>
      <c r="BZ46" s="2168" t="b">
        <f t="shared" ca="1" si="46"/>
        <v>1</v>
      </c>
      <c r="CA46" s="2168" t="b">
        <f t="shared" ca="1" si="47"/>
        <v>1</v>
      </c>
      <c r="CB46" s="2168" t="b">
        <f t="shared" ca="1" si="48"/>
        <v>1</v>
      </c>
      <c r="CC46" s="3426" t="str">
        <f t="shared" ca="1" si="49"/>
        <v>-</v>
      </c>
      <c r="CD46" s="3426" t="str">
        <f t="shared" ca="1" si="63"/>
        <v>-</v>
      </c>
      <c r="CG46" s="2168" t="b">
        <f t="shared" si="50"/>
        <v>1</v>
      </c>
    </row>
    <row r="47" spans="1:85" ht="16.5" customHeight="1">
      <c r="A47" s="556" t="str">
        <f t="shared" si="30"/>
        <v>R2=;R42=;R55=;R7=;R1=;R26=;R16=;R30=;R49=;R4=;R57=;R46=;R36=;R43=;COM=</v>
      </c>
      <c r="C47" s="1071"/>
      <c r="D47" s="2269"/>
      <c r="E47" s="2269"/>
      <c r="F47" s="1001"/>
      <c r="G47" s="2269"/>
      <c r="H47" s="2270"/>
      <c r="I47" s="2269"/>
      <c r="J47" s="2269"/>
      <c r="K47" s="2269"/>
      <c r="L47" s="2270"/>
      <c r="M47" s="2270"/>
      <c r="N47" s="2270"/>
      <c r="O47" s="1001"/>
      <c r="P47" s="1113"/>
      <c r="Q47" s="1289">
        <f t="shared" ref="Q47" si="135">IF($P$4-M47&lt;=0,P47,0)</f>
        <v>0</v>
      </c>
      <c r="R47" s="1289">
        <f t="shared" si="52"/>
        <v>0</v>
      </c>
      <c r="S47" s="1289">
        <f t="shared" si="53"/>
        <v>0</v>
      </c>
      <c r="T47" s="1289">
        <f t="shared" si="54"/>
        <v>0</v>
      </c>
      <c r="U47" s="1289">
        <f t="shared" si="55"/>
        <v>0</v>
      </c>
      <c r="V47" s="1113"/>
      <c r="W47" s="1289">
        <f t="shared" ref="W47" si="136">IF(($P$4-M47)&gt;0,V47,0)</f>
        <v>0</v>
      </c>
      <c r="X47" s="1289">
        <f t="shared" ref="X47" si="137">IF(($X$4-M47)+1&gt;0,V47,0)-W47</f>
        <v>0</v>
      </c>
      <c r="Y47" s="1289">
        <f t="shared" ref="Y47" si="138">IF(($Y$4-M47)+1&gt;0,V47,0)-SUM(W47:X47)</f>
        <v>0</v>
      </c>
      <c r="Z47" s="1289">
        <f t="shared" ref="Z47" si="139">IF(($Z$4-M47)+1&gt;0,V47,0)-SUM(W47:Y47)</f>
        <v>0</v>
      </c>
      <c r="AA47" s="1289">
        <f t="shared" ref="AA47" si="140">IF(($AA$4-M47)+1&gt;0,V47,0)-SUM(W47:Z47)</f>
        <v>0</v>
      </c>
      <c r="AB47" s="1289">
        <f t="shared" ref="AB47" si="141">V47-SUM(W47:AA47)</f>
        <v>0</v>
      </c>
      <c r="AC47" s="897"/>
      <c r="AD47" s="897"/>
      <c r="AE47" s="897"/>
      <c r="AF47" s="897"/>
      <c r="AG47" s="897"/>
      <c r="AH47" s="897"/>
      <c r="AI47" s="2827">
        <f t="shared" si="16"/>
        <v>0</v>
      </c>
      <c r="AJ47" s="2269"/>
      <c r="AK47" s="2269"/>
      <c r="AL47" s="3560" t="b">
        <f t="shared" si="17"/>
        <v>1</v>
      </c>
      <c r="AM47" s="3560" t="b">
        <f t="shared" si="18"/>
        <v>1</v>
      </c>
      <c r="AN47" s="2551" t="b">
        <f t="shared" ref="AN47" si="142">OR(ABS((T47/2+U47)+AI47)&lt;=2,AJ47&lt;&gt;"")</f>
        <v>1</v>
      </c>
      <c r="AO47" s="2166"/>
      <c r="AP47" s="2595" t="b">
        <f t="shared" ref="AP47" si="143">AND(IF(P47&gt;0,V47=0,TRUE),IF(V47&lt;0,P47=0,TRUE))</f>
        <v>1</v>
      </c>
      <c r="AQ47" s="2168"/>
      <c r="AR47" s="2167" t="b">
        <f t="shared" ref="AR47" si="144">OR(IF(OR(D47&lt;&gt;0,D47&lt;&gt;""),LEN(E47)&gt;3,TRUE),IF(OR(D47&lt;&gt;0,D47&lt;&gt;""),F47&gt;0,TRUE))</f>
        <v>1</v>
      </c>
      <c r="AS47" s="3561" t="b">
        <f t="shared" si="34"/>
        <v>1</v>
      </c>
      <c r="AT47" s="2171" t="b">
        <f t="shared" ref="AT47" si="145">AND(IF(E47="ВНЕШНИЕ КОНТРАГЕНТЫ",F47=10015,TRUE),IF(F47=10015,E47="ВНЕШНИЕ КОНТРАГЕНТЫ",TRUE))</f>
        <v>1</v>
      </c>
      <c r="AU47" s="2171" t="b">
        <f t="shared" ref="AU47" si="146">AND(IF(IFERROR(VLOOKUP(J47,$BH:$BH,1,0),TRUE)=J47,F47=10018,TRUE),IF(F47=10018,J47=IFERROR(VLOOKUP(J47,$BH:$BH,1,0),FALSE),TRUE),IF(F47=10018,IFERROR(VLOOKUP(J47,$BH:$BH,1,0)=J47,FALSE),TRUE))</f>
        <v>1</v>
      </c>
      <c r="AV47" s="2242" t="s">
        <v>8714</v>
      </c>
      <c r="AW47" s="2171" t="b">
        <f t="shared" ref="AW47" si="147">IF(ISNA(VLOOKUP(J47,$BI$16:$BI$19,1,0)),TRUE,OR(I47="{255211} Кредиторская задолженность",I47="{255212} Авансы выданные"))</f>
        <v>1</v>
      </c>
      <c r="AX47" s="2277" t="str">
        <f t="shared" ref="AX47" si="148">IFERROR(RIGHT(I47,LEN(I47)-9),"")</f>
        <v/>
      </c>
      <c r="AY47" s="2278" t="str">
        <f t="shared" si="25"/>
        <v>-</v>
      </c>
      <c r="AZ47" s="2551" t="b">
        <f t="shared" ref="AZ47" si="149">AND(IF(AJ47="{3} Существует высокая вероятность погашения задолженности",AK47&lt;&gt;"",TRUE),IF(AK47&lt;&gt;"",IF(AJ47="{3} Существует высокая вероятность погашения задолженности",TRUE,FALSE),TRUE))</f>
        <v>1</v>
      </c>
      <c r="BA47" s="2551" t="b">
        <f t="shared" ref="BA47" si="150">AND(IF(AJ47="{1} Контрагент входит в периметр консолидации",IF(BC47="-",FALSE,TRUE),TRUE),IF((T47+U47)&gt;0,AND(IF(AJ47="{1} Контрагент входит в периметр консолидации",IF(E47=BC47,TRUE,FALSE),TRUE),IF(BC47=E47,IF(AJ47="{1} Контрагент входит в периметр консолидации",TRUE,FALSE),TRUE)),TRUE))</f>
        <v>1</v>
      </c>
      <c r="BB47" s="2551" t="b">
        <f t="shared" ref="BB47" si="151">IF(AND(I47="{255222} Авансы полученные",N47="{10} Долгосрочная"),IF(OR(L47="0",L47=0,L47="",L47="-"),FALSE,TRUE),TRUE)</f>
        <v>1</v>
      </c>
      <c r="BC47" s="1569" t="str">
        <f t="shared" si="56"/>
        <v>-</v>
      </c>
      <c r="BF47" s="2171" t="b">
        <f t="shared" ref="BF47" si="152">IF(ISNA(VLOOKUP(J47,$BI$20:$BI$23,1,0)),IF(J47=$BI$25,OR(I47="{255221} Дебиторская задолженность",I47="{255222} Авансы полученные"),TRUE),OR(I47="{255221} Дебиторская задолженность",I47="{255222} Авансы полученные"))</f>
        <v>1</v>
      </c>
      <c r="BG47" s="2171" t="b">
        <f t="shared" si="39"/>
        <v>1</v>
      </c>
      <c r="BJ47" s="1569">
        <f t="shared" ref="BJ47" si="153">IF(OR(IF(TEXT(LEFT(E47,1),"0")="0",TRUE,FALSE),ISERROR(E47*1)),E47,E47*1)</f>
        <v>0</v>
      </c>
      <c r="BK47" s="2171" t="b">
        <f>IF(AC47&lt;0,TRUE,IF(OR(AND(AI47&lt;0,P47&gt;0),NOT(COUNTBLANK(AD47:AG47)=4)),TRUE,IF(OR(BJ47="Гос.контракты",BJ47="Внешние контрагенты",BJ47="Физические лица",BJ47="НДС с авансов",BJ47="НДС по налоговому агенту"),TRUE,IF(ISBLANK(BJ47),TRUE,IF(ISNA(VLOOKUP(BJ47,Список_компаний!$B$3:$I$289,1,0)),TRUE,IF(OR(BJ47=7704765961,BJ47=3801085668,BJ47=7706729140,BJ47=1402048660,BJ47=5256065824,BJ47=7701927935,BJ47=7451382644,BJ47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47,Список_компаний!$B$3:$I$289,8,0)="Да",VLOOKUP(BJ47,Список_компаний!$B$3:$I$289,7,0)=""),TRUE,IF(AND(VLOOKUP(BJ47,Список_компаний!$B$3:$I$289,8,0)="Да",VLOOKUP(BJ47,Список_компаний!$B$3:$I$289,7,0)="Да"),FALSE,FALSE)),FALSE))))))))</f>
        <v>1</v>
      </c>
      <c r="BL47" s="2171" t="b">
        <f>IF(AC47&lt;0,TRUE,IF(OR(AND(AI47&lt;0,P47&gt;0),NOT(COUNTBLANK(AD47:AG47)=4)),TRUE,IF(OR(F47=10011,F47=10015,F47=10000,F47=10018,F47=10020,F47=10019,F47=567019,F47=10016),TRUE,IF(ISNA(VLOOKUP(F47,Список_компаний!$C$3:$I$289,1,0)),TRUE,IF(OR(F47=362,F47=122,F47=337,F47=330,F47=203,F47=204687,F47=402234,F47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47,Список_компаний!$C$3:$I$289,7,0)="Да",VLOOKUP(F47,Список_компаний!$C$3:$I$289,6,0)=""),TRUE,IF(AND(VLOOKUP(F47,Список_компаний!$C$3:$I$289,7,0)="Да",VLOOKUP(F47,Список_компаний!$C$3:$I$289,6,0)="Да"),FALSE,FALSE)),FALSE)))))))</f>
        <v>1</v>
      </c>
      <c r="BM47" s="2171" t="b">
        <f t="shared" ref="BM47" si="154">IF(D47&lt;&gt;0,IF(OR(G47="0",G47=0,G47=""),FALSE,TRUE),TRUE)</f>
        <v>1</v>
      </c>
      <c r="BN47" s="2171" t="b">
        <f t="shared" ref="BN47" si="155">IF(COUNTIF(Q47:U47,"&gt;1")&gt;1,FALSE,TRUE)</f>
        <v>1</v>
      </c>
      <c r="BO47" s="2171" t="b">
        <f t="shared" ref="BO47" si="156">IF(OR(AD47&lt;0,AE47&lt;0),FALSE,IF(AG47&gt;0,FALSE,TRUE))</f>
        <v>1</v>
      </c>
      <c r="BP47" s="2171" t="b">
        <f t="shared" ref="BP47" si="157">IF(AI47&lt;0,IF(OR(P47="0",P47=0,P47="",I47="{255211} Кредиторская задолженность",I47="{255222} Авансы полученные"),FALSE,TRUE),TRUE)</f>
        <v>1</v>
      </c>
      <c r="BQ47" s="2171" t="b">
        <f t="shared" si="43"/>
        <v>1</v>
      </c>
      <c r="BR47" s="2171" t="b">
        <f t="shared" ref="BR47" si="158">IF(D47&lt;&gt;0,IF(OR(M47="0",M47=0,M47="",M47="-"),FALSE,TRUE),TRUE)</f>
        <v>1</v>
      </c>
      <c r="BS47" s="2171" t="b">
        <f t="shared" ref="BS47" si="159">IF(AND(I47="",J47="",K47=""),TRUE,IF(AND(COUNTIF(I47,"*255212*"),OR(COUNTIF(J47,"*251011*"),COUNTIF(J47,"*251013*"),COUNTIF(J47,"*251015*"))),K47&lt;&gt;"не требуется",K47="не требуется"))</f>
        <v>1</v>
      </c>
      <c r="BT47" s="2171" t="b">
        <f t="shared" si="29"/>
        <v>1</v>
      </c>
      <c r="BU47" s="2171" t="str">
        <f>IF(Содержание!$D$12="","ИСТИНА",IF(VLOOKUP(Содержание!$D$12,Справочник!$BZ$4:$CA$173,2,0)=O47,AH47="",TRUE))</f>
        <v>ИСТИНА</v>
      </c>
      <c r="BV47" s="2171" t="b">
        <f>LEFT(H47,10)&lt;=LEFT(Содержание!$D$14,10)</f>
        <v>1</v>
      </c>
      <c r="BX47" s="1569" t="str">
        <f>IFERROR(VLOOKUP(G47,Долгосроч_договоры!D:D,1,0),"нет")</f>
        <v>нет</v>
      </c>
      <c r="BY47" s="1569" t="str">
        <f>IF(I47="{255212} Авансы выданные","да",IF(AND(I47="{255222} Авансы полученные",IFERROR(VLOOKUP(G47,Долгосроч_договоры!D:D,1,0),"нет")&lt;&gt;"нет"),"да","нет"))</f>
        <v>нет</v>
      </c>
      <c r="BZ47" s="2168" t="b">
        <f t="shared" ca="1" si="46"/>
        <v>1</v>
      </c>
      <c r="CA47" s="2168" t="b">
        <f t="shared" ca="1" si="47"/>
        <v>1</v>
      </c>
      <c r="CB47" s="2168" t="b">
        <f t="shared" ca="1" si="48"/>
        <v>1</v>
      </c>
      <c r="CC47" s="3426" t="str">
        <f t="shared" ca="1" si="49"/>
        <v>-</v>
      </c>
      <c r="CD47" s="3426" t="str">
        <f t="shared" ca="1" si="63"/>
        <v>-</v>
      </c>
      <c r="CG47" s="2168" t="b">
        <f t="shared" si="50"/>
        <v>1</v>
      </c>
    </row>
    <row r="48" spans="1:85" ht="16.5" customHeight="1" thickBot="1">
      <c r="A48" s="556" t="str">
        <f t="shared" ref="A48" si="160">"R2="&amp;IFERROR(MID(O48,FIND("{",O48)+1,FIND("}",O48)-FIND("{",O48)-1),"")&amp;";R42="&amp;MID(IF(F48&lt;&gt;"",F48,E48),1,30)&amp;";R55="&amp;MID(G48,1,100)&amp;";R7="&amp;IFERROR(MID(I48,FIND("{",I48)+1,FIND("}",I48)-FIND("{",I48)-1),"")&amp;";R1="&amp;IFERROR(MID(J48,FIND("{",J48)+1,FIND("}",J48)-FIND("{",J48)-1),"")&amp;";R26="&amp;H48&amp;";R16="&amp;IFERROR(MID(K48,FIND("{",K48)+1,FIND("}",K48)-FIND("{",K48)-1),K48)&amp;";R30="&amp;L48&amp;";R49="&amp;M48&amp;";R4="&amp;IFERROR(MID(N48,FIND("{",N48)+1,FIND("}",N48)-FIND("{",N48)-1),"")&amp;";R57="&amp;MID(D48,1,60)&amp;";R46="&amp;IFERROR(MID(AJ48,FIND("{",AJ48)+1,FIND("}",AJ48)-FIND("{",AJ48)-1),"")&amp;";R36="&amp;MID(F48,1,30)&amp;";R43="&amp;MID(E48,1,30)&amp;";COM="&amp;AK48</f>
        <v>R2=;R42=;R55=;R7=;R1=;R26=;R16=;R30=;R49=;R4=;R57=;R46=;R36=;R43=;COM=</v>
      </c>
      <c r="C48" s="1287"/>
      <c r="D48" s="1007"/>
      <c r="E48" s="2845"/>
      <c r="F48" s="2846"/>
      <c r="G48" s="888"/>
      <c r="H48" s="1290"/>
      <c r="I48" s="1290"/>
      <c r="J48" s="1997"/>
      <c r="K48" s="1997"/>
      <c r="L48" s="1290"/>
      <c r="M48" s="1290"/>
      <c r="N48" s="1290"/>
      <c r="O48" s="1005"/>
      <c r="P48" s="1291"/>
      <c r="Q48" s="1289">
        <f t="shared" ref="Q48" si="161">IF($P$4-M48&lt;=0,P48,0)</f>
        <v>0</v>
      </c>
      <c r="R48" s="1289">
        <f t="shared" ref="R48" si="162">IF(AND($P$4-M48&gt;0,$P$4-M48&lt;=90),P48,0)</f>
        <v>0</v>
      </c>
      <c r="S48" s="1289">
        <f t="shared" ref="S48" si="163">IF(AND($P$4-M48&gt;=91,$P$4-M48&lt;=183),P48,0)</f>
        <v>0</v>
      </c>
      <c r="T48" s="1289">
        <f t="shared" ref="T48" si="164">IF(AND($P$4-M48&gt;=184,$P$4-M48&lt;=365),P48,0)</f>
        <v>0</v>
      </c>
      <c r="U48" s="1289">
        <f t="shared" ref="U48" si="165">IF($P$4-M48&gt;365,P48,0)</f>
        <v>0</v>
      </c>
      <c r="V48" s="1113"/>
      <c r="W48" s="1289">
        <f t="shared" ref="W48" si="166">IF(($P$4-M48)&gt;0,V48,0)</f>
        <v>0</v>
      </c>
      <c r="X48" s="1289">
        <f t="shared" ref="X48" si="167">IF(($X$4-M48)+1&gt;0,V48,0)-W48</f>
        <v>0</v>
      </c>
      <c r="Y48" s="1289">
        <f t="shared" ref="Y48" si="168">IF(($Y$4-M48)+1&gt;0,V48,0)-SUM(W48:X48)</f>
        <v>0</v>
      </c>
      <c r="Z48" s="1289">
        <f t="shared" ref="Z48" si="169">IF(($Z$4-M48)+1&gt;0,V48,0)-SUM(W48:Y48)</f>
        <v>0</v>
      </c>
      <c r="AA48" s="1289">
        <f t="shared" ref="AA48" si="170">IF(($AA$4-M48)+1&gt;0,V48,0)-SUM(W48:Z48)</f>
        <v>0</v>
      </c>
      <c r="AB48" s="1289">
        <f t="shared" ref="AB48" si="171">V48-SUM(W48:AA48)</f>
        <v>0</v>
      </c>
      <c r="AC48" s="897"/>
      <c r="AD48" s="897"/>
      <c r="AE48" s="897"/>
      <c r="AF48" s="897"/>
      <c r="AG48" s="897"/>
      <c r="AH48" s="897"/>
      <c r="AI48" s="2827">
        <f t="shared" ref="AI48" si="172">SUM(AC48:AH48)</f>
        <v>0</v>
      </c>
      <c r="AJ48" s="2269"/>
      <c r="AK48" s="2269"/>
      <c r="AL48" s="3560" t="b">
        <f t="shared" si="17"/>
        <v>1</v>
      </c>
      <c r="AM48" s="3560" t="b">
        <f t="shared" si="18"/>
        <v>1</v>
      </c>
      <c r="AN48" s="2551" t="b">
        <f t="shared" ref="AN48" si="173">OR(ABS((T48/2+U48)+AI48)&lt;=2,AJ48&lt;&gt;"")</f>
        <v>1</v>
      </c>
      <c r="AO48" s="2166"/>
      <c r="AP48" s="2595" t="b">
        <f t="shared" ref="AP48" si="174">AND(IF(P48&gt;0,V48=0,TRUE),IF(V48&lt;0,P48=0,TRUE))</f>
        <v>1</v>
      </c>
      <c r="AQ48" s="2168"/>
      <c r="AR48" s="2167" t="b">
        <f t="shared" ref="AR48" si="175">OR(IF(OR(D48&lt;&gt;0,D48&lt;&gt;""),LEN(E48)&gt;3,TRUE),IF(OR(D48&lt;&gt;0,D48&lt;&gt;""),F48&gt;0,TRUE))</f>
        <v>1</v>
      </c>
      <c r="AS48" s="3561" t="b">
        <f t="shared" si="34"/>
        <v>1</v>
      </c>
      <c r="AT48" s="2171" t="b">
        <f t="shared" ref="AT48" si="176">AND(IF(E48="ВНЕШНИЕ КОНТРАГЕНТЫ",F48=10015,TRUE),IF(F48=10015,E48="ВНЕШНИЕ КОНТРАГЕНТЫ",TRUE))</f>
        <v>1</v>
      </c>
      <c r="AU48" s="2171" t="b">
        <f t="shared" ref="AU48" si="177">AND(IF(IFERROR(VLOOKUP(J48,$BH:$BH,1,0),TRUE)=J48,F48=10018,TRUE),IF(F48=10018,J48=IFERROR(VLOOKUP(J48,$BH:$BH,1,0),FALSE),TRUE),IF(F48=10018,IFERROR(VLOOKUP(J48,$BH:$BH,1,0)=J48,FALSE),TRUE))</f>
        <v>1</v>
      </c>
      <c r="AV48" s="2242"/>
      <c r="AW48" s="2171" t="b">
        <f t="shared" ref="AW48" si="178">IF(ISNA(VLOOKUP(J48,$BI$16:$BI$19,1,0)),TRUE,OR(I48="{255211} Кредиторская задолженность",I48="{255212} Авансы выданные"))</f>
        <v>1</v>
      </c>
      <c r="AX48" s="2277" t="str">
        <f t="shared" ref="AX48" si="179">IFERROR(RIGHT(I48,LEN(I48)-9),"")</f>
        <v/>
      </c>
      <c r="AY48" s="2278" t="str">
        <f t="shared" si="25"/>
        <v>-</v>
      </c>
      <c r="AZ48" s="2551" t="b">
        <f t="shared" ref="AZ48" si="180">AND(IF(AJ48="{3} Существует высокая вероятность погашения задолженности",AK48&lt;&gt;"",TRUE),IF(AK48&lt;&gt;"",IF(AJ48="{3} Существует высокая вероятность погашения задолженности",TRUE,FALSE),TRUE))</f>
        <v>1</v>
      </c>
      <c r="BA48" s="2551" t="b">
        <f t="shared" ref="BA48" si="181">AND(IF(AJ48="{1} Контрагент входит в периметр консолидации",IF(BC48="-",FALSE,TRUE),TRUE),IF((T48+U48)&gt;0,AND(IF(AJ48="{1} Контрагент входит в периметр консолидации",IF(E48=BC48,TRUE,FALSE),TRUE),IF(BC48=E48,IF(AJ48="{1} Контрагент входит в периметр консолидации",TRUE,FALSE),TRUE)),TRUE))</f>
        <v>1</v>
      </c>
      <c r="BB48" s="2551" t="b">
        <f t="shared" ref="BB48" si="182">IF(AND(I48="{255222} Авансы полученные",N48="{10} Долгосрочная"),IF(OR(L48="0",L48=0,L48="",L48="-"),FALSE,TRUE),TRUE)</f>
        <v>1</v>
      </c>
      <c r="BC48" s="1569" t="str">
        <f t="shared" si="56"/>
        <v>-</v>
      </c>
      <c r="BF48" s="2171" t="b">
        <f t="shared" ref="BF48" si="183">IF(ISNA(VLOOKUP(J48,$BI$20:$BI$23,1,0)),IF(J48=$BI$25,OR(I48="{255221} Дебиторская задолженность",I48="{255222} Авансы полученные"),TRUE),OR(I48="{255221} Дебиторская задолженность",I48="{255222} Авансы полученные"))</f>
        <v>1</v>
      </c>
      <c r="BG48" s="2171" t="b">
        <f t="shared" si="39"/>
        <v>1</v>
      </c>
      <c r="BJ48" s="1569">
        <f t="shared" ref="BJ48" si="184">IF(OR(IF(TEXT(LEFT(E48,1),"0")="0",TRUE,FALSE),ISERROR(E48*1)),E48,E48*1)</f>
        <v>0</v>
      </c>
      <c r="BK48" s="2171" t="b">
        <f>IF(AC48&lt;0,TRUE,IF(OR(AND(AI48&lt;0,P48&gt;0),NOT(COUNTBLANK(AD48:AG48)=4)),TRUE,IF(OR(BJ48="Гос.контракты",BJ48="Внешние контрагенты",BJ48="Физические лица",BJ48="НДС с авансов",BJ48="НДС по налоговому агенту"),TRUE,IF(ISBLANK(BJ48),TRUE,IF(ISNA(VLOOKUP(BJ48,Список_компаний!$B$3:$I$289,1,0)),TRUE,IF(OR(BJ48=7704765961,BJ48=3801085668,BJ48=7706729140,BJ48=1402048660,BJ48=5256065824,BJ48=7701927935,BJ48=7451382644,BJ48=6681010060)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BJ48,Список_компаний!$B$3:$I$289,8,0)="Да",VLOOKUP(BJ48,Список_компаний!$B$3:$I$289,7,0)=""),TRUE,IF(AND(VLOOKUP(BJ48,Список_компаний!$B$3:$I$289,8,0)="Да",VLOOKUP(BJ48,Список_компаний!$B$3:$I$289,7,0)="Да"),FALSE,FALSE)),FALSE))))))))</f>
        <v>1</v>
      </c>
      <c r="BL48" s="2171" t="b">
        <f>IF(AC48&lt;0,TRUE,IF(OR(AND(AI48&lt;0,P48&gt;0),NOT(COUNTBLANK(AD48:AG48)=4)),TRUE,IF(OR(F48=10011,F48=10015,F48=10000,F48=10018,F48=10020,F48=10019,F48=567019,F48=10016),TRUE,IF(ISNA(VLOOKUP(F48,Список_компаний!$C$3:$I$289,1,0)),TRUE,IF(OR(F48=362,F48=122,F48=337,F48=330,F48=203,F48=204687,F48=402234,F48=399601)=TRUE,TRUE,IF(AND(VLOOKUP(Содержание!$D$4,Список_компаний!$B$3:$I$289,8,0)="Да",VLOOKUP(Содержание!$D$4,Список_компаний!$B$3:$I$289,7,0)=""),FALSE,IF(AND(VLOOKUP(Содержание!$D$4,Список_компаний!$B$3:$I$289,7,0)="Да",VLOOKUP(Содержание!$D$4,Список_компаний!$B$3:$I$289,8,0)="Да"),IF(AND(VLOOKUP(F48,Список_компаний!$C$3:$I$289,7,0)="Да",VLOOKUP(F48,Список_компаний!$C$3:$I$289,6,0)=""),TRUE,IF(AND(VLOOKUP(F48,Список_компаний!$C$3:$I$289,7,0)="Да",VLOOKUP(F48,Список_компаний!$C$3:$I$289,6,0)="Да"),FALSE,FALSE)),FALSE)))))))</f>
        <v>1</v>
      </c>
      <c r="BM48" s="2171" t="b">
        <f t="shared" ref="BM48" si="185">IF(D48&lt;&gt;0,IF(OR(G48="0",G48=0,G48=""),FALSE,TRUE),TRUE)</f>
        <v>1</v>
      </c>
      <c r="BN48" s="2171" t="b">
        <f t="shared" ref="BN48" si="186">IF(COUNTIF(Q48:U48,"&gt;1")&gt;1,FALSE,TRUE)</f>
        <v>1</v>
      </c>
      <c r="BO48" s="2171" t="b">
        <f t="shared" ref="BO48" si="187">IF(OR(AD48&lt;0,AE48&lt;0),FALSE,IF(AG48&gt;0,FALSE,TRUE))</f>
        <v>1</v>
      </c>
      <c r="BP48" s="2171" t="b">
        <f t="shared" ref="BP48" si="188">IF(AI48&lt;0,IF(OR(P48="0",P48=0,P48="",I48="{255211} Кредиторская задолженность",I48="{255222} Авансы полученные"),FALSE,TRUE),TRUE)</f>
        <v>1</v>
      </c>
      <c r="BQ48" s="2171" t="b">
        <f t="shared" si="43"/>
        <v>1</v>
      </c>
      <c r="BR48" s="2171" t="b">
        <f t="shared" ref="BR48" si="189">IF(D48&lt;&gt;0,IF(OR(M48="0",M48=0,M48="",M48="-"),FALSE,TRUE),TRUE)</f>
        <v>1</v>
      </c>
      <c r="BS48" s="2171" t="b">
        <f t="shared" ref="BS48" si="190">IF(AND(I48="",J48="",K48=""),TRUE,IF(AND(COUNTIF(I48,"*255212*"),OR(COUNTIF(J48,"*251011*"),COUNTIF(J48,"*251013*"),COUNTIF(J48,"*251015*"))),K48&lt;&gt;"не требуется",K48="не требуется"))</f>
        <v>1</v>
      </c>
      <c r="BT48" s="2171" t="b">
        <f t="shared" ref="BT48" si="191">IF(OR(I48="{255211} Кредиторская задолженность",I48="{255222} Авансы полученные"),(COUNTBLANK(AC48:AG48)=5),TRUE)</f>
        <v>1</v>
      </c>
      <c r="BU48" s="2171" t="str">
        <f>IF(Содержание!$D$12="","ИСТИНА",IF(VLOOKUP(Содержание!$D$12,Справочник!$BZ$4:$CA$173,2,0)=O48,AH48="",TRUE))</f>
        <v>ИСТИНА</v>
      </c>
      <c r="BV48" s="2171" t="b">
        <f>LEFT(H48,10)&lt;=LEFT(Содержание!$D$14,10)</f>
        <v>1</v>
      </c>
      <c r="BX48" s="1569" t="str">
        <f>IFERROR(VLOOKUP(G48,Долгосроч_договоры!D:D,1,0),"нет")</f>
        <v>нет</v>
      </c>
      <c r="BY48" s="1569" t="str">
        <f>IF(I48="{255212} Авансы выданные","да",IF(AND(I48="{255222} Авансы полученные",IFERROR(VLOOKUP(G48,Долгосроч_договоры!D:D,1,0),"нет")&lt;&gt;"нет"),"да","нет"))</f>
        <v>нет</v>
      </c>
      <c r="BZ48" s="2168" t="b">
        <f t="shared" ca="1" si="46"/>
        <v>1</v>
      </c>
      <c r="CA48" s="2168" t="b">
        <f t="shared" ca="1" si="47"/>
        <v>1</v>
      </c>
      <c r="CB48" s="2168" t="b">
        <f t="shared" ca="1" si="48"/>
        <v>1</v>
      </c>
      <c r="CC48" s="3426" t="str">
        <f t="shared" ref="CC48" ca="1" si="192">IF(C48=60,IF(IFERROR(VLOOKUP(I48,INDIRECT($CC$7),1,FALSE),FALSE)=FALSE,IF(I48="","",FALSE),""),IF(C48=62,IF(IFERROR(VLOOKUP(I48,INDIRECT($CD$7),1,FALSE),FALSE)=FALSE,IF(I48="","",FALSE),""),IF(C48=76,IF(IFERROR(VLOOKUP(I48,INDIRECT($CE$7),1,FALSE),FALSE)=FALSE,IF(I48="","",FALSE),""),"-")))</f>
        <v>-</v>
      </c>
      <c r="CD48" s="3426" t="str">
        <f t="shared" ref="CD48" ca="1" si="193">IF(C48=60,IF(IFERROR(VLOOKUP(I48,INDIRECT($CC$7),1,FALSE),FALSE)=FALSE,IF(I48="","",FALSE),""),IF(C48=62,IF(IFERROR(VLOOKUP(I48,INDIRECT($CD$7),1,FALSE),FALSE)=FALSE,IF(I48="","",FALSE),""),IF(C48=76,IF(IFERROR(VLOOKUP(I48,INDIRECT($CE$7),1,FALSE),FALSE)=FALSE,IF(I48="","",FALSE),""),"-")))</f>
        <v>-</v>
      </c>
      <c r="CG48" s="2168" t="b">
        <f t="shared" si="50"/>
        <v>1</v>
      </c>
    </row>
  </sheetData>
  <sheetProtection algorithmName="SHA-512" hashValue="fEW1irrQs7Lggnlav6wGKxS/03bh6cCfUBZoPyRtQNEAj6H+NRGKAkv5zd+V4SAzUnegtBDvW0m1I3//P4ljnQ==" saltValue="B5LSxNalJICM4epQAx226g==" spinCount="100000" sheet="1" objects="1" scenarios="1" formatColumns="0" formatRows="0" autoFilter="0"/>
  <autoFilter ref="C8:CG8"/>
  <customSheetViews>
    <customSheetView guid="{3769259D-9653-4B34-A2F6-4FB6F9F4E533}" scale="85" showGridLines="0" showAutoFilter="1" hiddenRows="1" hiddenColumns="1" topLeftCell="J2">
      <selection activeCell="Q10" sqref="Q10"/>
      <pageMargins left="0.7" right="0.7" top="0.75" bottom="0.75" header="0.3" footer="0.3"/>
      <autoFilter ref="B1:AC1"/>
    </customSheetView>
    <customSheetView guid="{40D7A2BB-326C-4ED3-999C-17852F56D6F4}" scale="85" showGridLines="0" showAutoFilter="1" hiddenRows="1" hiddenColumns="1" topLeftCell="E2">
      <selection activeCell="O10" sqref="O10"/>
      <pageMargins left="0.7" right="0.7" top="0.75" bottom="0.75" header="0.3" footer="0.3"/>
      <autoFilter ref="B1:AC1"/>
    </customSheetView>
    <customSheetView guid="{5D121940-0CE8-4A0E-A493-67FAAA6E0FF8}" scale="85" showGridLines="0" showAutoFilter="1" hiddenRows="1" hiddenColumns="1" topLeftCell="D3">
      <selection activeCell="I14" sqref="I14"/>
      <pageMargins left="0.7" right="0.7" top="0.75" bottom="0.75" header="0.3" footer="0.3"/>
      <autoFilter ref="B1:AC1"/>
    </customSheetView>
    <customSheetView guid="{47AEACC4-6EA5-412C-AF39-A6C5357B313A}" scale="85" showGridLines="0" showAutoFilter="1" hiddenRows="1" hiddenColumns="1" topLeftCell="B3">
      <pageMargins left="0.7" right="0.7" top="0.75" bottom="0.75" header="0.3" footer="0.3"/>
      <autoFilter ref="B1:AC1"/>
    </customSheetView>
    <customSheetView guid="{C913A9E8-661B-40A4-A3C9-1BC5F2B2E9F0}" scale="85" showGridLines="0" showAutoFilter="1" hiddenRows="1" hiddenColumns="1" topLeftCell="D3">
      <selection activeCell="H8" sqref="H8"/>
      <pageMargins left="0.7" right="0.7" top="0.75" bottom="0.75" header="0.3" footer="0.3"/>
      <autoFilter ref="B1:AC1"/>
    </customSheetView>
  </customSheetViews>
  <mergeCells count="36">
    <mergeCell ref="CC5:CE5"/>
    <mergeCell ref="AJ5:AJ7"/>
    <mergeCell ref="D3:J3"/>
    <mergeCell ref="P6:P7"/>
    <mergeCell ref="Q6:Q7"/>
    <mergeCell ref="O5:O7"/>
    <mergeCell ref="P5:U5"/>
    <mergeCell ref="R6:U6"/>
    <mergeCell ref="BZ5:CB5"/>
    <mergeCell ref="AK5:AK7"/>
    <mergeCell ref="BK2:BL5"/>
    <mergeCell ref="AX7:AY7"/>
    <mergeCell ref="AT2:AU2"/>
    <mergeCell ref="AM2:AP2"/>
    <mergeCell ref="AI5:AI7"/>
    <mergeCell ref="V5:AB5"/>
    <mergeCell ref="C5:C7"/>
    <mergeCell ref="M5:M7"/>
    <mergeCell ref="N5:N7"/>
    <mergeCell ref="E5:E7"/>
    <mergeCell ref="G5:G7"/>
    <mergeCell ref="H5:H7"/>
    <mergeCell ref="D5:D7"/>
    <mergeCell ref="I5:I7"/>
    <mergeCell ref="J5:J7"/>
    <mergeCell ref="F5:F7"/>
    <mergeCell ref="L5:L7"/>
    <mergeCell ref="K5:K7"/>
    <mergeCell ref="V6:V7"/>
    <mergeCell ref="AH5:AH7"/>
    <mergeCell ref="W6:AB6"/>
    <mergeCell ref="AC5:AC7"/>
    <mergeCell ref="AD5:AD7"/>
    <mergeCell ref="AE5:AE7"/>
    <mergeCell ref="AF5:AF7"/>
    <mergeCell ref="AG5:AG7"/>
  </mergeCells>
  <phoneticPr fontId="0" type="noConversion"/>
  <conditionalFormatting sqref="AW3">
    <cfRule type="duplicateValues" dxfId="28" priority="30"/>
  </conditionalFormatting>
  <conditionalFormatting sqref="CC8:CC46 CC48:CC1048576">
    <cfRule type="containsText" dxfId="27" priority="2" operator="containsText" text="ложь">
      <formula>NOT(ISERROR(SEARCH("ложь",CC8)))</formula>
    </cfRule>
  </conditionalFormatting>
  <conditionalFormatting sqref="CC47">
    <cfRule type="containsText" dxfId="26" priority="1" operator="containsText" text="ложь">
      <formula>NOT(ISERROR(SEARCH("ложь",CC47)))</formula>
    </cfRule>
  </conditionalFormatting>
  <dataValidations xWindow="842" yWindow="885" count="10">
    <dataValidation type="list" operator="equal" allowBlank="1" showErrorMessage="1" errorTitle="Выбор элемента списка" error="Данного элемента нет в списке" sqref="I15:I48">
      <formula1>IF(C15=60,_9023_60,IF(C15=62,_9023_62,IF(C15=76,_9023,"-")))</formula1>
    </dataValidation>
    <dataValidation type="list" operator="equal" allowBlank="1" showErrorMessage="1" errorTitle="Выбор элемента списка" error="Данного элемента нет в списке" sqref="J15:J48">
      <formula1>IF(C15=60,_9022_60,IF(C15=62,_9022_62,IF(C15=76,_10022_60_62_76,"-")))</formula1>
    </dataValidation>
    <dataValidation operator="equal" allowBlank="1" showErrorMessage="1" errorTitle="Выбор элемента списка" error="Данного элемента нет в списке" sqref="D15:D48"/>
    <dataValidation operator="equal" allowBlank="1" showInputMessage="1" prompt="Дата в формате ДД.ММ.ГГГГ (01.01.2010)" sqref="L15:M48 H15:H48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C15:C48">
      <formula1>_60_62_76</formula1>
    </dataValidation>
    <dataValidation type="list" operator="equal" allowBlank="1" showErrorMessage="1" errorTitle="Выбор элемента списка" error="Данного элемента нет в списке" sqref="O15:O48">
      <formula1>_6003</formula1>
    </dataValidation>
    <dataValidation type="list" allowBlank="1" showInputMessage="1" showErrorMessage="1" sqref="AJ15:AJ48">
      <formula1>_606276_контр_</formula1>
    </dataValidation>
    <dataValidation type="list" operator="equal" allowBlank="1" showErrorMessage="1" errorTitle="Выбор элемента списка" error="Данного элемента нет в списке" sqref="BI20:BI25 AO20:AO21">
      <formula1>IF(#REF!=60,_9022_60,IF(#REF!=62,_9022_62,IF(#REF!=76,_10022_60_62_76,"-")))</formula1>
    </dataValidation>
    <dataValidation type="list" operator="equal" allowBlank="1" showErrorMessage="1" errorTitle="Выбор элемента списка" error="Данного элемента нет в списке" sqref="K15:K48">
      <formula1>IF(AND(COUNTIF(I15,"*255212*"),OR(COUNTIF(J15,"*251011*"),COUNTIF(J15,"*251013*"),COUNTIF(J15,"*251015*"))),_ставкаНдс,не_требуется)</formula1>
    </dataValidation>
    <dataValidation type="list" operator="equal" allowBlank="1" showErrorMessage="1" errorTitle="Выбор элемента списка" error="Данного элемента нет в списке" sqref="N15:N48">
      <formula1>IF(BY15="да",_1008,IF((EDATE($P$4,12)-M15)&gt;=0,_1008_К,_1008_Д))</formula1>
    </dataValidation>
  </dataValidations>
  <hyperlinks>
    <hyperlink ref="M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scale="31" fitToWidth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9584" r:id="rId4" name="Button 32">
              <controlPr defaultSize="0" print="0" autoFill="0" autoPict="0" macro="[0]!AddButtonsRowAdd">
                <anchor moveWithCells="1">
                  <from>
                    <xdr:col>8</xdr:col>
                    <xdr:colOff>2622550</xdr:colOff>
                    <xdr:row>2</xdr:row>
                    <xdr:rowOff>298450</xdr:rowOff>
                  </from>
                  <to>
                    <xdr:col>9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pageSetUpPr fitToPage="1"/>
  </sheetPr>
  <dimension ref="A1:BI20"/>
  <sheetViews>
    <sheetView topLeftCell="B2" zoomScale="64" zoomScaleNormal="64" workbookViewId="0">
      <selection activeCell="F17" sqref="F17"/>
    </sheetView>
  </sheetViews>
  <sheetFormatPr defaultColWidth="46.54296875" defaultRowHeight="14.5"/>
  <cols>
    <col min="1" max="1" width="32.54296875" style="585" hidden="1" customWidth="1"/>
    <col min="2" max="2" width="5.54296875" style="32" customWidth="1"/>
    <col min="3" max="3" width="46.54296875" style="32" customWidth="1"/>
    <col min="4" max="4" width="36.453125" style="32" customWidth="1"/>
    <col min="5" max="5" width="23" style="32" customWidth="1"/>
    <col min="6" max="6" width="25.453125" style="32" bestFit="1" customWidth="1"/>
    <col min="7" max="7" width="19.54296875" style="32" customWidth="1"/>
    <col min="8" max="8" width="23" style="32" customWidth="1"/>
    <col min="9" max="9" width="23" style="321" customWidth="1"/>
    <col min="10" max="10" width="17.54296875" style="183" customWidth="1"/>
    <col min="11" max="12" width="25.54296875" style="32" customWidth="1"/>
    <col min="13" max="55" width="21.54296875" style="32" customWidth="1"/>
    <col min="56" max="56" width="16.453125" style="32" customWidth="1"/>
    <col min="57" max="57" width="16.54296875" style="32" customWidth="1"/>
    <col min="58" max="58" width="15" style="32" customWidth="1"/>
    <col min="59" max="59" width="25.54296875" style="32" customWidth="1"/>
    <col min="60" max="16384" width="46.54296875" style="32"/>
  </cols>
  <sheetData>
    <row r="1" spans="1:61" s="24" customFormat="1" ht="30" hidden="1" customHeight="1">
      <c r="A1" s="584" t="s">
        <v>4363</v>
      </c>
      <c r="B1" s="22"/>
      <c r="C1" s="22"/>
      <c r="D1" s="6"/>
      <c r="E1" s="37"/>
      <c r="F1" s="37"/>
      <c r="G1" s="37"/>
      <c r="H1" s="37"/>
      <c r="I1" s="2131"/>
      <c r="J1" s="582"/>
      <c r="K1" s="6"/>
      <c r="L1" s="6" t="s">
        <v>1088</v>
      </c>
      <c r="M1" s="6" t="s">
        <v>1113</v>
      </c>
      <c r="N1" s="6" t="s">
        <v>1114</v>
      </c>
      <c r="O1" s="6" t="s">
        <v>1089</v>
      </c>
      <c r="P1" s="6" t="s">
        <v>1090</v>
      </c>
      <c r="Q1" s="6" t="s">
        <v>1091</v>
      </c>
      <c r="R1" s="6" t="s">
        <v>1092</v>
      </c>
      <c r="S1" s="6" t="s">
        <v>1093</v>
      </c>
      <c r="T1" s="6" t="s">
        <v>6423</v>
      </c>
      <c r="U1" s="6" t="s">
        <v>1094</v>
      </c>
      <c r="V1" s="6" t="s">
        <v>304</v>
      </c>
      <c r="W1" s="6" t="s">
        <v>6471</v>
      </c>
      <c r="X1" s="6" t="s">
        <v>6472</v>
      </c>
      <c r="Y1" s="6" t="s">
        <v>1095</v>
      </c>
      <c r="Z1" s="6" t="s">
        <v>1096</v>
      </c>
      <c r="AA1" s="6" t="s">
        <v>1097</v>
      </c>
      <c r="AB1" s="6" t="s">
        <v>6424</v>
      </c>
      <c r="AC1" s="6" t="s">
        <v>1098</v>
      </c>
      <c r="AD1" s="6" t="s">
        <v>306</v>
      </c>
      <c r="AE1" s="6" t="s">
        <v>1099</v>
      </c>
      <c r="AF1" s="6" t="s">
        <v>1100</v>
      </c>
      <c r="AG1" s="6" t="s">
        <v>1101</v>
      </c>
      <c r="AH1" s="6" t="s">
        <v>1102</v>
      </c>
      <c r="AI1" s="6" t="s">
        <v>1103</v>
      </c>
      <c r="AJ1" s="6" t="s">
        <v>6425</v>
      </c>
      <c r="AK1" s="6" t="s">
        <v>1104</v>
      </c>
      <c r="AL1" s="6" t="s">
        <v>305</v>
      </c>
      <c r="AM1" s="6"/>
      <c r="AN1" s="6" t="s">
        <v>1105</v>
      </c>
      <c r="AO1" s="6" t="s">
        <v>1106</v>
      </c>
      <c r="AP1" s="6" t="s">
        <v>1107</v>
      </c>
      <c r="AQ1" s="6" t="s">
        <v>1108</v>
      </c>
      <c r="AR1" s="6" t="s">
        <v>1109</v>
      </c>
      <c r="AS1" s="6" t="s">
        <v>1110</v>
      </c>
      <c r="AT1" s="6"/>
      <c r="AU1" s="6" t="s">
        <v>1111</v>
      </c>
      <c r="AV1" s="6"/>
      <c r="AW1" s="6"/>
      <c r="AX1" s="6"/>
      <c r="AY1" s="6"/>
      <c r="AZ1" s="6"/>
      <c r="BA1" s="6"/>
      <c r="BB1" s="6"/>
    </row>
    <row r="2" spans="1:61" s="749" customFormat="1" ht="12.5">
      <c r="A2" s="545"/>
      <c r="I2" s="2194"/>
      <c r="J2" s="1938"/>
      <c r="L2" s="749" t="s">
        <v>1648</v>
      </c>
      <c r="M2" s="749" t="s">
        <v>1648</v>
      </c>
      <c r="N2" s="749" t="s">
        <v>1648</v>
      </c>
      <c r="O2" s="749" t="s">
        <v>1648</v>
      </c>
      <c r="P2" s="749" t="s">
        <v>1648</v>
      </c>
      <c r="Q2" s="749" t="s">
        <v>1648</v>
      </c>
      <c r="R2" s="749" t="s">
        <v>1648</v>
      </c>
      <c r="S2" s="749" t="s">
        <v>1648</v>
      </c>
      <c r="T2" s="749" t="s">
        <v>1648</v>
      </c>
      <c r="U2" s="749" t="s">
        <v>1648</v>
      </c>
      <c r="V2" s="749" t="s">
        <v>1648</v>
      </c>
      <c r="Y2" s="749" t="s">
        <v>1648</v>
      </c>
      <c r="Z2" s="749" t="s">
        <v>1648</v>
      </c>
      <c r="AA2" s="749" t="s">
        <v>1648</v>
      </c>
      <c r="AB2" s="749" t="s">
        <v>1648</v>
      </c>
      <c r="AC2" s="749" t="s">
        <v>1648</v>
      </c>
      <c r="AD2" s="749" t="s">
        <v>1648</v>
      </c>
      <c r="AE2" s="749" t="s">
        <v>1648</v>
      </c>
      <c r="AF2" s="749" t="s">
        <v>1648</v>
      </c>
      <c r="AG2" s="749" t="s">
        <v>1648</v>
      </c>
      <c r="AH2" s="749" t="s">
        <v>1648</v>
      </c>
      <c r="AI2" s="749" t="s">
        <v>1648</v>
      </c>
      <c r="AJ2" s="749" t="s">
        <v>1648</v>
      </c>
      <c r="AK2" s="749" t="s">
        <v>1648</v>
      </c>
      <c r="AL2" s="749" t="s">
        <v>1648</v>
      </c>
      <c r="AM2" s="749" t="s">
        <v>1648</v>
      </c>
      <c r="AN2" s="749" t="s">
        <v>1648</v>
      </c>
      <c r="AO2" s="749" t="s">
        <v>1648</v>
      </c>
      <c r="AP2" s="749" t="s">
        <v>1648</v>
      </c>
      <c r="AQ2" s="749" t="s">
        <v>1648</v>
      </c>
      <c r="AR2" s="749" t="s">
        <v>1648</v>
      </c>
      <c r="AS2" s="749" t="s">
        <v>1648</v>
      </c>
      <c r="AU2" s="749" t="s">
        <v>1648</v>
      </c>
    </row>
    <row r="3" spans="1:61" s="24" customFormat="1" ht="13">
      <c r="A3" s="545"/>
      <c r="D3" s="105" t="s">
        <v>4411</v>
      </c>
      <c r="H3" s="105"/>
      <c r="I3" s="196"/>
      <c r="J3" s="583"/>
      <c r="K3" s="1897" t="s">
        <v>2067</v>
      </c>
      <c r="L3" s="1244">
        <f>Содержание!$D$2</f>
        <v>0</v>
      </c>
    </row>
    <row r="4" spans="1:61" s="1163" customFormat="1" ht="15" thickBot="1">
      <c r="A4" s="545"/>
      <c r="D4"/>
      <c r="H4"/>
      <c r="I4" s="1698"/>
      <c r="J4" s="3044" t="s">
        <v>1436</v>
      </c>
      <c r="K4" s="1897" t="s">
        <v>2075</v>
      </c>
      <c r="L4" s="1244" t="str">
        <f>Содержание!$D$15</f>
        <v>2022 год</v>
      </c>
    </row>
    <row r="5" spans="1:61" ht="13.5" customHeight="1">
      <c r="A5" s="545"/>
      <c r="B5" s="192"/>
      <c r="C5" s="3732" t="s">
        <v>1792</v>
      </c>
      <c r="D5" s="3732" t="s">
        <v>5381</v>
      </c>
      <c r="E5" s="3713" t="s">
        <v>5531</v>
      </c>
      <c r="F5" s="3713" t="s">
        <v>8394</v>
      </c>
      <c r="G5" s="3713" t="s">
        <v>5383</v>
      </c>
      <c r="H5" s="3713" t="s">
        <v>5382</v>
      </c>
      <c r="I5" s="3713" t="s">
        <v>5508</v>
      </c>
      <c r="J5" s="3851" t="s">
        <v>5509</v>
      </c>
      <c r="K5" s="3713" t="s">
        <v>4664</v>
      </c>
      <c r="L5" s="3735" t="s">
        <v>5511</v>
      </c>
      <c r="M5" s="3736"/>
      <c r="N5" s="3736"/>
      <c r="O5" s="3736"/>
      <c r="P5" s="3736"/>
      <c r="Q5" s="3736"/>
      <c r="R5" s="3736"/>
      <c r="S5" s="3736"/>
      <c r="T5" s="3736"/>
      <c r="U5" s="3736"/>
      <c r="V5" s="3736"/>
      <c r="W5" s="3736"/>
      <c r="X5" s="3940"/>
      <c r="Y5" s="3713" t="s">
        <v>5512</v>
      </c>
      <c r="Z5" s="3713"/>
      <c r="AA5" s="3713"/>
      <c r="AB5" s="3713"/>
      <c r="AC5" s="3713"/>
      <c r="AD5" s="3713"/>
      <c r="AE5" s="3713" t="s">
        <v>5513</v>
      </c>
      <c r="AF5" s="3713"/>
      <c r="AG5" s="3713"/>
      <c r="AH5" s="3713"/>
      <c r="AI5" s="3713"/>
      <c r="AJ5" s="3713"/>
      <c r="AK5" s="3713"/>
      <c r="AL5" s="3713"/>
      <c r="AM5" s="3932" t="s">
        <v>5514</v>
      </c>
      <c r="AN5" s="3722" t="s">
        <v>5515</v>
      </c>
      <c r="AO5" s="3722"/>
      <c r="AP5" s="3722" t="s">
        <v>5516</v>
      </c>
      <c r="AQ5" s="3722"/>
      <c r="AR5" s="3722" t="s">
        <v>5517</v>
      </c>
      <c r="AS5" s="3722"/>
      <c r="AT5" s="3722" t="s">
        <v>5518</v>
      </c>
      <c r="AU5" s="3740" t="s">
        <v>5519</v>
      </c>
      <c r="AV5" s="3866"/>
      <c r="AW5" s="3866"/>
      <c r="AX5" s="3866"/>
      <c r="AY5" s="3866"/>
      <c r="AZ5" s="3866"/>
      <c r="BA5" s="3866"/>
      <c r="BB5" s="3829"/>
      <c r="BC5" s="3711" t="s">
        <v>4183</v>
      </c>
    </row>
    <row r="6" spans="1:61" ht="18.649999999999999" customHeight="1">
      <c r="A6" s="545"/>
      <c r="B6" s="192"/>
      <c r="C6" s="3744" t="s">
        <v>5382</v>
      </c>
      <c r="D6" s="3744"/>
      <c r="E6" s="3710"/>
      <c r="F6" s="3710"/>
      <c r="G6" s="3710"/>
      <c r="H6" s="3710"/>
      <c r="I6" s="3710"/>
      <c r="J6" s="3939"/>
      <c r="K6" s="3710"/>
      <c r="L6" s="3710" t="s">
        <v>5225</v>
      </c>
      <c r="M6" s="3710" t="s">
        <v>4679</v>
      </c>
      <c r="N6" s="3710"/>
      <c r="O6" s="3710"/>
      <c r="P6" s="3710"/>
      <c r="Q6" s="3710"/>
      <c r="R6" s="3710"/>
      <c r="S6" s="3710"/>
      <c r="T6" s="3710"/>
      <c r="U6" s="3710"/>
      <c r="V6" s="3710" t="s">
        <v>5233</v>
      </c>
      <c r="W6" s="3934" t="s">
        <v>5520</v>
      </c>
      <c r="X6" s="3935"/>
      <c r="Y6" s="3710" t="s">
        <v>5225</v>
      </c>
      <c r="Z6" s="3710" t="s">
        <v>4679</v>
      </c>
      <c r="AA6" s="3710"/>
      <c r="AB6" s="3710"/>
      <c r="AC6" s="3710"/>
      <c r="AD6" s="3710" t="s">
        <v>4211</v>
      </c>
      <c r="AE6" s="3710" t="s">
        <v>5225</v>
      </c>
      <c r="AF6" s="3710"/>
      <c r="AG6" s="3710"/>
      <c r="AH6" s="3710"/>
      <c r="AI6" s="3710"/>
      <c r="AJ6" s="3710"/>
      <c r="AK6" s="3710"/>
      <c r="AL6" s="3710" t="s">
        <v>5233</v>
      </c>
      <c r="AM6" s="3933"/>
      <c r="AN6" s="3710"/>
      <c r="AO6" s="3723"/>
      <c r="AP6" s="3723"/>
      <c r="AQ6" s="3723"/>
      <c r="AR6" s="3723"/>
      <c r="AS6" s="3723"/>
      <c r="AT6" s="3723"/>
      <c r="AU6" s="3926"/>
      <c r="AV6" s="3927"/>
      <c r="AW6" s="3927"/>
      <c r="AX6" s="3927"/>
      <c r="AY6" s="3927"/>
      <c r="AZ6" s="3927"/>
      <c r="BA6" s="3927"/>
      <c r="BB6" s="3928"/>
      <c r="BC6" s="3712"/>
    </row>
    <row r="7" spans="1:61" ht="24.75" customHeight="1" thickBot="1">
      <c r="A7" s="545"/>
      <c r="B7" s="192"/>
      <c r="C7" s="3744"/>
      <c r="D7" s="3744"/>
      <c r="E7" s="3710"/>
      <c r="F7" s="3710"/>
      <c r="G7" s="3710"/>
      <c r="H7" s="3710"/>
      <c r="I7" s="3710"/>
      <c r="J7" s="3939"/>
      <c r="K7" s="3710"/>
      <c r="L7" s="3710"/>
      <c r="M7" s="3710" t="s">
        <v>1701</v>
      </c>
      <c r="N7" s="3710" t="s">
        <v>1702</v>
      </c>
      <c r="O7" s="3710" t="s">
        <v>5498</v>
      </c>
      <c r="P7" s="3710" t="s">
        <v>2969</v>
      </c>
      <c r="Q7" s="3710" t="s">
        <v>5521</v>
      </c>
      <c r="R7" s="3710" t="s">
        <v>3968</v>
      </c>
      <c r="S7" s="3710" t="s">
        <v>2785</v>
      </c>
      <c r="T7" s="3710" t="s">
        <v>8157</v>
      </c>
      <c r="U7" s="3710" t="s">
        <v>5379</v>
      </c>
      <c r="V7" s="3710"/>
      <c r="W7" s="3741"/>
      <c r="X7" s="3936"/>
      <c r="Y7" s="3710"/>
      <c r="Z7" s="3710" t="s">
        <v>5522</v>
      </c>
      <c r="AA7" s="3710" t="s">
        <v>5523</v>
      </c>
      <c r="AB7" s="3937" t="s">
        <v>8157</v>
      </c>
      <c r="AC7" s="3710" t="s">
        <v>5379</v>
      </c>
      <c r="AD7" s="3710"/>
      <c r="AE7" s="3710"/>
      <c r="AF7" s="3710" t="s">
        <v>2958</v>
      </c>
      <c r="AG7" s="3710" t="s">
        <v>2959</v>
      </c>
      <c r="AH7" s="3710" t="s">
        <v>2971</v>
      </c>
      <c r="AI7" s="3710" t="s">
        <v>5524</v>
      </c>
      <c r="AJ7" s="3710" t="s">
        <v>8157</v>
      </c>
      <c r="AK7" s="3710" t="s">
        <v>5525</v>
      </c>
      <c r="AL7" s="3710"/>
      <c r="AM7" s="3933"/>
      <c r="AN7" s="3710"/>
      <c r="AO7" s="3723"/>
      <c r="AP7" s="3723"/>
      <c r="AQ7" s="3723"/>
      <c r="AR7" s="3723"/>
      <c r="AS7" s="3723"/>
      <c r="AT7" s="3723"/>
      <c r="AU7" s="3929"/>
      <c r="AV7" s="3930"/>
      <c r="AW7" s="3930"/>
      <c r="AX7" s="3930"/>
      <c r="AY7" s="3930"/>
      <c r="AZ7" s="3930"/>
      <c r="BA7" s="3930"/>
      <c r="BB7" s="3931"/>
      <c r="BC7" s="3712"/>
    </row>
    <row r="8" spans="1:61" ht="91">
      <c r="A8" s="545"/>
      <c r="B8" s="192"/>
      <c r="C8" s="3744"/>
      <c r="D8" s="3744"/>
      <c r="E8" s="3710"/>
      <c r="F8" s="3710"/>
      <c r="G8" s="3710"/>
      <c r="H8" s="3710"/>
      <c r="I8" s="3710"/>
      <c r="J8" s="3717"/>
      <c r="K8" s="3710"/>
      <c r="L8" s="3710"/>
      <c r="M8" s="3710"/>
      <c r="N8" s="3710"/>
      <c r="O8" s="3710"/>
      <c r="P8" s="3710"/>
      <c r="Q8" s="3710"/>
      <c r="R8" s="3710"/>
      <c r="S8" s="3710"/>
      <c r="T8" s="3710"/>
      <c r="U8" s="3710"/>
      <c r="V8" s="3710"/>
      <c r="W8" s="16" t="s">
        <v>428</v>
      </c>
      <c r="X8" s="16" t="s">
        <v>429</v>
      </c>
      <c r="Y8" s="3710"/>
      <c r="Z8" s="3710"/>
      <c r="AA8" s="3710"/>
      <c r="AB8" s="3938"/>
      <c r="AC8" s="3710"/>
      <c r="AD8" s="3710"/>
      <c r="AE8" s="3710"/>
      <c r="AF8" s="3710"/>
      <c r="AG8" s="3710"/>
      <c r="AH8" s="3710"/>
      <c r="AI8" s="3710"/>
      <c r="AJ8" s="3710"/>
      <c r="AK8" s="3710"/>
      <c r="AL8" s="3710"/>
      <c r="AM8" s="3933"/>
      <c r="AN8" s="174" t="s">
        <v>5526</v>
      </c>
      <c r="AO8" s="174" t="s">
        <v>5527</v>
      </c>
      <c r="AP8" s="174" t="s">
        <v>5528</v>
      </c>
      <c r="AQ8" s="174" t="s">
        <v>5529</v>
      </c>
      <c r="AR8" s="174" t="s">
        <v>5528</v>
      </c>
      <c r="AS8" s="174" t="s">
        <v>5529</v>
      </c>
      <c r="AT8" s="3723"/>
      <c r="AU8" s="16" t="s">
        <v>5530</v>
      </c>
      <c r="AV8" s="3066" t="s">
        <v>1792</v>
      </c>
      <c r="AW8" s="16" t="s">
        <v>5384</v>
      </c>
      <c r="AX8" s="16" t="s">
        <v>5381</v>
      </c>
      <c r="AY8" s="16" t="s">
        <v>5531</v>
      </c>
      <c r="AZ8" s="3158" t="s">
        <v>8394</v>
      </c>
      <c r="BA8" s="16" t="s">
        <v>5382</v>
      </c>
      <c r="BB8" s="16" t="s">
        <v>5383</v>
      </c>
      <c r="BC8" s="3712"/>
      <c r="BD8" s="2892" t="s">
        <v>8676</v>
      </c>
      <c r="BE8" s="2892" t="s">
        <v>8579</v>
      </c>
      <c r="BF8" s="2892" t="s">
        <v>8580</v>
      </c>
      <c r="BG8" s="2734" t="s">
        <v>8159</v>
      </c>
    </row>
    <row r="9" spans="1:61" s="762" customFormat="1" ht="15" customHeight="1">
      <c r="A9" s="756"/>
      <c r="B9" s="757"/>
      <c r="C9" s="832" t="s">
        <v>5247</v>
      </c>
      <c r="D9" s="1018" t="s">
        <v>5247</v>
      </c>
      <c r="E9" s="954" t="s">
        <v>5247</v>
      </c>
      <c r="F9" s="833" t="s">
        <v>5247</v>
      </c>
      <c r="G9" s="954" t="s">
        <v>4219</v>
      </c>
      <c r="H9" s="954" t="s">
        <v>4219</v>
      </c>
      <c r="I9" s="954" t="s">
        <v>5532</v>
      </c>
      <c r="J9" s="1133" t="s">
        <v>5533</v>
      </c>
      <c r="K9" s="954" t="s">
        <v>5250</v>
      </c>
      <c r="L9" s="906" t="s">
        <v>674</v>
      </c>
      <c r="M9" s="204" t="s">
        <v>1348</v>
      </c>
      <c r="N9" s="1019" t="s">
        <v>5403</v>
      </c>
      <c r="O9" s="1019" t="s">
        <v>5404</v>
      </c>
      <c r="P9" s="1019" t="s">
        <v>5405</v>
      </c>
      <c r="Q9" s="1019" t="s">
        <v>2783</v>
      </c>
      <c r="R9" s="1019" t="s">
        <v>2784</v>
      </c>
      <c r="S9" s="1019" t="s">
        <v>5402</v>
      </c>
      <c r="T9" s="1019" t="s">
        <v>3967</v>
      </c>
      <c r="U9" s="1019" t="s">
        <v>5406</v>
      </c>
      <c r="V9" s="906" t="s">
        <v>694</v>
      </c>
      <c r="W9" s="759">
        <v>2614</v>
      </c>
      <c r="X9" s="759">
        <v>2614</v>
      </c>
      <c r="Y9" s="906" t="s">
        <v>674</v>
      </c>
      <c r="Z9" s="1019" t="s">
        <v>1833</v>
      </c>
      <c r="AA9" s="1019" t="s">
        <v>5534</v>
      </c>
      <c r="AB9" s="2245" t="s">
        <v>3967</v>
      </c>
      <c r="AC9" s="906" t="s">
        <v>5406</v>
      </c>
      <c r="AD9" s="906" t="s">
        <v>694</v>
      </c>
      <c r="AE9" s="906" t="s">
        <v>674</v>
      </c>
      <c r="AF9" s="1019" t="s">
        <v>4223</v>
      </c>
      <c r="AG9" s="1019" t="s">
        <v>5535</v>
      </c>
      <c r="AH9" s="1019" t="s">
        <v>1834</v>
      </c>
      <c r="AI9" s="1019" t="s">
        <v>5402</v>
      </c>
      <c r="AJ9" s="1019" t="s">
        <v>3967</v>
      </c>
      <c r="AK9" s="906" t="s">
        <v>5406</v>
      </c>
      <c r="AL9" s="906" t="s">
        <v>694</v>
      </c>
      <c r="AM9" s="833">
        <v>10018</v>
      </c>
      <c r="AN9" s="889" t="s">
        <v>3389</v>
      </c>
      <c r="AO9" s="889" t="s">
        <v>3389</v>
      </c>
      <c r="AP9" s="889" t="s">
        <v>3389</v>
      </c>
      <c r="AQ9" s="889" t="s">
        <v>3389</v>
      </c>
      <c r="AR9" s="889" t="s">
        <v>3389</v>
      </c>
      <c r="AS9" s="889" t="s">
        <v>3389</v>
      </c>
      <c r="AT9" s="889" t="s">
        <v>5537</v>
      </c>
      <c r="AU9" s="889" t="s">
        <v>3389</v>
      </c>
      <c r="AV9" s="889" t="s">
        <v>5247</v>
      </c>
      <c r="AW9" s="889" t="s">
        <v>3389</v>
      </c>
      <c r="AX9" s="889" t="s">
        <v>3389</v>
      </c>
      <c r="AY9" s="889" t="s">
        <v>3389</v>
      </c>
      <c r="AZ9" s="833" t="s">
        <v>5247</v>
      </c>
      <c r="BA9" s="889" t="s">
        <v>3389</v>
      </c>
      <c r="BB9" s="889" t="s">
        <v>3389</v>
      </c>
      <c r="BC9" s="1020"/>
      <c r="BE9" s="1778"/>
      <c r="BG9" s="2231" t="b">
        <f>AND(BG12:BG5000)</f>
        <v>1</v>
      </c>
    </row>
    <row r="10" spans="1:61" s="705" customFormat="1" ht="11.25" customHeight="1">
      <c r="A10" s="668"/>
      <c r="B10" s="704"/>
      <c r="C10" s="1348" t="s">
        <v>4164</v>
      </c>
      <c r="D10" s="1695" t="s">
        <v>4165</v>
      </c>
      <c r="E10" s="1695" t="s">
        <v>4166</v>
      </c>
      <c r="F10" s="1695" t="s">
        <v>5500</v>
      </c>
      <c r="G10" s="1695" t="s">
        <v>4169</v>
      </c>
      <c r="H10" s="1695" t="s">
        <v>4168</v>
      </c>
      <c r="I10" s="1695" t="s">
        <v>4178</v>
      </c>
      <c r="J10" s="1695" t="s">
        <v>4179</v>
      </c>
      <c r="K10" s="1695" t="s">
        <v>4167</v>
      </c>
      <c r="L10" s="1695" t="s">
        <v>5501</v>
      </c>
      <c r="M10" s="1695" t="s">
        <v>4701</v>
      </c>
      <c r="N10" s="1695" t="s">
        <v>4702</v>
      </c>
      <c r="O10" s="1695" t="s">
        <v>4703</v>
      </c>
      <c r="P10" s="1695" t="s">
        <v>5502</v>
      </c>
      <c r="Q10" s="1695" t="s">
        <v>5503</v>
      </c>
      <c r="R10" s="1695" t="s">
        <v>5504</v>
      </c>
      <c r="S10" s="1695" t="s">
        <v>4853</v>
      </c>
      <c r="T10" s="1695" t="s">
        <v>4852</v>
      </c>
      <c r="U10" s="1695" t="s">
        <v>5505</v>
      </c>
      <c r="V10" s="1695" t="s">
        <v>4851</v>
      </c>
      <c r="W10" s="1695" t="s">
        <v>5506</v>
      </c>
      <c r="X10" s="1695" t="s">
        <v>4850</v>
      </c>
      <c r="Y10" s="1695" t="s">
        <v>3303</v>
      </c>
      <c r="Z10" s="1695" t="s">
        <v>3304</v>
      </c>
      <c r="AA10" s="1695" t="s">
        <v>3305</v>
      </c>
      <c r="AB10" s="1695" t="s">
        <v>3306</v>
      </c>
      <c r="AC10" s="1695" t="s">
        <v>3307</v>
      </c>
      <c r="AD10" s="1695" t="s">
        <v>3308</v>
      </c>
      <c r="AE10" s="1695" t="s">
        <v>3309</v>
      </c>
      <c r="AF10" s="1695" t="s">
        <v>3310</v>
      </c>
      <c r="AG10" s="1695" t="s">
        <v>3311</v>
      </c>
      <c r="AH10" s="1695" t="s">
        <v>3312</v>
      </c>
      <c r="AI10" s="1695" t="s">
        <v>3313</v>
      </c>
      <c r="AJ10" s="1695" t="s">
        <v>3314</v>
      </c>
      <c r="AK10" s="1695" t="s">
        <v>3315</v>
      </c>
      <c r="AL10" s="1695" t="s">
        <v>3316</v>
      </c>
      <c r="AM10" s="1695" t="s">
        <v>3317</v>
      </c>
      <c r="AN10" s="1695" t="s">
        <v>3318</v>
      </c>
      <c r="AO10" s="1695" t="s">
        <v>3319</v>
      </c>
      <c r="AP10" s="1695" t="s">
        <v>3320</v>
      </c>
      <c r="AQ10" s="1695" t="s">
        <v>3321</v>
      </c>
      <c r="AR10" s="1695" t="s">
        <v>3322</v>
      </c>
      <c r="AS10" s="1695" t="s">
        <v>3323</v>
      </c>
      <c r="AT10" s="1695" t="s">
        <v>3324</v>
      </c>
      <c r="AU10" s="1695" t="s">
        <v>3325</v>
      </c>
      <c r="AV10" s="1695" t="s">
        <v>3326</v>
      </c>
      <c r="AW10" s="1695" t="s">
        <v>3327</v>
      </c>
      <c r="AX10" s="1695" t="s">
        <v>3328</v>
      </c>
      <c r="AY10" s="1695" t="s">
        <v>3329</v>
      </c>
      <c r="AZ10" s="1695" t="s">
        <v>3330</v>
      </c>
      <c r="BA10" s="1695" t="s">
        <v>3331</v>
      </c>
      <c r="BB10" s="1695" t="s">
        <v>3332</v>
      </c>
      <c r="BC10" s="1695" t="s">
        <v>3333</v>
      </c>
      <c r="BG10" s="674"/>
      <c r="BH10" s="674"/>
      <c r="BI10" s="674"/>
    </row>
    <row r="11" spans="1:61" s="667" customFormat="1">
      <c r="A11" s="744"/>
      <c r="B11" s="1116"/>
      <c r="C11" s="955" t="s">
        <v>4184</v>
      </c>
      <c r="D11" s="948" t="s">
        <v>4184</v>
      </c>
      <c r="E11" s="1011" t="s">
        <v>3389</v>
      </c>
      <c r="F11" s="1011" t="s">
        <v>3389</v>
      </c>
      <c r="G11" s="1011" t="s">
        <v>3389</v>
      </c>
      <c r="H11" s="1011" t="s">
        <v>3389</v>
      </c>
      <c r="I11" s="1011" t="s">
        <v>3389</v>
      </c>
      <c r="J11" s="1117" t="s">
        <v>3389</v>
      </c>
      <c r="K11" s="1011" t="s">
        <v>3389</v>
      </c>
      <c r="L11" s="1118">
        <f t="shared" ref="L11:AS11" si="0">SUM(L12:L10004)</f>
        <v>0</v>
      </c>
      <c r="M11" s="1118">
        <f t="shared" si="0"/>
        <v>0</v>
      </c>
      <c r="N11" s="1118">
        <f t="shared" si="0"/>
        <v>0</v>
      </c>
      <c r="O11" s="1118">
        <f t="shared" si="0"/>
        <v>0</v>
      </c>
      <c r="P11" s="1118">
        <f t="shared" si="0"/>
        <v>0</v>
      </c>
      <c r="Q11" s="1118">
        <f t="shared" si="0"/>
        <v>0</v>
      </c>
      <c r="R11" s="1118">
        <f t="shared" si="0"/>
        <v>0</v>
      </c>
      <c r="S11" s="1118">
        <f t="shared" si="0"/>
        <v>0</v>
      </c>
      <c r="T11" s="1118">
        <f t="shared" si="0"/>
        <v>0</v>
      </c>
      <c r="U11" s="1118">
        <f t="shared" si="0"/>
        <v>0</v>
      </c>
      <c r="V11" s="1118">
        <f t="shared" si="0"/>
        <v>0</v>
      </c>
      <c r="W11" s="1118">
        <f t="shared" si="0"/>
        <v>0</v>
      </c>
      <c r="X11" s="1118">
        <f t="shared" si="0"/>
        <v>0</v>
      </c>
      <c r="Y11" s="1118">
        <f t="shared" si="0"/>
        <v>0</v>
      </c>
      <c r="Z11" s="1118">
        <f t="shared" si="0"/>
        <v>0</v>
      </c>
      <c r="AA11" s="1118">
        <f t="shared" si="0"/>
        <v>0</v>
      </c>
      <c r="AB11" s="1118">
        <f t="shared" si="0"/>
        <v>0</v>
      </c>
      <c r="AC11" s="1118">
        <f t="shared" si="0"/>
        <v>0</v>
      </c>
      <c r="AD11" s="1118">
        <f t="shared" si="0"/>
        <v>0</v>
      </c>
      <c r="AE11" s="1118">
        <f t="shared" si="0"/>
        <v>0</v>
      </c>
      <c r="AF11" s="1118">
        <f t="shared" si="0"/>
        <v>0</v>
      </c>
      <c r="AG11" s="1118">
        <f t="shared" si="0"/>
        <v>0</v>
      </c>
      <c r="AH11" s="1118">
        <f t="shared" si="0"/>
        <v>0</v>
      </c>
      <c r="AI11" s="1118">
        <f t="shared" si="0"/>
        <v>0</v>
      </c>
      <c r="AJ11" s="1118">
        <f t="shared" si="0"/>
        <v>0</v>
      </c>
      <c r="AK11" s="1118">
        <f t="shared" si="0"/>
        <v>0</v>
      </c>
      <c r="AL11" s="1118">
        <f t="shared" si="0"/>
        <v>0</v>
      </c>
      <c r="AM11" s="1118">
        <f t="shared" si="0"/>
        <v>0</v>
      </c>
      <c r="AN11" s="1118">
        <f t="shared" si="0"/>
        <v>0</v>
      </c>
      <c r="AO11" s="1118">
        <f t="shared" si="0"/>
        <v>0</v>
      </c>
      <c r="AP11" s="1118">
        <f t="shared" si="0"/>
        <v>0</v>
      </c>
      <c r="AQ11" s="1118">
        <f t="shared" si="0"/>
        <v>0</v>
      </c>
      <c r="AR11" s="1118">
        <f t="shared" si="0"/>
        <v>0</v>
      </c>
      <c r="AS11" s="1118">
        <f t="shared" si="0"/>
        <v>0</v>
      </c>
      <c r="AT11" s="1011" t="s">
        <v>3389</v>
      </c>
      <c r="AU11" s="1118">
        <f>SUM(AU12:AU10004)</f>
        <v>0</v>
      </c>
      <c r="AV11" s="1011" t="s">
        <v>3389</v>
      </c>
      <c r="AW11" s="1011" t="s">
        <v>3389</v>
      </c>
      <c r="AX11" s="1011" t="s">
        <v>3389</v>
      </c>
      <c r="AY11" s="1011" t="s">
        <v>3389</v>
      </c>
      <c r="AZ11" s="1011" t="s">
        <v>3389</v>
      </c>
      <c r="BA11" s="1011" t="s">
        <v>3389</v>
      </c>
      <c r="BB11" s="1011" t="s">
        <v>3389</v>
      </c>
      <c r="BC11" s="1012" t="s">
        <v>3389</v>
      </c>
      <c r="BE11" s="667" t="b">
        <f>AND(BE12:BE300)</f>
        <v>1</v>
      </c>
      <c r="BF11" s="2244" t="b">
        <f>IF(ABS(SUM('66'!T11+'67'!T11,'66'!AB11+'67'!AC11,'66'!AJ11+'67'!AK11))&gt;1,FALSE,TRUE)</f>
        <v>1</v>
      </c>
      <c r="BG11" s="32"/>
      <c r="BH11" s="32"/>
      <c r="BI11" s="32"/>
    </row>
    <row r="12" spans="1:61" s="667" customFormat="1" ht="39">
      <c r="A12" s="545" t="str">
        <f>"R50=7706664260XXX"&amp;";R4=26132"&amp;";COM="&amp;BC12</f>
        <v>R50=7706664260XXX;R4=26132;COM=X</v>
      </c>
      <c r="B12" s="1116"/>
      <c r="C12" s="994" t="s">
        <v>9663</v>
      </c>
      <c r="D12" s="948" t="s">
        <v>4184</v>
      </c>
      <c r="E12" s="1011" t="s">
        <v>3389</v>
      </c>
      <c r="F12" s="1011" t="s">
        <v>3389</v>
      </c>
      <c r="G12" s="1011" t="s">
        <v>3389</v>
      </c>
      <c r="H12" s="1011" t="s">
        <v>3389</v>
      </c>
      <c r="I12" s="1011" t="s">
        <v>3389</v>
      </c>
      <c r="J12" s="1011" t="s">
        <v>3389</v>
      </c>
      <c r="K12" s="1011" t="s">
        <v>3389</v>
      </c>
      <c r="L12" s="1439"/>
      <c r="M12" s="1439"/>
      <c r="N12" s="1013"/>
      <c r="O12" s="1013"/>
      <c r="P12" s="1013"/>
      <c r="Q12" s="1439"/>
      <c r="R12" s="1013"/>
      <c r="S12" s="1013"/>
      <c r="T12" s="1013"/>
      <c r="U12" s="1013"/>
      <c r="V12" s="1704">
        <f t="shared" ref="V12:V18" si="1">SUM(L12:U12)</f>
        <v>0</v>
      </c>
      <c r="W12" s="1022"/>
      <c r="X12" s="1704">
        <f t="shared" ref="X12:X18" si="2">V12-W12</f>
        <v>0</v>
      </c>
      <c r="Y12" s="1439"/>
      <c r="Z12" s="1439"/>
      <c r="AA12" s="1439"/>
      <c r="AB12" s="1013"/>
      <c r="AC12" s="1013"/>
      <c r="AD12" s="1704">
        <f t="shared" ref="AD12:AD18" si="3">SUM(Y12:AC12)</f>
        <v>0</v>
      </c>
      <c r="AE12" s="1013"/>
      <c r="AF12" s="1013"/>
      <c r="AG12" s="1013"/>
      <c r="AH12" s="1013"/>
      <c r="AI12" s="1013"/>
      <c r="AJ12" s="1013"/>
      <c r="AK12" s="1013"/>
      <c r="AL12" s="1704">
        <f t="shared" ref="AL12:AL18" si="4">SUM(AE12:AK12)</f>
        <v>0</v>
      </c>
      <c r="AM12" s="1011" t="s">
        <v>3389</v>
      </c>
      <c r="AN12" s="1011" t="s">
        <v>3389</v>
      </c>
      <c r="AO12" s="1011" t="s">
        <v>3389</v>
      </c>
      <c r="AP12" s="1011" t="s">
        <v>3389</v>
      </c>
      <c r="AQ12" s="1011" t="s">
        <v>3389</v>
      </c>
      <c r="AR12" s="1011" t="s">
        <v>3389</v>
      </c>
      <c r="AS12" s="1011" t="s">
        <v>3389</v>
      </c>
      <c r="AT12" s="1011" t="s">
        <v>3389</v>
      </c>
      <c r="AU12" s="1011" t="s">
        <v>3389</v>
      </c>
      <c r="AV12" s="1011" t="s">
        <v>3389</v>
      </c>
      <c r="AW12" s="1011" t="s">
        <v>3389</v>
      </c>
      <c r="AX12" s="1011" t="s">
        <v>3389</v>
      </c>
      <c r="AY12" s="1011" t="s">
        <v>3389</v>
      </c>
      <c r="AZ12" s="1011" t="s">
        <v>3389</v>
      </c>
      <c r="BA12" s="1011" t="s">
        <v>3389</v>
      </c>
      <c r="BB12" s="1011" t="s">
        <v>3389</v>
      </c>
      <c r="BC12" s="2909" t="s">
        <v>3389</v>
      </c>
      <c r="BE12" s="667" t="b">
        <f>IF(AND(L12&lt;500,V12&lt;500,Y12&lt;500,AD12&lt;500,AE12&lt;500,AL12&lt;500),TRUE,FALSE)</f>
        <v>1</v>
      </c>
      <c r="BF12" s="2246"/>
      <c r="BG12" s="2231" t="b">
        <f>IF(AND(M12&gt;=0,N12&gt;=0,P12&gt;=0,Q12&lt;=0,R12&lt;=0,S12&lt;=0,Z12&gt;=0,AA12&lt;=0),TRUE,FALSE)</f>
        <v>1</v>
      </c>
      <c r="BH12" s="2137">
        <v>1</v>
      </c>
      <c r="BI12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3" spans="1:61" s="667" customFormat="1">
      <c r="A13" s="545" t="str">
        <f>"R50="&amp;C13&amp;";R4="&amp;IFERROR("2613"&amp;MID(AM13,FIND("{",AM13)+1,FIND("}",AM13)-FIND("{",AM13)-1),"")&amp;";R42="&amp;MID(IF(AZ13&lt;&gt;"",AZ13,AY13),1,30)&amp;";R57="&amp;MID(AX13,1,60)&amp;";R13="&amp;IFERROR(MID(AW13,FIND("{",AW13)+1,FIND("}",AW13)-FIND("{",AW13)-1),"")&amp;";R16="&amp;IFERROR(MID(J13,FIND("{",J13)+1,FIND("}",J13)-FIND("{",J13)-1),"")&amp;";R17="&amp;IFERROR(MID(AT13,FIND("{",AT13)+1,FIND("}",AT13)-FIND("{",AT13)-1),"")&amp;";R18="&amp;BA13&amp;";R33="&amp;MID(BA13,1,60)&amp;";R36="&amp;MID(F13,1,30)&amp;";R43="&amp;MID(E13,1,30)&amp;";R48="&amp;MID(AZ13,1,30)&amp;";R51="&amp;MID(AY13,1,30)&amp;";COM="&amp;BC13</f>
        <v>R50=;R4=;R42= ;R57= ;R13=;R16=;R17=;R18= ;R33= ;R36= ;R43= ;R48= ;R51= ;COM=</v>
      </c>
      <c r="B13" s="1116"/>
      <c r="C13" s="956"/>
      <c r="D13" s="1705" t="str">
        <f>IF(ISERROR(VLOOKUP($C13,Фин_договоры!$C$9:$AF$90424,6,FALSE))," ",VLOOKUP($C13,Фин_договоры!$C$9:$AF$90424,6,FALSE))</f>
        <v xml:space="preserve"> </v>
      </c>
      <c r="E13" s="1705" t="str">
        <f>IF(ISERROR(VLOOKUP($C13,Фин_договоры!$C$9:$AF$90424,7,FALSE))," ",VLOOKUP($C13,Фин_договоры!$C$9:$AF$90424,7,FALSE))</f>
        <v xml:space="preserve"> </v>
      </c>
      <c r="F13" s="1705" t="str">
        <f>IF(ISERROR(VLOOKUP($C13,Фин_договоры!$C$9:$AF$90424,8,FALSE))," ",VLOOKUP($C13,Фин_договоры!$C$9:$AF$90424,8,FALSE))</f>
        <v xml:space="preserve"> </v>
      </c>
      <c r="G13" s="1706" t="str">
        <f>IF(ISERROR(VLOOKUP($C13,Фин_договоры!$C$9:$AF$90424,5,FALSE))," ",VLOOKUP($C13,Фин_договоры!$C$9:$AF$90424,5,FALSE))</f>
        <v xml:space="preserve"> </v>
      </c>
      <c r="H13" s="1705" t="str">
        <f>IF(ISERROR(VLOOKUP($C13,Фин_договоры!$C$9:$AF$90424,4,FALSE))," ",VLOOKUP($C13,Фин_договоры!$C$9:$AF$90424,4,FALSE))</f>
        <v xml:space="preserve"> </v>
      </c>
      <c r="I13" s="1011" t="str">
        <f>IF(ISNA(VLOOKUP($C13,Фин_договоры!$C$9:$AF$90424,3,FALSE)),"-",VLOOKUP($C13,Фин_договоры!$C$9:$AF$90424,3,FALSE))</f>
        <v>-</v>
      </c>
      <c r="J13" s="875"/>
      <c r="K13" s="1705" t="str">
        <f>IF(ISERROR(VLOOKUP($C13,Фин_договоры!$C$9:$AF$90424,16,FALSE))," ",VLOOKUP($C13,Фин_договоры!$C$9:$AF$90424,16,FALSE))</f>
        <v xml:space="preserve"> </v>
      </c>
      <c r="L13" s="1439"/>
      <c r="M13" s="1439"/>
      <c r="N13" s="1013"/>
      <c r="O13" s="1013"/>
      <c r="P13" s="1013"/>
      <c r="Q13" s="1013"/>
      <c r="R13" s="1013"/>
      <c r="S13" s="1013"/>
      <c r="T13" s="1439"/>
      <c r="U13" s="1013"/>
      <c r="V13" s="1704">
        <f t="shared" si="1"/>
        <v>0</v>
      </c>
      <c r="W13" s="1022"/>
      <c r="X13" s="1704">
        <f t="shared" si="2"/>
        <v>0</v>
      </c>
      <c r="Y13" s="1439"/>
      <c r="Z13" s="1439"/>
      <c r="AA13" s="1013"/>
      <c r="AB13" s="1013"/>
      <c r="AC13" s="1013"/>
      <c r="AD13" s="1704">
        <f t="shared" si="3"/>
        <v>0</v>
      </c>
      <c r="AE13" s="1013"/>
      <c r="AF13" s="1013"/>
      <c r="AG13" s="1013"/>
      <c r="AH13" s="1013"/>
      <c r="AI13" s="1013"/>
      <c r="AJ13" s="1013"/>
      <c r="AK13" s="1013"/>
      <c r="AL13" s="1704">
        <f t="shared" si="4"/>
        <v>0</v>
      </c>
      <c r="AM13" s="966"/>
      <c r="AN13" s="1013"/>
      <c r="AO13" s="1013"/>
      <c r="AP13" s="1013"/>
      <c r="AQ13" s="1013"/>
      <c r="AR13" s="1013"/>
      <c r="AS13" s="1013"/>
      <c r="AT13" s="966"/>
      <c r="AU13" s="2415"/>
      <c r="AV13" s="2413"/>
      <c r="AW13" s="1705" t="str">
        <f>IF(ISERROR(VLOOKUP($AV13,Фин_договоры!$C$9:$AF$90424,2,FALSE))," ",VLOOKUP($AV13,Фин_договоры!$C$9:$AF$10424,2,FALSE))</f>
        <v xml:space="preserve"> </v>
      </c>
      <c r="AX13" s="1705" t="str">
        <f>IF(ISERROR(VLOOKUP($AV13,Фин_договоры!$C$9:$AF$90424,6,FALSE))," ",VLOOKUP($AV13,Фин_договоры!$C$9:$AF$10424,6,FALSE))</f>
        <v xml:space="preserve"> </v>
      </c>
      <c r="AY13" s="1705" t="str">
        <f>IF(ISERROR(VLOOKUP($AV13,Фин_договоры!$C$9:$AF$90424,7,FALSE))," ",VLOOKUP($AV13,Фин_договоры!$C$9:$AF$90424,7,FALSE))</f>
        <v xml:space="preserve"> </v>
      </c>
      <c r="AZ13" s="1705" t="str">
        <f>IF(ISERROR(VLOOKUP($AV13,Фин_договоры!$C$9:$AF$90424,8,FALSE))," ",VLOOKUP($AV13,Фин_договоры!$C$9:$AF$90424,8,FALSE))</f>
        <v xml:space="preserve"> </v>
      </c>
      <c r="BA13" s="1705" t="str">
        <f>IF(ISERROR(VLOOKUP($AV13,Фин_договоры!$C$9:$AF$90424,4,FALSE))," ",VLOOKUP($AV13,Фин_договоры!$C$9:$AF$90424,4,FALSE))</f>
        <v xml:space="preserve"> </v>
      </c>
      <c r="BB13" s="1706" t="str">
        <f>IF(ISERROR(VLOOKUP($AV13,Фин_договоры!$C$9:$AF$90424,5,FALSE))," ",VLOOKUP($AV13,Фин_договоры!$C$9:$AF$90424,5,FALSE))</f>
        <v xml:space="preserve"> </v>
      </c>
      <c r="BC13" s="973"/>
      <c r="BD13" s="2388" t="b">
        <f>IF(C13="",TRUE,AND(IF(C13&lt;&gt;"",I13&gt;0,I13=0),IF(C13&lt;&gt;"",J13&gt;0,J13=0),IF(C13&lt;&gt;"",AM13&gt;0,AM13=0)))</f>
        <v>1</v>
      </c>
      <c r="BE13" s="667" t="b">
        <f>IF(AND(L13&lt;500,V13&lt;500,Y13&lt;500,AD13&lt;500,AE13&lt;500,AL13&lt;500),TRUE,FALSE)</f>
        <v>1</v>
      </c>
      <c r="BG13" s="2231" t="b">
        <f t="shared" ref="BG13:BG19" si="5">IF(AND(M13&gt;=0,N13&gt;=0,P13&gt;=0,Q13&lt;=0,R13&lt;=0,S13&lt;=0,Z13&gt;=0,AA13&lt;=0),TRUE,FALSE)</f>
        <v>1</v>
      </c>
      <c r="BH13" s="2137">
        <v>2</v>
      </c>
      <c r="BI13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4" spans="1:61" s="667" customFormat="1">
      <c r="A14" s="545" t="str">
        <f t="shared" ref="A14:A19" si="6">"R50="&amp;C14&amp;";R4="&amp;IFERROR("2613"&amp;MID(AM14,FIND("{",AM14)+1,FIND("}",AM14)-FIND("{",AM14)-1),"")&amp;";R42="&amp;MID(IF(AZ14&lt;&gt;"",AZ14,AY14),1,30)&amp;";R57="&amp;MID(AX14,1,60)&amp;";R13="&amp;IFERROR(MID(AW14,FIND("{",AW14)+1,FIND("}",AW14)-FIND("{",AW14)-1),"")&amp;";R16="&amp;IFERROR(MID(J14,FIND("{",J14)+1,FIND("}",J14)-FIND("{",J14)-1),"")&amp;";R17="&amp;IFERROR(MID(AT14,FIND("{",AT14)+1,FIND("}",AT14)-FIND("{",AT14)-1),"")&amp;";R18="&amp;BA14&amp;";R33="&amp;MID(BA14,1,60)&amp;";R36="&amp;MID(F14,1,30)&amp;";R43="&amp;MID(E14,1,30)&amp;";R48="&amp;MID(AZ14,1,30)&amp;";R51="&amp;MID(AY14,1,30)&amp;";COM="&amp;BC14</f>
        <v>R50=;R4=;R42= ;R57= ;R13=;R16=;R17=;R18= ;R33= ;R36= ;R43= ;R48= ;R51= ;COM=</v>
      </c>
      <c r="B14" s="1116"/>
      <c r="C14" s="956"/>
      <c r="D14" s="1705" t="str">
        <f>IF(ISERROR(VLOOKUP($C14,Фин_договоры!$C$9:$AF$90424,6,FALSE))," ",VLOOKUP($C14,Фин_договоры!$C$9:$AF$90424,6,FALSE))</f>
        <v xml:space="preserve"> </v>
      </c>
      <c r="E14" s="1705" t="str">
        <f>IF(ISERROR(VLOOKUP($C14,Фин_договоры!$C$9:$AF$90424,7,FALSE))," ",VLOOKUP($C14,Фин_договоры!$C$9:$AF$90424,7,FALSE))</f>
        <v xml:space="preserve"> </v>
      </c>
      <c r="F14" s="1705" t="str">
        <f>IF(ISERROR(VLOOKUP($C14,Фин_договоры!$C$9:$AF$90424,8,FALSE))," ",VLOOKUP($C14,Фин_договоры!$C$9:$AF$90424,8,FALSE))</f>
        <v xml:space="preserve"> </v>
      </c>
      <c r="G14" s="1706" t="str">
        <f>IF(ISERROR(VLOOKUP($C14,Фин_договоры!$C$9:$AF$90424,5,FALSE))," ",VLOOKUP($C14,Фин_договоры!$C$9:$AF$90424,5,FALSE))</f>
        <v xml:space="preserve"> </v>
      </c>
      <c r="H14" s="1705" t="str">
        <f>IF(ISERROR(VLOOKUP($C14,Фин_договоры!$C$9:$AF$90424,4,FALSE))," ",VLOOKUP($C14,Фин_договоры!$C$9:$AF$90424,4,FALSE))</f>
        <v xml:space="preserve"> </v>
      </c>
      <c r="I14" s="1011" t="str">
        <f>IF(ISNA(VLOOKUP($C14,Фин_договоры!$C$9:$AF$90424,3,FALSE)),"-",VLOOKUP($C14,Фин_договоры!$C$9:$AF$90424,3,FALSE))</f>
        <v>-</v>
      </c>
      <c r="J14" s="875"/>
      <c r="K14" s="1705" t="str">
        <f>IF(ISERROR(VLOOKUP($C14,Фин_договоры!$C$9:$AF$90424,16,FALSE))," ",VLOOKUP($C14,Фин_договоры!$C$9:$AF$90424,16,FALSE))</f>
        <v xml:space="preserve"> </v>
      </c>
      <c r="L14" s="1439"/>
      <c r="M14" s="1439"/>
      <c r="N14" s="1013"/>
      <c r="O14" s="1013"/>
      <c r="P14" s="1013"/>
      <c r="Q14" s="1013"/>
      <c r="R14" s="1013"/>
      <c r="S14" s="1013"/>
      <c r="T14" s="1439"/>
      <c r="U14" s="1013"/>
      <c r="V14" s="1704">
        <f t="shared" si="1"/>
        <v>0</v>
      </c>
      <c r="W14" s="1022"/>
      <c r="X14" s="1704">
        <f t="shared" si="2"/>
        <v>0</v>
      </c>
      <c r="Y14" s="1439"/>
      <c r="Z14" s="1439"/>
      <c r="AA14" s="1013"/>
      <c r="AB14" s="1013"/>
      <c r="AC14" s="1013"/>
      <c r="AD14" s="1704">
        <f t="shared" si="3"/>
        <v>0</v>
      </c>
      <c r="AE14" s="1013"/>
      <c r="AF14" s="1013"/>
      <c r="AG14" s="1013"/>
      <c r="AH14" s="1013"/>
      <c r="AI14" s="1013"/>
      <c r="AJ14" s="1013"/>
      <c r="AK14" s="1013"/>
      <c r="AL14" s="1704">
        <f t="shared" si="4"/>
        <v>0</v>
      </c>
      <c r="AM14" s="966"/>
      <c r="AN14" s="1013"/>
      <c r="AO14" s="1013"/>
      <c r="AP14" s="1013"/>
      <c r="AQ14" s="1013"/>
      <c r="AR14" s="1013"/>
      <c r="AS14" s="1013"/>
      <c r="AT14" s="966"/>
      <c r="AU14" s="2415"/>
      <c r="AV14" s="2413"/>
      <c r="AW14" s="1705" t="str">
        <f>IF(ISERROR(VLOOKUP($AV14,Фин_договоры!$C$9:$AF$90424,2,FALSE))," ",VLOOKUP($AV14,Фин_договоры!$C$9:$AF$10424,2,FALSE))</f>
        <v xml:space="preserve"> </v>
      </c>
      <c r="AX14" s="1705" t="str">
        <f>IF(ISERROR(VLOOKUP($AV14,Фин_договоры!$C$9:$AF$90424,6,FALSE))," ",VLOOKUP($AV14,Фин_договоры!$C$9:$AF$10424,6,FALSE))</f>
        <v xml:space="preserve"> </v>
      </c>
      <c r="AY14" s="1705" t="str">
        <f>IF(ISERROR(VLOOKUP($AV14,Фин_договоры!$C$9:$AF$90424,7,FALSE))," ",VLOOKUP($AV14,Фин_договоры!$C$9:$AF$90424,7,FALSE))</f>
        <v xml:space="preserve"> </v>
      </c>
      <c r="AZ14" s="1705" t="str">
        <f>IF(ISERROR(VLOOKUP($AV14,Фин_договоры!$C$9:$AF$90424,8,FALSE))," ",VLOOKUP($AV14,Фин_договоры!$C$9:$AF$90424,8,FALSE))</f>
        <v xml:space="preserve"> </v>
      </c>
      <c r="BA14" s="1705" t="str">
        <f>IF(ISERROR(VLOOKUP($AV14,Фин_договоры!$C$9:$AF$90424,4,FALSE))," ",VLOOKUP($AV14,Фин_договоры!$C$9:$AF$90424,4,FALSE))</f>
        <v xml:space="preserve"> </v>
      </c>
      <c r="BB14" s="1706" t="str">
        <f>IF(ISERROR(VLOOKUP($AV14,Фин_договоры!$C$9:$AF$90424,5,FALSE))," ",VLOOKUP($AV14,Фин_договоры!$C$9:$AF$90424,5,FALSE))</f>
        <v xml:space="preserve"> </v>
      </c>
      <c r="BC14" s="973"/>
      <c r="BD14" s="2388" t="b">
        <f t="shared" ref="BD14:BD19" si="7">IF(C14="",TRUE,AND(IF(C14&lt;&gt;"",I14&gt;0,I14=0),IF(C14&lt;&gt;"",J14&gt;0,J14=0),IF(C14&lt;&gt;"",AM14&gt;0,AM14=0)))</f>
        <v>1</v>
      </c>
      <c r="BE14" s="667" t="b">
        <f t="shared" ref="BE14:BE19" si="8">IF(AND(L14&lt;500,V14&lt;500,Y14&lt;500,AD14&lt;500,AE14&lt;500,AL14&lt;500),TRUE,FALSE)</f>
        <v>1</v>
      </c>
      <c r="BG14" s="2231" t="b">
        <f t="shared" si="5"/>
        <v>1</v>
      </c>
      <c r="BH14" s="2137">
        <v>3</v>
      </c>
      <c r="BI14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5" spans="1:61" s="667" customFormat="1">
      <c r="A15" s="545" t="str">
        <f t="shared" si="6"/>
        <v>R50=;R4=;R42= ;R57= ;R13=;R16=;R17=;R18= ;R33= ;R36= ;R43= ;R48= ;R51= ;COM=</v>
      </c>
      <c r="B15" s="1116"/>
      <c r="C15" s="956"/>
      <c r="D15" s="1705" t="str">
        <f>IF(ISERROR(VLOOKUP($C15,Фин_договоры!$C$9:$AF$90424,6,FALSE))," ",VLOOKUP($C15,Фин_договоры!$C$9:$AF$90424,6,FALSE))</f>
        <v xml:space="preserve"> </v>
      </c>
      <c r="E15" s="1705" t="str">
        <f>IF(ISERROR(VLOOKUP($C15,Фин_договоры!$C$9:$AF$90424,7,FALSE))," ",VLOOKUP($C15,Фин_договоры!$C$9:$AF$90424,7,FALSE))</f>
        <v xml:space="preserve"> </v>
      </c>
      <c r="F15" s="1705" t="str">
        <f>IF(ISERROR(VLOOKUP($C15,Фин_договоры!$C$9:$AF$90424,8,FALSE))," ",VLOOKUP($C15,Фин_договоры!$C$9:$AF$90424,8,FALSE))</f>
        <v xml:space="preserve"> </v>
      </c>
      <c r="G15" s="1706" t="str">
        <f>IF(ISERROR(VLOOKUP($C15,Фин_договоры!$C$9:$AF$90424,5,FALSE))," ",VLOOKUP($C15,Фин_договоры!$C$9:$AF$90424,5,FALSE))</f>
        <v xml:space="preserve"> </v>
      </c>
      <c r="H15" s="1705" t="str">
        <f>IF(ISERROR(VLOOKUP($C15,Фин_договоры!$C$9:$AF$90424,4,FALSE))," ",VLOOKUP($C15,Фин_договоры!$C$9:$AF$90424,4,FALSE))</f>
        <v xml:space="preserve"> </v>
      </c>
      <c r="I15" s="1011" t="str">
        <f>IF(ISNA(VLOOKUP($C15,Фин_договоры!$C$9:$AF$90424,3,FALSE)),"-",VLOOKUP($C15,Фин_договоры!$C$9:$AF$90424,3,FALSE))</f>
        <v>-</v>
      </c>
      <c r="J15" s="875"/>
      <c r="K15" s="1705" t="str">
        <f>IF(ISERROR(VLOOKUP($C15,Фин_договоры!$C$9:$AF$90424,16,FALSE))," ",VLOOKUP($C15,Фин_договоры!$C$9:$AF$90424,16,FALSE))</f>
        <v xml:space="preserve"> </v>
      </c>
      <c r="L15" s="1439"/>
      <c r="M15" s="1439"/>
      <c r="N15" s="1013"/>
      <c r="O15" s="1013"/>
      <c r="P15" s="1013"/>
      <c r="Q15" s="1013"/>
      <c r="R15" s="1013"/>
      <c r="S15" s="1013"/>
      <c r="T15" s="1439"/>
      <c r="U15" s="1013"/>
      <c r="V15" s="1704">
        <f t="shared" si="1"/>
        <v>0</v>
      </c>
      <c r="W15" s="1022"/>
      <c r="X15" s="1704">
        <f t="shared" si="2"/>
        <v>0</v>
      </c>
      <c r="Y15" s="1439"/>
      <c r="Z15" s="1439"/>
      <c r="AA15" s="1013"/>
      <c r="AB15" s="1013"/>
      <c r="AC15" s="1013"/>
      <c r="AD15" s="1704">
        <f t="shared" si="3"/>
        <v>0</v>
      </c>
      <c r="AE15" s="1013"/>
      <c r="AF15" s="1013"/>
      <c r="AG15" s="1013"/>
      <c r="AH15" s="1013"/>
      <c r="AI15" s="1013"/>
      <c r="AJ15" s="1013"/>
      <c r="AK15" s="1013"/>
      <c r="AL15" s="1704">
        <f t="shared" si="4"/>
        <v>0</v>
      </c>
      <c r="AM15" s="966"/>
      <c r="AN15" s="1013"/>
      <c r="AO15" s="1013"/>
      <c r="AP15" s="1013"/>
      <c r="AQ15" s="1013"/>
      <c r="AR15" s="1013"/>
      <c r="AS15" s="1013"/>
      <c r="AT15" s="966"/>
      <c r="AU15" s="2415"/>
      <c r="AV15" s="2413"/>
      <c r="AW15" s="1705" t="str">
        <f>IF(ISERROR(VLOOKUP($AV15,Фин_договоры!$C$9:$AF$90424,2,FALSE))," ",VLOOKUP($AV15,Фин_договоры!$C$9:$AF$10424,2,FALSE))</f>
        <v xml:space="preserve"> </v>
      </c>
      <c r="AX15" s="1705" t="str">
        <f>IF(ISERROR(VLOOKUP($AV15,Фин_договоры!$C$9:$AF$90424,6,FALSE))," ",VLOOKUP($AV15,Фин_договоры!$C$9:$AF$10424,6,FALSE))</f>
        <v xml:space="preserve"> </v>
      </c>
      <c r="AY15" s="1705" t="str">
        <f>IF(ISERROR(VLOOKUP($AV15,Фин_договоры!$C$9:$AF$90424,7,FALSE))," ",VLOOKUP($AV15,Фин_договоры!$C$9:$AF$90424,7,FALSE))</f>
        <v xml:space="preserve"> </v>
      </c>
      <c r="AZ15" s="1705" t="str">
        <f>IF(ISERROR(VLOOKUP($AV15,Фин_договоры!$C$9:$AF$90424,8,FALSE))," ",VLOOKUP($AV15,Фин_договоры!$C$9:$AF$90424,8,FALSE))</f>
        <v xml:space="preserve"> </v>
      </c>
      <c r="BA15" s="1705" t="str">
        <f>IF(ISERROR(VLOOKUP($AV15,Фин_договоры!$C$9:$AF$90424,4,FALSE))," ",VLOOKUP($AV15,Фин_договоры!$C$9:$AF$90424,4,FALSE))</f>
        <v xml:space="preserve"> </v>
      </c>
      <c r="BB15" s="1706" t="str">
        <f>IF(ISERROR(VLOOKUP($AV15,Фин_договоры!$C$9:$AF$90424,5,FALSE))," ",VLOOKUP($AV15,Фин_договоры!$C$9:$AF$90424,5,FALSE))</f>
        <v xml:space="preserve"> </v>
      </c>
      <c r="BC15" s="973"/>
      <c r="BD15" s="2388" t="b">
        <f t="shared" si="7"/>
        <v>1</v>
      </c>
      <c r="BE15" s="667" t="b">
        <f t="shared" si="8"/>
        <v>1</v>
      </c>
      <c r="BG15" s="2231" t="b">
        <f t="shared" si="5"/>
        <v>1</v>
      </c>
      <c r="BH15" s="2137">
        <v>4</v>
      </c>
      <c r="BI15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6" spans="1:61" s="667" customFormat="1">
      <c r="A16" s="545" t="str">
        <f t="shared" si="6"/>
        <v>R50=;R4=;R42= ;R57= ;R13=;R16=;R17=;R18= ;R33= ;R36= ;R43= ;R48= ;R51= ;COM=</v>
      </c>
      <c r="B16" s="1116"/>
      <c r="C16" s="956"/>
      <c r="D16" s="1705" t="str">
        <f>IF(ISERROR(VLOOKUP($C16,Фин_договоры!$C$9:$AF$90424,6,FALSE))," ",VLOOKUP($C16,Фин_договоры!$C$9:$AF$90424,6,FALSE))</f>
        <v xml:space="preserve"> </v>
      </c>
      <c r="E16" s="1705" t="str">
        <f>IF(ISERROR(VLOOKUP($C16,Фин_договоры!$C$9:$AF$90424,7,FALSE))," ",VLOOKUP($C16,Фин_договоры!$C$9:$AF$90424,7,FALSE))</f>
        <v xml:space="preserve"> </v>
      </c>
      <c r="F16" s="1705" t="str">
        <f>IF(ISERROR(VLOOKUP($C16,Фин_договоры!$C$9:$AF$90424,8,FALSE))," ",VLOOKUP($C16,Фин_договоры!$C$9:$AF$90424,8,FALSE))</f>
        <v xml:space="preserve"> </v>
      </c>
      <c r="G16" s="1706" t="str">
        <f>IF(ISERROR(VLOOKUP($C16,Фин_договоры!$C$9:$AF$90424,5,FALSE))," ",VLOOKUP($C16,Фин_договоры!$C$9:$AF$90424,5,FALSE))</f>
        <v xml:space="preserve"> </v>
      </c>
      <c r="H16" s="1705" t="str">
        <f>IF(ISERROR(VLOOKUP($C16,Фин_договоры!$C$9:$AF$90424,4,FALSE))," ",VLOOKUP($C16,Фин_договоры!$C$9:$AF$90424,4,FALSE))</f>
        <v xml:space="preserve"> </v>
      </c>
      <c r="I16" s="1011" t="str">
        <f>IF(ISNA(VLOOKUP($C16,Фин_договоры!$C$9:$AF$90424,3,FALSE)),"-",VLOOKUP($C16,Фин_договоры!$C$9:$AF$90424,3,FALSE))</f>
        <v>-</v>
      </c>
      <c r="J16" s="875"/>
      <c r="K16" s="1705" t="str">
        <f>IF(ISERROR(VLOOKUP($C16,Фин_договоры!$C$9:$AF$90424,16,FALSE))," ",VLOOKUP($C16,Фин_договоры!$C$9:$AF$90424,16,FALSE))</f>
        <v xml:space="preserve"> </v>
      </c>
      <c r="L16" s="1439"/>
      <c r="M16" s="1439"/>
      <c r="N16" s="1013"/>
      <c r="O16" s="1013"/>
      <c r="P16" s="1013"/>
      <c r="Q16" s="1013"/>
      <c r="R16" s="1013"/>
      <c r="S16" s="1013"/>
      <c r="T16" s="1439"/>
      <c r="U16" s="1013"/>
      <c r="V16" s="1704">
        <f t="shared" si="1"/>
        <v>0</v>
      </c>
      <c r="W16" s="1022"/>
      <c r="X16" s="1704">
        <f t="shared" si="2"/>
        <v>0</v>
      </c>
      <c r="Y16" s="1439"/>
      <c r="Z16" s="1439"/>
      <c r="AA16" s="1013"/>
      <c r="AB16" s="1013"/>
      <c r="AC16" s="1013"/>
      <c r="AD16" s="1704">
        <f t="shared" si="3"/>
        <v>0</v>
      </c>
      <c r="AE16" s="1013"/>
      <c r="AF16" s="1013"/>
      <c r="AG16" s="1013"/>
      <c r="AH16" s="1013"/>
      <c r="AI16" s="1013"/>
      <c r="AJ16" s="1013"/>
      <c r="AK16" s="1013"/>
      <c r="AL16" s="1704">
        <f t="shared" si="4"/>
        <v>0</v>
      </c>
      <c r="AM16" s="966"/>
      <c r="AN16" s="1013"/>
      <c r="AO16" s="1013"/>
      <c r="AP16" s="1013"/>
      <c r="AQ16" s="1013"/>
      <c r="AR16" s="1013"/>
      <c r="AS16" s="1013"/>
      <c r="AT16" s="966"/>
      <c r="AU16" s="2415"/>
      <c r="AV16" s="2413"/>
      <c r="AW16" s="1705" t="str">
        <f>IF(ISERROR(VLOOKUP($AV16,Фин_договоры!$C$9:$AF$90424,2,FALSE))," ",VLOOKUP($AV16,Фин_договоры!$C$9:$AF$10424,2,FALSE))</f>
        <v xml:space="preserve"> </v>
      </c>
      <c r="AX16" s="1705" t="str">
        <f>IF(ISERROR(VLOOKUP($AV16,Фин_договоры!$C$9:$AF$90424,6,FALSE))," ",VLOOKUP($AV16,Фин_договоры!$C$9:$AF$10424,6,FALSE))</f>
        <v xml:space="preserve"> </v>
      </c>
      <c r="AY16" s="1705" t="str">
        <f>IF(ISERROR(VLOOKUP($AV16,Фин_договоры!$C$9:$AF$90424,7,FALSE))," ",VLOOKUP($AV16,Фин_договоры!$C$9:$AF$90424,7,FALSE))</f>
        <v xml:space="preserve"> </v>
      </c>
      <c r="AZ16" s="1705" t="str">
        <f>IF(ISERROR(VLOOKUP($AV16,Фин_договоры!$C$9:$AF$90424,8,FALSE))," ",VLOOKUP($AV16,Фин_договоры!$C$9:$AF$90424,8,FALSE))</f>
        <v xml:space="preserve"> </v>
      </c>
      <c r="BA16" s="1705" t="str">
        <f>IF(ISERROR(VLOOKUP($AV16,Фин_договоры!$C$9:$AF$90424,4,FALSE))," ",VLOOKUP($AV16,Фин_договоры!$C$9:$AF$90424,4,FALSE))</f>
        <v xml:space="preserve"> </v>
      </c>
      <c r="BB16" s="1706" t="str">
        <f>IF(ISERROR(VLOOKUP($AV16,Фин_договоры!$C$9:$AF$90424,5,FALSE))," ",VLOOKUP($AV16,Фин_договоры!$C$9:$AF$90424,5,FALSE))</f>
        <v xml:space="preserve"> </v>
      </c>
      <c r="BC16" s="973"/>
      <c r="BD16" s="2388" t="b">
        <f t="shared" si="7"/>
        <v>1</v>
      </c>
      <c r="BE16" s="667" t="b">
        <f t="shared" si="8"/>
        <v>1</v>
      </c>
      <c r="BG16" s="2231" t="b">
        <f t="shared" si="5"/>
        <v>1</v>
      </c>
      <c r="BH16" s="2137">
        <v>5</v>
      </c>
      <c r="BI16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7" spans="1:61" s="667" customFormat="1">
      <c r="A17" s="545" t="str">
        <f t="shared" si="6"/>
        <v>R50=;R4=;R42= ;R57= ;R13=;R16=;R17=;R18= ;R33= ;R36= ;R43= ;R48= ;R51= ;COM=</v>
      </c>
      <c r="B17" s="1116"/>
      <c r="C17" s="956"/>
      <c r="D17" s="1705" t="str">
        <f>IF(ISERROR(VLOOKUP($C17,Фин_договоры!$C$9:$AF$90424,6,FALSE))," ",VLOOKUP($C17,Фин_договоры!$C$9:$AF$90424,6,FALSE))</f>
        <v xml:space="preserve"> </v>
      </c>
      <c r="E17" s="1705" t="str">
        <f>IF(ISERROR(VLOOKUP($C17,Фин_договоры!$C$9:$AF$90424,7,FALSE))," ",VLOOKUP($C17,Фин_договоры!$C$9:$AF$90424,7,FALSE))</f>
        <v xml:space="preserve"> </v>
      </c>
      <c r="F17" s="1705" t="str">
        <f>IF(ISERROR(VLOOKUP($C17,Фин_договоры!$C$9:$AF$90424,8,FALSE))," ",VLOOKUP($C17,Фин_договоры!$C$9:$AF$90424,8,FALSE))</f>
        <v xml:space="preserve"> </v>
      </c>
      <c r="G17" s="1706" t="str">
        <f>IF(ISERROR(VLOOKUP($C17,Фин_договоры!$C$9:$AF$90424,5,FALSE))," ",VLOOKUP($C17,Фин_договоры!$C$9:$AF$90424,5,FALSE))</f>
        <v xml:space="preserve"> </v>
      </c>
      <c r="H17" s="1705" t="str">
        <f>IF(ISERROR(VLOOKUP($C17,Фин_договоры!$C$9:$AF$90424,4,FALSE))," ",VLOOKUP($C17,Фин_договоры!$C$9:$AF$90424,4,FALSE))</f>
        <v xml:space="preserve"> </v>
      </c>
      <c r="I17" s="1011" t="str">
        <f>IF(ISNA(VLOOKUP($C17,Фин_договоры!$C$9:$AF$90424,3,FALSE)),"-",VLOOKUP($C17,Фин_договоры!$C$9:$AF$90424,3,FALSE))</f>
        <v>-</v>
      </c>
      <c r="J17" s="875"/>
      <c r="K17" s="1705" t="str">
        <f>IF(ISERROR(VLOOKUP($C17,Фин_договоры!$C$9:$AF$90424,16,FALSE))," ",VLOOKUP($C17,Фин_договоры!$C$9:$AF$90424,16,FALSE))</f>
        <v xml:space="preserve"> </v>
      </c>
      <c r="L17" s="1439"/>
      <c r="M17" s="1439"/>
      <c r="N17" s="1013"/>
      <c r="O17" s="1013"/>
      <c r="P17" s="1013"/>
      <c r="Q17" s="1013"/>
      <c r="R17" s="1013"/>
      <c r="S17" s="1013"/>
      <c r="T17" s="1439"/>
      <c r="U17" s="1013"/>
      <c r="V17" s="1704">
        <f t="shared" si="1"/>
        <v>0</v>
      </c>
      <c r="W17" s="1022"/>
      <c r="X17" s="1704">
        <f t="shared" si="2"/>
        <v>0</v>
      </c>
      <c r="Y17" s="1439"/>
      <c r="Z17" s="1439"/>
      <c r="AA17" s="1013"/>
      <c r="AB17" s="1013"/>
      <c r="AC17" s="1013"/>
      <c r="AD17" s="1704">
        <f t="shared" si="3"/>
        <v>0</v>
      </c>
      <c r="AE17" s="1013"/>
      <c r="AF17" s="1013"/>
      <c r="AG17" s="1013"/>
      <c r="AH17" s="1013"/>
      <c r="AI17" s="1013"/>
      <c r="AJ17" s="1013"/>
      <c r="AK17" s="1013"/>
      <c r="AL17" s="1704">
        <f t="shared" si="4"/>
        <v>0</v>
      </c>
      <c r="AM17" s="966"/>
      <c r="AN17" s="1013"/>
      <c r="AO17" s="1013"/>
      <c r="AP17" s="1013"/>
      <c r="AQ17" s="1013"/>
      <c r="AR17" s="1013"/>
      <c r="AS17" s="1013"/>
      <c r="AT17" s="966"/>
      <c r="AU17" s="2415"/>
      <c r="AV17" s="2413"/>
      <c r="AW17" s="1705" t="str">
        <f>IF(ISERROR(VLOOKUP($AV17,Фин_договоры!$C$9:$AF$90424,2,FALSE))," ",VLOOKUP($AV17,Фин_договоры!$C$9:$AF$10424,2,FALSE))</f>
        <v xml:space="preserve"> </v>
      </c>
      <c r="AX17" s="1705" t="str">
        <f>IF(ISERROR(VLOOKUP($AV17,Фин_договоры!$C$9:$AF$90424,6,FALSE))," ",VLOOKUP($AV17,Фин_договоры!$C$9:$AF$10424,6,FALSE))</f>
        <v xml:space="preserve"> </v>
      </c>
      <c r="AY17" s="1705" t="str">
        <f>IF(ISERROR(VLOOKUP($AV17,Фин_договоры!$C$9:$AF$90424,7,FALSE))," ",VLOOKUP($AV17,Фин_договоры!$C$9:$AF$90424,7,FALSE))</f>
        <v xml:space="preserve"> </v>
      </c>
      <c r="AZ17" s="1705" t="str">
        <f>IF(ISERROR(VLOOKUP($AV17,Фин_договоры!$C$9:$AF$90424,8,FALSE))," ",VLOOKUP($AV17,Фин_договоры!$C$9:$AF$90424,8,FALSE))</f>
        <v xml:space="preserve"> </v>
      </c>
      <c r="BA17" s="1705" t="str">
        <f>IF(ISERROR(VLOOKUP($AV17,Фин_договоры!$C$9:$AF$90424,4,FALSE))," ",VLOOKUP($AV17,Фин_договоры!$C$9:$AF$90424,4,FALSE))</f>
        <v xml:space="preserve"> </v>
      </c>
      <c r="BB17" s="1706" t="str">
        <f>IF(ISERROR(VLOOKUP($AV17,Фин_договоры!$C$9:$AF$90424,5,FALSE))," ",VLOOKUP($AV17,Фин_договоры!$C$9:$AF$90424,5,FALSE))</f>
        <v xml:space="preserve"> </v>
      </c>
      <c r="BC17" s="973"/>
      <c r="BD17" s="2388" t="b">
        <f t="shared" si="7"/>
        <v>1</v>
      </c>
      <c r="BE17" s="667" t="b">
        <f t="shared" si="8"/>
        <v>1</v>
      </c>
      <c r="BG17" s="2231" t="b">
        <f t="shared" si="5"/>
        <v>1</v>
      </c>
      <c r="BH17" s="2137">
        <v>6</v>
      </c>
      <c r="BI17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8" spans="1:61" s="667" customFormat="1">
      <c r="A18" s="545" t="str">
        <f t="shared" si="6"/>
        <v>R50=;R4=;R42= ;R57= ;R13=;R16=;R17=;R18= ;R33= ;R36= ;R43= ;R48= ;R51= ;COM=</v>
      </c>
      <c r="B18" s="1116"/>
      <c r="C18" s="956"/>
      <c r="D18" s="1705" t="str">
        <f>IF(ISERROR(VLOOKUP($C18,Фин_договоры!$C$9:$AF$90424,6,FALSE))," ",VLOOKUP($C18,Фин_договоры!$C$9:$AF$90424,6,FALSE))</f>
        <v xml:space="preserve"> </v>
      </c>
      <c r="E18" s="1705" t="str">
        <f>IF(ISERROR(VLOOKUP($C18,Фин_договоры!$C$9:$AF$90424,7,FALSE))," ",VLOOKUP($C18,Фин_договоры!$C$9:$AF$90424,7,FALSE))</f>
        <v xml:space="preserve"> </v>
      </c>
      <c r="F18" s="1705" t="str">
        <f>IF(ISERROR(VLOOKUP($C18,Фин_договоры!$C$9:$AF$90424,8,FALSE))," ",VLOOKUP($C18,Фин_договоры!$C$9:$AF$90424,8,FALSE))</f>
        <v xml:space="preserve"> </v>
      </c>
      <c r="G18" s="1706" t="str">
        <f>IF(ISERROR(VLOOKUP($C18,Фин_договоры!$C$9:$AF$90424,5,FALSE))," ",VLOOKUP($C18,Фин_договоры!$C$9:$AF$90424,5,FALSE))</f>
        <v xml:space="preserve"> </v>
      </c>
      <c r="H18" s="1705" t="str">
        <f>IF(ISERROR(VLOOKUP($C18,Фин_договоры!$C$9:$AF$90424,4,FALSE))," ",VLOOKUP($C18,Фин_договоры!$C$9:$AF$90424,4,FALSE))</f>
        <v xml:space="preserve"> </v>
      </c>
      <c r="I18" s="1011" t="str">
        <f>IF(ISNA(VLOOKUP($C18,Фин_договоры!$C$9:$AF$90424,3,FALSE)),"-",VLOOKUP($C18,Фин_договоры!$C$9:$AF$90424,3,FALSE))</f>
        <v>-</v>
      </c>
      <c r="J18" s="875"/>
      <c r="K18" s="1705" t="str">
        <f>IF(ISERROR(VLOOKUP($C18,Фин_договоры!$C$9:$AF$90424,16,FALSE))," ",VLOOKUP($C18,Фин_договоры!$C$9:$AF$90424,16,FALSE))</f>
        <v xml:space="preserve"> </v>
      </c>
      <c r="L18" s="1439"/>
      <c r="M18" s="1439"/>
      <c r="N18" s="1013"/>
      <c r="O18" s="1013"/>
      <c r="P18" s="1013"/>
      <c r="Q18" s="1013"/>
      <c r="R18" s="1013"/>
      <c r="S18" s="1013"/>
      <c r="T18" s="1439"/>
      <c r="U18" s="1013"/>
      <c r="V18" s="1704">
        <f t="shared" si="1"/>
        <v>0</v>
      </c>
      <c r="W18" s="1022"/>
      <c r="X18" s="1704">
        <f t="shared" si="2"/>
        <v>0</v>
      </c>
      <c r="Y18" s="1439"/>
      <c r="Z18" s="1439"/>
      <c r="AA18" s="1013"/>
      <c r="AB18" s="1013"/>
      <c r="AC18" s="1013"/>
      <c r="AD18" s="1704">
        <f t="shared" si="3"/>
        <v>0</v>
      </c>
      <c r="AE18" s="1013"/>
      <c r="AF18" s="1013"/>
      <c r="AG18" s="1013"/>
      <c r="AH18" s="1013"/>
      <c r="AI18" s="1013"/>
      <c r="AJ18" s="1013"/>
      <c r="AK18" s="1013"/>
      <c r="AL18" s="1704">
        <f t="shared" si="4"/>
        <v>0</v>
      </c>
      <c r="AM18" s="966"/>
      <c r="AN18" s="1013"/>
      <c r="AO18" s="1013"/>
      <c r="AP18" s="1013"/>
      <c r="AQ18" s="1013"/>
      <c r="AR18" s="1013"/>
      <c r="AS18" s="1013"/>
      <c r="AT18" s="966"/>
      <c r="AU18" s="2415"/>
      <c r="AV18" s="2413"/>
      <c r="AW18" s="1705" t="str">
        <f>IF(ISERROR(VLOOKUP($AV18,Фин_договоры!$C$9:$AF$90424,2,FALSE))," ",VLOOKUP($AV18,Фин_договоры!$C$9:$AF$10424,2,FALSE))</f>
        <v xml:space="preserve"> </v>
      </c>
      <c r="AX18" s="1705" t="str">
        <f>IF(ISERROR(VLOOKUP($AV18,Фин_договоры!$C$9:$AF$90424,6,FALSE))," ",VLOOKUP($AV18,Фин_договоры!$C$9:$AF$10424,6,FALSE))</f>
        <v xml:space="preserve"> </v>
      </c>
      <c r="AY18" s="1705" t="str">
        <f>IF(ISERROR(VLOOKUP($AV18,Фин_договоры!$C$9:$AF$90424,7,FALSE))," ",VLOOKUP($AV18,Фин_договоры!$C$9:$AF$90424,7,FALSE))</f>
        <v xml:space="preserve"> </v>
      </c>
      <c r="AZ18" s="1705" t="str">
        <f>IF(ISERROR(VLOOKUP($AV18,Фин_договоры!$C$9:$AF$90424,8,FALSE))," ",VLOOKUP($AV18,Фин_договоры!$C$9:$AF$90424,8,FALSE))</f>
        <v xml:space="preserve"> </v>
      </c>
      <c r="BA18" s="1705" t="str">
        <f>IF(ISERROR(VLOOKUP($AV18,Фин_договоры!$C$9:$AF$90424,4,FALSE))," ",VLOOKUP($AV18,Фин_договоры!$C$9:$AF$90424,4,FALSE))</f>
        <v xml:space="preserve"> </v>
      </c>
      <c r="BB18" s="1706" t="str">
        <f>IF(ISERROR(VLOOKUP($AV18,Фин_договоры!$C$9:$AF$90424,5,FALSE))," ",VLOOKUP($AV18,Фин_договоры!$C$9:$AF$90424,5,FALSE))</f>
        <v xml:space="preserve"> </v>
      </c>
      <c r="BC18" s="973"/>
      <c r="BD18" s="2388" t="b">
        <f t="shared" si="7"/>
        <v>1</v>
      </c>
      <c r="BE18" s="667" t="b">
        <f t="shared" si="8"/>
        <v>1</v>
      </c>
      <c r="BG18" s="2231" t="b">
        <f t="shared" si="5"/>
        <v>1</v>
      </c>
      <c r="BH18" s="2137">
        <v>7</v>
      </c>
      <c r="BI18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9" spans="1:61" s="743" customFormat="1" ht="15" thickBot="1">
      <c r="A19" s="545" t="str">
        <f t="shared" si="6"/>
        <v>R50=;R4=;R42= ;R57= ;R13=;R16=;R17=;R18= ;R33= ;R36= ;R43= ;R48= ;R51= ;COM=</v>
      </c>
      <c r="B19" s="742"/>
      <c r="C19" s="919"/>
      <c r="D19" s="1707" t="str">
        <f>IF(ISERROR(VLOOKUP($C19,Фин_договоры!$C$9:$AF$90424,6,FALSE))," ",VLOOKUP($C19,Фин_договоры!$C$9:$AF$90424,6,FALSE))</f>
        <v xml:space="preserve"> </v>
      </c>
      <c r="E19" s="1707" t="str">
        <f>IF(ISERROR(VLOOKUP($C19,Фин_договоры!$C$9:$AF$90424,7,FALSE))," ",VLOOKUP($C19,Фин_договоры!$C$9:$AF$90424,7,FALSE))</f>
        <v xml:space="preserve"> </v>
      </c>
      <c r="F19" s="1707" t="str">
        <f>IF(ISERROR(VLOOKUP($C19,Фин_договоры!$C$9:$AF$90424,8,FALSE))," ",VLOOKUP($C19,Фин_договоры!$C$9:$AF$90424,8,FALSE))</f>
        <v xml:space="preserve"> </v>
      </c>
      <c r="G19" s="1707" t="str">
        <f>IF(ISERROR(VLOOKUP($C19,Фин_договоры!$C$9:$AF$90424,5,FALSE))," ",VLOOKUP($C19,Фин_договоры!$C$9:$AF$90424,5,FALSE))</f>
        <v xml:space="preserve"> </v>
      </c>
      <c r="H19" s="1707" t="str">
        <f>IF(ISERROR(VLOOKUP($C19,Фин_договоры!$C$9:$AF$90424,4,FALSE))," ",VLOOKUP($C19,Фин_договоры!$C$9:$AF$90424,4,FALSE))</f>
        <v xml:space="preserve"> </v>
      </c>
      <c r="I19" s="1707" t="str">
        <f>IF(ISNA(VLOOKUP($C19,Фин_договоры!$C$9:$AF$90424,3,FALSE)),"-",VLOOKUP($C19,Фин_договоры!$C$9:$AF$90424,3,FALSE))</f>
        <v>-</v>
      </c>
      <c r="J19" s="1014"/>
      <c r="K19" s="1705" t="str">
        <f>IF(ISERROR(VLOOKUP($C19,Фин_договоры!$C$9:$AF$90424,16,FALSE))," ",VLOOKUP($C19,Фин_договоры!$C$9:$AF$90424,16,FALSE))</f>
        <v xml:space="preserve"> </v>
      </c>
      <c r="L19" s="1015"/>
      <c r="M19" s="1015"/>
      <c r="N19" s="1015"/>
      <c r="O19" s="1015"/>
      <c r="P19" s="2735"/>
      <c r="Q19" s="1015"/>
      <c r="R19" s="1015"/>
      <c r="S19" s="1015"/>
      <c r="T19" s="1015"/>
      <c r="U19" s="1015"/>
      <c r="V19" s="1708">
        <f>SUM(L19:U19)</f>
        <v>0</v>
      </c>
      <c r="W19" s="1026"/>
      <c r="X19" s="1708">
        <f>V19-W19</f>
        <v>0</v>
      </c>
      <c r="Y19" s="1015"/>
      <c r="Z19" s="1015"/>
      <c r="AA19" s="1015"/>
      <c r="AB19" s="1015"/>
      <c r="AC19" s="1015"/>
      <c r="AD19" s="1708">
        <f>SUM(Y19:AC19)</f>
        <v>0</v>
      </c>
      <c r="AE19" s="1015"/>
      <c r="AF19" s="1015"/>
      <c r="AG19" s="1015"/>
      <c r="AH19" s="1015"/>
      <c r="AI19" s="1015"/>
      <c r="AJ19" s="1015"/>
      <c r="AK19" s="1015"/>
      <c r="AL19" s="1708">
        <f>SUM(AE19:AK19)</f>
        <v>0</v>
      </c>
      <c r="AM19" s="1016"/>
      <c r="AN19" s="1015"/>
      <c r="AO19" s="1015"/>
      <c r="AP19" s="1015"/>
      <c r="AQ19" s="1015"/>
      <c r="AR19" s="1015"/>
      <c r="AS19" s="1015"/>
      <c r="AT19" s="1016"/>
      <c r="AU19" s="2416"/>
      <c r="AV19" s="2414"/>
      <c r="AW19" s="1707" t="str">
        <f>IF(ISERROR(VLOOKUP($AV19,Фин_договоры!$C$9:$AF$90424,2,FALSE))," ",VLOOKUP($AV19,Фин_договоры!$C$9:$AF$10424,2,FALSE))</f>
        <v xml:space="preserve"> </v>
      </c>
      <c r="AX19" s="1707" t="str">
        <f>IF(ISERROR(VLOOKUP($AV19,Фин_договоры!$C$9:$AF$90424,6,FALSE))," ",VLOOKUP($AV19,Фин_договоры!$C$9:$AF$10424,6,FALSE))</f>
        <v xml:space="preserve"> </v>
      </c>
      <c r="AY19" s="1707" t="str">
        <f>IF(ISERROR(VLOOKUP($AV19,Фин_договоры!$C$9:$AF$90424,7,FALSE))," ",VLOOKUP($AV19,Фин_договоры!$C$9:$AF$90424,7,FALSE))</f>
        <v xml:space="preserve"> </v>
      </c>
      <c r="AZ19" s="1707" t="str">
        <f>IF(ISERROR(VLOOKUP($AV19,Фин_договоры!$C$9:$AF$90424,8,FALSE))," ",VLOOKUP($AV19,Фин_договоры!$C$9:$AF$90424,8,FALSE))</f>
        <v xml:space="preserve"> </v>
      </c>
      <c r="BA19" s="1707" t="str">
        <f>IF(ISERROR(VLOOKUP($AV19,Фин_договоры!$C$9:$AF$90424,4,FALSE))," ",VLOOKUP($AV19,Фин_договоры!$C$9:$AF$90424,4,FALSE))</f>
        <v xml:space="preserve"> </v>
      </c>
      <c r="BB19" s="1707" t="str">
        <f>IF(ISERROR(VLOOKUP($AV19,Фин_договоры!$C$9:$AF$90424,5,FALSE))," ",VLOOKUP($AV19,Фин_договоры!$C$9:$AF$90424,5,FALSE))</f>
        <v xml:space="preserve"> </v>
      </c>
      <c r="BC19" s="1017"/>
      <c r="BD19" s="2388" t="b">
        <f t="shared" si="7"/>
        <v>1</v>
      </c>
      <c r="BE19" s="667" t="b">
        <f t="shared" si="8"/>
        <v>1</v>
      </c>
      <c r="BG19" s="2231" t="b">
        <f t="shared" si="5"/>
        <v>1</v>
      </c>
      <c r="BH19" s="2137">
        <v>8</v>
      </c>
      <c r="BI19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20" spans="1:61">
      <c r="A20" s="545"/>
      <c r="BG20" s="2231"/>
      <c r="BH20" s="2137">
        <v>9</v>
      </c>
      <c r="BI20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</sheetData>
  <sheetProtection algorithmName="SHA-512" hashValue="ZAaUJ1tz2XkLkfGSBHz6j/JBr8q/IKo7KkoyqSwk8jWHMWwOa26/T+U4Iqg6Kz/yJ67HSvagQ6Ssep4BuAdXaA==" saltValue="6TS4KGyX6cC7yy4vO+Gzfg==" spinCount="100000" sheet="1" objects="1" scenarios="1" formatColumns="0" formatRows="0" autoFilter="0"/>
  <autoFilter ref="C10:BG10"/>
  <customSheetViews>
    <customSheetView guid="{3769259D-9653-4B34-A2F6-4FB6F9F4E533}" scale="70" showGridLines="0" showAutoFilter="1" hiddenRows="1" hiddenColumns="1">
      <pane xSplit="6" ySplit="10" topLeftCell="Z11" activePane="bottomRight" state="frozen"/>
      <selection pane="bottomRight" activeCell="AL9" sqref="AL9"/>
      <pageMargins left="0.7" right="0.7" top="0.75" bottom="0.75" header="0.3" footer="0.3"/>
      <pageSetup paperSize="9" orientation="portrait" r:id="rId1"/>
      <autoFilter ref="B1:AY1"/>
    </customSheetView>
    <customSheetView guid="{40D7A2BB-326C-4ED3-999C-17852F56D6F4}" scale="70" showGridLines="0" showAutoFilter="1" hiddenRows="1" hiddenColumns="1">
      <pane xSplit="6" ySplit="10" topLeftCell="Z11" activePane="bottomRight" state="frozen"/>
      <selection pane="bottomRight" activeCell="AL9" sqref="AL9"/>
      <pageMargins left="0.7" right="0.7" top="0.75" bottom="0.75" header="0.3" footer="0.3"/>
      <pageSetup paperSize="9" orientation="portrait" r:id="rId2"/>
      <autoFilter ref="B1:AY1"/>
    </customSheetView>
    <customSheetView guid="{5D121940-0CE8-4A0E-A493-67FAAA6E0FF8}" scale="70" showGridLines="0" showAutoFilter="1" hiddenRows="1" hiddenColumns="1" topLeftCell="B2">
      <pane xSplit="5" ySplit="9" topLeftCell="BA11" activePane="bottomRight" state="frozen"/>
      <selection pane="bottomRight" activeCell="BB2" sqref="BB1:BB65536"/>
      <pageMargins left="0.7" right="0.7" top="0.75" bottom="0.75" header="0.3" footer="0.3"/>
      <pageSetup paperSize="9" orientation="portrait" r:id="rId3"/>
      <autoFilter ref="B1:AY1"/>
    </customSheetView>
    <customSheetView guid="{47AEACC4-6EA5-412C-AF39-A6C5357B313A}" scale="70" showGridLines="0" showAutoFilter="1" hiddenRows="1" hiddenColumns="1" topLeftCell="B2">
      <pane xSplit="5" ySplit="9" topLeftCell="AN11" activePane="bottomRight" state="frozen"/>
      <selection pane="bottomRight" activeCell="AS21" sqref="AS21"/>
      <pageMargins left="0.7" right="0.7" top="0.75" bottom="0.75" header="0.3" footer="0.3"/>
      <pageSetup paperSize="9" orientation="portrait" r:id="rId4"/>
      <autoFilter ref="B1:AY1"/>
    </customSheetView>
    <customSheetView guid="{4D957B38-5430-481E-B791-E0A66F913B50}" scale="70">
      <selection activeCell="A7" sqref="A7"/>
      <pageMargins left="0.7" right="0.7" top="0.75" bottom="0.75" header="0.3" footer="0.3"/>
      <pageSetup paperSize="9" orientation="portrait" r:id="rId5"/>
    </customSheetView>
    <customSheetView guid="{1C36793E-2B7E-411E-AA99-985D5D59B75A}" scale="70">
      <pageMargins left="0.7" right="0.7" top="0.75" bottom="0.75" header="0.3" footer="0.3"/>
      <pageSetup paperSize="9" orientation="portrait" r:id="rId6"/>
    </customSheetView>
    <customSheetView guid="{C913A9E8-661B-40A4-A3C9-1BC5F2B2E9F0}" scale="70" showGridLines="0" showAutoFilter="1" hiddenRows="1" hiddenColumns="1" topLeftCell="B2">
      <pane xSplit="5" ySplit="9" topLeftCell="AF11" activePane="bottomRight" state="frozen"/>
      <selection pane="bottomRight" activeCell="AL9" sqref="AL9"/>
      <pageMargins left="0.7" right="0.7" top="0.75" bottom="0.75" header="0.3" footer="0.3"/>
      <pageSetup paperSize="9" orientation="portrait" r:id="rId7"/>
      <autoFilter ref="B1:AY1"/>
    </customSheetView>
  </customSheetViews>
  <mergeCells count="48">
    <mergeCell ref="D5:D8"/>
    <mergeCell ref="E5:E8"/>
    <mergeCell ref="H5:H8"/>
    <mergeCell ref="I5:I8"/>
    <mergeCell ref="G5:G8"/>
    <mergeCell ref="F5:F8"/>
    <mergeCell ref="K5:K8"/>
    <mergeCell ref="S7:S8"/>
    <mergeCell ref="N7:N8"/>
    <mergeCell ref="L5:X5"/>
    <mergeCell ref="R7:R8"/>
    <mergeCell ref="M6:U6"/>
    <mergeCell ref="O7:O8"/>
    <mergeCell ref="Q7:Q8"/>
    <mergeCell ref="T7:T8"/>
    <mergeCell ref="P7:P8"/>
    <mergeCell ref="C5:C8"/>
    <mergeCell ref="AI7:AI8"/>
    <mergeCell ref="AF6:AK6"/>
    <mergeCell ref="AC7:AC8"/>
    <mergeCell ref="AD6:AD8"/>
    <mergeCell ref="AH7:AH8"/>
    <mergeCell ref="V6:V8"/>
    <mergeCell ref="Y6:Y8"/>
    <mergeCell ref="AA7:AA8"/>
    <mergeCell ref="M7:M8"/>
    <mergeCell ref="W6:X7"/>
    <mergeCell ref="AK7:AK8"/>
    <mergeCell ref="AB7:AB8"/>
    <mergeCell ref="U7:U8"/>
    <mergeCell ref="J5:J8"/>
    <mergeCell ref="L6:L8"/>
    <mergeCell ref="AU5:BB7"/>
    <mergeCell ref="BC5:BC8"/>
    <mergeCell ref="Z6:AC6"/>
    <mergeCell ref="AT5:AT8"/>
    <mergeCell ref="AR5:AS7"/>
    <mergeCell ref="AP5:AQ7"/>
    <mergeCell ref="AL6:AL8"/>
    <mergeCell ref="Z7:Z8"/>
    <mergeCell ref="AG7:AG8"/>
    <mergeCell ref="AJ7:AJ8"/>
    <mergeCell ref="Y5:AD5"/>
    <mergeCell ref="AN5:AO7"/>
    <mergeCell ref="AE5:AL5"/>
    <mergeCell ref="AM5:AM8"/>
    <mergeCell ref="AE6:AE8"/>
    <mergeCell ref="AF7:AF8"/>
  </mergeCells>
  <phoneticPr fontId="0" type="noConversion"/>
  <dataValidations count="6">
    <dataValidation type="list" allowBlank="1" showInputMessage="1" showErrorMessage="1" sqref="C13:C19 AV13:AV19">
      <formula1>dogovor_fin</formula1>
    </dataValidation>
    <dataValidation type="list" operator="equal" allowBlank="1" showErrorMessage="1" errorTitle="Выбор элемента списка" error="Данного элемента нет в списке" sqref="J13:J19">
      <formula1>_1009</formula1>
    </dataValidation>
    <dataValidation type="list" operator="equal" allowBlank="1" showErrorMessage="1" errorTitle="Выбор элемента списка" error="Данного элемента нет в списке" sqref="AT13:AT19">
      <formula1>_2612</formula1>
    </dataValidation>
    <dataValidation type="list" operator="equal" allowBlank="1" showErrorMessage="1" errorTitle="Выбор элемента списка" error="Данного элемента нет в списке" sqref="AM14:AM19">
      <formula1>_2613</formula1>
    </dataValidation>
    <dataValidation type="list" allowBlank="1" showInputMessage="1" showErrorMessage="1" sqref="AM13">
      <formula1>_2613</formula1>
    </dataValidation>
    <dataValidation type="custom" allowBlank="1" showInputMessage="1" showErrorMessage="1" error="Заполнение данных только по согласованию с отделом ОКО" sqref="P12:P19">
      <formula1>$BI$12</formula1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1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11" name="Button 1">
              <controlPr defaultSize="0" print="0" autoFill="0" autoPict="0" macro="[0]!AddButtonsRowAdd">
                <anchor moveWithCells="1">
                  <from>
                    <xdr:col>9</xdr:col>
                    <xdr:colOff>31750</xdr:colOff>
                    <xdr:row>1</xdr:row>
                    <xdr:rowOff>69850</xdr:rowOff>
                  </from>
                  <to>
                    <xdr:col>10</xdr:col>
                    <xdr:colOff>228600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">
    <pageSetUpPr fitToPage="1"/>
  </sheetPr>
  <dimension ref="A1:BI21"/>
  <sheetViews>
    <sheetView topLeftCell="AT2" zoomScale="52" zoomScaleNormal="52" workbookViewId="0">
      <selection activeCell="F17" sqref="F17"/>
    </sheetView>
  </sheetViews>
  <sheetFormatPr defaultColWidth="9.453125" defaultRowHeight="14.5"/>
  <cols>
    <col min="1" max="1" width="18.453125" style="32" hidden="1" customWidth="1"/>
    <col min="2" max="2" width="4.54296875" style="32" customWidth="1"/>
    <col min="3" max="3" width="22.453125" style="32" customWidth="1"/>
    <col min="4" max="4" width="26.54296875" style="32" customWidth="1"/>
    <col min="5" max="5" width="15.453125" style="32" customWidth="1"/>
    <col min="6" max="6" width="28.54296875" style="32" customWidth="1"/>
    <col min="7" max="8" width="15.453125" style="32" customWidth="1"/>
    <col min="9" max="9" width="18" style="32" customWidth="1"/>
    <col min="10" max="10" width="19.54296875" style="32" customWidth="1"/>
    <col min="11" max="11" width="21.453125" style="32" customWidth="1"/>
    <col min="12" max="16" width="15.453125" style="32" customWidth="1"/>
    <col min="17" max="18" width="18.54296875" style="32" customWidth="1"/>
    <col min="19" max="19" width="15.453125" style="32" customWidth="1"/>
    <col min="20" max="20" width="16.54296875" style="32" customWidth="1"/>
    <col min="21" max="28" width="15.453125" style="32" customWidth="1"/>
    <col min="29" max="29" width="16.54296875" style="32" customWidth="1"/>
    <col min="30" max="35" width="15.453125" style="32" customWidth="1"/>
    <col min="36" max="37" width="16.453125" style="32" customWidth="1"/>
    <col min="38" max="48" width="15.453125" style="32" customWidth="1"/>
    <col min="49" max="49" width="26" style="32" customWidth="1"/>
    <col min="50" max="50" width="30" style="32" customWidth="1"/>
    <col min="51" max="52" width="15.453125" style="32" customWidth="1"/>
    <col min="53" max="53" width="27.453125" style="32" customWidth="1"/>
    <col min="54" max="55" width="15.453125" style="32" customWidth="1"/>
    <col min="56" max="56" width="37.453125" style="32" customWidth="1"/>
    <col min="57" max="57" width="14.453125" style="32" customWidth="1"/>
    <col min="58" max="58" width="9.453125" style="32" hidden="1" customWidth="1"/>
    <col min="59" max="59" width="26.453125" style="32" customWidth="1"/>
    <col min="60" max="60" width="16.453125" style="32" customWidth="1"/>
    <col min="61" max="16384" width="9.453125" style="32"/>
  </cols>
  <sheetData>
    <row r="1" spans="1:61" s="24" customFormat="1" ht="39" hidden="1" customHeight="1">
      <c r="A1" s="167" t="s">
        <v>1112</v>
      </c>
      <c r="B1" s="22"/>
      <c r="C1" s="22"/>
      <c r="D1" s="6"/>
      <c r="E1" s="37"/>
      <c r="F1" s="37"/>
      <c r="G1" s="37"/>
      <c r="H1" s="37"/>
      <c r="I1" s="37"/>
      <c r="J1" s="37"/>
      <c r="K1" s="6"/>
      <c r="L1" s="6" t="s">
        <v>1088</v>
      </c>
      <c r="M1" s="6" t="s">
        <v>1113</v>
      </c>
      <c r="N1" s="6" t="s">
        <v>1114</v>
      </c>
      <c r="O1" s="6" t="s">
        <v>1089</v>
      </c>
      <c r="P1" s="6" t="s">
        <v>1090</v>
      </c>
      <c r="Q1" s="6" t="s">
        <v>1091</v>
      </c>
      <c r="R1" s="6" t="s">
        <v>1092</v>
      </c>
      <c r="S1" s="6" t="s">
        <v>1093</v>
      </c>
      <c r="T1" s="6" t="s">
        <v>6423</v>
      </c>
      <c r="U1" s="6" t="s">
        <v>1094</v>
      </c>
      <c r="V1" s="6" t="s">
        <v>304</v>
      </c>
      <c r="W1" s="6" t="s">
        <v>6468</v>
      </c>
      <c r="X1" s="6" t="s">
        <v>6469</v>
      </c>
      <c r="Y1" s="6" t="s">
        <v>6470</v>
      </c>
      <c r="Z1" s="6" t="s">
        <v>1095</v>
      </c>
      <c r="AA1" s="6" t="s">
        <v>1096</v>
      </c>
      <c r="AB1" s="6" t="s">
        <v>1097</v>
      </c>
      <c r="AC1" s="6" t="s">
        <v>6424</v>
      </c>
      <c r="AD1" s="6" t="s">
        <v>1098</v>
      </c>
      <c r="AE1" s="6" t="s">
        <v>306</v>
      </c>
      <c r="AF1" s="6" t="s">
        <v>1099</v>
      </c>
      <c r="AG1" s="6" t="s">
        <v>1100</v>
      </c>
      <c r="AH1" s="6" t="s">
        <v>1101</v>
      </c>
      <c r="AI1" s="6" t="s">
        <v>1102</v>
      </c>
      <c r="AJ1" s="6" t="s">
        <v>1103</v>
      </c>
      <c r="AK1" s="6" t="s">
        <v>6425</v>
      </c>
      <c r="AL1" s="6" t="s">
        <v>1104</v>
      </c>
      <c r="AM1" s="6" t="s">
        <v>305</v>
      </c>
      <c r="AN1" s="6"/>
      <c r="AO1" s="6" t="s">
        <v>1115</v>
      </c>
      <c r="AP1" s="6" t="s">
        <v>1116</v>
      </c>
      <c r="AQ1" s="6" t="s">
        <v>1117</v>
      </c>
      <c r="AR1" s="6" t="s">
        <v>1118</v>
      </c>
      <c r="AS1" s="6" t="s">
        <v>1119</v>
      </c>
      <c r="AT1" s="6" t="s">
        <v>1120</v>
      </c>
      <c r="AU1" s="6"/>
      <c r="AV1" s="6" t="s">
        <v>1121</v>
      </c>
      <c r="AW1" s="104"/>
      <c r="AY1" s="6"/>
      <c r="AZ1" s="6"/>
      <c r="BA1" s="6"/>
      <c r="BB1" s="6"/>
      <c r="BC1" s="6"/>
      <c r="BD1" s="6"/>
      <c r="BE1" s="6"/>
      <c r="BF1" s="6"/>
    </row>
    <row r="2" spans="1:61" s="1940" customFormat="1" ht="12.5">
      <c r="A2" s="748"/>
      <c r="L2" s="1940" t="s">
        <v>1648</v>
      </c>
      <c r="M2" s="1940" t="s">
        <v>1648</v>
      </c>
      <c r="N2" s="1940" t="s">
        <v>1648</v>
      </c>
      <c r="O2" s="1940" t="s">
        <v>1648</v>
      </c>
      <c r="P2" s="1940" t="s">
        <v>1648</v>
      </c>
      <c r="Q2" s="1940" t="s">
        <v>1648</v>
      </c>
      <c r="R2" s="1940" t="s">
        <v>1648</v>
      </c>
      <c r="S2" s="1940" t="s">
        <v>1648</v>
      </c>
      <c r="T2" s="1940" t="s">
        <v>1648</v>
      </c>
      <c r="U2" s="1940" t="s">
        <v>1648</v>
      </c>
      <c r="V2" s="1940" t="s">
        <v>1648</v>
      </c>
      <c r="W2" s="1940" t="s">
        <v>1648</v>
      </c>
      <c r="X2" s="1940" t="s">
        <v>1648</v>
      </c>
      <c r="Y2" s="1940" t="s">
        <v>1648</v>
      </c>
      <c r="Z2" s="1940" t="s">
        <v>1648</v>
      </c>
      <c r="AA2" s="1940" t="s">
        <v>1648</v>
      </c>
      <c r="AB2" s="1940" t="s">
        <v>1648</v>
      </c>
      <c r="AC2" s="1940" t="s">
        <v>1648</v>
      </c>
      <c r="AD2" s="1940" t="s">
        <v>1648</v>
      </c>
      <c r="AE2" s="1940" t="s">
        <v>1648</v>
      </c>
      <c r="AF2" s="1940" t="s">
        <v>1648</v>
      </c>
      <c r="AG2" s="1940" t="s">
        <v>1648</v>
      </c>
      <c r="AH2" s="1940" t="s">
        <v>1648</v>
      </c>
      <c r="AI2" s="1940" t="s">
        <v>1648</v>
      </c>
      <c r="AJ2" s="1940" t="s">
        <v>1648</v>
      </c>
      <c r="AK2" s="1940" t="s">
        <v>1648</v>
      </c>
      <c r="AL2" s="1940" t="s">
        <v>1648</v>
      </c>
      <c r="AM2" s="1940" t="s">
        <v>1648</v>
      </c>
      <c r="AN2" s="1940" t="s">
        <v>1648</v>
      </c>
      <c r="AO2" s="1940" t="s">
        <v>1648</v>
      </c>
      <c r="AP2" s="1940" t="s">
        <v>1648</v>
      </c>
      <c r="AQ2" s="1940" t="s">
        <v>1648</v>
      </c>
      <c r="AR2" s="1940" t="s">
        <v>1648</v>
      </c>
      <c r="AS2" s="1940" t="s">
        <v>1648</v>
      </c>
      <c r="AT2" s="1940" t="s">
        <v>1648</v>
      </c>
      <c r="AU2" s="1940" t="s">
        <v>1648</v>
      </c>
      <c r="AV2" s="1940" t="s">
        <v>1648</v>
      </c>
      <c r="AX2" s="1940" t="s">
        <v>1648</v>
      </c>
    </row>
    <row r="3" spans="1:61" s="24" customFormat="1" ht="26">
      <c r="A3" s="9"/>
      <c r="D3" s="105" t="s">
        <v>4414</v>
      </c>
      <c r="H3"/>
      <c r="K3" s="1897" t="s">
        <v>2067</v>
      </c>
      <c r="L3" s="1244">
        <f>Содержание!$D$2</f>
        <v>0</v>
      </c>
    </row>
    <row r="4" spans="1:61" s="1163" customFormat="1" ht="15" thickBot="1">
      <c r="A4" s="9"/>
      <c r="D4"/>
      <c r="J4" s="3044" t="s">
        <v>1436</v>
      </c>
      <c r="K4" s="1897" t="s">
        <v>2075</v>
      </c>
      <c r="L4" s="1244" t="str">
        <f>Содержание!$D$15</f>
        <v>2022 год</v>
      </c>
      <c r="W4" s="1163">
        <v>4021</v>
      </c>
      <c r="X4" s="1163">
        <v>4021</v>
      </c>
      <c r="Y4" s="1163">
        <v>4021</v>
      </c>
    </row>
    <row r="5" spans="1:61" ht="12.75" customHeight="1">
      <c r="A5" s="9"/>
      <c r="B5" s="192"/>
      <c r="C5" s="3732" t="s">
        <v>1792</v>
      </c>
      <c r="D5" s="3732" t="s">
        <v>5381</v>
      </c>
      <c r="E5" s="3713" t="s">
        <v>5531</v>
      </c>
      <c r="F5" s="3713" t="s">
        <v>8394</v>
      </c>
      <c r="G5" s="3713" t="s">
        <v>5383</v>
      </c>
      <c r="H5" s="3713" t="s">
        <v>5382</v>
      </c>
      <c r="I5" s="3713" t="s">
        <v>5508</v>
      </c>
      <c r="J5" s="3713" t="s">
        <v>5509</v>
      </c>
      <c r="K5" s="3713" t="s">
        <v>4664</v>
      </c>
      <c r="L5" s="3735" t="s">
        <v>5511</v>
      </c>
      <c r="M5" s="3736"/>
      <c r="N5" s="3736"/>
      <c r="O5" s="3736"/>
      <c r="P5" s="3736"/>
      <c r="Q5" s="3736"/>
      <c r="R5" s="3736"/>
      <c r="S5" s="3736"/>
      <c r="T5" s="3736"/>
      <c r="U5" s="3940"/>
      <c r="V5" s="1764"/>
      <c r="W5" s="1764"/>
      <c r="X5" s="1764"/>
      <c r="Y5" s="1764"/>
      <c r="Z5" s="3713" t="s">
        <v>5512</v>
      </c>
      <c r="AA5" s="3713"/>
      <c r="AB5" s="3713"/>
      <c r="AC5" s="3713"/>
      <c r="AD5" s="3713"/>
      <c r="AE5" s="3713"/>
      <c r="AF5" s="3713" t="s">
        <v>5513</v>
      </c>
      <c r="AG5" s="3713"/>
      <c r="AH5" s="3713"/>
      <c r="AI5" s="3713"/>
      <c r="AJ5" s="3713"/>
      <c r="AK5" s="3713"/>
      <c r="AL5" s="3713"/>
      <c r="AM5" s="3713"/>
      <c r="AN5" s="3713" t="s">
        <v>5514</v>
      </c>
      <c r="AO5" s="3722" t="s">
        <v>5515</v>
      </c>
      <c r="AP5" s="3722"/>
      <c r="AQ5" s="3722" t="s">
        <v>5516</v>
      </c>
      <c r="AR5" s="3722"/>
      <c r="AS5" s="3722" t="s">
        <v>5517</v>
      </c>
      <c r="AT5" s="3722"/>
      <c r="AU5" s="3722" t="s">
        <v>5518</v>
      </c>
      <c r="AV5" s="3713" t="s">
        <v>5519</v>
      </c>
      <c r="AW5" s="3713"/>
      <c r="AX5" s="3713"/>
      <c r="AY5" s="3713"/>
      <c r="AZ5" s="3713"/>
      <c r="BA5" s="3713"/>
      <c r="BB5" s="3713"/>
      <c r="BC5" s="3713"/>
      <c r="BD5" s="3711" t="s">
        <v>4183</v>
      </c>
    </row>
    <row r="6" spans="1:61" ht="18.649999999999999" customHeight="1">
      <c r="A6" s="9"/>
      <c r="B6" s="192"/>
      <c r="C6" s="3744" t="s">
        <v>5382</v>
      </c>
      <c r="D6" s="3744"/>
      <c r="E6" s="3710"/>
      <c r="F6" s="3710"/>
      <c r="G6" s="3710"/>
      <c r="H6" s="3710"/>
      <c r="I6" s="3710"/>
      <c r="J6" s="3710"/>
      <c r="K6" s="3710"/>
      <c r="L6" s="3710" t="s">
        <v>5225</v>
      </c>
      <c r="M6" s="3942" t="s">
        <v>4679</v>
      </c>
      <c r="N6" s="3943"/>
      <c r="O6" s="3943"/>
      <c r="P6" s="3943"/>
      <c r="Q6" s="3943"/>
      <c r="R6" s="3943"/>
      <c r="S6" s="3943"/>
      <c r="T6" s="3943"/>
      <c r="U6" s="3944"/>
      <c r="V6" s="3710" t="s">
        <v>5233</v>
      </c>
      <c r="W6" s="3941" t="s">
        <v>5520</v>
      </c>
      <c r="X6" s="3941"/>
      <c r="Y6" s="3941"/>
      <c r="Z6" s="3710" t="s">
        <v>5225</v>
      </c>
      <c r="AA6" s="3710" t="s">
        <v>4679</v>
      </c>
      <c r="AB6" s="3710"/>
      <c r="AC6" s="3710"/>
      <c r="AD6" s="3710"/>
      <c r="AE6" s="3710" t="s">
        <v>4211</v>
      </c>
      <c r="AF6" s="3710" t="s">
        <v>5225</v>
      </c>
      <c r="AG6" s="3710"/>
      <c r="AH6" s="3710"/>
      <c r="AI6" s="3710"/>
      <c r="AJ6" s="3710"/>
      <c r="AK6" s="3710"/>
      <c r="AL6" s="3710"/>
      <c r="AM6" s="3710" t="s">
        <v>5233</v>
      </c>
      <c r="AN6" s="3933"/>
      <c r="AO6" s="3710"/>
      <c r="AP6" s="3723"/>
      <c r="AQ6" s="3723"/>
      <c r="AR6" s="3723"/>
      <c r="AS6" s="3723"/>
      <c r="AT6" s="3723"/>
      <c r="AU6" s="3723"/>
      <c r="AV6" s="3710"/>
      <c r="AW6" s="3710"/>
      <c r="AX6" s="3710"/>
      <c r="AY6" s="3710"/>
      <c r="AZ6" s="3710"/>
      <c r="BA6" s="3710"/>
      <c r="BB6" s="3710"/>
      <c r="BC6" s="3710"/>
      <c r="BD6" s="3712"/>
    </row>
    <row r="7" spans="1:61" ht="53.9" customHeight="1" thickBot="1">
      <c r="A7" s="9"/>
      <c r="B7" s="192"/>
      <c r="C7" s="3744"/>
      <c r="D7" s="3744"/>
      <c r="E7" s="3710"/>
      <c r="F7" s="3710"/>
      <c r="G7" s="3710"/>
      <c r="H7" s="3710"/>
      <c r="I7" s="3710"/>
      <c r="J7" s="3710"/>
      <c r="K7" s="3710"/>
      <c r="L7" s="3710"/>
      <c r="M7" s="3710" t="s">
        <v>1701</v>
      </c>
      <c r="N7" s="3710" t="s">
        <v>1702</v>
      </c>
      <c r="O7" s="3710" t="s">
        <v>5498</v>
      </c>
      <c r="P7" s="3710" t="s">
        <v>2969</v>
      </c>
      <c r="Q7" s="3710" t="s">
        <v>5521</v>
      </c>
      <c r="R7" s="3710" t="s">
        <v>3968</v>
      </c>
      <c r="S7" s="3710" t="s">
        <v>2970</v>
      </c>
      <c r="T7" s="3710" t="s">
        <v>8157</v>
      </c>
      <c r="U7" s="3710" t="s">
        <v>5379</v>
      </c>
      <c r="V7" s="3710"/>
      <c r="W7" s="3788"/>
      <c r="X7" s="3788"/>
      <c r="Y7" s="3788"/>
      <c r="Z7" s="3710"/>
      <c r="AA7" s="3710" t="s">
        <v>5522</v>
      </c>
      <c r="AB7" s="3710" t="s">
        <v>5523</v>
      </c>
      <c r="AC7" s="3710" t="s">
        <v>8157</v>
      </c>
      <c r="AD7" s="3710" t="s">
        <v>5379</v>
      </c>
      <c r="AE7" s="3710"/>
      <c r="AF7" s="3710"/>
      <c r="AG7" s="3710" t="s">
        <v>2958</v>
      </c>
      <c r="AH7" s="3710" t="s">
        <v>2960</v>
      </c>
      <c r="AI7" s="3710" t="s">
        <v>2972</v>
      </c>
      <c r="AJ7" s="3710" t="s">
        <v>5524</v>
      </c>
      <c r="AK7" s="3710" t="s">
        <v>8157</v>
      </c>
      <c r="AL7" s="3710" t="s">
        <v>5525</v>
      </c>
      <c r="AM7" s="3710"/>
      <c r="AN7" s="3933"/>
      <c r="AO7" s="3710"/>
      <c r="AP7" s="3723"/>
      <c r="AQ7" s="3723"/>
      <c r="AR7" s="3723"/>
      <c r="AS7" s="3723"/>
      <c r="AT7" s="3723"/>
      <c r="AU7" s="3723"/>
      <c r="AV7" s="3710"/>
      <c r="AW7" s="3710"/>
      <c r="AX7" s="3710"/>
      <c r="AY7" s="3710"/>
      <c r="AZ7" s="3710"/>
      <c r="BA7" s="3710"/>
      <c r="BB7" s="3710"/>
      <c r="BC7" s="3710"/>
      <c r="BD7" s="3712"/>
    </row>
    <row r="8" spans="1:61" ht="52">
      <c r="A8" s="9"/>
      <c r="B8" s="192"/>
      <c r="C8" s="3744"/>
      <c r="D8" s="3744"/>
      <c r="E8" s="3710"/>
      <c r="F8" s="3710"/>
      <c r="G8" s="3710"/>
      <c r="H8" s="3710"/>
      <c r="I8" s="3710"/>
      <c r="J8" s="3710"/>
      <c r="K8" s="3710"/>
      <c r="L8" s="3710"/>
      <c r="M8" s="3710"/>
      <c r="N8" s="3710"/>
      <c r="O8" s="3710"/>
      <c r="P8" s="3710"/>
      <c r="Q8" s="3710"/>
      <c r="R8" s="3717"/>
      <c r="S8" s="3710"/>
      <c r="T8" s="3710"/>
      <c r="U8" s="3710"/>
      <c r="V8" s="3710"/>
      <c r="W8" s="174" t="s">
        <v>4413</v>
      </c>
      <c r="X8" s="174" t="s">
        <v>4412</v>
      </c>
      <c r="Y8" s="174" t="s">
        <v>6218</v>
      </c>
      <c r="Z8" s="3710"/>
      <c r="AA8" s="3710"/>
      <c r="AB8" s="3710"/>
      <c r="AC8" s="3710"/>
      <c r="AD8" s="3710"/>
      <c r="AE8" s="3710"/>
      <c r="AF8" s="3710"/>
      <c r="AG8" s="3710"/>
      <c r="AH8" s="3710"/>
      <c r="AI8" s="3710"/>
      <c r="AJ8" s="3710"/>
      <c r="AK8" s="3710"/>
      <c r="AL8" s="3710"/>
      <c r="AM8" s="3710"/>
      <c r="AN8" s="3933"/>
      <c r="AO8" s="174" t="s">
        <v>5526</v>
      </c>
      <c r="AP8" s="174" t="s">
        <v>5527</v>
      </c>
      <c r="AQ8" s="174" t="s">
        <v>5528</v>
      </c>
      <c r="AR8" s="174" t="s">
        <v>5529</v>
      </c>
      <c r="AS8" s="174" t="s">
        <v>5528</v>
      </c>
      <c r="AT8" s="174" t="s">
        <v>5529</v>
      </c>
      <c r="AU8" s="3723"/>
      <c r="AV8" s="16" t="s">
        <v>5530</v>
      </c>
      <c r="AW8" s="3168" t="s">
        <v>1792</v>
      </c>
      <c r="AX8" s="16" t="s">
        <v>5384</v>
      </c>
      <c r="AY8" s="16" t="s">
        <v>5381</v>
      </c>
      <c r="AZ8" s="16" t="s">
        <v>5531</v>
      </c>
      <c r="BA8" s="3166" t="s">
        <v>8394</v>
      </c>
      <c r="BB8" s="16" t="s">
        <v>5382</v>
      </c>
      <c r="BC8" s="16" t="s">
        <v>5383</v>
      </c>
      <c r="BD8" s="3712"/>
      <c r="BE8" s="2944" t="s">
        <v>8677</v>
      </c>
      <c r="BG8" s="2734" t="s">
        <v>8158</v>
      </c>
    </row>
    <row r="9" spans="1:61" s="762" customFormat="1">
      <c r="A9" s="748"/>
      <c r="B9" s="757"/>
      <c r="C9" s="832" t="s">
        <v>5247</v>
      </c>
      <c r="D9" s="758" t="s">
        <v>5247</v>
      </c>
      <c r="E9" s="753" t="s">
        <v>5247</v>
      </c>
      <c r="F9" s="833" t="s">
        <v>5247</v>
      </c>
      <c r="G9" s="753" t="s">
        <v>4219</v>
      </c>
      <c r="H9" s="753" t="s">
        <v>4219</v>
      </c>
      <c r="I9" s="151" t="s">
        <v>5532</v>
      </c>
      <c r="J9" s="753" t="s">
        <v>5533</v>
      </c>
      <c r="K9" s="753" t="s">
        <v>5250</v>
      </c>
      <c r="L9" s="759" t="s">
        <v>674</v>
      </c>
      <c r="M9" s="204" t="s">
        <v>1348</v>
      </c>
      <c r="N9" s="759" t="s">
        <v>5403</v>
      </c>
      <c r="O9" s="759" t="s">
        <v>5404</v>
      </c>
      <c r="P9" s="759" t="s">
        <v>5405</v>
      </c>
      <c r="Q9" s="759" t="s">
        <v>2783</v>
      </c>
      <c r="R9" s="759" t="s">
        <v>2784</v>
      </c>
      <c r="S9" s="759" t="s">
        <v>5402</v>
      </c>
      <c r="T9" s="759" t="s">
        <v>3967</v>
      </c>
      <c r="U9" s="759" t="s">
        <v>5406</v>
      </c>
      <c r="V9" s="759" t="s">
        <v>694</v>
      </c>
      <c r="W9" s="759">
        <v>2614</v>
      </c>
      <c r="X9" s="759">
        <v>2614</v>
      </c>
      <c r="Y9" s="759">
        <v>2614</v>
      </c>
      <c r="Z9" s="759" t="s">
        <v>674</v>
      </c>
      <c r="AA9" s="759" t="s">
        <v>1833</v>
      </c>
      <c r="AB9" s="759" t="s">
        <v>5534</v>
      </c>
      <c r="AC9" s="759" t="s">
        <v>3967</v>
      </c>
      <c r="AD9" s="204" t="s">
        <v>5406</v>
      </c>
      <c r="AE9" s="759" t="s">
        <v>694</v>
      </c>
      <c r="AF9" s="759" t="s">
        <v>674</v>
      </c>
      <c r="AG9" s="759" t="s">
        <v>4223</v>
      </c>
      <c r="AH9" s="759" t="s">
        <v>5535</v>
      </c>
      <c r="AI9" s="759" t="s">
        <v>1834</v>
      </c>
      <c r="AJ9" s="759" t="s">
        <v>5402</v>
      </c>
      <c r="AK9" s="759" t="s">
        <v>3967</v>
      </c>
      <c r="AL9" s="204" t="s">
        <v>5406</v>
      </c>
      <c r="AM9" s="759" t="s">
        <v>694</v>
      </c>
      <c r="AN9" s="759" t="s">
        <v>6788</v>
      </c>
      <c r="AO9" s="760" t="s">
        <v>3389</v>
      </c>
      <c r="AP9" s="760" t="s">
        <v>3389</v>
      </c>
      <c r="AQ9" s="760" t="s">
        <v>3389</v>
      </c>
      <c r="AR9" s="760" t="s">
        <v>3389</v>
      </c>
      <c r="AS9" s="760" t="s">
        <v>3389</v>
      </c>
      <c r="AT9" s="760" t="s">
        <v>3389</v>
      </c>
      <c r="AU9" s="760" t="s">
        <v>5537</v>
      </c>
      <c r="AV9" s="760" t="s">
        <v>3389</v>
      </c>
      <c r="AW9" s="760" t="s">
        <v>5247</v>
      </c>
      <c r="AX9" s="760" t="s">
        <v>3389</v>
      </c>
      <c r="AY9" s="760" t="s">
        <v>3389</v>
      </c>
      <c r="AZ9" s="760" t="s">
        <v>3389</v>
      </c>
      <c r="BA9" s="833" t="s">
        <v>5247</v>
      </c>
      <c r="BB9" s="760" t="s">
        <v>3389</v>
      </c>
      <c r="BC9" s="760" t="s">
        <v>3389</v>
      </c>
      <c r="BD9" s="761"/>
      <c r="BF9" s="1778"/>
      <c r="BG9" s="2231" t="b">
        <f>AND(BG12:BG5000)</f>
        <v>1</v>
      </c>
    </row>
    <row r="10" spans="1:61" s="674" customFormat="1" ht="15" customHeight="1">
      <c r="A10" s="668"/>
      <c r="B10" s="669"/>
      <c r="C10" s="1348" t="s">
        <v>4164</v>
      </c>
      <c r="D10" s="1709" t="s">
        <v>4165</v>
      </c>
      <c r="E10" s="1709" t="s">
        <v>4166</v>
      </c>
      <c r="F10" s="1709" t="s">
        <v>5500</v>
      </c>
      <c r="G10" s="1709" t="s">
        <v>4169</v>
      </c>
      <c r="H10" s="1709" t="s">
        <v>4168</v>
      </c>
      <c r="I10" s="1709" t="s">
        <v>4178</v>
      </c>
      <c r="J10" s="1709" t="s">
        <v>4179</v>
      </c>
      <c r="K10" s="1709" t="s">
        <v>4167</v>
      </c>
      <c r="L10" s="1709" t="s">
        <v>5501</v>
      </c>
      <c r="M10" s="1709" t="s">
        <v>4701</v>
      </c>
      <c r="N10" s="1709" t="s">
        <v>4702</v>
      </c>
      <c r="O10" s="1709" t="s">
        <v>4703</v>
      </c>
      <c r="P10" s="1709" t="s">
        <v>5502</v>
      </c>
      <c r="Q10" s="1709" t="s">
        <v>5503</v>
      </c>
      <c r="R10" s="1709" t="s">
        <v>5504</v>
      </c>
      <c r="S10" s="1709" t="s">
        <v>4853</v>
      </c>
      <c r="T10" s="1709" t="s">
        <v>4852</v>
      </c>
      <c r="U10" s="1709" t="s">
        <v>5505</v>
      </c>
      <c r="V10" s="1709" t="s">
        <v>4851</v>
      </c>
      <c r="W10" s="1709" t="s">
        <v>5506</v>
      </c>
      <c r="X10" s="1709" t="s">
        <v>4850</v>
      </c>
      <c r="Y10" s="1709" t="s">
        <v>3303</v>
      </c>
      <c r="Z10" s="1709" t="s">
        <v>3304</v>
      </c>
      <c r="AA10" s="1709" t="s">
        <v>3305</v>
      </c>
      <c r="AB10" s="1709" t="s">
        <v>3306</v>
      </c>
      <c r="AC10" s="1709" t="s">
        <v>3307</v>
      </c>
      <c r="AD10" s="1709" t="s">
        <v>3308</v>
      </c>
      <c r="AE10" s="1709" t="s">
        <v>3309</v>
      </c>
      <c r="AF10" s="1709" t="s">
        <v>3310</v>
      </c>
      <c r="AG10" s="1709" t="s">
        <v>3311</v>
      </c>
      <c r="AH10" s="1709" t="s">
        <v>3312</v>
      </c>
      <c r="AI10" s="1709" t="s">
        <v>3313</v>
      </c>
      <c r="AJ10" s="1709" t="s">
        <v>3314</v>
      </c>
      <c r="AK10" s="1709" t="s">
        <v>3315</v>
      </c>
      <c r="AL10" s="1709" t="s">
        <v>3316</v>
      </c>
      <c r="AM10" s="1709" t="s">
        <v>3317</v>
      </c>
      <c r="AN10" s="1709" t="s">
        <v>3318</v>
      </c>
      <c r="AO10" s="1709" t="s">
        <v>3319</v>
      </c>
      <c r="AP10" s="1709" t="s">
        <v>3320</v>
      </c>
      <c r="AQ10" s="1709" t="s">
        <v>3321</v>
      </c>
      <c r="AR10" s="1709" t="s">
        <v>3322</v>
      </c>
      <c r="AS10" s="1709" t="s">
        <v>3323</v>
      </c>
      <c r="AT10" s="1709" t="s">
        <v>3324</v>
      </c>
      <c r="AU10" s="1709" t="s">
        <v>3325</v>
      </c>
      <c r="AV10" s="1709" t="s">
        <v>3326</v>
      </c>
      <c r="AW10" s="1709" t="s">
        <v>3327</v>
      </c>
      <c r="AX10" s="1709" t="s">
        <v>3328</v>
      </c>
      <c r="AY10" s="1709" t="s">
        <v>3329</v>
      </c>
      <c r="AZ10" s="1709" t="s">
        <v>3330</v>
      </c>
      <c r="BA10" s="1709" t="s">
        <v>3331</v>
      </c>
      <c r="BB10" s="1709" t="s">
        <v>3332</v>
      </c>
      <c r="BC10" s="1709" t="s">
        <v>3333</v>
      </c>
      <c r="BD10" s="1709" t="s">
        <v>60</v>
      </c>
    </row>
    <row r="11" spans="1:61">
      <c r="A11" s="9"/>
      <c r="B11" s="206"/>
      <c r="C11" s="955" t="s">
        <v>4184</v>
      </c>
      <c r="D11" s="948" t="s">
        <v>4184</v>
      </c>
      <c r="E11" s="948" t="s">
        <v>3389</v>
      </c>
      <c r="F11" s="948" t="s">
        <v>3389</v>
      </c>
      <c r="G11" s="948" t="s">
        <v>3389</v>
      </c>
      <c r="H11" s="948" t="s">
        <v>3389</v>
      </c>
      <c r="I11" s="1011" t="s">
        <v>3389</v>
      </c>
      <c r="J11" s="1011" t="s">
        <v>3389</v>
      </c>
      <c r="K11" s="1011" t="s">
        <v>3389</v>
      </c>
      <c r="L11" s="1021">
        <f t="shared" ref="L11:U11" si="0">SUM(L12:L13993)</f>
        <v>0</v>
      </c>
      <c r="M11" s="1021">
        <f t="shared" si="0"/>
        <v>0</v>
      </c>
      <c r="N11" s="1021">
        <f t="shared" si="0"/>
        <v>0</v>
      </c>
      <c r="O11" s="1021">
        <f t="shared" si="0"/>
        <v>0</v>
      </c>
      <c r="P11" s="1021">
        <f t="shared" si="0"/>
        <v>0</v>
      </c>
      <c r="Q11" s="1021">
        <f t="shared" si="0"/>
        <v>0</v>
      </c>
      <c r="R11" s="1021">
        <f t="shared" si="0"/>
        <v>0</v>
      </c>
      <c r="S11" s="1021">
        <f t="shared" si="0"/>
        <v>0</v>
      </c>
      <c r="T11" s="1021">
        <f t="shared" si="0"/>
        <v>0</v>
      </c>
      <c r="U11" s="1021">
        <f t="shared" si="0"/>
        <v>0</v>
      </c>
      <c r="V11" s="1021">
        <f>SUM(V12:V13979)</f>
        <v>0</v>
      </c>
      <c r="W11" s="1021">
        <f t="shared" ref="W11:AT11" si="1">SUM(W12:W13993)</f>
        <v>0</v>
      </c>
      <c r="X11" s="1021">
        <f t="shared" si="1"/>
        <v>0</v>
      </c>
      <c r="Y11" s="1021">
        <f t="shared" si="1"/>
        <v>0</v>
      </c>
      <c r="Z11" s="1021">
        <f t="shared" si="1"/>
        <v>0</v>
      </c>
      <c r="AA11" s="1021">
        <f t="shared" si="1"/>
        <v>0</v>
      </c>
      <c r="AB11" s="1021">
        <f t="shared" si="1"/>
        <v>0</v>
      </c>
      <c r="AC11" s="1021">
        <f t="shared" si="1"/>
        <v>0</v>
      </c>
      <c r="AD11" s="1021">
        <f t="shared" si="1"/>
        <v>0</v>
      </c>
      <c r="AE11" s="1021">
        <f t="shared" si="1"/>
        <v>0</v>
      </c>
      <c r="AF11" s="1021">
        <f t="shared" si="1"/>
        <v>0</v>
      </c>
      <c r="AG11" s="1021">
        <f t="shared" si="1"/>
        <v>0</v>
      </c>
      <c r="AH11" s="1021">
        <f t="shared" si="1"/>
        <v>0</v>
      </c>
      <c r="AI11" s="1021">
        <f t="shared" si="1"/>
        <v>0</v>
      </c>
      <c r="AJ11" s="1021">
        <f t="shared" si="1"/>
        <v>0</v>
      </c>
      <c r="AK11" s="1021">
        <f t="shared" si="1"/>
        <v>0</v>
      </c>
      <c r="AL11" s="1021">
        <f t="shared" si="1"/>
        <v>0</v>
      </c>
      <c r="AM11" s="1021">
        <f t="shared" si="1"/>
        <v>0</v>
      </c>
      <c r="AN11" s="1021">
        <f t="shared" si="1"/>
        <v>0</v>
      </c>
      <c r="AO11" s="1021">
        <f t="shared" si="1"/>
        <v>0</v>
      </c>
      <c r="AP11" s="1021">
        <f t="shared" si="1"/>
        <v>0</v>
      </c>
      <c r="AQ11" s="1021">
        <f t="shared" si="1"/>
        <v>0</v>
      </c>
      <c r="AR11" s="1021">
        <f t="shared" si="1"/>
        <v>0</v>
      </c>
      <c r="AS11" s="1021">
        <f t="shared" si="1"/>
        <v>0</v>
      </c>
      <c r="AT11" s="1021">
        <f t="shared" si="1"/>
        <v>0</v>
      </c>
      <c r="AU11" s="1011" t="s">
        <v>3389</v>
      </c>
      <c r="AV11" s="1021">
        <f>SUM(AV12:AV13993)</f>
        <v>0</v>
      </c>
      <c r="AW11" s="948" t="s">
        <v>3389</v>
      </c>
      <c r="AX11" s="948" t="s">
        <v>3389</v>
      </c>
      <c r="AY11" s="948" t="s">
        <v>3389</v>
      </c>
      <c r="AZ11" s="948" t="s">
        <v>3389</v>
      </c>
      <c r="BA11" s="948" t="s">
        <v>3389</v>
      </c>
      <c r="BB11" s="948" t="s">
        <v>3389</v>
      </c>
      <c r="BC11" s="948" t="s">
        <v>3389</v>
      </c>
      <c r="BD11" s="960" t="s">
        <v>3389</v>
      </c>
      <c r="BF11" s="32" t="b">
        <f>AND(BF12:BF293)</f>
        <v>1</v>
      </c>
    </row>
    <row r="12" spans="1:61" ht="75" customHeight="1">
      <c r="A12" s="1939" t="str">
        <f>"R50=7706664260XXX"&amp;";R4=26132"&amp;";COM="&amp;BD12</f>
        <v>R50=7706664260XXX;R4=26132;COM=X</v>
      </c>
      <c r="B12" s="206"/>
      <c r="C12" s="3084" t="s">
        <v>9663</v>
      </c>
      <c r="D12" s="948" t="s">
        <v>3389</v>
      </c>
      <c r="E12" s="948" t="s">
        <v>3389</v>
      </c>
      <c r="F12" s="948" t="s">
        <v>3389</v>
      </c>
      <c r="G12" s="948" t="s">
        <v>3389</v>
      </c>
      <c r="H12" s="948" t="s">
        <v>3389</v>
      </c>
      <c r="I12" s="1011" t="s">
        <v>3389</v>
      </c>
      <c r="J12" s="1011" t="s">
        <v>3389</v>
      </c>
      <c r="K12" s="1011" t="s">
        <v>3389</v>
      </c>
      <c r="L12" s="1439"/>
      <c r="M12" s="1439"/>
      <c r="N12" s="1022"/>
      <c r="O12" s="1022"/>
      <c r="P12" s="1022"/>
      <c r="Q12" s="1439"/>
      <c r="R12" s="1022"/>
      <c r="S12" s="1022"/>
      <c r="T12" s="1439"/>
      <c r="U12" s="1022"/>
      <c r="V12" s="1710">
        <f t="shared" ref="V12:V19" si="2">SUM(L12:U12)</f>
        <v>0</v>
      </c>
      <c r="W12" s="1022"/>
      <c r="X12" s="1022"/>
      <c r="Y12" s="1023">
        <f>V12-SUM(W12:X12)</f>
        <v>0</v>
      </c>
      <c r="Z12" s="1022"/>
      <c r="AA12" s="1022"/>
      <c r="AB12" s="1022"/>
      <c r="AC12" s="1022"/>
      <c r="AD12" s="1022"/>
      <c r="AE12" s="1710">
        <f t="shared" ref="AE12:AE17" si="3">SUM(Z12:AD12)</f>
        <v>0</v>
      </c>
      <c r="AF12" s="1022"/>
      <c r="AG12" s="1022"/>
      <c r="AH12" s="1022"/>
      <c r="AI12" s="1022"/>
      <c r="AJ12" s="1022"/>
      <c r="AK12" s="1022"/>
      <c r="AL12" s="1022"/>
      <c r="AM12" s="1710">
        <f t="shared" ref="AM12:AM17" si="4">SUM(AF12:AL12)</f>
        <v>0</v>
      </c>
      <c r="AN12" s="948" t="s">
        <v>3389</v>
      </c>
      <c r="AO12" s="948" t="s">
        <v>3389</v>
      </c>
      <c r="AP12" s="948" t="s">
        <v>3389</v>
      </c>
      <c r="AQ12" s="948" t="s">
        <v>3389</v>
      </c>
      <c r="AR12" s="948" t="s">
        <v>3389</v>
      </c>
      <c r="AS12" s="948" t="s">
        <v>3389</v>
      </c>
      <c r="AT12" s="948" t="s">
        <v>3389</v>
      </c>
      <c r="AU12" s="948" t="s">
        <v>3389</v>
      </c>
      <c r="AV12" s="948" t="s">
        <v>3389</v>
      </c>
      <c r="AW12" s="948" t="s">
        <v>3389</v>
      </c>
      <c r="AX12" s="948" t="s">
        <v>3389</v>
      </c>
      <c r="AY12" s="948" t="s">
        <v>3389</v>
      </c>
      <c r="AZ12" s="948" t="s">
        <v>3389</v>
      </c>
      <c r="BA12" s="948" t="s">
        <v>3389</v>
      </c>
      <c r="BB12" s="948" t="s">
        <v>3389</v>
      </c>
      <c r="BC12" s="948" t="s">
        <v>3389</v>
      </c>
      <c r="BD12" s="2910" t="s">
        <v>3389</v>
      </c>
      <c r="BF12" s="32" t="b">
        <f t="shared" ref="BF12:BF20" si="5">IF(AND(L12&lt;500,V12&lt;500,Z12&lt;500,AE12&lt;500,AF12&lt;500,AM12&lt;500),TRUE,FALSE)</f>
        <v>1</v>
      </c>
      <c r="BG12" s="2231" t="b">
        <f>IF(AND(M12&gt;=0,N12&gt;=0,P12&gt;=0,Q12&lt;=0,R12&lt;=0,S12&lt;=0,AA12&gt;=0,AB12&lt;=0),TRUE,FALSE)</f>
        <v>1</v>
      </c>
      <c r="BH12" s="2137">
        <v>1</v>
      </c>
      <c r="BI12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3" spans="1:61" s="743" customFormat="1">
      <c r="A13" s="545" t="str">
        <f>"R50="&amp;C13&amp;";R16="&amp;IFERROR(MID(J13,FIND("{",J13)+1,FIND("}",J13)-FIND("{",J13)-1),"")&amp;";R4="&amp;IFERROR("2613"&amp;MID(AN13,FIND("{",AN13)+1,FIND("}",AN13)-FIND("{",AN13)-1),"")&amp;";R17="&amp;IFERROR(MID(AU13,FIND("{",AU13)+1,FIND("}",AU13)-FIND("{",AU13)-1),"")&amp;";R13="&amp;IFERROR(MID(AX13,FIND("{",AX13)+1,FIND("}",AX13)-FIND("{",AX13)-1),"")&amp;";R42="&amp;MID(IF(BA13&lt;&gt;"",BA13,AZ13),1,30)&amp;";R57="&amp;MID(AY13,1,60)&amp;";R55="&amp;MID(BB13,1,100)&amp;";R33="&amp;MID(BC13,1,60)&amp;";R36="&amp;MID(F13,1,30)&amp;";R43="&amp;MID(E13,1,30)&amp;";R48="&amp;MID(BA13,1,30)&amp;";R51="&amp;MID(AZ13,1,30)&amp;";COM="&amp;BD13</f>
        <v>R50=;R16=;R4=;R17=;R13=;R42= ;R57= ;R55= ;R33= ;R36= ;R43= ;R48= ;R51= ;COM=</v>
      </c>
      <c r="B13" s="742"/>
      <c r="C13" s="1547"/>
      <c r="D13" s="1711" t="str">
        <f>IF(ISERROR(VLOOKUP($C13,Фин_договоры!$C$9:$AF$10424,6,FALSE))," ",VLOOKUP($C13,Фин_договоры!$C$9:$AF$10424,6,FALSE))</f>
        <v xml:space="preserve"> </v>
      </c>
      <c r="E13" s="1711" t="str">
        <f>IF(ISERROR(VLOOKUP($C13,Фин_договоры!$C$9:$AF$10424,7,FALSE))," ",VLOOKUP($C13,Фин_договоры!$C$9:$AF$10424,7,FALSE))</f>
        <v xml:space="preserve"> </v>
      </c>
      <c r="F13" s="1711" t="str">
        <f>IF(ISERROR(VLOOKUP($C13,Фин_договоры!$C$9:$AF$10424,8,FALSE))," ",VLOOKUP($C13,Фин_договоры!$C$9:$AF$10424,8,FALSE))</f>
        <v xml:space="preserve"> </v>
      </c>
      <c r="G13" s="1898" t="str">
        <f>IF(ISERROR(VLOOKUP($C13,Фин_договоры!$C$9:$AF$10424,5,FALSE))," ",VLOOKUP($C13,Фин_договоры!$C$9:$AF$10424,5,FALSE))</f>
        <v xml:space="preserve"> </v>
      </c>
      <c r="H13" s="1711" t="str">
        <f>IF(ISERROR(VLOOKUP($C13,Фин_договоры!$C$9:$AF$10424,4,FALSE))," ",VLOOKUP($C13,Фин_договоры!$C$9:$AF$10424,4,FALSE))</f>
        <v xml:space="preserve"> </v>
      </c>
      <c r="I13" s="1711" t="str">
        <f>IF(ISNA(VLOOKUP($C13,Фин_договоры!$C$9:$AF$10424,3,FALSE)),"-",VLOOKUP($C13,Фин_договоры!$C$9:$AF$10424,3,FALSE))</f>
        <v>-</v>
      </c>
      <c r="J13" s="1454"/>
      <c r="K13" s="1711" t="str">
        <f>IF(ISERROR(VLOOKUP($C13,Фин_договоры!$C$9:$AF$10424,16,FALSE))," ",VLOOKUP($C13,Фин_договоры!$C$9:$AF$10424,16,FALSE))</f>
        <v xml:space="preserve"> </v>
      </c>
      <c r="L13" s="1439"/>
      <c r="M13" s="1439"/>
      <c r="N13" s="1022"/>
      <c r="O13" s="1022"/>
      <c r="P13" s="1022"/>
      <c r="Q13" s="1439"/>
      <c r="R13" s="1022"/>
      <c r="S13" s="1022"/>
      <c r="T13" s="1439"/>
      <c r="U13" s="1022"/>
      <c r="V13" s="1710">
        <f t="shared" si="2"/>
        <v>0</v>
      </c>
      <c r="W13" s="1022"/>
      <c r="X13" s="1022"/>
      <c r="Y13" s="1023">
        <f t="shared" ref="Y13:Y19" si="6">V13-SUM(W13:X13)</f>
        <v>0</v>
      </c>
      <c r="Z13" s="1022"/>
      <c r="AA13" s="1022"/>
      <c r="AB13" s="1022"/>
      <c r="AC13" s="1022"/>
      <c r="AD13" s="1022"/>
      <c r="AE13" s="1710">
        <f t="shared" si="3"/>
        <v>0</v>
      </c>
      <c r="AF13" s="1022"/>
      <c r="AG13" s="1022"/>
      <c r="AH13" s="1022"/>
      <c r="AI13" s="1022"/>
      <c r="AJ13" s="1022"/>
      <c r="AK13" s="1022"/>
      <c r="AL13" s="1022"/>
      <c r="AM13" s="1710">
        <f t="shared" si="4"/>
        <v>0</v>
      </c>
      <c r="AN13" s="1024"/>
      <c r="AO13" s="1022"/>
      <c r="AP13" s="1022"/>
      <c r="AQ13" s="1022"/>
      <c r="AR13" s="1022"/>
      <c r="AS13" s="1022"/>
      <c r="AT13" s="1022"/>
      <c r="AU13" s="1024"/>
      <c r="AV13" s="1022"/>
      <c r="AW13" s="1022"/>
      <c r="AX13" s="1705" t="str">
        <f>IF(ISERROR(VLOOKUP($AW13,Фин_договоры!$C$9:$AF$10424,2,FALSE))," ",VLOOKUP($AW13,Фин_договоры!$C$9:$AF$10424,2,FALSE))</f>
        <v xml:space="preserve"> </v>
      </c>
      <c r="AY13" s="1705" t="str">
        <f>IF(ISERROR(VLOOKUP($AW13,Фин_договоры!$C$9:$AF$10424,6,FALSE))," ",VLOOKUP($AW13,Фин_договоры!$C$9:$AF$10424,6,FALSE))</f>
        <v xml:space="preserve"> </v>
      </c>
      <c r="AZ13" s="1705" t="str">
        <f>IF(ISERROR(VLOOKUP($AW13,Фин_договоры!$C$9:$AF$10424,7,FALSE))," ",VLOOKUP($AW13,Фин_договоры!$C$9:$AF$10424,7,FALSE))</f>
        <v xml:space="preserve"> </v>
      </c>
      <c r="BA13" s="1705" t="str">
        <f>IF(ISERROR(VLOOKUP($AW13,Фин_договоры!$C$9:$AF$10424,8,FALSE))," ",VLOOKUP($AW13,Фин_договоры!$C$9:$AF$10424,8,FALSE))</f>
        <v xml:space="preserve"> </v>
      </c>
      <c r="BB13" s="1705" t="str">
        <f>IF(ISERROR(VLOOKUP($AW13,Фин_договоры!$C$9:$AF$10424,4,FALSE))," ",VLOOKUP($AW13,Фин_договоры!$C$9:$AF$10424,4,FALSE))</f>
        <v xml:space="preserve"> </v>
      </c>
      <c r="BC13" s="1706" t="str">
        <f>IF(ISERROR(VLOOKUP($AW13,Фин_договоры!$C$9:$AF$10424,5,FALSE))," ",VLOOKUP($AW13,Фин_договоры!$C$9:$AF$10424,5,FALSE))</f>
        <v xml:space="preserve"> </v>
      </c>
      <c r="BD13" s="1025"/>
      <c r="BE13" s="2231" t="b">
        <f>IF(C13="",TRUE,AND(IF(C13&lt;&gt;"",I13&gt;0,I13=0),IF(C13&lt;&gt;"",J13&gt;0,J13=0),IF(C13&lt;&gt;"",AN13&gt;0,AN13=0)))</f>
        <v>1</v>
      </c>
      <c r="BF13" s="32" t="b">
        <f t="shared" si="5"/>
        <v>1</v>
      </c>
      <c r="BG13" s="2231" t="b">
        <f t="shared" ref="BG13:BG21" si="7">IF(AND(M13&gt;=0,N13&gt;=0,P13&gt;=0,Q13&lt;=0,R13&lt;=0,S13&lt;=0,AA13&gt;=0,AB13&lt;=0),TRUE,FALSE)</f>
        <v>1</v>
      </c>
      <c r="BH13" s="2137">
        <v>1</v>
      </c>
      <c r="BI13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4" spans="1:61" s="743" customFormat="1" ht="21" customHeight="1">
      <c r="A14" s="545" t="str">
        <f t="shared" ref="A14:A21" si="8">"R50="&amp;C14&amp;";R16="&amp;IFERROR(MID(J14,FIND("{",J14)+1,FIND("}",J14)-FIND("{",J14)-1),"")&amp;";R4="&amp;IFERROR("2613"&amp;MID(AN14,FIND("{",AN14)+1,FIND("}",AN14)-FIND("{",AN14)-1),"")&amp;";R17="&amp;IFERROR(MID(AU14,FIND("{",AU14)+1,FIND("}",AU14)-FIND("{",AU14)-1),"")&amp;";R13="&amp;IFERROR(MID(AX14,FIND("{",AX14)+1,FIND("}",AX14)-FIND("{",AX14)-1),"")&amp;";R42="&amp;MID(IF(BA14&lt;&gt;"",BA14,AZ14),1,30)&amp;";R57="&amp;MID(AY14,1,60)&amp;";R55="&amp;MID(BB14,1,100)&amp;";R33="&amp;MID(BC14,1,60)&amp;";R36="&amp;MID(F14,1,30)&amp;";R43="&amp;MID(E14,1,30)&amp;";R48="&amp;MID(BA14,1,30)&amp;";R51="&amp;MID(AZ14,1,30)&amp;";COM="&amp;BD14</f>
        <v>R50=;R16=;R4=;R17=;R13=;R42= ;R57= ;R55= ;R33= ;R36= ;R43= ;R48= ;R51= ;COM=</v>
      </c>
      <c r="B14" s="742"/>
      <c r="C14" s="1547"/>
      <c r="D14" s="1711" t="str">
        <f>IF(ISERROR(VLOOKUP($C14,Фин_договоры!$C$9:$AF$10424,6,FALSE))," ",VLOOKUP($C14,Фин_договоры!$C$9:$AF$10424,6,FALSE))</f>
        <v xml:space="preserve"> </v>
      </c>
      <c r="E14" s="1711" t="str">
        <f>IF(ISERROR(VLOOKUP($C14,Фин_договоры!$C$9:$AF$10424,7,FALSE))," ",VLOOKUP($C14,Фин_договоры!$C$9:$AF$10424,7,FALSE))</f>
        <v xml:space="preserve"> </v>
      </c>
      <c r="F14" s="1711" t="str">
        <f>IF(ISERROR(VLOOKUP($C14,Фин_договоры!$C$9:$AF$10424,8,FALSE))," ",VLOOKUP($C14,Фин_договоры!$C$9:$AF$10424,8,FALSE))</f>
        <v xml:space="preserve"> </v>
      </c>
      <c r="G14" s="1898" t="str">
        <f>IF(ISERROR(VLOOKUP($C14,Фин_договоры!$C$9:$AF$10424,5,FALSE))," ",VLOOKUP($C14,Фин_договоры!$C$9:$AF$10424,5,FALSE))</f>
        <v xml:space="preserve"> </v>
      </c>
      <c r="H14" s="1711" t="str">
        <f>IF(ISERROR(VLOOKUP($C14,Фин_договоры!$C$9:$AF$10424,4,FALSE))," ",VLOOKUP($C14,Фин_договоры!$C$9:$AF$10424,4,FALSE))</f>
        <v xml:space="preserve"> </v>
      </c>
      <c r="I14" s="1711" t="str">
        <f>IF(ISNA(VLOOKUP($C14,Фин_договоры!$C$9:$AF$10424,3,FALSE)),"-",VLOOKUP($C14,Фин_договоры!$C$9:$AF$10424,3,FALSE))</f>
        <v>-</v>
      </c>
      <c r="J14" s="1454"/>
      <c r="K14" s="1711" t="str">
        <f>IF(ISERROR(VLOOKUP($C14,Фин_договоры!$C$9:$AF$10424,16,FALSE))," ",VLOOKUP($C14,Фин_договоры!$C$9:$AF$10424,16,FALSE))</f>
        <v xml:space="preserve"> </v>
      </c>
      <c r="L14" s="1439"/>
      <c r="M14" s="1439"/>
      <c r="N14" s="1022"/>
      <c r="O14" s="1022"/>
      <c r="P14" s="1022"/>
      <c r="Q14" s="1439"/>
      <c r="R14" s="1022"/>
      <c r="S14" s="1022"/>
      <c r="T14" s="1439"/>
      <c r="U14" s="1022"/>
      <c r="V14" s="1710">
        <f t="shared" si="2"/>
        <v>0</v>
      </c>
      <c r="W14" s="1022"/>
      <c r="X14" s="1022"/>
      <c r="Y14" s="1023">
        <f t="shared" si="6"/>
        <v>0</v>
      </c>
      <c r="Z14" s="1022"/>
      <c r="AA14" s="1022"/>
      <c r="AB14" s="1022"/>
      <c r="AC14" s="1022"/>
      <c r="AD14" s="1022"/>
      <c r="AE14" s="1710">
        <f t="shared" si="3"/>
        <v>0</v>
      </c>
      <c r="AF14" s="1022"/>
      <c r="AG14" s="1022"/>
      <c r="AH14" s="1022"/>
      <c r="AI14" s="1022"/>
      <c r="AJ14" s="1022"/>
      <c r="AK14" s="1022"/>
      <c r="AL14" s="1022"/>
      <c r="AM14" s="1710">
        <f t="shared" si="4"/>
        <v>0</v>
      </c>
      <c r="AN14" s="1024"/>
      <c r="AO14" s="1022"/>
      <c r="AP14" s="1022"/>
      <c r="AQ14" s="1022"/>
      <c r="AR14" s="1022"/>
      <c r="AS14" s="1022"/>
      <c r="AT14" s="1022"/>
      <c r="AU14" s="1024"/>
      <c r="AV14" s="1022"/>
      <c r="AW14" s="1022"/>
      <c r="AX14" s="1705" t="str">
        <f>IF(ISERROR(VLOOKUP($AW14,Фин_договоры!$C$9:$AF$10424,2,FALSE))," ",VLOOKUP($AW14,Фин_договоры!$C$9:$AF$10424,2,FALSE))</f>
        <v xml:space="preserve"> </v>
      </c>
      <c r="AY14" s="1705" t="str">
        <f>IF(ISERROR(VLOOKUP($AW14,Фин_договоры!$C$9:$AF$10424,6,FALSE))," ",VLOOKUP($AW14,Фин_договоры!$C$9:$AF$10424,6,FALSE))</f>
        <v xml:space="preserve"> </v>
      </c>
      <c r="AZ14" s="1705" t="str">
        <f>IF(ISERROR(VLOOKUP($AW14,Фин_договоры!$C$9:$AF$10424,7,FALSE))," ",VLOOKUP($AW14,Фин_договоры!$C$9:$AF$10424,7,FALSE))</f>
        <v xml:space="preserve"> </v>
      </c>
      <c r="BA14" s="1705" t="str">
        <f>IF(ISERROR(VLOOKUP($AW14,Фин_договоры!$C$9:$AF$10424,8,FALSE))," ",VLOOKUP($AW14,Фин_договоры!$C$9:$AF$10424,8,FALSE))</f>
        <v xml:space="preserve"> </v>
      </c>
      <c r="BB14" s="1705" t="str">
        <f>IF(ISERROR(VLOOKUP($AW14,Фин_договоры!$C$9:$AF$10424,4,FALSE))," ",VLOOKUP($AW14,Фин_договоры!$C$9:$AF$10424,4,FALSE))</f>
        <v xml:space="preserve"> </v>
      </c>
      <c r="BC14" s="1706" t="str">
        <f>IF(ISERROR(VLOOKUP($AW14,Фин_договоры!$C$9:$AF$10424,5,FALSE))," ",VLOOKUP($AW14,Фин_договоры!$C$9:$AF$10424,5,FALSE))</f>
        <v xml:space="preserve"> </v>
      </c>
      <c r="BD14" s="1025"/>
      <c r="BE14" s="2231" t="b">
        <f t="shared" ref="BE14:BE21" si="9">IF(C14="",TRUE,AND(IF(C14&lt;&gt;"",I14&gt;0,I14=0),IF(C14&lt;&gt;"",J14&gt;0,J14=0),IF(C14&lt;&gt;"",AN14&gt;0,AN14=0)))</f>
        <v>1</v>
      </c>
      <c r="BF14" s="32" t="b">
        <f t="shared" si="5"/>
        <v>1</v>
      </c>
      <c r="BG14" s="2231" t="b">
        <f t="shared" si="7"/>
        <v>1</v>
      </c>
      <c r="BH14" s="2137">
        <v>1</v>
      </c>
      <c r="BI14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5" spans="1:61" s="743" customFormat="1">
      <c r="A15" s="545" t="str">
        <f t="shared" si="8"/>
        <v>R50=;R16=;R4=;R17=;R13=;R42= ;R57= ;R55= ;R33= ;R36= ;R43= ;R48= ;R51= ;COM=</v>
      </c>
      <c r="B15" s="742"/>
      <c r="C15" s="1547"/>
      <c r="D15" s="1711" t="str">
        <f>IF(ISERROR(VLOOKUP($C15,Фин_договоры!$C$9:$AF$10424,6,FALSE))," ",VLOOKUP($C15,Фин_договоры!$C$9:$AF$10424,6,FALSE))</f>
        <v xml:space="preserve"> </v>
      </c>
      <c r="E15" s="1711" t="str">
        <f>IF(ISERROR(VLOOKUP($C15,Фин_договоры!$C$9:$AF$10424,7,FALSE))," ",VLOOKUP($C15,Фин_договоры!$C$9:$AF$10424,7,FALSE))</f>
        <v xml:space="preserve"> </v>
      </c>
      <c r="F15" s="1711" t="str">
        <f>IF(ISERROR(VLOOKUP($C15,Фин_договоры!$C$9:$AF$10424,8,FALSE))," ",VLOOKUP($C15,Фин_договоры!$C$9:$AF$10424,8,FALSE))</f>
        <v xml:space="preserve"> </v>
      </c>
      <c r="G15" s="1898" t="str">
        <f>IF(ISERROR(VLOOKUP($C15,Фин_договоры!$C$9:$AF$10424,5,FALSE))," ",VLOOKUP($C15,Фин_договоры!$C$9:$AF$10424,5,FALSE))</f>
        <v xml:space="preserve"> </v>
      </c>
      <c r="H15" s="1711" t="str">
        <f>IF(ISERROR(VLOOKUP($C15,Фин_договоры!$C$9:$AF$10424,4,FALSE))," ",VLOOKUP($C15,Фин_договоры!$C$9:$AF$10424,4,FALSE))</f>
        <v xml:space="preserve"> </v>
      </c>
      <c r="I15" s="1711" t="str">
        <f>IF(ISNA(VLOOKUP($C15,Фин_договоры!$C$9:$AF$10424,3,FALSE)),"-",VLOOKUP($C15,Фин_договоры!$C$9:$AF$10424,3,FALSE))</f>
        <v>-</v>
      </c>
      <c r="J15" s="1454"/>
      <c r="K15" s="1711" t="str">
        <f>IF(ISERROR(VLOOKUP($C15,Фин_договоры!$C$9:$AF$10424,16,FALSE))," ",VLOOKUP($C15,Фин_договоры!$C$9:$AF$10424,16,FALSE))</f>
        <v xml:space="preserve"> </v>
      </c>
      <c r="L15" s="1439"/>
      <c r="M15" s="1439"/>
      <c r="N15" s="1022"/>
      <c r="O15" s="1022"/>
      <c r="P15" s="1022"/>
      <c r="Q15" s="1439"/>
      <c r="R15" s="1022"/>
      <c r="S15" s="1022"/>
      <c r="T15" s="1439"/>
      <c r="U15" s="1022"/>
      <c r="V15" s="1710">
        <f t="shared" si="2"/>
        <v>0</v>
      </c>
      <c r="W15" s="1022"/>
      <c r="X15" s="1022"/>
      <c r="Y15" s="1023">
        <f t="shared" si="6"/>
        <v>0</v>
      </c>
      <c r="Z15" s="1022"/>
      <c r="AA15" s="1022"/>
      <c r="AB15" s="1022"/>
      <c r="AC15" s="1022"/>
      <c r="AD15" s="1022"/>
      <c r="AE15" s="1710">
        <f t="shared" si="3"/>
        <v>0</v>
      </c>
      <c r="AF15" s="1022"/>
      <c r="AG15" s="1022"/>
      <c r="AH15" s="1022"/>
      <c r="AI15" s="1022"/>
      <c r="AJ15" s="1022"/>
      <c r="AK15" s="1022"/>
      <c r="AL15" s="1022"/>
      <c r="AM15" s="1710">
        <f t="shared" si="4"/>
        <v>0</v>
      </c>
      <c r="AN15" s="1024"/>
      <c r="AO15" s="1022"/>
      <c r="AP15" s="1022"/>
      <c r="AQ15" s="1022"/>
      <c r="AR15" s="1022"/>
      <c r="AS15" s="1022"/>
      <c r="AT15" s="1022"/>
      <c r="AU15" s="1024"/>
      <c r="AV15" s="1022"/>
      <c r="AW15" s="1022"/>
      <c r="AX15" s="1705" t="str">
        <f>IF(ISERROR(VLOOKUP($AW15,Фин_договоры!$C$9:$AF$10424,2,FALSE))," ",VLOOKUP($AW15,Фин_договоры!$C$9:$AF$10424,2,FALSE))</f>
        <v xml:space="preserve"> </v>
      </c>
      <c r="AY15" s="1705" t="str">
        <f>IF(ISERROR(VLOOKUP($AW15,Фин_договоры!$C$9:$AF$10424,6,FALSE))," ",VLOOKUP($AW15,Фин_договоры!$C$9:$AF$10424,6,FALSE))</f>
        <v xml:space="preserve"> </v>
      </c>
      <c r="AZ15" s="1705" t="str">
        <f>IF(ISERROR(VLOOKUP($AW15,Фин_договоры!$C$9:$AF$10424,7,FALSE))," ",VLOOKUP($AW15,Фин_договоры!$C$9:$AF$10424,7,FALSE))</f>
        <v xml:space="preserve"> </v>
      </c>
      <c r="BA15" s="1705" t="str">
        <f>IF(ISERROR(VLOOKUP($AW15,Фин_договоры!$C$9:$AF$10424,8,FALSE))," ",VLOOKUP($AW15,Фин_договоры!$C$9:$AF$10424,8,FALSE))</f>
        <v xml:space="preserve"> </v>
      </c>
      <c r="BB15" s="1705" t="str">
        <f>IF(ISERROR(VLOOKUP($AW15,Фин_договоры!$C$9:$AF$10424,4,FALSE))," ",VLOOKUP($AW15,Фин_договоры!$C$9:$AF$10424,4,FALSE))</f>
        <v xml:space="preserve"> </v>
      </c>
      <c r="BC15" s="1706" t="str">
        <f>IF(ISERROR(VLOOKUP($AW15,Фин_договоры!$C$9:$AF$10424,5,FALSE))," ",VLOOKUP($AW15,Фин_договоры!$C$9:$AF$10424,5,FALSE))</f>
        <v xml:space="preserve"> </v>
      </c>
      <c r="BD15" s="1025"/>
      <c r="BE15" s="2231" t="b">
        <f t="shared" si="9"/>
        <v>1</v>
      </c>
      <c r="BF15" s="32" t="b">
        <f t="shared" si="5"/>
        <v>1</v>
      </c>
      <c r="BG15" s="2231" t="b">
        <f t="shared" si="7"/>
        <v>1</v>
      </c>
      <c r="BH15" s="2137">
        <v>1</v>
      </c>
      <c r="BI15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6" spans="1:61" s="743" customFormat="1">
      <c r="A16" s="545" t="str">
        <f t="shared" si="8"/>
        <v>R50=;R16=;R4=;R17=;R13=;R42= ;R57= ;R55= ;R33= ;R36= ;R43= ;R48= ;R51= ;COM=</v>
      </c>
      <c r="B16" s="742"/>
      <c r="C16" s="1547"/>
      <c r="D16" s="1711" t="str">
        <f>IF(ISERROR(VLOOKUP($C16,Фин_договоры!$C$9:$AF$10424,6,FALSE))," ",VLOOKUP($C16,Фин_договоры!$C$9:$AF$10424,6,FALSE))</f>
        <v xml:space="preserve"> </v>
      </c>
      <c r="E16" s="1711" t="str">
        <f>IF(ISERROR(VLOOKUP($C16,Фин_договоры!$C$9:$AF$10424,7,FALSE))," ",VLOOKUP($C16,Фин_договоры!$C$9:$AF$10424,7,FALSE))</f>
        <v xml:space="preserve"> </v>
      </c>
      <c r="F16" s="1711" t="str">
        <f>IF(ISERROR(VLOOKUP($C16,Фин_договоры!$C$9:$AF$10424,8,FALSE))," ",VLOOKUP($C16,Фин_договоры!$C$9:$AF$10424,8,FALSE))</f>
        <v xml:space="preserve"> </v>
      </c>
      <c r="G16" s="1898" t="str">
        <f>IF(ISERROR(VLOOKUP($C16,Фин_договоры!$C$9:$AF$10424,5,FALSE))," ",VLOOKUP($C16,Фин_договоры!$C$9:$AF$10424,5,FALSE))</f>
        <v xml:space="preserve"> </v>
      </c>
      <c r="H16" s="1711" t="str">
        <f>IF(ISERROR(VLOOKUP($C16,Фин_договоры!$C$9:$AF$10424,4,FALSE))," ",VLOOKUP($C16,Фин_договоры!$C$9:$AF$10424,4,FALSE))</f>
        <v xml:space="preserve"> </v>
      </c>
      <c r="I16" s="1711" t="str">
        <f>IF(ISNA(VLOOKUP($C16,Фин_договоры!$C$9:$AF$10424,3,FALSE)),"-",VLOOKUP($C16,Фин_договоры!$C$9:$AF$10424,3,FALSE))</f>
        <v>-</v>
      </c>
      <c r="J16" s="1454"/>
      <c r="K16" s="1711" t="str">
        <f>IF(ISERROR(VLOOKUP($C16,Фин_договоры!$C$9:$AF$10424,16,FALSE))," ",VLOOKUP($C16,Фин_договоры!$C$9:$AF$10424,16,FALSE))</f>
        <v xml:space="preserve"> </v>
      </c>
      <c r="L16" s="1439"/>
      <c r="M16" s="1439"/>
      <c r="N16" s="1022"/>
      <c r="O16" s="1022"/>
      <c r="P16" s="1022"/>
      <c r="Q16" s="1439"/>
      <c r="R16" s="1022"/>
      <c r="S16" s="1022"/>
      <c r="T16" s="1439"/>
      <c r="U16" s="1022"/>
      <c r="V16" s="1710">
        <f t="shared" si="2"/>
        <v>0</v>
      </c>
      <c r="W16" s="1022"/>
      <c r="X16" s="1022"/>
      <c r="Y16" s="1023">
        <f t="shared" si="6"/>
        <v>0</v>
      </c>
      <c r="Z16" s="1022"/>
      <c r="AA16" s="1022"/>
      <c r="AB16" s="1022"/>
      <c r="AC16" s="1022"/>
      <c r="AD16" s="1022"/>
      <c r="AE16" s="1710">
        <f t="shared" si="3"/>
        <v>0</v>
      </c>
      <c r="AF16" s="1022"/>
      <c r="AG16" s="1022"/>
      <c r="AH16" s="1022"/>
      <c r="AI16" s="1022"/>
      <c r="AJ16" s="1022"/>
      <c r="AK16" s="1022"/>
      <c r="AL16" s="1022"/>
      <c r="AM16" s="1710">
        <f t="shared" si="4"/>
        <v>0</v>
      </c>
      <c r="AN16" s="1024"/>
      <c r="AO16" s="1022"/>
      <c r="AP16" s="1022"/>
      <c r="AQ16" s="1022"/>
      <c r="AR16" s="1022"/>
      <c r="AS16" s="1022"/>
      <c r="AT16" s="1022"/>
      <c r="AU16" s="1024"/>
      <c r="AV16" s="1022"/>
      <c r="AW16" s="1022"/>
      <c r="AX16" s="1705" t="str">
        <f>IF(ISERROR(VLOOKUP($AW16,Фин_договоры!$C$9:$AF$10424,2,FALSE))," ",VLOOKUP($AW16,Фин_договоры!$C$9:$AF$10424,2,FALSE))</f>
        <v xml:space="preserve"> </v>
      </c>
      <c r="AY16" s="1705" t="str">
        <f>IF(ISERROR(VLOOKUP($AW16,Фин_договоры!$C$9:$AF$10424,6,FALSE))," ",VLOOKUP($AW16,Фин_договоры!$C$9:$AF$10424,6,FALSE))</f>
        <v xml:space="preserve"> </v>
      </c>
      <c r="AZ16" s="1705" t="str">
        <f>IF(ISERROR(VLOOKUP($AW16,Фин_договоры!$C$9:$AF$10424,7,FALSE))," ",VLOOKUP($AW16,Фин_договоры!$C$9:$AF$10424,7,FALSE))</f>
        <v xml:space="preserve"> </v>
      </c>
      <c r="BA16" s="1705" t="str">
        <f>IF(ISERROR(VLOOKUP($AW16,Фин_договоры!$C$9:$AF$10424,8,FALSE))," ",VLOOKUP($AW16,Фин_договоры!$C$9:$AF$10424,8,FALSE))</f>
        <v xml:space="preserve"> </v>
      </c>
      <c r="BB16" s="1705" t="str">
        <f>IF(ISERROR(VLOOKUP($AW16,Фин_договоры!$C$9:$AF$10424,4,FALSE))," ",VLOOKUP($AW16,Фин_договоры!$C$9:$AF$10424,4,FALSE))</f>
        <v xml:space="preserve"> </v>
      </c>
      <c r="BC16" s="1706" t="str">
        <f>IF(ISERROR(VLOOKUP($AW16,Фин_договоры!$C$9:$AF$10424,5,FALSE))," ",VLOOKUP($AW16,Фин_договоры!$C$9:$AF$10424,5,FALSE))</f>
        <v xml:space="preserve"> </v>
      </c>
      <c r="BD16" s="1025"/>
      <c r="BE16" s="2231" t="b">
        <f t="shared" si="9"/>
        <v>1</v>
      </c>
      <c r="BF16" s="32" t="b">
        <f t="shared" si="5"/>
        <v>1</v>
      </c>
      <c r="BG16" s="2231" t="b">
        <f t="shared" si="7"/>
        <v>1</v>
      </c>
      <c r="BH16" s="2137">
        <v>1</v>
      </c>
      <c r="BI16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7" spans="1:61" s="743" customFormat="1">
      <c r="A17" s="545" t="str">
        <f t="shared" si="8"/>
        <v>R50=;R16=;R4=;R17=;R13=;R42= ;R57= ;R55= ;R33= ;R36= ;R43= ;R48= ;R51= ;COM=</v>
      </c>
      <c r="B17" s="742"/>
      <c r="C17" s="1547"/>
      <c r="D17" s="1711" t="str">
        <f>IF(ISERROR(VLOOKUP($C17,Фин_договоры!$C$9:$AF$10424,6,FALSE))," ",VLOOKUP($C17,Фин_договоры!$C$9:$AF$10424,6,FALSE))</f>
        <v xml:space="preserve"> </v>
      </c>
      <c r="E17" s="1711" t="str">
        <f>IF(ISERROR(VLOOKUP($C17,Фин_договоры!$C$9:$AF$10424,7,FALSE))," ",VLOOKUP($C17,Фин_договоры!$C$9:$AF$10424,7,FALSE))</f>
        <v xml:space="preserve"> </v>
      </c>
      <c r="F17" s="1711" t="str">
        <f>IF(ISERROR(VLOOKUP($C17,Фин_договоры!$C$9:$AF$10424,8,FALSE))," ",VLOOKUP($C17,Фин_договоры!$C$9:$AF$10424,8,FALSE))</f>
        <v xml:space="preserve"> </v>
      </c>
      <c r="G17" s="1898" t="str">
        <f>IF(ISERROR(VLOOKUP($C17,Фин_договоры!$C$9:$AF$10424,5,FALSE))," ",VLOOKUP($C17,Фин_договоры!$C$9:$AF$10424,5,FALSE))</f>
        <v xml:space="preserve"> </v>
      </c>
      <c r="H17" s="1711" t="str">
        <f>IF(ISERROR(VLOOKUP($C17,Фин_договоры!$C$9:$AF$10424,4,FALSE))," ",VLOOKUP($C17,Фин_договоры!$C$9:$AF$10424,4,FALSE))</f>
        <v xml:space="preserve"> </v>
      </c>
      <c r="I17" s="1711" t="str">
        <f>IF(ISNA(VLOOKUP($C17,Фин_договоры!$C$9:$AF$10424,3,FALSE)),"-",VLOOKUP($C17,Фин_договоры!$C$9:$AF$10424,3,FALSE))</f>
        <v>-</v>
      </c>
      <c r="J17" s="1454"/>
      <c r="K17" s="1711" t="str">
        <f>IF(ISERROR(VLOOKUP($C17,Фин_договоры!$C$9:$AF$10424,16,FALSE))," ",VLOOKUP($C17,Фин_договоры!$C$9:$AF$10424,16,FALSE))</f>
        <v xml:space="preserve"> </v>
      </c>
      <c r="L17" s="1439"/>
      <c r="M17" s="1439"/>
      <c r="N17" s="1022"/>
      <c r="O17" s="1022"/>
      <c r="P17" s="1022"/>
      <c r="Q17" s="1439"/>
      <c r="R17" s="1022"/>
      <c r="S17" s="1022"/>
      <c r="T17" s="1439"/>
      <c r="U17" s="1022"/>
      <c r="V17" s="1710">
        <f t="shared" si="2"/>
        <v>0</v>
      </c>
      <c r="W17" s="1022"/>
      <c r="X17" s="1022"/>
      <c r="Y17" s="1023">
        <f t="shared" si="6"/>
        <v>0</v>
      </c>
      <c r="Z17" s="1022"/>
      <c r="AA17" s="1022"/>
      <c r="AB17" s="1022"/>
      <c r="AC17" s="1022"/>
      <c r="AD17" s="1022"/>
      <c r="AE17" s="1710">
        <f t="shared" si="3"/>
        <v>0</v>
      </c>
      <c r="AF17" s="1022"/>
      <c r="AG17" s="1022"/>
      <c r="AH17" s="1022"/>
      <c r="AI17" s="1022"/>
      <c r="AJ17" s="1022"/>
      <c r="AK17" s="1022"/>
      <c r="AL17" s="1022"/>
      <c r="AM17" s="1710">
        <f t="shared" si="4"/>
        <v>0</v>
      </c>
      <c r="AN17" s="1024"/>
      <c r="AO17" s="1022"/>
      <c r="AP17" s="1022"/>
      <c r="AQ17" s="1022"/>
      <c r="AR17" s="1022"/>
      <c r="AS17" s="1022"/>
      <c r="AT17" s="1022"/>
      <c r="AU17" s="1024"/>
      <c r="AV17" s="1022"/>
      <c r="AW17" s="1022"/>
      <c r="AX17" s="1705" t="str">
        <f>IF(ISERROR(VLOOKUP($AW17,Фин_договоры!$C$9:$AF$10424,2,FALSE))," ",VLOOKUP($AW17,Фин_договоры!$C$9:$AF$10424,2,FALSE))</f>
        <v xml:space="preserve"> </v>
      </c>
      <c r="AY17" s="1705" t="str">
        <f>IF(ISERROR(VLOOKUP($AW17,Фин_договоры!$C$9:$AF$10424,6,FALSE))," ",VLOOKUP($AW17,Фин_договоры!$C$9:$AF$10424,6,FALSE))</f>
        <v xml:space="preserve"> </v>
      </c>
      <c r="AZ17" s="1705" t="str">
        <f>IF(ISERROR(VLOOKUP($AW17,Фин_договоры!$C$9:$AF$10424,7,FALSE))," ",VLOOKUP($AW17,Фин_договоры!$C$9:$AF$10424,7,FALSE))</f>
        <v xml:space="preserve"> </v>
      </c>
      <c r="BA17" s="1705" t="str">
        <f>IF(ISERROR(VLOOKUP($AW17,Фин_договоры!$C$9:$AF$10424,8,FALSE))," ",VLOOKUP($AW17,Фин_договоры!$C$9:$AF$10424,8,FALSE))</f>
        <v xml:space="preserve"> </v>
      </c>
      <c r="BB17" s="1705" t="str">
        <f>IF(ISERROR(VLOOKUP($AW17,Фин_договоры!$C$9:$AF$10424,4,FALSE))," ",VLOOKUP($AW17,Фин_договоры!$C$9:$AF$10424,4,FALSE))</f>
        <v xml:space="preserve"> </v>
      </c>
      <c r="BC17" s="1706" t="str">
        <f>IF(ISERROR(VLOOKUP($AW17,Фин_договоры!$C$9:$AF$10424,5,FALSE))," ",VLOOKUP($AW17,Фин_договоры!$C$9:$AF$10424,5,FALSE))</f>
        <v xml:space="preserve"> </v>
      </c>
      <c r="BD17" s="1025"/>
      <c r="BE17" s="2231" t="b">
        <f t="shared" si="9"/>
        <v>1</v>
      </c>
      <c r="BF17" s="32" t="b">
        <f t="shared" si="5"/>
        <v>1</v>
      </c>
      <c r="BG17" s="2231" t="b">
        <f t="shared" si="7"/>
        <v>1</v>
      </c>
      <c r="BH17" s="2137">
        <v>1</v>
      </c>
      <c r="BI17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8" spans="1:61" s="743" customFormat="1">
      <c r="A18" s="545" t="str">
        <f t="shared" si="8"/>
        <v>R50=;R16=;R4=;R17=;R13=;R42= ;R57= ;R55= ;R33= ;R36= ;R43= ;R48= ;R51= ;COM=</v>
      </c>
      <c r="B18" s="742"/>
      <c r="C18" s="1547"/>
      <c r="D18" s="1711" t="str">
        <f>IF(ISERROR(VLOOKUP($C18,Фин_договоры!$C$9:$AF$10424,6,FALSE))," ",VLOOKUP($C18,Фин_договоры!$C$9:$AF$10424,6,FALSE))</f>
        <v xml:space="preserve"> </v>
      </c>
      <c r="E18" s="1711" t="str">
        <f>IF(ISERROR(VLOOKUP($C18,Фин_договоры!$C$9:$AF$10424,7,FALSE))," ",VLOOKUP($C18,Фин_договоры!$C$9:$AF$10424,7,FALSE))</f>
        <v xml:space="preserve"> </v>
      </c>
      <c r="F18" s="1711" t="str">
        <f>IF(ISERROR(VLOOKUP($C18,Фин_договоры!$C$9:$AF$10424,8,FALSE))," ",VLOOKUP($C18,Фин_договоры!$C$9:$AF$10424,8,FALSE))</f>
        <v xml:space="preserve"> </v>
      </c>
      <c r="G18" s="1898" t="str">
        <f>IF(ISERROR(VLOOKUP($C18,Фин_договоры!$C$9:$AF$10424,5,FALSE))," ",VLOOKUP($C18,Фин_договоры!$C$9:$AF$10424,5,FALSE))</f>
        <v xml:space="preserve"> </v>
      </c>
      <c r="H18" s="1711" t="str">
        <f>IF(ISERROR(VLOOKUP($C18,Фин_договоры!$C$9:$AF$10424,4,FALSE))," ",VLOOKUP($C18,Фин_договоры!$C$9:$AF$10424,4,FALSE))</f>
        <v xml:space="preserve"> </v>
      </c>
      <c r="I18" s="1711" t="str">
        <f>IF(ISNA(VLOOKUP($C18,Фин_договоры!$C$9:$AF$10424,3,FALSE)),"-",VLOOKUP($C18,Фин_договоры!$C$9:$AF$10424,3,FALSE))</f>
        <v>-</v>
      </c>
      <c r="J18" s="1454"/>
      <c r="K18" s="1711" t="str">
        <f>IF(ISERROR(VLOOKUP($C18,Фин_договоры!$C$9:$AF$10424,16,FALSE))," ",VLOOKUP($C18,Фин_договоры!$C$9:$AF$10424,16,FALSE))</f>
        <v xml:space="preserve"> </v>
      </c>
      <c r="L18" s="1439"/>
      <c r="M18" s="1439"/>
      <c r="N18" s="1022"/>
      <c r="O18" s="1022"/>
      <c r="P18" s="1022"/>
      <c r="Q18" s="1439"/>
      <c r="R18" s="1022"/>
      <c r="S18" s="1022"/>
      <c r="T18" s="1439"/>
      <c r="U18" s="1022"/>
      <c r="V18" s="1710">
        <f t="shared" si="2"/>
        <v>0</v>
      </c>
      <c r="W18" s="1022"/>
      <c r="X18" s="1022"/>
      <c r="Y18" s="1023">
        <f t="shared" si="6"/>
        <v>0</v>
      </c>
      <c r="Z18" s="1022"/>
      <c r="AA18" s="1022"/>
      <c r="AB18" s="1022"/>
      <c r="AC18" s="1022"/>
      <c r="AD18" s="1022"/>
      <c r="AE18" s="1710">
        <f>SUM(Z18:AD18)</f>
        <v>0</v>
      </c>
      <c r="AF18" s="1022"/>
      <c r="AG18" s="1022"/>
      <c r="AH18" s="1022"/>
      <c r="AI18" s="1022"/>
      <c r="AJ18" s="1022"/>
      <c r="AK18" s="1022"/>
      <c r="AL18" s="1022"/>
      <c r="AM18" s="1710">
        <f>SUM(AF18:AL18)</f>
        <v>0</v>
      </c>
      <c r="AN18" s="1024"/>
      <c r="AO18" s="1022"/>
      <c r="AP18" s="1022"/>
      <c r="AQ18" s="1022"/>
      <c r="AR18" s="1022"/>
      <c r="AS18" s="1022"/>
      <c r="AT18" s="1022"/>
      <c r="AU18" s="1024"/>
      <c r="AV18" s="1022"/>
      <c r="AW18" s="1022"/>
      <c r="AX18" s="1705" t="str">
        <f>IF(ISERROR(VLOOKUP($AW18,Фин_договоры!$C$9:$AF$10424,2,FALSE))," ",VLOOKUP($AW18,Фин_договоры!$C$9:$AF$10424,2,FALSE))</f>
        <v xml:space="preserve"> </v>
      </c>
      <c r="AY18" s="1705" t="str">
        <f>IF(ISERROR(VLOOKUP($AW18,Фин_договоры!$C$9:$AF$10424,6,FALSE))," ",VLOOKUP($AW18,Фин_договоры!$C$9:$AF$10424,6,FALSE))</f>
        <v xml:space="preserve"> </v>
      </c>
      <c r="AZ18" s="1705" t="str">
        <f>IF(ISERROR(VLOOKUP($AW18,Фин_договоры!$C$9:$AF$10424,7,FALSE))," ",VLOOKUP($AW18,Фин_договоры!$C$9:$AF$10424,7,FALSE))</f>
        <v xml:space="preserve"> </v>
      </c>
      <c r="BA18" s="1705" t="str">
        <f>IF(ISERROR(VLOOKUP($AW18,Фин_договоры!$C$9:$AF$10424,8,FALSE))," ",VLOOKUP($AW18,Фин_договоры!$C$9:$AF$10424,8,FALSE))</f>
        <v xml:space="preserve"> </v>
      </c>
      <c r="BB18" s="1705" t="str">
        <f>IF(ISERROR(VLOOKUP($AW18,Фин_договоры!$C$9:$AF$10424,4,FALSE))," ",VLOOKUP($AW18,Фин_договоры!$C$9:$AF$10424,4,FALSE))</f>
        <v xml:space="preserve"> </v>
      </c>
      <c r="BC18" s="1706" t="str">
        <f>IF(ISERROR(VLOOKUP($AW18,Фин_договоры!$C$9:$AF$10424,5,FALSE))," ",VLOOKUP($AW18,Фин_договоры!$C$9:$AF$10424,5,FALSE))</f>
        <v xml:space="preserve"> </v>
      </c>
      <c r="BD18" s="1025"/>
      <c r="BE18" s="2231" t="b">
        <f t="shared" si="9"/>
        <v>1</v>
      </c>
      <c r="BF18" s="32" t="b">
        <f t="shared" si="5"/>
        <v>1</v>
      </c>
      <c r="BG18" s="2231" t="b">
        <f t="shared" si="7"/>
        <v>1</v>
      </c>
      <c r="BH18" s="2137">
        <v>1</v>
      </c>
      <c r="BI18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19" spans="1:61" s="743" customFormat="1">
      <c r="A19" s="545" t="str">
        <f t="shared" si="8"/>
        <v>R50=;R16=;R4=;R17=;R13=;R42= ;R57= ;R55= ;R33= ;R36= ;R43= ;R48= ;R51= ;COM=</v>
      </c>
      <c r="B19" s="742"/>
      <c r="C19" s="1547"/>
      <c r="D19" s="1711" t="str">
        <f>IF(ISERROR(VLOOKUP($C19,Фин_договоры!$C$9:$AF$10424,6,FALSE))," ",VLOOKUP($C19,Фин_договоры!$C$9:$AF$10424,6,FALSE))</f>
        <v xml:space="preserve"> </v>
      </c>
      <c r="E19" s="1711" t="str">
        <f>IF(ISERROR(VLOOKUP($C19,Фин_договоры!$C$9:$AF$10424,7,FALSE))," ",VLOOKUP($C19,Фин_договоры!$C$9:$AF$10424,7,FALSE))</f>
        <v xml:space="preserve"> </v>
      </c>
      <c r="F19" s="1711" t="str">
        <f>IF(ISERROR(VLOOKUP($C19,Фин_договоры!$C$9:$AF$10424,8,FALSE))," ",VLOOKUP($C19,Фин_договоры!$C$9:$AF$10424,8,FALSE))</f>
        <v xml:space="preserve"> </v>
      </c>
      <c r="G19" s="1898" t="str">
        <f>IF(ISERROR(VLOOKUP($C19,Фин_договоры!$C$9:$AF$10424,5,FALSE))," ",VLOOKUP($C19,Фин_договоры!$C$9:$AF$10424,5,FALSE))</f>
        <v xml:space="preserve"> </v>
      </c>
      <c r="H19" s="1711" t="str">
        <f>IF(ISERROR(VLOOKUP($C19,Фин_договоры!$C$9:$AF$10424,4,FALSE))," ",VLOOKUP($C19,Фин_договоры!$C$9:$AF$10424,4,FALSE))</f>
        <v xml:space="preserve"> </v>
      </c>
      <c r="I19" s="1711" t="str">
        <f>IF(ISNA(VLOOKUP($C19,Фин_договоры!$C$9:$AF$10424,3,FALSE)),"-",VLOOKUP($C19,Фин_договоры!$C$9:$AF$10424,3,FALSE))</f>
        <v>-</v>
      </c>
      <c r="J19" s="1454"/>
      <c r="K19" s="1711" t="str">
        <f>IF(ISERROR(VLOOKUP($C19,Фин_договоры!$C$9:$AF$10424,16,FALSE))," ",VLOOKUP($C19,Фин_договоры!$C$9:$AF$10424,16,FALSE))</f>
        <v xml:space="preserve"> </v>
      </c>
      <c r="L19" s="1439"/>
      <c r="M19" s="1439"/>
      <c r="N19" s="1022"/>
      <c r="O19" s="1022"/>
      <c r="P19" s="1022"/>
      <c r="Q19" s="1439"/>
      <c r="R19" s="1022"/>
      <c r="S19" s="1022"/>
      <c r="T19" s="1439"/>
      <c r="U19" s="1022"/>
      <c r="V19" s="1710">
        <f t="shared" si="2"/>
        <v>0</v>
      </c>
      <c r="W19" s="1022"/>
      <c r="X19" s="1022"/>
      <c r="Y19" s="1023">
        <f t="shared" si="6"/>
        <v>0</v>
      </c>
      <c r="Z19" s="1022"/>
      <c r="AA19" s="1022"/>
      <c r="AB19" s="1022"/>
      <c r="AC19" s="1022"/>
      <c r="AD19" s="1022"/>
      <c r="AE19" s="1710">
        <f>SUM(Z19:AD19)</f>
        <v>0</v>
      </c>
      <c r="AF19" s="1022"/>
      <c r="AG19" s="1022"/>
      <c r="AH19" s="1022"/>
      <c r="AI19" s="1022"/>
      <c r="AJ19" s="1022"/>
      <c r="AK19" s="1022"/>
      <c r="AL19" s="1022"/>
      <c r="AM19" s="1710">
        <f>SUM(AF19:AL19)</f>
        <v>0</v>
      </c>
      <c r="AN19" s="1024"/>
      <c r="AO19" s="1022"/>
      <c r="AP19" s="1022"/>
      <c r="AQ19" s="1022"/>
      <c r="AR19" s="1022"/>
      <c r="AS19" s="1022"/>
      <c r="AT19" s="1022"/>
      <c r="AU19" s="1024"/>
      <c r="AV19" s="1022"/>
      <c r="AW19" s="1022"/>
      <c r="AX19" s="1705" t="str">
        <f>IF(ISERROR(VLOOKUP($AW19,Фин_договоры!$C$9:$AF$10424,2,FALSE))," ",VLOOKUP($AW19,Фин_договоры!$C$9:$AF$10424,2,FALSE))</f>
        <v xml:space="preserve"> </v>
      </c>
      <c r="AY19" s="1705" t="str">
        <f>IF(ISERROR(VLOOKUP($AW19,Фин_договоры!$C$9:$AF$10424,6,FALSE))," ",VLOOKUP($AW19,Фин_договоры!$C$9:$AF$10424,6,FALSE))</f>
        <v xml:space="preserve"> </v>
      </c>
      <c r="AZ19" s="1705" t="str">
        <f>IF(ISERROR(VLOOKUP($AW19,Фин_договоры!$C$9:$AF$10424,7,FALSE))," ",VLOOKUP($AW19,Фин_договоры!$C$9:$AF$10424,7,FALSE))</f>
        <v xml:space="preserve"> </v>
      </c>
      <c r="BA19" s="1705" t="str">
        <f>IF(ISERROR(VLOOKUP($AW19,Фин_договоры!$C$9:$AF$10424,8,FALSE))," ",VLOOKUP($AW19,Фин_договоры!$C$9:$AF$10424,8,FALSE))</f>
        <v xml:space="preserve"> </v>
      </c>
      <c r="BB19" s="1705" t="str">
        <f>IF(ISERROR(VLOOKUP($AW19,Фин_договоры!$C$9:$AF$10424,4,FALSE))," ",VLOOKUP($AW19,Фин_договоры!$C$9:$AF$10424,4,FALSE))</f>
        <v xml:space="preserve"> </v>
      </c>
      <c r="BC19" s="1706" t="str">
        <f>IF(ISERROR(VLOOKUP($AW19,Фин_договоры!$C$9:$AF$10424,5,FALSE))," ",VLOOKUP($AW19,Фин_договоры!$C$9:$AF$10424,5,FALSE))</f>
        <v xml:space="preserve"> </v>
      </c>
      <c r="BD19" s="1025"/>
      <c r="BE19" s="2231" t="b">
        <f t="shared" si="9"/>
        <v>1</v>
      </c>
      <c r="BF19" s="32" t="b">
        <f t="shared" si="5"/>
        <v>1</v>
      </c>
      <c r="BG19" s="2231" t="b">
        <f t="shared" si="7"/>
        <v>1</v>
      </c>
      <c r="BH19" s="2137">
        <v>1</v>
      </c>
      <c r="BI19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20" spans="1:61" s="743" customFormat="1">
      <c r="A20" s="545" t="str">
        <f t="shared" si="8"/>
        <v>R50=;R16=;R4=;R17=;R13=;R42= ;R57= ;R55= ;R33= ;R36= ;R43= ;R48= ;R51= ;COM=</v>
      </c>
      <c r="B20" s="742"/>
      <c r="C20" s="1547"/>
      <c r="D20" s="1711" t="str">
        <f>IF(ISERROR(VLOOKUP($C20,Фин_договоры!$C$9:$AF$10424,6,FALSE))," ",VLOOKUP($C20,Фин_договоры!$C$9:$AF$10424,6,FALSE))</f>
        <v xml:space="preserve"> </v>
      </c>
      <c r="E20" s="1711" t="str">
        <f>IF(ISERROR(VLOOKUP($C20,Фин_договоры!$C$9:$AF$10424,7,FALSE))," ",VLOOKUP($C20,Фин_договоры!$C$9:$AF$10424,7,FALSE))</f>
        <v xml:space="preserve"> </v>
      </c>
      <c r="F20" s="1711" t="str">
        <f>IF(ISERROR(VLOOKUP($C20,Фин_договоры!$C$9:$AF$10424,8,FALSE))," ",VLOOKUP($C20,Фин_договоры!$C$9:$AF$10424,8,FALSE))</f>
        <v xml:space="preserve"> </v>
      </c>
      <c r="G20" s="1898" t="str">
        <f>IF(ISERROR(VLOOKUP($C20,Фин_договоры!$C$9:$AF$10424,5,FALSE))," ",VLOOKUP($C20,Фин_договоры!$C$9:$AF$10424,5,FALSE))</f>
        <v xml:space="preserve"> </v>
      </c>
      <c r="H20" s="1711" t="str">
        <f>IF(ISERROR(VLOOKUP($C20,Фин_договоры!$C$9:$AF$10424,4,FALSE))," ",VLOOKUP($C20,Фин_договоры!$C$9:$AF$10424,4,FALSE))</f>
        <v xml:space="preserve"> </v>
      </c>
      <c r="I20" s="1711" t="str">
        <f>IF(ISNA(VLOOKUP($C20,Фин_договоры!$C$9:$AF$10424,3,FALSE)),"-",VLOOKUP($C20,Фин_договоры!$C$9:$AF$10424,3,FALSE))</f>
        <v>-</v>
      </c>
      <c r="J20" s="1454"/>
      <c r="K20" s="1711" t="str">
        <f>IF(ISERROR(VLOOKUP($C20,Фин_договоры!$C$9:$AF$10424,16,FALSE))," ",VLOOKUP($C20,Фин_договоры!$C$9:$AF$10424,16,FALSE))</f>
        <v xml:space="preserve"> </v>
      </c>
      <c r="L20" s="1439"/>
      <c r="M20" s="1439"/>
      <c r="N20" s="1022"/>
      <c r="O20" s="1022"/>
      <c r="P20" s="1022"/>
      <c r="Q20" s="1439"/>
      <c r="R20" s="1022"/>
      <c r="S20" s="1022"/>
      <c r="T20" s="1439"/>
      <c r="U20" s="1022"/>
      <c r="V20" s="1710">
        <f t="shared" ref="V20" si="10">SUM(L20:U20)</f>
        <v>0</v>
      </c>
      <c r="W20" s="1022"/>
      <c r="X20" s="1022"/>
      <c r="Y20" s="1023">
        <f t="shared" ref="Y20" si="11">V20-SUM(W20:X20)</f>
        <v>0</v>
      </c>
      <c r="Z20" s="1022"/>
      <c r="AA20" s="1022"/>
      <c r="AB20" s="1022"/>
      <c r="AC20" s="1022"/>
      <c r="AD20" s="1022"/>
      <c r="AE20" s="1710">
        <f>SUM(Z20:AD20)</f>
        <v>0</v>
      </c>
      <c r="AF20" s="1022"/>
      <c r="AG20" s="1022"/>
      <c r="AH20" s="1022"/>
      <c r="AI20" s="1022"/>
      <c r="AJ20" s="1022"/>
      <c r="AK20" s="1022"/>
      <c r="AL20" s="1022"/>
      <c r="AM20" s="1710">
        <f>SUM(AF20:AL20)</f>
        <v>0</v>
      </c>
      <c r="AN20" s="1024"/>
      <c r="AO20" s="1022"/>
      <c r="AP20" s="1022"/>
      <c r="AQ20" s="1022"/>
      <c r="AR20" s="1022"/>
      <c r="AS20" s="1022"/>
      <c r="AT20" s="1022"/>
      <c r="AU20" s="1024"/>
      <c r="AV20" s="1022"/>
      <c r="AW20" s="1022"/>
      <c r="AX20" s="1705" t="str">
        <f>IF(ISERROR(VLOOKUP($AW20,Фин_договоры!$C$9:$AF$10424,2,FALSE))," ",VLOOKUP($AW20,Фин_договоры!$C$9:$AF$10424,2,FALSE))</f>
        <v xml:space="preserve"> </v>
      </c>
      <c r="AY20" s="1705" t="str">
        <f>IF(ISERROR(VLOOKUP($AW20,Фин_договоры!$C$9:$AF$10424,6,FALSE))," ",VLOOKUP($AW20,Фин_договоры!$C$9:$AF$10424,6,FALSE))</f>
        <v xml:space="preserve"> </v>
      </c>
      <c r="AZ20" s="1705" t="str">
        <f>IF(ISERROR(VLOOKUP($AW20,Фин_договоры!$C$9:$AF$10424,7,FALSE))," ",VLOOKUP($AW20,Фин_договоры!$C$9:$AF$10424,7,FALSE))</f>
        <v xml:space="preserve"> </v>
      </c>
      <c r="BA20" s="1705" t="str">
        <f>IF(ISERROR(VLOOKUP($AW20,Фин_договоры!$C$9:$AF$10424,8,FALSE))," ",VLOOKUP($AW20,Фин_договоры!$C$9:$AF$10424,8,FALSE))</f>
        <v xml:space="preserve"> </v>
      </c>
      <c r="BB20" s="1705" t="str">
        <f>IF(ISERROR(VLOOKUP($AW20,Фин_договоры!$C$9:$AF$10424,4,FALSE))," ",VLOOKUP($AW20,Фин_договоры!$C$9:$AF$10424,4,FALSE))</f>
        <v xml:space="preserve"> </v>
      </c>
      <c r="BC20" s="1706" t="str">
        <f>IF(ISERROR(VLOOKUP($AW20,Фин_договоры!$C$9:$AF$10424,5,FALSE))," ",VLOOKUP($AW20,Фин_договоры!$C$9:$AF$10424,5,FALSE))</f>
        <v xml:space="preserve"> </v>
      </c>
      <c r="BD20" s="1025"/>
      <c r="BE20" s="2231" t="b">
        <f t="shared" si="9"/>
        <v>1</v>
      </c>
      <c r="BF20" s="32" t="b">
        <f t="shared" si="5"/>
        <v>1</v>
      </c>
      <c r="BG20" s="2231" t="b">
        <f t="shared" si="7"/>
        <v>1</v>
      </c>
      <c r="BH20" s="2137">
        <v>1</v>
      </c>
      <c r="BI20" s="2137" t="b">
        <f>IF(OR(Содержание!$D$2='67'!$BH$12,Содержание!$D$2='67'!$BH$13,Содержание!$D$2='67'!$BH$14,Содержание!$D$2='67'!$BH$14,Содержание!$D$2='67'!$BH$15,Содержание!$D$2='67'!$BH$16,Содержание!$D$2='67'!$BH$17,Содержание!$D$2='67'!$BH$18,Содержание!$D$2='67'!$BH$19,Содержание!$D$2='67'!$BH$20),TRUE,FALSE)</f>
        <v>0</v>
      </c>
    </row>
    <row r="21" spans="1:61" s="742" customFormat="1" ht="15" thickBot="1">
      <c r="A21" s="545" t="str">
        <f t="shared" si="8"/>
        <v>R50=;R16=;R4=;R17=;R13=;R42= ;R57= ;R55= ;R33= ;R36= ;R43= ;R48= ;R51= ;COM=</v>
      </c>
      <c r="C21" s="1548"/>
      <c r="D21" s="1712" t="str">
        <f>IF(ISERROR(VLOOKUP($C21,Фин_договоры!$C$9:$AF$10424,6,FALSE))," ",VLOOKUP($C21,Фин_договоры!$C$9:$AF$10424,6,FALSE))</f>
        <v xml:space="preserve"> </v>
      </c>
      <c r="E21" s="1712" t="str">
        <f>IF(ISERROR(VLOOKUP($C21,Фин_договоры!$C$9:$AF$10424,7,FALSE))," ",VLOOKUP($C21,Фин_договоры!$C$9:$AF$10424,7,FALSE))</f>
        <v xml:space="preserve"> </v>
      </c>
      <c r="F21" s="2377" t="str">
        <f>IF(ISERROR(VLOOKUP($C21,Фин_договоры!$C$9:$AF$10424,8,FALSE))," ",VLOOKUP($C21,Фин_договоры!$C$9:$AF$10424,8,FALSE))</f>
        <v xml:space="preserve"> </v>
      </c>
      <c r="G21" s="1712" t="str">
        <f>IF(ISERROR(VLOOKUP($C21,Фин_договоры!$C$9:$AF$10424,5,FALSE))," ",VLOOKUP($C21,Фин_договоры!$C$9:$AF$10424,5,FALSE))</f>
        <v xml:space="preserve"> </v>
      </c>
      <c r="H21" s="1712" t="str">
        <f>IF(ISERROR(VLOOKUP($C21,Фин_договоры!$C$9:$AF$10424,4,FALSE))," ",VLOOKUP($C21,Фин_договоры!$C$9:$AF$10424,4,FALSE))</f>
        <v xml:space="preserve"> </v>
      </c>
      <c r="I21" s="1899" t="str">
        <f>IF(ISNA(VLOOKUP($C21,Фин_договоры!$C$9:$AF$10424,3,FALSE)),"-",VLOOKUP($C21,Фин_договоры!$C$9:$AF$10424,3,FALSE))</f>
        <v>-</v>
      </c>
      <c r="J21" s="1026"/>
      <c r="K21" s="2377" t="str">
        <f>IF(ISERROR(VLOOKUP($C21,Фин_договоры!$C$9:$AF$10424,16,FALSE))," ",VLOOKUP($C21,Фин_договоры!$C$9:$AF$10424,16,FALSE))</f>
        <v xml:space="preserve"> </v>
      </c>
      <c r="L21" s="1026"/>
      <c r="M21" s="1026"/>
      <c r="N21" s="1026"/>
      <c r="O21" s="1026"/>
      <c r="P21" s="2417"/>
      <c r="Q21" s="1026"/>
      <c r="R21" s="1026"/>
      <c r="S21" s="1026"/>
      <c r="T21" s="1026"/>
      <c r="U21" s="1026"/>
      <c r="V21" s="1713">
        <f t="shared" ref="V21" si="12">SUM(L21:U21)</f>
        <v>0</v>
      </c>
      <c r="W21" s="1026"/>
      <c r="X21" s="1026"/>
      <c r="Y21" s="1906">
        <f t="shared" ref="Y21" si="13">V21-SUM(W21:X21)</f>
        <v>0</v>
      </c>
      <c r="Z21" s="1026"/>
      <c r="AA21" s="1026"/>
      <c r="AB21" s="1026"/>
      <c r="AC21" s="1026"/>
      <c r="AD21" s="1026"/>
      <c r="AE21" s="1713">
        <f>SUM(Z21:AD21)</f>
        <v>0</v>
      </c>
      <c r="AF21" s="1026"/>
      <c r="AG21" s="1026"/>
      <c r="AH21" s="1026"/>
      <c r="AI21" s="1026"/>
      <c r="AJ21" s="1026"/>
      <c r="AK21" s="1026"/>
      <c r="AL21" s="1026"/>
      <c r="AM21" s="1713">
        <f>SUM(AF21:AL21)</f>
        <v>0</v>
      </c>
      <c r="AN21" s="1016"/>
      <c r="AO21" s="1026"/>
      <c r="AP21" s="1026"/>
      <c r="AQ21" s="1026"/>
      <c r="AR21" s="1026"/>
      <c r="AS21" s="1026"/>
      <c r="AT21" s="1026"/>
      <c r="AU21" s="1016"/>
      <c r="AV21" s="1026"/>
      <c r="AW21" s="2417"/>
      <c r="AX21" s="2376" t="str">
        <f>IF(ISERROR(VLOOKUP($AW21,Фин_договоры!$C$9:$AF$10424,2,FALSE))," ",VLOOKUP($AW21,Фин_договоры!$C$9:$AF$10424,2,FALSE))</f>
        <v xml:space="preserve"> </v>
      </c>
      <c r="AY21" s="2376" t="str">
        <f>IF(ISERROR(VLOOKUP($AW21,Фин_договоры!$C$9:$AF$10424,6,FALSE))," ",VLOOKUP($AW21,Фин_договоры!$C$9:$AF$10424,6,FALSE))</f>
        <v xml:space="preserve"> </v>
      </c>
      <c r="AZ21" s="2376" t="str">
        <f>IF(ISERROR(VLOOKUP($AW21,Фин_договоры!$C$9:$AF$10424,7,FALSE))," ",VLOOKUP($AW21,Фин_договоры!$C$9:$AF$10424,7,FALSE))</f>
        <v xml:space="preserve"> </v>
      </c>
      <c r="BA21" s="2376" t="str">
        <f>IF(ISERROR(VLOOKUP($AW21,Фин_договоры!$C$9:$AF$10424,8,FALSE))," ",VLOOKUP($AW21,Фин_договоры!$C$9:$AF$10424,8,FALSE))</f>
        <v xml:space="preserve"> </v>
      </c>
      <c r="BB21" s="2376" t="str">
        <f>IF(ISERROR(VLOOKUP($AW21,Фин_договоры!$C$9:$AF$10424,4,FALSE))," ",VLOOKUP($AW21,Фин_договоры!$C$9:$AF$10424,4,FALSE))</f>
        <v xml:space="preserve"> </v>
      </c>
      <c r="BC21" s="2453" t="str">
        <f>IF(ISERROR(VLOOKUP($AW21,Фин_договоры!$C$9:$AF$10424,5,FALSE))," ",VLOOKUP($AW21,Фин_договоры!$C$9:$AF$10424,5,FALSE))</f>
        <v xml:space="preserve"> </v>
      </c>
      <c r="BD21" s="1027"/>
      <c r="BE21" s="2231" t="b">
        <f t="shared" si="9"/>
        <v>1</v>
      </c>
      <c r="BF21" s="742" t="b">
        <f t="shared" ref="BF21" si="14">IF(AND(L21&lt;500,V21&lt;500,Z21&lt;500,AE21&lt;500,AF21&lt;500,AM21&lt;500),TRUE,FALSE)</f>
        <v>1</v>
      </c>
      <c r="BG21" s="2231" t="b">
        <f t="shared" si="7"/>
        <v>1</v>
      </c>
    </row>
  </sheetData>
  <sheetProtection algorithmName="SHA-512" hashValue="qFulmqdtYZNoRo8XgXigdhWFzblK0cqx9Hg26XtNFzhRjcsmiT3t7iFdvqiJDVaMmzXBntABWBezD0rl+G6SbQ==" saltValue="OBlYsq1cGewzxeIHl9Dfpg==" spinCount="100000" sheet="1" objects="1" scenarios="1" formatColumns="0" formatRows="0" autoFilter="0"/>
  <autoFilter ref="C10:BD10"/>
  <customSheetViews>
    <customSheetView guid="{3769259D-9653-4B34-A2F6-4FB6F9F4E533}" scale="80" showGridLines="0" showAutoFilter="1" hiddenRows="1" hiddenColumns="1">
      <pane xSplit="6" ySplit="10" topLeftCell="R11" activePane="bottomRight" state="frozen"/>
      <selection pane="bottomRight" activeCell="C16" sqref="C16"/>
      <pageMargins left="0.7" right="0.7" top="0.75" bottom="0.75" header="0.3" footer="0.3"/>
      <pageSetup paperSize="9" orientation="portrait" r:id="rId1"/>
      <autoFilter ref="B1:BB1"/>
    </customSheetView>
    <customSheetView guid="{40D7A2BB-326C-4ED3-999C-17852F56D6F4}" scale="80" showGridLines="0" showAutoFilter="1" hiddenRows="1" hiddenColumns="1">
      <pane xSplit="6" ySplit="10" topLeftCell="R11" activePane="bottomRight" state="frozen"/>
      <selection pane="bottomRight" activeCell="C16" sqref="C16"/>
      <pageMargins left="0.7" right="0.7" top="0.75" bottom="0.75" header="0.3" footer="0.3"/>
      <pageSetup paperSize="9" orientation="portrait" r:id="rId2"/>
      <autoFilter ref="B1:BB1"/>
    </customSheetView>
    <customSheetView guid="{5D121940-0CE8-4A0E-A493-67FAAA6E0FF8}" scale="80" showGridLines="0" showAutoFilter="1" hiddenRows="1" hiddenColumns="1" topLeftCell="B2">
      <pane xSplit="5" ySplit="9" topLeftCell="BE11" activePane="bottomRight" state="frozen"/>
      <selection pane="bottomRight" activeCell="BL26" sqref="BL26"/>
      <pageMargins left="0.7" right="0.7" top="0.75" bottom="0.75" header="0.3" footer="0.3"/>
      <pageSetup paperSize="9" orientation="portrait" r:id="rId3"/>
      <autoFilter ref="B1:BB1"/>
    </customSheetView>
    <customSheetView guid="{47AEACC4-6EA5-412C-AF39-A6C5357B313A}" scale="80" showGridLines="0" showAutoFilter="1" hiddenRows="1" hiddenColumns="1" topLeftCell="B2">
      <pane xSplit="5" ySplit="9" topLeftCell="G11" activePane="bottomRight" state="frozen"/>
      <selection pane="bottomRight" activeCell="F27" sqref="F27"/>
      <pageMargins left="0.7" right="0.7" top="0.75" bottom="0.75" header="0.3" footer="0.3"/>
      <pageSetup paperSize="9" orientation="portrait" r:id="rId4"/>
      <autoFilter ref="B1:BB1"/>
    </customSheetView>
    <customSheetView guid="{4D957B38-5430-481E-B791-E0A66F913B50}" scale="70">
      <selection activeCell="C12" sqref="C12"/>
      <pageMargins left="0.7" right="0.7" top="0.75" bottom="0.75" header="0.3" footer="0.3"/>
      <pageSetup paperSize="9" orientation="portrait" r:id="rId5"/>
    </customSheetView>
    <customSheetView guid="{1C36793E-2B7E-411E-AA99-985D5D59B75A}" scale="70">
      <pageMargins left="0.7" right="0.7" top="0.75" bottom="0.75" header="0.3" footer="0.3"/>
      <pageSetup paperSize="9" orientation="portrait" r:id="rId6"/>
    </customSheetView>
    <customSheetView guid="{C913A9E8-661B-40A4-A3C9-1BC5F2B2E9F0}" scale="80" showGridLines="0" showAutoFilter="1" hiddenRows="1" hiddenColumns="1" topLeftCell="B2">
      <pane xSplit="5" ySplit="9" topLeftCell="AJ11" activePane="bottomRight" state="frozen"/>
      <selection pane="bottomRight" activeCell="AO9" sqref="AO9"/>
      <pageMargins left="0.7" right="0.7" top="0.75" bottom="0.75" header="0.3" footer="0.3"/>
      <pageSetup paperSize="9" orientation="portrait" r:id="rId7"/>
      <autoFilter ref="B1:BB1"/>
    </customSheetView>
  </customSheetViews>
  <mergeCells count="48">
    <mergeCell ref="L6:L8"/>
    <mergeCell ref="L5:U5"/>
    <mergeCell ref="N7:N8"/>
    <mergeCell ref="M7:M8"/>
    <mergeCell ref="K5:K8"/>
    <mergeCell ref="T7:T8"/>
    <mergeCell ref="O7:O8"/>
    <mergeCell ref="P7:P8"/>
    <mergeCell ref="U7:U8"/>
    <mergeCell ref="R7:R8"/>
    <mergeCell ref="S7:S8"/>
    <mergeCell ref="Q7:Q8"/>
    <mergeCell ref="D5:D8"/>
    <mergeCell ref="E5:E8"/>
    <mergeCell ref="H5:H8"/>
    <mergeCell ref="G5:G8"/>
    <mergeCell ref="I5:I8"/>
    <mergeCell ref="F5:F8"/>
    <mergeCell ref="AB7:AB8"/>
    <mergeCell ref="AO5:AP7"/>
    <mergeCell ref="Z6:Z8"/>
    <mergeCell ref="AA6:AD6"/>
    <mergeCell ref="AH7:AH8"/>
    <mergeCell ref="C5:C8"/>
    <mergeCell ref="AM6:AM8"/>
    <mergeCell ref="AL7:AL8"/>
    <mergeCell ref="W6:Y7"/>
    <mergeCell ref="AK7:AK8"/>
    <mergeCell ref="AF6:AF8"/>
    <mergeCell ref="V6:V8"/>
    <mergeCell ref="M6:U6"/>
    <mergeCell ref="J5:J8"/>
    <mergeCell ref="AG7:AG8"/>
    <mergeCell ref="AD7:AD8"/>
    <mergeCell ref="AI7:AI8"/>
    <mergeCell ref="AE6:AE8"/>
    <mergeCell ref="Z5:AE5"/>
    <mergeCell ref="AC7:AC8"/>
    <mergeCell ref="AA7:AA8"/>
    <mergeCell ref="BD5:BD8"/>
    <mergeCell ref="AU5:AU8"/>
    <mergeCell ref="AV5:BC7"/>
    <mergeCell ref="AS5:AT7"/>
    <mergeCell ref="AJ7:AJ8"/>
    <mergeCell ref="AN5:AN8"/>
    <mergeCell ref="AG6:AL6"/>
    <mergeCell ref="AQ5:AR7"/>
    <mergeCell ref="AF5:AM5"/>
  </mergeCells>
  <phoneticPr fontId="0" type="noConversion"/>
  <dataValidations count="7">
    <dataValidation operator="equal" allowBlank="1" showInputMessage="1" prompt="Дата в формате ДД.ММ.ГГГГ (01.01.2010)" sqref="BC13:BC21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AU13:AU21">
      <formula1>_2612</formula1>
    </dataValidation>
    <dataValidation type="list" operator="equal" allowBlank="1" showErrorMessage="1" errorTitle="Выбор элемента списка" error="Данного элемента нет в списке" sqref="AN13:AN21">
      <formula1>_2613</formula1>
    </dataValidation>
    <dataValidation operator="equal" allowBlank="1" showErrorMessage="1" errorTitle="Выбор элемента списка" error="Данного элемента нет в списке" sqref="I13:I21 K13:K21"/>
    <dataValidation type="list" operator="equal" allowBlank="1" showErrorMessage="1" errorTitle="Выбор элемента списка" error="Данного элемента нет в списке" sqref="J13:J21">
      <formula1>_1009</formula1>
    </dataValidation>
    <dataValidation type="list" allowBlank="1" showInputMessage="1" showErrorMessage="1" sqref="C13:C21 AW13:AW21">
      <formula1>dogovor_fin</formula1>
    </dataValidation>
    <dataValidation type="custom" allowBlank="1" showInputMessage="1" showErrorMessage="1" error="Заполнение данных только по согласованию с отделом ОКО" sqref="P12:P21">
      <formula1>$BI$12</formula1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7" fitToWidth="3" fitToHeight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11" name="Button 1">
              <controlPr defaultSize="0" print="0" autoFill="0" autoPict="0" macro="[0]!AddButtonsRowAdd">
                <anchor moveWithCells="1">
                  <from>
                    <xdr:col>3</xdr:col>
                    <xdr:colOff>1441450</xdr:colOff>
                    <xdr:row>1</xdr:row>
                    <xdr:rowOff>38100</xdr:rowOff>
                  </from>
                  <to>
                    <xdr:col>4</xdr:col>
                    <xdr:colOff>488950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">
    <pageSetUpPr fitToPage="1"/>
  </sheetPr>
  <dimension ref="A1:BD138"/>
  <sheetViews>
    <sheetView topLeftCell="AO2" zoomScale="72" zoomScaleNormal="72" workbookViewId="0">
      <selection activeCell="AR10" sqref="AR10"/>
    </sheetView>
  </sheetViews>
  <sheetFormatPr defaultColWidth="9.453125" defaultRowHeight="14.5"/>
  <cols>
    <col min="1" max="1" width="50.453125" style="1569" hidden="1" customWidth="1"/>
    <col min="2" max="2" width="5" style="1569" customWidth="1"/>
    <col min="3" max="3" width="35.54296875" style="743" customWidth="1"/>
    <col min="4" max="4" width="27.54296875" style="743" customWidth="1"/>
    <col min="5" max="7" width="13.54296875" style="743" customWidth="1"/>
    <col min="8" max="8" width="24.453125" style="743" customWidth="1"/>
    <col min="9" max="9" width="23.453125" style="743" customWidth="1"/>
    <col min="10" max="31" width="13.54296875" style="743" customWidth="1"/>
    <col min="32" max="33" width="16.453125" style="743" customWidth="1"/>
    <col min="34" max="34" width="17.453125" style="743" customWidth="1"/>
    <col min="35" max="35" width="16.453125" customWidth="1"/>
    <col min="36" max="36" width="16.453125" style="2601" customWidth="1"/>
    <col min="37" max="38" width="16.453125" style="743" customWidth="1"/>
    <col min="39" max="40" width="15.54296875" style="2607" customWidth="1"/>
    <col min="41" max="43" width="62.453125" style="2607" customWidth="1"/>
    <col min="44" max="44" width="17.54296875" style="743" customWidth="1"/>
    <col min="45" max="45" width="18" style="743" customWidth="1"/>
    <col min="46" max="47" width="9.453125" style="743" customWidth="1"/>
    <col min="48" max="48" width="27.54296875" style="743" customWidth="1"/>
    <col min="49" max="56" width="19.453125" style="743" customWidth="1"/>
    <col min="57" max="57" width="9.453125" style="743" customWidth="1"/>
    <col min="58" max="16384" width="9.453125" style="743"/>
  </cols>
  <sheetData>
    <row r="1" spans="1:56" s="2518" customFormat="1" ht="12" hidden="1" customHeight="1">
      <c r="A1" s="2550" t="s">
        <v>1122</v>
      </c>
      <c r="B1" s="2438"/>
      <c r="C1" s="267"/>
      <c r="D1" s="267"/>
      <c r="E1" s="267"/>
      <c r="J1" s="2652"/>
      <c r="K1" s="2438" t="s">
        <v>7746</v>
      </c>
      <c r="L1" s="2438" t="s">
        <v>7747</v>
      </c>
      <c r="M1" s="2652"/>
      <c r="N1" s="2438" t="s">
        <v>7752</v>
      </c>
      <c r="O1" s="2438" t="s">
        <v>7753</v>
      </c>
      <c r="P1" s="2438" t="s">
        <v>1123</v>
      </c>
      <c r="Q1" s="2438" t="s">
        <v>362</v>
      </c>
      <c r="R1" s="2438" t="s">
        <v>1124</v>
      </c>
      <c r="S1" s="2438" t="s">
        <v>7754</v>
      </c>
      <c r="T1" s="2438" t="s">
        <v>1125</v>
      </c>
      <c r="U1" s="2438" t="s">
        <v>1126</v>
      </c>
      <c r="V1" s="2438" t="s">
        <v>1127</v>
      </c>
      <c r="W1" s="2438" t="s">
        <v>1128</v>
      </c>
      <c r="X1" s="2438" t="s">
        <v>7755</v>
      </c>
      <c r="Y1" s="2438"/>
      <c r="Z1" s="2438" t="s">
        <v>7748</v>
      </c>
      <c r="AA1" s="2438" t="s">
        <v>7756</v>
      </c>
      <c r="AB1" s="2706"/>
      <c r="AC1" s="2438" t="s">
        <v>7757</v>
      </c>
      <c r="AD1" s="2438" t="s">
        <v>7758</v>
      </c>
      <c r="AE1" s="2438"/>
      <c r="AJ1" s="2600"/>
      <c r="AM1" s="2606"/>
      <c r="AN1" s="2606"/>
      <c r="AO1" s="2606"/>
      <c r="AP1" s="2606"/>
      <c r="AQ1" s="2606"/>
      <c r="AW1" s="2835"/>
      <c r="BA1" s="2835"/>
      <c r="BB1" s="2835"/>
    </row>
    <row r="2" spans="1:56" s="2144" customFormat="1">
      <c r="A2" s="2142"/>
      <c r="B2" s="2143"/>
      <c r="E2" s="2144" t="s">
        <v>1648</v>
      </c>
      <c r="F2" s="2144" t="s">
        <v>1648</v>
      </c>
      <c r="G2" s="2144" t="s">
        <v>1648</v>
      </c>
      <c r="H2" s="2144" t="s">
        <v>1648</v>
      </c>
      <c r="I2" s="2144" t="s">
        <v>1648</v>
      </c>
      <c r="P2" s="2144" t="s">
        <v>1648</v>
      </c>
      <c r="Q2" s="2144" t="s">
        <v>1648</v>
      </c>
      <c r="R2" s="2144" t="s">
        <v>1648</v>
      </c>
      <c r="S2" s="2144" t="s">
        <v>1648</v>
      </c>
      <c r="AH2" s="2598" t="s">
        <v>7152</v>
      </c>
      <c r="AJ2" s="2598"/>
      <c r="AM2" s="2607"/>
      <c r="AN2" s="2607"/>
      <c r="AO2" s="2607"/>
      <c r="AP2" s="2607"/>
      <c r="AQ2" s="2607"/>
    </row>
    <row r="3" spans="1:56">
      <c r="A3" s="2142"/>
      <c r="B3" s="651"/>
      <c r="C3" s="1569"/>
      <c r="AH3" s="394" t="s">
        <v>7154</v>
      </c>
      <c r="AJ3" s="2598"/>
    </row>
    <row r="4" spans="1:56" s="651" customFormat="1" ht="26">
      <c r="A4" s="546"/>
      <c r="B4" s="1569"/>
      <c r="C4" s="2145" t="s">
        <v>4930</v>
      </c>
      <c r="F4" s="528"/>
      <c r="G4" s="1897" t="s">
        <v>2067</v>
      </c>
      <c r="H4" s="2146">
        <f>Содержание!$D$2</f>
        <v>0</v>
      </c>
      <c r="P4" s="2566"/>
      <c r="Q4" s="234"/>
      <c r="R4" s="234"/>
      <c r="S4" s="23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J4" s="2602"/>
      <c r="AM4" s="2608"/>
      <c r="AN4" s="2608"/>
      <c r="AO4" s="2608"/>
      <c r="AP4" s="2608"/>
      <c r="AQ4" s="2608"/>
    </row>
    <row r="5" spans="1:56" s="651" customFormat="1" ht="26.5" thickBot="1">
      <c r="A5" s="546"/>
      <c r="B5" s="1569"/>
      <c r="C5" s="528"/>
      <c r="D5" s="2147"/>
      <c r="E5" s="2148"/>
      <c r="F5" s="3044" t="s">
        <v>1436</v>
      </c>
      <c r="G5" s="1897" t="s">
        <v>2075</v>
      </c>
      <c r="H5" s="2146" t="str">
        <f>Содержание!$D$15</f>
        <v>2022 год</v>
      </c>
      <c r="I5" s="2147"/>
      <c r="J5" s="2567"/>
      <c r="K5" s="2567"/>
      <c r="L5" s="2567"/>
      <c r="M5" s="2567"/>
      <c r="N5" s="2567"/>
      <c r="O5" s="2567"/>
      <c r="P5" s="2567"/>
      <c r="Q5" s="2567"/>
      <c r="R5" s="2567"/>
      <c r="S5" s="2567"/>
      <c r="T5" s="2567"/>
      <c r="U5" s="2567"/>
      <c r="V5" s="2567"/>
      <c r="W5" s="2567"/>
      <c r="X5" s="2567"/>
      <c r="Y5" s="2567"/>
      <c r="Z5" s="2567"/>
      <c r="AA5" s="2567"/>
      <c r="AB5" s="2567"/>
      <c r="AC5" s="2567"/>
      <c r="AD5" s="2567"/>
      <c r="AJ5" s="2602"/>
      <c r="AM5" s="2608" t="s">
        <v>7620</v>
      </c>
      <c r="AN5" s="2608"/>
      <c r="AO5" s="2608"/>
      <c r="AP5" s="2608"/>
      <c r="AQ5" s="2608"/>
    </row>
    <row r="6" spans="1:56" s="2518" customFormat="1" ht="153">
      <c r="A6" s="2427"/>
      <c r="C6" s="2533" t="s">
        <v>1817</v>
      </c>
      <c r="D6" s="2440" t="s">
        <v>6729</v>
      </c>
      <c r="E6" s="2666" t="s">
        <v>4928</v>
      </c>
      <c r="F6" s="2666" t="s">
        <v>7420</v>
      </c>
      <c r="G6" s="2671" t="s">
        <v>7612</v>
      </c>
      <c r="H6" s="2669" t="s">
        <v>3198</v>
      </c>
      <c r="I6" s="2671" t="s">
        <v>8394</v>
      </c>
      <c r="J6" s="3070" t="s">
        <v>1753</v>
      </c>
      <c r="K6" s="3070" t="s">
        <v>869</v>
      </c>
      <c r="L6" s="3070" t="s">
        <v>443</v>
      </c>
      <c r="M6" s="3070" t="s">
        <v>1754</v>
      </c>
      <c r="N6" s="3070" t="s">
        <v>870</v>
      </c>
      <c r="O6" s="3070" t="s">
        <v>444</v>
      </c>
      <c r="P6" s="2521" t="s">
        <v>4927</v>
      </c>
      <c r="Q6" s="2521" t="s">
        <v>4926</v>
      </c>
      <c r="R6" s="2521" t="s">
        <v>5393</v>
      </c>
      <c r="S6" s="2519" t="s">
        <v>4925</v>
      </c>
      <c r="T6" s="2519" t="s">
        <v>1664</v>
      </c>
      <c r="U6" s="2521" t="s">
        <v>4924</v>
      </c>
      <c r="V6" s="2521" t="s">
        <v>4923</v>
      </c>
      <c r="W6" s="2521" t="s">
        <v>4922</v>
      </c>
      <c r="X6" s="2521" t="s">
        <v>8479</v>
      </c>
      <c r="Y6" s="3070" t="s">
        <v>1755</v>
      </c>
      <c r="Z6" s="3070" t="s">
        <v>869</v>
      </c>
      <c r="AA6" s="3070" t="s">
        <v>443</v>
      </c>
      <c r="AB6" s="3070" t="s">
        <v>1756</v>
      </c>
      <c r="AC6" s="3070" t="s">
        <v>870</v>
      </c>
      <c r="AD6" s="3070" t="s">
        <v>444</v>
      </c>
      <c r="AE6" s="2523" t="s">
        <v>4183</v>
      </c>
      <c r="AF6" s="3071" t="s">
        <v>8538</v>
      </c>
      <c r="AG6" s="3071" t="s">
        <v>7696</v>
      </c>
      <c r="AH6" s="2009" t="s">
        <v>7613</v>
      </c>
      <c r="AI6" s="2713" t="s">
        <v>7873</v>
      </c>
      <c r="AJ6" s="2713" t="s">
        <v>7621</v>
      </c>
      <c r="AK6" s="2713" t="s">
        <v>7867</v>
      </c>
      <c r="AL6" s="2713" t="s">
        <v>8145</v>
      </c>
      <c r="AM6" s="2609" t="s">
        <v>1817</v>
      </c>
      <c r="AN6" s="2609" t="s">
        <v>6729</v>
      </c>
      <c r="AO6" s="2609" t="s">
        <v>4928</v>
      </c>
      <c r="AP6" s="2609"/>
      <c r="AQ6" s="2609"/>
      <c r="AR6" s="2708"/>
      <c r="AS6" s="2708"/>
      <c r="AW6" s="3945" t="s">
        <v>8415</v>
      </c>
      <c r="AX6" s="3945"/>
      <c r="AY6" s="3945"/>
      <c r="AZ6" s="3945"/>
      <c r="BA6" s="3945" t="s">
        <v>8416</v>
      </c>
      <c r="BB6" s="3945"/>
      <c r="BC6" s="3945"/>
      <c r="BD6" s="3945"/>
    </row>
    <row r="7" spans="1:56" s="2518" customFormat="1" ht="30.75" customHeight="1">
      <c r="A7" s="7"/>
      <c r="C7" s="2531" t="s">
        <v>3993</v>
      </c>
      <c r="D7" s="2532" t="s">
        <v>6728</v>
      </c>
      <c r="E7" s="2665">
        <v>2730</v>
      </c>
      <c r="F7" s="2665" t="s">
        <v>7421</v>
      </c>
      <c r="G7" s="2672" t="s">
        <v>5247</v>
      </c>
      <c r="H7" s="2670" t="s">
        <v>5247</v>
      </c>
      <c r="I7" s="2672" t="s">
        <v>5247</v>
      </c>
      <c r="J7" s="3066" t="s">
        <v>672</v>
      </c>
      <c r="K7" s="3066" t="s">
        <v>4142</v>
      </c>
      <c r="L7" s="3066" t="s">
        <v>4142</v>
      </c>
      <c r="M7" s="3066" t="s">
        <v>674</v>
      </c>
      <c r="N7" s="3066" t="s">
        <v>4142</v>
      </c>
      <c r="O7" s="3066" t="s">
        <v>4142</v>
      </c>
      <c r="P7" s="2520" t="s">
        <v>4921</v>
      </c>
      <c r="Q7" s="2520" t="s">
        <v>4892</v>
      </c>
      <c r="R7" s="2520" t="s">
        <v>4920</v>
      </c>
      <c r="S7" s="2520" t="s">
        <v>4919</v>
      </c>
      <c r="T7" s="2520" t="s">
        <v>4917</v>
      </c>
      <c r="U7" s="2520" t="s">
        <v>1682</v>
      </c>
      <c r="V7" s="2520" t="s">
        <v>4915</v>
      </c>
      <c r="W7" s="2520" t="s">
        <v>3664</v>
      </c>
      <c r="X7" s="2520" t="s">
        <v>3663</v>
      </c>
      <c r="Y7" s="3066" t="s">
        <v>673</v>
      </c>
      <c r="Z7" s="3066" t="s">
        <v>4142</v>
      </c>
      <c r="AA7" s="3066" t="s">
        <v>4142</v>
      </c>
      <c r="AB7" s="3066" t="s">
        <v>694</v>
      </c>
      <c r="AC7" s="3066" t="s">
        <v>4142</v>
      </c>
      <c r="AD7" s="3066" t="s">
        <v>4142</v>
      </c>
      <c r="AE7" s="2522" t="s">
        <v>865</v>
      </c>
      <c r="AJ7" s="2600"/>
      <c r="AK7" s="2708"/>
      <c r="AM7" s="2610" t="s">
        <v>4914</v>
      </c>
      <c r="AN7" s="2714" t="s">
        <v>4184</v>
      </c>
      <c r="AO7" s="2610" t="s">
        <v>6762</v>
      </c>
      <c r="AP7" s="2607"/>
      <c r="AQ7" s="2610" t="str">
        <f>CONCATENATE(AM7,AN7,AO7)</f>
        <v>{01} НДФЛХ{2} Бюджет субъектов РФ</v>
      </c>
      <c r="AR7" s="2708"/>
      <c r="AS7" s="2610" t="s">
        <v>4913</v>
      </c>
      <c r="AT7" s="2610">
        <v>2</v>
      </c>
      <c r="AV7" s="651"/>
      <c r="AW7" s="2836" t="s">
        <v>8417</v>
      </c>
      <c r="AX7" s="2836" t="s">
        <v>8418</v>
      </c>
      <c r="AY7" s="2836" t="s">
        <v>8419</v>
      </c>
      <c r="AZ7" s="2836" t="s">
        <v>8420</v>
      </c>
      <c r="BA7" s="2836" t="s">
        <v>8417</v>
      </c>
      <c r="BB7" s="2836" t="s">
        <v>8418</v>
      </c>
      <c r="BC7" s="2836" t="s">
        <v>8419</v>
      </c>
      <c r="BD7" s="2836" t="s">
        <v>8420</v>
      </c>
    </row>
    <row r="8" spans="1:56" s="671" customFormat="1">
      <c r="A8" s="668"/>
      <c r="B8" s="676"/>
      <c r="C8" s="706" t="s">
        <v>4164</v>
      </c>
      <c r="D8" s="706" t="s">
        <v>4165</v>
      </c>
      <c r="E8" s="706" t="s">
        <v>4166</v>
      </c>
      <c r="F8" s="706" t="s">
        <v>5500</v>
      </c>
      <c r="G8" s="706" t="s">
        <v>4169</v>
      </c>
      <c r="H8" s="706" t="s">
        <v>4168</v>
      </c>
      <c r="I8" s="706" t="s">
        <v>4178</v>
      </c>
      <c r="J8" s="706" t="s">
        <v>4179</v>
      </c>
      <c r="K8" s="706" t="s">
        <v>4167</v>
      </c>
      <c r="L8" s="706" t="s">
        <v>5501</v>
      </c>
      <c r="M8" s="706" t="s">
        <v>4701</v>
      </c>
      <c r="N8" s="706" t="s">
        <v>4702</v>
      </c>
      <c r="O8" s="706" t="s">
        <v>4703</v>
      </c>
      <c r="P8" s="706" t="s">
        <v>5502</v>
      </c>
      <c r="Q8" s="706" t="s">
        <v>5503</v>
      </c>
      <c r="R8" s="706" t="s">
        <v>5504</v>
      </c>
      <c r="S8" s="706" t="s">
        <v>4853</v>
      </c>
      <c r="T8" s="706" t="s">
        <v>4852</v>
      </c>
      <c r="U8" s="706" t="s">
        <v>5505</v>
      </c>
      <c r="V8" s="706" t="s">
        <v>4851</v>
      </c>
      <c r="W8" s="706" t="s">
        <v>5506</v>
      </c>
      <c r="X8" s="706" t="s">
        <v>4850</v>
      </c>
      <c r="Y8" s="706" t="s">
        <v>3303</v>
      </c>
      <c r="Z8" s="706" t="s">
        <v>3304</v>
      </c>
      <c r="AA8" s="706" t="s">
        <v>3305</v>
      </c>
      <c r="AB8" s="706" t="s">
        <v>3306</v>
      </c>
      <c r="AC8" s="706" t="s">
        <v>3307</v>
      </c>
      <c r="AD8" s="706" t="s">
        <v>3308</v>
      </c>
      <c r="AE8" s="706" t="s">
        <v>3309</v>
      </c>
      <c r="AJ8" s="2599"/>
      <c r="AM8" s="2610" t="s">
        <v>4914</v>
      </c>
      <c r="AN8" s="2610" t="s">
        <v>4184</v>
      </c>
      <c r="AO8" s="2610" t="s">
        <v>6759</v>
      </c>
      <c r="AP8" s="2607"/>
      <c r="AQ8" s="2610" t="str">
        <f t="shared" ref="AQ8:AQ46" si="0">CONCATENATE(AM8,AN8,AO8)</f>
        <v>{01} НДФЛХ{4} Бюджет иностранного государства</v>
      </c>
      <c r="AS8" s="2610" t="s">
        <v>7151</v>
      </c>
      <c r="AT8" s="2610">
        <v>89</v>
      </c>
      <c r="AV8" s="2835"/>
      <c r="AW8" s="2837">
        <f t="shared" ref="AW8" si="1">SUM(AW9:AW24)</f>
        <v>0</v>
      </c>
      <c r="AX8" s="2837">
        <f t="shared" ref="AX8" si="2">SUM(AX9:AX24)</f>
        <v>0</v>
      </c>
      <c r="AY8" s="2837">
        <f t="shared" ref="AY8" si="3">SUM(AY9:AY24)</f>
        <v>0</v>
      </c>
      <c r="AZ8" s="2837">
        <f t="shared" ref="AZ8" si="4">SUM(AZ9:AZ24)</f>
        <v>0</v>
      </c>
      <c r="BA8" s="2837">
        <f t="shared" ref="BA8" si="5">SUM(BA9:BA24)</f>
        <v>0</v>
      </c>
      <c r="BB8" s="2837">
        <f t="shared" ref="BB8" si="6">SUM(BB9:BB24)</f>
        <v>0</v>
      </c>
      <c r="BC8" s="2837">
        <f t="shared" ref="BC8" si="7">SUM(BC9:BC24)</f>
        <v>0</v>
      </c>
      <c r="BD8" s="2837">
        <f t="shared" ref="BD8" si="8">SUM(BD9:BD24)</f>
        <v>0</v>
      </c>
    </row>
    <row r="9" spans="1:56" s="651" customFormat="1">
      <c r="A9" s="546"/>
      <c r="B9" s="1569"/>
      <c r="C9" s="978" t="s">
        <v>4170</v>
      </c>
      <c r="D9" s="914" t="s">
        <v>4184</v>
      </c>
      <c r="E9" s="914" t="s">
        <v>4184</v>
      </c>
      <c r="F9" s="914" t="s">
        <v>4184</v>
      </c>
      <c r="G9" s="914" t="s">
        <v>4184</v>
      </c>
      <c r="H9" s="914" t="s">
        <v>4184</v>
      </c>
      <c r="I9" s="914" t="s">
        <v>4184</v>
      </c>
      <c r="J9" s="1344">
        <f t="shared" ref="J9:AD9" si="9">SUM(J10:J9935)</f>
        <v>0</v>
      </c>
      <c r="K9" s="1344">
        <f t="shared" si="9"/>
        <v>0</v>
      </c>
      <c r="L9" s="1344">
        <f t="shared" si="9"/>
        <v>0</v>
      </c>
      <c r="M9" s="1344">
        <f t="shared" si="9"/>
        <v>0</v>
      </c>
      <c r="N9" s="1344">
        <f t="shared" si="9"/>
        <v>0</v>
      </c>
      <c r="O9" s="1344">
        <f t="shared" si="9"/>
        <v>0</v>
      </c>
      <c r="P9" s="1344">
        <f t="shared" si="9"/>
        <v>0</v>
      </c>
      <c r="Q9" s="1344">
        <f t="shared" si="9"/>
        <v>0</v>
      </c>
      <c r="R9" s="1344">
        <f t="shared" si="9"/>
        <v>0</v>
      </c>
      <c r="S9" s="1344">
        <f t="shared" si="9"/>
        <v>0</v>
      </c>
      <c r="T9" s="1344">
        <f t="shared" si="9"/>
        <v>0</v>
      </c>
      <c r="U9" s="1344">
        <f t="shared" si="9"/>
        <v>0</v>
      </c>
      <c r="V9" s="1344">
        <f t="shared" si="9"/>
        <v>0</v>
      </c>
      <c r="W9" s="1344">
        <f t="shared" si="9"/>
        <v>0</v>
      </c>
      <c r="X9" s="1344">
        <f t="shared" si="9"/>
        <v>0</v>
      </c>
      <c r="Y9" s="1344">
        <f t="shared" si="9"/>
        <v>0</v>
      </c>
      <c r="Z9" s="1344">
        <f t="shared" si="9"/>
        <v>0</v>
      </c>
      <c r="AA9" s="1344">
        <f t="shared" si="9"/>
        <v>0</v>
      </c>
      <c r="AB9" s="1344">
        <f t="shared" si="9"/>
        <v>0</v>
      </c>
      <c r="AC9" s="1344">
        <f t="shared" si="9"/>
        <v>0</v>
      </c>
      <c r="AD9" s="1344">
        <f t="shared" si="9"/>
        <v>0</v>
      </c>
      <c r="AE9" s="1398" t="s">
        <v>4184</v>
      </c>
      <c r="AF9" s="2603" t="b">
        <f t="shared" ref="AF9:AK9" si="10">AND(AF10:AF9996)</f>
        <v>1</v>
      </c>
      <c r="AG9" s="2603" t="b">
        <f t="shared" si="10"/>
        <v>1</v>
      </c>
      <c r="AH9" s="2603" t="b">
        <f t="shared" si="10"/>
        <v>1</v>
      </c>
      <c r="AI9" s="2603" t="b">
        <f t="shared" si="10"/>
        <v>1</v>
      </c>
      <c r="AJ9" s="2603" t="b">
        <f t="shared" si="10"/>
        <v>1</v>
      </c>
      <c r="AK9" s="2603" t="b">
        <f t="shared" si="10"/>
        <v>1</v>
      </c>
      <c r="AL9" s="2603" t="b">
        <f>AND(AL10:AL9996)</f>
        <v>1</v>
      </c>
      <c r="AM9" s="2610" t="s">
        <v>4913</v>
      </c>
      <c r="AN9" s="2610" t="s">
        <v>4184</v>
      </c>
      <c r="AO9" s="2610" t="s">
        <v>6761</v>
      </c>
      <c r="AP9" s="2607"/>
      <c r="AQ9" s="2610" t="str">
        <f t="shared" si="0"/>
        <v>{02} НДСХ{1} Федеральный</v>
      </c>
      <c r="AS9" s="2610" t="s">
        <v>4905</v>
      </c>
      <c r="AT9" s="2610">
        <v>6</v>
      </c>
      <c r="AV9" s="2610" t="s">
        <v>4914</v>
      </c>
      <c r="AW9" s="2835">
        <f t="shared" ref="AW9:AW24" si="11">IF(SUMIF($C:$C,$AV9,$K:$K)+SUMIF($C:$C,$AV9,$N:$N)&gt;0,SUMIF($C:$C,$AV9,$K:$K)+SUMIF($C:$C,$AV9,$N:$N),0)</f>
        <v>0</v>
      </c>
      <c r="AX9" s="2835">
        <f t="shared" ref="AX9:AX24" si="12">IF(SUMIF($C:$C,$AV9,$L:$L)+SUMIF($C:$C,$AV9,$O:$O)&gt;0,SUMIF($C:$C,$AV9,$L:$L)+SUMIF($C:$C,$AV9,$O:$O),0)</f>
        <v>0</v>
      </c>
      <c r="AY9" s="2835">
        <f t="shared" ref="AY9:AY24" si="13">IF(SUMIF($C:$C,$AV9,$K:$K)+SUMIF($C:$C,$AV9,$N:$N)&lt;0,SUMIF($C:$C,$AV9,$K:$K)+SUMIF($C:$C,$AV9,$N:$N),0)</f>
        <v>0</v>
      </c>
      <c r="AZ9" s="2835">
        <f t="shared" ref="AZ9:AZ24" si="14">IF(SUMIF($C:$C,$AV9,$L:$L)+SUMIF($C:$C,$AV9,$O:$O)&lt;0,SUMIF($C:$C,$AV9,$L:$L)+SUMIF($C:$C,$AV9,$O:$O),0)</f>
        <v>0</v>
      </c>
      <c r="BA9" s="2835">
        <f t="shared" ref="BA9:BA24" si="15">IF(SUMIF($C:$C,$AV9,$Z:$Z)+SUMIF($C:$C,$AV9,$AC:$AC)&gt;0,SUMIF($C:$C,$AV9,$Z:$Z)+SUMIF($C:$C,$AV9,$AC:$AC),0)</f>
        <v>0</v>
      </c>
      <c r="BB9" s="2835">
        <f t="shared" ref="BB9:BB24" si="16">IF(SUMIF($C:$C,$AV9,$AA:$AA)+SUMIF($C:$C,$AV9,$AD:$AD)&gt;0,SUMIF($C:$C,$AV9,$AA:$AA)+SUMIF($C:$C,$AV9,$AD:$AD),0)</f>
        <v>0</v>
      </c>
      <c r="BC9" s="2835">
        <f t="shared" ref="BC9:BC24" si="17">IF(SUMIF($C:$C,$AV9,$Z:$Z)+SUMIF($C:$C,$AV9,$AC:$AC)&lt;0,SUMIF($C:$C,$AV9,$Z:$Z)+SUMIF($C:$C,$AV9,$AC:$AC),0)</f>
        <v>0</v>
      </c>
      <c r="BD9" s="2835">
        <f t="shared" ref="BD9:BD24" si="18">IF(SUMIF($C:$C,$AV9,$AA:$AA)+SUMIF($C:$C,$AV9,$AD:$AD)&lt;0,SUMIF($C:$C,$AV9,$AA:$AA)+SUMIF($C:$C,$AV9,$AD:$AD),0)</f>
        <v>0</v>
      </c>
    </row>
    <row r="10" spans="1:56" s="651" customFormat="1">
      <c r="A10" s="2427" t="str">
        <f ca="1">IF(CELL("защита",F10),"","R5="&amp;IFERROR(MID(C10,FIND("{",C10)+1,FIND("}",C10)-FIND("{",C10)-1),"")&amp;";R6="&amp;IFERROR(MID(E10,FIND("{",E10)+1,FIND("}",E10)-FIND("{",E10)-1),IF(IFERROR(MID(C10,FIND("{",C10)+1,FIND("}",C10)-FIND("{",C10)-1),"")="03","2",IF(E10&lt;&gt; "","1","")))&amp;";"&amp;IF(IFERROR(MID(C10,FIND("{",C10)+1,FIND("}",C10)-FIND("{",C10)-1),"")="04","R33=252052;"&amp;"R21="&amp;IFERROR(MID(D10,FIND("{",D10)+1,FIND("}",D10)-FIND("{",D10)-1),""),"R33=;R21=")&amp;";R42="&amp;MID(IF(I10&lt;&gt;"",I10,H10),1,30)&amp;";R22="&amp;IFERROR(MID(F10,FIND("{",F10)+1,FIND("}",F10)-FIND("{",F10)-1),"")&amp;";R36="&amp;MID(I10,1,30)&amp;";R43="&amp;MID(H10,1,30)&amp;";COM="&amp;AE10)</f>
        <v>R5=;R6=;R33=;R21=;R42=;R22=;R36=;R43=;COM=</v>
      </c>
      <c r="B10" s="1569"/>
      <c r="C10" s="2536"/>
      <c r="D10" s="2537"/>
      <c r="E10" s="2537"/>
      <c r="F10" s="1009"/>
      <c r="G10" s="1009"/>
      <c r="H10" s="1009"/>
      <c r="I10" s="1009"/>
      <c r="J10" s="1009"/>
      <c r="K10" s="1009"/>
      <c r="L10" s="1534">
        <f t="shared" ref="L10:L29" si="19">J10-K10</f>
        <v>0</v>
      </c>
      <c r="M10" s="1009"/>
      <c r="N10" s="1009"/>
      <c r="O10" s="1534">
        <f t="shared" ref="O10:O29" si="20">M10-N10</f>
        <v>0</v>
      </c>
      <c r="P10" s="1009"/>
      <c r="Q10" s="1009"/>
      <c r="R10" s="1009"/>
      <c r="S10" s="1009"/>
      <c r="T10" s="1009"/>
      <c r="U10" s="1009"/>
      <c r="V10" s="1009"/>
      <c r="W10" s="1009"/>
      <c r="X10" s="1009"/>
      <c r="Y10" s="1009"/>
      <c r="Z10" s="1009"/>
      <c r="AA10" s="1534">
        <f>Y10-Z10</f>
        <v>0</v>
      </c>
      <c r="AB10" s="1534">
        <f>(J10+M10)+SUM(P10:X10)-Y10</f>
        <v>0</v>
      </c>
      <c r="AC10" s="1009"/>
      <c r="AD10" s="1534">
        <f>AB10-AC10</f>
        <v>0</v>
      </c>
      <c r="AE10" s="2151"/>
      <c r="AF10" s="2603" t="b">
        <f>IF(AND(P10&gt;=0,Q10&gt;=0,IF(E10=$AO$8,OR(R10&lt;&gt;0,R10=0),R10&gt;=0),S10&lt;=0,T10&lt;=0,U10&lt;=0,W10&lt;=0),TRUE,FALSE)</f>
        <v>1</v>
      </c>
      <c r="AG10" s="2604" t="b">
        <f t="shared" ref="AG10" si="21">IF(OR(K10&lt;-1,L10&lt;-1,N10&gt;1,O10&gt;1,Z10&lt;-1,AA10&lt;-1,AC10&gt;1,AD10&gt;1),FALSE,TRUE)</f>
        <v>1</v>
      </c>
      <c r="AH10" s="2605" t="b">
        <f t="shared" ref="AH10" si="22">IF(C10&lt;&gt;"",IF(OR(D10=$AH$2,D10=$AH$3),AND(G10&lt;&gt;"X",G10&lt;&gt;"Х",$G10&lt;&gt;""),G10="X"),TRUE)</f>
        <v>1</v>
      </c>
      <c r="AI10" s="2605" t="b">
        <f t="shared" ref="AI10:AI41" si="23">IF(C10&lt;&gt;"",IF(OR(C10=$AM$11,C10=$AM$30,C10=$AM$35,C10=$AM$43,C10=$AM$44,C10=$AM$45,C10=$AM$46),E10=$AO$11,OR(E10=$AO$7,E10=$AO$8,E10=$AO$9)),TRUE)</f>
        <v>1</v>
      </c>
      <c r="AJ10" s="2605" t="b">
        <f t="shared" ref="AJ10:AJ49" si="24">IF(COUNT(J10:K10,M10:N10,P10:X10)&lt;&gt;0,AND(C10&lt;&gt;"",D10&lt;&gt;"",E10&lt;&gt;"",F10&lt;&gt;"",G10&lt;&gt;"",H10&lt;&gt;"",I10&lt;&gt;""),TRUE)</f>
        <v>1</v>
      </c>
      <c r="AK10" s="2605" t="b">
        <f t="shared" ref="AK10:AK41" si="25">IF(E10&lt;&gt;"",IF(OR(E10=$AO$13,E10=$AO$14),F10&lt;&gt;$AN$7,IF(OR(E10=$AO$12,E10=$AN$7),F10=$AN$7)),TRUE)</f>
        <v>1</v>
      </c>
      <c r="AL10" s="2603" t="b">
        <f t="shared" ref="AL10:AL41" si="26">IF(AND(C10="",D10="",E10=""),TRUE,IF(ISNA(VLOOKUP(AP10,$AQ$7:$AQ$46,1,0)),FALSE,TRUE))</f>
        <v>1</v>
      </c>
      <c r="AM10" s="2610" t="s">
        <v>4913</v>
      </c>
      <c r="AN10" s="2610" t="s">
        <v>4184</v>
      </c>
      <c r="AO10" s="2610" t="s">
        <v>6759</v>
      </c>
      <c r="AP10" s="2607" t="str">
        <f>CONCATENATE(C10,D10,E10)</f>
        <v/>
      </c>
      <c r="AQ10" s="2610" t="str">
        <f t="shared" si="0"/>
        <v>{02} НДСХ{4} Бюджет иностранного государства</v>
      </c>
      <c r="AR10" s="651" t="str">
        <f>IF(C10="","",VLOOKUP(C10,$AS$7:$AT$26,2,0))</f>
        <v/>
      </c>
      <c r="AS10" s="2610" t="s">
        <v>3370</v>
      </c>
      <c r="AT10" s="2610">
        <v>14</v>
      </c>
      <c r="AV10" s="2610" t="s">
        <v>4913</v>
      </c>
      <c r="AW10" s="2835">
        <f t="shared" si="11"/>
        <v>0</v>
      </c>
      <c r="AX10" s="2835">
        <f t="shared" si="12"/>
        <v>0</v>
      </c>
      <c r="AY10" s="2835">
        <f t="shared" si="13"/>
        <v>0</v>
      </c>
      <c r="AZ10" s="2835">
        <f t="shared" si="14"/>
        <v>0</v>
      </c>
      <c r="BA10" s="2835">
        <f t="shared" si="15"/>
        <v>0</v>
      </c>
      <c r="BB10" s="2835">
        <f t="shared" si="16"/>
        <v>0</v>
      </c>
      <c r="BC10" s="2835">
        <f t="shared" si="17"/>
        <v>0</v>
      </c>
      <c r="BD10" s="2835">
        <f t="shared" si="18"/>
        <v>0</v>
      </c>
    </row>
    <row r="11" spans="1:56" s="651" customFormat="1">
      <c r="A11" s="2427" t="str">
        <f t="shared" ref="A11:A61" ca="1" si="27">IF(CELL("защита",F11),"","R5="&amp;IFERROR(MID(C11,FIND("{",C11)+1,FIND("}",C11)-FIND("{",C11)-1),"")&amp;";R6="&amp;IFERROR(MID(E11,FIND("{",E11)+1,FIND("}",E11)-FIND("{",E11)-1),IF(IFERROR(MID(C11,FIND("{",C11)+1,FIND("}",C11)-FIND("{",C11)-1),"")="03","2",IF(E11&lt;&gt; "","1","")))&amp;";"&amp;IF(IFERROR(MID(C11,FIND("{",C11)+1,FIND("}",C11)-FIND("{",C11)-1),"")="04","R33=252052;"&amp;"R21="&amp;IFERROR(MID(D11,FIND("{",D11)+1,FIND("}",D11)-FIND("{",D11)-1),""),"R33=;R21=")&amp;";R42="&amp;MID(IF(I11&lt;&gt;"",I11,H11),1,30)&amp;";R22="&amp;IFERROR(MID(F11,FIND("{",F11)+1,FIND("}",F11)-FIND("{",F11)-1),"")&amp;";R36="&amp;MID(I11,1,30)&amp;";R43="&amp;MID(H11,1,30)&amp;";COM="&amp;AE11)</f>
        <v>R5=;R6=;R33=;R21=;R42=;R22=;R36=;R43=;COM=</v>
      </c>
      <c r="B11" s="1569"/>
      <c r="C11" s="2536"/>
      <c r="D11" s="2537"/>
      <c r="E11" s="2537"/>
      <c r="F11" s="1009"/>
      <c r="G11" s="1009"/>
      <c r="H11" s="1009"/>
      <c r="I11" s="1009"/>
      <c r="J11" s="1009"/>
      <c r="K11" s="1009"/>
      <c r="L11" s="1534">
        <f t="shared" si="19"/>
        <v>0</v>
      </c>
      <c r="M11" s="1009"/>
      <c r="N11" s="1009"/>
      <c r="O11" s="1534">
        <f t="shared" si="20"/>
        <v>0</v>
      </c>
      <c r="P11" s="1009"/>
      <c r="Q11" s="1009"/>
      <c r="R11" s="1009"/>
      <c r="S11" s="1009"/>
      <c r="T11" s="1009"/>
      <c r="U11" s="1009"/>
      <c r="V11" s="1009"/>
      <c r="W11" s="1009"/>
      <c r="X11" s="1491"/>
      <c r="Y11" s="1009"/>
      <c r="Z11" s="1009"/>
      <c r="AA11" s="1534">
        <f t="shared" ref="AA11:AA20" si="28">Y11-Z11</f>
        <v>0</v>
      </c>
      <c r="AB11" s="1534">
        <f t="shared" ref="AB11:AB13" si="29">(J11+M11)+SUM(P11:X11)-Y11</f>
        <v>0</v>
      </c>
      <c r="AC11" s="1009"/>
      <c r="AD11" s="1534">
        <f t="shared" ref="AD11:AD20" si="30">AB11-AC11</f>
        <v>0</v>
      </c>
      <c r="AE11" s="1492"/>
      <c r="AF11" s="2603" t="b">
        <f t="shared" ref="AF11:AF61" si="31">IF(AND(P11&gt;=0,Q11&gt;=0,IF(E11=$AO$8,OR(R11&lt;&gt;0,R11=0),R11&gt;=0),S11&lt;=0,T11&lt;=0,U11&lt;=0,W11&lt;=0),TRUE,FALSE)</f>
        <v>1</v>
      </c>
      <c r="AG11" s="2604" t="b">
        <f t="shared" ref="AG11" si="32">IF(OR(K11&lt;-1,L11&lt;-1,N11&gt;1,O11&gt;1,Z11&lt;-1,AA11&lt;-1,AC11&gt;1,AD11&gt;1),FALSE,TRUE)</f>
        <v>1</v>
      </c>
      <c r="AH11" s="2605" t="b">
        <f t="shared" ref="AH11" si="33">IF(C11&lt;&gt;"",IF(OR(D11=$AH$2,D11=$AH$3),AND(G11&lt;&gt;"X",G11&lt;&gt;"Х",$G11&lt;&gt;""),G11="X"),TRUE)</f>
        <v>1</v>
      </c>
      <c r="AI11" s="2605" t="b">
        <f t="shared" si="23"/>
        <v>1</v>
      </c>
      <c r="AJ11" s="2605" t="b">
        <f t="shared" si="24"/>
        <v>1</v>
      </c>
      <c r="AK11" s="2605" t="b">
        <f t="shared" si="25"/>
        <v>1</v>
      </c>
      <c r="AL11" s="2603" t="b">
        <f t="shared" si="26"/>
        <v>1</v>
      </c>
      <c r="AM11" s="2719" t="s">
        <v>4912</v>
      </c>
      <c r="AN11" s="2610" t="s">
        <v>4184</v>
      </c>
      <c r="AO11" s="2719" t="s">
        <v>4184</v>
      </c>
      <c r="AP11" s="2607" t="str">
        <f t="shared" ref="AP11:AP59" si="34">CONCATENATE(C11,D11,E11)</f>
        <v/>
      </c>
      <c r="AQ11" s="2610" t="str">
        <f t="shared" si="0"/>
        <v>{03} АкцизыХХ</v>
      </c>
      <c r="AR11" s="651" t="str">
        <f t="shared" ref="AR11:AR61" si="35">IF(C11="","",VLOOKUP(C11,$AS$7:$AT$26,2,0))</f>
        <v/>
      </c>
      <c r="AS11" s="2610" t="s">
        <v>4912</v>
      </c>
      <c r="AT11" s="2610">
        <v>3</v>
      </c>
      <c r="AV11" s="2610" t="s">
        <v>4912</v>
      </c>
      <c r="AW11" s="2835">
        <f t="shared" si="11"/>
        <v>0</v>
      </c>
      <c r="AX11" s="2835">
        <f t="shared" si="12"/>
        <v>0</v>
      </c>
      <c r="AY11" s="2835">
        <f t="shared" si="13"/>
        <v>0</v>
      </c>
      <c r="AZ11" s="2835">
        <f t="shared" si="14"/>
        <v>0</v>
      </c>
      <c r="BA11" s="2835">
        <f t="shared" si="15"/>
        <v>0</v>
      </c>
      <c r="BB11" s="2835">
        <f t="shared" si="16"/>
        <v>0</v>
      </c>
      <c r="BC11" s="2835">
        <f t="shared" si="17"/>
        <v>0</v>
      </c>
      <c r="BD11" s="2835">
        <f t="shared" si="18"/>
        <v>0</v>
      </c>
    </row>
    <row r="12" spans="1:56" s="651" customFormat="1">
      <c r="A12" s="2427" t="str">
        <f t="shared" ca="1" si="27"/>
        <v>R5=;R6=;R33=;R21=;R42=;R22=;R36=;R43=;COM=</v>
      </c>
      <c r="B12" s="1569"/>
      <c r="C12" s="2536"/>
      <c r="D12" s="2537"/>
      <c r="E12" s="2537"/>
      <c r="F12" s="1009"/>
      <c r="G12" s="1009"/>
      <c r="H12" s="1009"/>
      <c r="I12" s="1009"/>
      <c r="J12" s="1009"/>
      <c r="K12" s="1009"/>
      <c r="L12" s="1534">
        <f t="shared" si="19"/>
        <v>0</v>
      </c>
      <c r="M12" s="1009"/>
      <c r="N12" s="1009"/>
      <c r="O12" s="1534">
        <f t="shared" si="20"/>
        <v>0</v>
      </c>
      <c r="P12" s="1009"/>
      <c r="Q12" s="1009"/>
      <c r="R12" s="1009"/>
      <c r="S12" s="1009"/>
      <c r="T12" s="1009"/>
      <c r="U12" s="1009"/>
      <c r="V12" s="1009"/>
      <c r="W12" s="1009"/>
      <c r="X12" s="1009"/>
      <c r="Y12" s="1009"/>
      <c r="Z12" s="1009"/>
      <c r="AA12" s="1534">
        <f>Y12-Z12</f>
        <v>0</v>
      </c>
      <c r="AB12" s="1534">
        <f t="shared" si="29"/>
        <v>0</v>
      </c>
      <c r="AC12" s="1009"/>
      <c r="AD12" s="1534">
        <f t="shared" si="30"/>
        <v>0</v>
      </c>
      <c r="AE12" s="1492"/>
      <c r="AF12" s="2603" t="b">
        <f t="shared" si="31"/>
        <v>1</v>
      </c>
      <c r="AG12" s="2604" t="b">
        <f t="shared" ref="AG12:AG49" si="36">IF(OR(K12&lt;-1,L12&lt;-1,N12&gt;1,O12&gt;1,Z12&lt;-1,AA12&lt;-1,AC12&gt;1,AD12&gt;1),FALSE,TRUE)</f>
        <v>1</v>
      </c>
      <c r="AH12" s="2605" t="b">
        <f t="shared" ref="AH12:AH49" si="37">IF(C12&lt;&gt;"",IF(OR(D12=$AH$2,D12=$AH$3),AND(G12&lt;&gt;"X",G12&lt;&gt;"Х",$G12&lt;&gt;""),G12="X"),TRUE)</f>
        <v>1</v>
      </c>
      <c r="AI12" s="2605" t="b">
        <f t="shared" si="23"/>
        <v>1</v>
      </c>
      <c r="AJ12" s="2605" t="b">
        <f t="shared" si="24"/>
        <v>1</v>
      </c>
      <c r="AK12" s="2605" t="b">
        <f t="shared" si="25"/>
        <v>1</v>
      </c>
      <c r="AL12" s="2603" t="b">
        <f t="shared" si="26"/>
        <v>1</v>
      </c>
      <c r="AM12" s="2610" t="s">
        <v>4911</v>
      </c>
      <c r="AN12" s="2610" t="s">
        <v>6730</v>
      </c>
      <c r="AO12" s="2714" t="s">
        <v>6761</v>
      </c>
      <c r="AP12" s="2607" t="str">
        <f t="shared" si="34"/>
        <v/>
      </c>
      <c r="AQ12" s="2610" t="str">
        <f t="shared" si="0"/>
        <v>{04} Налог на прибыль{1} Общеустановленная ставка{1} Федеральный</v>
      </c>
      <c r="AR12" s="651" t="str">
        <f t="shared" si="35"/>
        <v/>
      </c>
      <c r="AS12" s="2610" t="s">
        <v>4907</v>
      </c>
      <c r="AT12" s="2610">
        <v>11</v>
      </c>
      <c r="AV12" s="2610" t="s">
        <v>4911</v>
      </c>
      <c r="AW12" s="2835">
        <f t="shared" si="11"/>
        <v>0</v>
      </c>
      <c r="AX12" s="2835">
        <f t="shared" si="12"/>
        <v>0</v>
      </c>
      <c r="AY12" s="2835">
        <f t="shared" si="13"/>
        <v>0</v>
      </c>
      <c r="AZ12" s="2835">
        <f t="shared" si="14"/>
        <v>0</v>
      </c>
      <c r="BA12" s="2835">
        <f t="shared" si="15"/>
        <v>0</v>
      </c>
      <c r="BB12" s="2835">
        <f t="shared" si="16"/>
        <v>0</v>
      </c>
      <c r="BC12" s="2835">
        <f t="shared" si="17"/>
        <v>0</v>
      </c>
      <c r="BD12" s="2835">
        <f t="shared" si="18"/>
        <v>0</v>
      </c>
    </row>
    <row r="13" spans="1:56" s="651" customFormat="1">
      <c r="A13" s="2427" t="str">
        <f t="shared" ca="1" si="27"/>
        <v>R5=;R6=;R33=;R21=;R42=;R22=;R36=;R43=;COM=</v>
      </c>
      <c r="B13" s="1569"/>
      <c r="C13" s="2536"/>
      <c r="D13" s="2537"/>
      <c r="E13" s="2537"/>
      <c r="F13" s="1009"/>
      <c r="G13" s="1009"/>
      <c r="H13" s="1009"/>
      <c r="I13" s="1009"/>
      <c r="J13" s="1009"/>
      <c r="K13" s="1009"/>
      <c r="L13" s="1534">
        <f t="shared" si="19"/>
        <v>0</v>
      </c>
      <c r="M13" s="1009"/>
      <c r="N13" s="1009"/>
      <c r="O13" s="1534">
        <f t="shared" si="20"/>
        <v>0</v>
      </c>
      <c r="P13" s="1009"/>
      <c r="Q13" s="1009"/>
      <c r="R13" s="1009"/>
      <c r="S13" s="1009"/>
      <c r="T13" s="1009"/>
      <c r="U13" s="1009"/>
      <c r="V13" s="1009"/>
      <c r="W13" s="1009"/>
      <c r="X13" s="1009"/>
      <c r="Y13" s="1009"/>
      <c r="Z13" s="1009"/>
      <c r="AA13" s="1534">
        <f>Y13-Z13</f>
        <v>0</v>
      </c>
      <c r="AB13" s="1534">
        <f t="shared" si="29"/>
        <v>0</v>
      </c>
      <c r="AC13" s="1009"/>
      <c r="AD13" s="1534">
        <f t="shared" si="30"/>
        <v>0</v>
      </c>
      <c r="AE13" s="1492"/>
      <c r="AF13" s="2603" t="b">
        <f t="shared" si="31"/>
        <v>1</v>
      </c>
      <c r="AG13" s="2604" t="b">
        <f t="shared" si="36"/>
        <v>1</v>
      </c>
      <c r="AH13" s="2605" t="b">
        <f t="shared" si="37"/>
        <v>1</v>
      </c>
      <c r="AI13" s="2605" t="b">
        <f t="shared" si="23"/>
        <v>1</v>
      </c>
      <c r="AJ13" s="2605" t="b">
        <f t="shared" si="24"/>
        <v>1</v>
      </c>
      <c r="AK13" s="2605" t="b">
        <f t="shared" si="25"/>
        <v>1</v>
      </c>
      <c r="AL13" s="2603" t="b">
        <f t="shared" si="26"/>
        <v>1</v>
      </c>
      <c r="AM13" s="2610" t="s">
        <v>4911</v>
      </c>
      <c r="AN13" s="2610" t="s">
        <v>6730</v>
      </c>
      <c r="AO13" s="2714" t="s">
        <v>6762</v>
      </c>
      <c r="AP13" s="2607" t="str">
        <f t="shared" si="34"/>
        <v/>
      </c>
      <c r="AQ13" s="2610" t="str">
        <f t="shared" si="0"/>
        <v>{04} Налог на прибыль{1} Общеустановленная ставка{2} Бюджет субъектов РФ</v>
      </c>
      <c r="AR13" s="651" t="str">
        <f t="shared" si="35"/>
        <v/>
      </c>
      <c r="AS13" s="2610" t="s">
        <v>4904</v>
      </c>
      <c r="AT13" s="2610">
        <v>15</v>
      </c>
      <c r="AV13" s="2610" t="s">
        <v>4910</v>
      </c>
      <c r="AW13" s="2835">
        <f t="shared" si="11"/>
        <v>0</v>
      </c>
      <c r="AX13" s="2835">
        <f t="shared" si="12"/>
        <v>0</v>
      </c>
      <c r="AY13" s="2835">
        <f t="shared" si="13"/>
        <v>0</v>
      </c>
      <c r="AZ13" s="2835">
        <f t="shared" si="14"/>
        <v>0</v>
      </c>
      <c r="BA13" s="2835">
        <f t="shared" si="15"/>
        <v>0</v>
      </c>
      <c r="BB13" s="2835">
        <f t="shared" si="16"/>
        <v>0</v>
      </c>
      <c r="BC13" s="2835">
        <f t="shared" si="17"/>
        <v>0</v>
      </c>
      <c r="BD13" s="2835">
        <f t="shared" si="18"/>
        <v>0</v>
      </c>
    </row>
    <row r="14" spans="1:56" s="651" customFormat="1">
      <c r="A14" s="2427" t="str">
        <f t="shared" ca="1" si="27"/>
        <v>R5=;R6=;R33=;R21=;R42=;R22=;R36=;R43=;COM=</v>
      </c>
      <c r="B14" s="1569"/>
      <c r="C14" s="2536"/>
      <c r="D14" s="2537"/>
      <c r="E14" s="2537"/>
      <c r="F14" s="1009"/>
      <c r="G14" s="1009"/>
      <c r="H14" s="1009"/>
      <c r="I14" s="1009"/>
      <c r="J14" s="1009"/>
      <c r="K14" s="1009"/>
      <c r="L14" s="1534">
        <f t="shared" si="19"/>
        <v>0</v>
      </c>
      <c r="M14" s="1009"/>
      <c r="N14" s="1009"/>
      <c r="O14" s="1534">
        <f t="shared" si="20"/>
        <v>0</v>
      </c>
      <c r="P14" s="1009"/>
      <c r="Q14" s="1009"/>
      <c r="R14" s="1009"/>
      <c r="S14" s="1009"/>
      <c r="T14" s="1009"/>
      <c r="U14" s="1009"/>
      <c r="V14" s="1009"/>
      <c r="W14" s="1009"/>
      <c r="X14" s="1491"/>
      <c r="Y14" s="1009"/>
      <c r="Z14" s="1009"/>
      <c r="AA14" s="1534">
        <f t="shared" si="28"/>
        <v>0</v>
      </c>
      <c r="AB14" s="1534">
        <f t="shared" ref="AB14:AB20" si="38">(J14+M14)+SUM(P14:X14)-Y14</f>
        <v>0</v>
      </c>
      <c r="AC14" s="1009"/>
      <c r="AD14" s="1534">
        <f t="shared" si="30"/>
        <v>0</v>
      </c>
      <c r="AE14" s="1492"/>
      <c r="AF14" s="2603" t="b">
        <f t="shared" si="31"/>
        <v>1</v>
      </c>
      <c r="AG14" s="2604" t="b">
        <f t="shared" si="36"/>
        <v>1</v>
      </c>
      <c r="AH14" s="2605" t="b">
        <f t="shared" si="37"/>
        <v>1</v>
      </c>
      <c r="AI14" s="2605" t="b">
        <f t="shared" si="23"/>
        <v>1</v>
      </c>
      <c r="AJ14" s="2605" t="b">
        <f t="shared" si="24"/>
        <v>1</v>
      </c>
      <c r="AK14" s="2605" t="b">
        <f t="shared" si="25"/>
        <v>1</v>
      </c>
      <c r="AL14" s="2603" t="b">
        <f t="shared" si="26"/>
        <v>1</v>
      </c>
      <c r="AM14" s="2610" t="s">
        <v>4911</v>
      </c>
      <c r="AN14" s="2610" t="s">
        <v>6730</v>
      </c>
      <c r="AO14" s="2714" t="s">
        <v>6759</v>
      </c>
      <c r="AP14" s="2607" t="str">
        <f t="shared" si="34"/>
        <v/>
      </c>
      <c r="AQ14" s="2610" t="str">
        <f t="shared" si="0"/>
        <v>{04} Налог на прибыль{1} Общеустановленная ставка{4} Бюджет иностранного государства</v>
      </c>
      <c r="AR14" s="651" t="str">
        <f t="shared" si="35"/>
        <v/>
      </c>
      <c r="AS14" s="2610" t="s">
        <v>7697</v>
      </c>
      <c r="AT14" s="2610">
        <v>17</v>
      </c>
      <c r="AV14" s="2610" t="s">
        <v>4905</v>
      </c>
      <c r="AW14" s="2835">
        <f t="shared" si="11"/>
        <v>0</v>
      </c>
      <c r="AX14" s="2835">
        <f t="shared" si="12"/>
        <v>0</v>
      </c>
      <c r="AY14" s="2835">
        <f t="shared" si="13"/>
        <v>0</v>
      </c>
      <c r="AZ14" s="2835">
        <f t="shared" si="14"/>
        <v>0</v>
      </c>
      <c r="BA14" s="2835">
        <f t="shared" si="15"/>
        <v>0</v>
      </c>
      <c r="BB14" s="2835">
        <f t="shared" si="16"/>
        <v>0</v>
      </c>
      <c r="BC14" s="2835">
        <f t="shared" si="17"/>
        <v>0</v>
      </c>
      <c r="BD14" s="2835">
        <f t="shared" si="18"/>
        <v>0</v>
      </c>
    </row>
    <row r="15" spans="1:56" s="651" customFormat="1">
      <c r="A15" s="2427" t="str">
        <f t="shared" ca="1" si="27"/>
        <v>R5=;R6=;R33=;R21=;R42=;R22=;R36=;R43=;COM=</v>
      </c>
      <c r="B15" s="1569"/>
      <c r="C15" s="2536"/>
      <c r="D15" s="2537"/>
      <c r="E15" s="2537"/>
      <c r="F15" s="1009"/>
      <c r="G15" s="1009"/>
      <c r="H15" s="1009"/>
      <c r="I15" s="1009"/>
      <c r="J15" s="1009"/>
      <c r="K15" s="1009"/>
      <c r="L15" s="1534">
        <f t="shared" si="19"/>
        <v>0</v>
      </c>
      <c r="M15" s="1009"/>
      <c r="N15" s="1009"/>
      <c r="O15" s="1534">
        <f t="shared" si="20"/>
        <v>0</v>
      </c>
      <c r="P15" s="1009"/>
      <c r="Q15" s="1009"/>
      <c r="R15" s="1009"/>
      <c r="S15" s="1009"/>
      <c r="T15" s="1009"/>
      <c r="U15" s="1009"/>
      <c r="V15" s="1009"/>
      <c r="W15" s="1009"/>
      <c r="X15" s="1491"/>
      <c r="Y15" s="1009"/>
      <c r="Z15" s="1009"/>
      <c r="AA15" s="1534">
        <f t="shared" si="28"/>
        <v>0</v>
      </c>
      <c r="AB15" s="1534">
        <f t="shared" si="38"/>
        <v>0</v>
      </c>
      <c r="AC15" s="1009"/>
      <c r="AD15" s="1534">
        <f t="shared" si="30"/>
        <v>0</v>
      </c>
      <c r="AE15" s="1492"/>
      <c r="AF15" s="2603" t="b">
        <f t="shared" si="31"/>
        <v>1</v>
      </c>
      <c r="AG15" s="2604" t="b">
        <f t="shared" si="36"/>
        <v>1</v>
      </c>
      <c r="AH15" s="2605" t="b">
        <f t="shared" si="37"/>
        <v>1</v>
      </c>
      <c r="AI15" s="2605" t="b">
        <f t="shared" si="23"/>
        <v>1</v>
      </c>
      <c r="AJ15" s="2605" t="b">
        <f t="shared" si="24"/>
        <v>1</v>
      </c>
      <c r="AK15" s="2605" t="b">
        <f t="shared" si="25"/>
        <v>1</v>
      </c>
      <c r="AL15" s="2603" t="b">
        <f t="shared" si="26"/>
        <v>1</v>
      </c>
      <c r="AM15" s="2610" t="s">
        <v>4911</v>
      </c>
      <c r="AN15" s="2610" t="s">
        <v>8658</v>
      </c>
      <c r="AO15" s="2610" t="s">
        <v>6761</v>
      </c>
      <c r="AP15" s="2607" t="str">
        <f t="shared" si="34"/>
        <v/>
      </c>
      <c r="AQ15" s="2610" t="str">
        <f t="shared" si="0"/>
        <v>{04} Налог на прибыль{2} Налог на прибыль, удержанный с выплаченных дивидендов{1} Федеральный</v>
      </c>
      <c r="AR15" s="651" t="str">
        <f t="shared" si="35"/>
        <v/>
      </c>
      <c r="AS15" s="2610" t="s">
        <v>7150</v>
      </c>
      <c r="AT15" s="2610">
        <v>21</v>
      </c>
      <c r="AV15" s="2610" t="s">
        <v>4909</v>
      </c>
      <c r="AW15" s="2835">
        <f t="shared" si="11"/>
        <v>0</v>
      </c>
      <c r="AX15" s="2835">
        <f t="shared" si="12"/>
        <v>0</v>
      </c>
      <c r="AY15" s="2835">
        <f t="shared" si="13"/>
        <v>0</v>
      </c>
      <c r="AZ15" s="2835">
        <f t="shared" si="14"/>
        <v>0</v>
      </c>
      <c r="BA15" s="2835">
        <f t="shared" si="15"/>
        <v>0</v>
      </c>
      <c r="BB15" s="2835">
        <f t="shared" si="16"/>
        <v>0</v>
      </c>
      <c r="BC15" s="2835">
        <f t="shared" si="17"/>
        <v>0</v>
      </c>
      <c r="BD15" s="2835">
        <f t="shared" si="18"/>
        <v>0</v>
      </c>
    </row>
    <row r="16" spans="1:56" s="651" customFormat="1">
      <c r="A16" s="2427" t="str">
        <f t="shared" ca="1" si="27"/>
        <v>R5=;R6=;R33=;R21=;R42=;R22=;R36=;R43=;COM=</v>
      </c>
      <c r="B16" s="1569"/>
      <c r="C16" s="2536"/>
      <c r="D16" s="2537"/>
      <c r="E16" s="2537"/>
      <c r="F16" s="1009"/>
      <c r="G16" s="1009"/>
      <c r="H16" s="1009"/>
      <c r="I16" s="1009"/>
      <c r="J16" s="1009"/>
      <c r="K16" s="1009"/>
      <c r="L16" s="1534">
        <f t="shared" si="19"/>
        <v>0</v>
      </c>
      <c r="M16" s="1009"/>
      <c r="N16" s="1009"/>
      <c r="O16" s="1534">
        <f t="shared" si="20"/>
        <v>0</v>
      </c>
      <c r="P16" s="1009"/>
      <c r="Q16" s="1009"/>
      <c r="R16" s="1009"/>
      <c r="S16" s="1009"/>
      <c r="T16" s="1009"/>
      <c r="U16" s="1009"/>
      <c r="V16" s="1009"/>
      <c r="W16" s="1009"/>
      <c r="X16" s="1491"/>
      <c r="Y16" s="1009"/>
      <c r="Z16" s="1009"/>
      <c r="AA16" s="1534">
        <f t="shared" si="28"/>
        <v>0</v>
      </c>
      <c r="AB16" s="1534">
        <f t="shared" si="38"/>
        <v>0</v>
      </c>
      <c r="AC16" s="1009"/>
      <c r="AD16" s="1534">
        <f t="shared" si="30"/>
        <v>0</v>
      </c>
      <c r="AE16" s="1492"/>
      <c r="AF16" s="2603" t="b">
        <f t="shared" si="31"/>
        <v>1</v>
      </c>
      <c r="AG16" s="2604" t="b">
        <f t="shared" si="36"/>
        <v>1</v>
      </c>
      <c r="AH16" s="2605" t="b">
        <f t="shared" si="37"/>
        <v>1</v>
      </c>
      <c r="AI16" s="2605" t="b">
        <f t="shared" si="23"/>
        <v>1</v>
      </c>
      <c r="AJ16" s="2605" t="b">
        <f t="shared" si="24"/>
        <v>1</v>
      </c>
      <c r="AK16" s="2605" t="b">
        <f t="shared" si="25"/>
        <v>1</v>
      </c>
      <c r="AL16" s="2603" t="b">
        <f t="shared" si="26"/>
        <v>1</v>
      </c>
      <c r="AM16" s="2610" t="s">
        <v>4911</v>
      </c>
      <c r="AN16" s="2610" t="s">
        <v>8658</v>
      </c>
      <c r="AO16" s="2610" t="s">
        <v>6759</v>
      </c>
      <c r="AP16" s="2607" t="str">
        <f t="shared" si="34"/>
        <v/>
      </c>
      <c r="AQ16" s="2610" t="str">
        <f t="shared" si="0"/>
        <v>{04} Налог на прибыль{2} Налог на прибыль, удержанный с выплаченных дивидендов{4} Бюджет иностранного государства</v>
      </c>
      <c r="AR16" s="651" t="str">
        <f t="shared" si="35"/>
        <v/>
      </c>
      <c r="AS16" s="2610" t="s">
        <v>4911</v>
      </c>
      <c r="AT16" s="2610">
        <v>4</v>
      </c>
      <c r="AV16" s="2610" t="s">
        <v>4908</v>
      </c>
      <c r="AW16" s="2835">
        <f t="shared" si="11"/>
        <v>0</v>
      </c>
      <c r="AX16" s="2835">
        <f t="shared" si="12"/>
        <v>0</v>
      </c>
      <c r="AY16" s="2835">
        <f t="shared" si="13"/>
        <v>0</v>
      </c>
      <c r="AZ16" s="2835">
        <f t="shared" si="14"/>
        <v>0</v>
      </c>
      <c r="BA16" s="2835">
        <f t="shared" si="15"/>
        <v>0</v>
      </c>
      <c r="BB16" s="2835">
        <f t="shared" si="16"/>
        <v>0</v>
      </c>
      <c r="BC16" s="2835">
        <f t="shared" si="17"/>
        <v>0</v>
      </c>
      <c r="BD16" s="2835">
        <f t="shared" si="18"/>
        <v>0</v>
      </c>
    </row>
    <row r="17" spans="1:56" s="651" customFormat="1">
      <c r="A17" s="2427" t="str">
        <f t="shared" ca="1" si="27"/>
        <v>R5=;R6=;R33=;R21=;R42=;R22=;R36=;R43=;COM=</v>
      </c>
      <c r="B17" s="1569"/>
      <c r="C17" s="2536"/>
      <c r="D17" s="2537"/>
      <c r="E17" s="2537"/>
      <c r="F17" s="1009"/>
      <c r="G17" s="1009"/>
      <c r="H17" s="1009"/>
      <c r="I17" s="1009"/>
      <c r="J17" s="1009"/>
      <c r="K17" s="1009"/>
      <c r="L17" s="1534">
        <f t="shared" si="19"/>
        <v>0</v>
      </c>
      <c r="M17" s="1009"/>
      <c r="N17" s="1009"/>
      <c r="O17" s="1534">
        <f t="shared" si="20"/>
        <v>0</v>
      </c>
      <c r="P17" s="1009"/>
      <c r="Q17" s="1009"/>
      <c r="R17" s="1009"/>
      <c r="S17" s="1009"/>
      <c r="T17" s="1009"/>
      <c r="U17" s="1009"/>
      <c r="V17" s="1009"/>
      <c r="W17" s="1009"/>
      <c r="X17" s="1491"/>
      <c r="Y17" s="1009"/>
      <c r="Z17" s="1009"/>
      <c r="AA17" s="1534">
        <f t="shared" si="28"/>
        <v>0</v>
      </c>
      <c r="AB17" s="1534">
        <f t="shared" si="38"/>
        <v>0</v>
      </c>
      <c r="AC17" s="1009"/>
      <c r="AD17" s="1534">
        <f t="shared" si="30"/>
        <v>0</v>
      </c>
      <c r="AE17" s="1492"/>
      <c r="AF17" s="2603" t="b">
        <f t="shared" si="31"/>
        <v>1</v>
      </c>
      <c r="AG17" s="2604" t="b">
        <f t="shared" si="36"/>
        <v>1</v>
      </c>
      <c r="AH17" s="2605" t="b">
        <f t="shared" si="37"/>
        <v>1</v>
      </c>
      <c r="AI17" s="2605" t="b">
        <f t="shared" si="23"/>
        <v>1</v>
      </c>
      <c r="AJ17" s="2605" t="b">
        <f t="shared" si="24"/>
        <v>1</v>
      </c>
      <c r="AK17" s="2605" t="b">
        <f t="shared" si="25"/>
        <v>1</v>
      </c>
      <c r="AL17" s="2603" t="b">
        <f t="shared" si="26"/>
        <v>1</v>
      </c>
      <c r="AM17" s="2610" t="s">
        <v>4911</v>
      </c>
      <c r="AN17" s="2610" t="s">
        <v>7152</v>
      </c>
      <c r="AO17" s="2610" t="s">
        <v>6761</v>
      </c>
      <c r="AP17" s="2607" t="str">
        <f t="shared" si="34"/>
        <v/>
      </c>
      <c r="AQ17" s="2610" t="str">
        <f t="shared" si="0"/>
        <v>{04} Налог на прибыль{3} Налог на прибыль у источника, удержанный и уплаченный с доходов других организаций (кроме налога с дивидендов){1} Федеральный</v>
      </c>
      <c r="AR17" s="651" t="str">
        <f t="shared" si="35"/>
        <v/>
      </c>
      <c r="AS17" s="2610" t="s">
        <v>4910</v>
      </c>
      <c r="AT17" s="2610">
        <v>5</v>
      </c>
      <c r="AV17" s="2610" t="s">
        <v>4907</v>
      </c>
      <c r="AW17" s="2835">
        <f t="shared" si="11"/>
        <v>0</v>
      </c>
      <c r="AX17" s="2835">
        <f t="shared" si="12"/>
        <v>0</v>
      </c>
      <c r="AY17" s="2835">
        <f t="shared" si="13"/>
        <v>0</v>
      </c>
      <c r="AZ17" s="2835">
        <f t="shared" si="14"/>
        <v>0</v>
      </c>
      <c r="BA17" s="2835">
        <f t="shared" si="15"/>
        <v>0</v>
      </c>
      <c r="BB17" s="2835">
        <f t="shared" si="16"/>
        <v>0</v>
      </c>
      <c r="BC17" s="2835">
        <f t="shared" si="17"/>
        <v>0</v>
      </c>
      <c r="BD17" s="2835">
        <f t="shared" si="18"/>
        <v>0</v>
      </c>
    </row>
    <row r="18" spans="1:56" s="651" customFormat="1">
      <c r="A18" s="2427" t="str">
        <f t="shared" ca="1" si="27"/>
        <v>R5=;R6=;R33=;R21=;R42=;R22=;R36=;R43=;COM=</v>
      </c>
      <c r="B18" s="1569"/>
      <c r="C18" s="2536"/>
      <c r="D18" s="2537"/>
      <c r="E18" s="2537"/>
      <c r="F18" s="1009"/>
      <c r="G18" s="1009"/>
      <c r="H18" s="1009"/>
      <c r="I18" s="1009"/>
      <c r="J18" s="1009"/>
      <c r="K18" s="1009"/>
      <c r="L18" s="1534">
        <f t="shared" si="19"/>
        <v>0</v>
      </c>
      <c r="M18" s="1009"/>
      <c r="N18" s="1009"/>
      <c r="O18" s="1534">
        <f t="shared" si="20"/>
        <v>0</v>
      </c>
      <c r="P18" s="1491"/>
      <c r="Q18" s="1009"/>
      <c r="R18" s="1009"/>
      <c r="S18" s="1009"/>
      <c r="T18" s="1009"/>
      <c r="U18" s="1009"/>
      <c r="V18" s="1009"/>
      <c r="W18" s="1009"/>
      <c r="X18" s="1491"/>
      <c r="Y18" s="1009"/>
      <c r="Z18" s="1009"/>
      <c r="AA18" s="1534">
        <f t="shared" si="28"/>
        <v>0</v>
      </c>
      <c r="AB18" s="1534">
        <f t="shared" si="38"/>
        <v>0</v>
      </c>
      <c r="AC18" s="1009"/>
      <c r="AD18" s="1534">
        <f t="shared" si="30"/>
        <v>0</v>
      </c>
      <c r="AE18" s="1492"/>
      <c r="AF18" s="2603" t="b">
        <f t="shared" si="31"/>
        <v>1</v>
      </c>
      <c r="AG18" s="2604" t="b">
        <f t="shared" si="36"/>
        <v>1</v>
      </c>
      <c r="AH18" s="2605" t="b">
        <f t="shared" si="37"/>
        <v>1</v>
      </c>
      <c r="AI18" s="2605" t="b">
        <f t="shared" si="23"/>
        <v>1</v>
      </c>
      <c r="AJ18" s="2605" t="b">
        <f t="shared" si="24"/>
        <v>1</v>
      </c>
      <c r="AK18" s="2605" t="b">
        <f t="shared" si="25"/>
        <v>1</v>
      </c>
      <c r="AL18" s="2603" t="b">
        <f t="shared" si="26"/>
        <v>1</v>
      </c>
      <c r="AM18" s="2610" t="s">
        <v>4911</v>
      </c>
      <c r="AN18" s="2610" t="s">
        <v>7152</v>
      </c>
      <c r="AO18" s="2610" t="s">
        <v>6759</v>
      </c>
      <c r="AP18" s="2607" t="str">
        <f t="shared" si="34"/>
        <v/>
      </c>
      <c r="AQ18" s="2610" t="str">
        <f t="shared" si="0"/>
        <v>{04} Налог на прибыль{3} Налог на прибыль у источника, удержанный и уплаченный с доходов других организаций (кроме налога с дивидендов){4} Бюджет иностранного государства</v>
      </c>
      <c r="AR18" s="651" t="str">
        <f t="shared" si="35"/>
        <v/>
      </c>
      <c r="AS18" s="2610" t="s">
        <v>4903</v>
      </c>
      <c r="AT18" s="2610">
        <v>99</v>
      </c>
      <c r="AV18" s="2610" t="s">
        <v>4906</v>
      </c>
      <c r="AW18" s="2835">
        <f t="shared" si="11"/>
        <v>0</v>
      </c>
      <c r="AX18" s="2835">
        <f t="shared" si="12"/>
        <v>0</v>
      </c>
      <c r="AY18" s="2835">
        <f t="shared" si="13"/>
        <v>0</v>
      </c>
      <c r="AZ18" s="2835">
        <f t="shared" si="14"/>
        <v>0</v>
      </c>
      <c r="BA18" s="2835">
        <f t="shared" si="15"/>
        <v>0</v>
      </c>
      <c r="BB18" s="2835">
        <f t="shared" si="16"/>
        <v>0</v>
      </c>
      <c r="BC18" s="2835">
        <f t="shared" si="17"/>
        <v>0</v>
      </c>
      <c r="BD18" s="2835">
        <f t="shared" si="18"/>
        <v>0</v>
      </c>
    </row>
    <row r="19" spans="1:56" s="651" customFormat="1">
      <c r="A19" s="2427" t="str">
        <f t="shared" ca="1" si="27"/>
        <v>R5=;R6=;R33=;R21=;R42=;R22=;R36=;R43=;COM=</v>
      </c>
      <c r="B19" s="1569"/>
      <c r="C19" s="2536"/>
      <c r="D19" s="2537"/>
      <c r="E19" s="2537"/>
      <c r="F19" s="1009"/>
      <c r="G19" s="1009"/>
      <c r="H19" s="1009"/>
      <c r="I19" s="1009"/>
      <c r="J19" s="1009"/>
      <c r="K19" s="1009"/>
      <c r="L19" s="1534">
        <f t="shared" si="19"/>
        <v>0</v>
      </c>
      <c r="M19" s="1009"/>
      <c r="N19" s="1009"/>
      <c r="O19" s="1534">
        <f t="shared" si="20"/>
        <v>0</v>
      </c>
      <c r="P19" s="1491"/>
      <c r="Q19" s="1009"/>
      <c r="R19" s="1009"/>
      <c r="S19" s="1009"/>
      <c r="T19" s="1009"/>
      <c r="U19" s="1009"/>
      <c r="V19" s="1009"/>
      <c r="W19" s="1009"/>
      <c r="X19" s="1491"/>
      <c r="Y19" s="1009"/>
      <c r="Z19" s="1009"/>
      <c r="AA19" s="1534">
        <f t="shared" si="28"/>
        <v>0</v>
      </c>
      <c r="AB19" s="1534">
        <f t="shared" si="38"/>
        <v>0</v>
      </c>
      <c r="AC19" s="1009"/>
      <c r="AD19" s="1534">
        <f t="shared" si="30"/>
        <v>0</v>
      </c>
      <c r="AE19" s="1492"/>
      <c r="AF19" s="2603" t="b">
        <f t="shared" si="31"/>
        <v>1</v>
      </c>
      <c r="AG19" s="2604" t="b">
        <f t="shared" si="36"/>
        <v>1</v>
      </c>
      <c r="AH19" s="2605" t="b">
        <f t="shared" si="37"/>
        <v>1</v>
      </c>
      <c r="AI19" s="2605" t="b">
        <f t="shared" si="23"/>
        <v>1</v>
      </c>
      <c r="AJ19" s="2605" t="b">
        <f t="shared" si="24"/>
        <v>1</v>
      </c>
      <c r="AK19" s="2605" t="b">
        <f t="shared" si="25"/>
        <v>1</v>
      </c>
      <c r="AL19" s="2603" t="b">
        <f t="shared" si="26"/>
        <v>1</v>
      </c>
      <c r="AM19" s="2610" t="s">
        <v>4911</v>
      </c>
      <c r="AN19" s="2610" t="s">
        <v>7154</v>
      </c>
      <c r="AO19" s="2610" t="s">
        <v>6761</v>
      </c>
      <c r="AP19" s="2607" t="str">
        <f t="shared" si="34"/>
        <v/>
      </c>
      <c r="AQ19" s="2610" t="str">
        <f t="shared" si="0"/>
        <v>{04} Налог на прибыль{4} Налог на прибыль (агентский), удержанный и уплаченный в бюджет другими организациями (кроме налога с дивидендов){1} Федеральный</v>
      </c>
      <c r="AR19" s="651" t="str">
        <f t="shared" si="35"/>
        <v/>
      </c>
      <c r="AS19" s="2610" t="s">
        <v>4914</v>
      </c>
      <c r="AT19" s="2610">
        <v>1</v>
      </c>
      <c r="AV19" s="2610" t="s">
        <v>3370</v>
      </c>
      <c r="AW19" s="2835">
        <f t="shared" si="11"/>
        <v>0</v>
      </c>
      <c r="AX19" s="2835">
        <f t="shared" si="12"/>
        <v>0</v>
      </c>
      <c r="AY19" s="2835">
        <f t="shared" si="13"/>
        <v>0</v>
      </c>
      <c r="AZ19" s="2835">
        <f t="shared" si="14"/>
        <v>0</v>
      </c>
      <c r="BA19" s="2835">
        <f t="shared" si="15"/>
        <v>0</v>
      </c>
      <c r="BB19" s="2835">
        <f t="shared" si="16"/>
        <v>0</v>
      </c>
      <c r="BC19" s="2835">
        <f t="shared" si="17"/>
        <v>0</v>
      </c>
      <c r="BD19" s="2835">
        <f t="shared" si="18"/>
        <v>0</v>
      </c>
    </row>
    <row r="20" spans="1:56" s="651" customFormat="1">
      <c r="A20" s="2427" t="str">
        <f t="shared" ca="1" si="27"/>
        <v>R5=;R6=;R33=;R21=;R42=;R22=;R36=;R43=;COM=</v>
      </c>
      <c r="B20" s="1569"/>
      <c r="C20" s="2536"/>
      <c r="D20" s="2537"/>
      <c r="E20" s="2537"/>
      <c r="F20" s="1009"/>
      <c r="G20" s="1009"/>
      <c r="H20" s="1009"/>
      <c r="I20" s="1009"/>
      <c r="J20" s="1009"/>
      <c r="K20" s="1009"/>
      <c r="L20" s="1534">
        <f t="shared" si="19"/>
        <v>0</v>
      </c>
      <c r="M20" s="1009"/>
      <c r="N20" s="1009"/>
      <c r="O20" s="1534">
        <f t="shared" si="20"/>
        <v>0</v>
      </c>
      <c r="P20" s="1491"/>
      <c r="Q20" s="1009"/>
      <c r="R20" s="1009"/>
      <c r="S20" s="1009"/>
      <c r="T20" s="1009"/>
      <c r="U20" s="1009"/>
      <c r="V20" s="1009"/>
      <c r="W20" s="1009"/>
      <c r="X20" s="1491"/>
      <c r="Y20" s="1009"/>
      <c r="Z20" s="1009"/>
      <c r="AA20" s="1534">
        <f t="shared" si="28"/>
        <v>0</v>
      </c>
      <c r="AB20" s="1534">
        <f t="shared" si="38"/>
        <v>0</v>
      </c>
      <c r="AC20" s="1009"/>
      <c r="AD20" s="1534">
        <f t="shared" si="30"/>
        <v>0</v>
      </c>
      <c r="AE20" s="1492"/>
      <c r="AF20" s="2603" t="b">
        <f t="shared" si="31"/>
        <v>1</v>
      </c>
      <c r="AG20" s="2604" t="b">
        <f t="shared" si="36"/>
        <v>1</v>
      </c>
      <c r="AH20" s="2605" t="b">
        <f t="shared" si="37"/>
        <v>1</v>
      </c>
      <c r="AI20" s="2605" t="b">
        <f t="shared" si="23"/>
        <v>1</v>
      </c>
      <c r="AJ20" s="2605" t="b">
        <f t="shared" si="24"/>
        <v>1</v>
      </c>
      <c r="AK20" s="2605" t="b">
        <f t="shared" si="25"/>
        <v>1</v>
      </c>
      <c r="AL20" s="2603" t="b">
        <f t="shared" si="26"/>
        <v>1</v>
      </c>
      <c r="AM20" s="2610" t="s">
        <v>4911</v>
      </c>
      <c r="AN20" s="2610" t="s">
        <v>7154</v>
      </c>
      <c r="AO20" s="2610" t="s">
        <v>6759</v>
      </c>
      <c r="AP20" s="2607" t="str">
        <f t="shared" si="34"/>
        <v/>
      </c>
      <c r="AQ20" s="2610" t="str">
        <f t="shared" si="0"/>
        <v>{04} Налог на прибыль{4} Налог на прибыль (агентский), удержанный и уплаченный в бюджет другими организациями (кроме налога с дивидендов){4} Бюджет иностранного государства</v>
      </c>
      <c r="AR20" s="651" t="str">
        <f t="shared" si="35"/>
        <v/>
      </c>
      <c r="AS20" s="2610" t="s">
        <v>4909</v>
      </c>
      <c r="AT20" s="2610">
        <v>4</v>
      </c>
      <c r="AV20" s="2610" t="s">
        <v>4904</v>
      </c>
      <c r="AW20" s="2835">
        <f t="shared" si="11"/>
        <v>0</v>
      </c>
      <c r="AX20" s="2835">
        <f t="shared" si="12"/>
        <v>0</v>
      </c>
      <c r="AY20" s="2835">
        <f t="shared" si="13"/>
        <v>0</v>
      </c>
      <c r="AZ20" s="2835">
        <f t="shared" si="14"/>
        <v>0</v>
      </c>
      <c r="BA20" s="2835">
        <f t="shared" si="15"/>
        <v>0</v>
      </c>
      <c r="BB20" s="2835">
        <f t="shared" si="16"/>
        <v>0</v>
      </c>
      <c r="BC20" s="2835">
        <f t="shared" si="17"/>
        <v>0</v>
      </c>
      <c r="BD20" s="2835">
        <f t="shared" si="18"/>
        <v>0</v>
      </c>
    </row>
    <row r="21" spans="1:56" s="651" customFormat="1">
      <c r="A21" s="2427" t="str">
        <f t="shared" ca="1" si="27"/>
        <v>R5=;R6=;R33=;R21=;R42=;R22=;R36=;R43=;COM=</v>
      </c>
      <c r="B21" s="1569"/>
      <c r="C21" s="2536"/>
      <c r="D21" s="2537"/>
      <c r="E21" s="2537"/>
      <c r="F21" s="1009"/>
      <c r="G21" s="1009"/>
      <c r="H21" s="1009"/>
      <c r="I21" s="1009"/>
      <c r="J21" s="1009"/>
      <c r="K21" s="1009"/>
      <c r="L21" s="1534">
        <f t="shared" si="19"/>
        <v>0</v>
      </c>
      <c r="M21" s="1009"/>
      <c r="N21" s="1009"/>
      <c r="O21" s="1534">
        <f t="shared" si="20"/>
        <v>0</v>
      </c>
      <c r="P21" s="1491"/>
      <c r="Q21" s="1009"/>
      <c r="R21" s="1009"/>
      <c r="S21" s="1009"/>
      <c r="T21" s="1009"/>
      <c r="U21" s="1009"/>
      <c r="V21" s="1009"/>
      <c r="W21" s="1009"/>
      <c r="X21" s="1491"/>
      <c r="Y21" s="2313"/>
      <c r="Z21" s="2313"/>
      <c r="AA21" s="1534">
        <f t="shared" ref="AA21:AA29" si="39">Y21-Z21</f>
        <v>0</v>
      </c>
      <c r="AB21" s="1534">
        <f t="shared" ref="AB21:AB29" si="40">(J21+M21)+SUM(P21:X21)-Y21</f>
        <v>0</v>
      </c>
      <c r="AC21" s="1009"/>
      <c r="AD21" s="1534">
        <f t="shared" ref="AD21:AD29" si="41">AB21-AC21</f>
        <v>0</v>
      </c>
      <c r="AE21" s="1492"/>
      <c r="AF21" s="2603" t="b">
        <f t="shared" si="31"/>
        <v>1</v>
      </c>
      <c r="AG21" s="2604" t="b">
        <f t="shared" si="36"/>
        <v>1</v>
      </c>
      <c r="AH21" s="2605" t="b">
        <f t="shared" si="37"/>
        <v>1</v>
      </c>
      <c r="AI21" s="2605" t="b">
        <f t="shared" si="23"/>
        <v>1</v>
      </c>
      <c r="AJ21" s="2605" t="b">
        <f t="shared" si="24"/>
        <v>1</v>
      </c>
      <c r="AK21" s="2605" t="b">
        <f t="shared" si="25"/>
        <v>1</v>
      </c>
      <c r="AL21" s="2603" t="b">
        <f t="shared" si="26"/>
        <v>1</v>
      </c>
      <c r="AM21" s="2610" t="s">
        <v>4910</v>
      </c>
      <c r="AN21" s="2610" t="s">
        <v>4184</v>
      </c>
      <c r="AO21" s="2610" t="s">
        <v>6761</v>
      </c>
      <c r="AP21" s="2607" t="str">
        <f t="shared" si="34"/>
        <v/>
      </c>
      <c r="AQ21" s="2610" t="str">
        <f t="shared" si="0"/>
        <v>{05} Налог на добычу полезных ископаемыхХ{1} Федеральный</v>
      </c>
      <c r="AR21" s="651" t="str">
        <f t="shared" si="35"/>
        <v/>
      </c>
      <c r="AS21" s="2610" t="s">
        <v>4908</v>
      </c>
      <c r="AT21" s="2610">
        <v>8</v>
      </c>
      <c r="AV21" s="2610" t="s">
        <v>7697</v>
      </c>
      <c r="AW21" s="2835">
        <f t="shared" si="11"/>
        <v>0</v>
      </c>
      <c r="AX21" s="2835">
        <f t="shared" si="12"/>
        <v>0</v>
      </c>
      <c r="AY21" s="2835">
        <f t="shared" si="13"/>
        <v>0</v>
      </c>
      <c r="AZ21" s="2835">
        <f t="shared" si="14"/>
        <v>0</v>
      </c>
      <c r="BA21" s="2835">
        <f t="shared" si="15"/>
        <v>0</v>
      </c>
      <c r="BB21" s="2835">
        <f t="shared" si="16"/>
        <v>0</v>
      </c>
      <c r="BC21" s="2835">
        <f t="shared" si="17"/>
        <v>0</v>
      </c>
      <c r="BD21" s="2835">
        <f t="shared" si="18"/>
        <v>0</v>
      </c>
    </row>
    <row r="22" spans="1:56" s="651" customFormat="1">
      <c r="A22" s="2427" t="str">
        <f t="shared" ca="1" si="27"/>
        <v>R5=;R6=;R33=;R21=;R42=;R22=;R36=;R43=;COM=</v>
      </c>
      <c r="B22" s="1569"/>
      <c r="C22" s="2536"/>
      <c r="D22" s="2537"/>
      <c r="E22" s="2537"/>
      <c r="F22" s="1009"/>
      <c r="G22" s="1009"/>
      <c r="H22" s="1009"/>
      <c r="I22" s="1009"/>
      <c r="J22" s="1009"/>
      <c r="K22" s="1009"/>
      <c r="L22" s="1534">
        <f t="shared" si="19"/>
        <v>0</v>
      </c>
      <c r="M22" s="1009"/>
      <c r="N22" s="1009"/>
      <c r="O22" s="1534">
        <f t="shared" si="20"/>
        <v>0</v>
      </c>
      <c r="P22" s="1491"/>
      <c r="Q22" s="1009"/>
      <c r="R22" s="1009"/>
      <c r="S22" s="1009"/>
      <c r="T22" s="1009"/>
      <c r="U22" s="1009"/>
      <c r="V22" s="1009"/>
      <c r="W22" s="1009"/>
      <c r="X22" s="1491"/>
      <c r="Y22" s="2313"/>
      <c r="Z22" s="2313"/>
      <c r="AA22" s="1534">
        <f t="shared" si="39"/>
        <v>0</v>
      </c>
      <c r="AB22" s="1534">
        <f t="shared" si="40"/>
        <v>0</v>
      </c>
      <c r="AC22" s="1009"/>
      <c r="AD22" s="1534">
        <f t="shared" si="41"/>
        <v>0</v>
      </c>
      <c r="AE22" s="1492"/>
      <c r="AF22" s="2603" t="b">
        <f t="shared" si="31"/>
        <v>1</v>
      </c>
      <c r="AG22" s="2604" t="b">
        <f t="shared" si="36"/>
        <v>1</v>
      </c>
      <c r="AH22" s="2605" t="b">
        <f t="shared" si="37"/>
        <v>1</v>
      </c>
      <c r="AI22" s="2605" t="b">
        <f t="shared" si="23"/>
        <v>1</v>
      </c>
      <c r="AJ22" s="2605" t="b">
        <f t="shared" si="24"/>
        <v>1</v>
      </c>
      <c r="AK22" s="2605" t="b">
        <f t="shared" si="25"/>
        <v>1</v>
      </c>
      <c r="AL22" s="2603" t="b">
        <f t="shared" si="26"/>
        <v>1</v>
      </c>
      <c r="AM22" s="2610" t="s">
        <v>4910</v>
      </c>
      <c r="AN22" s="2610" t="s">
        <v>4184</v>
      </c>
      <c r="AO22" s="2610" t="s">
        <v>6762</v>
      </c>
      <c r="AP22" s="2607" t="str">
        <f t="shared" si="34"/>
        <v/>
      </c>
      <c r="AQ22" s="2610" t="str">
        <f t="shared" si="0"/>
        <v>{05} Налог на добычу полезных ископаемыхХ{2} Бюджет субъектов РФ</v>
      </c>
      <c r="AR22" s="651" t="str">
        <f t="shared" si="35"/>
        <v/>
      </c>
      <c r="AS22" s="2610" t="s">
        <v>4906</v>
      </c>
      <c r="AT22" s="2610">
        <v>13</v>
      </c>
      <c r="AV22" s="2610" t="s">
        <v>7150</v>
      </c>
      <c r="AW22" s="2835">
        <f t="shared" si="11"/>
        <v>0</v>
      </c>
      <c r="AX22" s="2835">
        <f t="shared" si="12"/>
        <v>0</v>
      </c>
      <c r="AY22" s="2835">
        <f t="shared" si="13"/>
        <v>0</v>
      </c>
      <c r="AZ22" s="2835">
        <f t="shared" si="14"/>
        <v>0</v>
      </c>
      <c r="BA22" s="2835">
        <f t="shared" si="15"/>
        <v>0</v>
      </c>
      <c r="BB22" s="2835">
        <f t="shared" si="16"/>
        <v>0</v>
      </c>
      <c r="BC22" s="2835">
        <f t="shared" si="17"/>
        <v>0</v>
      </c>
      <c r="BD22" s="2835">
        <f t="shared" si="18"/>
        <v>0</v>
      </c>
    </row>
    <row r="23" spans="1:56" s="651" customFormat="1">
      <c r="A23" s="2427" t="str">
        <f t="shared" ca="1" si="27"/>
        <v>R5=;R6=;R33=;R21=;R42=;R22=;R36=;R43=;COM=</v>
      </c>
      <c r="B23" s="1569"/>
      <c r="C23" s="2536"/>
      <c r="D23" s="2537"/>
      <c r="E23" s="2537"/>
      <c r="F23" s="1009"/>
      <c r="G23" s="1009"/>
      <c r="H23" s="1009"/>
      <c r="I23" s="1009"/>
      <c r="J23" s="1009"/>
      <c r="K23" s="1009"/>
      <c r="L23" s="1534">
        <f t="shared" si="19"/>
        <v>0</v>
      </c>
      <c r="M23" s="1009"/>
      <c r="N23" s="1009"/>
      <c r="O23" s="1534">
        <f t="shared" si="20"/>
        <v>0</v>
      </c>
      <c r="P23" s="1491"/>
      <c r="Q23" s="1009"/>
      <c r="R23" s="1009"/>
      <c r="S23" s="1009"/>
      <c r="T23" s="1009"/>
      <c r="U23" s="1009"/>
      <c r="V23" s="1009"/>
      <c r="W23" s="1009"/>
      <c r="X23" s="1491"/>
      <c r="Y23" s="2313"/>
      <c r="Z23" s="2313"/>
      <c r="AA23" s="1534">
        <f t="shared" si="39"/>
        <v>0</v>
      </c>
      <c r="AB23" s="1534">
        <f t="shared" si="40"/>
        <v>0</v>
      </c>
      <c r="AC23" s="1009"/>
      <c r="AD23" s="1534">
        <f t="shared" si="41"/>
        <v>0</v>
      </c>
      <c r="AE23" s="1492"/>
      <c r="AF23" s="2603" t="b">
        <f t="shared" si="31"/>
        <v>1</v>
      </c>
      <c r="AG23" s="2604" t="b">
        <f t="shared" si="36"/>
        <v>1</v>
      </c>
      <c r="AH23" s="2605" t="b">
        <f t="shared" si="37"/>
        <v>1</v>
      </c>
      <c r="AI23" s="2605" t="b">
        <f t="shared" si="23"/>
        <v>1</v>
      </c>
      <c r="AJ23" s="2605" t="b">
        <f t="shared" si="24"/>
        <v>1</v>
      </c>
      <c r="AK23" s="2605" t="b">
        <f t="shared" si="25"/>
        <v>1</v>
      </c>
      <c r="AL23" s="2603" t="b">
        <f t="shared" si="26"/>
        <v>1</v>
      </c>
      <c r="AM23" s="2610" t="s">
        <v>4910</v>
      </c>
      <c r="AN23" s="2610" t="s">
        <v>4184</v>
      </c>
      <c r="AO23" s="2610" t="s">
        <v>6759</v>
      </c>
      <c r="AP23" s="2607" t="str">
        <f t="shared" si="34"/>
        <v/>
      </c>
      <c r="AQ23" s="2610" t="str">
        <f t="shared" si="0"/>
        <v>{05} Налог на добычу полезных ископаемыхХ{4} Бюджет иностранного государства</v>
      </c>
      <c r="AR23" s="651" t="str">
        <f t="shared" si="35"/>
        <v/>
      </c>
      <c r="AS23" s="2610" t="s">
        <v>8433</v>
      </c>
      <c r="AT23" s="2610">
        <v>17</v>
      </c>
      <c r="AV23" s="2610" t="s">
        <v>7151</v>
      </c>
      <c r="AW23" s="2835">
        <f t="shared" si="11"/>
        <v>0</v>
      </c>
      <c r="AX23" s="2835">
        <f t="shared" si="12"/>
        <v>0</v>
      </c>
      <c r="AY23" s="2835">
        <f t="shared" si="13"/>
        <v>0</v>
      </c>
      <c r="AZ23" s="2835">
        <f t="shared" si="14"/>
        <v>0</v>
      </c>
      <c r="BA23" s="2835">
        <f t="shared" si="15"/>
        <v>0</v>
      </c>
      <c r="BB23" s="2835">
        <f t="shared" si="16"/>
        <v>0</v>
      </c>
      <c r="BC23" s="2835">
        <f t="shared" si="17"/>
        <v>0</v>
      </c>
      <c r="BD23" s="2835">
        <f t="shared" si="18"/>
        <v>0</v>
      </c>
    </row>
    <row r="24" spans="1:56" s="651" customFormat="1">
      <c r="A24" s="2427" t="str">
        <f t="shared" ca="1" si="27"/>
        <v>R5=;R6=;R33=;R21=;R42=;R22=;R36=;R43=;COM=</v>
      </c>
      <c r="B24" s="1569"/>
      <c r="C24" s="2536"/>
      <c r="D24" s="2537"/>
      <c r="E24" s="2537"/>
      <c r="F24" s="1009"/>
      <c r="G24" s="1009"/>
      <c r="H24" s="1009"/>
      <c r="I24" s="1009"/>
      <c r="J24" s="1009"/>
      <c r="K24" s="1009"/>
      <c r="L24" s="1534">
        <f t="shared" si="19"/>
        <v>0</v>
      </c>
      <c r="M24" s="1009"/>
      <c r="N24" s="1009"/>
      <c r="O24" s="1534">
        <f t="shared" si="20"/>
        <v>0</v>
      </c>
      <c r="P24" s="1491"/>
      <c r="Q24" s="1009"/>
      <c r="R24" s="1009"/>
      <c r="S24" s="1009"/>
      <c r="T24" s="1009"/>
      <c r="U24" s="1009"/>
      <c r="V24" s="1009"/>
      <c r="W24" s="1009"/>
      <c r="X24" s="1491"/>
      <c r="Y24" s="2313"/>
      <c r="Z24" s="2313"/>
      <c r="AA24" s="1534">
        <f t="shared" si="39"/>
        <v>0</v>
      </c>
      <c r="AB24" s="1534">
        <f t="shared" si="40"/>
        <v>0</v>
      </c>
      <c r="AC24" s="1009"/>
      <c r="AD24" s="1534">
        <f t="shared" si="41"/>
        <v>0</v>
      </c>
      <c r="AE24" s="1492"/>
      <c r="AF24" s="2603" t="b">
        <f t="shared" si="31"/>
        <v>1</v>
      </c>
      <c r="AG24" s="2604" t="b">
        <f t="shared" si="36"/>
        <v>1</v>
      </c>
      <c r="AH24" s="2605" t="b">
        <f t="shared" si="37"/>
        <v>1</v>
      </c>
      <c r="AI24" s="2605" t="b">
        <f t="shared" si="23"/>
        <v>1</v>
      </c>
      <c r="AJ24" s="2605" t="b">
        <f t="shared" si="24"/>
        <v>1</v>
      </c>
      <c r="AK24" s="2605" t="b">
        <f t="shared" si="25"/>
        <v>1</v>
      </c>
      <c r="AL24" s="2603" t="b">
        <f t="shared" si="26"/>
        <v>1</v>
      </c>
      <c r="AM24" s="2610" t="s">
        <v>4905</v>
      </c>
      <c r="AN24" s="2610" t="s">
        <v>4184</v>
      </c>
      <c r="AO24" s="2610" t="s">
        <v>6761</v>
      </c>
      <c r="AP24" s="2607" t="str">
        <f t="shared" si="34"/>
        <v/>
      </c>
      <c r="AQ24" s="2610" t="str">
        <f t="shared" si="0"/>
        <v>{06} Водный налогХ{1} Федеральный</v>
      </c>
      <c r="AR24" s="651" t="str">
        <f t="shared" si="35"/>
        <v/>
      </c>
      <c r="AS24" s="2610" t="s">
        <v>8434</v>
      </c>
      <c r="AT24" s="2610">
        <v>17</v>
      </c>
      <c r="AV24" s="2610" t="s">
        <v>4903</v>
      </c>
      <c r="AW24" s="2835">
        <f t="shared" si="11"/>
        <v>0</v>
      </c>
      <c r="AX24" s="2835">
        <f t="shared" si="12"/>
        <v>0</v>
      </c>
      <c r="AY24" s="2835">
        <f t="shared" si="13"/>
        <v>0</v>
      </c>
      <c r="AZ24" s="2835">
        <f t="shared" si="14"/>
        <v>0</v>
      </c>
      <c r="BA24" s="2835">
        <f t="shared" si="15"/>
        <v>0</v>
      </c>
      <c r="BB24" s="2835">
        <f t="shared" si="16"/>
        <v>0</v>
      </c>
      <c r="BC24" s="2835">
        <f t="shared" si="17"/>
        <v>0</v>
      </c>
      <c r="BD24" s="2835">
        <f t="shared" si="18"/>
        <v>0</v>
      </c>
    </row>
    <row r="25" spans="1:56" s="651" customFormat="1">
      <c r="A25" s="2427" t="str">
        <f t="shared" ca="1" si="27"/>
        <v>R5=;R6=;R33=;R21=;R42=;R22=;R36=;R43=;COM=</v>
      </c>
      <c r="B25" s="1569"/>
      <c r="C25" s="2536"/>
      <c r="D25" s="2537"/>
      <c r="E25" s="2537"/>
      <c r="F25" s="1009"/>
      <c r="G25" s="1009"/>
      <c r="H25" s="1009"/>
      <c r="I25" s="1009"/>
      <c r="J25" s="1009"/>
      <c r="K25" s="1009"/>
      <c r="L25" s="1534">
        <f t="shared" si="19"/>
        <v>0</v>
      </c>
      <c r="M25" s="1009"/>
      <c r="N25" s="1009"/>
      <c r="O25" s="1534">
        <f t="shared" si="20"/>
        <v>0</v>
      </c>
      <c r="P25" s="1491"/>
      <c r="Q25" s="1009"/>
      <c r="R25" s="1009"/>
      <c r="S25" s="1009"/>
      <c r="T25" s="1009"/>
      <c r="U25" s="1009"/>
      <c r="V25" s="1009"/>
      <c r="W25" s="1009"/>
      <c r="X25" s="1491"/>
      <c r="Y25" s="2313"/>
      <c r="Z25" s="2313"/>
      <c r="AA25" s="1534">
        <f t="shared" si="39"/>
        <v>0</v>
      </c>
      <c r="AB25" s="1534">
        <f t="shared" si="40"/>
        <v>0</v>
      </c>
      <c r="AC25" s="1009"/>
      <c r="AD25" s="1534">
        <f t="shared" si="41"/>
        <v>0</v>
      </c>
      <c r="AE25" s="1492"/>
      <c r="AF25" s="2603" t="b">
        <f t="shared" si="31"/>
        <v>1</v>
      </c>
      <c r="AG25" s="2604" t="b">
        <f t="shared" si="36"/>
        <v>1</v>
      </c>
      <c r="AH25" s="2605" t="b">
        <f t="shared" si="37"/>
        <v>1</v>
      </c>
      <c r="AI25" s="2605" t="b">
        <f t="shared" si="23"/>
        <v>1</v>
      </c>
      <c r="AJ25" s="2605" t="b">
        <f t="shared" si="24"/>
        <v>1</v>
      </c>
      <c r="AK25" s="2605" t="b">
        <f t="shared" si="25"/>
        <v>1</v>
      </c>
      <c r="AL25" s="2603" t="b">
        <f t="shared" si="26"/>
        <v>1</v>
      </c>
      <c r="AM25" s="2610" t="s">
        <v>4905</v>
      </c>
      <c r="AN25" s="2610" t="s">
        <v>4184</v>
      </c>
      <c r="AO25" s="2610" t="s">
        <v>6759</v>
      </c>
      <c r="AP25" s="2607" t="str">
        <f t="shared" si="34"/>
        <v/>
      </c>
      <c r="AQ25" s="2610" t="str">
        <f t="shared" si="0"/>
        <v>{06} Водный налогХ{4} Бюджет иностранного государства</v>
      </c>
      <c r="AR25" s="651" t="str">
        <f t="shared" si="35"/>
        <v/>
      </c>
      <c r="AS25" s="2610" t="s">
        <v>8435</v>
      </c>
      <c r="AT25" s="2610">
        <v>17</v>
      </c>
      <c r="AV25" s="2610"/>
      <c r="AW25" s="2835"/>
    </row>
    <row r="26" spans="1:56" s="651" customFormat="1">
      <c r="A26" s="2427" t="str">
        <f t="shared" ca="1" si="27"/>
        <v>R5=;R6=;R33=;R21=;R42=;R22=;R36=;R43=;COM=</v>
      </c>
      <c r="B26" s="1569"/>
      <c r="C26" s="2536"/>
      <c r="D26" s="2537"/>
      <c r="E26" s="2537"/>
      <c r="F26" s="1009"/>
      <c r="G26" s="1009"/>
      <c r="H26" s="1009"/>
      <c r="I26" s="1009"/>
      <c r="J26" s="1009"/>
      <c r="K26" s="1009"/>
      <c r="L26" s="1534">
        <f t="shared" si="19"/>
        <v>0</v>
      </c>
      <c r="M26" s="1009"/>
      <c r="N26" s="1009"/>
      <c r="O26" s="1534">
        <f t="shared" si="20"/>
        <v>0</v>
      </c>
      <c r="P26" s="1491"/>
      <c r="Q26" s="1009"/>
      <c r="R26" s="1009"/>
      <c r="S26" s="1009"/>
      <c r="T26" s="1009"/>
      <c r="U26" s="1009"/>
      <c r="V26" s="1009"/>
      <c r="W26" s="1009"/>
      <c r="X26" s="1491"/>
      <c r="Y26" s="2313"/>
      <c r="Z26" s="2313"/>
      <c r="AA26" s="1534">
        <f t="shared" si="39"/>
        <v>0</v>
      </c>
      <c r="AB26" s="1534">
        <f t="shared" si="40"/>
        <v>0</v>
      </c>
      <c r="AC26" s="1009"/>
      <c r="AD26" s="1534">
        <f t="shared" si="41"/>
        <v>0</v>
      </c>
      <c r="AE26" s="1492"/>
      <c r="AF26" s="2603" t="b">
        <f t="shared" si="31"/>
        <v>1</v>
      </c>
      <c r="AG26" s="2604" t="b">
        <f t="shared" si="36"/>
        <v>1</v>
      </c>
      <c r="AH26" s="2605" t="b">
        <f t="shared" si="37"/>
        <v>1</v>
      </c>
      <c r="AI26" s="2605" t="b">
        <f t="shared" si="23"/>
        <v>1</v>
      </c>
      <c r="AJ26" s="2605" t="b">
        <f t="shared" si="24"/>
        <v>1</v>
      </c>
      <c r="AK26" s="2605" t="b">
        <f t="shared" si="25"/>
        <v>1</v>
      </c>
      <c r="AL26" s="2603" t="b">
        <f t="shared" si="26"/>
        <v>1</v>
      </c>
      <c r="AM26" s="2610" t="s">
        <v>4909</v>
      </c>
      <c r="AN26" s="2610" t="s">
        <v>4184</v>
      </c>
      <c r="AO26" s="2610" t="s">
        <v>6762</v>
      </c>
      <c r="AP26" s="2607" t="str">
        <f t="shared" si="34"/>
        <v/>
      </c>
      <c r="AQ26" s="2610" t="str">
        <f t="shared" si="0"/>
        <v>{07} Транспортный налогХ{2} Бюджет субъектов РФ</v>
      </c>
      <c r="AR26" s="651" t="str">
        <f t="shared" si="35"/>
        <v/>
      </c>
      <c r="AS26" s="2610" t="s">
        <v>8187</v>
      </c>
      <c r="AT26" s="2610">
        <v>17</v>
      </c>
      <c r="AV26" s="2610"/>
      <c r="AW26" s="2835"/>
    </row>
    <row r="27" spans="1:56" s="651" customFormat="1">
      <c r="A27" s="2427" t="str">
        <f t="shared" ca="1" si="27"/>
        <v>R5=;R6=;R33=;R21=;R42=;R22=;R36=;R43=;COM=</v>
      </c>
      <c r="B27" s="1569"/>
      <c r="C27" s="2536"/>
      <c r="D27" s="2537"/>
      <c r="E27" s="2537"/>
      <c r="F27" s="1009"/>
      <c r="G27" s="1009"/>
      <c r="H27" s="1009"/>
      <c r="I27" s="1009"/>
      <c r="J27" s="1009"/>
      <c r="K27" s="1009"/>
      <c r="L27" s="1534">
        <f t="shared" si="19"/>
        <v>0</v>
      </c>
      <c r="M27" s="1009"/>
      <c r="N27" s="1009"/>
      <c r="O27" s="1534">
        <f t="shared" si="20"/>
        <v>0</v>
      </c>
      <c r="P27" s="1491"/>
      <c r="Q27" s="1009"/>
      <c r="R27" s="1009"/>
      <c r="S27" s="1009"/>
      <c r="T27" s="1009"/>
      <c r="U27" s="1009"/>
      <c r="V27" s="1009"/>
      <c r="W27" s="1009"/>
      <c r="X27" s="1491"/>
      <c r="Y27" s="2313"/>
      <c r="Z27" s="2313"/>
      <c r="AA27" s="1534">
        <f t="shared" si="39"/>
        <v>0</v>
      </c>
      <c r="AB27" s="1534">
        <f t="shared" si="40"/>
        <v>0</v>
      </c>
      <c r="AC27" s="1009"/>
      <c r="AD27" s="1534">
        <f t="shared" si="41"/>
        <v>0</v>
      </c>
      <c r="AE27" s="1492"/>
      <c r="AF27" s="2603" t="b">
        <f t="shared" si="31"/>
        <v>1</v>
      </c>
      <c r="AG27" s="2604" t="b">
        <f t="shared" si="36"/>
        <v>1</v>
      </c>
      <c r="AH27" s="2605" t="b">
        <f t="shared" si="37"/>
        <v>1</v>
      </c>
      <c r="AI27" s="2605" t="b">
        <f t="shared" si="23"/>
        <v>1</v>
      </c>
      <c r="AJ27" s="2605" t="b">
        <f t="shared" si="24"/>
        <v>1</v>
      </c>
      <c r="AK27" s="2605" t="b">
        <f t="shared" si="25"/>
        <v>1</v>
      </c>
      <c r="AL27" s="2603" t="b">
        <f t="shared" si="26"/>
        <v>1</v>
      </c>
      <c r="AM27" s="2610" t="s">
        <v>4909</v>
      </c>
      <c r="AN27" s="2610" t="s">
        <v>4184</v>
      </c>
      <c r="AO27" s="2610" t="s">
        <v>6759</v>
      </c>
      <c r="AP27" s="2607" t="str">
        <f t="shared" si="34"/>
        <v/>
      </c>
      <c r="AQ27" s="2610" t="str">
        <f t="shared" si="0"/>
        <v>{07} Транспортный налогХ{4} Бюджет иностранного государства</v>
      </c>
      <c r="AR27" s="651" t="str">
        <f t="shared" si="35"/>
        <v/>
      </c>
      <c r="AV27" s="2610"/>
      <c r="AW27" s="2835"/>
    </row>
    <row r="28" spans="1:56" s="651" customFormat="1">
      <c r="A28" s="2427" t="str">
        <f t="shared" ca="1" si="27"/>
        <v>R5=;R6=;R33=;R21=;R42=;R22=;R36=;R43=;COM=</v>
      </c>
      <c r="B28" s="1569"/>
      <c r="C28" s="2536"/>
      <c r="D28" s="2537"/>
      <c r="E28" s="2537"/>
      <c r="F28" s="1009"/>
      <c r="G28" s="1491"/>
      <c r="H28" s="1491"/>
      <c r="I28" s="1491"/>
      <c r="J28" s="1491"/>
      <c r="K28" s="1491"/>
      <c r="L28" s="1534">
        <f t="shared" si="19"/>
        <v>0</v>
      </c>
      <c r="M28" s="1009"/>
      <c r="N28" s="1009"/>
      <c r="O28" s="1534">
        <f t="shared" si="20"/>
        <v>0</v>
      </c>
      <c r="P28" s="1491"/>
      <c r="Q28" s="1009"/>
      <c r="R28" s="1009"/>
      <c r="S28" s="1009"/>
      <c r="T28" s="1009"/>
      <c r="U28" s="1009"/>
      <c r="V28" s="1009"/>
      <c r="W28" s="1009"/>
      <c r="X28" s="1491"/>
      <c r="Y28" s="2313"/>
      <c r="Z28" s="2313"/>
      <c r="AA28" s="1534">
        <f t="shared" si="39"/>
        <v>0</v>
      </c>
      <c r="AB28" s="1534">
        <f t="shared" si="40"/>
        <v>0</v>
      </c>
      <c r="AC28" s="1009"/>
      <c r="AD28" s="1534">
        <f t="shared" si="41"/>
        <v>0</v>
      </c>
      <c r="AE28" s="1492"/>
      <c r="AF28" s="2603" t="b">
        <f t="shared" si="31"/>
        <v>1</v>
      </c>
      <c r="AG28" s="2604" t="b">
        <f t="shared" si="36"/>
        <v>1</v>
      </c>
      <c r="AH28" s="2605" t="b">
        <f t="shared" si="37"/>
        <v>1</v>
      </c>
      <c r="AI28" s="2605" t="b">
        <f t="shared" si="23"/>
        <v>1</v>
      </c>
      <c r="AJ28" s="2605" t="b">
        <f t="shared" si="24"/>
        <v>1</v>
      </c>
      <c r="AK28" s="2605" t="b">
        <f t="shared" si="25"/>
        <v>1</v>
      </c>
      <c r="AL28" s="2603" t="b">
        <f t="shared" si="26"/>
        <v>1</v>
      </c>
      <c r="AM28" s="2610" t="s">
        <v>4908</v>
      </c>
      <c r="AN28" s="2610" t="s">
        <v>4184</v>
      </c>
      <c r="AO28" s="2610" t="s">
        <v>6762</v>
      </c>
      <c r="AP28" s="2607" t="str">
        <f t="shared" si="34"/>
        <v/>
      </c>
      <c r="AQ28" s="2610" t="str">
        <f t="shared" si="0"/>
        <v>{08} Налог на имуществоХ{2} Бюджет субъектов РФ</v>
      </c>
      <c r="AR28" s="651" t="str">
        <f t="shared" si="35"/>
        <v/>
      </c>
      <c r="AV28" s="2610"/>
      <c r="AW28" s="2835"/>
    </row>
    <row r="29" spans="1:56" s="651" customFormat="1">
      <c r="A29" s="2427" t="str">
        <f t="shared" ca="1" si="27"/>
        <v>R5=;R6=;R33=;R21=;R42=;R22=;R36=;R43=;COM=</v>
      </c>
      <c r="B29" s="1569"/>
      <c r="C29" s="2536"/>
      <c r="D29" s="2537"/>
      <c r="E29" s="2537"/>
      <c r="F29" s="1009"/>
      <c r="G29" s="1491"/>
      <c r="H29" s="1491"/>
      <c r="I29" s="1491"/>
      <c r="J29" s="1491"/>
      <c r="K29" s="1491"/>
      <c r="L29" s="1534">
        <f t="shared" si="19"/>
        <v>0</v>
      </c>
      <c r="M29" s="1009"/>
      <c r="N29" s="1009"/>
      <c r="O29" s="1534">
        <f t="shared" si="20"/>
        <v>0</v>
      </c>
      <c r="P29" s="1491"/>
      <c r="Q29" s="1009"/>
      <c r="R29" s="1009"/>
      <c r="S29" s="1009"/>
      <c r="T29" s="1009"/>
      <c r="U29" s="1009"/>
      <c r="V29" s="1009"/>
      <c r="W29" s="1009"/>
      <c r="X29" s="1491"/>
      <c r="Y29" s="2313"/>
      <c r="Z29" s="2313"/>
      <c r="AA29" s="1534">
        <f t="shared" si="39"/>
        <v>0</v>
      </c>
      <c r="AB29" s="1534">
        <f t="shared" si="40"/>
        <v>0</v>
      </c>
      <c r="AC29" s="1009"/>
      <c r="AD29" s="1534">
        <f t="shared" si="41"/>
        <v>0</v>
      </c>
      <c r="AE29" s="1492"/>
      <c r="AF29" s="2603" t="b">
        <f t="shared" si="31"/>
        <v>1</v>
      </c>
      <c r="AG29" s="2604" t="b">
        <f t="shared" si="36"/>
        <v>1</v>
      </c>
      <c r="AH29" s="2605" t="b">
        <f t="shared" si="37"/>
        <v>1</v>
      </c>
      <c r="AI29" s="2605" t="b">
        <f t="shared" si="23"/>
        <v>1</v>
      </c>
      <c r="AJ29" s="2605" t="b">
        <f t="shared" si="24"/>
        <v>1</v>
      </c>
      <c r="AK29" s="2605" t="b">
        <f t="shared" si="25"/>
        <v>1</v>
      </c>
      <c r="AL29" s="2603" t="b">
        <f t="shared" si="26"/>
        <v>1</v>
      </c>
      <c r="AM29" s="2610" t="s">
        <v>4908</v>
      </c>
      <c r="AN29" s="2610" t="s">
        <v>4184</v>
      </c>
      <c r="AO29" s="2610" t="s">
        <v>6759</v>
      </c>
      <c r="AP29" s="2607" t="str">
        <f t="shared" si="34"/>
        <v/>
      </c>
      <c r="AQ29" s="2610" t="str">
        <f t="shared" si="0"/>
        <v>{08} Налог на имуществоХ{4} Бюджет иностранного государства</v>
      </c>
      <c r="AR29" s="651" t="str">
        <f t="shared" si="35"/>
        <v/>
      </c>
      <c r="AS29" s="743"/>
      <c r="AV29"/>
      <c r="AW29" s="2835"/>
    </row>
    <row r="30" spans="1:56" s="651" customFormat="1">
      <c r="A30" s="2427" t="str">
        <f t="shared" ca="1" si="27"/>
        <v>R5=;R6=;R33=;R21=;R42=;R22=;R36=;R43=;COM=</v>
      </c>
      <c r="B30" s="1569"/>
      <c r="C30" s="2536"/>
      <c r="D30" s="2537"/>
      <c r="E30" s="2537"/>
      <c r="F30" s="1009"/>
      <c r="G30" s="1491"/>
      <c r="H30" s="1491"/>
      <c r="I30" s="1491"/>
      <c r="J30" s="1491"/>
      <c r="K30" s="1491"/>
      <c r="L30" s="1534">
        <f t="shared" ref="L30" si="42">J30-K30</f>
        <v>0</v>
      </c>
      <c r="M30" s="1009"/>
      <c r="N30" s="1009"/>
      <c r="O30" s="1534">
        <f t="shared" ref="O30" si="43">M30-N30</f>
        <v>0</v>
      </c>
      <c r="P30" s="1491"/>
      <c r="Q30" s="1009"/>
      <c r="R30" s="1009"/>
      <c r="S30" s="1009"/>
      <c r="T30" s="1009"/>
      <c r="U30" s="1009"/>
      <c r="V30" s="1009"/>
      <c r="W30" s="1009"/>
      <c r="X30" s="1491"/>
      <c r="Y30" s="2313"/>
      <c r="Z30" s="2313"/>
      <c r="AA30" s="1534">
        <f t="shared" ref="AA30" si="44">Y30-Z30</f>
        <v>0</v>
      </c>
      <c r="AB30" s="1534">
        <f t="shared" ref="AB30" si="45">(J30+M30)+SUM(P30:X30)-Y30</f>
        <v>0</v>
      </c>
      <c r="AC30" s="1009"/>
      <c r="AD30" s="1534">
        <f t="shared" ref="AD30" si="46">AB30-AC30</f>
        <v>0</v>
      </c>
      <c r="AE30" s="1492"/>
      <c r="AF30" s="2603" t="b">
        <f t="shared" si="31"/>
        <v>1</v>
      </c>
      <c r="AG30" s="2604" t="b">
        <f t="shared" si="36"/>
        <v>1</v>
      </c>
      <c r="AH30" s="2605" t="b">
        <f t="shared" si="37"/>
        <v>1</v>
      </c>
      <c r="AI30" s="2605" t="b">
        <f t="shared" si="23"/>
        <v>1</v>
      </c>
      <c r="AJ30" s="2605" t="b">
        <f t="shared" si="24"/>
        <v>1</v>
      </c>
      <c r="AK30" s="2605" t="b">
        <f t="shared" si="25"/>
        <v>1</v>
      </c>
      <c r="AL30" s="2603" t="b">
        <f t="shared" si="26"/>
        <v>1</v>
      </c>
      <c r="AM30" s="2719" t="s">
        <v>4907</v>
      </c>
      <c r="AN30" s="2610" t="s">
        <v>4184</v>
      </c>
      <c r="AO30" s="2719" t="s">
        <v>4184</v>
      </c>
      <c r="AP30" s="2607" t="str">
        <f t="shared" si="34"/>
        <v/>
      </c>
      <c r="AQ30" s="2610" t="str">
        <f t="shared" si="0"/>
        <v>{11} ЕНВДХХ</v>
      </c>
      <c r="AR30" s="651" t="str">
        <f t="shared" si="35"/>
        <v/>
      </c>
      <c r="AS30" s="743"/>
      <c r="AV30"/>
      <c r="AW30" s="2835"/>
    </row>
    <row r="31" spans="1:56" s="651" customFormat="1">
      <c r="A31" s="2427" t="str">
        <f t="shared" ca="1" si="27"/>
        <v>R5=;R6=;R33=;R21=;R42=;R22=;R36=;R43=;COM=</v>
      </c>
      <c r="B31" s="1569"/>
      <c r="C31" s="2536"/>
      <c r="D31" s="2537"/>
      <c r="E31" s="2537"/>
      <c r="F31" s="1009"/>
      <c r="G31" s="1491"/>
      <c r="H31" s="1491"/>
      <c r="I31" s="1491"/>
      <c r="J31" s="1491"/>
      <c r="K31" s="1491"/>
      <c r="L31" s="1534">
        <f t="shared" ref="L31" si="47">J31-K31</f>
        <v>0</v>
      </c>
      <c r="M31" s="1009"/>
      <c r="N31" s="1009"/>
      <c r="O31" s="1534">
        <f t="shared" ref="O31" si="48">M31-N31</f>
        <v>0</v>
      </c>
      <c r="P31" s="1491"/>
      <c r="Q31" s="1009"/>
      <c r="R31" s="1009"/>
      <c r="S31" s="1009"/>
      <c r="T31" s="1009"/>
      <c r="U31" s="1009"/>
      <c r="V31" s="1009"/>
      <c r="W31" s="1009"/>
      <c r="X31" s="1491"/>
      <c r="Y31" s="2313"/>
      <c r="Z31" s="2313"/>
      <c r="AA31" s="1534">
        <f t="shared" ref="AA31" si="49">Y31-Z31</f>
        <v>0</v>
      </c>
      <c r="AB31" s="1534">
        <f t="shared" ref="AB31" si="50">(J31+M31)+SUM(P31:X31)-Y31</f>
        <v>0</v>
      </c>
      <c r="AC31" s="1009"/>
      <c r="AD31" s="1534">
        <f t="shared" ref="AD31" si="51">AB31-AC31</f>
        <v>0</v>
      </c>
      <c r="AE31" s="1492"/>
      <c r="AF31" s="2603" t="b">
        <f t="shared" si="31"/>
        <v>1</v>
      </c>
      <c r="AG31" s="2604" t="b">
        <f t="shared" si="36"/>
        <v>1</v>
      </c>
      <c r="AH31" s="2605" t="b">
        <f t="shared" si="37"/>
        <v>1</v>
      </c>
      <c r="AI31" s="2605" t="b">
        <f t="shared" si="23"/>
        <v>1</v>
      </c>
      <c r="AJ31" s="2605" t="b">
        <f t="shared" si="24"/>
        <v>1</v>
      </c>
      <c r="AK31" s="2605" t="b">
        <f t="shared" si="25"/>
        <v>1</v>
      </c>
      <c r="AL31" s="2603" t="b">
        <f t="shared" si="26"/>
        <v>1</v>
      </c>
      <c r="AM31" s="2610" t="s">
        <v>4906</v>
      </c>
      <c r="AN31" s="2610" t="s">
        <v>4184</v>
      </c>
      <c r="AO31" s="2610" t="s">
        <v>6762</v>
      </c>
      <c r="AP31" s="2607" t="str">
        <f t="shared" si="34"/>
        <v/>
      </c>
      <c r="AQ31" s="2610" t="str">
        <f t="shared" si="0"/>
        <v>{13} Земельный налогХ{2} Бюджет субъектов РФ</v>
      </c>
      <c r="AR31" s="651" t="str">
        <f t="shared" si="35"/>
        <v/>
      </c>
      <c r="AS31" s="743"/>
      <c r="AV31"/>
      <c r="AW31" s="2835"/>
    </row>
    <row r="32" spans="1:56" s="651" customFormat="1">
      <c r="A32" s="2427" t="str">
        <f t="shared" ca="1" si="27"/>
        <v>R5=;R6=;R33=;R21=;R42=;R22=;R36=;R43=;COM=</v>
      </c>
      <c r="B32" s="1569"/>
      <c r="C32" s="2536"/>
      <c r="D32" s="2537"/>
      <c r="E32" s="2537"/>
      <c r="F32" s="1009"/>
      <c r="G32" s="1491"/>
      <c r="H32" s="1491"/>
      <c r="I32" s="1491"/>
      <c r="J32" s="1491"/>
      <c r="K32" s="1491"/>
      <c r="L32" s="1534">
        <f t="shared" ref="L32" si="52">J32-K32</f>
        <v>0</v>
      </c>
      <c r="M32" s="1009"/>
      <c r="N32" s="1009"/>
      <c r="O32" s="1534">
        <f t="shared" ref="O32" si="53">M32-N32</f>
        <v>0</v>
      </c>
      <c r="P32" s="1491"/>
      <c r="Q32" s="1009"/>
      <c r="R32" s="1009"/>
      <c r="S32" s="1009"/>
      <c r="T32" s="1009"/>
      <c r="U32" s="1009"/>
      <c r="V32" s="1009"/>
      <c r="W32" s="1009"/>
      <c r="X32" s="1491"/>
      <c r="Y32" s="2313"/>
      <c r="Z32" s="2313"/>
      <c r="AA32" s="1534">
        <f t="shared" ref="AA32" si="54">Y32-Z32</f>
        <v>0</v>
      </c>
      <c r="AB32" s="1534">
        <f t="shared" ref="AB32" si="55">(J32+M32)+SUM(P32:X32)-Y32</f>
        <v>0</v>
      </c>
      <c r="AC32" s="1009"/>
      <c r="AD32" s="1534">
        <f t="shared" ref="AD32" si="56">AB32-AC32</f>
        <v>0</v>
      </c>
      <c r="AE32" s="1492"/>
      <c r="AF32" s="2603" t="b">
        <f t="shared" si="31"/>
        <v>1</v>
      </c>
      <c r="AG32" s="2604" t="b">
        <f t="shared" si="36"/>
        <v>1</v>
      </c>
      <c r="AH32" s="2605" t="b">
        <f t="shared" si="37"/>
        <v>1</v>
      </c>
      <c r="AI32" s="2605" t="b">
        <f t="shared" si="23"/>
        <v>1</v>
      </c>
      <c r="AJ32" s="2605" t="b">
        <f t="shared" si="24"/>
        <v>1</v>
      </c>
      <c r="AK32" s="2605" t="b">
        <f t="shared" si="25"/>
        <v>1</v>
      </c>
      <c r="AL32" s="2603" t="b">
        <f t="shared" si="26"/>
        <v>1</v>
      </c>
      <c r="AM32" s="2610" t="s">
        <v>4906</v>
      </c>
      <c r="AN32" s="2610" t="s">
        <v>4184</v>
      </c>
      <c r="AO32" s="2610" t="s">
        <v>6759</v>
      </c>
      <c r="AP32" s="2607" t="str">
        <f t="shared" si="34"/>
        <v/>
      </c>
      <c r="AQ32" s="2610" t="str">
        <f t="shared" si="0"/>
        <v>{13} Земельный налогХ{4} Бюджет иностранного государства</v>
      </c>
      <c r="AR32" s="651" t="str">
        <f t="shared" si="35"/>
        <v/>
      </c>
      <c r="AS32" s="743"/>
      <c r="AV32"/>
      <c r="AW32" s="2835"/>
    </row>
    <row r="33" spans="1:49" s="651" customFormat="1">
      <c r="A33" s="2427" t="str">
        <f t="shared" ca="1" si="27"/>
        <v>R5=;R6=;R33=;R21=;R42=;R22=;R36=;R43=;COM=</v>
      </c>
      <c r="B33" s="1569"/>
      <c r="C33" s="2536"/>
      <c r="D33" s="2537"/>
      <c r="E33" s="2537"/>
      <c r="F33" s="1009"/>
      <c r="G33" s="1491"/>
      <c r="H33" s="1491"/>
      <c r="I33" s="1491"/>
      <c r="J33" s="1491"/>
      <c r="K33" s="1491"/>
      <c r="L33" s="1534">
        <f t="shared" ref="L33" si="57">J33-K33</f>
        <v>0</v>
      </c>
      <c r="M33" s="1009"/>
      <c r="N33" s="1009"/>
      <c r="O33" s="1534">
        <f t="shared" ref="O33" si="58">M33-N33</f>
        <v>0</v>
      </c>
      <c r="P33" s="1491"/>
      <c r="Q33" s="1009"/>
      <c r="R33" s="1009"/>
      <c r="S33" s="1009"/>
      <c r="T33" s="1009"/>
      <c r="U33" s="1009"/>
      <c r="V33" s="1009"/>
      <c r="W33" s="1009"/>
      <c r="X33" s="1491"/>
      <c r="Y33" s="2313"/>
      <c r="Z33" s="2313"/>
      <c r="AA33" s="1534">
        <f t="shared" ref="AA33" si="59">Y33-Z33</f>
        <v>0</v>
      </c>
      <c r="AB33" s="1534">
        <f t="shared" ref="AB33" si="60">(J33+M33)+SUM(P33:X33)-Y33</f>
        <v>0</v>
      </c>
      <c r="AC33" s="1009"/>
      <c r="AD33" s="1534">
        <f t="shared" ref="AD33" si="61">AB33-AC33</f>
        <v>0</v>
      </c>
      <c r="AE33" s="1492"/>
      <c r="AF33" s="2603" t="b">
        <f t="shared" si="31"/>
        <v>1</v>
      </c>
      <c r="AG33" s="2604" t="b">
        <f t="shared" si="36"/>
        <v>1</v>
      </c>
      <c r="AH33" s="2605" t="b">
        <f t="shared" si="37"/>
        <v>1</v>
      </c>
      <c r="AI33" s="2605" t="b">
        <f t="shared" si="23"/>
        <v>1</v>
      </c>
      <c r="AJ33" s="2605" t="b">
        <f t="shared" si="24"/>
        <v>1</v>
      </c>
      <c r="AK33" s="2605" t="b">
        <f t="shared" si="25"/>
        <v>1</v>
      </c>
      <c r="AL33" s="2603" t="b">
        <f t="shared" si="26"/>
        <v>1</v>
      </c>
      <c r="AM33" s="2610" t="s">
        <v>3370</v>
      </c>
      <c r="AN33" s="2610" t="s">
        <v>4184</v>
      </c>
      <c r="AO33" s="2610" t="s">
        <v>6761</v>
      </c>
      <c r="AP33" s="2607" t="str">
        <f t="shared" si="34"/>
        <v/>
      </c>
      <c r="AQ33" s="2610" t="str">
        <f t="shared" si="0"/>
        <v>{14} ГоспошлинаХ{1} Федеральный</v>
      </c>
      <c r="AR33" s="651" t="str">
        <f t="shared" si="35"/>
        <v/>
      </c>
      <c r="AS33" s="743"/>
      <c r="AV33"/>
      <c r="AW33" s="2835"/>
    </row>
    <row r="34" spans="1:49" s="651" customFormat="1">
      <c r="A34" s="2427" t="str">
        <f t="shared" ca="1" si="27"/>
        <v>R5=;R6=;R33=;R21=;R42=;R22=;R36=;R43=;COM=</v>
      </c>
      <c r="B34" s="1569"/>
      <c r="C34" s="2536"/>
      <c r="D34" s="2537"/>
      <c r="E34" s="2537"/>
      <c r="F34" s="1009"/>
      <c r="G34" s="1491"/>
      <c r="H34" s="1491"/>
      <c r="I34" s="1491"/>
      <c r="J34" s="1491"/>
      <c r="K34" s="1491"/>
      <c r="L34" s="1534">
        <f t="shared" ref="L34" si="62">J34-K34</f>
        <v>0</v>
      </c>
      <c r="M34" s="1009"/>
      <c r="N34" s="1009"/>
      <c r="O34" s="1534">
        <f t="shared" ref="O34" si="63">M34-N34</f>
        <v>0</v>
      </c>
      <c r="P34" s="1491"/>
      <c r="Q34" s="1009"/>
      <c r="R34" s="1009"/>
      <c r="S34" s="1009"/>
      <c r="T34" s="1009"/>
      <c r="U34" s="1009"/>
      <c r="V34" s="1009"/>
      <c r="W34" s="1009"/>
      <c r="X34" s="1491"/>
      <c r="Y34" s="2313"/>
      <c r="Z34" s="2313"/>
      <c r="AA34" s="1534">
        <f t="shared" ref="AA34" si="64">Y34-Z34</f>
        <v>0</v>
      </c>
      <c r="AB34" s="1534">
        <f t="shared" ref="AB34" si="65">(J34+M34)+SUM(P34:X34)-Y34</f>
        <v>0</v>
      </c>
      <c r="AC34" s="1009"/>
      <c r="AD34" s="1534">
        <f t="shared" ref="AD34" si="66">AB34-AC34</f>
        <v>0</v>
      </c>
      <c r="AE34" s="1492"/>
      <c r="AF34" s="2603" t="b">
        <f t="shared" si="31"/>
        <v>1</v>
      </c>
      <c r="AG34" s="2604" t="b">
        <f t="shared" si="36"/>
        <v>1</v>
      </c>
      <c r="AH34" s="2605" t="b">
        <f t="shared" si="37"/>
        <v>1</v>
      </c>
      <c r="AI34" s="2605" t="b">
        <f t="shared" si="23"/>
        <v>1</v>
      </c>
      <c r="AJ34" s="2605" t="b">
        <f t="shared" si="24"/>
        <v>1</v>
      </c>
      <c r="AK34" s="2605" t="b">
        <f t="shared" si="25"/>
        <v>1</v>
      </c>
      <c r="AL34" s="2603" t="b">
        <f t="shared" si="26"/>
        <v>1</v>
      </c>
      <c r="AM34" s="2610" t="s">
        <v>3370</v>
      </c>
      <c r="AN34" s="2610" t="s">
        <v>4184</v>
      </c>
      <c r="AO34" s="2610" t="s">
        <v>6759</v>
      </c>
      <c r="AP34" s="2607" t="str">
        <f t="shared" si="34"/>
        <v/>
      </c>
      <c r="AQ34" s="2610" t="str">
        <f t="shared" si="0"/>
        <v>{14} ГоспошлинаХ{4} Бюджет иностранного государства</v>
      </c>
      <c r="AR34" s="651" t="str">
        <f t="shared" si="35"/>
        <v/>
      </c>
      <c r="AS34" s="743"/>
      <c r="AV34"/>
      <c r="AW34" s="2835"/>
    </row>
    <row r="35" spans="1:49" s="651" customFormat="1">
      <c r="A35" s="2427" t="str">
        <f t="shared" ca="1" si="27"/>
        <v>R5=;R6=;R33=;R21=;R42=;R22=;R36=;R43=;COM=</v>
      </c>
      <c r="B35" s="1569"/>
      <c r="C35" s="2536"/>
      <c r="D35" s="2537"/>
      <c r="E35" s="2537"/>
      <c r="F35" s="1009"/>
      <c r="G35" s="1491"/>
      <c r="H35" s="1491"/>
      <c r="I35" s="1491"/>
      <c r="J35" s="1491"/>
      <c r="K35" s="1491"/>
      <c r="L35" s="1534">
        <f t="shared" ref="L35" si="67">J35-K35</f>
        <v>0</v>
      </c>
      <c r="M35" s="1009"/>
      <c r="N35" s="1009"/>
      <c r="O35" s="1534">
        <f t="shared" ref="O35" si="68">M35-N35</f>
        <v>0</v>
      </c>
      <c r="P35" s="1491"/>
      <c r="Q35" s="1009"/>
      <c r="R35" s="1009"/>
      <c r="S35" s="1009"/>
      <c r="T35" s="1009"/>
      <c r="U35" s="1009"/>
      <c r="V35" s="1009"/>
      <c r="W35" s="1009"/>
      <c r="X35" s="1491"/>
      <c r="Y35" s="2313"/>
      <c r="Z35" s="2313"/>
      <c r="AA35" s="1534">
        <f t="shared" ref="AA35" si="69">Y35-Z35</f>
        <v>0</v>
      </c>
      <c r="AB35" s="1534">
        <f t="shared" ref="AB35" si="70">(J35+M35)+SUM(P35:X35)-Y35</f>
        <v>0</v>
      </c>
      <c r="AC35" s="1009"/>
      <c r="AD35" s="1534">
        <f t="shared" ref="AD35" si="71">AB35-AC35</f>
        <v>0</v>
      </c>
      <c r="AE35" s="1492"/>
      <c r="AF35" s="2603" t="b">
        <f t="shared" si="31"/>
        <v>1</v>
      </c>
      <c r="AG35" s="2604" t="b">
        <f t="shared" si="36"/>
        <v>1</v>
      </c>
      <c r="AH35" s="2605" t="b">
        <f t="shared" si="37"/>
        <v>1</v>
      </c>
      <c r="AI35" s="2605" t="b">
        <f t="shared" si="23"/>
        <v>1</v>
      </c>
      <c r="AJ35" s="2605" t="b">
        <f t="shared" si="24"/>
        <v>1</v>
      </c>
      <c r="AK35" s="2605" t="b">
        <f t="shared" si="25"/>
        <v>1</v>
      </c>
      <c r="AL35" s="2603" t="b">
        <f t="shared" si="26"/>
        <v>1</v>
      </c>
      <c r="AM35" s="2719" t="s">
        <v>4904</v>
      </c>
      <c r="AN35" s="2610" t="s">
        <v>4184</v>
      </c>
      <c r="AO35" s="2719" t="s">
        <v>4184</v>
      </c>
      <c r="AP35" s="2607" t="str">
        <f t="shared" si="34"/>
        <v/>
      </c>
      <c r="AQ35" s="2610" t="str">
        <f t="shared" si="0"/>
        <v>{15} Сборы за пользование объектами животного мира и за пользование объектами водных биологических ресурсовХХ</v>
      </c>
      <c r="AR35" s="651" t="str">
        <f t="shared" si="35"/>
        <v/>
      </c>
      <c r="AS35" s="743"/>
      <c r="AV35"/>
      <c r="AW35" s="2835"/>
    </row>
    <row r="36" spans="1:49" s="651" customFormat="1">
      <c r="A36" s="2427" t="str">
        <f t="shared" ca="1" si="27"/>
        <v>R5=;R6=;R33=;R21=;R42=;R22=;R36=;R43=;COM=</v>
      </c>
      <c r="B36" s="1569"/>
      <c r="C36" s="2536"/>
      <c r="D36" s="2537"/>
      <c r="E36" s="2537"/>
      <c r="F36" s="1009"/>
      <c r="G36" s="1491"/>
      <c r="H36" s="1491"/>
      <c r="I36" s="1491"/>
      <c r="J36" s="1491"/>
      <c r="K36" s="1491"/>
      <c r="L36" s="1534">
        <f t="shared" ref="L36" si="72">J36-K36</f>
        <v>0</v>
      </c>
      <c r="M36" s="1009"/>
      <c r="N36" s="1009"/>
      <c r="O36" s="1534">
        <f t="shared" ref="O36" si="73">M36-N36</f>
        <v>0</v>
      </c>
      <c r="P36" s="1491"/>
      <c r="Q36" s="1009"/>
      <c r="R36" s="1009"/>
      <c r="S36" s="1009"/>
      <c r="T36" s="1009"/>
      <c r="U36" s="1009"/>
      <c r="V36" s="1009"/>
      <c r="W36" s="1009"/>
      <c r="X36" s="1491"/>
      <c r="Y36" s="2313"/>
      <c r="Z36" s="2313"/>
      <c r="AA36" s="1534">
        <f t="shared" ref="AA36" si="74">Y36-Z36</f>
        <v>0</v>
      </c>
      <c r="AB36" s="1534">
        <f t="shared" ref="AB36" si="75">(J36+M36)+SUM(P36:X36)-Y36</f>
        <v>0</v>
      </c>
      <c r="AC36" s="1009"/>
      <c r="AD36" s="1534">
        <f t="shared" ref="AD36" si="76">AB36-AC36</f>
        <v>0</v>
      </c>
      <c r="AE36" s="1492"/>
      <c r="AF36" s="2603" t="b">
        <f t="shared" si="31"/>
        <v>1</v>
      </c>
      <c r="AG36" s="2604" t="b">
        <f t="shared" si="36"/>
        <v>1</v>
      </c>
      <c r="AH36" s="2605" t="b">
        <f t="shared" si="37"/>
        <v>1</v>
      </c>
      <c r="AI36" s="2605" t="b">
        <f t="shared" si="23"/>
        <v>1</v>
      </c>
      <c r="AJ36" s="2605" t="b">
        <f t="shared" si="24"/>
        <v>1</v>
      </c>
      <c r="AK36" s="2605" t="b">
        <f t="shared" si="25"/>
        <v>1</v>
      </c>
      <c r="AL36" s="2603" t="b">
        <f t="shared" si="26"/>
        <v>1</v>
      </c>
      <c r="AM36" s="2719" t="s">
        <v>7697</v>
      </c>
      <c r="AN36" s="2610" t="s">
        <v>4184</v>
      </c>
      <c r="AO36" s="2719" t="s">
        <v>4184</v>
      </c>
      <c r="AP36" s="2607" t="str">
        <f t="shared" si="34"/>
        <v/>
      </c>
      <c r="AQ36" s="2610" t="str">
        <f t="shared" si="0"/>
        <v>{17} - {20} ЕСНХХ</v>
      </c>
      <c r="AR36" s="651" t="str">
        <f t="shared" si="35"/>
        <v/>
      </c>
      <c r="AS36" s="743"/>
      <c r="AV36"/>
      <c r="AW36" s="2835"/>
    </row>
    <row r="37" spans="1:49" s="651" customFormat="1">
      <c r="A37" s="2427" t="str">
        <f t="shared" ca="1" si="27"/>
        <v>R5=;R6=;R33=;R21=;R42=;R22=;R36=;R43=;COM=</v>
      </c>
      <c r="B37" s="1569"/>
      <c r="C37" s="2536"/>
      <c r="D37" s="2537"/>
      <c r="E37" s="2537"/>
      <c r="F37" s="1009"/>
      <c r="G37" s="1491"/>
      <c r="H37" s="1491"/>
      <c r="I37" s="1491"/>
      <c r="J37" s="1491"/>
      <c r="K37" s="1491"/>
      <c r="L37" s="1534">
        <f t="shared" ref="L37" si="77">J37-K37</f>
        <v>0</v>
      </c>
      <c r="M37" s="1009"/>
      <c r="N37" s="1009"/>
      <c r="O37" s="1534">
        <f t="shared" ref="O37" si="78">M37-N37</f>
        <v>0</v>
      </c>
      <c r="P37" s="1491"/>
      <c r="Q37" s="1009"/>
      <c r="R37" s="1009"/>
      <c r="S37" s="1009"/>
      <c r="T37" s="1009"/>
      <c r="U37" s="1009"/>
      <c r="V37" s="1009"/>
      <c r="W37" s="1009"/>
      <c r="X37" s="1491"/>
      <c r="Y37" s="2313"/>
      <c r="Z37" s="2313"/>
      <c r="AA37" s="1534">
        <f t="shared" ref="AA37" si="79">Y37-Z37</f>
        <v>0</v>
      </c>
      <c r="AB37" s="1534">
        <f t="shared" ref="AB37" si="80">(J37+M37)+SUM(P37:X37)-Y37</f>
        <v>0</v>
      </c>
      <c r="AC37" s="1009"/>
      <c r="AD37" s="1534">
        <f t="shared" ref="AD37" si="81">AB37-AC37</f>
        <v>0</v>
      </c>
      <c r="AE37" s="1492"/>
      <c r="AF37" s="2603" t="b">
        <f t="shared" si="31"/>
        <v>1</v>
      </c>
      <c r="AG37" s="2604" t="b">
        <f t="shared" si="36"/>
        <v>1</v>
      </c>
      <c r="AH37" s="2605" t="b">
        <f t="shared" si="37"/>
        <v>1</v>
      </c>
      <c r="AI37" s="2605" t="b">
        <f t="shared" si="23"/>
        <v>1</v>
      </c>
      <c r="AJ37" s="2605" t="b">
        <f t="shared" si="24"/>
        <v>1</v>
      </c>
      <c r="AK37" s="2605" t="b">
        <f t="shared" si="25"/>
        <v>1</v>
      </c>
      <c r="AL37" s="2603" t="b">
        <f t="shared" si="26"/>
        <v>1</v>
      </c>
      <c r="AM37" s="2610" t="s">
        <v>7150</v>
      </c>
      <c r="AN37" s="2610" t="s">
        <v>4184</v>
      </c>
      <c r="AO37" s="2610" t="s">
        <v>6759</v>
      </c>
      <c r="AP37" s="2607" t="str">
        <f t="shared" si="34"/>
        <v/>
      </c>
      <c r="AQ37" s="2610" t="str">
        <f t="shared" si="0"/>
        <v>{21} Налоги и сборы социального характера в иностранный бюджетХ{4} Бюджет иностранного государства</v>
      </c>
      <c r="AR37" s="651" t="str">
        <f t="shared" si="35"/>
        <v/>
      </c>
      <c r="AS37" s="743"/>
      <c r="AV37"/>
      <c r="AW37" s="2835"/>
    </row>
    <row r="38" spans="1:49" s="651" customFormat="1">
      <c r="A38" s="2427" t="str">
        <f t="shared" ca="1" si="27"/>
        <v>R5=;R6=;R33=;R21=;R42=;R22=;R36=;R43=;COM=</v>
      </c>
      <c r="B38" s="1569"/>
      <c r="C38" s="2536"/>
      <c r="D38" s="2537"/>
      <c r="E38" s="2537"/>
      <c r="F38" s="1009"/>
      <c r="G38" s="1491"/>
      <c r="H38" s="1491"/>
      <c r="I38" s="1491"/>
      <c r="J38" s="1491"/>
      <c r="K38" s="1491"/>
      <c r="L38" s="1534">
        <f t="shared" ref="L38" si="82">J38-K38</f>
        <v>0</v>
      </c>
      <c r="M38" s="1009"/>
      <c r="N38" s="1009"/>
      <c r="O38" s="1534">
        <f t="shared" ref="O38" si="83">M38-N38</f>
        <v>0</v>
      </c>
      <c r="P38" s="1491"/>
      <c r="Q38" s="1009"/>
      <c r="R38" s="1009"/>
      <c r="S38" s="1009"/>
      <c r="T38" s="1009"/>
      <c r="U38" s="1009"/>
      <c r="V38" s="1009"/>
      <c r="W38" s="1009"/>
      <c r="X38" s="1491"/>
      <c r="Y38" s="2313"/>
      <c r="Z38" s="2313"/>
      <c r="AA38" s="1534">
        <f t="shared" ref="AA38" si="84">Y38-Z38</f>
        <v>0</v>
      </c>
      <c r="AB38" s="1534">
        <f t="shared" ref="AB38" si="85">(J38+M38)+SUM(P38:X38)-Y38</f>
        <v>0</v>
      </c>
      <c r="AC38" s="1009"/>
      <c r="AD38" s="1534">
        <f t="shared" ref="AD38" si="86">AB38-AC38</f>
        <v>0</v>
      </c>
      <c r="AE38" s="1492"/>
      <c r="AF38" s="2603" t="b">
        <f t="shared" si="31"/>
        <v>1</v>
      </c>
      <c r="AG38" s="2604" t="b">
        <f t="shared" si="36"/>
        <v>1</v>
      </c>
      <c r="AH38" s="2605" t="b">
        <f t="shared" si="37"/>
        <v>1</v>
      </c>
      <c r="AI38" s="2605" t="b">
        <f t="shared" si="23"/>
        <v>1</v>
      </c>
      <c r="AJ38" s="2605" t="b">
        <f t="shared" si="24"/>
        <v>1</v>
      </c>
      <c r="AK38" s="2605" t="b">
        <f t="shared" si="25"/>
        <v>1</v>
      </c>
      <c r="AL38" s="2603" t="b">
        <f t="shared" si="26"/>
        <v>1</v>
      </c>
      <c r="AM38" s="2610" t="s">
        <v>7151</v>
      </c>
      <c r="AN38" s="2610" t="s">
        <v>4184</v>
      </c>
      <c r="AO38" s="2610" t="s">
        <v>6761</v>
      </c>
      <c r="AP38" s="2607" t="str">
        <f t="shared" si="34"/>
        <v/>
      </c>
      <c r="AQ38" s="2610" t="str">
        <f t="shared" si="0"/>
        <v>{89} Налоги, удержанные и уплаченные в бюджет другими организациями (кроме налога на прибыль)Х{1} Федеральный</v>
      </c>
      <c r="AR38" s="651" t="str">
        <f t="shared" si="35"/>
        <v/>
      </c>
      <c r="AS38" s="743"/>
      <c r="AV38"/>
      <c r="AW38" s="2835"/>
    </row>
    <row r="39" spans="1:49" s="651" customFormat="1">
      <c r="A39" s="2427" t="str">
        <f t="shared" ca="1" si="27"/>
        <v>R5=;R6=;R33=;R21=;R42=;R22=;R36=;R43=;COM=</v>
      </c>
      <c r="B39" s="1569"/>
      <c r="C39" s="2536"/>
      <c r="D39" s="2537"/>
      <c r="E39" s="2537"/>
      <c r="F39" s="1009"/>
      <c r="G39" s="1491"/>
      <c r="H39" s="1491"/>
      <c r="I39" s="1491"/>
      <c r="J39" s="1491"/>
      <c r="K39" s="1491"/>
      <c r="L39" s="1534">
        <f t="shared" ref="L39" si="87">J39-K39</f>
        <v>0</v>
      </c>
      <c r="M39" s="1009"/>
      <c r="N39" s="1009"/>
      <c r="O39" s="1534">
        <f t="shared" ref="O39" si="88">M39-N39</f>
        <v>0</v>
      </c>
      <c r="P39" s="1491"/>
      <c r="Q39" s="1009"/>
      <c r="R39" s="1009"/>
      <c r="S39" s="1009"/>
      <c r="T39" s="1009"/>
      <c r="U39" s="1009"/>
      <c r="V39" s="1009"/>
      <c r="W39" s="1009"/>
      <c r="X39" s="1491"/>
      <c r="Y39" s="2313"/>
      <c r="Z39" s="2313"/>
      <c r="AA39" s="1534">
        <f t="shared" ref="AA39" si="89">Y39-Z39</f>
        <v>0</v>
      </c>
      <c r="AB39" s="1534">
        <f t="shared" ref="AB39" si="90">(J39+M39)+SUM(P39:X39)-Y39</f>
        <v>0</v>
      </c>
      <c r="AC39" s="1009"/>
      <c r="AD39" s="1534">
        <f t="shared" ref="AD39" si="91">AB39-AC39</f>
        <v>0</v>
      </c>
      <c r="AE39" s="1492"/>
      <c r="AF39" s="2603" t="b">
        <f t="shared" si="31"/>
        <v>1</v>
      </c>
      <c r="AG39" s="2604" t="b">
        <f t="shared" si="36"/>
        <v>1</v>
      </c>
      <c r="AH39" s="2605" t="b">
        <f t="shared" si="37"/>
        <v>1</v>
      </c>
      <c r="AI39" s="2605" t="b">
        <f t="shared" si="23"/>
        <v>1</v>
      </c>
      <c r="AJ39" s="2605" t="b">
        <f t="shared" si="24"/>
        <v>1</v>
      </c>
      <c r="AK39" s="2605" t="b">
        <f t="shared" si="25"/>
        <v>1</v>
      </c>
      <c r="AL39" s="2603" t="b">
        <f t="shared" si="26"/>
        <v>1</v>
      </c>
      <c r="AM39" s="2610" t="s">
        <v>7151</v>
      </c>
      <c r="AN39" s="2610" t="s">
        <v>4184</v>
      </c>
      <c r="AO39" s="2610" t="s">
        <v>6759</v>
      </c>
      <c r="AP39" s="2607" t="str">
        <f t="shared" si="34"/>
        <v/>
      </c>
      <c r="AQ39" s="2610" t="str">
        <f t="shared" si="0"/>
        <v>{89} Налоги, удержанные и уплаченные в бюджет другими организациями (кроме налога на прибыль)Х{4} Бюджет иностранного государства</v>
      </c>
      <c r="AR39" s="651" t="str">
        <f t="shared" si="35"/>
        <v/>
      </c>
      <c r="AS39" s="743"/>
      <c r="AV39"/>
      <c r="AW39" s="2835"/>
    </row>
    <row r="40" spans="1:49" s="651" customFormat="1">
      <c r="A40" s="2427" t="str">
        <f t="shared" ca="1" si="27"/>
        <v>R5=;R6=;R33=;R21=;R42=;R22=;R36=;R43=;COM=</v>
      </c>
      <c r="B40" s="1569"/>
      <c r="C40" s="2536"/>
      <c r="D40" s="2537"/>
      <c r="E40" s="2537"/>
      <c r="F40" s="1009"/>
      <c r="G40" s="1491"/>
      <c r="H40" s="1491"/>
      <c r="I40" s="1491"/>
      <c r="J40" s="1491"/>
      <c r="K40" s="1491"/>
      <c r="L40" s="1534">
        <f t="shared" ref="L40" si="92">J40-K40</f>
        <v>0</v>
      </c>
      <c r="M40" s="1009"/>
      <c r="N40" s="1009"/>
      <c r="O40" s="1534">
        <f t="shared" ref="O40" si="93">M40-N40</f>
        <v>0</v>
      </c>
      <c r="P40" s="1491"/>
      <c r="Q40" s="1009"/>
      <c r="R40" s="1009"/>
      <c r="S40" s="1009"/>
      <c r="T40" s="1009"/>
      <c r="U40" s="1009"/>
      <c r="V40" s="1009"/>
      <c r="W40" s="1009"/>
      <c r="X40" s="1491"/>
      <c r="Y40" s="2313"/>
      <c r="Z40" s="2313"/>
      <c r="AA40" s="1534">
        <f t="shared" ref="AA40" si="94">Y40-Z40</f>
        <v>0</v>
      </c>
      <c r="AB40" s="1534">
        <f t="shared" ref="AB40" si="95">(J40+M40)+SUM(P40:X40)-Y40</f>
        <v>0</v>
      </c>
      <c r="AC40" s="1009"/>
      <c r="AD40" s="1534">
        <f t="shared" ref="AD40" si="96">AB40-AC40</f>
        <v>0</v>
      </c>
      <c r="AE40" s="1492"/>
      <c r="AF40" s="2603" t="b">
        <f t="shared" si="31"/>
        <v>1</v>
      </c>
      <c r="AG40" s="2604" t="b">
        <f t="shared" si="36"/>
        <v>1</v>
      </c>
      <c r="AH40" s="2605" t="b">
        <f t="shared" si="37"/>
        <v>1</v>
      </c>
      <c r="AI40" s="2605" t="b">
        <f t="shared" si="23"/>
        <v>1</v>
      </c>
      <c r="AJ40" s="2605" t="b">
        <f t="shared" si="24"/>
        <v>1</v>
      </c>
      <c r="AK40" s="2605" t="b">
        <f t="shared" si="25"/>
        <v>1</v>
      </c>
      <c r="AL40" s="2603" t="b">
        <f t="shared" si="26"/>
        <v>1</v>
      </c>
      <c r="AM40" s="2610" t="s">
        <v>4903</v>
      </c>
      <c r="AN40" s="2610" t="s">
        <v>4184</v>
      </c>
      <c r="AO40" s="2610" t="s">
        <v>6761</v>
      </c>
      <c r="AP40" s="2607" t="str">
        <f t="shared" si="34"/>
        <v/>
      </c>
      <c r="AQ40" s="2610" t="str">
        <f t="shared" si="0"/>
        <v>{99} ПрочиеХ{1} Федеральный</v>
      </c>
      <c r="AR40" s="651" t="str">
        <f t="shared" si="35"/>
        <v/>
      </c>
      <c r="AS40" s="743"/>
      <c r="AV40"/>
      <c r="AW40" s="2835"/>
    </row>
    <row r="41" spans="1:49" s="651" customFormat="1">
      <c r="A41" s="2427" t="str">
        <f t="shared" ca="1" si="27"/>
        <v>R5=;R6=;R33=;R21=;R42=;R22=;R36=;R43=;COM=</v>
      </c>
      <c r="B41" s="1569"/>
      <c r="C41" s="2536"/>
      <c r="D41" s="2537"/>
      <c r="E41" s="2537"/>
      <c r="F41" s="1009"/>
      <c r="G41" s="1491"/>
      <c r="H41" s="1491"/>
      <c r="I41" s="1491"/>
      <c r="J41" s="1491"/>
      <c r="K41" s="1491"/>
      <c r="L41" s="1534">
        <f t="shared" ref="L41" si="97">J41-K41</f>
        <v>0</v>
      </c>
      <c r="M41" s="1009"/>
      <c r="N41" s="1009"/>
      <c r="O41" s="1534">
        <f t="shared" ref="O41" si="98">M41-N41</f>
        <v>0</v>
      </c>
      <c r="P41" s="1491"/>
      <c r="Q41" s="1009"/>
      <c r="R41" s="1009"/>
      <c r="S41" s="1009"/>
      <c r="T41" s="1009"/>
      <c r="U41" s="1009"/>
      <c r="V41" s="1009"/>
      <c r="W41" s="1009"/>
      <c r="X41" s="1491"/>
      <c r="Y41" s="2313"/>
      <c r="Z41" s="2313"/>
      <c r="AA41" s="1534">
        <f t="shared" ref="AA41" si="99">Y41-Z41</f>
        <v>0</v>
      </c>
      <c r="AB41" s="1534">
        <f t="shared" ref="AB41" si="100">(J41+M41)+SUM(P41:X41)-Y41</f>
        <v>0</v>
      </c>
      <c r="AC41" s="1009"/>
      <c r="AD41" s="1534">
        <f t="shared" ref="AD41" si="101">AB41-AC41</f>
        <v>0</v>
      </c>
      <c r="AE41" s="1492"/>
      <c r="AF41" s="2603" t="b">
        <f t="shared" si="31"/>
        <v>1</v>
      </c>
      <c r="AG41" s="2604" t="b">
        <f t="shared" si="36"/>
        <v>1</v>
      </c>
      <c r="AH41" s="2605" t="b">
        <f t="shared" si="37"/>
        <v>1</v>
      </c>
      <c r="AI41" s="2605" t="b">
        <f t="shared" si="23"/>
        <v>1</v>
      </c>
      <c r="AJ41" s="2605" t="b">
        <f t="shared" si="24"/>
        <v>1</v>
      </c>
      <c r="AK41" s="2605" t="b">
        <f t="shared" si="25"/>
        <v>1</v>
      </c>
      <c r="AL41" s="2603" t="b">
        <f t="shared" si="26"/>
        <v>1</v>
      </c>
      <c r="AM41" s="2610" t="s">
        <v>4903</v>
      </c>
      <c r="AN41" s="2610" t="s">
        <v>4184</v>
      </c>
      <c r="AO41" s="2610" t="s">
        <v>6762</v>
      </c>
      <c r="AP41" s="2607" t="str">
        <f t="shared" si="34"/>
        <v/>
      </c>
      <c r="AQ41" s="2610" t="str">
        <f t="shared" si="0"/>
        <v>{99} ПрочиеХ{2} Бюджет субъектов РФ</v>
      </c>
      <c r="AR41" s="651" t="str">
        <f t="shared" si="35"/>
        <v/>
      </c>
      <c r="AS41" s="743"/>
      <c r="AV41"/>
      <c r="AW41" s="2835"/>
    </row>
    <row r="42" spans="1:49" s="651" customFormat="1">
      <c r="A42" s="2427" t="str">
        <f t="shared" ca="1" si="27"/>
        <v>R5=;R6=;R33=;R21=;R42=;R22=;R36=;R43=;COM=</v>
      </c>
      <c r="B42" s="1569"/>
      <c r="C42" s="2536"/>
      <c r="D42" s="2537"/>
      <c r="E42" s="2537"/>
      <c r="F42" s="1009"/>
      <c r="G42" s="1491"/>
      <c r="H42" s="1491"/>
      <c r="I42" s="1491"/>
      <c r="J42" s="1491"/>
      <c r="K42" s="1491"/>
      <c r="L42" s="1534">
        <f t="shared" ref="L42" si="102">J42-K42</f>
        <v>0</v>
      </c>
      <c r="M42" s="1009"/>
      <c r="N42" s="1009"/>
      <c r="O42" s="1534">
        <f t="shared" ref="O42" si="103">M42-N42</f>
        <v>0</v>
      </c>
      <c r="P42" s="1491"/>
      <c r="Q42" s="1009"/>
      <c r="R42" s="1009"/>
      <c r="S42" s="1009"/>
      <c r="T42" s="1009"/>
      <c r="U42" s="1009"/>
      <c r="V42" s="1009"/>
      <c r="W42" s="1009"/>
      <c r="X42" s="1491"/>
      <c r="Y42" s="2313"/>
      <c r="Z42" s="2313"/>
      <c r="AA42" s="1534">
        <f t="shared" ref="AA42" si="104">Y42-Z42</f>
        <v>0</v>
      </c>
      <c r="AB42" s="1534">
        <f t="shared" ref="AB42" si="105">(J42+M42)+SUM(P42:X42)-Y42</f>
        <v>0</v>
      </c>
      <c r="AC42" s="1009"/>
      <c r="AD42" s="1534">
        <f t="shared" ref="AD42" si="106">AB42-AC42</f>
        <v>0</v>
      </c>
      <c r="AE42" s="1492"/>
      <c r="AF42" s="2603" t="b">
        <f t="shared" si="31"/>
        <v>1</v>
      </c>
      <c r="AG42" s="2604" t="b">
        <f t="shared" si="36"/>
        <v>1</v>
      </c>
      <c r="AH42" s="2605" t="b">
        <f t="shared" si="37"/>
        <v>1</v>
      </c>
      <c r="AI42" s="2605" t="b">
        <f t="shared" ref="AI42:AI61" si="107">IF(C42&lt;&gt;"",IF(OR(C42=$AM$11,C42=$AM$30,C42=$AM$35,C42=$AM$43,C42=$AM$44,C42=$AM$45,C42=$AM$46),E42=$AO$11,OR(E42=$AO$7,E42=$AO$8,E42=$AO$9)),TRUE)</f>
        <v>1</v>
      </c>
      <c r="AJ42" s="2605" t="b">
        <f t="shared" si="24"/>
        <v>1</v>
      </c>
      <c r="AK42" s="2605" t="b">
        <f t="shared" ref="AK42:AK61" si="108">IF(E42&lt;&gt;"",IF(OR(E42=$AO$13,E42=$AO$14),F42&lt;&gt;$AN$7,IF(OR(E42=$AO$12,E42=$AN$7),F42=$AN$7)),TRUE)</f>
        <v>1</v>
      </c>
      <c r="AL42" s="2603" t="b">
        <f t="shared" ref="AL42:AL61" si="109">IF(AND(C42="",D42="",E42=""),TRUE,IF(ISNA(VLOOKUP(AP42,$AQ$7:$AQ$46,1,0)),FALSE,TRUE))</f>
        <v>1</v>
      </c>
      <c r="AM42" s="2610" t="s">
        <v>4903</v>
      </c>
      <c r="AN42" s="2610" t="s">
        <v>4184</v>
      </c>
      <c r="AO42" s="2610" t="s">
        <v>6759</v>
      </c>
      <c r="AP42" s="2607" t="str">
        <f t="shared" si="34"/>
        <v/>
      </c>
      <c r="AQ42" s="2610" t="str">
        <f t="shared" si="0"/>
        <v>{99} ПрочиеХ{4} Бюджет иностранного государства</v>
      </c>
      <c r="AR42" s="651" t="str">
        <f t="shared" si="35"/>
        <v/>
      </c>
      <c r="AS42" s="743"/>
      <c r="AV42"/>
      <c r="AW42" s="2835"/>
    </row>
    <row r="43" spans="1:49" s="651" customFormat="1">
      <c r="A43" s="2427" t="str">
        <f t="shared" ca="1" si="27"/>
        <v>R5=;R6=;R33=;R21=;R42=;R22=;R36=;R43=;COM=</v>
      </c>
      <c r="B43" s="1569"/>
      <c r="C43" s="2536"/>
      <c r="D43" s="2537"/>
      <c r="E43" s="2537"/>
      <c r="F43" s="1009"/>
      <c r="G43" s="1491"/>
      <c r="H43" s="1491"/>
      <c r="I43" s="1491"/>
      <c r="J43" s="1491"/>
      <c r="K43" s="1491"/>
      <c r="L43" s="1534">
        <f t="shared" ref="L43" si="110">J43-K43</f>
        <v>0</v>
      </c>
      <c r="M43" s="1009"/>
      <c r="N43" s="1009"/>
      <c r="O43" s="1534">
        <f t="shared" ref="O43" si="111">M43-N43</f>
        <v>0</v>
      </c>
      <c r="P43" s="1491"/>
      <c r="Q43" s="1009"/>
      <c r="R43" s="1009"/>
      <c r="S43" s="1009"/>
      <c r="T43" s="1009"/>
      <c r="U43" s="1009"/>
      <c r="V43" s="1009"/>
      <c r="W43" s="1009"/>
      <c r="X43" s="1491"/>
      <c r="Y43" s="2313"/>
      <c r="Z43" s="2313"/>
      <c r="AA43" s="1534">
        <f t="shared" ref="AA43" si="112">Y43-Z43</f>
        <v>0</v>
      </c>
      <c r="AB43" s="1534">
        <f t="shared" ref="AB43" si="113">(J43+M43)+SUM(P43:X43)-Y43</f>
        <v>0</v>
      </c>
      <c r="AC43" s="1009"/>
      <c r="AD43" s="1534">
        <f t="shared" ref="AD43" si="114">AB43-AC43</f>
        <v>0</v>
      </c>
      <c r="AE43" s="1492"/>
      <c r="AF43" s="2603" t="b">
        <f t="shared" si="31"/>
        <v>1</v>
      </c>
      <c r="AG43" s="2604" t="b">
        <f t="shared" si="36"/>
        <v>1</v>
      </c>
      <c r="AH43" s="2605" t="b">
        <f t="shared" si="37"/>
        <v>1</v>
      </c>
      <c r="AI43" s="2605" t="b">
        <f t="shared" si="107"/>
        <v>1</v>
      </c>
      <c r="AJ43" s="2605" t="b">
        <f t="shared" si="24"/>
        <v>1</v>
      </c>
      <c r="AK43" s="2605" t="b">
        <f t="shared" si="108"/>
        <v>1</v>
      </c>
      <c r="AL43" s="2603" t="b">
        <f t="shared" si="109"/>
        <v>1</v>
      </c>
      <c r="AM43" s="2610" t="s">
        <v>8433</v>
      </c>
      <c r="AN43" s="2610" t="s">
        <v>4184</v>
      </c>
      <c r="AO43" s="2719" t="s">
        <v>4184</v>
      </c>
      <c r="AP43" s="2607" t="str">
        <f t="shared" si="34"/>
        <v/>
      </c>
      <c r="AQ43" s="2610" t="str">
        <f t="shared" si="0"/>
        <v>{17} ЕСН (федеральный бюджет)ХХ</v>
      </c>
      <c r="AR43" s="651" t="str">
        <f t="shared" si="35"/>
        <v/>
      </c>
    </row>
    <row r="44" spans="1:49" s="651" customFormat="1">
      <c r="A44" s="2427" t="str">
        <f t="shared" ca="1" si="27"/>
        <v>R5=;R6=;R33=;R21=;R42=;R22=;R36=;R43=;COM=</v>
      </c>
      <c r="B44" s="1569"/>
      <c r="C44" s="2536"/>
      <c r="D44" s="2537"/>
      <c r="E44" s="2537"/>
      <c r="F44" s="1009"/>
      <c r="G44" s="1491"/>
      <c r="H44" s="1491"/>
      <c r="I44" s="1491"/>
      <c r="J44" s="1491"/>
      <c r="K44" s="1491"/>
      <c r="L44" s="1534">
        <f t="shared" ref="L44" si="115">J44-K44</f>
        <v>0</v>
      </c>
      <c r="M44" s="1009"/>
      <c r="N44" s="1009"/>
      <c r="O44" s="1534">
        <f t="shared" ref="O44" si="116">M44-N44</f>
        <v>0</v>
      </c>
      <c r="P44" s="1491"/>
      <c r="Q44" s="1009"/>
      <c r="R44" s="1009"/>
      <c r="S44" s="1009"/>
      <c r="T44" s="1009"/>
      <c r="U44" s="1009"/>
      <c r="V44" s="1009"/>
      <c r="W44" s="1009"/>
      <c r="X44" s="1491"/>
      <c r="Y44" s="2313"/>
      <c r="Z44" s="2313"/>
      <c r="AA44" s="1534">
        <f t="shared" ref="AA44" si="117">Y44-Z44</f>
        <v>0</v>
      </c>
      <c r="AB44" s="1534">
        <f t="shared" ref="AB44" si="118">(J44+M44)+SUM(P44:X44)-Y44</f>
        <v>0</v>
      </c>
      <c r="AC44" s="1009"/>
      <c r="AD44" s="1534">
        <f t="shared" ref="AD44" si="119">AB44-AC44</f>
        <v>0</v>
      </c>
      <c r="AE44" s="1492"/>
      <c r="AF44" s="2603" t="b">
        <f t="shared" si="31"/>
        <v>1</v>
      </c>
      <c r="AG44" s="2604" t="b">
        <f t="shared" si="36"/>
        <v>1</v>
      </c>
      <c r="AH44" s="2605" t="b">
        <f t="shared" si="37"/>
        <v>1</v>
      </c>
      <c r="AI44" s="2605" t="b">
        <f t="shared" si="107"/>
        <v>1</v>
      </c>
      <c r="AJ44" s="2605" t="b">
        <f t="shared" si="24"/>
        <v>1</v>
      </c>
      <c r="AK44" s="2605" t="b">
        <f t="shared" si="108"/>
        <v>1</v>
      </c>
      <c r="AL44" s="2603" t="b">
        <f t="shared" si="109"/>
        <v>1</v>
      </c>
      <c r="AM44" s="2610" t="s">
        <v>8434</v>
      </c>
      <c r="AN44" s="2610" t="s">
        <v>4184</v>
      </c>
      <c r="AO44" s="2719" t="s">
        <v>4184</v>
      </c>
      <c r="AP44" s="2607" t="str">
        <f t="shared" si="34"/>
        <v/>
      </c>
      <c r="AQ44" s="2610" t="str">
        <f t="shared" si="0"/>
        <v>{18} ЕСН (ФФОМС)ХХ</v>
      </c>
      <c r="AR44" s="651" t="str">
        <f t="shared" si="35"/>
        <v/>
      </c>
    </row>
    <row r="45" spans="1:49" s="651" customFormat="1">
      <c r="A45" s="2427" t="str">
        <f t="shared" ca="1" si="27"/>
        <v>R5=;R6=;R33=;R21=;R42=;R22=;R36=;R43=;COM=</v>
      </c>
      <c r="B45" s="1569"/>
      <c r="C45" s="2536"/>
      <c r="D45" s="2537"/>
      <c r="E45" s="2537"/>
      <c r="F45" s="1009"/>
      <c r="G45" s="1491"/>
      <c r="H45" s="1491"/>
      <c r="I45" s="1491"/>
      <c r="J45" s="1491"/>
      <c r="K45" s="1491"/>
      <c r="L45" s="1534">
        <f t="shared" ref="L45" si="120">J45-K45</f>
        <v>0</v>
      </c>
      <c r="M45" s="1009"/>
      <c r="N45" s="1009"/>
      <c r="O45" s="1534">
        <f t="shared" ref="O45" si="121">M45-N45</f>
        <v>0</v>
      </c>
      <c r="P45" s="1491"/>
      <c r="Q45" s="1009"/>
      <c r="R45" s="1009"/>
      <c r="S45" s="1009"/>
      <c r="T45" s="1009"/>
      <c r="U45" s="1009"/>
      <c r="V45" s="1009"/>
      <c r="W45" s="1009"/>
      <c r="X45" s="1491"/>
      <c r="Y45" s="2313"/>
      <c r="Z45" s="2313"/>
      <c r="AA45" s="1534">
        <f t="shared" ref="AA45" si="122">Y45-Z45</f>
        <v>0</v>
      </c>
      <c r="AB45" s="1534">
        <f t="shared" ref="AB45" si="123">(J45+M45)+SUM(P45:X45)-Y45</f>
        <v>0</v>
      </c>
      <c r="AC45" s="1009"/>
      <c r="AD45" s="1534">
        <f t="shared" ref="AD45" si="124">AB45-AC45</f>
        <v>0</v>
      </c>
      <c r="AE45" s="1492"/>
      <c r="AF45" s="2603" t="b">
        <f t="shared" si="31"/>
        <v>1</v>
      </c>
      <c r="AG45" s="2604" t="b">
        <f t="shared" si="36"/>
        <v>1</v>
      </c>
      <c r="AH45" s="2605" t="b">
        <f t="shared" si="37"/>
        <v>1</v>
      </c>
      <c r="AI45" s="2605" t="b">
        <f t="shared" si="107"/>
        <v>1</v>
      </c>
      <c r="AJ45" s="2605" t="b">
        <f t="shared" si="24"/>
        <v>1</v>
      </c>
      <c r="AK45" s="2605" t="b">
        <f t="shared" si="108"/>
        <v>1</v>
      </c>
      <c r="AL45" s="2603" t="b">
        <f t="shared" si="109"/>
        <v>1</v>
      </c>
      <c r="AM45" s="2610" t="s">
        <v>8435</v>
      </c>
      <c r="AN45" s="2610" t="s">
        <v>4184</v>
      </c>
      <c r="AO45" s="2719" t="s">
        <v>4184</v>
      </c>
      <c r="AP45" s="2607" t="str">
        <f t="shared" si="34"/>
        <v/>
      </c>
      <c r="AQ45" s="2610" t="str">
        <f t="shared" si="0"/>
        <v>{19} ЕСН (ТФОМС)ХХ</v>
      </c>
      <c r="AR45" s="651" t="str">
        <f t="shared" si="35"/>
        <v/>
      </c>
    </row>
    <row r="46" spans="1:49" s="651" customFormat="1">
      <c r="A46" s="2427" t="str">
        <f t="shared" ca="1" si="27"/>
        <v>R5=;R6=;R33=;R21=;R42=;R22=;R36=;R43=;COM=</v>
      </c>
      <c r="B46" s="1569"/>
      <c r="C46" s="2536"/>
      <c r="D46" s="2537"/>
      <c r="E46" s="2537"/>
      <c r="F46" s="1009"/>
      <c r="G46" s="1491"/>
      <c r="H46" s="1491"/>
      <c r="I46" s="1491"/>
      <c r="J46" s="1491"/>
      <c r="K46" s="1491"/>
      <c r="L46" s="1534">
        <f t="shared" ref="L46" si="125">J46-K46</f>
        <v>0</v>
      </c>
      <c r="M46" s="1009"/>
      <c r="N46" s="1009"/>
      <c r="O46" s="1534">
        <f t="shared" ref="O46" si="126">M46-N46</f>
        <v>0</v>
      </c>
      <c r="P46" s="1491"/>
      <c r="Q46" s="1009"/>
      <c r="R46" s="1009"/>
      <c r="S46" s="1009"/>
      <c r="T46" s="1009"/>
      <c r="U46" s="1009"/>
      <c r="V46" s="1009"/>
      <c r="W46" s="1009"/>
      <c r="X46" s="1491"/>
      <c r="Y46" s="2313"/>
      <c r="Z46" s="2313"/>
      <c r="AA46" s="1534">
        <f t="shared" ref="AA46" si="127">Y46-Z46</f>
        <v>0</v>
      </c>
      <c r="AB46" s="1534">
        <f t="shared" ref="AB46" si="128">(J46+M46)+SUM(P46:X46)-Y46</f>
        <v>0</v>
      </c>
      <c r="AC46" s="1009"/>
      <c r="AD46" s="1534">
        <f t="shared" ref="AD46" si="129">AB46-AC46</f>
        <v>0</v>
      </c>
      <c r="AE46" s="1492"/>
      <c r="AF46" s="2603" t="b">
        <f t="shared" si="31"/>
        <v>1</v>
      </c>
      <c r="AG46" s="2604" t="b">
        <f t="shared" si="36"/>
        <v>1</v>
      </c>
      <c r="AH46" s="2605" t="b">
        <f t="shared" si="37"/>
        <v>1</v>
      </c>
      <c r="AI46" s="2605" t="b">
        <f t="shared" si="107"/>
        <v>1</v>
      </c>
      <c r="AJ46" s="2605" t="b">
        <f t="shared" si="24"/>
        <v>1</v>
      </c>
      <c r="AK46" s="2605" t="b">
        <f t="shared" si="108"/>
        <v>1</v>
      </c>
      <c r="AL46" s="2603" t="b">
        <f t="shared" si="109"/>
        <v>1</v>
      </c>
      <c r="AM46" s="2610" t="s">
        <v>8187</v>
      </c>
      <c r="AN46" s="2610" t="s">
        <v>4184</v>
      </c>
      <c r="AO46" s="2719" t="s">
        <v>4184</v>
      </c>
      <c r="AP46" s="2607" t="str">
        <f t="shared" si="34"/>
        <v/>
      </c>
      <c r="AQ46" s="2610" t="str">
        <f t="shared" si="0"/>
        <v>{20} ЕСН (ФСС)ХХ</v>
      </c>
      <c r="AR46" s="651" t="str">
        <f t="shared" si="35"/>
        <v/>
      </c>
    </row>
    <row r="47" spans="1:49" s="651" customFormat="1">
      <c r="A47" s="2427" t="str">
        <f t="shared" ca="1" si="27"/>
        <v>R5=;R6=;R33=;R21=;R42=;R22=;R36=;R43=;COM=</v>
      </c>
      <c r="B47" s="1569"/>
      <c r="C47" s="2536"/>
      <c r="D47" s="2537"/>
      <c r="E47" s="2537"/>
      <c r="F47" s="1009"/>
      <c r="G47" s="1491"/>
      <c r="H47" s="1491"/>
      <c r="I47" s="1491"/>
      <c r="J47" s="1491"/>
      <c r="K47" s="1491"/>
      <c r="L47" s="1534">
        <f t="shared" ref="L47" si="130">J47-K47</f>
        <v>0</v>
      </c>
      <c r="M47" s="1009"/>
      <c r="N47" s="1009"/>
      <c r="O47" s="1534">
        <f t="shared" ref="O47" si="131">M47-N47</f>
        <v>0</v>
      </c>
      <c r="P47" s="1491"/>
      <c r="Q47" s="1009"/>
      <c r="R47" s="1009"/>
      <c r="S47" s="1009"/>
      <c r="T47" s="1009"/>
      <c r="U47" s="1009"/>
      <c r="V47" s="1009"/>
      <c r="W47" s="1009"/>
      <c r="X47" s="1491"/>
      <c r="Y47" s="2313"/>
      <c r="Z47" s="2313"/>
      <c r="AA47" s="1534">
        <f t="shared" ref="AA47" si="132">Y47-Z47</f>
        <v>0</v>
      </c>
      <c r="AB47" s="1534">
        <f t="shared" ref="AB47" si="133">(J47+M47)+SUM(P47:X47)-Y47</f>
        <v>0</v>
      </c>
      <c r="AC47" s="1009"/>
      <c r="AD47" s="1534">
        <f t="shared" ref="AD47" si="134">AB47-AC47</f>
        <v>0</v>
      </c>
      <c r="AE47" s="1492"/>
      <c r="AF47" s="2603" t="b">
        <f t="shared" si="31"/>
        <v>1</v>
      </c>
      <c r="AG47" s="2604" t="b">
        <f t="shared" si="36"/>
        <v>1</v>
      </c>
      <c r="AH47" s="2605" t="b">
        <f t="shared" si="37"/>
        <v>1</v>
      </c>
      <c r="AI47" s="2605" t="b">
        <f t="shared" si="107"/>
        <v>1</v>
      </c>
      <c r="AJ47" s="2605" t="b">
        <f t="shared" si="24"/>
        <v>1</v>
      </c>
      <c r="AK47" s="2605" t="b">
        <f t="shared" si="108"/>
        <v>1</v>
      </c>
      <c r="AL47" s="2603" t="b">
        <f t="shared" si="109"/>
        <v>1</v>
      </c>
      <c r="AM47" s="2610"/>
      <c r="AN47" s="2610"/>
      <c r="AO47" s="2610"/>
      <c r="AP47" s="2607" t="str">
        <f t="shared" si="34"/>
        <v/>
      </c>
      <c r="AQ47" s="2610"/>
      <c r="AR47" s="651" t="str">
        <f t="shared" si="35"/>
        <v/>
      </c>
    </row>
    <row r="48" spans="1:49" s="651" customFormat="1">
      <c r="A48" s="2427" t="str">
        <f t="shared" ca="1" si="27"/>
        <v>R5=;R6=;R33=;R21=;R42=;R22=;R36=;R43=;COM=</v>
      </c>
      <c r="B48" s="1569"/>
      <c r="C48" s="2536"/>
      <c r="D48" s="2537"/>
      <c r="E48" s="2537"/>
      <c r="F48" s="1009"/>
      <c r="G48" s="1491"/>
      <c r="H48" s="1491"/>
      <c r="I48" s="1491"/>
      <c r="J48" s="1491"/>
      <c r="K48" s="1491"/>
      <c r="L48" s="1534">
        <f t="shared" ref="L48" si="135">J48-K48</f>
        <v>0</v>
      </c>
      <c r="M48" s="1009"/>
      <c r="N48" s="1009"/>
      <c r="O48" s="1534">
        <f t="shared" ref="O48" si="136">M48-N48</f>
        <v>0</v>
      </c>
      <c r="P48" s="1491"/>
      <c r="Q48" s="1009"/>
      <c r="R48" s="1009"/>
      <c r="S48" s="1009"/>
      <c r="T48" s="1009"/>
      <c r="U48" s="1009"/>
      <c r="V48" s="1009"/>
      <c r="W48" s="1009"/>
      <c r="X48" s="1491"/>
      <c r="Y48" s="2313"/>
      <c r="Z48" s="2313"/>
      <c r="AA48" s="1534">
        <f t="shared" ref="AA48" si="137">Y48-Z48</f>
        <v>0</v>
      </c>
      <c r="AB48" s="1534">
        <f t="shared" ref="AB48" si="138">(J48+M48)+SUM(P48:X48)-Y48</f>
        <v>0</v>
      </c>
      <c r="AC48" s="1009"/>
      <c r="AD48" s="1534">
        <f t="shared" ref="AD48" si="139">AB48-AC48</f>
        <v>0</v>
      </c>
      <c r="AE48" s="1492"/>
      <c r="AF48" s="2603" t="b">
        <f t="shared" si="31"/>
        <v>1</v>
      </c>
      <c r="AG48" s="2604" t="b">
        <f t="shared" si="36"/>
        <v>1</v>
      </c>
      <c r="AH48" s="2605" t="b">
        <f t="shared" si="37"/>
        <v>1</v>
      </c>
      <c r="AI48" s="2605" t="b">
        <f t="shared" si="107"/>
        <v>1</v>
      </c>
      <c r="AJ48" s="2605" t="b">
        <f t="shared" si="24"/>
        <v>1</v>
      </c>
      <c r="AK48" s="2605" t="b">
        <f t="shared" si="108"/>
        <v>1</v>
      </c>
      <c r="AL48" s="2603" t="b">
        <f t="shared" si="109"/>
        <v>1</v>
      </c>
      <c r="AM48" s="2610"/>
      <c r="AN48" s="2610"/>
      <c r="AO48" s="2610"/>
      <c r="AP48" s="2607" t="str">
        <f t="shared" si="34"/>
        <v/>
      </c>
      <c r="AQ48" s="2610"/>
      <c r="AR48" s="651" t="str">
        <f t="shared" si="35"/>
        <v/>
      </c>
    </row>
    <row r="49" spans="1:44" s="651" customFormat="1">
      <c r="A49" s="2427" t="str">
        <f t="shared" ca="1" si="27"/>
        <v>R5=;R6=;R33=;R21=;R42=;R22=;R36=;R43=;COM=</v>
      </c>
      <c r="B49" s="1569"/>
      <c r="C49" s="2536"/>
      <c r="D49" s="2537"/>
      <c r="E49" s="2537"/>
      <c r="F49" s="1009"/>
      <c r="G49" s="1491"/>
      <c r="H49" s="1491"/>
      <c r="I49" s="1491"/>
      <c r="J49" s="1491"/>
      <c r="K49" s="1491"/>
      <c r="L49" s="1534">
        <f t="shared" ref="L49" si="140">J49-K49</f>
        <v>0</v>
      </c>
      <c r="M49" s="1009"/>
      <c r="N49" s="1009"/>
      <c r="O49" s="1534">
        <f t="shared" ref="O49" si="141">M49-N49</f>
        <v>0</v>
      </c>
      <c r="P49" s="1491"/>
      <c r="Q49" s="1009"/>
      <c r="R49" s="1009"/>
      <c r="S49" s="1009"/>
      <c r="T49" s="1009"/>
      <c r="U49" s="1009"/>
      <c r="V49" s="1009"/>
      <c r="W49" s="1009"/>
      <c r="X49" s="1491"/>
      <c r="Y49" s="2313"/>
      <c r="Z49" s="2313"/>
      <c r="AA49" s="1534">
        <f t="shared" ref="AA49" si="142">Y49-Z49</f>
        <v>0</v>
      </c>
      <c r="AB49" s="1534">
        <f t="shared" ref="AB49" si="143">(J49+M49)+SUM(P49:X49)-Y49</f>
        <v>0</v>
      </c>
      <c r="AC49" s="1009"/>
      <c r="AD49" s="1534">
        <f t="shared" ref="AD49" si="144">AB49-AC49</f>
        <v>0</v>
      </c>
      <c r="AE49" s="1492"/>
      <c r="AF49" s="2603" t="b">
        <f t="shared" si="31"/>
        <v>1</v>
      </c>
      <c r="AG49" s="2604" t="b">
        <f t="shared" si="36"/>
        <v>1</v>
      </c>
      <c r="AH49" s="2605" t="b">
        <f t="shared" si="37"/>
        <v>1</v>
      </c>
      <c r="AI49" s="2605" t="b">
        <f t="shared" si="107"/>
        <v>1</v>
      </c>
      <c r="AJ49" s="2605" t="b">
        <f t="shared" si="24"/>
        <v>1</v>
      </c>
      <c r="AK49" s="2605" t="b">
        <f t="shared" si="108"/>
        <v>1</v>
      </c>
      <c r="AL49" s="2603" t="b">
        <f t="shared" si="109"/>
        <v>1</v>
      </c>
      <c r="AM49" s="2610"/>
      <c r="AN49" s="2610"/>
      <c r="AO49" s="2610"/>
      <c r="AP49" s="2607" t="str">
        <f t="shared" si="34"/>
        <v/>
      </c>
      <c r="AQ49" s="2610"/>
      <c r="AR49" s="651" t="str">
        <f t="shared" si="35"/>
        <v/>
      </c>
    </row>
    <row r="50" spans="1:44" s="651" customFormat="1">
      <c r="A50" s="2427" t="str">
        <f t="shared" ca="1" si="27"/>
        <v>R5=;R6=;R33=;R21=;R42=;R22=;R36=;R43=;COM=</v>
      </c>
      <c r="B50" s="1569"/>
      <c r="C50" s="2536"/>
      <c r="D50" s="2537"/>
      <c r="E50" s="2537"/>
      <c r="F50" s="1009"/>
      <c r="G50" s="1491"/>
      <c r="H50" s="1491"/>
      <c r="I50" s="1491"/>
      <c r="J50" s="1491"/>
      <c r="K50" s="1491"/>
      <c r="L50" s="1534">
        <f t="shared" ref="L50" si="145">J50-K50</f>
        <v>0</v>
      </c>
      <c r="M50" s="1009"/>
      <c r="N50" s="1009"/>
      <c r="O50" s="1534">
        <f t="shared" ref="O50" si="146">M50-N50</f>
        <v>0</v>
      </c>
      <c r="P50" s="1491"/>
      <c r="Q50" s="1009"/>
      <c r="R50" s="1009"/>
      <c r="S50" s="1009"/>
      <c r="T50" s="1009"/>
      <c r="U50" s="1009"/>
      <c r="V50" s="1009"/>
      <c r="W50" s="1009"/>
      <c r="X50" s="1491"/>
      <c r="Y50" s="2313"/>
      <c r="Z50" s="2313"/>
      <c r="AA50" s="1534">
        <f t="shared" ref="AA50" si="147">Y50-Z50</f>
        <v>0</v>
      </c>
      <c r="AB50" s="1534">
        <f t="shared" ref="AB50" si="148">(J50+M50)+SUM(P50:X50)-Y50</f>
        <v>0</v>
      </c>
      <c r="AC50" s="1009"/>
      <c r="AD50" s="1534">
        <f t="shared" ref="AD50" si="149">AB50-AC50</f>
        <v>0</v>
      </c>
      <c r="AE50" s="1492"/>
      <c r="AF50" s="2603" t="b">
        <f t="shared" si="31"/>
        <v>1</v>
      </c>
      <c r="AG50" s="2604" t="b">
        <f t="shared" ref="AG50" si="150">IF(OR(K50&lt;-1,L50&lt;-1,N50&gt;1,O50&gt;1,Z50&lt;-1,AA50&lt;-1,AC50&gt;1,AD50&gt;1),FALSE,TRUE)</f>
        <v>1</v>
      </c>
      <c r="AH50" s="2605" t="b">
        <f t="shared" ref="AH50" si="151">IF(C50&lt;&gt;"",IF(OR(D50=$AH$2,D50=$AH$3),AND(G50&lt;&gt;"X",G50&lt;&gt;"Х",$G50&lt;&gt;""),G50="X"),TRUE)</f>
        <v>1</v>
      </c>
      <c r="AI50" s="2605" t="b">
        <f t="shared" si="107"/>
        <v>1</v>
      </c>
      <c r="AJ50" s="2605" t="b">
        <f t="shared" ref="AJ50" si="152">IF(COUNT(J50:K50,M50:N50,P50:X50)&lt;&gt;0,AND(C50&lt;&gt;"",D50&lt;&gt;"",E50&lt;&gt;"",F50&lt;&gt;"",G50&lt;&gt;"",H50&lt;&gt;"",I50&lt;&gt;""),TRUE)</f>
        <v>1</v>
      </c>
      <c r="AK50" s="2605" t="b">
        <f t="shared" si="108"/>
        <v>1</v>
      </c>
      <c r="AL50" s="2603" t="b">
        <f t="shared" si="109"/>
        <v>1</v>
      </c>
      <c r="AM50" s="2610"/>
      <c r="AN50" s="2610"/>
      <c r="AO50" s="2610"/>
      <c r="AP50" s="2607" t="str">
        <f t="shared" si="34"/>
        <v/>
      </c>
      <c r="AQ50" s="2610"/>
      <c r="AR50" s="651" t="str">
        <f t="shared" si="35"/>
        <v/>
      </c>
    </row>
    <row r="51" spans="1:44" s="651" customFormat="1">
      <c r="A51" s="2427" t="str">
        <f t="shared" ca="1" si="27"/>
        <v>R5=;R6=;R33=;R21=;R42=;R22=;R36=;R43=;COM=</v>
      </c>
      <c r="B51" s="1569"/>
      <c r="C51" s="2536"/>
      <c r="D51" s="2537"/>
      <c r="E51" s="2537"/>
      <c r="F51" s="1009"/>
      <c r="G51" s="1491"/>
      <c r="H51" s="1491"/>
      <c r="I51" s="1491"/>
      <c r="J51" s="1491"/>
      <c r="K51" s="1491"/>
      <c r="L51" s="1534">
        <f t="shared" ref="L51" si="153">J51-K51</f>
        <v>0</v>
      </c>
      <c r="M51" s="1009"/>
      <c r="N51" s="1009"/>
      <c r="O51" s="1534">
        <f t="shared" ref="O51" si="154">M51-N51</f>
        <v>0</v>
      </c>
      <c r="P51" s="1491"/>
      <c r="Q51" s="1009"/>
      <c r="R51" s="1009"/>
      <c r="S51" s="1009"/>
      <c r="T51" s="1009"/>
      <c r="U51" s="1009"/>
      <c r="V51" s="1009"/>
      <c r="W51" s="1009"/>
      <c r="X51" s="1491"/>
      <c r="Y51" s="2313"/>
      <c r="Z51" s="2313"/>
      <c r="AA51" s="1534">
        <f t="shared" ref="AA51" si="155">Y51-Z51</f>
        <v>0</v>
      </c>
      <c r="AB51" s="1534">
        <f t="shared" ref="AB51" si="156">(J51+M51)+SUM(P51:X51)-Y51</f>
        <v>0</v>
      </c>
      <c r="AC51" s="1009"/>
      <c r="AD51" s="1534">
        <f t="shared" ref="AD51" si="157">AB51-AC51</f>
        <v>0</v>
      </c>
      <c r="AE51" s="1492"/>
      <c r="AF51" s="2603" t="b">
        <f t="shared" si="31"/>
        <v>1</v>
      </c>
      <c r="AG51" s="2604" t="b">
        <f t="shared" ref="AG51" si="158">IF(OR(K51&lt;-1,L51&lt;-1,N51&gt;1,O51&gt;1,Z51&lt;-1,AA51&lt;-1,AC51&gt;1,AD51&gt;1),FALSE,TRUE)</f>
        <v>1</v>
      </c>
      <c r="AH51" s="2605" t="b">
        <f t="shared" ref="AH51" si="159">IF(C51&lt;&gt;"",IF(OR(D51=$AH$2,D51=$AH$3),AND(G51&lt;&gt;"X",G51&lt;&gt;"Х",$G51&lt;&gt;""),G51="X"),TRUE)</f>
        <v>1</v>
      </c>
      <c r="AI51" s="2605" t="b">
        <f t="shared" si="107"/>
        <v>1</v>
      </c>
      <c r="AJ51" s="2605" t="b">
        <f t="shared" ref="AJ51" si="160">IF(COUNT(J51:K51,M51:N51,P51:X51)&lt;&gt;0,AND(C51&lt;&gt;"",D51&lt;&gt;"",E51&lt;&gt;"",F51&lt;&gt;"",G51&lt;&gt;"",H51&lt;&gt;"",I51&lt;&gt;""),TRUE)</f>
        <v>1</v>
      </c>
      <c r="AK51" s="2605" t="b">
        <f t="shared" si="108"/>
        <v>1</v>
      </c>
      <c r="AL51" s="2603" t="b">
        <f t="shared" si="109"/>
        <v>1</v>
      </c>
      <c r="AM51" s="2610"/>
      <c r="AN51" s="2610"/>
      <c r="AO51" s="2610"/>
      <c r="AP51" s="2607" t="str">
        <f t="shared" si="34"/>
        <v/>
      </c>
      <c r="AQ51" s="2610"/>
      <c r="AR51" s="651" t="str">
        <f t="shared" si="35"/>
        <v/>
      </c>
    </row>
    <row r="52" spans="1:44" s="651" customFormat="1">
      <c r="A52" s="2427" t="str">
        <f t="shared" ca="1" si="27"/>
        <v>R5=;R6=;R33=;R21=;R42=;R22=;R36=;R43=;COM=</v>
      </c>
      <c r="B52" s="1569"/>
      <c r="C52" s="2536"/>
      <c r="D52" s="2537"/>
      <c r="E52" s="2537"/>
      <c r="F52" s="1009"/>
      <c r="G52" s="1491"/>
      <c r="H52" s="1491"/>
      <c r="I52" s="1491"/>
      <c r="J52" s="1491"/>
      <c r="K52" s="1491"/>
      <c r="L52" s="1534">
        <f t="shared" ref="L52" si="161">J52-K52</f>
        <v>0</v>
      </c>
      <c r="M52" s="1009"/>
      <c r="N52" s="1009"/>
      <c r="O52" s="1534">
        <f t="shared" ref="O52" si="162">M52-N52</f>
        <v>0</v>
      </c>
      <c r="P52" s="1491"/>
      <c r="Q52" s="1009"/>
      <c r="R52" s="1009"/>
      <c r="S52" s="1009"/>
      <c r="T52" s="1009"/>
      <c r="U52" s="1009"/>
      <c r="V52" s="1009"/>
      <c r="W52" s="1009"/>
      <c r="X52" s="1491"/>
      <c r="Y52" s="2313"/>
      <c r="Z52" s="2313"/>
      <c r="AA52" s="1534">
        <f t="shared" ref="AA52" si="163">Y52-Z52</f>
        <v>0</v>
      </c>
      <c r="AB52" s="1534">
        <f t="shared" ref="AB52" si="164">(J52+M52)+SUM(P52:X52)-Y52</f>
        <v>0</v>
      </c>
      <c r="AC52" s="1009"/>
      <c r="AD52" s="1534">
        <f t="shared" ref="AD52" si="165">AB52-AC52</f>
        <v>0</v>
      </c>
      <c r="AE52" s="1492"/>
      <c r="AF52" s="2603" t="b">
        <f t="shared" si="31"/>
        <v>1</v>
      </c>
      <c r="AG52" s="2604" t="b">
        <f t="shared" ref="AG52" si="166">IF(OR(K52&lt;-1,L52&lt;-1,N52&gt;1,O52&gt;1,Z52&lt;-1,AA52&lt;-1,AC52&gt;1,AD52&gt;1),FALSE,TRUE)</f>
        <v>1</v>
      </c>
      <c r="AH52" s="2605" t="b">
        <f t="shared" ref="AH52" si="167">IF(C52&lt;&gt;"",IF(OR(D52=$AH$2,D52=$AH$3),AND(G52&lt;&gt;"X",G52&lt;&gt;"Х",$G52&lt;&gt;""),G52="X"),TRUE)</f>
        <v>1</v>
      </c>
      <c r="AI52" s="2605" t="b">
        <f t="shared" si="107"/>
        <v>1</v>
      </c>
      <c r="AJ52" s="2605" t="b">
        <f t="shared" ref="AJ52" si="168">IF(COUNT(J52:K52,M52:N52,P52:X52)&lt;&gt;0,AND(C52&lt;&gt;"",D52&lt;&gt;"",E52&lt;&gt;"",F52&lt;&gt;"",G52&lt;&gt;"",H52&lt;&gt;"",I52&lt;&gt;""),TRUE)</f>
        <v>1</v>
      </c>
      <c r="AK52" s="2605" t="b">
        <f t="shared" si="108"/>
        <v>1</v>
      </c>
      <c r="AL52" s="2603" t="b">
        <f t="shared" si="109"/>
        <v>1</v>
      </c>
      <c r="AM52" s="2610"/>
      <c r="AN52" s="2610"/>
      <c r="AO52" s="2610"/>
      <c r="AP52" s="2607" t="str">
        <f t="shared" si="34"/>
        <v/>
      </c>
      <c r="AQ52" s="2610"/>
      <c r="AR52" s="651" t="str">
        <f t="shared" si="35"/>
        <v/>
      </c>
    </row>
    <row r="53" spans="1:44" s="651" customFormat="1">
      <c r="A53" s="2427" t="str">
        <f t="shared" ca="1" si="27"/>
        <v>R5=;R6=;R33=;R21=;R42=;R22=;R36=;R43=;COM=</v>
      </c>
      <c r="B53" s="1569"/>
      <c r="C53" s="2536"/>
      <c r="D53" s="2537"/>
      <c r="E53" s="2537"/>
      <c r="F53" s="1009"/>
      <c r="G53" s="1491"/>
      <c r="H53" s="1491"/>
      <c r="I53" s="1491"/>
      <c r="J53" s="1491"/>
      <c r="K53" s="1491"/>
      <c r="L53" s="1534">
        <f t="shared" ref="L53" si="169">J53-K53</f>
        <v>0</v>
      </c>
      <c r="M53" s="1009"/>
      <c r="N53" s="1009"/>
      <c r="O53" s="1534">
        <f t="shared" ref="O53" si="170">M53-N53</f>
        <v>0</v>
      </c>
      <c r="P53" s="1491"/>
      <c r="Q53" s="1009"/>
      <c r="R53" s="1009"/>
      <c r="S53" s="1009"/>
      <c r="T53" s="1009"/>
      <c r="U53" s="1009"/>
      <c r="V53" s="1009"/>
      <c r="W53" s="1009"/>
      <c r="X53" s="1491"/>
      <c r="Y53" s="2313"/>
      <c r="Z53" s="2313"/>
      <c r="AA53" s="1534">
        <f t="shared" ref="AA53" si="171">Y53-Z53</f>
        <v>0</v>
      </c>
      <c r="AB53" s="1534">
        <f t="shared" ref="AB53" si="172">(J53+M53)+SUM(P53:X53)-Y53</f>
        <v>0</v>
      </c>
      <c r="AC53" s="1009"/>
      <c r="AD53" s="1534">
        <f t="shared" ref="AD53" si="173">AB53-AC53</f>
        <v>0</v>
      </c>
      <c r="AE53" s="1492"/>
      <c r="AF53" s="2603" t="b">
        <f t="shared" si="31"/>
        <v>1</v>
      </c>
      <c r="AG53" s="2604" t="b">
        <f t="shared" ref="AG53" si="174">IF(OR(K53&lt;-1,L53&lt;-1,N53&gt;1,O53&gt;1,Z53&lt;-1,AA53&lt;-1,AC53&gt;1,AD53&gt;1),FALSE,TRUE)</f>
        <v>1</v>
      </c>
      <c r="AH53" s="2605" t="b">
        <f t="shared" ref="AH53" si="175">IF(C53&lt;&gt;"",IF(OR(D53=$AH$2,D53=$AH$3),AND(G53&lt;&gt;"X",G53&lt;&gt;"Х",$G53&lt;&gt;""),G53="X"),TRUE)</f>
        <v>1</v>
      </c>
      <c r="AI53" s="2605" t="b">
        <f t="shared" si="107"/>
        <v>1</v>
      </c>
      <c r="AJ53" s="2605" t="b">
        <f t="shared" ref="AJ53" si="176">IF(COUNT(J53:K53,M53:N53,P53:X53)&lt;&gt;0,AND(C53&lt;&gt;"",D53&lt;&gt;"",E53&lt;&gt;"",F53&lt;&gt;"",G53&lt;&gt;"",H53&lt;&gt;"",I53&lt;&gt;""),TRUE)</f>
        <v>1</v>
      </c>
      <c r="AK53" s="2605" t="b">
        <f t="shared" si="108"/>
        <v>1</v>
      </c>
      <c r="AL53" s="2603" t="b">
        <f t="shared" si="109"/>
        <v>1</v>
      </c>
      <c r="AM53" s="2610"/>
      <c r="AN53" s="2610"/>
      <c r="AO53" s="2610"/>
      <c r="AP53" s="2607" t="str">
        <f t="shared" si="34"/>
        <v/>
      </c>
      <c r="AQ53" s="2610"/>
      <c r="AR53" s="651" t="str">
        <f t="shared" si="35"/>
        <v/>
      </c>
    </row>
    <row r="54" spans="1:44" s="651" customFormat="1">
      <c r="A54" s="2427" t="str">
        <f t="shared" ca="1" si="27"/>
        <v>R5=;R6=;R33=;R21=;R42=;R22=;R36=;R43=;COM=</v>
      </c>
      <c r="B54" s="1569"/>
      <c r="C54" s="2536"/>
      <c r="D54" s="2537"/>
      <c r="E54" s="2537"/>
      <c r="F54" s="1009"/>
      <c r="G54" s="1491"/>
      <c r="H54" s="1491"/>
      <c r="I54" s="1491"/>
      <c r="J54" s="1491"/>
      <c r="K54" s="1491"/>
      <c r="L54" s="1534">
        <f t="shared" ref="L54" si="177">J54-K54</f>
        <v>0</v>
      </c>
      <c r="M54" s="1009"/>
      <c r="N54" s="1009"/>
      <c r="O54" s="1534">
        <f t="shared" ref="O54" si="178">M54-N54</f>
        <v>0</v>
      </c>
      <c r="P54" s="1491"/>
      <c r="Q54" s="1009"/>
      <c r="R54" s="1009"/>
      <c r="S54" s="1009"/>
      <c r="T54" s="1009"/>
      <c r="U54" s="1009"/>
      <c r="V54" s="1009"/>
      <c r="W54" s="1009"/>
      <c r="X54" s="1491"/>
      <c r="Y54" s="2313"/>
      <c r="Z54" s="2313"/>
      <c r="AA54" s="1534">
        <f t="shared" ref="AA54" si="179">Y54-Z54</f>
        <v>0</v>
      </c>
      <c r="AB54" s="1534">
        <f t="shared" ref="AB54" si="180">(J54+M54)+SUM(P54:X54)-Y54</f>
        <v>0</v>
      </c>
      <c r="AC54" s="1009"/>
      <c r="AD54" s="1534">
        <f t="shared" ref="AD54" si="181">AB54-AC54</f>
        <v>0</v>
      </c>
      <c r="AE54" s="1492"/>
      <c r="AF54" s="2603" t="b">
        <f t="shared" si="31"/>
        <v>1</v>
      </c>
      <c r="AG54" s="2604" t="b">
        <f t="shared" ref="AG54" si="182">IF(OR(K54&lt;-1,L54&lt;-1,N54&gt;1,O54&gt;1,Z54&lt;-1,AA54&lt;-1,AC54&gt;1,AD54&gt;1),FALSE,TRUE)</f>
        <v>1</v>
      </c>
      <c r="AH54" s="2605" t="b">
        <f t="shared" ref="AH54" si="183">IF(C54&lt;&gt;"",IF(OR(D54=$AH$2,D54=$AH$3),AND(G54&lt;&gt;"X",G54&lt;&gt;"Х",$G54&lt;&gt;""),G54="X"),TRUE)</f>
        <v>1</v>
      </c>
      <c r="AI54" s="2605" t="b">
        <f t="shared" si="107"/>
        <v>1</v>
      </c>
      <c r="AJ54" s="2605" t="b">
        <f t="shared" ref="AJ54" si="184">IF(COUNT(J54:K54,M54:N54,P54:X54)&lt;&gt;0,AND(C54&lt;&gt;"",D54&lt;&gt;"",E54&lt;&gt;"",F54&lt;&gt;"",G54&lt;&gt;"",H54&lt;&gt;"",I54&lt;&gt;""),TRUE)</f>
        <v>1</v>
      </c>
      <c r="AK54" s="2605" t="b">
        <f t="shared" si="108"/>
        <v>1</v>
      </c>
      <c r="AL54" s="2603" t="b">
        <f t="shared" si="109"/>
        <v>1</v>
      </c>
      <c r="AM54" s="2610"/>
      <c r="AN54" s="2610"/>
      <c r="AO54" s="2610"/>
      <c r="AP54" s="2607" t="str">
        <f t="shared" si="34"/>
        <v/>
      </c>
      <c r="AQ54" s="2610"/>
      <c r="AR54" s="651" t="str">
        <f t="shared" si="35"/>
        <v/>
      </c>
    </row>
    <row r="55" spans="1:44" s="651" customFormat="1">
      <c r="A55" s="2427" t="str">
        <f t="shared" ca="1" si="27"/>
        <v>R5=;R6=;R33=;R21=;R42=;R22=;R36=;R43=;COM=</v>
      </c>
      <c r="B55" s="1569"/>
      <c r="C55" s="2536"/>
      <c r="D55" s="2537"/>
      <c r="E55" s="2537"/>
      <c r="F55" s="1009"/>
      <c r="G55" s="1491"/>
      <c r="H55" s="1491"/>
      <c r="I55" s="1491"/>
      <c r="J55" s="1491"/>
      <c r="K55" s="1491"/>
      <c r="L55" s="1534">
        <f t="shared" ref="L55" si="185">J55-K55</f>
        <v>0</v>
      </c>
      <c r="M55" s="1009"/>
      <c r="N55" s="1009"/>
      <c r="O55" s="1534">
        <f t="shared" ref="O55" si="186">M55-N55</f>
        <v>0</v>
      </c>
      <c r="P55" s="1491"/>
      <c r="Q55" s="1009"/>
      <c r="R55" s="1009"/>
      <c r="S55" s="1009"/>
      <c r="T55" s="1009"/>
      <c r="U55" s="1009"/>
      <c r="V55" s="1009"/>
      <c r="W55" s="1009"/>
      <c r="X55" s="1491"/>
      <c r="Y55" s="2313"/>
      <c r="Z55" s="2313"/>
      <c r="AA55" s="1534">
        <f t="shared" ref="AA55" si="187">Y55-Z55</f>
        <v>0</v>
      </c>
      <c r="AB55" s="1534">
        <f t="shared" ref="AB55" si="188">(J55+M55)+SUM(P55:X55)-Y55</f>
        <v>0</v>
      </c>
      <c r="AC55" s="1009"/>
      <c r="AD55" s="1534">
        <f t="shared" ref="AD55" si="189">AB55-AC55</f>
        <v>0</v>
      </c>
      <c r="AE55" s="1492"/>
      <c r="AF55" s="2603" t="b">
        <f t="shared" si="31"/>
        <v>1</v>
      </c>
      <c r="AG55" s="2604" t="b">
        <f t="shared" ref="AG55" si="190">IF(OR(K55&lt;-1,L55&lt;-1,N55&gt;1,O55&gt;1,Z55&lt;-1,AA55&lt;-1,AC55&gt;1,AD55&gt;1),FALSE,TRUE)</f>
        <v>1</v>
      </c>
      <c r="AH55" s="2605" t="b">
        <f t="shared" ref="AH55" si="191">IF(C55&lt;&gt;"",IF(OR(D55=$AH$2,D55=$AH$3),AND(G55&lt;&gt;"X",G55&lt;&gt;"Х",$G55&lt;&gt;""),G55="X"),TRUE)</f>
        <v>1</v>
      </c>
      <c r="AI55" s="2605" t="b">
        <f t="shared" si="107"/>
        <v>1</v>
      </c>
      <c r="AJ55" s="2605" t="b">
        <f t="shared" ref="AJ55" si="192">IF(COUNT(J55:K55,M55:N55,P55:X55)&lt;&gt;0,AND(C55&lt;&gt;"",D55&lt;&gt;"",E55&lt;&gt;"",F55&lt;&gt;"",G55&lt;&gt;"",H55&lt;&gt;"",I55&lt;&gt;""),TRUE)</f>
        <v>1</v>
      </c>
      <c r="AK55" s="2605" t="b">
        <f t="shared" si="108"/>
        <v>1</v>
      </c>
      <c r="AL55" s="2603" t="b">
        <f t="shared" si="109"/>
        <v>1</v>
      </c>
      <c r="AM55" s="2610"/>
      <c r="AN55" s="2610"/>
      <c r="AO55" s="2610"/>
      <c r="AP55" s="2607" t="str">
        <f t="shared" si="34"/>
        <v/>
      </c>
      <c r="AQ55" s="2610"/>
      <c r="AR55" s="651" t="str">
        <f t="shared" si="35"/>
        <v/>
      </c>
    </row>
    <row r="56" spans="1:44" s="651" customFormat="1">
      <c r="A56" s="2427" t="str">
        <f t="shared" ca="1" si="27"/>
        <v>R5=;R6=;R33=;R21=;R42=;R22=;R36=;R43=;COM=</v>
      </c>
      <c r="B56" s="1569"/>
      <c r="C56" s="2536"/>
      <c r="D56" s="2537"/>
      <c r="E56" s="2537"/>
      <c r="F56" s="1009"/>
      <c r="G56" s="1491"/>
      <c r="H56" s="1491"/>
      <c r="I56" s="1491"/>
      <c r="J56" s="1491"/>
      <c r="K56" s="1491"/>
      <c r="L56" s="1534">
        <f t="shared" ref="L56" si="193">J56-K56</f>
        <v>0</v>
      </c>
      <c r="M56" s="1009"/>
      <c r="N56" s="1009"/>
      <c r="O56" s="1534">
        <f t="shared" ref="O56" si="194">M56-N56</f>
        <v>0</v>
      </c>
      <c r="P56" s="1491"/>
      <c r="Q56" s="1009"/>
      <c r="R56" s="1009"/>
      <c r="S56" s="1009"/>
      <c r="T56" s="1009"/>
      <c r="U56" s="1009"/>
      <c r="V56" s="1009"/>
      <c r="W56" s="1009"/>
      <c r="X56" s="1491"/>
      <c r="Y56" s="2313"/>
      <c r="Z56" s="2313"/>
      <c r="AA56" s="1534">
        <f t="shared" ref="AA56" si="195">Y56-Z56</f>
        <v>0</v>
      </c>
      <c r="AB56" s="1534">
        <f t="shared" ref="AB56" si="196">(J56+M56)+SUM(P56:X56)-Y56</f>
        <v>0</v>
      </c>
      <c r="AC56" s="1009"/>
      <c r="AD56" s="1534">
        <f t="shared" ref="AD56" si="197">AB56-AC56</f>
        <v>0</v>
      </c>
      <c r="AE56" s="1492"/>
      <c r="AF56" s="2603" t="b">
        <f t="shared" si="31"/>
        <v>1</v>
      </c>
      <c r="AG56" s="2604" t="b">
        <f t="shared" ref="AG56" si="198">IF(OR(K56&lt;-1,L56&lt;-1,N56&gt;1,O56&gt;1,Z56&lt;-1,AA56&lt;-1,AC56&gt;1,AD56&gt;1),FALSE,TRUE)</f>
        <v>1</v>
      </c>
      <c r="AH56" s="2605" t="b">
        <f t="shared" ref="AH56" si="199">IF(C56&lt;&gt;"",IF(OR(D56=$AH$2,D56=$AH$3),AND(G56&lt;&gt;"X",G56&lt;&gt;"Х",$G56&lt;&gt;""),G56="X"),TRUE)</f>
        <v>1</v>
      </c>
      <c r="AI56" s="2605" t="b">
        <f t="shared" si="107"/>
        <v>1</v>
      </c>
      <c r="AJ56" s="2605" t="b">
        <f t="shared" ref="AJ56" si="200">IF(COUNT(J56:K56,M56:N56,P56:X56)&lt;&gt;0,AND(C56&lt;&gt;"",D56&lt;&gt;"",E56&lt;&gt;"",F56&lt;&gt;"",G56&lt;&gt;"",H56&lt;&gt;"",I56&lt;&gt;""),TRUE)</f>
        <v>1</v>
      </c>
      <c r="AK56" s="2605" t="b">
        <f t="shared" si="108"/>
        <v>1</v>
      </c>
      <c r="AL56" s="2603" t="b">
        <f t="shared" si="109"/>
        <v>1</v>
      </c>
      <c r="AM56" s="2610"/>
      <c r="AN56" s="2610"/>
      <c r="AO56" s="2610"/>
      <c r="AP56" s="2607" t="str">
        <f t="shared" si="34"/>
        <v/>
      </c>
      <c r="AQ56" s="2610"/>
      <c r="AR56" s="651" t="str">
        <f t="shared" si="35"/>
        <v/>
      </c>
    </row>
    <row r="57" spans="1:44" s="651" customFormat="1">
      <c r="A57" s="2427" t="str">
        <f t="shared" ca="1" si="27"/>
        <v>R5=;R6=;R33=;R21=;R42=;R22=;R36=;R43=;COM=</v>
      </c>
      <c r="B57" s="1569"/>
      <c r="C57" s="2536"/>
      <c r="D57" s="2537"/>
      <c r="E57" s="2537"/>
      <c r="F57" s="1009"/>
      <c r="G57" s="1491"/>
      <c r="H57" s="1491"/>
      <c r="I57" s="1491"/>
      <c r="J57" s="1491"/>
      <c r="K57" s="1491"/>
      <c r="L57" s="1534">
        <f t="shared" ref="L57" si="201">J57-K57</f>
        <v>0</v>
      </c>
      <c r="M57" s="1009"/>
      <c r="N57" s="1009"/>
      <c r="O57" s="1534">
        <f t="shared" ref="O57" si="202">M57-N57</f>
        <v>0</v>
      </c>
      <c r="P57" s="1491"/>
      <c r="Q57" s="1009"/>
      <c r="R57" s="1009"/>
      <c r="S57" s="1009"/>
      <c r="T57" s="1009"/>
      <c r="U57" s="1009"/>
      <c r="V57" s="1009"/>
      <c r="W57" s="1009"/>
      <c r="X57" s="1491"/>
      <c r="Y57" s="2313"/>
      <c r="Z57" s="2313"/>
      <c r="AA57" s="1534">
        <f t="shared" ref="AA57" si="203">Y57-Z57</f>
        <v>0</v>
      </c>
      <c r="AB57" s="1534">
        <f t="shared" ref="AB57" si="204">(J57+M57)+SUM(P57:X57)-Y57</f>
        <v>0</v>
      </c>
      <c r="AC57" s="1009"/>
      <c r="AD57" s="1534">
        <f t="shared" ref="AD57" si="205">AB57-AC57</f>
        <v>0</v>
      </c>
      <c r="AE57" s="1492"/>
      <c r="AF57" s="2603" t="b">
        <f t="shared" si="31"/>
        <v>1</v>
      </c>
      <c r="AG57" s="2604" t="b">
        <f t="shared" ref="AG57" si="206">IF(OR(K57&lt;-1,L57&lt;-1,N57&gt;1,O57&gt;1,Z57&lt;-1,AA57&lt;-1,AC57&gt;1,AD57&gt;1),FALSE,TRUE)</f>
        <v>1</v>
      </c>
      <c r="AH57" s="2605" t="b">
        <f t="shared" ref="AH57" si="207">IF(C57&lt;&gt;"",IF(OR(D57=$AH$2,D57=$AH$3),AND(G57&lt;&gt;"X",G57&lt;&gt;"Х",$G57&lt;&gt;""),G57="X"),TRUE)</f>
        <v>1</v>
      </c>
      <c r="AI57" s="2605" t="b">
        <f t="shared" si="107"/>
        <v>1</v>
      </c>
      <c r="AJ57" s="2605" t="b">
        <f t="shared" ref="AJ57" si="208">IF(COUNT(J57:K57,M57:N57,P57:X57)&lt;&gt;0,AND(C57&lt;&gt;"",D57&lt;&gt;"",E57&lt;&gt;"",F57&lt;&gt;"",G57&lt;&gt;"",H57&lt;&gt;"",I57&lt;&gt;""),TRUE)</f>
        <v>1</v>
      </c>
      <c r="AK57" s="2605" t="b">
        <f t="shared" si="108"/>
        <v>1</v>
      </c>
      <c r="AL57" s="2603" t="b">
        <f t="shared" si="109"/>
        <v>1</v>
      </c>
      <c r="AM57" s="2610"/>
      <c r="AN57" s="2610"/>
      <c r="AO57" s="2610"/>
      <c r="AP57" s="2607" t="str">
        <f t="shared" si="34"/>
        <v/>
      </c>
      <c r="AQ57" s="2610"/>
      <c r="AR57" s="651" t="str">
        <f t="shared" si="35"/>
        <v/>
      </c>
    </row>
    <row r="58" spans="1:44" s="651" customFormat="1">
      <c r="A58" s="2427" t="str">
        <f t="shared" ca="1" si="27"/>
        <v>R5=;R6=;R33=;R21=;R42=;R22=;R36=;R43=;COM=</v>
      </c>
      <c r="B58" s="1569"/>
      <c r="C58" s="2536"/>
      <c r="D58" s="2537"/>
      <c r="E58" s="2537"/>
      <c r="F58" s="1009"/>
      <c r="G58" s="1491"/>
      <c r="H58" s="1491"/>
      <c r="I58" s="1491"/>
      <c r="J58" s="1491"/>
      <c r="K58" s="1491"/>
      <c r="L58" s="1534">
        <f t="shared" ref="L58" si="209">J58-K58</f>
        <v>0</v>
      </c>
      <c r="M58" s="1009"/>
      <c r="N58" s="1009"/>
      <c r="O58" s="1534">
        <f t="shared" ref="O58" si="210">M58-N58</f>
        <v>0</v>
      </c>
      <c r="P58" s="1491"/>
      <c r="Q58" s="1009"/>
      <c r="R58" s="1009"/>
      <c r="S58" s="1009"/>
      <c r="T58" s="1009"/>
      <c r="U58" s="1009"/>
      <c r="V58" s="1009"/>
      <c r="W58" s="1009"/>
      <c r="X58" s="1491"/>
      <c r="Y58" s="2313"/>
      <c r="Z58" s="2313"/>
      <c r="AA58" s="1534">
        <f t="shared" ref="AA58" si="211">Y58-Z58</f>
        <v>0</v>
      </c>
      <c r="AB58" s="1534">
        <f t="shared" ref="AB58" si="212">(J58+M58)+SUM(P58:X58)-Y58</f>
        <v>0</v>
      </c>
      <c r="AC58" s="1009"/>
      <c r="AD58" s="1534">
        <f t="shared" ref="AD58" si="213">AB58-AC58</f>
        <v>0</v>
      </c>
      <c r="AE58" s="1492"/>
      <c r="AF58" s="2603" t="b">
        <f t="shared" si="31"/>
        <v>1</v>
      </c>
      <c r="AG58" s="2604" t="b">
        <f t="shared" ref="AG58" si="214">IF(OR(K58&lt;-1,L58&lt;-1,N58&gt;1,O58&gt;1,Z58&lt;-1,AA58&lt;-1,AC58&gt;1,AD58&gt;1),FALSE,TRUE)</f>
        <v>1</v>
      </c>
      <c r="AH58" s="2605" t="b">
        <f t="shared" ref="AH58" si="215">IF(C58&lt;&gt;"",IF(OR(D58=$AH$2,D58=$AH$3),AND(G58&lt;&gt;"X",G58&lt;&gt;"Х",$G58&lt;&gt;""),G58="X"),TRUE)</f>
        <v>1</v>
      </c>
      <c r="AI58" s="2605" t="b">
        <f t="shared" si="107"/>
        <v>1</v>
      </c>
      <c r="AJ58" s="2605" t="b">
        <f t="shared" ref="AJ58" si="216">IF(COUNT(J58:K58,M58:N58,P58:X58)&lt;&gt;0,AND(C58&lt;&gt;"",D58&lt;&gt;"",E58&lt;&gt;"",F58&lt;&gt;"",G58&lt;&gt;"",H58&lt;&gt;"",I58&lt;&gt;""),TRUE)</f>
        <v>1</v>
      </c>
      <c r="AK58" s="2605" t="b">
        <f t="shared" si="108"/>
        <v>1</v>
      </c>
      <c r="AL58" s="2603" t="b">
        <f t="shared" si="109"/>
        <v>1</v>
      </c>
      <c r="AM58" s="2610"/>
      <c r="AN58" s="2610"/>
      <c r="AO58" s="2610"/>
      <c r="AP58" s="2607" t="str">
        <f t="shared" si="34"/>
        <v/>
      </c>
      <c r="AQ58" s="2610"/>
      <c r="AR58" s="651" t="str">
        <f t="shared" si="35"/>
        <v/>
      </c>
    </row>
    <row r="59" spans="1:44" s="651" customFormat="1">
      <c r="A59" s="2427" t="str">
        <f t="shared" ca="1" si="27"/>
        <v>R5=;R6=;R33=;R21=;R42=;R22=;R36=;R43=;COM=</v>
      </c>
      <c r="B59" s="1569"/>
      <c r="C59" s="2536"/>
      <c r="D59" s="2537"/>
      <c r="E59" s="2537"/>
      <c r="F59" s="1009"/>
      <c r="G59" s="1491"/>
      <c r="H59" s="1491"/>
      <c r="I59" s="1491"/>
      <c r="J59" s="1491"/>
      <c r="K59" s="1491"/>
      <c r="L59" s="1534">
        <f t="shared" ref="L59" si="217">J59-K59</f>
        <v>0</v>
      </c>
      <c r="M59" s="1009"/>
      <c r="N59" s="1009"/>
      <c r="O59" s="1534">
        <f t="shared" ref="O59" si="218">M59-N59</f>
        <v>0</v>
      </c>
      <c r="P59" s="1491"/>
      <c r="Q59" s="1009"/>
      <c r="R59" s="1009"/>
      <c r="S59" s="1009"/>
      <c r="T59" s="1009"/>
      <c r="U59" s="1009"/>
      <c r="V59" s="1009"/>
      <c r="W59" s="1009"/>
      <c r="X59" s="1491"/>
      <c r="Y59" s="2313"/>
      <c r="Z59" s="2313"/>
      <c r="AA59" s="1534">
        <f t="shared" ref="AA59" si="219">Y59-Z59</f>
        <v>0</v>
      </c>
      <c r="AB59" s="1534">
        <f t="shared" ref="AB59" si="220">(J59+M59)+SUM(P59:X59)-Y59</f>
        <v>0</v>
      </c>
      <c r="AC59" s="1009"/>
      <c r="AD59" s="1534">
        <f t="shared" ref="AD59" si="221">AB59-AC59</f>
        <v>0</v>
      </c>
      <c r="AE59" s="1492"/>
      <c r="AF59" s="2603" t="b">
        <f t="shared" si="31"/>
        <v>1</v>
      </c>
      <c r="AG59" s="2604" t="b">
        <f t="shared" ref="AG59" si="222">IF(OR(K59&lt;-1,L59&lt;-1,N59&gt;1,O59&gt;1,Z59&lt;-1,AA59&lt;-1,AC59&gt;1,AD59&gt;1),FALSE,TRUE)</f>
        <v>1</v>
      </c>
      <c r="AH59" s="2605" t="b">
        <f t="shared" ref="AH59" si="223">IF(C59&lt;&gt;"",IF(OR(D59=$AH$2,D59=$AH$3),AND(G59&lt;&gt;"X",G59&lt;&gt;"Х",$G59&lt;&gt;""),G59="X"),TRUE)</f>
        <v>1</v>
      </c>
      <c r="AI59" s="2605" t="b">
        <f t="shared" si="107"/>
        <v>1</v>
      </c>
      <c r="AJ59" s="2605" t="b">
        <f t="shared" ref="AJ59" si="224">IF(COUNT(J59:K59,M59:N59,P59:X59)&lt;&gt;0,AND(C59&lt;&gt;"",D59&lt;&gt;"",E59&lt;&gt;"",F59&lt;&gt;"",G59&lt;&gt;"",H59&lt;&gt;"",I59&lt;&gt;""),TRUE)</f>
        <v>1</v>
      </c>
      <c r="AK59" s="2605" t="b">
        <f t="shared" si="108"/>
        <v>1</v>
      </c>
      <c r="AL59" s="2603" t="b">
        <f t="shared" si="109"/>
        <v>1</v>
      </c>
      <c r="AM59" s="2610"/>
      <c r="AN59" s="2610"/>
      <c r="AO59" s="2610"/>
      <c r="AP59" s="2607" t="str">
        <f t="shared" si="34"/>
        <v/>
      </c>
      <c r="AQ59" s="2610"/>
      <c r="AR59" s="651" t="str">
        <f t="shared" si="35"/>
        <v/>
      </c>
    </row>
    <row r="60" spans="1:44" s="651" customFormat="1">
      <c r="A60" s="2427" t="str">
        <f t="shared" ca="1" si="27"/>
        <v>R5=;R6=;R33=;R21=;R42=;R22=;R36=;R43=;COM=</v>
      </c>
      <c r="B60" s="1569"/>
      <c r="C60" s="2536"/>
      <c r="D60" s="2537"/>
      <c r="E60" s="2537"/>
      <c r="F60" s="1009"/>
      <c r="G60" s="1491"/>
      <c r="H60" s="1491"/>
      <c r="I60" s="1491"/>
      <c r="J60" s="1491"/>
      <c r="K60" s="1491"/>
      <c r="L60" s="1534">
        <f t="shared" ref="L60" si="225">J60-K60</f>
        <v>0</v>
      </c>
      <c r="M60" s="1009"/>
      <c r="N60" s="1009"/>
      <c r="O60" s="1534">
        <f t="shared" ref="O60" si="226">M60-N60</f>
        <v>0</v>
      </c>
      <c r="P60" s="1491"/>
      <c r="Q60" s="1009"/>
      <c r="R60" s="1009"/>
      <c r="S60" s="1009"/>
      <c r="T60" s="1009"/>
      <c r="U60" s="1009"/>
      <c r="V60" s="1009"/>
      <c r="W60" s="1009"/>
      <c r="X60" s="1491"/>
      <c r="Y60" s="2313"/>
      <c r="Z60" s="2313"/>
      <c r="AA60" s="1534">
        <f t="shared" ref="AA60" si="227">Y60-Z60</f>
        <v>0</v>
      </c>
      <c r="AB60" s="1534">
        <f t="shared" ref="AB60" si="228">(J60+M60)+SUM(P60:X60)-Y60</f>
        <v>0</v>
      </c>
      <c r="AC60" s="1009"/>
      <c r="AD60" s="1534">
        <f t="shared" ref="AD60" si="229">AB60-AC60</f>
        <v>0</v>
      </c>
      <c r="AE60" s="1492"/>
      <c r="AF60" s="2603" t="b">
        <f t="shared" si="31"/>
        <v>1</v>
      </c>
      <c r="AG60" s="2604" t="b">
        <f t="shared" ref="AG60" si="230">IF(OR(K60&lt;-1,L60&lt;-1,N60&gt;1,O60&gt;1,Z60&lt;-1,AA60&lt;-1,AC60&gt;1,AD60&gt;1),FALSE,TRUE)</f>
        <v>1</v>
      </c>
      <c r="AH60" s="2605" t="b">
        <f t="shared" ref="AH60" si="231">IF(C60&lt;&gt;"",IF(OR(D60=$AH$2,D60=$AH$3),AND(G60&lt;&gt;"X",G60&lt;&gt;"Х",$G60&lt;&gt;""),G60="X"),TRUE)</f>
        <v>1</v>
      </c>
      <c r="AI60" s="2605" t="b">
        <f t="shared" si="107"/>
        <v>1</v>
      </c>
      <c r="AJ60" s="2605" t="b">
        <f t="shared" ref="AJ60" si="232">IF(COUNT(J60:K60,M60:N60,P60:X60)&lt;&gt;0,AND(C60&lt;&gt;"",D60&lt;&gt;"",E60&lt;&gt;"",F60&lt;&gt;"",G60&lt;&gt;"",H60&lt;&gt;"",I60&lt;&gt;""),TRUE)</f>
        <v>1</v>
      </c>
      <c r="AK60" s="2605" t="b">
        <f t="shared" si="108"/>
        <v>1</v>
      </c>
      <c r="AL60" s="2603" t="b">
        <f t="shared" si="109"/>
        <v>1</v>
      </c>
      <c r="AM60" s="2610"/>
      <c r="AN60" s="2610"/>
      <c r="AO60" s="2610"/>
      <c r="AP60" s="2607" t="str">
        <f t="shared" ref="AP60" si="233">CONCATENATE(C60,D60,E60)</f>
        <v/>
      </c>
      <c r="AQ60" s="2610"/>
      <c r="AR60" s="651" t="str">
        <f t="shared" si="35"/>
        <v/>
      </c>
    </row>
    <row r="61" spans="1:44" s="2603" customFormat="1" ht="15" thickBot="1">
      <c r="A61" s="2427" t="str">
        <f t="shared" ca="1" si="27"/>
        <v>R5=;R6=;R33=;R21=;R42=;R22=;R36=;R43=;COM=</v>
      </c>
      <c r="B61" s="1569"/>
      <c r="C61" s="1347"/>
      <c r="D61" s="1346"/>
      <c r="E61" s="1340"/>
      <c r="F61" s="1340"/>
      <c r="G61" s="1340"/>
      <c r="H61" s="1340"/>
      <c r="I61" s="1340"/>
      <c r="J61" s="1340"/>
      <c r="K61" s="1340"/>
      <c r="L61" s="2658">
        <f t="shared" ref="L61" si="234">J61-K61</f>
        <v>0</v>
      </c>
      <c r="M61" s="1340"/>
      <c r="N61" s="1340"/>
      <c r="O61" s="2658">
        <f t="shared" ref="O61" si="235">M61-N61</f>
        <v>0</v>
      </c>
      <c r="P61" s="1340"/>
      <c r="Q61" s="2524"/>
      <c r="R61" s="2524"/>
      <c r="S61" s="2524"/>
      <c r="T61" s="2524"/>
      <c r="U61" s="2524"/>
      <c r="V61" s="2524"/>
      <c r="W61" s="2524"/>
      <c r="X61" s="1340"/>
      <c r="Y61" s="2659"/>
      <c r="Z61" s="2659"/>
      <c r="AA61" s="2658">
        <f t="shared" ref="AA61" si="236">Y61-Z61</f>
        <v>0</v>
      </c>
      <c r="AB61" s="2658">
        <f t="shared" ref="AB61" si="237">(J61+M61)+SUM(P61:X61)-Y61</f>
        <v>0</v>
      </c>
      <c r="AC61" s="1340"/>
      <c r="AD61" s="2658">
        <f t="shared" ref="AD61" si="238">AB61-AC61</f>
        <v>0</v>
      </c>
      <c r="AE61" s="1540"/>
      <c r="AF61" s="2603" t="b">
        <f t="shared" si="31"/>
        <v>1</v>
      </c>
      <c r="AG61" s="2603" t="b">
        <f t="shared" ref="AG61" si="239">IF(OR(K61&lt;-1,L61&lt;-1,N61&gt;1,O61&gt;1,Z61&lt;-1,AA61&lt;-1,AC61&gt;1,AD61&gt;1),FALSE,TRUE)</f>
        <v>1</v>
      </c>
      <c r="AH61" s="2603" t="b">
        <f t="shared" ref="AH61" si="240">IF(C61&lt;&gt;"",IF(OR(D61=$AH$2,D61=$AH$3),AND(G61&lt;&gt;"X",G61&lt;&gt;"Х",$G61&lt;&gt;""),G61="X"),TRUE)</f>
        <v>1</v>
      </c>
      <c r="AI61" s="2605" t="b">
        <f t="shared" si="107"/>
        <v>1</v>
      </c>
      <c r="AJ61" s="2605" t="b">
        <f t="shared" ref="AJ61" si="241">IF(COUNT(J61:K61,M61:N61,P61:X61)&lt;&gt;0,AND(C61&lt;&gt;"",D61&lt;&gt;"",E61&lt;&gt;"",F61&lt;&gt;"",G61&lt;&gt;"",H61&lt;&gt;"",I61&lt;&gt;""),TRUE)</f>
        <v>1</v>
      </c>
      <c r="AK61" s="2603" t="b">
        <f t="shared" si="108"/>
        <v>1</v>
      </c>
      <c r="AL61" s="2603" t="b">
        <f t="shared" si="109"/>
        <v>1</v>
      </c>
      <c r="AM61" s="2610"/>
      <c r="AN61" s="2610"/>
      <c r="AO61" s="2610"/>
      <c r="AP61" s="2607" t="str">
        <f t="shared" ref="AP61" si="242">CONCATENATE(C61,D61,E61)</f>
        <v/>
      </c>
      <c r="AQ61" s="2610"/>
      <c r="AR61" s="651" t="str">
        <f t="shared" si="35"/>
        <v/>
      </c>
    </row>
    <row r="101" spans="39:49">
      <c r="AM101" s="2608"/>
      <c r="AN101" s="2608"/>
      <c r="AO101" s="2608"/>
      <c r="AP101" s="2608"/>
      <c r="AQ101" s="2608"/>
      <c r="AR101" s="651"/>
      <c r="AS101" s="651"/>
      <c r="AT101" s="651"/>
      <c r="AU101" s="651"/>
      <c r="AV101" s="651"/>
      <c r="AW101" s="651"/>
    </row>
    <row r="102" spans="39:49">
      <c r="AM102" s="2609"/>
      <c r="AN102" s="2609"/>
      <c r="AO102" s="2609"/>
      <c r="AP102" s="2609"/>
      <c r="AQ102" s="2609"/>
      <c r="AR102" s="2708"/>
      <c r="AS102" s="2708"/>
      <c r="AT102" s="2708"/>
      <c r="AU102" s="2708"/>
      <c r="AV102" s="2708"/>
      <c r="AW102" s="2835"/>
    </row>
    <row r="103" spans="39:49">
      <c r="AM103" s="2610"/>
      <c r="AN103" s="2610"/>
      <c r="AO103" s="2610"/>
      <c r="AP103" s="2610"/>
      <c r="AQ103" s="2610"/>
      <c r="AR103" s="2708"/>
      <c r="AS103" s="2708"/>
      <c r="AT103" s="2708"/>
      <c r="AU103" s="2708"/>
      <c r="AV103" s="2708"/>
      <c r="AW103" s="2835"/>
    </row>
    <row r="104" spans="39:49">
      <c r="AM104" s="2610"/>
      <c r="AN104" s="2610"/>
      <c r="AO104" s="2610"/>
      <c r="AP104" s="2610"/>
      <c r="AQ104" s="2610"/>
      <c r="AR104" s="671"/>
      <c r="AS104" s="671"/>
      <c r="AT104" s="671"/>
      <c r="AU104" s="671"/>
      <c r="AV104" s="671"/>
      <c r="AW104" s="671"/>
    </row>
    <row r="105" spans="39:49">
      <c r="AM105" s="2610"/>
      <c r="AN105" s="2610"/>
      <c r="AO105" s="2610"/>
      <c r="AP105" s="2610"/>
      <c r="AQ105" s="2610"/>
      <c r="AR105" s="651"/>
      <c r="AS105" s="651"/>
      <c r="AT105" s="651"/>
      <c r="AU105" s="651"/>
      <c r="AV105" s="651"/>
      <c r="AW105" s="651"/>
    </row>
    <row r="106" spans="39:49">
      <c r="AM106" s="2610"/>
      <c r="AN106" s="2610"/>
      <c r="AO106" s="2610"/>
      <c r="AP106" s="2610"/>
      <c r="AQ106" s="2610"/>
      <c r="AR106" s="651"/>
      <c r="AS106" s="651"/>
      <c r="AT106" s="651"/>
      <c r="AU106" s="651"/>
      <c r="AV106" s="651"/>
      <c r="AW106" s="651"/>
    </row>
    <row r="107" spans="39:49">
      <c r="AM107" s="2610"/>
      <c r="AN107" s="2610"/>
      <c r="AO107" s="2610"/>
      <c r="AP107" s="2610"/>
      <c r="AQ107" s="2610"/>
      <c r="AR107" s="651"/>
      <c r="AS107" s="651"/>
      <c r="AT107" s="651"/>
      <c r="AU107" s="651"/>
      <c r="AV107" s="651"/>
      <c r="AW107" s="651"/>
    </row>
    <row r="108" spans="39:49">
      <c r="AM108" s="2610"/>
      <c r="AN108" s="2610"/>
      <c r="AO108" s="2610"/>
      <c r="AP108" s="2610"/>
      <c r="AQ108" s="2610"/>
      <c r="AR108" s="651"/>
      <c r="AS108" s="651"/>
      <c r="AT108" s="651"/>
      <c r="AU108" s="651"/>
      <c r="AV108" s="651"/>
      <c r="AW108" s="651"/>
    </row>
    <row r="109" spans="39:49">
      <c r="AM109" s="2610"/>
      <c r="AN109" s="2610"/>
      <c r="AO109" s="2610"/>
      <c r="AP109" s="2610"/>
      <c r="AQ109" s="2610"/>
      <c r="AR109" s="651"/>
      <c r="AS109" s="651"/>
      <c r="AT109" s="651"/>
      <c r="AU109" s="651"/>
      <c r="AV109" s="651"/>
      <c r="AW109" s="651"/>
    </row>
    <row r="110" spans="39:49">
      <c r="AM110" s="2610"/>
      <c r="AN110" s="2610"/>
      <c r="AO110" s="2610"/>
      <c r="AP110" s="2610"/>
      <c r="AQ110" s="2610"/>
      <c r="AR110" s="651"/>
      <c r="AS110" s="651"/>
      <c r="AT110" s="651"/>
      <c r="AU110" s="651"/>
      <c r="AV110" s="651"/>
      <c r="AW110" s="651"/>
    </row>
    <row r="111" spans="39:49">
      <c r="AM111" s="2610"/>
      <c r="AN111" s="2610"/>
      <c r="AO111" s="2610"/>
      <c r="AP111" s="2610"/>
      <c r="AQ111" s="2610"/>
      <c r="AR111" s="651"/>
      <c r="AS111" s="651"/>
      <c r="AT111" s="651"/>
      <c r="AU111" s="651"/>
      <c r="AV111" s="651"/>
      <c r="AW111" s="651"/>
    </row>
    <row r="112" spans="39:49">
      <c r="AM112" s="2610"/>
      <c r="AN112" s="2610"/>
      <c r="AO112" s="2610"/>
      <c r="AP112" s="2610"/>
      <c r="AQ112" s="2610"/>
      <c r="AR112" s="651"/>
      <c r="AS112" s="651"/>
      <c r="AT112" s="651"/>
      <c r="AU112" s="651"/>
      <c r="AV112" s="651"/>
      <c r="AW112" s="651"/>
    </row>
    <row r="113" spans="39:49">
      <c r="AM113" s="2610"/>
      <c r="AN113" s="2610"/>
      <c r="AO113" s="2610"/>
      <c r="AP113" s="2610"/>
      <c r="AQ113" s="2610"/>
      <c r="AR113" s="651"/>
      <c r="AS113" s="651"/>
      <c r="AT113" s="651"/>
      <c r="AU113" s="651"/>
      <c r="AV113" s="651"/>
      <c r="AW113" s="651"/>
    </row>
    <row r="114" spans="39:49">
      <c r="AM114" s="2610"/>
      <c r="AN114" s="2610"/>
      <c r="AO114" s="2610"/>
      <c r="AP114" s="2610"/>
      <c r="AQ114" s="2610"/>
      <c r="AR114" s="651"/>
      <c r="AS114" s="651"/>
      <c r="AT114" s="651"/>
      <c r="AU114" s="651"/>
      <c r="AV114" s="651"/>
      <c r="AW114" s="651"/>
    </row>
    <row r="115" spans="39:49">
      <c r="AM115" s="2610"/>
      <c r="AN115" s="2610"/>
      <c r="AO115" s="2610"/>
      <c r="AP115" s="2610"/>
      <c r="AQ115" s="2610"/>
      <c r="AR115" s="651"/>
      <c r="AS115" s="651"/>
      <c r="AT115" s="651"/>
      <c r="AU115" s="651"/>
      <c r="AV115" s="651"/>
      <c r="AW115" s="651"/>
    </row>
    <row r="116" spans="39:49">
      <c r="AM116" s="2610"/>
      <c r="AN116" s="2610"/>
      <c r="AO116" s="2610"/>
      <c r="AP116" s="2610"/>
      <c r="AQ116" s="2610"/>
      <c r="AR116" s="651"/>
      <c r="AS116" s="651"/>
      <c r="AT116" s="651"/>
      <c r="AU116" s="651"/>
      <c r="AV116" s="651"/>
      <c r="AW116" s="651"/>
    </row>
    <row r="117" spans="39:49">
      <c r="AM117" s="2610"/>
      <c r="AN117" s="2610"/>
      <c r="AO117" s="2610"/>
      <c r="AP117" s="2610"/>
      <c r="AQ117" s="2610"/>
      <c r="AR117" s="651"/>
      <c r="AS117" s="651"/>
      <c r="AT117" s="651"/>
      <c r="AU117" s="651"/>
      <c r="AV117" s="651"/>
      <c r="AW117" s="651"/>
    </row>
    <row r="118" spans="39:49">
      <c r="AM118" s="2610"/>
      <c r="AN118" s="2610"/>
      <c r="AO118" s="2610"/>
      <c r="AP118" s="2610"/>
      <c r="AQ118" s="2610"/>
      <c r="AR118" s="651"/>
      <c r="AS118" s="651"/>
      <c r="AT118" s="651"/>
      <c r="AU118" s="651"/>
      <c r="AV118" s="651"/>
      <c r="AW118" s="651"/>
    </row>
    <row r="119" spans="39:49">
      <c r="AM119" s="2610"/>
      <c r="AN119" s="2610"/>
      <c r="AO119" s="2610"/>
      <c r="AP119" s="2610"/>
      <c r="AQ119" s="2610"/>
      <c r="AR119" s="651"/>
      <c r="AS119" s="651"/>
      <c r="AT119" s="651"/>
      <c r="AU119" s="651"/>
      <c r="AV119" s="651"/>
      <c r="AW119" s="651"/>
    </row>
    <row r="120" spans="39:49">
      <c r="AM120" s="2610"/>
      <c r="AN120" s="2610"/>
      <c r="AO120" s="2610"/>
      <c r="AP120" s="2610"/>
      <c r="AQ120" s="2610"/>
      <c r="AR120" s="651"/>
      <c r="AS120" s="651"/>
      <c r="AT120" s="651"/>
      <c r="AU120" s="651"/>
      <c r="AV120" s="651"/>
      <c r="AW120" s="651"/>
    </row>
    <row r="121" spans="39:49">
      <c r="AM121" s="2610"/>
      <c r="AN121" s="2610"/>
      <c r="AO121" s="2610"/>
      <c r="AP121" s="2610"/>
      <c r="AQ121" s="2610"/>
      <c r="AR121" s="651"/>
      <c r="AS121" s="651"/>
      <c r="AT121" s="651"/>
      <c r="AU121" s="651"/>
      <c r="AV121" s="651"/>
      <c r="AW121" s="651"/>
    </row>
    <row r="122" spans="39:49">
      <c r="AM122" s="2610"/>
      <c r="AN122" s="2610"/>
      <c r="AO122" s="2610"/>
      <c r="AP122" s="2610"/>
      <c r="AQ122" s="2610"/>
      <c r="AR122" s="651"/>
      <c r="AS122" s="651"/>
      <c r="AT122" s="651"/>
      <c r="AU122" s="651"/>
      <c r="AV122" s="651"/>
      <c r="AW122" s="651"/>
    </row>
    <row r="123" spans="39:49">
      <c r="AM123" s="2610"/>
      <c r="AN123" s="2610"/>
      <c r="AO123" s="2610"/>
      <c r="AP123" s="2610"/>
      <c r="AQ123" s="2610"/>
      <c r="AR123" s="651"/>
      <c r="AS123" s="651"/>
      <c r="AT123" s="651"/>
      <c r="AU123" s="651"/>
      <c r="AV123" s="651"/>
      <c r="AW123" s="651"/>
    </row>
    <row r="124" spans="39:49">
      <c r="AM124" s="2610"/>
      <c r="AN124" s="2610"/>
      <c r="AO124" s="2610"/>
      <c r="AP124" s="2610"/>
      <c r="AQ124" s="2610"/>
      <c r="AR124" s="651"/>
      <c r="AS124" s="651"/>
      <c r="AT124" s="651"/>
      <c r="AU124" s="651"/>
      <c r="AV124" s="651"/>
      <c r="AW124" s="651"/>
    </row>
    <row r="125" spans="39:49">
      <c r="AM125" s="2610"/>
      <c r="AN125" s="2610"/>
      <c r="AO125" s="2610"/>
      <c r="AP125" s="2610"/>
      <c r="AQ125" s="2610"/>
    </row>
    <row r="126" spans="39:49">
      <c r="AM126" s="2610"/>
      <c r="AN126" s="2610"/>
      <c r="AO126" s="2610"/>
      <c r="AP126" s="2610"/>
      <c r="AQ126" s="2610"/>
    </row>
    <row r="127" spans="39:49">
      <c r="AM127" s="2610"/>
      <c r="AN127" s="2610"/>
      <c r="AO127" s="2610"/>
      <c r="AP127" s="2610"/>
      <c r="AQ127" s="2610"/>
    </row>
    <row r="128" spans="39:49">
      <c r="AM128" s="2610"/>
      <c r="AN128" s="2610"/>
      <c r="AO128" s="2610"/>
      <c r="AP128" s="2610"/>
      <c r="AQ128" s="2610"/>
    </row>
    <row r="129" spans="39:43">
      <c r="AM129" s="2610"/>
      <c r="AN129" s="2610"/>
      <c r="AO129" s="2610"/>
      <c r="AP129" s="2610"/>
      <c r="AQ129" s="2610"/>
    </row>
    <row r="130" spans="39:43">
      <c r="AM130" s="2610"/>
      <c r="AN130" s="2610"/>
      <c r="AO130" s="2610"/>
      <c r="AP130" s="2610"/>
      <c r="AQ130" s="2610"/>
    </row>
    <row r="131" spans="39:43">
      <c r="AM131" s="2610"/>
      <c r="AN131" s="2610"/>
      <c r="AO131" s="2610"/>
      <c r="AP131" s="2610"/>
      <c r="AQ131" s="2610"/>
    </row>
    <row r="132" spans="39:43">
      <c r="AM132" s="2610"/>
      <c r="AN132" s="2610"/>
      <c r="AO132" s="2610"/>
      <c r="AP132" s="2610"/>
      <c r="AQ132" s="2610"/>
    </row>
    <row r="133" spans="39:43">
      <c r="AM133" s="2610"/>
      <c r="AN133" s="2610"/>
      <c r="AO133" s="2610"/>
      <c r="AP133" s="2610"/>
      <c r="AQ133" s="2610"/>
    </row>
    <row r="134" spans="39:43">
      <c r="AM134" s="2610"/>
      <c r="AN134" s="2610"/>
      <c r="AO134" s="2610"/>
      <c r="AP134" s="2610"/>
      <c r="AQ134" s="2610"/>
    </row>
    <row r="135" spans="39:43">
      <c r="AM135" s="2610"/>
      <c r="AN135" s="2610"/>
      <c r="AO135" s="2610"/>
      <c r="AP135" s="2610"/>
      <c r="AQ135" s="2610"/>
    </row>
    <row r="136" spans="39:43">
      <c r="AM136" s="2610"/>
      <c r="AN136" s="2610"/>
      <c r="AO136" s="2610"/>
      <c r="AP136" s="2610"/>
      <c r="AQ136" s="2610"/>
    </row>
    <row r="137" spans="39:43">
      <c r="AM137" s="2610"/>
      <c r="AN137" s="2610"/>
      <c r="AO137" s="2610"/>
      <c r="AP137" s="2610"/>
      <c r="AQ137" s="2610"/>
    </row>
    <row r="138" spans="39:43">
      <c r="AM138" s="2610"/>
      <c r="AN138" s="2610"/>
      <c r="AO138" s="2610"/>
      <c r="AP138" s="2610"/>
      <c r="AQ138" s="2610"/>
    </row>
  </sheetData>
  <sheetProtection algorithmName="SHA-512" hashValue="7mJ8YSZb7qOyEkw7ecjl4oL3imTJUC8ofpSLYtnlB9MHUlGpUx+UqFx0AXFYvjDPf56BXYvtCMbLduSMDFC3zg==" saltValue="A6TfOI5Ts9FfIT+MoJY+CQ==" spinCount="100000" sheet="1" objects="1" scenarios="1" formatColumns="0" formatRows="0" autoFilter="0"/>
  <autoFilter ref="A9:BD9"/>
  <mergeCells count="2">
    <mergeCell ref="AW6:AZ6"/>
    <mergeCell ref="BA6:BD6"/>
  </mergeCells>
  <dataValidations count="5">
    <dataValidation type="custom" allowBlank="1" showInputMessage="1" showErrorMessage="1" sqref="G12:G13">
      <formula1>IF($D9=1,2,3)</formula1>
    </dataValidation>
    <dataValidation type="list" allowBlank="1" showInputMessage="1" showErrorMessage="1" sqref="D10:D61">
      <formula1>IF($C10="{04} Налог на прибыль",_2752,$D$9)</formula1>
    </dataValidation>
    <dataValidation type="list" operator="equal" allowBlank="1" showErrorMessage="1" errorTitle="Выбор элемента списка" error="Данного элемента нет в списке" sqref="C10:C61">
      <formula1>_2720</formula1>
    </dataValidation>
    <dataValidation type="list" allowBlank="1" showInputMessage="1" showErrorMessage="1" sqref="F10:F61">
      <formula1>IF($E10="{2} Бюджет субъектов РФ",_6018,IF($E10="{4} Бюджет иностранного государства",_6001,$F$9))</formula1>
    </dataValidation>
    <dataValidation type="list" allowBlank="1" showInputMessage="1" showErrorMessage="1" sqref="E10:E61">
      <formula1>IF(OR(AR10=2,AR10=89,AR10=6,AR10=14),_2730_14,IF(OR(AR10=4,AR10=5,AR10=99,),_2730_124,IF(OR(AR10=1,AR10=7,AR10=8,AR10=13,),_2730_24,IF(AR10=21,_2730_4,IF(OR(AR10=3,AR10=11,AR10=15,AR10=15,AR10=17,),$D$9,"")))))</formula1>
    </dataValidation>
  </dataValidations>
  <hyperlinks>
    <hyperlink ref="F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19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1" r:id="rId4" name="Button 1">
              <controlPr defaultSize="0" print="0" autoFill="0" autoPict="0" macro="[0]!AddButtonsRowAdd">
                <anchor moveWithCells="1">
                  <from>
                    <xdr:col>3</xdr:col>
                    <xdr:colOff>450850</xdr:colOff>
                    <xdr:row>2</xdr:row>
                    <xdr:rowOff>69850</xdr:rowOff>
                  </from>
                  <to>
                    <xdr:col>4</xdr:col>
                    <xdr:colOff>31750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M186"/>
  <sheetViews>
    <sheetView topLeftCell="B176" zoomScale="70" zoomScaleNormal="70" workbookViewId="0">
      <selection activeCell="J181" sqref="J181"/>
    </sheetView>
  </sheetViews>
  <sheetFormatPr defaultColWidth="62.453125" defaultRowHeight="12.5"/>
  <cols>
    <col min="1" max="1" width="28.54296875" style="12" hidden="1" customWidth="1"/>
    <col min="2" max="2" width="4.54296875" style="12" customWidth="1"/>
    <col min="3" max="3" width="48.54296875" style="268" customWidth="1"/>
    <col min="4" max="4" width="19" style="12" bestFit="1" customWidth="1"/>
    <col min="5" max="7" width="19.54296875" style="12" customWidth="1"/>
    <col min="8" max="8" width="15.453125" style="12" customWidth="1"/>
    <col min="9" max="9" width="20.453125" style="12" customWidth="1"/>
    <col min="10" max="11" width="30.54296875" style="12" customWidth="1"/>
    <col min="12" max="12" width="13.453125" style="12" customWidth="1"/>
    <col min="13" max="13" width="10.54296875" style="12" customWidth="1"/>
    <col min="14" max="243" width="8.54296875" style="12" customWidth="1"/>
    <col min="244" max="244" width="5.54296875" style="12" customWidth="1"/>
    <col min="245" max="16384" width="62.453125" style="12"/>
  </cols>
  <sheetData>
    <row r="1" spans="1:12" s="388" customFormat="1" ht="14.5" hidden="1">
      <c r="A1" s="23" t="s">
        <v>223</v>
      </c>
      <c r="B1" s="2438"/>
      <c r="C1" s="267"/>
      <c r="D1" s="2438" t="s">
        <v>697</v>
      </c>
      <c r="E1" s="2438" t="s">
        <v>698</v>
      </c>
      <c r="F1" s="2438" t="s">
        <v>699</v>
      </c>
      <c r="G1" s="2438" t="s">
        <v>700</v>
      </c>
      <c r="H1" s="2438"/>
      <c r="I1" s="2438"/>
      <c r="J1" s="2438"/>
      <c r="K1" s="12"/>
    </row>
    <row r="2" spans="1:12" s="388" customFormat="1" ht="14.5">
      <c r="A2" s="7"/>
      <c r="B2" s="10"/>
      <c r="C2" s="2699"/>
      <c r="D2" s="1925" t="s">
        <v>1648</v>
      </c>
      <c r="E2" s="1925" t="s">
        <v>1648</v>
      </c>
      <c r="F2" s="1925" t="s">
        <v>1648</v>
      </c>
      <c r="G2" s="1925" t="s">
        <v>1648</v>
      </c>
      <c r="H2" s="12"/>
      <c r="I2" s="12"/>
      <c r="J2" s="12"/>
      <c r="K2" s="12"/>
    </row>
    <row r="3" spans="1:12" s="388" customFormat="1">
      <c r="A3" s="2427"/>
      <c r="B3" s="10"/>
      <c r="C3" s="268"/>
      <c r="D3" s="12"/>
      <c r="E3" s="12"/>
      <c r="F3" s="12"/>
      <c r="G3" s="12"/>
      <c r="H3" s="12"/>
      <c r="I3" s="12"/>
      <c r="J3" s="12"/>
      <c r="K3" s="12"/>
    </row>
    <row r="4" spans="1:12" s="388" customFormat="1" ht="26">
      <c r="A4" s="2427"/>
      <c r="C4" s="286" t="s">
        <v>4388</v>
      </c>
      <c r="D4" s="2699"/>
      <c r="E4" s="1897" t="s">
        <v>2067</v>
      </c>
      <c r="F4" s="1244">
        <f>Содержание!$D$2</f>
        <v>0</v>
      </c>
      <c r="G4" s="2023" t="str">
        <f>IF(ISNA(VLOOKUP(F4,Список_компаний!A:J,10,0)),"",VLOOKUP(F4,Список_компаний!A:J,10,0))</f>
        <v/>
      </c>
      <c r="H4" s="12"/>
      <c r="I4" s="12"/>
      <c r="J4" s="12"/>
      <c r="K4" s="12"/>
    </row>
    <row r="5" spans="1:12" s="388" customFormat="1" ht="15" thickBot="1">
      <c r="A5" s="2427"/>
      <c r="C5" s="286"/>
      <c r="D5" s="3044" t="s">
        <v>1436</v>
      </c>
      <c r="E5" s="1897" t="s">
        <v>2075</v>
      </c>
      <c r="F5" s="1244" t="str">
        <f>Содержание!$D$15</f>
        <v>2022 год</v>
      </c>
      <c r="G5" s="38"/>
      <c r="H5" s="12"/>
      <c r="I5" s="12"/>
      <c r="J5" s="12"/>
      <c r="K5" s="12"/>
    </row>
    <row r="6" spans="1:12" ht="65">
      <c r="A6" s="2430"/>
      <c r="C6" s="2702" t="s">
        <v>4758</v>
      </c>
      <c r="D6" s="2701" t="s">
        <v>3517</v>
      </c>
      <c r="E6" s="2701" t="s">
        <v>5306</v>
      </c>
      <c r="F6" s="2701" t="s">
        <v>4757</v>
      </c>
      <c r="G6" s="2700" t="s">
        <v>3518</v>
      </c>
      <c r="H6" s="8"/>
      <c r="I6" s="8"/>
      <c r="J6" s="8"/>
      <c r="K6" s="8"/>
    </row>
    <row r="7" spans="1:12" s="763" customFormat="1" ht="14.5">
      <c r="A7" s="2430"/>
      <c r="C7" s="764" t="s">
        <v>8033</v>
      </c>
      <c r="D7" s="765" t="s">
        <v>668</v>
      </c>
      <c r="E7" s="765" t="s">
        <v>4919</v>
      </c>
      <c r="F7" s="765" t="s">
        <v>2228</v>
      </c>
      <c r="G7" s="766" t="s">
        <v>669</v>
      </c>
      <c r="H7" s="767"/>
      <c r="I7" s="767"/>
      <c r="J7" s="767"/>
      <c r="K7" s="767"/>
    </row>
    <row r="8" spans="1:12" s="2703" customFormat="1" ht="15" thickBot="1">
      <c r="A8" s="2430"/>
      <c r="C8" s="709" t="s">
        <v>4164</v>
      </c>
      <c r="D8" s="710" t="s">
        <v>4165</v>
      </c>
      <c r="E8" s="710" t="s">
        <v>4166</v>
      </c>
      <c r="F8" s="710" t="s">
        <v>5500</v>
      </c>
      <c r="G8" s="711" t="s">
        <v>4169</v>
      </c>
      <c r="H8" s="712"/>
      <c r="I8" s="712"/>
      <c r="J8" s="712"/>
      <c r="K8" s="712"/>
    </row>
    <row r="9" spans="1:12" ht="39">
      <c r="A9" s="2430" t="s">
        <v>7864</v>
      </c>
      <c r="C9" s="384" t="s">
        <v>4756</v>
      </c>
      <c r="D9" s="382" t="s">
        <v>3389</v>
      </c>
      <c r="E9" s="178"/>
      <c r="F9" s="382" t="s">
        <v>3389</v>
      </c>
      <c r="G9" s="381" t="s">
        <v>3389</v>
      </c>
      <c r="H9" s="8"/>
      <c r="I9" s="2704" t="s">
        <v>4755</v>
      </c>
      <c r="J9" s="8"/>
      <c r="K9" s="8"/>
    </row>
    <row r="10" spans="1:12" s="375" customFormat="1" ht="39">
      <c r="A10" s="2430" t="s">
        <v>7865</v>
      </c>
      <c r="C10" s="621" t="s">
        <v>4754</v>
      </c>
      <c r="D10" s="382" t="s">
        <v>3389</v>
      </c>
      <c r="E10" s="177">
        <f>E11-E103-E121+E124</f>
        <v>0</v>
      </c>
      <c r="F10" s="382" t="s">
        <v>3389</v>
      </c>
      <c r="G10" s="381" t="s">
        <v>3389</v>
      </c>
      <c r="H10" s="8"/>
      <c r="I10" s="392" t="b">
        <f>ABS(ROUND(E9,0)-ROUND(ОФР!E21,0))&lt;=1</f>
        <v>1</v>
      </c>
      <c r="J10" s="8"/>
      <c r="K10" s="8"/>
    </row>
    <row r="11" spans="1:12" s="375" customFormat="1" ht="26">
      <c r="A11" s="2430" t="s">
        <v>6794</v>
      </c>
      <c r="C11" s="621" t="s">
        <v>4753</v>
      </c>
      <c r="D11" s="382" t="s">
        <v>3389</v>
      </c>
      <c r="E11" s="177">
        <f>SUM(E12:E102)</f>
        <v>0</v>
      </c>
      <c r="F11" s="382" t="s">
        <v>3389</v>
      </c>
      <c r="G11" s="381" t="s">
        <v>3389</v>
      </c>
      <c r="H11" s="8"/>
      <c r="I11" s="3003"/>
      <c r="J11" s="8"/>
      <c r="K11" s="2715"/>
      <c r="L11" s="1799"/>
    </row>
    <row r="12" spans="1:12" s="375" customFormat="1" ht="14.5">
      <c r="A12" s="2430" t="s">
        <v>7759</v>
      </c>
      <c r="C12" s="2089" t="s">
        <v>7916</v>
      </c>
      <c r="D12" s="2086" t="s">
        <v>3389</v>
      </c>
      <c r="E12" s="178"/>
      <c r="F12" s="382" t="s">
        <v>3389</v>
      </c>
      <c r="G12" s="381" t="s">
        <v>3389</v>
      </c>
      <c r="H12" s="8"/>
      <c r="I12" s="3003"/>
      <c r="J12" s="8"/>
      <c r="K12" s="2715"/>
    </row>
    <row r="13" spans="1:12" s="375" customFormat="1" ht="14.5">
      <c r="A13" s="2430" t="s">
        <v>7760</v>
      </c>
      <c r="C13" s="2087" t="s">
        <v>7917</v>
      </c>
      <c r="D13" s="2088" t="s">
        <v>3389</v>
      </c>
      <c r="E13" s="178"/>
      <c r="F13" s="382" t="s">
        <v>3389</v>
      </c>
      <c r="G13" s="381" t="s">
        <v>3389</v>
      </c>
      <c r="H13" s="8"/>
      <c r="I13" s="8"/>
      <c r="J13" s="8"/>
      <c r="K13" s="2715"/>
    </row>
    <row r="14" spans="1:12" s="375" customFormat="1" ht="14.5">
      <c r="A14" s="2430" t="s">
        <v>7761</v>
      </c>
      <c r="C14" s="2089" t="s">
        <v>7918</v>
      </c>
      <c r="D14" s="2088" t="s">
        <v>3389</v>
      </c>
      <c r="E14" s="178"/>
      <c r="F14" s="382" t="s">
        <v>3389</v>
      </c>
      <c r="G14" s="381" t="s">
        <v>3389</v>
      </c>
      <c r="H14" s="8"/>
      <c r="I14" s="8"/>
      <c r="J14" s="8"/>
      <c r="K14" s="2715"/>
    </row>
    <row r="15" spans="1:12" s="375" customFormat="1" ht="14.5">
      <c r="A15" s="2430" t="s">
        <v>7762</v>
      </c>
      <c r="C15" s="2087" t="s">
        <v>7919</v>
      </c>
      <c r="D15" s="2086" t="s">
        <v>3389</v>
      </c>
      <c r="E15" s="178"/>
      <c r="F15" s="382" t="s">
        <v>3389</v>
      </c>
      <c r="G15" s="381" t="s">
        <v>3389</v>
      </c>
      <c r="H15" s="8"/>
      <c r="I15" s="2699"/>
      <c r="J15" s="8"/>
      <c r="K15" s="2715"/>
    </row>
    <row r="16" spans="1:12" s="375" customFormat="1" ht="25">
      <c r="A16" s="2430" t="s">
        <v>7763</v>
      </c>
      <c r="C16" s="2089" t="s">
        <v>7920</v>
      </c>
      <c r="D16" s="2086" t="s">
        <v>3389</v>
      </c>
      <c r="E16" s="178"/>
      <c r="F16" s="382" t="s">
        <v>3389</v>
      </c>
      <c r="G16" s="381" t="s">
        <v>3389</v>
      </c>
      <c r="H16" s="8"/>
      <c r="I16" s="2699"/>
      <c r="J16" s="8"/>
      <c r="K16" s="2715"/>
    </row>
    <row r="17" spans="1:12" s="375" customFormat="1" ht="25">
      <c r="A17" s="2430" t="s">
        <v>7764</v>
      </c>
      <c r="C17" s="2087" t="s">
        <v>7921</v>
      </c>
      <c r="D17" s="2086" t="s">
        <v>3389</v>
      </c>
      <c r="E17" s="178"/>
      <c r="F17" s="382" t="s">
        <v>3389</v>
      </c>
      <c r="G17" s="381" t="s">
        <v>3389</v>
      </c>
      <c r="H17" s="8"/>
      <c r="I17" s="2699"/>
      <c r="J17" s="8"/>
      <c r="K17" s="2715"/>
    </row>
    <row r="18" spans="1:12" s="375" customFormat="1" ht="25">
      <c r="A18" s="2430" t="s">
        <v>7765</v>
      </c>
      <c r="C18" s="2089" t="s">
        <v>7922</v>
      </c>
      <c r="D18" s="2088" t="s">
        <v>3389</v>
      </c>
      <c r="E18" s="178"/>
      <c r="F18" s="382" t="s">
        <v>3389</v>
      </c>
      <c r="G18" s="381" t="s">
        <v>3389</v>
      </c>
      <c r="H18" s="8"/>
      <c r="I18" s="8"/>
      <c r="J18" s="8"/>
      <c r="K18" s="2715"/>
    </row>
    <row r="19" spans="1:12" s="375" customFormat="1" ht="25">
      <c r="A19" s="2430" t="s">
        <v>7766</v>
      </c>
      <c r="C19" s="2089" t="s">
        <v>7923</v>
      </c>
      <c r="D19" s="2088" t="s">
        <v>3389</v>
      </c>
      <c r="E19" s="178"/>
      <c r="F19" s="382" t="s">
        <v>3389</v>
      </c>
      <c r="G19" s="381" t="s">
        <v>3389</v>
      </c>
      <c r="H19" s="8"/>
      <c r="I19" s="8"/>
      <c r="J19" s="8"/>
      <c r="K19" s="2715"/>
    </row>
    <row r="20" spans="1:12" s="375" customFormat="1" ht="25">
      <c r="A20" s="2430" t="s">
        <v>7767</v>
      </c>
      <c r="C20" s="2089" t="s">
        <v>7924</v>
      </c>
      <c r="D20" s="2088" t="s">
        <v>3389</v>
      </c>
      <c r="E20" s="178"/>
      <c r="F20" s="382" t="s">
        <v>3389</v>
      </c>
      <c r="G20" s="381" t="s">
        <v>3389</v>
      </c>
      <c r="H20" s="8"/>
      <c r="I20" s="8"/>
      <c r="J20" s="8"/>
      <c r="K20" s="2715"/>
    </row>
    <row r="21" spans="1:12" s="375" customFormat="1" ht="37.5">
      <c r="A21" s="2430" t="s">
        <v>7768</v>
      </c>
      <c r="C21" s="384" t="s">
        <v>7925</v>
      </c>
      <c r="D21" s="2086" t="s">
        <v>3389</v>
      </c>
      <c r="E21" s="178"/>
      <c r="F21" s="382" t="s">
        <v>3389</v>
      </c>
      <c r="G21" s="381" t="s">
        <v>3389</v>
      </c>
      <c r="H21" s="8"/>
      <c r="I21" s="8"/>
      <c r="J21" s="8"/>
      <c r="K21" s="2715"/>
    </row>
    <row r="22" spans="1:12" s="375" customFormat="1" ht="37.5">
      <c r="A22" s="2430" t="s">
        <v>7769</v>
      </c>
      <c r="C22" s="2089" t="s">
        <v>7926</v>
      </c>
      <c r="D22" s="2088" t="s">
        <v>3389</v>
      </c>
      <c r="E22" s="178"/>
      <c r="F22" s="382" t="s">
        <v>3389</v>
      </c>
      <c r="G22" s="381" t="s">
        <v>3389</v>
      </c>
      <c r="H22" s="8"/>
      <c r="I22" s="8"/>
      <c r="J22" s="8"/>
      <c r="K22" s="2715"/>
    </row>
    <row r="23" spans="1:12" s="375" customFormat="1" ht="14.5">
      <c r="A23" s="2430" t="s">
        <v>7770</v>
      </c>
      <c r="C23" s="2089" t="s">
        <v>7927</v>
      </c>
      <c r="D23" s="2088" t="s">
        <v>3389</v>
      </c>
      <c r="E23" s="178"/>
      <c r="F23" s="382" t="s">
        <v>3389</v>
      </c>
      <c r="G23" s="381" t="s">
        <v>3389</v>
      </c>
      <c r="H23" s="8"/>
      <c r="I23" s="8"/>
      <c r="J23" s="8"/>
      <c r="K23" s="2715"/>
    </row>
    <row r="24" spans="1:12" s="375" customFormat="1" ht="14.5">
      <c r="A24" s="2430" t="s">
        <v>7771</v>
      </c>
      <c r="C24" s="2089" t="s">
        <v>7928</v>
      </c>
      <c r="D24" s="2088" t="s">
        <v>3389</v>
      </c>
      <c r="E24" s="178"/>
      <c r="F24" s="382" t="s">
        <v>3389</v>
      </c>
      <c r="G24" s="381" t="s">
        <v>3389</v>
      </c>
      <c r="H24" s="8"/>
      <c r="I24" s="8"/>
      <c r="J24" s="8"/>
      <c r="K24" s="2715"/>
    </row>
    <row r="25" spans="1:12" s="375" customFormat="1" ht="14.5">
      <c r="A25" s="2430" t="s">
        <v>8031</v>
      </c>
      <c r="C25" s="2089" t="s">
        <v>7929</v>
      </c>
      <c r="D25" s="2088"/>
      <c r="E25" s="178"/>
      <c r="F25" s="382"/>
      <c r="G25" s="381"/>
      <c r="H25" s="8"/>
      <c r="I25" s="8"/>
      <c r="J25" s="8"/>
      <c r="K25" s="2715"/>
    </row>
    <row r="26" spans="1:12" s="375" customFormat="1" ht="14.5">
      <c r="A26" s="2430" t="s">
        <v>7772</v>
      </c>
      <c r="C26" s="2089" t="s">
        <v>7930</v>
      </c>
      <c r="D26" s="2088" t="s">
        <v>3389</v>
      </c>
      <c r="E26" s="178"/>
      <c r="F26" s="382" t="s">
        <v>3389</v>
      </c>
      <c r="G26" s="381" t="s">
        <v>3389</v>
      </c>
      <c r="H26" s="8"/>
      <c r="I26" s="8"/>
      <c r="J26" s="8"/>
      <c r="K26" s="2715"/>
    </row>
    <row r="27" spans="1:12" s="375" customFormat="1" ht="25">
      <c r="A27" s="2430" t="s">
        <v>7773</v>
      </c>
      <c r="C27" s="2089" t="s">
        <v>7931</v>
      </c>
      <c r="D27" s="257" t="s">
        <v>3389</v>
      </c>
      <c r="E27" s="178"/>
      <c r="F27" s="382" t="s">
        <v>3389</v>
      </c>
      <c r="G27" s="381" t="s">
        <v>3389</v>
      </c>
      <c r="H27" s="8"/>
      <c r="I27" s="8"/>
      <c r="J27" s="8"/>
      <c r="K27" s="2715"/>
    </row>
    <row r="28" spans="1:12" s="375" customFormat="1" ht="25">
      <c r="A28" s="2430" t="s">
        <v>7774</v>
      </c>
      <c r="C28" s="2089" t="s">
        <v>7932</v>
      </c>
      <c r="D28" s="257" t="s">
        <v>3389</v>
      </c>
      <c r="E28" s="178"/>
      <c r="F28" s="257" t="s">
        <v>3389</v>
      </c>
      <c r="G28" s="381" t="s">
        <v>3389</v>
      </c>
      <c r="H28" s="8"/>
      <c r="I28" s="8"/>
      <c r="J28" s="8"/>
      <c r="K28" s="2715"/>
    </row>
    <row r="29" spans="1:12" s="375" customFormat="1" ht="14.5">
      <c r="A29" s="2430" t="s">
        <v>7775</v>
      </c>
      <c r="C29" s="2089" t="s">
        <v>7933</v>
      </c>
      <c r="D29" s="257" t="s">
        <v>3389</v>
      </c>
      <c r="E29" s="178"/>
      <c r="F29" s="257" t="s">
        <v>3389</v>
      </c>
      <c r="G29" s="381" t="s">
        <v>3389</v>
      </c>
      <c r="H29" s="8"/>
      <c r="I29" s="8"/>
      <c r="J29" s="8"/>
      <c r="K29" s="2715"/>
    </row>
    <row r="30" spans="1:12" s="388" customFormat="1" ht="25">
      <c r="A30" s="2430" t="s">
        <v>7776</v>
      </c>
      <c r="C30" s="2089" t="s">
        <v>7934</v>
      </c>
      <c r="D30" s="257" t="s">
        <v>3389</v>
      </c>
      <c r="E30" s="178"/>
      <c r="F30" s="257" t="s">
        <v>3389</v>
      </c>
      <c r="G30" s="381" t="s">
        <v>3389</v>
      </c>
      <c r="H30" s="8"/>
      <c r="I30" s="8"/>
      <c r="J30" s="8"/>
      <c r="K30" s="2715"/>
      <c r="L30" s="375"/>
    </row>
    <row r="31" spans="1:12" s="388" customFormat="1" ht="25">
      <c r="A31" s="2430" t="s">
        <v>7777</v>
      </c>
      <c r="C31" s="2089" t="s">
        <v>7935</v>
      </c>
      <c r="D31" s="257" t="s">
        <v>3389</v>
      </c>
      <c r="E31" s="178"/>
      <c r="F31" s="257" t="s">
        <v>3389</v>
      </c>
      <c r="G31" s="381" t="s">
        <v>3389</v>
      </c>
      <c r="H31" s="8"/>
      <c r="I31" s="8"/>
      <c r="J31" s="8"/>
      <c r="K31" s="2715"/>
      <c r="L31" s="375"/>
    </row>
    <row r="32" spans="1:12" s="388" customFormat="1" ht="14.5">
      <c r="A32" s="2430" t="s">
        <v>7778</v>
      </c>
      <c r="C32" s="2089" t="s">
        <v>7936</v>
      </c>
      <c r="D32" s="257" t="s">
        <v>3389</v>
      </c>
      <c r="E32" s="178"/>
      <c r="F32" s="257" t="s">
        <v>3389</v>
      </c>
      <c r="G32" s="381" t="s">
        <v>3389</v>
      </c>
      <c r="H32" s="8"/>
      <c r="I32" s="8"/>
      <c r="J32" s="8"/>
      <c r="K32" s="2715"/>
      <c r="L32" s="375"/>
    </row>
    <row r="33" spans="1:12" s="388" customFormat="1" ht="25">
      <c r="A33" s="2430" t="s">
        <v>7779</v>
      </c>
      <c r="C33" s="2089" t="s">
        <v>7937</v>
      </c>
      <c r="D33" s="257" t="s">
        <v>3389</v>
      </c>
      <c r="E33" s="178"/>
      <c r="F33" s="257" t="s">
        <v>3389</v>
      </c>
      <c r="G33" s="381" t="s">
        <v>3389</v>
      </c>
      <c r="H33" s="8"/>
      <c r="I33" s="8"/>
      <c r="J33" s="8"/>
      <c r="K33" s="2715"/>
      <c r="L33" s="375"/>
    </row>
    <row r="34" spans="1:12" s="388" customFormat="1" ht="25">
      <c r="A34" s="2430" t="s">
        <v>7780</v>
      </c>
      <c r="C34" s="2089" t="s">
        <v>7938</v>
      </c>
      <c r="D34" s="257" t="s">
        <v>3389</v>
      </c>
      <c r="E34" s="178"/>
      <c r="F34" s="257" t="s">
        <v>3389</v>
      </c>
      <c r="G34" s="381" t="s">
        <v>3389</v>
      </c>
      <c r="H34" s="8"/>
      <c r="I34" s="8"/>
      <c r="J34" s="8"/>
      <c r="K34" s="2715"/>
      <c r="L34" s="375"/>
    </row>
    <row r="35" spans="1:12" s="388" customFormat="1" ht="25">
      <c r="A35" s="2430" t="s">
        <v>7781</v>
      </c>
      <c r="C35" s="2089" t="s">
        <v>7939</v>
      </c>
      <c r="D35" s="257" t="s">
        <v>3389</v>
      </c>
      <c r="E35" s="178"/>
      <c r="F35" s="257" t="s">
        <v>3389</v>
      </c>
      <c r="G35" s="381" t="s">
        <v>3389</v>
      </c>
      <c r="H35" s="8"/>
      <c r="I35" s="8"/>
      <c r="J35" s="8"/>
      <c r="K35" s="2715"/>
      <c r="L35" s="375"/>
    </row>
    <row r="36" spans="1:12" s="388" customFormat="1" ht="25">
      <c r="A36" s="2430" t="s">
        <v>7782</v>
      </c>
      <c r="C36" s="2089" t="s">
        <v>7940</v>
      </c>
      <c r="D36" s="257" t="s">
        <v>3389</v>
      </c>
      <c r="E36" s="178"/>
      <c r="F36" s="257" t="s">
        <v>3389</v>
      </c>
      <c r="G36" s="381" t="s">
        <v>3389</v>
      </c>
      <c r="H36" s="8"/>
      <c r="I36" s="8"/>
      <c r="J36" s="8"/>
      <c r="K36" s="2715"/>
      <c r="L36" s="375"/>
    </row>
    <row r="37" spans="1:12" s="388" customFormat="1" ht="25">
      <c r="A37" s="2430" t="s">
        <v>7783</v>
      </c>
      <c r="C37" s="2089" t="s">
        <v>7941</v>
      </c>
      <c r="D37" s="257" t="s">
        <v>3389</v>
      </c>
      <c r="E37" s="178"/>
      <c r="F37" s="257" t="s">
        <v>3389</v>
      </c>
      <c r="G37" s="381" t="s">
        <v>3389</v>
      </c>
      <c r="H37" s="8"/>
      <c r="I37" s="8"/>
      <c r="J37" s="8"/>
      <c r="K37" s="2715"/>
      <c r="L37" s="375"/>
    </row>
    <row r="38" spans="1:12" s="388" customFormat="1" ht="62.5">
      <c r="A38" s="2430" t="s">
        <v>7784</v>
      </c>
      <c r="C38" s="2089" t="s">
        <v>7942</v>
      </c>
      <c r="D38" s="257" t="s">
        <v>3389</v>
      </c>
      <c r="E38" s="178"/>
      <c r="F38" s="257" t="s">
        <v>3389</v>
      </c>
      <c r="G38" s="381" t="s">
        <v>3389</v>
      </c>
      <c r="H38" s="8"/>
      <c r="I38" s="8"/>
      <c r="J38" s="8"/>
      <c r="K38" s="2715"/>
      <c r="L38" s="375"/>
    </row>
    <row r="39" spans="1:12" s="388" customFormat="1" ht="14.5">
      <c r="A39" s="2430" t="s">
        <v>7785</v>
      </c>
      <c r="C39" s="2089" t="s">
        <v>7943</v>
      </c>
      <c r="D39" s="257" t="s">
        <v>3389</v>
      </c>
      <c r="E39" s="178"/>
      <c r="F39" s="257" t="s">
        <v>3389</v>
      </c>
      <c r="G39" s="381" t="s">
        <v>3389</v>
      </c>
      <c r="H39" s="8"/>
      <c r="I39" s="8"/>
      <c r="J39" s="8"/>
      <c r="K39" s="2715"/>
      <c r="L39" s="375"/>
    </row>
    <row r="40" spans="1:12" s="388" customFormat="1" ht="37.5">
      <c r="A40" s="2430" t="s">
        <v>7786</v>
      </c>
      <c r="C40" s="2089" t="s">
        <v>7944</v>
      </c>
      <c r="D40" s="257" t="s">
        <v>3389</v>
      </c>
      <c r="E40" s="178"/>
      <c r="F40" s="257" t="s">
        <v>3389</v>
      </c>
      <c r="G40" s="381" t="s">
        <v>3389</v>
      </c>
      <c r="H40" s="8"/>
      <c r="I40" s="8"/>
      <c r="J40" s="8"/>
      <c r="K40" s="2715"/>
      <c r="L40" s="375"/>
    </row>
    <row r="41" spans="1:12" s="388" customFormat="1" ht="25">
      <c r="A41" s="2430" t="s">
        <v>7787</v>
      </c>
      <c r="C41" s="2089" t="s">
        <v>7945</v>
      </c>
      <c r="D41" s="257" t="s">
        <v>3389</v>
      </c>
      <c r="E41" s="178"/>
      <c r="F41" s="257" t="s">
        <v>3389</v>
      </c>
      <c r="G41" s="381" t="s">
        <v>3389</v>
      </c>
      <c r="H41" s="8"/>
      <c r="I41" s="8"/>
      <c r="J41" s="8"/>
      <c r="K41" s="2715"/>
      <c r="L41" s="375"/>
    </row>
    <row r="42" spans="1:12" s="388" customFormat="1" ht="25">
      <c r="A42" s="2430" t="s">
        <v>7788</v>
      </c>
      <c r="C42" s="390" t="s">
        <v>7946</v>
      </c>
      <c r="D42" s="257" t="s">
        <v>3389</v>
      </c>
      <c r="E42" s="178"/>
      <c r="F42" s="257" t="s">
        <v>3389</v>
      </c>
      <c r="G42" s="2090" t="s">
        <v>3389</v>
      </c>
      <c r="H42" s="8"/>
      <c r="I42" s="8"/>
      <c r="J42" s="8"/>
      <c r="K42" s="2715"/>
      <c r="L42" s="375"/>
    </row>
    <row r="43" spans="1:12" s="388" customFormat="1" ht="14.5">
      <c r="A43" s="2430" t="s">
        <v>7789</v>
      </c>
      <c r="C43" s="384" t="s">
        <v>7947</v>
      </c>
      <c r="D43" s="257" t="s">
        <v>3389</v>
      </c>
      <c r="E43" s="178"/>
      <c r="F43" s="382" t="s">
        <v>3389</v>
      </c>
      <c r="G43" s="381" t="s">
        <v>3389</v>
      </c>
      <c r="H43" s="8"/>
      <c r="I43" s="8"/>
      <c r="J43" s="8"/>
      <c r="K43" s="2715"/>
      <c r="L43" s="375"/>
    </row>
    <row r="44" spans="1:12" s="388" customFormat="1" ht="14.5">
      <c r="A44" s="2430" t="s">
        <v>7790</v>
      </c>
      <c r="C44" s="2089" t="s">
        <v>7948</v>
      </c>
      <c r="D44" s="257" t="s">
        <v>3389</v>
      </c>
      <c r="E44" s="178"/>
      <c r="F44" s="382" t="s">
        <v>3389</v>
      </c>
      <c r="G44" s="381" t="s">
        <v>3389</v>
      </c>
      <c r="H44" s="8"/>
      <c r="I44" s="8"/>
      <c r="J44" s="8"/>
      <c r="K44" s="2715"/>
      <c r="L44" s="375"/>
    </row>
    <row r="45" spans="1:12" s="388" customFormat="1" ht="25">
      <c r="A45" s="2430" t="s">
        <v>7791</v>
      </c>
      <c r="C45" s="2089" t="s">
        <v>7949</v>
      </c>
      <c r="D45" s="257" t="s">
        <v>3389</v>
      </c>
      <c r="E45" s="178"/>
      <c r="F45" s="382" t="s">
        <v>3389</v>
      </c>
      <c r="G45" s="381" t="s">
        <v>3389</v>
      </c>
      <c r="H45" s="8"/>
      <c r="I45" s="8"/>
      <c r="J45" s="8"/>
      <c r="K45" s="2715"/>
      <c r="L45" s="375"/>
    </row>
    <row r="46" spans="1:12" s="388" customFormat="1" ht="25">
      <c r="A46" s="2430" t="s">
        <v>7792</v>
      </c>
      <c r="C46" s="384" t="s">
        <v>7950</v>
      </c>
      <c r="D46" s="382" t="s">
        <v>3389</v>
      </c>
      <c r="E46" s="178"/>
      <c r="F46" s="382" t="s">
        <v>3389</v>
      </c>
      <c r="G46" s="381" t="s">
        <v>3389</v>
      </c>
      <c r="H46" s="8"/>
      <c r="I46" s="8"/>
      <c r="J46" s="8"/>
      <c r="K46" s="2715"/>
      <c r="L46" s="375"/>
    </row>
    <row r="47" spans="1:12" s="388" customFormat="1" ht="25">
      <c r="A47" s="2430" t="s">
        <v>7793</v>
      </c>
      <c r="C47" s="384" t="s">
        <v>7951</v>
      </c>
      <c r="D47" s="382" t="s">
        <v>3389</v>
      </c>
      <c r="E47" s="178"/>
      <c r="F47" s="382" t="s">
        <v>3389</v>
      </c>
      <c r="G47" s="381" t="s">
        <v>3389</v>
      </c>
      <c r="H47" s="8"/>
      <c r="I47" s="8"/>
      <c r="J47" s="8"/>
      <c r="K47" s="2715"/>
      <c r="L47" s="375"/>
    </row>
    <row r="48" spans="1:12" s="388" customFormat="1" ht="50">
      <c r="A48" s="2430" t="s">
        <v>7794</v>
      </c>
      <c r="C48" s="384" t="s">
        <v>7952</v>
      </c>
      <c r="D48" s="382" t="s">
        <v>3389</v>
      </c>
      <c r="E48" s="178"/>
      <c r="F48" s="382" t="s">
        <v>3389</v>
      </c>
      <c r="G48" s="381" t="s">
        <v>3389</v>
      </c>
      <c r="H48" s="8"/>
      <c r="I48" s="8"/>
      <c r="J48" s="8"/>
      <c r="K48" s="2715"/>
      <c r="L48" s="375"/>
    </row>
    <row r="49" spans="1:12" s="388" customFormat="1" ht="25">
      <c r="A49" s="2430" t="s">
        <v>7795</v>
      </c>
      <c r="C49" s="384" t="s">
        <v>7953</v>
      </c>
      <c r="D49" s="382" t="s">
        <v>3389</v>
      </c>
      <c r="E49" s="178"/>
      <c r="F49" s="382" t="s">
        <v>3389</v>
      </c>
      <c r="G49" s="381" t="s">
        <v>3389</v>
      </c>
      <c r="H49" s="8"/>
      <c r="I49" s="8"/>
      <c r="J49" s="8"/>
      <c r="K49" s="2715"/>
      <c r="L49" s="375"/>
    </row>
    <row r="50" spans="1:12" s="388" customFormat="1" ht="25">
      <c r="A50" s="2430" t="s">
        <v>7796</v>
      </c>
      <c r="C50" s="384" t="s">
        <v>7954</v>
      </c>
      <c r="D50" s="382" t="s">
        <v>3389</v>
      </c>
      <c r="E50" s="178"/>
      <c r="F50" s="382" t="s">
        <v>3389</v>
      </c>
      <c r="G50" s="381" t="s">
        <v>3389</v>
      </c>
      <c r="H50" s="8"/>
      <c r="I50" s="8"/>
      <c r="J50" s="8"/>
      <c r="K50" s="2715"/>
      <c r="L50" s="375"/>
    </row>
    <row r="51" spans="1:12" s="388" customFormat="1" ht="25">
      <c r="A51" s="2430" t="s">
        <v>7797</v>
      </c>
      <c r="C51" s="384" t="s">
        <v>7955</v>
      </c>
      <c r="D51" s="382" t="s">
        <v>3389</v>
      </c>
      <c r="E51" s="178"/>
      <c r="F51" s="382" t="s">
        <v>3389</v>
      </c>
      <c r="G51" s="381" t="s">
        <v>3389</v>
      </c>
      <c r="H51" s="8"/>
      <c r="I51" s="8"/>
      <c r="J51" s="8"/>
      <c r="K51" s="2715"/>
      <c r="L51" s="375"/>
    </row>
    <row r="52" spans="1:12" s="388" customFormat="1" ht="25">
      <c r="A52" s="2430" t="s">
        <v>8032</v>
      </c>
      <c r="C52" s="384" t="s">
        <v>7956</v>
      </c>
      <c r="D52" s="382" t="s">
        <v>3389</v>
      </c>
      <c r="E52" s="178"/>
      <c r="F52" s="382" t="s">
        <v>3389</v>
      </c>
      <c r="G52" s="381" t="s">
        <v>3389</v>
      </c>
      <c r="H52" s="8"/>
      <c r="I52" s="8"/>
      <c r="J52" s="8"/>
      <c r="K52" s="2715"/>
      <c r="L52" s="375"/>
    </row>
    <row r="53" spans="1:12" s="388" customFormat="1" ht="14.5">
      <c r="A53" s="2430" t="s">
        <v>7798</v>
      </c>
      <c r="C53" s="384" t="s">
        <v>7957</v>
      </c>
      <c r="D53" s="382" t="s">
        <v>3389</v>
      </c>
      <c r="E53" s="178"/>
      <c r="F53" s="382" t="s">
        <v>3389</v>
      </c>
      <c r="G53" s="381" t="s">
        <v>3389</v>
      </c>
      <c r="H53" s="8"/>
      <c r="I53" s="8"/>
      <c r="J53" s="8"/>
      <c r="K53" s="2715"/>
      <c r="L53" s="375"/>
    </row>
    <row r="54" spans="1:12" s="388" customFormat="1" ht="14.5">
      <c r="A54" s="2430" t="s">
        <v>7799</v>
      </c>
      <c r="C54" s="384" t="s">
        <v>7958</v>
      </c>
      <c r="D54" s="382" t="s">
        <v>3389</v>
      </c>
      <c r="E54" s="178"/>
      <c r="F54" s="382" t="s">
        <v>3389</v>
      </c>
      <c r="G54" s="381" t="s">
        <v>3389</v>
      </c>
      <c r="H54" s="8"/>
      <c r="I54" s="8"/>
      <c r="J54" s="8"/>
      <c r="K54" s="2715"/>
      <c r="L54" s="375"/>
    </row>
    <row r="55" spans="1:12" s="388" customFormat="1" ht="14.5">
      <c r="A55" s="2430" t="s">
        <v>7800</v>
      </c>
      <c r="C55" s="384" t="s">
        <v>7959</v>
      </c>
      <c r="D55" s="382" t="s">
        <v>3389</v>
      </c>
      <c r="E55" s="178"/>
      <c r="F55" s="382" t="s">
        <v>3389</v>
      </c>
      <c r="G55" s="381" t="s">
        <v>3389</v>
      </c>
      <c r="H55" s="8"/>
      <c r="I55" s="8"/>
      <c r="J55" s="8"/>
      <c r="K55" s="2715"/>
      <c r="L55" s="375"/>
    </row>
    <row r="56" spans="1:12" s="388" customFormat="1" ht="14.5">
      <c r="A56" s="2430" t="s">
        <v>7801</v>
      </c>
      <c r="C56" s="384" t="s">
        <v>7960</v>
      </c>
      <c r="D56" s="382" t="s">
        <v>3389</v>
      </c>
      <c r="E56" s="178"/>
      <c r="F56" s="382" t="s">
        <v>3389</v>
      </c>
      <c r="G56" s="381" t="s">
        <v>3389</v>
      </c>
      <c r="H56" s="8"/>
      <c r="I56" s="8"/>
      <c r="J56" s="8"/>
      <c r="K56" s="2715"/>
      <c r="L56" s="375"/>
    </row>
    <row r="57" spans="1:12" s="388" customFormat="1" ht="25">
      <c r="A57" s="2430" t="s">
        <v>7802</v>
      </c>
      <c r="C57" s="384" t="s">
        <v>7961</v>
      </c>
      <c r="D57" s="382" t="s">
        <v>3389</v>
      </c>
      <c r="E57" s="178"/>
      <c r="F57" s="382" t="s">
        <v>3389</v>
      </c>
      <c r="G57" s="381" t="s">
        <v>3389</v>
      </c>
      <c r="H57" s="8"/>
      <c r="I57" s="8"/>
      <c r="J57" s="8"/>
      <c r="K57" s="2715"/>
      <c r="L57" s="375"/>
    </row>
    <row r="58" spans="1:12" s="388" customFormat="1" ht="25">
      <c r="A58" s="2430" t="s">
        <v>7803</v>
      </c>
      <c r="C58" s="384" t="s">
        <v>7962</v>
      </c>
      <c r="D58" s="382" t="s">
        <v>3389</v>
      </c>
      <c r="E58" s="178"/>
      <c r="F58" s="382" t="s">
        <v>3389</v>
      </c>
      <c r="G58" s="381" t="s">
        <v>3389</v>
      </c>
      <c r="H58" s="8"/>
      <c r="I58" s="8"/>
      <c r="J58" s="8"/>
      <c r="K58" s="2715"/>
      <c r="L58" s="375"/>
    </row>
    <row r="59" spans="1:12" s="388" customFormat="1" ht="25">
      <c r="A59" s="2430" t="s">
        <v>7804</v>
      </c>
      <c r="C59" s="384" t="s">
        <v>7963</v>
      </c>
      <c r="D59" s="382" t="s">
        <v>3389</v>
      </c>
      <c r="E59" s="178"/>
      <c r="F59" s="382" t="s">
        <v>3389</v>
      </c>
      <c r="G59" s="381" t="s">
        <v>3389</v>
      </c>
      <c r="H59" s="8"/>
      <c r="I59" s="8"/>
      <c r="J59" s="8"/>
      <c r="K59" s="2715"/>
      <c r="L59" s="375"/>
    </row>
    <row r="60" spans="1:12" s="388" customFormat="1" ht="25">
      <c r="A60" s="2430" t="s">
        <v>7805</v>
      </c>
      <c r="C60" s="384" t="s">
        <v>7964</v>
      </c>
      <c r="D60" s="382" t="s">
        <v>3389</v>
      </c>
      <c r="E60" s="178"/>
      <c r="F60" s="382" t="s">
        <v>3389</v>
      </c>
      <c r="G60" s="381" t="s">
        <v>3389</v>
      </c>
      <c r="H60" s="8"/>
      <c r="I60" s="8"/>
      <c r="J60" s="8"/>
      <c r="K60" s="2715"/>
      <c r="L60" s="375"/>
    </row>
    <row r="61" spans="1:12" s="388" customFormat="1" ht="25">
      <c r="A61" s="2430" t="s">
        <v>7806</v>
      </c>
      <c r="C61" s="384" t="s">
        <v>7965</v>
      </c>
      <c r="D61" s="382" t="s">
        <v>3389</v>
      </c>
      <c r="E61" s="178"/>
      <c r="F61" s="382" t="s">
        <v>3389</v>
      </c>
      <c r="G61" s="381" t="s">
        <v>3389</v>
      </c>
      <c r="H61" s="8"/>
      <c r="I61" s="8"/>
      <c r="J61" s="8"/>
      <c r="K61" s="2715"/>
      <c r="L61" s="375"/>
    </row>
    <row r="62" spans="1:12" s="388" customFormat="1" ht="25">
      <c r="A62" s="2430" t="s">
        <v>7807</v>
      </c>
      <c r="C62" s="384" t="s">
        <v>7966</v>
      </c>
      <c r="D62" s="382" t="s">
        <v>3389</v>
      </c>
      <c r="E62" s="178"/>
      <c r="F62" s="382" t="s">
        <v>3389</v>
      </c>
      <c r="G62" s="381" t="s">
        <v>3389</v>
      </c>
      <c r="H62" s="8"/>
      <c r="I62" s="8"/>
      <c r="J62" s="8"/>
      <c r="K62" s="2715"/>
      <c r="L62" s="375"/>
    </row>
    <row r="63" spans="1:12" s="388" customFormat="1" ht="37.5">
      <c r="A63" s="2430" t="s">
        <v>7808</v>
      </c>
      <c r="C63" s="384" t="s">
        <v>7967</v>
      </c>
      <c r="D63" s="382" t="s">
        <v>3389</v>
      </c>
      <c r="E63" s="178"/>
      <c r="F63" s="382" t="s">
        <v>3389</v>
      </c>
      <c r="G63" s="381" t="s">
        <v>3389</v>
      </c>
      <c r="H63" s="8"/>
      <c r="I63" s="8"/>
      <c r="J63" s="8"/>
      <c r="K63" s="2715"/>
      <c r="L63" s="375"/>
    </row>
    <row r="64" spans="1:12" s="388" customFormat="1" ht="50">
      <c r="A64" s="2430" t="s">
        <v>7809</v>
      </c>
      <c r="C64" s="384" t="s">
        <v>7968</v>
      </c>
      <c r="D64" s="382" t="s">
        <v>3389</v>
      </c>
      <c r="E64" s="178"/>
      <c r="F64" s="382" t="s">
        <v>3389</v>
      </c>
      <c r="G64" s="381" t="s">
        <v>3389</v>
      </c>
      <c r="H64" s="8"/>
      <c r="I64" s="8"/>
      <c r="J64" s="8"/>
      <c r="K64" s="2715"/>
      <c r="L64" s="375"/>
    </row>
    <row r="65" spans="1:12" s="388" customFormat="1" ht="37.5">
      <c r="A65" s="2430" t="s">
        <v>7810</v>
      </c>
      <c r="C65" s="384" t="s">
        <v>7969</v>
      </c>
      <c r="D65" s="382" t="s">
        <v>3389</v>
      </c>
      <c r="E65" s="178"/>
      <c r="F65" s="382" t="s">
        <v>3389</v>
      </c>
      <c r="G65" s="381" t="s">
        <v>3389</v>
      </c>
      <c r="H65" s="8"/>
      <c r="I65" s="8"/>
      <c r="J65" s="8"/>
      <c r="K65" s="2715"/>
      <c r="L65" s="375"/>
    </row>
    <row r="66" spans="1:12" s="388" customFormat="1" ht="25">
      <c r="A66" s="2430" t="s">
        <v>8028</v>
      </c>
      <c r="C66" s="384" t="s">
        <v>7970</v>
      </c>
      <c r="D66" s="382" t="s">
        <v>3389</v>
      </c>
      <c r="E66" s="178"/>
      <c r="F66" s="382" t="s">
        <v>3389</v>
      </c>
      <c r="G66" s="381" t="s">
        <v>3389</v>
      </c>
      <c r="H66" s="8"/>
      <c r="I66" s="8"/>
      <c r="J66" s="8"/>
      <c r="K66" s="2715"/>
      <c r="L66" s="375"/>
    </row>
    <row r="67" spans="1:12" s="388" customFormat="1" ht="37.5">
      <c r="A67" s="2430" t="s">
        <v>7811</v>
      </c>
      <c r="C67" s="384" t="s">
        <v>7971</v>
      </c>
      <c r="D67" s="382" t="s">
        <v>3389</v>
      </c>
      <c r="E67" s="178"/>
      <c r="F67" s="382" t="s">
        <v>3389</v>
      </c>
      <c r="G67" s="381" t="s">
        <v>3389</v>
      </c>
      <c r="H67" s="8"/>
      <c r="I67" s="8"/>
      <c r="J67" s="8"/>
      <c r="K67" s="2715"/>
      <c r="L67" s="375"/>
    </row>
    <row r="68" spans="1:12" s="388" customFormat="1" ht="37.5">
      <c r="A68" s="2430" t="s">
        <v>7812</v>
      </c>
      <c r="C68" s="384" t="s">
        <v>7972</v>
      </c>
      <c r="D68" s="382" t="s">
        <v>3389</v>
      </c>
      <c r="E68" s="178"/>
      <c r="F68" s="382" t="s">
        <v>3389</v>
      </c>
      <c r="G68" s="381" t="s">
        <v>3389</v>
      </c>
      <c r="H68" s="8"/>
      <c r="I68" s="8"/>
      <c r="J68" s="8"/>
      <c r="K68" s="2715"/>
      <c r="L68" s="375"/>
    </row>
    <row r="69" spans="1:12" s="388" customFormat="1" ht="25">
      <c r="A69" s="2430" t="s">
        <v>7813</v>
      </c>
      <c r="C69" s="384" t="s">
        <v>7973</v>
      </c>
      <c r="D69" s="382" t="s">
        <v>3389</v>
      </c>
      <c r="E69" s="178"/>
      <c r="F69" s="382" t="s">
        <v>3389</v>
      </c>
      <c r="G69" s="381" t="s">
        <v>3389</v>
      </c>
      <c r="H69" s="8"/>
      <c r="I69" s="8"/>
      <c r="J69" s="8"/>
      <c r="K69" s="2715"/>
      <c r="L69" s="375"/>
    </row>
    <row r="70" spans="1:12" s="388" customFormat="1" ht="75">
      <c r="A70" s="2430" t="s">
        <v>7814</v>
      </c>
      <c r="C70" s="384" t="s">
        <v>7974</v>
      </c>
      <c r="D70" s="382" t="s">
        <v>3389</v>
      </c>
      <c r="E70" s="178"/>
      <c r="F70" s="382" t="s">
        <v>3389</v>
      </c>
      <c r="G70" s="381" t="s">
        <v>3389</v>
      </c>
      <c r="H70" s="8"/>
      <c r="I70" s="8"/>
      <c r="J70" s="8"/>
      <c r="K70" s="2715"/>
      <c r="L70" s="375"/>
    </row>
    <row r="71" spans="1:12" s="388" customFormat="1" ht="14.5">
      <c r="A71" s="2430" t="s">
        <v>7815</v>
      </c>
      <c r="C71" s="384" t="s">
        <v>7975</v>
      </c>
      <c r="D71" s="382" t="s">
        <v>3389</v>
      </c>
      <c r="E71" s="178"/>
      <c r="F71" s="382" t="s">
        <v>3389</v>
      </c>
      <c r="G71" s="381" t="s">
        <v>3389</v>
      </c>
      <c r="H71" s="8"/>
      <c r="I71" s="8"/>
      <c r="J71" s="8"/>
      <c r="K71" s="2715"/>
      <c r="L71" s="375"/>
    </row>
    <row r="72" spans="1:12" s="388" customFormat="1" ht="25">
      <c r="A72" s="2430" t="s">
        <v>7816</v>
      </c>
      <c r="C72" s="384" t="s">
        <v>7976</v>
      </c>
      <c r="D72" s="382" t="s">
        <v>3389</v>
      </c>
      <c r="E72" s="178"/>
      <c r="F72" s="382" t="s">
        <v>3389</v>
      </c>
      <c r="G72" s="381" t="s">
        <v>3389</v>
      </c>
      <c r="H72" s="8"/>
      <c r="I72" s="8"/>
      <c r="J72" s="8"/>
      <c r="K72" s="2715"/>
      <c r="L72" s="375"/>
    </row>
    <row r="73" spans="1:12" s="388" customFormat="1" ht="25">
      <c r="A73" s="2430" t="s">
        <v>7817</v>
      </c>
      <c r="C73" s="384" t="s">
        <v>7977</v>
      </c>
      <c r="D73" s="382" t="s">
        <v>3389</v>
      </c>
      <c r="E73" s="178"/>
      <c r="F73" s="382" t="s">
        <v>3389</v>
      </c>
      <c r="G73" s="381" t="s">
        <v>3389</v>
      </c>
      <c r="H73" s="8"/>
      <c r="I73" s="8"/>
      <c r="J73" s="8"/>
      <c r="K73" s="2715"/>
      <c r="L73" s="375"/>
    </row>
    <row r="74" spans="1:12" s="388" customFormat="1" ht="37.5">
      <c r="A74" s="2430" t="s">
        <v>7818</v>
      </c>
      <c r="C74" s="384" t="s">
        <v>7978</v>
      </c>
      <c r="D74" s="382" t="s">
        <v>3389</v>
      </c>
      <c r="E74" s="178"/>
      <c r="F74" s="382" t="s">
        <v>3389</v>
      </c>
      <c r="G74" s="381" t="s">
        <v>3389</v>
      </c>
      <c r="H74" s="8"/>
      <c r="I74" s="8"/>
      <c r="J74" s="8"/>
      <c r="K74" s="2715"/>
      <c r="L74" s="375"/>
    </row>
    <row r="75" spans="1:12" s="388" customFormat="1" ht="37.5">
      <c r="A75" s="2430" t="s">
        <v>7819</v>
      </c>
      <c r="C75" s="384" t="s">
        <v>7979</v>
      </c>
      <c r="D75" s="382" t="s">
        <v>3389</v>
      </c>
      <c r="E75" s="178"/>
      <c r="F75" s="382" t="s">
        <v>3389</v>
      </c>
      <c r="G75" s="381" t="s">
        <v>3389</v>
      </c>
      <c r="H75" s="8"/>
      <c r="I75" s="8"/>
      <c r="J75" s="8"/>
      <c r="K75" s="2715"/>
      <c r="L75" s="375"/>
    </row>
    <row r="76" spans="1:12" s="388" customFormat="1" ht="25">
      <c r="A76" s="2430" t="s">
        <v>7820</v>
      </c>
      <c r="C76" s="384" t="s">
        <v>7980</v>
      </c>
      <c r="D76" s="382" t="s">
        <v>3389</v>
      </c>
      <c r="E76" s="178"/>
      <c r="F76" s="382" t="s">
        <v>3389</v>
      </c>
      <c r="G76" s="381" t="s">
        <v>3389</v>
      </c>
      <c r="H76" s="8"/>
      <c r="I76" s="8"/>
      <c r="J76" s="8"/>
      <c r="K76" s="2715"/>
      <c r="L76" s="375"/>
    </row>
    <row r="77" spans="1:12" s="388" customFormat="1" ht="37.5">
      <c r="A77" s="2430" t="s">
        <v>7821</v>
      </c>
      <c r="C77" s="384" t="s">
        <v>7981</v>
      </c>
      <c r="D77" s="382" t="s">
        <v>3389</v>
      </c>
      <c r="E77" s="178"/>
      <c r="F77" s="382" t="s">
        <v>3389</v>
      </c>
      <c r="G77" s="381" t="s">
        <v>3389</v>
      </c>
      <c r="H77" s="8"/>
      <c r="I77" s="8"/>
      <c r="J77" s="8"/>
      <c r="K77" s="2715"/>
      <c r="L77" s="375"/>
    </row>
    <row r="78" spans="1:12" s="388" customFormat="1" ht="25">
      <c r="A78" s="2430" t="s">
        <v>7822</v>
      </c>
      <c r="C78" s="384" t="s">
        <v>7982</v>
      </c>
      <c r="D78" s="382" t="s">
        <v>3389</v>
      </c>
      <c r="E78" s="178"/>
      <c r="F78" s="382" t="s">
        <v>3389</v>
      </c>
      <c r="G78" s="381" t="s">
        <v>3389</v>
      </c>
      <c r="H78" s="8"/>
      <c r="I78" s="8"/>
      <c r="J78" s="8"/>
      <c r="K78" s="2715"/>
      <c r="L78" s="375"/>
    </row>
    <row r="79" spans="1:12" s="388" customFormat="1" ht="14.5">
      <c r="A79" s="2430" t="s">
        <v>7823</v>
      </c>
      <c r="C79" s="384" t="s">
        <v>7983</v>
      </c>
      <c r="D79" s="382" t="s">
        <v>3389</v>
      </c>
      <c r="E79" s="178"/>
      <c r="F79" s="382" t="s">
        <v>3389</v>
      </c>
      <c r="G79" s="381" t="s">
        <v>3389</v>
      </c>
      <c r="H79" s="8"/>
      <c r="I79" s="8"/>
      <c r="J79" s="8"/>
      <c r="K79" s="2715"/>
      <c r="L79" s="375"/>
    </row>
    <row r="80" spans="1:12" s="388" customFormat="1" ht="14.5">
      <c r="A80" s="2430" t="s">
        <v>7824</v>
      </c>
      <c r="C80" s="384" t="s">
        <v>7984</v>
      </c>
      <c r="D80" s="382" t="s">
        <v>3389</v>
      </c>
      <c r="E80" s="178"/>
      <c r="F80" s="382" t="s">
        <v>3389</v>
      </c>
      <c r="G80" s="381" t="s">
        <v>3389</v>
      </c>
      <c r="H80" s="8"/>
      <c r="I80" s="8"/>
      <c r="J80" s="8"/>
      <c r="K80" s="2715"/>
      <c r="L80" s="375"/>
    </row>
    <row r="81" spans="1:12" s="388" customFormat="1" ht="25">
      <c r="A81" s="2430" t="s">
        <v>7825</v>
      </c>
      <c r="C81" s="384" t="s">
        <v>7985</v>
      </c>
      <c r="D81" s="382" t="s">
        <v>3389</v>
      </c>
      <c r="E81" s="178"/>
      <c r="F81" s="382" t="s">
        <v>3389</v>
      </c>
      <c r="G81" s="381" t="s">
        <v>3389</v>
      </c>
      <c r="H81" s="8"/>
      <c r="I81" s="8"/>
      <c r="J81" s="8"/>
      <c r="K81" s="2715"/>
      <c r="L81" s="375"/>
    </row>
    <row r="82" spans="1:12" s="388" customFormat="1" ht="25">
      <c r="A82" s="2430" t="s">
        <v>7826</v>
      </c>
      <c r="C82" s="384" t="s">
        <v>7986</v>
      </c>
      <c r="D82" s="382" t="s">
        <v>3389</v>
      </c>
      <c r="E82" s="178"/>
      <c r="F82" s="382" t="s">
        <v>3389</v>
      </c>
      <c r="G82" s="381" t="s">
        <v>3389</v>
      </c>
      <c r="H82" s="8"/>
      <c r="I82" s="8"/>
      <c r="J82" s="8"/>
      <c r="K82" s="2715"/>
      <c r="L82" s="375"/>
    </row>
    <row r="83" spans="1:12" s="388" customFormat="1" ht="14.5">
      <c r="A83" s="2430" t="s">
        <v>7827</v>
      </c>
      <c r="C83" s="384" t="s">
        <v>7987</v>
      </c>
      <c r="D83" s="382" t="s">
        <v>3389</v>
      </c>
      <c r="E83" s="178"/>
      <c r="F83" s="382" t="s">
        <v>3389</v>
      </c>
      <c r="G83" s="381" t="s">
        <v>3389</v>
      </c>
      <c r="H83" s="8"/>
      <c r="I83" s="8"/>
      <c r="J83" s="8"/>
      <c r="K83" s="2715"/>
      <c r="L83" s="375"/>
    </row>
    <row r="84" spans="1:12" s="388" customFormat="1" ht="25">
      <c r="A84" s="2430" t="s">
        <v>7828</v>
      </c>
      <c r="C84" s="384" t="s">
        <v>7988</v>
      </c>
      <c r="D84" s="382" t="s">
        <v>3389</v>
      </c>
      <c r="E84" s="178"/>
      <c r="F84" s="382" t="s">
        <v>3389</v>
      </c>
      <c r="G84" s="381" t="s">
        <v>3389</v>
      </c>
      <c r="H84" s="8"/>
      <c r="I84" s="8"/>
      <c r="J84" s="8"/>
      <c r="K84" s="2715"/>
      <c r="L84" s="375"/>
    </row>
    <row r="85" spans="1:12" s="388" customFormat="1" ht="14.5">
      <c r="A85" s="2430" t="s">
        <v>7829</v>
      </c>
      <c r="C85" s="384" t="s">
        <v>7989</v>
      </c>
      <c r="D85" s="382" t="s">
        <v>3389</v>
      </c>
      <c r="E85" s="178"/>
      <c r="F85" s="382" t="s">
        <v>3389</v>
      </c>
      <c r="G85" s="381" t="s">
        <v>3389</v>
      </c>
      <c r="H85" s="8"/>
      <c r="I85" s="8"/>
      <c r="J85" s="8"/>
      <c r="K85" s="2715"/>
      <c r="L85" s="375"/>
    </row>
    <row r="86" spans="1:12" s="388" customFormat="1" ht="14.5">
      <c r="A86" s="2430" t="s">
        <v>7830</v>
      </c>
      <c r="C86" s="384" t="s">
        <v>7990</v>
      </c>
      <c r="D86" s="382" t="s">
        <v>3389</v>
      </c>
      <c r="E86" s="178"/>
      <c r="F86" s="382" t="s">
        <v>3389</v>
      </c>
      <c r="G86" s="381" t="s">
        <v>3389</v>
      </c>
      <c r="H86" s="8"/>
      <c r="I86" s="8"/>
      <c r="J86" s="8"/>
      <c r="K86" s="2715"/>
      <c r="L86" s="375"/>
    </row>
    <row r="87" spans="1:12" s="388" customFormat="1" ht="25">
      <c r="A87" s="2430" t="s">
        <v>7831</v>
      </c>
      <c r="C87" s="384" t="s">
        <v>7991</v>
      </c>
      <c r="D87" s="382" t="s">
        <v>3389</v>
      </c>
      <c r="E87" s="178"/>
      <c r="F87" s="382" t="s">
        <v>3389</v>
      </c>
      <c r="G87" s="381" t="s">
        <v>3389</v>
      </c>
      <c r="H87" s="8"/>
      <c r="I87" s="8"/>
      <c r="J87" s="8"/>
      <c r="K87" s="2715"/>
      <c r="L87" s="375"/>
    </row>
    <row r="88" spans="1:12" s="388" customFormat="1" ht="25">
      <c r="A88" s="2430" t="s">
        <v>7832</v>
      </c>
      <c r="C88" s="384" t="s">
        <v>7992</v>
      </c>
      <c r="D88" s="382" t="s">
        <v>3389</v>
      </c>
      <c r="E88" s="178"/>
      <c r="F88" s="382" t="s">
        <v>3389</v>
      </c>
      <c r="G88" s="381" t="s">
        <v>3389</v>
      </c>
      <c r="H88" s="8"/>
      <c r="I88" s="8"/>
      <c r="J88" s="8"/>
      <c r="K88" s="2715"/>
      <c r="L88" s="375"/>
    </row>
    <row r="89" spans="1:12" s="388" customFormat="1" ht="25">
      <c r="A89" s="2430" t="s">
        <v>7833</v>
      </c>
      <c r="C89" s="384" t="s">
        <v>7993</v>
      </c>
      <c r="D89" s="382" t="s">
        <v>3389</v>
      </c>
      <c r="E89" s="178"/>
      <c r="F89" s="382" t="s">
        <v>3389</v>
      </c>
      <c r="G89" s="381" t="s">
        <v>3389</v>
      </c>
      <c r="H89" s="8"/>
      <c r="I89" s="8"/>
      <c r="J89" s="8"/>
      <c r="K89" s="2715"/>
      <c r="L89" s="375"/>
    </row>
    <row r="90" spans="1:12" s="388" customFormat="1" ht="25">
      <c r="A90" s="2430" t="s">
        <v>7834</v>
      </c>
      <c r="C90" s="384" t="s">
        <v>7994</v>
      </c>
      <c r="D90" s="382" t="s">
        <v>3389</v>
      </c>
      <c r="E90" s="178"/>
      <c r="F90" s="382" t="s">
        <v>3389</v>
      </c>
      <c r="G90" s="381" t="s">
        <v>3389</v>
      </c>
      <c r="H90" s="8"/>
      <c r="I90" s="8"/>
      <c r="J90" s="8"/>
      <c r="K90" s="2715"/>
      <c r="L90" s="375"/>
    </row>
    <row r="91" spans="1:12" s="388" customFormat="1" ht="25">
      <c r="A91" s="2430" t="s">
        <v>7835</v>
      </c>
      <c r="C91" s="384" t="s">
        <v>7995</v>
      </c>
      <c r="D91" s="382" t="s">
        <v>3389</v>
      </c>
      <c r="E91" s="178"/>
      <c r="F91" s="382" t="s">
        <v>3389</v>
      </c>
      <c r="G91" s="381" t="s">
        <v>3389</v>
      </c>
      <c r="H91" s="8"/>
      <c r="I91" s="8"/>
      <c r="J91" s="8"/>
      <c r="K91" s="2715"/>
      <c r="L91" s="375"/>
    </row>
    <row r="92" spans="1:12" s="388" customFormat="1" ht="14.5">
      <c r="A92" s="2430" t="s">
        <v>7836</v>
      </c>
      <c r="C92" s="384" t="s">
        <v>7996</v>
      </c>
      <c r="D92" s="382" t="s">
        <v>3389</v>
      </c>
      <c r="E92" s="178"/>
      <c r="F92" s="382" t="s">
        <v>3389</v>
      </c>
      <c r="G92" s="381" t="s">
        <v>3389</v>
      </c>
      <c r="H92" s="8"/>
      <c r="I92" s="8"/>
      <c r="J92" s="8"/>
      <c r="K92" s="2715"/>
      <c r="L92" s="375"/>
    </row>
    <row r="93" spans="1:12" s="388" customFormat="1" ht="25">
      <c r="A93" s="2430" t="s">
        <v>7837</v>
      </c>
      <c r="C93" s="384" t="s">
        <v>7997</v>
      </c>
      <c r="D93" s="382" t="s">
        <v>3389</v>
      </c>
      <c r="E93" s="178"/>
      <c r="F93" s="382" t="s">
        <v>3389</v>
      </c>
      <c r="G93" s="381" t="s">
        <v>3389</v>
      </c>
      <c r="H93" s="8"/>
      <c r="I93" s="8"/>
      <c r="J93" s="8"/>
      <c r="K93" s="2715"/>
      <c r="L93" s="375"/>
    </row>
    <row r="94" spans="1:12" s="388" customFormat="1" ht="37.5">
      <c r="A94" s="2430" t="s">
        <v>7838</v>
      </c>
      <c r="C94" s="384" t="s">
        <v>7998</v>
      </c>
      <c r="D94" s="382" t="s">
        <v>3389</v>
      </c>
      <c r="E94" s="178"/>
      <c r="F94" s="382" t="s">
        <v>3389</v>
      </c>
      <c r="G94" s="381" t="s">
        <v>3389</v>
      </c>
      <c r="H94" s="8"/>
      <c r="I94" s="8"/>
      <c r="J94" s="8"/>
      <c r="K94" s="2715"/>
      <c r="L94" s="375"/>
    </row>
    <row r="95" spans="1:12" s="388" customFormat="1" ht="14.5">
      <c r="A95" s="2430" t="s">
        <v>7839</v>
      </c>
      <c r="C95" s="384" t="s">
        <v>7999</v>
      </c>
      <c r="D95" s="382" t="s">
        <v>3389</v>
      </c>
      <c r="E95" s="178"/>
      <c r="F95" s="382" t="s">
        <v>3389</v>
      </c>
      <c r="G95" s="381" t="s">
        <v>3389</v>
      </c>
      <c r="H95" s="8"/>
      <c r="I95" s="8"/>
      <c r="J95" s="8"/>
      <c r="K95" s="2715"/>
      <c r="L95" s="375"/>
    </row>
    <row r="96" spans="1:12" s="388" customFormat="1" ht="25">
      <c r="A96" s="2430" t="s">
        <v>7840</v>
      </c>
      <c r="C96" s="384" t="s">
        <v>8000</v>
      </c>
      <c r="D96" s="382" t="s">
        <v>3389</v>
      </c>
      <c r="E96" s="178"/>
      <c r="F96" s="382" t="s">
        <v>3389</v>
      </c>
      <c r="G96" s="381" t="s">
        <v>3389</v>
      </c>
      <c r="H96" s="8"/>
      <c r="I96" s="8"/>
      <c r="J96" s="8"/>
      <c r="K96" s="2715"/>
      <c r="L96" s="375"/>
    </row>
    <row r="97" spans="1:12" s="388" customFormat="1" ht="25">
      <c r="A97" s="2430" t="s">
        <v>8026</v>
      </c>
      <c r="C97" s="384" t="s">
        <v>8001</v>
      </c>
      <c r="D97" s="382" t="s">
        <v>3389</v>
      </c>
      <c r="E97" s="178"/>
      <c r="F97" s="382" t="s">
        <v>3389</v>
      </c>
      <c r="G97" s="381" t="s">
        <v>3389</v>
      </c>
      <c r="H97" s="8"/>
      <c r="I97" s="8"/>
      <c r="J97" s="8"/>
      <c r="K97" s="2715"/>
      <c r="L97" s="375"/>
    </row>
    <row r="98" spans="1:12" s="388" customFormat="1" ht="37.5">
      <c r="A98" s="2430" t="s">
        <v>8027</v>
      </c>
      <c r="C98" s="384" t="s">
        <v>8002</v>
      </c>
      <c r="D98" s="382" t="s">
        <v>3389</v>
      </c>
      <c r="E98" s="178"/>
      <c r="F98" s="382" t="s">
        <v>3389</v>
      </c>
      <c r="G98" s="381" t="s">
        <v>3389</v>
      </c>
      <c r="H98" s="8"/>
      <c r="I98" s="8"/>
      <c r="J98" s="8"/>
      <c r="K98" s="2715"/>
      <c r="L98" s="375"/>
    </row>
    <row r="99" spans="1:12" s="388" customFormat="1" ht="14.5">
      <c r="A99" s="2430" t="s">
        <v>7841</v>
      </c>
      <c r="C99" s="384" t="s">
        <v>8003</v>
      </c>
      <c r="D99" s="382" t="s">
        <v>3389</v>
      </c>
      <c r="E99" s="178"/>
      <c r="F99" s="382" t="s">
        <v>3389</v>
      </c>
      <c r="G99" s="381" t="s">
        <v>3389</v>
      </c>
      <c r="H99" s="8"/>
      <c r="I99" s="8"/>
      <c r="J99" s="8"/>
      <c r="K99" s="2715"/>
      <c r="L99" s="375"/>
    </row>
    <row r="100" spans="1:12" s="388" customFormat="1" ht="14.5">
      <c r="A100" s="2430" t="s">
        <v>7842</v>
      </c>
      <c r="C100" s="384" t="s">
        <v>8004</v>
      </c>
      <c r="D100" s="382" t="s">
        <v>3389</v>
      </c>
      <c r="E100" s="178"/>
      <c r="F100" s="382" t="s">
        <v>3389</v>
      </c>
      <c r="G100" s="381" t="s">
        <v>3389</v>
      </c>
      <c r="H100" s="8"/>
      <c r="I100" s="8"/>
      <c r="J100" s="8"/>
      <c r="K100" s="2715"/>
      <c r="L100" s="375"/>
    </row>
    <row r="101" spans="1:12" s="388" customFormat="1" ht="37.5">
      <c r="A101" s="2430" t="s">
        <v>14659</v>
      </c>
      <c r="C101" s="384" t="s">
        <v>14586</v>
      </c>
      <c r="D101" s="382" t="s">
        <v>3389</v>
      </c>
      <c r="E101" s="1434"/>
      <c r="F101" s="382" t="s">
        <v>3389</v>
      </c>
      <c r="G101" s="381" t="s">
        <v>3389</v>
      </c>
      <c r="H101" s="3003"/>
      <c r="I101" s="3003"/>
      <c r="J101" s="3003"/>
      <c r="K101" s="2715"/>
      <c r="L101" s="375"/>
    </row>
    <row r="102" spans="1:12" s="388" customFormat="1" ht="14.5">
      <c r="A102" s="2430" t="s">
        <v>7843</v>
      </c>
      <c r="C102" s="384" t="s">
        <v>8005</v>
      </c>
      <c r="D102" s="382" t="s">
        <v>3389</v>
      </c>
      <c r="E102" s="178"/>
      <c r="F102" s="382" t="s">
        <v>3389</v>
      </c>
      <c r="G102" s="381" t="s">
        <v>3389</v>
      </c>
      <c r="H102" s="8"/>
      <c r="I102" s="8"/>
      <c r="J102" s="8"/>
      <c r="K102" s="2715"/>
      <c r="L102" s="375"/>
    </row>
    <row r="103" spans="1:12" s="388" customFormat="1" ht="26">
      <c r="A103" s="2430" t="s">
        <v>6795</v>
      </c>
      <c r="C103" s="620" t="s">
        <v>4752</v>
      </c>
      <c r="D103" s="382" t="s">
        <v>3389</v>
      </c>
      <c r="E103" s="177">
        <f>SUM(E104:E120)</f>
        <v>0</v>
      </c>
      <c r="F103" s="382" t="s">
        <v>3389</v>
      </c>
      <c r="G103" s="381" t="s">
        <v>3389</v>
      </c>
      <c r="H103" s="8"/>
      <c r="I103" s="8"/>
      <c r="J103" s="8"/>
      <c r="K103" s="2715"/>
      <c r="L103" s="375"/>
    </row>
    <row r="104" spans="1:12" s="388" customFormat="1" ht="25">
      <c r="A104" s="2430" t="s">
        <v>7844</v>
      </c>
      <c r="C104" s="384" t="s">
        <v>8006</v>
      </c>
      <c r="D104" s="382" t="s">
        <v>3389</v>
      </c>
      <c r="E104" s="178"/>
      <c r="F104" s="382" t="s">
        <v>3389</v>
      </c>
      <c r="G104" s="381" t="s">
        <v>3389</v>
      </c>
      <c r="H104" s="8"/>
      <c r="I104" s="8"/>
      <c r="J104" s="8"/>
      <c r="K104" s="2715"/>
      <c r="L104" s="375"/>
    </row>
    <row r="105" spans="1:12" s="388" customFormat="1" ht="25">
      <c r="A105" s="2430" t="s">
        <v>7845</v>
      </c>
      <c r="C105" s="2085" t="s">
        <v>8007</v>
      </c>
      <c r="D105" s="382" t="s">
        <v>3389</v>
      </c>
      <c r="E105" s="178"/>
      <c r="F105" s="382" t="s">
        <v>3389</v>
      </c>
      <c r="G105" s="381" t="s">
        <v>3389</v>
      </c>
      <c r="H105" s="8"/>
      <c r="I105" s="8"/>
      <c r="J105" s="8"/>
      <c r="K105" s="2715"/>
      <c r="L105" s="375"/>
    </row>
    <row r="106" spans="1:12" s="388" customFormat="1" ht="25">
      <c r="A106" s="2430" t="s">
        <v>7846</v>
      </c>
      <c r="C106" s="2085" t="s">
        <v>8008</v>
      </c>
      <c r="D106" s="382" t="s">
        <v>3389</v>
      </c>
      <c r="E106" s="178"/>
      <c r="F106" s="382" t="s">
        <v>3389</v>
      </c>
      <c r="G106" s="381" t="s">
        <v>3389</v>
      </c>
      <c r="H106" s="8"/>
      <c r="I106" s="8"/>
      <c r="J106" s="8"/>
      <c r="K106" s="2715"/>
      <c r="L106" s="375"/>
    </row>
    <row r="107" spans="1:12" s="388" customFormat="1" ht="25">
      <c r="A107" s="2430" t="s">
        <v>7847</v>
      </c>
      <c r="C107" s="2085" t="s">
        <v>8009</v>
      </c>
      <c r="D107" s="382" t="s">
        <v>3389</v>
      </c>
      <c r="E107" s="178"/>
      <c r="F107" s="382" t="s">
        <v>3389</v>
      </c>
      <c r="G107" s="381" t="s">
        <v>3389</v>
      </c>
      <c r="H107" s="8"/>
      <c r="I107" s="8"/>
      <c r="J107" s="8"/>
      <c r="K107" s="2715"/>
      <c r="L107" s="375"/>
    </row>
    <row r="108" spans="1:12" s="388" customFormat="1" ht="25">
      <c r="A108" s="2430" t="s">
        <v>7848</v>
      </c>
      <c r="C108" s="2085" t="s">
        <v>8010</v>
      </c>
      <c r="D108" s="382" t="s">
        <v>3389</v>
      </c>
      <c r="E108" s="178"/>
      <c r="F108" s="382" t="s">
        <v>3389</v>
      </c>
      <c r="G108" s="381" t="s">
        <v>3389</v>
      </c>
      <c r="H108" s="8"/>
      <c r="I108" s="8"/>
      <c r="J108" s="8"/>
      <c r="K108" s="2715"/>
      <c r="L108" s="375"/>
    </row>
    <row r="109" spans="1:12" s="388" customFormat="1" ht="14.5">
      <c r="A109" s="2430" t="s">
        <v>7849</v>
      </c>
      <c r="C109" s="2085" t="s">
        <v>8011</v>
      </c>
      <c r="D109" s="382" t="s">
        <v>3389</v>
      </c>
      <c r="E109" s="178"/>
      <c r="F109" s="382" t="s">
        <v>3389</v>
      </c>
      <c r="G109" s="381" t="s">
        <v>3389</v>
      </c>
      <c r="H109" s="8"/>
      <c r="I109" s="8"/>
      <c r="J109" s="8"/>
      <c r="K109" s="2715"/>
      <c r="L109" s="375"/>
    </row>
    <row r="110" spans="1:12" s="388" customFormat="1" ht="25">
      <c r="A110" s="2430" t="s">
        <v>7850</v>
      </c>
      <c r="C110" s="2085" t="s">
        <v>8012</v>
      </c>
      <c r="D110" s="382" t="s">
        <v>3389</v>
      </c>
      <c r="E110" s="178"/>
      <c r="F110" s="382" t="s">
        <v>3389</v>
      </c>
      <c r="G110" s="381" t="s">
        <v>3389</v>
      </c>
      <c r="H110" s="8"/>
      <c r="I110" s="8"/>
      <c r="J110" s="8"/>
      <c r="K110" s="2715"/>
      <c r="L110" s="375"/>
    </row>
    <row r="111" spans="1:12" s="388" customFormat="1" ht="25">
      <c r="A111" s="2430" t="s">
        <v>7851</v>
      </c>
      <c r="C111" s="2085" t="s">
        <v>8013</v>
      </c>
      <c r="D111" s="382" t="s">
        <v>3389</v>
      </c>
      <c r="E111" s="178"/>
      <c r="F111" s="382" t="s">
        <v>3389</v>
      </c>
      <c r="G111" s="381" t="s">
        <v>3389</v>
      </c>
      <c r="H111" s="8"/>
      <c r="I111" s="8"/>
      <c r="J111" s="8"/>
      <c r="K111" s="2715"/>
      <c r="L111" s="375"/>
    </row>
    <row r="112" spans="1:12" s="388" customFormat="1" ht="25">
      <c r="A112" s="2430" t="s">
        <v>7852</v>
      </c>
      <c r="C112" s="2089" t="s">
        <v>8014</v>
      </c>
      <c r="D112" s="382" t="s">
        <v>3389</v>
      </c>
      <c r="E112" s="178"/>
      <c r="F112" s="382" t="s">
        <v>3389</v>
      </c>
      <c r="G112" s="381" t="s">
        <v>3389</v>
      </c>
      <c r="H112" s="8"/>
      <c r="I112" s="8"/>
      <c r="J112" s="8"/>
      <c r="K112" s="2715"/>
      <c r="L112" s="375"/>
    </row>
    <row r="113" spans="1:13" s="388" customFormat="1" ht="14.5">
      <c r="A113" s="2430" t="s">
        <v>7853</v>
      </c>
      <c r="C113" s="384" t="s">
        <v>8015</v>
      </c>
      <c r="D113" s="382" t="s">
        <v>3389</v>
      </c>
      <c r="E113" s="178"/>
      <c r="F113" s="382" t="s">
        <v>3389</v>
      </c>
      <c r="G113" s="381" t="s">
        <v>3389</v>
      </c>
      <c r="H113" s="8"/>
      <c r="I113" s="8"/>
      <c r="J113" s="8"/>
      <c r="K113" s="2715"/>
      <c r="L113" s="375"/>
    </row>
    <row r="114" spans="1:13" s="388" customFormat="1" ht="25">
      <c r="A114" s="2430" t="s">
        <v>7854</v>
      </c>
      <c r="C114" s="384" t="s">
        <v>8016</v>
      </c>
      <c r="D114" s="382" t="s">
        <v>3389</v>
      </c>
      <c r="E114" s="178"/>
      <c r="F114" s="382" t="s">
        <v>3389</v>
      </c>
      <c r="G114" s="381" t="s">
        <v>3389</v>
      </c>
      <c r="H114" s="8"/>
      <c r="I114" s="8"/>
      <c r="J114" s="8"/>
      <c r="K114" s="2715"/>
      <c r="L114" s="375"/>
    </row>
    <row r="115" spans="1:13" s="388" customFormat="1" ht="37.5">
      <c r="A115" s="2430" t="s">
        <v>7855</v>
      </c>
      <c r="C115" s="384" t="s">
        <v>8017</v>
      </c>
      <c r="D115" s="382" t="s">
        <v>3389</v>
      </c>
      <c r="E115" s="178"/>
      <c r="F115" s="382" t="s">
        <v>3389</v>
      </c>
      <c r="G115" s="381" t="s">
        <v>3389</v>
      </c>
      <c r="H115" s="8"/>
      <c r="I115" s="8"/>
      <c r="J115" s="8"/>
      <c r="K115" s="2715"/>
      <c r="L115" s="375"/>
    </row>
    <row r="116" spans="1:13" s="388" customFormat="1" ht="37.5">
      <c r="A116" s="2430" t="s">
        <v>7856</v>
      </c>
      <c r="C116" s="384" t="s">
        <v>8018</v>
      </c>
      <c r="D116" s="382" t="s">
        <v>3389</v>
      </c>
      <c r="E116" s="178"/>
      <c r="F116" s="382" t="s">
        <v>3389</v>
      </c>
      <c r="G116" s="381" t="s">
        <v>3389</v>
      </c>
      <c r="H116" s="8"/>
      <c r="I116" s="8"/>
      <c r="J116" s="8"/>
      <c r="K116" s="2715"/>
      <c r="L116" s="375"/>
    </row>
    <row r="117" spans="1:13" s="388" customFormat="1" ht="25">
      <c r="A117" s="2430" t="s">
        <v>7857</v>
      </c>
      <c r="C117" s="384" t="s">
        <v>8019</v>
      </c>
      <c r="D117" s="382" t="s">
        <v>3389</v>
      </c>
      <c r="E117" s="178"/>
      <c r="F117" s="382" t="s">
        <v>3389</v>
      </c>
      <c r="G117" s="381" t="s">
        <v>3389</v>
      </c>
      <c r="H117" s="8"/>
      <c r="I117" s="8"/>
      <c r="J117" s="8"/>
      <c r="K117" s="2715"/>
      <c r="L117" s="375"/>
    </row>
    <row r="118" spans="1:13" s="388" customFormat="1" ht="25">
      <c r="A118" s="2430" t="s">
        <v>7858</v>
      </c>
      <c r="C118" s="384" t="s">
        <v>8020</v>
      </c>
      <c r="D118" s="382" t="s">
        <v>3389</v>
      </c>
      <c r="E118" s="178"/>
      <c r="F118" s="382" t="s">
        <v>3389</v>
      </c>
      <c r="G118" s="381" t="s">
        <v>3389</v>
      </c>
      <c r="H118" s="8"/>
      <c r="I118" s="8"/>
      <c r="J118" s="8"/>
      <c r="K118" s="2715"/>
      <c r="L118" s="375"/>
    </row>
    <row r="119" spans="1:13" s="388" customFormat="1" ht="25">
      <c r="A119" s="2430" t="s">
        <v>7859</v>
      </c>
      <c r="C119" s="384" t="s">
        <v>8021</v>
      </c>
      <c r="D119" s="382" t="s">
        <v>3389</v>
      </c>
      <c r="E119" s="178"/>
      <c r="F119" s="382" t="s">
        <v>3389</v>
      </c>
      <c r="G119" s="381" t="s">
        <v>3389</v>
      </c>
      <c r="H119" s="8"/>
      <c r="I119" s="8"/>
      <c r="J119" s="8"/>
      <c r="K119" s="2715"/>
      <c r="L119" s="375"/>
    </row>
    <row r="120" spans="1:13" s="388" customFormat="1" ht="14.5">
      <c r="A120" s="2430" t="s">
        <v>8025</v>
      </c>
      <c r="C120" s="384" t="s">
        <v>8022</v>
      </c>
      <c r="D120" s="382" t="s">
        <v>3389</v>
      </c>
      <c r="E120" s="178"/>
      <c r="F120" s="382" t="s">
        <v>3389</v>
      </c>
      <c r="G120" s="381" t="s">
        <v>3389</v>
      </c>
      <c r="H120" s="8"/>
      <c r="I120" s="8"/>
      <c r="J120" s="8"/>
      <c r="K120" s="2715"/>
      <c r="L120" s="375"/>
    </row>
    <row r="121" spans="1:13" s="388" customFormat="1" ht="26">
      <c r="A121" s="2430" t="s">
        <v>7860</v>
      </c>
      <c r="C121" s="620" t="s">
        <v>4751</v>
      </c>
      <c r="D121" s="382" t="s">
        <v>3389</v>
      </c>
      <c r="E121" s="177">
        <f>SUM(E122:E123)</f>
        <v>0</v>
      </c>
      <c r="F121" s="382" t="s">
        <v>3389</v>
      </c>
      <c r="G121" s="381" t="s">
        <v>3389</v>
      </c>
      <c r="H121" s="8"/>
      <c r="I121" s="8"/>
      <c r="J121" s="8"/>
      <c r="K121" s="2715"/>
      <c r="L121" s="375"/>
    </row>
    <row r="122" spans="1:13" s="388" customFormat="1" ht="25">
      <c r="A122" s="2430" t="s">
        <v>7861</v>
      </c>
      <c r="C122" s="2705" t="s">
        <v>8023</v>
      </c>
      <c r="D122" s="382" t="s">
        <v>3389</v>
      </c>
      <c r="E122" s="178"/>
      <c r="F122" s="382" t="s">
        <v>3389</v>
      </c>
      <c r="G122" s="381" t="s">
        <v>3389</v>
      </c>
      <c r="H122" s="8"/>
      <c r="I122" s="8"/>
      <c r="J122" s="8"/>
      <c r="K122" s="2715"/>
      <c r="L122" s="375"/>
    </row>
    <row r="123" spans="1:13" s="388" customFormat="1" ht="14.5">
      <c r="A123" s="2430" t="s">
        <v>7862</v>
      </c>
      <c r="C123" s="2705" t="s">
        <v>8024</v>
      </c>
      <c r="D123" s="382" t="s">
        <v>3389</v>
      </c>
      <c r="E123" s="178"/>
      <c r="F123" s="382" t="s">
        <v>3389</v>
      </c>
      <c r="G123" s="381" t="s">
        <v>3389</v>
      </c>
      <c r="H123" s="8"/>
      <c r="I123" s="8"/>
      <c r="J123" s="8"/>
      <c r="K123" s="2715"/>
      <c r="L123" s="375"/>
    </row>
    <row r="124" spans="1:13" s="388" customFormat="1" ht="26">
      <c r="A124" s="2430" t="s">
        <v>7863</v>
      </c>
      <c r="C124" s="620" t="s">
        <v>3722</v>
      </c>
      <c r="D124" s="382" t="s">
        <v>3389</v>
      </c>
      <c r="E124" s="177">
        <f>SUM(E125:E127)</f>
        <v>0</v>
      </c>
      <c r="F124" s="382" t="s">
        <v>3389</v>
      </c>
      <c r="G124" s="381" t="s">
        <v>3389</v>
      </c>
      <c r="H124" s="8"/>
      <c r="I124" s="8"/>
      <c r="J124" s="8"/>
      <c r="K124" s="2715"/>
    </row>
    <row r="125" spans="1:13" s="388" customFormat="1" ht="37.5">
      <c r="A125" s="2430" t="s">
        <v>9649</v>
      </c>
      <c r="C125" s="2705" t="s">
        <v>9646</v>
      </c>
      <c r="D125" s="382" t="s">
        <v>3389</v>
      </c>
      <c r="E125" s="1434"/>
      <c r="F125" s="382" t="s">
        <v>3389</v>
      </c>
      <c r="G125" s="381" t="s">
        <v>3389</v>
      </c>
      <c r="H125" s="3003"/>
      <c r="I125" s="3003"/>
      <c r="J125" s="3003"/>
      <c r="K125" s="2715"/>
    </row>
    <row r="126" spans="1:13" s="388" customFormat="1" ht="37.5">
      <c r="A126" s="2430" t="s">
        <v>9650</v>
      </c>
      <c r="C126" s="2705" t="s">
        <v>9647</v>
      </c>
      <c r="D126" s="382" t="s">
        <v>3389</v>
      </c>
      <c r="E126" s="1434"/>
      <c r="F126" s="382" t="s">
        <v>3389</v>
      </c>
      <c r="G126" s="381" t="s">
        <v>3389</v>
      </c>
      <c r="H126" s="3003"/>
      <c r="I126" s="3003"/>
      <c r="J126" s="3003"/>
      <c r="K126" s="2715"/>
    </row>
    <row r="127" spans="1:13" s="388" customFormat="1" ht="14.5">
      <c r="A127" s="2430" t="s">
        <v>9651</v>
      </c>
      <c r="C127" s="2705" t="s">
        <v>9648</v>
      </c>
      <c r="D127" s="382" t="s">
        <v>3389</v>
      </c>
      <c r="E127" s="1434"/>
      <c r="F127" s="382" t="s">
        <v>3389</v>
      </c>
      <c r="G127" s="381" t="s">
        <v>3389</v>
      </c>
      <c r="H127" s="3003"/>
      <c r="I127" s="3003"/>
      <c r="J127" s="3003"/>
      <c r="K127" s="2715"/>
    </row>
    <row r="128" spans="1:13" s="388" customFormat="1" ht="39.5" thickBot="1">
      <c r="A128" s="2430" t="s">
        <v>7866</v>
      </c>
      <c r="C128" s="621" t="s">
        <v>3721</v>
      </c>
      <c r="D128" s="177">
        <f>D129-D157</f>
        <v>0</v>
      </c>
      <c r="E128" s="177">
        <f>E129-E157</f>
        <v>0</v>
      </c>
      <c r="F128" s="177">
        <f>F129-F157</f>
        <v>0</v>
      </c>
      <c r="G128" s="387">
        <f>G129-G157</f>
        <v>0</v>
      </c>
      <c r="H128" s="8"/>
      <c r="I128" s="8"/>
      <c r="J128" s="8"/>
      <c r="K128" s="8"/>
      <c r="M128" s="2430"/>
    </row>
    <row r="129" spans="1:13" s="388" customFormat="1" ht="52">
      <c r="A129" s="2430" t="s">
        <v>6796</v>
      </c>
      <c r="C129" s="621" t="s">
        <v>3720</v>
      </c>
      <c r="D129" s="177">
        <f>SUM(D130:D156)</f>
        <v>0</v>
      </c>
      <c r="E129" s="177">
        <f>SUM(E130:E156)</f>
        <v>0</v>
      </c>
      <c r="F129" s="177">
        <f>SUM(F130:F156)</f>
        <v>0</v>
      </c>
      <c r="G129" s="387">
        <f>SUM(G130:G156)</f>
        <v>0</v>
      </c>
      <c r="H129" s="2704" t="s">
        <v>3719</v>
      </c>
      <c r="I129" s="8"/>
      <c r="J129" s="8"/>
      <c r="K129" s="8"/>
      <c r="M129" s="2430"/>
    </row>
    <row r="130" spans="1:13" s="388" customFormat="1" ht="14.5">
      <c r="A130" s="2430" t="s">
        <v>6427</v>
      </c>
      <c r="C130" s="390" t="s">
        <v>3715</v>
      </c>
      <c r="D130" s="178"/>
      <c r="E130" s="178"/>
      <c r="F130" s="178"/>
      <c r="G130" s="387">
        <f t="shared" ref="G130:G156" si="0">D130+E130+F130</f>
        <v>0</v>
      </c>
      <c r="H130" s="446" t="b">
        <f>ROUND(G130*$E$179,0)=ROUND('09'!K9,0)</f>
        <v>1</v>
      </c>
      <c r="I130" s="8"/>
      <c r="J130" s="8"/>
      <c r="K130" s="8"/>
      <c r="M130" s="2430"/>
    </row>
    <row r="131" spans="1:13" s="388" customFormat="1" ht="14.5">
      <c r="A131" s="2430" t="s">
        <v>6797</v>
      </c>
      <c r="C131" s="390" t="s">
        <v>4625</v>
      </c>
      <c r="D131" s="178"/>
      <c r="E131" s="178"/>
      <c r="F131" s="178"/>
      <c r="G131" s="387">
        <f t="shared" si="0"/>
        <v>0</v>
      </c>
      <c r="H131" s="446" t="b">
        <f>ROUND(G131*$E$179,0)=ROUND('09'!K10,0)</f>
        <v>1</v>
      </c>
      <c r="I131" s="8"/>
      <c r="J131" s="8"/>
      <c r="K131" s="8"/>
      <c r="M131" s="2430"/>
    </row>
    <row r="132" spans="1:13" s="388" customFormat="1" ht="14.5">
      <c r="A132" s="2430" t="s">
        <v>6798</v>
      </c>
      <c r="C132" s="390" t="s">
        <v>3718</v>
      </c>
      <c r="D132" s="178"/>
      <c r="E132" s="178"/>
      <c r="F132" s="178"/>
      <c r="G132" s="387">
        <f t="shared" si="0"/>
        <v>0</v>
      </c>
      <c r="H132" s="446" t="b">
        <f>ROUND(G132*$E$179,0)=ROUND('09'!K11,0)</f>
        <v>1</v>
      </c>
      <c r="I132" s="8"/>
      <c r="J132" s="8"/>
      <c r="K132" s="8"/>
      <c r="M132" s="2430"/>
    </row>
    <row r="133" spans="1:13" s="388" customFormat="1" ht="14.5">
      <c r="A133" s="2430" t="s">
        <v>6428</v>
      </c>
      <c r="C133" s="390" t="s">
        <v>3717</v>
      </c>
      <c r="D133" s="178"/>
      <c r="E133" s="178"/>
      <c r="F133" s="178"/>
      <c r="G133" s="387">
        <f t="shared" si="0"/>
        <v>0</v>
      </c>
      <c r="H133" s="446" t="b">
        <f>ROUND(G133*$E$179,0)=ROUND('09'!K12,0)</f>
        <v>1</v>
      </c>
      <c r="I133" s="8"/>
      <c r="J133" s="8"/>
      <c r="K133" s="8"/>
      <c r="M133" s="2430"/>
    </row>
    <row r="134" spans="1:13" s="388" customFormat="1" ht="14.5">
      <c r="A134" s="2430" t="s">
        <v>6429</v>
      </c>
      <c r="C134" s="390" t="s">
        <v>3716</v>
      </c>
      <c r="D134" s="178"/>
      <c r="E134" s="178"/>
      <c r="F134" s="178"/>
      <c r="G134" s="387">
        <f t="shared" si="0"/>
        <v>0</v>
      </c>
      <c r="H134" s="446" t="b">
        <f>ROUND(G134*$E$179,0)=ROUND('09'!K13,0)</f>
        <v>1</v>
      </c>
      <c r="I134" s="8"/>
      <c r="J134" s="8"/>
      <c r="K134" s="8"/>
      <c r="M134" s="2430"/>
    </row>
    <row r="135" spans="1:13" s="388" customFormat="1" ht="14.5">
      <c r="A135" s="2430" t="s">
        <v>6430</v>
      </c>
      <c r="C135" s="390" t="s">
        <v>4738</v>
      </c>
      <c r="D135" s="178"/>
      <c r="E135" s="178"/>
      <c r="F135" s="178"/>
      <c r="G135" s="387">
        <f t="shared" si="0"/>
        <v>0</v>
      </c>
      <c r="H135" s="446" t="b">
        <f>ROUND(G135*$E$179,0)=ROUND('09'!K14,0)</f>
        <v>1</v>
      </c>
      <c r="I135" s="8"/>
      <c r="J135" s="3946" t="s">
        <v>4737</v>
      </c>
      <c r="K135" s="3946"/>
      <c r="M135" s="2430"/>
    </row>
    <row r="136" spans="1:13" s="388" customFormat="1" ht="25">
      <c r="A136" s="2430" t="s">
        <v>6431</v>
      </c>
      <c r="C136" s="390" t="s">
        <v>4736</v>
      </c>
      <c r="D136" s="178"/>
      <c r="E136" s="178"/>
      <c r="F136" s="178"/>
      <c r="G136" s="387">
        <f t="shared" si="0"/>
        <v>0</v>
      </c>
      <c r="H136" s="446" t="b">
        <f>ROUND(G136*$E$179,0)=ROUND('09'!K15,0)</f>
        <v>1</v>
      </c>
      <c r="I136" s="8"/>
      <c r="J136" s="3946"/>
      <c r="K136" s="3946"/>
      <c r="M136" s="2430"/>
    </row>
    <row r="137" spans="1:13" s="388" customFormat="1" ht="14.5">
      <c r="A137" s="2430" t="s">
        <v>6432</v>
      </c>
      <c r="C137" s="390" t="s">
        <v>3711</v>
      </c>
      <c r="D137" s="178"/>
      <c r="E137" s="178"/>
      <c r="F137" s="178"/>
      <c r="G137" s="387">
        <f t="shared" si="0"/>
        <v>0</v>
      </c>
      <c r="H137" s="446" t="b">
        <f>ROUND(G137*$E$179,0)=ROUND('09'!K16,0)</f>
        <v>1</v>
      </c>
      <c r="I137" s="8"/>
      <c r="J137" s="3946"/>
      <c r="K137" s="3946"/>
      <c r="M137" s="2430"/>
    </row>
    <row r="138" spans="1:13" s="388" customFormat="1" ht="14.5">
      <c r="A138" s="2430" t="s">
        <v>6433</v>
      </c>
      <c r="C138" s="390" t="s">
        <v>3710</v>
      </c>
      <c r="D138" s="178"/>
      <c r="E138" s="178"/>
      <c r="F138" s="178"/>
      <c r="G138" s="387">
        <f t="shared" si="0"/>
        <v>0</v>
      </c>
      <c r="H138" s="446" t="b">
        <f>ROUND(G138*$E$179,0)=ROUND('09'!K17,0)</f>
        <v>1</v>
      </c>
      <c r="I138" s="8"/>
      <c r="J138" s="3946"/>
      <c r="K138" s="3946"/>
      <c r="M138" s="2430"/>
    </row>
    <row r="139" spans="1:13" s="388" customFormat="1" ht="15" thickBot="1">
      <c r="A139" s="2430" t="s">
        <v>6434</v>
      </c>
      <c r="C139" s="390" t="s">
        <v>3709</v>
      </c>
      <c r="D139" s="178"/>
      <c r="E139" s="178"/>
      <c r="F139" s="178"/>
      <c r="G139" s="387">
        <f t="shared" si="0"/>
        <v>0</v>
      </c>
      <c r="H139" s="446" t="b">
        <f>ROUND(G139*$E$179,0)=ROUND('09'!K18,0)</f>
        <v>1</v>
      </c>
      <c r="I139" s="8"/>
      <c r="J139" s="8"/>
      <c r="K139" s="8"/>
      <c r="M139" s="2430"/>
    </row>
    <row r="140" spans="1:13" s="388" customFormat="1" ht="14.5">
      <c r="A140" s="2430" t="s">
        <v>6435</v>
      </c>
      <c r="C140" s="390" t="s">
        <v>4735</v>
      </c>
      <c r="D140" s="178"/>
      <c r="E140" s="178"/>
      <c r="F140" s="178"/>
      <c r="G140" s="387">
        <f t="shared" si="0"/>
        <v>0</v>
      </c>
      <c r="H140" s="446" t="b">
        <f>ROUND(G140*$E$179,0)=ROUND('09'!K19,0)</f>
        <v>1</v>
      </c>
      <c r="I140" s="8"/>
      <c r="J140" s="2704" t="s">
        <v>5359</v>
      </c>
      <c r="K140" s="2704" t="s">
        <v>4734</v>
      </c>
      <c r="M140" s="2430"/>
    </row>
    <row r="141" spans="1:13" s="388" customFormat="1" ht="14.5">
      <c r="A141" s="2430" t="s">
        <v>6436</v>
      </c>
      <c r="C141" s="390" t="s">
        <v>4733</v>
      </c>
      <c r="D141" s="178"/>
      <c r="E141" s="178"/>
      <c r="F141" s="178"/>
      <c r="G141" s="387">
        <f t="shared" si="0"/>
        <v>0</v>
      </c>
      <c r="H141" s="446" t="b">
        <f>ROUND(G141*$E$179,0)=ROUND('09'!K20,0)</f>
        <v>1</v>
      </c>
      <c r="I141" s="8"/>
      <c r="J141" s="391"/>
      <c r="K141" s="364"/>
      <c r="M141" s="2430"/>
    </row>
    <row r="142" spans="1:13" s="388" customFormat="1" ht="14.5">
      <c r="A142" s="2430" t="s">
        <v>6437</v>
      </c>
      <c r="C142" s="390" t="s">
        <v>4732</v>
      </c>
      <c r="D142" s="178"/>
      <c r="E142" s="178"/>
      <c r="F142" s="178"/>
      <c r="G142" s="387">
        <f t="shared" si="0"/>
        <v>0</v>
      </c>
      <c r="H142" s="446" t="b">
        <f>ROUND(G142*$E$179,0)=ROUND('09'!K21,0)</f>
        <v>1</v>
      </c>
      <c r="I142" s="8"/>
      <c r="J142" s="391"/>
      <c r="K142" s="364"/>
      <c r="M142" s="2430"/>
    </row>
    <row r="143" spans="1:13" s="388" customFormat="1" ht="14.5">
      <c r="A143" s="2430" t="s">
        <v>6438</v>
      </c>
      <c r="C143" s="390" t="s">
        <v>4731</v>
      </c>
      <c r="D143" s="178"/>
      <c r="E143" s="178"/>
      <c r="F143" s="178"/>
      <c r="G143" s="387">
        <f t="shared" si="0"/>
        <v>0</v>
      </c>
      <c r="H143" s="446" t="b">
        <f>ROUND(G143*$E$179,0)=ROUND('09'!K22,0)</f>
        <v>1</v>
      </c>
      <c r="I143" s="8"/>
      <c r="J143" s="391"/>
      <c r="K143" s="364"/>
      <c r="M143" s="2430"/>
    </row>
    <row r="144" spans="1:13" s="388" customFormat="1" ht="14.5">
      <c r="A144" s="2430" t="s">
        <v>6799</v>
      </c>
      <c r="C144" s="390" t="s">
        <v>7740</v>
      </c>
      <c r="D144" s="178"/>
      <c r="E144" s="178"/>
      <c r="F144" s="178"/>
      <c r="G144" s="387">
        <f t="shared" si="0"/>
        <v>0</v>
      </c>
      <c r="H144" s="446" t="b">
        <f>ROUND(G144*$E$179,0)=ROUND('09'!K23,0)</f>
        <v>1</v>
      </c>
      <c r="I144" s="8"/>
      <c r="J144" s="391"/>
      <c r="K144" s="364"/>
      <c r="M144" s="2430"/>
    </row>
    <row r="145" spans="1:13" s="388" customFormat="1" ht="25">
      <c r="A145" s="2430" t="s">
        <v>7102</v>
      </c>
      <c r="C145" s="390" t="s">
        <v>7099</v>
      </c>
      <c r="D145" s="178"/>
      <c r="E145" s="178"/>
      <c r="F145" s="178"/>
      <c r="G145" s="387">
        <f t="shared" si="0"/>
        <v>0</v>
      </c>
      <c r="H145" s="446" t="b">
        <f>ROUND(G145*$E$179,0)=ROUND('09'!K24,0)</f>
        <v>1</v>
      </c>
      <c r="I145" s="8"/>
      <c r="J145" s="391"/>
      <c r="K145" s="364"/>
      <c r="M145" s="2430"/>
    </row>
    <row r="146" spans="1:13" s="388" customFormat="1" ht="14.5">
      <c r="A146" s="2430" t="s">
        <v>6439</v>
      </c>
      <c r="C146" s="390" t="s">
        <v>4730</v>
      </c>
      <c r="D146" s="178"/>
      <c r="E146" s="178"/>
      <c r="F146" s="178"/>
      <c r="G146" s="387">
        <f t="shared" si="0"/>
        <v>0</v>
      </c>
      <c r="H146" s="446" t="b">
        <f>ROUND(G146*$E$179,0)=ROUND('09'!K25,0)</f>
        <v>1</v>
      </c>
      <c r="I146" s="8"/>
      <c r="J146" s="391"/>
      <c r="K146" s="364"/>
      <c r="M146" s="2430"/>
    </row>
    <row r="147" spans="1:13" s="388" customFormat="1" ht="15" thickBot="1">
      <c r="A147" s="2430" t="s">
        <v>6440</v>
      </c>
      <c r="C147" s="390" t="s">
        <v>3708</v>
      </c>
      <c r="D147" s="178"/>
      <c r="E147" s="178"/>
      <c r="F147" s="178"/>
      <c r="G147" s="387">
        <f t="shared" si="0"/>
        <v>0</v>
      </c>
      <c r="H147" s="446" t="b">
        <f>ROUND(G147*$E$179,0)=ROUND('09'!K26,0)</f>
        <v>1</v>
      </c>
      <c r="I147" s="8"/>
      <c r="J147" s="322"/>
      <c r="K147" s="363"/>
      <c r="M147" s="2430"/>
    </row>
    <row r="148" spans="1:13" s="388" customFormat="1" ht="14.5">
      <c r="A148" s="2430" t="s">
        <v>6441</v>
      </c>
      <c r="C148" s="390" t="s">
        <v>3707</v>
      </c>
      <c r="D148" s="178"/>
      <c r="E148" s="178"/>
      <c r="F148" s="178"/>
      <c r="G148" s="387">
        <f t="shared" si="0"/>
        <v>0</v>
      </c>
      <c r="H148" s="446" t="b">
        <f>ROUND(G148*$E$179,0)=ROUND('09'!K27,0)</f>
        <v>1</v>
      </c>
      <c r="I148" s="8"/>
      <c r="J148" s="8"/>
      <c r="K148" s="8"/>
      <c r="M148" s="2430"/>
    </row>
    <row r="149" spans="1:13" s="388" customFormat="1" ht="14.5">
      <c r="A149" s="2430" t="s">
        <v>6442</v>
      </c>
      <c r="C149" s="390" t="s">
        <v>4729</v>
      </c>
      <c r="D149" s="178"/>
      <c r="E149" s="178"/>
      <c r="F149" s="178"/>
      <c r="G149" s="387">
        <f t="shared" si="0"/>
        <v>0</v>
      </c>
      <c r="H149" s="446" t="b">
        <f>ROUND(G149*$E$179,0)=ROUND('09'!K28,0)</f>
        <v>1</v>
      </c>
      <c r="I149" s="8"/>
      <c r="J149" s="8"/>
      <c r="K149" s="8"/>
      <c r="M149" s="2430"/>
    </row>
    <row r="150" spans="1:13" s="388" customFormat="1" ht="14.5">
      <c r="A150" s="2430" t="s">
        <v>6443</v>
      </c>
      <c r="C150" s="390" t="s">
        <v>4728</v>
      </c>
      <c r="D150" s="178"/>
      <c r="E150" s="178"/>
      <c r="F150" s="178"/>
      <c r="G150" s="387">
        <f t="shared" si="0"/>
        <v>0</v>
      </c>
      <c r="H150" s="446" t="b">
        <f>ROUND(G150*$E$179,0)=ROUND('09'!K29,0)</f>
        <v>1</v>
      </c>
      <c r="I150" s="8"/>
      <c r="J150" s="8"/>
      <c r="K150" s="8"/>
      <c r="M150" s="2430"/>
    </row>
    <row r="151" spans="1:13" s="388" customFormat="1" ht="14.5">
      <c r="A151" s="2430" t="s">
        <v>6444</v>
      </c>
      <c r="C151" s="390" t="s">
        <v>5379</v>
      </c>
      <c r="D151" s="178"/>
      <c r="E151" s="178"/>
      <c r="F151" s="178"/>
      <c r="G151" s="387">
        <f t="shared" si="0"/>
        <v>0</v>
      </c>
      <c r="H151" s="446" t="b">
        <f>ROUND(G151*$E$179,0)=ROUND('09'!K30,0)</f>
        <v>1</v>
      </c>
      <c r="I151" s="8"/>
      <c r="J151" s="8"/>
      <c r="K151" s="8"/>
      <c r="M151" s="2430"/>
    </row>
    <row r="152" spans="1:13" s="388" customFormat="1" ht="25">
      <c r="A152" s="2430" t="s">
        <v>9645</v>
      </c>
      <c r="C152" s="390" t="s">
        <v>9642</v>
      </c>
      <c r="D152" s="1434"/>
      <c r="E152" s="1434"/>
      <c r="F152" s="1434"/>
      <c r="G152" s="387">
        <f t="shared" si="0"/>
        <v>0</v>
      </c>
      <c r="H152" s="3513" t="b">
        <f>ROUND(G152*$E$179,0)=ROUND('09'!K32,0)</f>
        <v>1</v>
      </c>
      <c r="I152" s="3003"/>
      <c r="J152" s="3003"/>
      <c r="K152" s="3003"/>
      <c r="M152" s="2430"/>
    </row>
    <row r="153" spans="1:13" s="388" customFormat="1" ht="25">
      <c r="A153" s="2430" t="s">
        <v>14781</v>
      </c>
      <c r="C153" s="390" t="s">
        <v>14732</v>
      </c>
      <c r="D153" s="1434"/>
      <c r="E153" s="1434"/>
      <c r="F153" s="1434"/>
      <c r="G153" s="387">
        <f t="shared" si="0"/>
        <v>0</v>
      </c>
      <c r="H153" s="3513" t="b">
        <f>ROUND(G153*$E$179,0)=ROUND('09'!K33,0)</f>
        <v>1</v>
      </c>
      <c r="I153" s="3003"/>
      <c r="J153" s="3003"/>
      <c r="K153" s="3003"/>
      <c r="M153" s="2430"/>
    </row>
    <row r="154" spans="1:13" s="388" customFormat="1" ht="25">
      <c r="A154" s="2430" t="s">
        <v>14782</v>
      </c>
      <c r="C154" s="390" t="s">
        <v>14733</v>
      </c>
      <c r="D154" s="1434"/>
      <c r="E154" s="1434"/>
      <c r="F154" s="1434"/>
      <c r="G154" s="387">
        <f t="shared" si="0"/>
        <v>0</v>
      </c>
      <c r="H154" s="3513" t="b">
        <f>ROUND(G154*$E$179,0)=ROUND('09'!K34,0)</f>
        <v>1</v>
      </c>
      <c r="I154" s="3003"/>
      <c r="J154" s="3003"/>
      <c r="K154" s="3003"/>
      <c r="M154" s="2430"/>
    </row>
    <row r="155" spans="1:13" s="388" customFormat="1" ht="25">
      <c r="A155" s="2430" t="s">
        <v>14783</v>
      </c>
      <c r="C155" s="390" t="s">
        <v>14734</v>
      </c>
      <c r="D155" s="1434"/>
      <c r="E155" s="1434"/>
      <c r="F155" s="1434"/>
      <c r="G155" s="387">
        <f t="shared" si="0"/>
        <v>0</v>
      </c>
      <c r="H155" s="3513" t="b">
        <f>ROUND(G155*$E$179,0)=ROUND('09'!K36,0)</f>
        <v>1</v>
      </c>
      <c r="I155" s="3003"/>
      <c r="J155" s="3003"/>
      <c r="K155" s="3003"/>
      <c r="M155" s="2430"/>
    </row>
    <row r="156" spans="1:13" s="388" customFormat="1" ht="15" thickBot="1">
      <c r="A156" s="2430" t="s">
        <v>6445</v>
      </c>
      <c r="C156" s="390" t="s">
        <v>4627</v>
      </c>
      <c r="D156" s="178"/>
      <c r="E156" s="178"/>
      <c r="F156" s="178"/>
      <c r="G156" s="387">
        <f t="shared" si="0"/>
        <v>0</v>
      </c>
      <c r="H156" s="3513" t="b">
        <f>ROUND(G156*$E$179,0)=ROUND('09'!K31,0)</f>
        <v>1</v>
      </c>
      <c r="I156" s="8"/>
      <c r="J156" s="8"/>
      <c r="K156" s="8"/>
      <c r="M156" s="2430"/>
    </row>
    <row r="157" spans="1:13" s="388" customFormat="1" ht="52.5" thickBot="1">
      <c r="A157" s="2430" t="s">
        <v>6800</v>
      </c>
      <c r="C157" s="389" t="s">
        <v>4727</v>
      </c>
      <c r="D157" s="177">
        <f>SUM(D158:D175)</f>
        <v>0</v>
      </c>
      <c r="E157" s="177">
        <f>SUM(E158:E175)</f>
        <v>0</v>
      </c>
      <c r="F157" s="177">
        <f>SUM(F158:F175)</f>
        <v>0</v>
      </c>
      <c r="G157" s="387">
        <f>SUM(G158:G175)</f>
        <v>0</v>
      </c>
      <c r="H157" s="2704" t="s">
        <v>4726</v>
      </c>
      <c r="I157" s="8"/>
      <c r="J157" s="8"/>
      <c r="K157" s="8"/>
      <c r="M157" s="2430"/>
    </row>
    <row r="158" spans="1:13" s="388" customFormat="1" ht="14.5">
      <c r="A158" s="2430" t="s">
        <v>6801</v>
      </c>
      <c r="C158" s="221" t="s">
        <v>3715</v>
      </c>
      <c r="D158" s="178"/>
      <c r="E158" s="178"/>
      <c r="F158" s="178"/>
      <c r="G158" s="387">
        <f t="shared" ref="G158:G175" si="1">D158+E158+F158</f>
        <v>0</v>
      </c>
      <c r="H158" s="447" t="b">
        <f>ROUND(G158*$E$179,0)=ROUND(-'77'!K9,0)</f>
        <v>1</v>
      </c>
      <c r="I158" s="8"/>
      <c r="J158" s="8"/>
      <c r="K158" s="8"/>
      <c r="M158" s="2430"/>
    </row>
    <row r="159" spans="1:13" s="388" customFormat="1" ht="14.5">
      <c r="A159" s="2430" t="s">
        <v>6802</v>
      </c>
      <c r="C159" s="221" t="s">
        <v>3714</v>
      </c>
      <c r="D159" s="178"/>
      <c r="E159" s="178"/>
      <c r="F159" s="178"/>
      <c r="G159" s="387">
        <f t="shared" si="1"/>
        <v>0</v>
      </c>
      <c r="H159" s="2573"/>
      <c r="I159" s="8"/>
      <c r="J159" s="8"/>
      <c r="K159" s="8"/>
      <c r="M159" s="2430"/>
    </row>
    <row r="160" spans="1:13" s="388" customFormat="1" ht="14.5">
      <c r="A160" s="2430" t="s">
        <v>6803</v>
      </c>
      <c r="C160" s="221" t="s">
        <v>4625</v>
      </c>
      <c r="D160" s="178"/>
      <c r="E160" s="178"/>
      <c r="F160" s="178"/>
      <c r="G160" s="387">
        <f t="shared" si="1"/>
        <v>0</v>
      </c>
      <c r="H160" s="446" t="b">
        <f>ROUND(G160*$E$179,0)=ROUND(-'77'!K11,0)</f>
        <v>1</v>
      </c>
      <c r="I160" s="8"/>
      <c r="J160" s="8"/>
      <c r="K160" s="8"/>
      <c r="M160" s="2430"/>
    </row>
    <row r="161" spans="1:13" s="388" customFormat="1" ht="14.5">
      <c r="A161" s="2430" t="s">
        <v>6446</v>
      </c>
      <c r="C161" s="221" t="s">
        <v>3713</v>
      </c>
      <c r="D161" s="178"/>
      <c r="E161" s="178"/>
      <c r="F161" s="178"/>
      <c r="G161" s="387">
        <f t="shared" si="1"/>
        <v>0</v>
      </c>
      <c r="H161" s="446" t="b">
        <f>ROUND(G161*$E$179,0)=ROUND(-'77'!K12,0)</f>
        <v>1</v>
      </c>
      <c r="I161" s="8"/>
      <c r="J161" s="8"/>
      <c r="K161" s="8"/>
      <c r="M161" s="2430"/>
    </row>
    <row r="162" spans="1:13" s="388" customFormat="1" ht="14.5">
      <c r="A162" s="2430" t="s">
        <v>6447</v>
      </c>
      <c r="C162" s="221" t="s">
        <v>3712</v>
      </c>
      <c r="D162" s="178"/>
      <c r="E162" s="178"/>
      <c r="F162" s="178"/>
      <c r="G162" s="387">
        <f t="shared" si="1"/>
        <v>0</v>
      </c>
      <c r="H162" s="446" t="b">
        <f>ROUND(G162*$E$179,0)=ROUND(-'77'!K13,0)</f>
        <v>1</v>
      </c>
      <c r="I162" s="8"/>
      <c r="J162" s="8"/>
      <c r="K162" s="8"/>
      <c r="M162" s="2430"/>
    </row>
    <row r="163" spans="1:13" s="388" customFormat="1" ht="14.5">
      <c r="A163" s="2430" t="s">
        <v>6804</v>
      </c>
      <c r="C163" s="221" t="s">
        <v>3711</v>
      </c>
      <c r="D163" s="178"/>
      <c r="E163" s="178"/>
      <c r="F163" s="178"/>
      <c r="G163" s="387">
        <f t="shared" si="1"/>
        <v>0</v>
      </c>
      <c r="H163" s="446" t="b">
        <f>ROUND(G163*$E$179,0)=ROUND(-'77'!K14,0)</f>
        <v>1</v>
      </c>
      <c r="I163" s="8"/>
      <c r="J163" s="8"/>
      <c r="K163" s="8"/>
      <c r="M163" s="2430"/>
    </row>
    <row r="164" spans="1:13" s="388" customFormat="1" ht="14.5">
      <c r="A164" s="2430" t="s">
        <v>6805</v>
      </c>
      <c r="C164" s="221" t="s">
        <v>3710</v>
      </c>
      <c r="D164" s="178"/>
      <c r="E164" s="178"/>
      <c r="F164" s="178"/>
      <c r="G164" s="387">
        <f t="shared" si="1"/>
        <v>0</v>
      </c>
      <c r="H164" s="446" t="b">
        <f>ROUND(G164*$E$179,0)=ROUND(-'77'!K15,0)</f>
        <v>1</v>
      </c>
      <c r="I164" s="8"/>
      <c r="J164" s="8"/>
      <c r="K164" s="8"/>
      <c r="M164" s="2430"/>
    </row>
    <row r="165" spans="1:13" s="388" customFormat="1" ht="14.5">
      <c r="A165" s="2430" t="s">
        <v>6806</v>
      </c>
      <c r="C165" s="221" t="s">
        <v>3709</v>
      </c>
      <c r="D165" s="178"/>
      <c r="E165" s="178"/>
      <c r="F165" s="178"/>
      <c r="G165" s="387">
        <f t="shared" si="1"/>
        <v>0</v>
      </c>
      <c r="H165" s="446" t="b">
        <f>ROUND(G165*$E$179,0)=ROUND(-'77'!K16,0)</f>
        <v>1</v>
      </c>
      <c r="I165" s="8"/>
      <c r="J165" s="8"/>
      <c r="K165" s="8"/>
      <c r="M165" s="2430"/>
    </row>
    <row r="166" spans="1:13" s="375" customFormat="1" ht="14.5">
      <c r="A166" s="2430" t="s">
        <v>6807</v>
      </c>
      <c r="C166" s="221" t="s">
        <v>3708</v>
      </c>
      <c r="D166" s="178"/>
      <c r="E166" s="178"/>
      <c r="F166" s="178"/>
      <c r="G166" s="387">
        <f t="shared" si="1"/>
        <v>0</v>
      </c>
      <c r="H166" s="446" t="b">
        <f>ROUND(G166*$E$179,0)=ROUND(-'77'!K17,0)</f>
        <v>1</v>
      </c>
      <c r="I166" s="8"/>
      <c r="J166" s="8"/>
      <c r="K166" s="8"/>
      <c r="M166" s="2430"/>
    </row>
    <row r="167" spans="1:13" s="375" customFormat="1" ht="14.5">
      <c r="A167" s="2430" t="s">
        <v>6808</v>
      </c>
      <c r="C167" s="221" t="s">
        <v>3707</v>
      </c>
      <c r="D167" s="178"/>
      <c r="E167" s="178"/>
      <c r="F167" s="178"/>
      <c r="G167" s="387">
        <f t="shared" si="1"/>
        <v>0</v>
      </c>
      <c r="H167" s="446" t="b">
        <f>ROUND(G167*$E$179,0)=ROUND(-'77'!K18,0)</f>
        <v>1</v>
      </c>
      <c r="I167" s="8"/>
      <c r="J167" s="8"/>
      <c r="K167" s="8"/>
      <c r="M167" s="2430"/>
    </row>
    <row r="168" spans="1:13" s="375" customFormat="1" ht="14.5">
      <c r="A168" s="2430" t="s">
        <v>6448</v>
      </c>
      <c r="C168" s="221" t="s">
        <v>3706</v>
      </c>
      <c r="D168" s="178"/>
      <c r="E168" s="178"/>
      <c r="F168" s="178"/>
      <c r="G168" s="387">
        <f t="shared" si="1"/>
        <v>0</v>
      </c>
      <c r="H168" s="446" t="b">
        <f>ROUND(G168*$E$179,0)=ROUND(-'77'!K19,0)</f>
        <v>1</v>
      </c>
      <c r="I168" s="8"/>
      <c r="J168" s="8"/>
      <c r="K168" s="8"/>
      <c r="M168" s="2430"/>
    </row>
    <row r="169" spans="1:13" s="375" customFormat="1" ht="14.5">
      <c r="A169" s="2430" t="s">
        <v>6449</v>
      </c>
      <c r="C169" s="221" t="s">
        <v>3705</v>
      </c>
      <c r="D169" s="178"/>
      <c r="E169" s="178"/>
      <c r="F169" s="178"/>
      <c r="G169" s="387">
        <f t="shared" si="1"/>
        <v>0</v>
      </c>
      <c r="H169" s="446" t="b">
        <f>ROUND(G169*$E$179,0)=ROUND(-'77'!K20,0)</f>
        <v>1</v>
      </c>
      <c r="I169" s="8"/>
      <c r="J169" s="8"/>
      <c r="K169" s="8"/>
      <c r="M169" s="2430"/>
    </row>
    <row r="170" spans="1:13" s="375" customFormat="1" ht="14.5">
      <c r="A170" s="2430" t="s">
        <v>6809</v>
      </c>
      <c r="C170" s="221" t="s">
        <v>5379</v>
      </c>
      <c r="D170" s="178"/>
      <c r="E170" s="178"/>
      <c r="F170" s="178"/>
      <c r="G170" s="387">
        <f t="shared" si="1"/>
        <v>0</v>
      </c>
      <c r="H170" s="446" t="b">
        <f>ROUND(G170*$E$179,0)=ROUND(-'77'!K21,0)</f>
        <v>1</v>
      </c>
      <c r="I170" s="8"/>
      <c r="J170" s="8"/>
      <c r="K170" s="8"/>
      <c r="M170" s="2430"/>
    </row>
    <row r="171" spans="1:13" s="375" customFormat="1" ht="25">
      <c r="A171" s="2430" t="s">
        <v>9644</v>
      </c>
      <c r="C171" s="221" t="s">
        <v>9643</v>
      </c>
      <c r="D171" s="1434"/>
      <c r="E171" s="1434"/>
      <c r="F171" s="1434"/>
      <c r="G171" s="387">
        <f t="shared" si="1"/>
        <v>0</v>
      </c>
      <c r="H171" s="3513" t="b">
        <f>ROUND(G171*$E$179,0)=ROUND(-'77'!K23,0)</f>
        <v>1</v>
      </c>
      <c r="I171" s="3003"/>
      <c r="J171" s="3003"/>
      <c r="K171" s="3003"/>
      <c r="M171" s="2430"/>
    </row>
    <row r="172" spans="1:13" s="375" customFormat="1" ht="25">
      <c r="A172" s="2430" t="s">
        <v>14778</v>
      </c>
      <c r="C172" s="221" t="s">
        <v>14735</v>
      </c>
      <c r="D172" s="1434"/>
      <c r="E172" s="1434"/>
      <c r="F172" s="1434"/>
      <c r="G172" s="387">
        <f t="shared" si="1"/>
        <v>0</v>
      </c>
      <c r="H172" s="3513" t="b">
        <f>ROUND(G172*$E$179,0)=ROUND(-'77'!K24,0)</f>
        <v>1</v>
      </c>
      <c r="I172" s="3003"/>
      <c r="J172" s="3003"/>
      <c r="K172" s="3003"/>
      <c r="M172" s="2430"/>
    </row>
    <row r="173" spans="1:13" s="375" customFormat="1" ht="25">
      <c r="A173" s="2430" t="s">
        <v>14779</v>
      </c>
      <c r="C173" s="221" t="s">
        <v>14736</v>
      </c>
      <c r="D173" s="1434"/>
      <c r="E173" s="1434"/>
      <c r="F173" s="1434"/>
      <c r="G173" s="387">
        <f t="shared" si="1"/>
        <v>0</v>
      </c>
      <c r="H173" s="3513" t="b">
        <f>ROUND(G173*$E$179,0)=ROUND(-'77'!K25,0)</f>
        <v>1</v>
      </c>
      <c r="I173" s="3003"/>
      <c r="J173" s="3003"/>
      <c r="K173" s="3003"/>
      <c r="M173" s="2430"/>
    </row>
    <row r="174" spans="1:13" s="375" customFormat="1" ht="25">
      <c r="A174" s="2430" t="s">
        <v>14780</v>
      </c>
      <c r="C174" s="221" t="s">
        <v>14737</v>
      </c>
      <c r="D174" s="1434"/>
      <c r="E174" s="1434"/>
      <c r="F174" s="1434"/>
      <c r="G174" s="387">
        <f t="shared" si="1"/>
        <v>0</v>
      </c>
      <c r="H174" s="3513" t="b">
        <f>ROUND(G174*$E$179,0)=ROUND(-'77'!K27,0)</f>
        <v>1</v>
      </c>
      <c r="I174" s="3003"/>
      <c r="J174" s="3003"/>
      <c r="K174" s="3003"/>
      <c r="M174" s="2430"/>
    </row>
    <row r="175" spans="1:13" s="375" customFormat="1" ht="15" thickBot="1">
      <c r="A175" s="2430" t="s">
        <v>6810</v>
      </c>
      <c r="C175" s="221" t="s">
        <v>4627</v>
      </c>
      <c r="D175" s="178"/>
      <c r="E175" s="178"/>
      <c r="F175" s="178"/>
      <c r="G175" s="387">
        <f t="shared" si="1"/>
        <v>0</v>
      </c>
      <c r="H175" s="3514" t="b">
        <f>ROUND(G175*$E$179,0)=ROUND(-'77'!K22,0)</f>
        <v>1</v>
      </c>
      <c r="I175" s="8"/>
      <c r="J175" s="8"/>
      <c r="K175" s="8"/>
      <c r="M175" s="2430"/>
    </row>
    <row r="176" spans="1:13" s="375" customFormat="1" ht="14.5">
      <c r="A176" s="2430" t="s">
        <v>6811</v>
      </c>
      <c r="C176" s="384" t="s">
        <v>3704</v>
      </c>
      <c r="D176" s="382" t="s">
        <v>4184</v>
      </c>
      <c r="E176" s="177">
        <f>IF((E9+E10+E128)&gt;0,E9+E10+E128,0)</f>
        <v>0</v>
      </c>
      <c r="F176" s="382" t="s">
        <v>4184</v>
      </c>
      <c r="G176" s="381" t="s">
        <v>4184</v>
      </c>
      <c r="I176" s="8"/>
      <c r="J176" s="8"/>
      <c r="K176" s="8"/>
      <c r="M176" s="2430"/>
    </row>
    <row r="177" spans="1:13" s="375" customFormat="1" ht="14.5">
      <c r="A177" s="2430" t="s">
        <v>6450</v>
      </c>
      <c r="C177" s="384" t="s">
        <v>3703</v>
      </c>
      <c r="D177" s="382" t="s">
        <v>4184</v>
      </c>
      <c r="E177" s="177">
        <f>IF((E9+E10+E128)&lt;0,-(E9+E10+E128),0)</f>
        <v>0</v>
      </c>
      <c r="F177" s="382" t="s">
        <v>4184</v>
      </c>
      <c r="G177" s="381" t="s">
        <v>4184</v>
      </c>
      <c r="H177" s="8"/>
      <c r="I177" s="8"/>
      <c r="J177" s="8"/>
      <c r="K177" s="8"/>
      <c r="M177" s="2430"/>
    </row>
    <row r="178" spans="1:13" s="375" customFormat="1" ht="25">
      <c r="A178" s="2430" t="s">
        <v>8463</v>
      </c>
      <c r="C178" s="384" t="s">
        <v>8444</v>
      </c>
      <c r="D178" s="382" t="s">
        <v>4184</v>
      </c>
      <c r="E178" s="2852"/>
      <c r="F178" s="382" t="s">
        <v>4184</v>
      </c>
      <c r="G178" s="381" t="s">
        <v>4184</v>
      </c>
      <c r="H178" s="8"/>
      <c r="I178" s="8"/>
      <c r="J178" s="8"/>
      <c r="K178" s="8"/>
      <c r="M178" s="2430"/>
    </row>
    <row r="179" spans="1:13" s="375" customFormat="1" ht="15" thickBot="1">
      <c r="A179" s="2430" t="s">
        <v>6451</v>
      </c>
      <c r="C179" s="384" t="s">
        <v>8443</v>
      </c>
      <c r="D179" s="382" t="s">
        <v>4184</v>
      </c>
      <c r="E179" s="2853">
        <v>0.2</v>
      </c>
      <c r="F179" s="382" t="s">
        <v>4184</v>
      </c>
      <c r="G179" s="381" t="s">
        <v>4184</v>
      </c>
      <c r="H179" s="8"/>
      <c r="I179" s="8"/>
      <c r="J179" s="8"/>
      <c r="K179" s="8"/>
      <c r="M179" s="2430"/>
    </row>
    <row r="180" spans="1:13" s="375" customFormat="1" ht="26">
      <c r="A180" s="2430" t="s">
        <v>6452</v>
      </c>
      <c r="C180" s="384" t="s">
        <v>3702</v>
      </c>
      <c r="D180" s="382" t="s">
        <v>4184</v>
      </c>
      <c r="E180" s="178"/>
      <c r="F180" s="382" t="s">
        <v>4184</v>
      </c>
      <c r="G180" s="381" t="s">
        <v>4184</v>
      </c>
      <c r="H180" s="8"/>
      <c r="I180" s="2704" t="s">
        <v>3701</v>
      </c>
      <c r="J180" s="2704" t="s">
        <v>15224</v>
      </c>
      <c r="K180" s="8"/>
      <c r="M180" s="2430"/>
    </row>
    <row r="181" spans="1:13" s="375" customFormat="1" ht="15" thickBot="1">
      <c r="A181" s="2430" t="s">
        <v>6812</v>
      </c>
      <c r="C181" s="384" t="s">
        <v>3700</v>
      </c>
      <c r="D181" s="382" t="s">
        <v>4184</v>
      </c>
      <c r="E181" s="177">
        <f>IF(G4="Да",IF(E176&lt;&gt;0,(E176*E179+E180),(E177*E179+E180)),E176*E179+E180)</f>
        <v>0</v>
      </c>
      <c r="F181" s="382" t="s">
        <v>4184</v>
      </c>
      <c r="G181" s="381" t="s">
        <v>4184</v>
      </c>
      <c r="H181" s="8"/>
      <c r="I181" s="386" t="b">
        <f>ABS(ROUND(E183,0))=ABS(ROUND(ОФР!E23,0))</f>
        <v>1</v>
      </c>
      <c r="J181" s="386" t="b">
        <f>IF(AND(Содержание!D12="тыс. рублей",Содержание!D2&lt;&gt;"ROSATOM FINANCE",IFERROR(VLOOKUP(Содержание!D2,Список_компаний!A:J,10,0)&lt;&gt;"Да",TRUE)),E177=0,TRUE)</f>
        <v>1</v>
      </c>
      <c r="K181" s="8"/>
      <c r="M181" s="2430"/>
    </row>
    <row r="182" spans="1:13" s="375" customFormat="1" ht="25">
      <c r="A182" s="2430" t="s">
        <v>6453</v>
      </c>
      <c r="C182" s="384" t="s">
        <v>3699</v>
      </c>
      <c r="D182" s="382" t="s">
        <v>4184</v>
      </c>
      <c r="E182" s="383"/>
      <c r="F182" s="382" t="s">
        <v>4184</v>
      </c>
      <c r="G182" s="381" t="s">
        <v>4184</v>
      </c>
      <c r="H182" s="8"/>
      <c r="K182" s="8"/>
      <c r="M182" s="2430"/>
    </row>
    <row r="183" spans="1:13" s="375" customFormat="1" ht="14.5">
      <c r="A183" s="2430" t="s">
        <v>6813</v>
      </c>
      <c r="C183" s="385" t="s">
        <v>3698</v>
      </c>
      <c r="D183" s="382" t="s">
        <v>4184</v>
      </c>
      <c r="E183" s="177">
        <f>SUM(E181:E182)</f>
        <v>0</v>
      </c>
      <c r="F183" s="382" t="s">
        <v>4184</v>
      </c>
      <c r="G183" s="381" t="s">
        <v>4184</v>
      </c>
      <c r="H183" s="8"/>
      <c r="I183" s="8"/>
      <c r="J183" s="8"/>
      <c r="K183" s="8"/>
      <c r="M183" s="2430"/>
    </row>
    <row r="184" spans="1:13" s="375" customFormat="1" ht="25">
      <c r="A184" s="2430" t="s">
        <v>6454</v>
      </c>
      <c r="C184" s="384" t="s">
        <v>3697</v>
      </c>
      <c r="D184" s="382" t="s">
        <v>4184</v>
      </c>
      <c r="E184" s="383"/>
      <c r="F184" s="382" t="s">
        <v>4184</v>
      </c>
      <c r="G184" s="381" t="s">
        <v>4184</v>
      </c>
      <c r="H184" s="8"/>
      <c r="I184" s="8"/>
      <c r="J184" s="8"/>
      <c r="K184" s="8"/>
      <c r="M184" s="2430"/>
    </row>
    <row r="185" spans="1:13" s="375" customFormat="1" ht="15" thickBot="1">
      <c r="A185" s="2430" t="s">
        <v>6455</v>
      </c>
      <c r="C185" s="380" t="s">
        <v>3696</v>
      </c>
      <c r="D185" s="378" t="s">
        <v>4184</v>
      </c>
      <c r="E185" s="379"/>
      <c r="F185" s="378" t="s">
        <v>4184</v>
      </c>
      <c r="G185" s="377" t="s">
        <v>4184</v>
      </c>
      <c r="H185" s="8"/>
      <c r="I185" s="8"/>
      <c r="J185" s="8"/>
      <c r="K185" s="8"/>
      <c r="M185" s="2430"/>
    </row>
    <row r="186" spans="1:13">
      <c r="A186" s="2427"/>
      <c r="C186" s="375"/>
      <c r="D186" s="376"/>
      <c r="E186" s="376"/>
      <c r="F186" s="376"/>
      <c r="G186" s="375"/>
    </row>
  </sheetData>
  <sheetProtection algorithmName="SHA-512" hashValue="dPcjRj5pYnsB7JrRQzU4GKjJa8yYKtZ0tjWWgq0ARsuDhxltnK7Zx1siAG3WND51aeqhADHBmZ2ABKG14OptNg==" saltValue="FH9OlE3cINu9oGTolK1HMA==" spinCount="100000" sheet="1" objects="1" scenarios="1" formatColumns="0" formatRows="0" autoFilter="0"/>
  <autoFilter ref="C7:G185"/>
  <customSheetViews>
    <customSheetView guid="{3769259D-9653-4B34-A2F6-4FB6F9F4E533}" showGridLines="0" showAutoFilter="1" hiddenRows="1" hiddenColumns="1">
      <pane xSplit="4" ySplit="7" topLeftCell="E80" activePane="bottomRight" state="frozen"/>
      <selection pane="bottomRight" activeCell="C16" sqref="C16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pane xSplit="4" ySplit="7" topLeftCell="E80" activePane="bottomRight" state="frozen"/>
      <selection pane="bottomRight" activeCell="C16" sqref="C16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2">
      <pane xSplit="3" ySplit="6" topLeftCell="E8" activePane="bottomRight" state="frozen"/>
      <selection pane="bottomRight" activeCell="C8" sqref="C8:G8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2">
      <pane xSplit="3" ySplit="6" topLeftCell="E8" activePane="bottomRight" state="frozen"/>
      <selection pane="bottomRight" activeCell="C8" sqref="C8:G8"/>
      <pageMargins left="0.7" right="0.7" top="0.75" bottom="0.75" header="0.3" footer="0.3"/>
      <autoFilter ref="B1:F1"/>
    </customSheetView>
    <customSheetView guid="{4D957B38-5430-481E-B791-E0A66F913B50}" scale="70" topLeftCell="A61">
      <selection activeCell="D93" sqref="D93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6" topLeftCell="E8" activePane="bottomRight" state="frozen"/>
      <selection pane="bottomRight" activeCell="C8" sqref="C8:G8"/>
      <pageMargins left="0.7" right="0.7" top="0.75" bottom="0.75" header="0.3" footer="0.3"/>
      <autoFilter ref="B1:F1"/>
    </customSheetView>
  </customSheetViews>
  <mergeCells count="1">
    <mergeCell ref="J135:K138"/>
  </mergeCells>
  <phoneticPr fontId="0" type="noConversion"/>
  <dataValidations disablePrompts="1" count="1">
    <dataValidation operator="equal" allowBlank="1" showErrorMessage="1" sqref="IK65609">
      <formula1>0</formula1>
      <formula2>0</formula2>
    </dataValidation>
  </dataValidations>
  <hyperlinks>
    <hyperlink ref="D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17" fitToHeight="2" orientation="portrait" horizontalDpi="4294967294" verticalDpi="4294967294"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pageSetUpPr fitToPage="1"/>
  </sheetPr>
  <dimension ref="A1:AI18"/>
  <sheetViews>
    <sheetView topLeftCell="B2" zoomScale="73" zoomScaleNormal="73" zoomScalePageLayoutView="80" workbookViewId="0">
      <selection activeCell="F17" sqref="F17"/>
    </sheetView>
  </sheetViews>
  <sheetFormatPr defaultColWidth="9.453125" defaultRowHeight="14.5"/>
  <cols>
    <col min="1" max="1" width="33.453125" style="1163" hidden="1" customWidth="1"/>
    <col min="2" max="2" width="5.453125" style="1163" customWidth="1"/>
    <col min="3" max="4" width="14.453125" style="1163" customWidth="1"/>
    <col min="5" max="5" width="16.453125" style="1163" customWidth="1"/>
    <col min="6" max="6" width="15.54296875" style="1163" customWidth="1"/>
    <col min="7" max="7" width="12.453125" style="1163" customWidth="1"/>
    <col min="8" max="8" width="22.453125" style="1163" customWidth="1"/>
    <col min="9" max="9" width="15.54296875" style="1163" customWidth="1"/>
    <col min="10" max="10" width="16.54296875" style="1163" customWidth="1"/>
    <col min="11" max="18" width="11.54296875" style="1163" customWidth="1"/>
    <col min="19" max="26" width="11" style="1163" customWidth="1"/>
    <col min="27" max="30" width="9.453125" style="1163"/>
    <col min="31" max="32" width="18" style="1163" customWidth="1"/>
    <col min="33" max="33" width="15.453125" style="1163" customWidth="1"/>
    <col min="34" max="34" width="9.453125" style="1163" customWidth="1"/>
    <col min="35" max="35" width="16.54296875" style="1163" customWidth="1"/>
    <col min="36" max="16384" width="9.453125" style="1163"/>
  </cols>
  <sheetData>
    <row r="1" spans="1:35" ht="54" hidden="1" customHeight="1">
      <c r="A1" s="70" t="s">
        <v>5038</v>
      </c>
      <c r="B1" s="6"/>
      <c r="C1" s="6"/>
      <c r="D1" s="6"/>
      <c r="E1" s="6"/>
      <c r="F1" s="6"/>
      <c r="G1" s="6"/>
      <c r="H1" s="6"/>
      <c r="I1" s="6"/>
      <c r="J1" s="6"/>
      <c r="K1" s="6" t="s">
        <v>1129</v>
      </c>
      <c r="L1" s="6" t="s">
        <v>1130</v>
      </c>
      <c r="M1" s="6" t="s">
        <v>1131</v>
      </c>
      <c r="N1" s="6"/>
      <c r="O1" s="6" t="s">
        <v>1132</v>
      </c>
      <c r="P1" s="6" t="s">
        <v>1133</v>
      </c>
      <c r="Q1" s="6" t="s">
        <v>470</v>
      </c>
      <c r="R1" s="6"/>
      <c r="S1" s="6" t="s">
        <v>471</v>
      </c>
      <c r="T1" s="6" t="s">
        <v>472</v>
      </c>
      <c r="U1" s="6" t="s">
        <v>473</v>
      </c>
      <c r="V1" s="6" t="s">
        <v>474</v>
      </c>
      <c r="W1" s="6" t="s">
        <v>475</v>
      </c>
      <c r="X1" s="6" t="s">
        <v>476</v>
      </c>
      <c r="Y1" s="6"/>
      <c r="Z1" s="6"/>
      <c r="AA1" s="6" t="s">
        <v>477</v>
      </c>
      <c r="AB1" s="6" t="s">
        <v>478</v>
      </c>
      <c r="AC1" s="6" t="s">
        <v>479</v>
      </c>
      <c r="AD1" s="6"/>
      <c r="AE1" s="6"/>
      <c r="AF1" s="6"/>
    </row>
    <row r="2" spans="1:35" s="1778" customFormat="1">
      <c r="A2" s="7"/>
      <c r="B2" s="1919"/>
      <c r="C2" s="1919"/>
      <c r="D2" s="1919"/>
      <c r="F2" s="1919"/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1778" t="s">
        <v>1648</v>
      </c>
      <c r="U2" s="1778" t="s">
        <v>1648</v>
      </c>
      <c r="V2" s="1778" t="s">
        <v>1648</v>
      </c>
      <c r="W2" s="1778" t="s">
        <v>1648</v>
      </c>
      <c r="X2" s="1778" t="s">
        <v>1648</v>
      </c>
      <c r="Y2" s="1778" t="s">
        <v>1648</v>
      </c>
      <c r="Z2" s="1778" t="s">
        <v>1648</v>
      </c>
      <c r="AA2" s="1778" t="s">
        <v>1648</v>
      </c>
      <c r="AB2" s="1778" t="s">
        <v>1648</v>
      </c>
      <c r="AC2" s="1778" t="s">
        <v>1648</v>
      </c>
      <c r="AD2" s="1778" t="s">
        <v>1648</v>
      </c>
    </row>
    <row r="3" spans="1:35" ht="26">
      <c r="A3" s="9"/>
      <c r="E3"/>
      <c r="I3" s="1897" t="s">
        <v>2067</v>
      </c>
      <c r="J3" s="1244">
        <f>Содержание!$D$2</f>
        <v>0</v>
      </c>
    </row>
    <row r="4" spans="1:35" ht="26">
      <c r="A4" s="9"/>
      <c r="C4" s="105" t="s">
        <v>5037</v>
      </c>
      <c r="D4" s="24"/>
      <c r="E4" s="24"/>
      <c r="F4"/>
      <c r="G4" s="24"/>
      <c r="H4" s="3044" t="s">
        <v>1436</v>
      </c>
      <c r="I4" s="1897" t="s">
        <v>2075</v>
      </c>
      <c r="J4" s="1244" t="str">
        <f>Содержание!$D$15</f>
        <v>2022 год</v>
      </c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</row>
    <row r="5" spans="1:35" ht="15" thickBot="1">
      <c r="A5" s="9"/>
      <c r="C5" s="427" t="s">
        <v>3050</v>
      </c>
      <c r="D5" s="173"/>
      <c r="E5" s="173"/>
      <c r="F5" s="173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173"/>
      <c r="T5" s="173"/>
      <c r="U5" s="173"/>
      <c r="V5" s="173"/>
      <c r="W5" s="173"/>
      <c r="X5" s="173"/>
      <c r="Y5" s="173"/>
      <c r="Z5" s="173"/>
      <c r="AA5" s="24"/>
      <c r="AB5" s="24"/>
      <c r="AC5" s="24"/>
      <c r="AD5" s="24"/>
      <c r="AE5" s="24"/>
      <c r="AF5" s="24"/>
      <c r="AG5" s="24"/>
    </row>
    <row r="6" spans="1:35" ht="31.5" customHeight="1" thickBot="1">
      <c r="A6" s="9"/>
      <c r="C6" s="3876" t="s">
        <v>3049</v>
      </c>
      <c r="D6" s="3872" t="s">
        <v>3048</v>
      </c>
      <c r="E6" s="3872" t="s">
        <v>8581</v>
      </c>
      <c r="F6" s="3872" t="s">
        <v>3047</v>
      </c>
      <c r="G6" s="3872" t="s">
        <v>5073</v>
      </c>
      <c r="H6" s="3872" t="s">
        <v>3046</v>
      </c>
      <c r="I6" s="3872" t="s">
        <v>3045</v>
      </c>
      <c r="J6" s="3872" t="s">
        <v>5074</v>
      </c>
      <c r="K6" s="3948" t="s">
        <v>3044</v>
      </c>
      <c r="L6" s="3948"/>
      <c r="M6" s="3948"/>
      <c r="N6" s="3948"/>
      <c r="O6" s="3948" t="s">
        <v>4002</v>
      </c>
      <c r="P6" s="3948"/>
      <c r="Q6" s="3948"/>
      <c r="R6" s="3948"/>
      <c r="S6" s="3948" t="s">
        <v>4001</v>
      </c>
      <c r="T6" s="3948"/>
      <c r="U6" s="3948"/>
      <c r="V6" s="3948"/>
      <c r="W6" s="3948"/>
      <c r="X6" s="3948"/>
      <c r="Y6" s="3948"/>
      <c r="Z6" s="3948"/>
      <c r="AA6" s="3948" t="s">
        <v>4000</v>
      </c>
      <c r="AB6" s="3948"/>
      <c r="AC6" s="3948"/>
      <c r="AD6" s="3948"/>
      <c r="AE6" s="3948" t="s">
        <v>3999</v>
      </c>
      <c r="AF6" s="3872" t="s">
        <v>3998</v>
      </c>
      <c r="AG6" s="3868" t="s">
        <v>3401</v>
      </c>
      <c r="AI6" s="3406" t="s">
        <v>14240</v>
      </c>
    </row>
    <row r="7" spans="1:35" ht="15" thickBot="1">
      <c r="A7" s="9"/>
      <c r="C7" s="3876"/>
      <c r="D7" s="3872"/>
      <c r="E7" s="3872"/>
      <c r="F7" s="3872"/>
      <c r="G7" s="3872"/>
      <c r="H7" s="3872"/>
      <c r="I7" s="3872"/>
      <c r="J7" s="3872"/>
      <c r="K7" s="3872"/>
      <c r="L7" s="3948"/>
      <c r="M7" s="3948"/>
      <c r="N7" s="3948"/>
      <c r="O7" s="3948"/>
      <c r="P7" s="3948"/>
      <c r="Q7" s="3948"/>
      <c r="R7" s="3948"/>
      <c r="S7" s="3947" t="s">
        <v>3995</v>
      </c>
      <c r="T7" s="3947"/>
      <c r="U7" s="3947" t="s">
        <v>3665</v>
      </c>
      <c r="V7" s="3947"/>
      <c r="W7" s="3947" t="s">
        <v>3994</v>
      </c>
      <c r="X7" s="3947"/>
      <c r="Y7" s="3947" t="s">
        <v>4170</v>
      </c>
      <c r="Z7" s="3947"/>
      <c r="AA7" s="3948"/>
      <c r="AB7" s="3948"/>
      <c r="AC7" s="3948"/>
      <c r="AD7" s="3948"/>
      <c r="AE7" s="3948"/>
      <c r="AF7" s="3948"/>
      <c r="AG7" s="3868"/>
      <c r="AI7" s="3411" t="s">
        <v>14266</v>
      </c>
    </row>
    <row r="8" spans="1:35" ht="53.25" customHeight="1">
      <c r="A8" s="9"/>
      <c r="C8" s="3876"/>
      <c r="D8" s="3872"/>
      <c r="E8" s="3872"/>
      <c r="F8" s="3872"/>
      <c r="G8" s="3872"/>
      <c r="H8" s="3872"/>
      <c r="I8" s="3872"/>
      <c r="J8" s="3872"/>
      <c r="K8" s="422" t="s">
        <v>3995</v>
      </c>
      <c r="L8" s="422" t="s">
        <v>3665</v>
      </c>
      <c r="M8" s="422" t="s">
        <v>3994</v>
      </c>
      <c r="N8" s="422" t="s">
        <v>5244</v>
      </c>
      <c r="O8" s="422" t="s">
        <v>3995</v>
      </c>
      <c r="P8" s="422" t="s">
        <v>3665</v>
      </c>
      <c r="Q8" s="422" t="s">
        <v>3994</v>
      </c>
      <c r="R8" s="422" t="s">
        <v>5244</v>
      </c>
      <c r="S8" s="422" t="s">
        <v>3997</v>
      </c>
      <c r="T8" s="422" t="s">
        <v>3996</v>
      </c>
      <c r="U8" s="422" t="s">
        <v>3997</v>
      </c>
      <c r="V8" s="422" t="s">
        <v>3996</v>
      </c>
      <c r="W8" s="422" t="s">
        <v>3997</v>
      </c>
      <c r="X8" s="422" t="s">
        <v>3996</v>
      </c>
      <c r="Y8" s="422" t="s">
        <v>3997</v>
      </c>
      <c r="Z8" s="422" t="s">
        <v>3996</v>
      </c>
      <c r="AA8" s="422" t="s">
        <v>3995</v>
      </c>
      <c r="AB8" s="422" t="s">
        <v>3665</v>
      </c>
      <c r="AC8" s="422" t="s">
        <v>3994</v>
      </c>
      <c r="AD8" s="422" t="s">
        <v>5244</v>
      </c>
      <c r="AE8" s="3948"/>
      <c r="AF8" s="3948"/>
      <c r="AG8" s="3868"/>
      <c r="AI8" s="3010"/>
    </row>
    <row r="9" spans="1:35" s="762" customFormat="1" ht="15" customHeight="1">
      <c r="A9" s="748"/>
      <c r="C9" s="768" t="s">
        <v>253</v>
      </c>
      <c r="D9" s="768" t="s">
        <v>3389</v>
      </c>
      <c r="E9" s="768" t="s">
        <v>3389</v>
      </c>
      <c r="F9" s="768" t="s">
        <v>3389</v>
      </c>
      <c r="G9" s="768" t="s">
        <v>8474</v>
      </c>
      <c r="H9" s="768" t="s">
        <v>3389</v>
      </c>
      <c r="I9" s="768" t="s">
        <v>3389</v>
      </c>
      <c r="J9" s="746" t="s">
        <v>3993</v>
      </c>
      <c r="K9" s="746"/>
      <c r="L9" s="746"/>
      <c r="M9" s="746"/>
      <c r="N9" s="746"/>
      <c r="O9" s="746"/>
      <c r="P9" s="746"/>
      <c r="Q9" s="746"/>
      <c r="R9" s="746"/>
      <c r="S9" s="746"/>
      <c r="T9" s="746"/>
      <c r="U9" s="746"/>
      <c r="V9" s="746"/>
      <c r="W9" s="746"/>
      <c r="X9" s="746"/>
      <c r="Y9" s="746"/>
      <c r="Z9" s="746"/>
      <c r="AA9" s="746"/>
      <c r="AB9" s="746"/>
      <c r="AC9" s="746"/>
      <c r="AD9" s="746"/>
      <c r="AE9" s="746"/>
      <c r="AF9" s="746"/>
      <c r="AG9" s="747"/>
      <c r="AI9" s="3010"/>
    </row>
    <row r="10" spans="1:35" s="674" customFormat="1" ht="11.25" customHeight="1">
      <c r="A10" s="668"/>
      <c r="C10" s="1715" t="s">
        <v>4164</v>
      </c>
      <c r="D10" s="1716" t="s">
        <v>4165</v>
      </c>
      <c r="E10" s="1717" t="s">
        <v>4166</v>
      </c>
      <c r="F10" s="1716" t="s">
        <v>5500</v>
      </c>
      <c r="G10" s="1717" t="s">
        <v>4169</v>
      </c>
      <c r="H10" s="1643" t="s">
        <v>4168</v>
      </c>
      <c r="I10" s="1643" t="s">
        <v>4178</v>
      </c>
      <c r="J10" s="1717" t="s">
        <v>4179</v>
      </c>
      <c r="K10" s="1642" t="s">
        <v>4167</v>
      </c>
      <c r="L10" s="1642" t="s">
        <v>5501</v>
      </c>
      <c r="M10" s="1642" t="s">
        <v>4701</v>
      </c>
      <c r="N10" s="697" t="s">
        <v>4702</v>
      </c>
      <c r="O10" s="1642" t="s">
        <v>4703</v>
      </c>
      <c r="P10" s="1642" t="s">
        <v>5502</v>
      </c>
      <c r="Q10" s="1642" t="s">
        <v>5503</v>
      </c>
      <c r="R10" s="697" t="s">
        <v>5504</v>
      </c>
      <c r="S10" s="1642" t="s">
        <v>4853</v>
      </c>
      <c r="T10" s="1642" t="s">
        <v>4852</v>
      </c>
      <c r="U10" s="1642" t="s">
        <v>5505</v>
      </c>
      <c r="V10" s="1642" t="s">
        <v>4851</v>
      </c>
      <c r="W10" s="1642" t="s">
        <v>5506</v>
      </c>
      <c r="X10" s="1642" t="s">
        <v>4850</v>
      </c>
      <c r="Y10" s="697" t="s">
        <v>3303</v>
      </c>
      <c r="Z10" s="697" t="s">
        <v>3304</v>
      </c>
      <c r="AA10" s="1642" t="s">
        <v>3305</v>
      </c>
      <c r="AB10" s="1642" t="s">
        <v>3306</v>
      </c>
      <c r="AC10" s="1642" t="s">
        <v>3307</v>
      </c>
      <c r="AD10" s="697" t="s">
        <v>3308</v>
      </c>
      <c r="AE10" s="1718" t="s">
        <v>3309</v>
      </c>
      <c r="AF10" s="1641" t="s">
        <v>3310</v>
      </c>
      <c r="AG10" s="1644" t="s">
        <v>3311</v>
      </c>
      <c r="AI10" s="3010"/>
    </row>
    <row r="11" spans="1:35">
      <c r="A11" s="9"/>
      <c r="C11" s="473" t="s">
        <v>3389</v>
      </c>
      <c r="D11" s="461" t="s">
        <v>3389</v>
      </c>
      <c r="E11" s="461" t="s">
        <v>3389</v>
      </c>
      <c r="F11" s="461" t="s">
        <v>3389</v>
      </c>
      <c r="G11" s="461" t="s">
        <v>3389</v>
      </c>
      <c r="H11" s="461" t="s">
        <v>3389</v>
      </c>
      <c r="I11" s="461" t="s">
        <v>3389</v>
      </c>
      <c r="J11" s="461" t="s">
        <v>3389</v>
      </c>
      <c r="K11" s="462">
        <f>SUM(K12:K10003)</f>
        <v>0</v>
      </c>
      <c r="L11" s="462">
        <f t="shared" ref="L11:AD11" si="0">SUM(L12:L10003)</f>
        <v>0</v>
      </c>
      <c r="M11" s="462">
        <f t="shared" si="0"/>
        <v>0</v>
      </c>
      <c r="N11" s="462">
        <f t="shared" si="0"/>
        <v>0</v>
      </c>
      <c r="O11" s="462">
        <f t="shared" si="0"/>
        <v>0</v>
      </c>
      <c r="P11" s="462">
        <f t="shared" si="0"/>
        <v>0</v>
      </c>
      <c r="Q11" s="462">
        <f t="shared" si="0"/>
        <v>0</v>
      </c>
      <c r="R11" s="462">
        <f t="shared" si="0"/>
        <v>0</v>
      </c>
      <c r="S11" s="462">
        <f t="shared" si="0"/>
        <v>0</v>
      </c>
      <c r="T11" s="462">
        <f t="shared" si="0"/>
        <v>0</v>
      </c>
      <c r="U11" s="462">
        <f t="shared" si="0"/>
        <v>0</v>
      </c>
      <c r="V11" s="462">
        <f t="shared" si="0"/>
        <v>0</v>
      </c>
      <c r="W11" s="462">
        <f t="shared" si="0"/>
        <v>0</v>
      </c>
      <c r="X11" s="462">
        <f t="shared" si="0"/>
        <v>0</v>
      </c>
      <c r="Y11" s="462">
        <f t="shared" si="0"/>
        <v>0</v>
      </c>
      <c r="Z11" s="462">
        <f t="shared" si="0"/>
        <v>0</v>
      </c>
      <c r="AA11" s="462">
        <f t="shared" si="0"/>
        <v>0</v>
      </c>
      <c r="AB11" s="462">
        <f t="shared" si="0"/>
        <v>0</v>
      </c>
      <c r="AC11" s="462">
        <f t="shared" si="0"/>
        <v>0</v>
      </c>
      <c r="AD11" s="462">
        <f t="shared" si="0"/>
        <v>0</v>
      </c>
      <c r="AE11" s="461" t="s">
        <v>3389</v>
      </c>
      <c r="AF11" s="461" t="s">
        <v>3389</v>
      </c>
      <c r="AG11" s="463" t="s">
        <v>3389</v>
      </c>
      <c r="AI11" s="3010" t="b">
        <f ca="1">AND(AI12:AI3600)</f>
        <v>1</v>
      </c>
    </row>
    <row r="12" spans="1:35">
      <c r="A12" s="9" t="str">
        <f t="shared" ref="A12:A16" si="1">"R41="&amp;MID(C12,1,60)&amp;";R11="&amp;D12&amp;";R12="&amp;MID(E12,1,60)&amp;";R13="&amp;F12&amp;";R14="&amp;IFERROR(MID(G12,FIND("{",G12)+1,FIND("}",G12)-FIND("{",G12)-1),"")&amp;";R15="&amp;MID(H12,1,60)&amp;";R16="&amp;MID(I12,1,60)&amp;";R5="&amp;IFERROR(MID(J12,FIND("{",J12)+1,FIND("}",J12)-FIND("{",J12)-1),"")&amp;";R45="&amp;IFERROR(MID(AE12,FIND("{",AE12)+1,FIND("}",AE12)-FIND("{",AE12)-1),"")&amp;";R47="&amp;MID(AF12,1,60)&amp;";COM="&amp;AG12</f>
        <v>R41=;R11=;R12=;R13=;R14=;R15=;R16=;R5=;R45=;R47=;COM=</v>
      </c>
      <c r="C12" s="464"/>
      <c r="D12" s="476"/>
      <c r="E12" s="467"/>
      <c r="F12" s="476"/>
      <c r="G12" s="467"/>
      <c r="H12" s="465"/>
      <c r="I12" s="465"/>
      <c r="J12" s="467"/>
      <c r="K12" s="454"/>
      <c r="L12" s="454"/>
      <c r="M12" s="454"/>
      <c r="N12" s="466">
        <f t="shared" ref="N12:N17" si="2">SUM(K12:M12)</f>
        <v>0</v>
      </c>
      <c r="O12" s="454"/>
      <c r="P12" s="454"/>
      <c r="Q12" s="454"/>
      <c r="R12" s="466">
        <f t="shared" ref="R12:R17" si="3">SUM(O12:Q12)</f>
        <v>0</v>
      </c>
      <c r="S12" s="454"/>
      <c r="T12" s="454"/>
      <c r="U12" s="454"/>
      <c r="V12" s="454"/>
      <c r="W12" s="454"/>
      <c r="X12" s="454"/>
      <c r="Y12" s="466">
        <f t="shared" ref="Y12:Z14" si="4">S12+U12+W12</f>
        <v>0</v>
      </c>
      <c r="Z12" s="466">
        <f t="shared" si="4"/>
        <v>0</v>
      </c>
      <c r="AA12" s="454"/>
      <c r="AB12" s="454"/>
      <c r="AC12" s="454"/>
      <c r="AD12" s="466">
        <f t="shared" ref="AD12:AD17" si="5">SUM(AA12:AC12)</f>
        <v>0</v>
      </c>
      <c r="AE12" s="474"/>
      <c r="AF12" s="475"/>
      <c r="AG12" s="477"/>
      <c r="AI12" s="2130" t="b">
        <f ca="1">IF(ISBLANK(F12),TRUE,IF(CELL("формат",F12)="D1",AND(LEN(TEXT(F12,"ДД.мм.ГГГГ"))=10,NOT(ISERR(SEARCH("??.??.????",TEXT(F12,"ДД.мм.ГГГГ"))))),AND(NOT(ISERROR(DATEVALUE(F12))),LEN(F12)=10,NOT(ISERR(SEARCH("??.??.????",TEXT(F12,"ДД.мм.ГГГГ")))))))</f>
        <v>1</v>
      </c>
    </row>
    <row r="13" spans="1:35">
      <c r="A13" s="2427" t="str">
        <f>"R41="&amp;MID(C13,1,60)&amp;";R11="&amp;D13&amp;";R12="&amp;MID(E13,1,60)&amp;";R13="&amp;F13&amp;";R14="&amp;IFERROR(MID(G13,FIND("{",G13)+1,FIND("}",G13)-FIND("{",G13)-1),"")&amp;";R15="&amp;MID(H13,1,60)&amp;";R16="&amp;MID(I13,1,60)&amp;";R5="&amp;IFERROR(MID(J13,FIND("{",J13)+1,FIND("}",J13)-FIND("{",J13)-1),"")&amp;";R45="&amp;IFERROR(MID(AE13,FIND("{",AE13)+1,FIND("}",AE13)-FIND("{",AE13)-1),"")&amp;";R47="&amp;MID(AF13,1,60)&amp;";COM="&amp;AG13</f>
        <v>R41=;R11=;R12=;R13=;R14=;R15=;R16=;R5=;R45=;R47=;COM=</v>
      </c>
      <c r="C13" s="464"/>
      <c r="D13" s="476"/>
      <c r="E13" s="467"/>
      <c r="F13" s="476"/>
      <c r="G13" s="467"/>
      <c r="H13" s="465"/>
      <c r="I13" s="465"/>
      <c r="J13" s="467"/>
      <c r="K13" s="454"/>
      <c r="L13" s="454"/>
      <c r="M13" s="454"/>
      <c r="N13" s="466">
        <f t="shared" si="2"/>
        <v>0</v>
      </c>
      <c r="O13" s="454"/>
      <c r="P13" s="454"/>
      <c r="Q13" s="454"/>
      <c r="R13" s="466">
        <f t="shared" si="3"/>
        <v>0</v>
      </c>
      <c r="S13" s="454"/>
      <c r="T13" s="454"/>
      <c r="U13" s="454"/>
      <c r="V13" s="454"/>
      <c r="W13" s="454"/>
      <c r="X13" s="454"/>
      <c r="Y13" s="466">
        <f t="shared" si="4"/>
        <v>0</v>
      </c>
      <c r="Z13" s="466">
        <f t="shared" si="4"/>
        <v>0</v>
      </c>
      <c r="AA13" s="454"/>
      <c r="AB13" s="454"/>
      <c r="AC13" s="454"/>
      <c r="AD13" s="466">
        <f t="shared" si="5"/>
        <v>0</v>
      </c>
      <c r="AE13" s="474"/>
      <c r="AF13" s="475"/>
      <c r="AG13" s="477"/>
      <c r="AI13" s="2130" t="b">
        <f t="shared" ref="AI13:AI18" ca="1" si="6">IF(ISBLANK(F13),TRUE,IF(CELL("формат",F13)="D1",AND(LEN(TEXT(F13,"ДД.мм.ГГГГ"))=10,NOT(ISERR(SEARCH("??.??.????",TEXT(F13,"ДД.мм.ГГГГ"))))),AND(NOT(ISERROR(DATEVALUE(F13))),LEN(F13)=10,NOT(ISERR(SEARCH("??.??.????",TEXT(F13,"ДД.мм.ГГГГ")))))))</f>
        <v>1</v>
      </c>
    </row>
    <row r="14" spans="1:35">
      <c r="A14" s="2427" t="str">
        <f t="shared" si="1"/>
        <v>R41=;R11=;R12=;R13=;R14=;R15=;R16=;R5=;R45=;R47=;COM=</v>
      </c>
      <c r="C14" s="464"/>
      <c r="D14" s="476"/>
      <c r="E14" s="467"/>
      <c r="F14" s="476"/>
      <c r="G14" s="467"/>
      <c r="H14" s="465"/>
      <c r="I14" s="465"/>
      <c r="J14" s="467"/>
      <c r="K14" s="454"/>
      <c r="L14" s="454"/>
      <c r="M14" s="454"/>
      <c r="N14" s="466">
        <f t="shared" si="2"/>
        <v>0</v>
      </c>
      <c r="O14" s="454"/>
      <c r="P14" s="454"/>
      <c r="Q14" s="454"/>
      <c r="R14" s="466">
        <f t="shared" si="3"/>
        <v>0</v>
      </c>
      <c r="S14" s="454"/>
      <c r="T14" s="454"/>
      <c r="U14" s="454"/>
      <c r="V14" s="454"/>
      <c r="W14" s="454"/>
      <c r="X14" s="454"/>
      <c r="Y14" s="466">
        <f t="shared" si="4"/>
        <v>0</v>
      </c>
      <c r="Z14" s="466">
        <f t="shared" si="4"/>
        <v>0</v>
      </c>
      <c r="AA14" s="454"/>
      <c r="AB14" s="454"/>
      <c r="AC14" s="454"/>
      <c r="AD14" s="466">
        <f t="shared" si="5"/>
        <v>0</v>
      </c>
      <c r="AE14" s="474"/>
      <c r="AF14" s="475"/>
      <c r="AG14" s="477"/>
      <c r="AI14" s="2130" t="b">
        <f t="shared" ca="1" si="6"/>
        <v>1</v>
      </c>
    </row>
    <row r="15" spans="1:35">
      <c r="A15" s="2427" t="str">
        <f t="shared" si="1"/>
        <v>R41=;R11=;R12=;R13=;R14=;R15=;R16=;R5=;R45=;R47=;COM=</v>
      </c>
      <c r="C15" s="464"/>
      <c r="D15" s="476"/>
      <c r="E15" s="467"/>
      <c r="F15" s="476"/>
      <c r="G15" s="467"/>
      <c r="H15" s="465"/>
      <c r="I15" s="465"/>
      <c r="J15" s="467"/>
      <c r="K15" s="454"/>
      <c r="L15" s="454"/>
      <c r="M15" s="454"/>
      <c r="N15" s="466">
        <f t="shared" si="2"/>
        <v>0</v>
      </c>
      <c r="O15" s="454"/>
      <c r="P15" s="454"/>
      <c r="Q15" s="454"/>
      <c r="R15" s="466">
        <f t="shared" si="3"/>
        <v>0</v>
      </c>
      <c r="S15" s="454"/>
      <c r="T15" s="454"/>
      <c r="U15" s="454"/>
      <c r="V15" s="454"/>
      <c r="W15" s="454"/>
      <c r="X15" s="454"/>
      <c r="Y15" s="466">
        <f t="shared" ref="Y15:Z17" si="7">S15+U15+W15</f>
        <v>0</v>
      </c>
      <c r="Z15" s="466">
        <f t="shared" si="7"/>
        <v>0</v>
      </c>
      <c r="AA15" s="454"/>
      <c r="AB15" s="454"/>
      <c r="AC15" s="454"/>
      <c r="AD15" s="466">
        <f t="shared" si="5"/>
        <v>0</v>
      </c>
      <c r="AE15" s="474"/>
      <c r="AF15" s="475"/>
      <c r="AG15" s="477"/>
      <c r="AI15" s="2130" t="b">
        <f t="shared" ca="1" si="6"/>
        <v>1</v>
      </c>
    </row>
    <row r="16" spans="1:35" s="2830" customFormat="1">
      <c r="A16" s="2427" t="str">
        <f t="shared" si="1"/>
        <v>R41=;R11=;R12=;R13=;R14=;R15=;R16=;R5=;R45=;R47=;COM=</v>
      </c>
      <c r="C16" s="464"/>
      <c r="D16" s="476"/>
      <c r="E16" s="467"/>
      <c r="F16" s="476"/>
      <c r="G16" s="467"/>
      <c r="H16" s="465"/>
      <c r="I16" s="465"/>
      <c r="J16" s="467"/>
      <c r="K16" s="454"/>
      <c r="L16" s="454"/>
      <c r="M16" s="454"/>
      <c r="N16" s="466">
        <f t="shared" si="2"/>
        <v>0</v>
      </c>
      <c r="O16" s="454"/>
      <c r="P16" s="454"/>
      <c r="Q16" s="454"/>
      <c r="R16" s="466">
        <f t="shared" si="3"/>
        <v>0</v>
      </c>
      <c r="S16" s="454"/>
      <c r="T16" s="454"/>
      <c r="U16" s="454"/>
      <c r="V16" s="454"/>
      <c r="W16" s="454"/>
      <c r="X16" s="454"/>
      <c r="Y16" s="466">
        <f t="shared" si="7"/>
        <v>0</v>
      </c>
      <c r="Z16" s="466">
        <f t="shared" si="7"/>
        <v>0</v>
      </c>
      <c r="AA16" s="454"/>
      <c r="AB16" s="454"/>
      <c r="AC16" s="454"/>
      <c r="AD16" s="466">
        <f t="shared" si="5"/>
        <v>0</v>
      </c>
      <c r="AE16" s="474"/>
      <c r="AF16" s="475"/>
      <c r="AG16" s="477"/>
      <c r="AI16" s="2130" t="b">
        <f t="shared" ca="1" si="6"/>
        <v>1</v>
      </c>
    </row>
    <row r="17" spans="1:35" s="2830" customFormat="1">
      <c r="A17" s="2427" t="str">
        <f t="shared" ref="A17" si="8">"R41="&amp;MID(C17,1,60)&amp;";R11="&amp;D17&amp;";R12="&amp;MID(E17,1,60)&amp;";R13="&amp;F17&amp;";R14="&amp;IFERROR(MID(G17,FIND("{",G17)+1,FIND("}",G17)-FIND("{",G17)-1),"")&amp;";R15="&amp;MID(H17,1,60)&amp;";R16="&amp;MID(I17,1,60)&amp;";R5="&amp;IFERROR(MID(J17,FIND("{",J17)+1,FIND("}",J17)-FIND("{",J17)-1),"")&amp;";R45="&amp;IFERROR(MID(AE17,FIND("{",AE17)+1,FIND("}",AE17)-FIND("{",AE17)-1),"")&amp;";R47="&amp;MID(AF17,1,60)&amp;";COM="&amp;AG17</f>
        <v>R41=;R11=;R12=;R13=;R14=;R15=;R16=;R5=;R45=;R47=;COM=</v>
      </c>
      <c r="C17" s="464"/>
      <c r="D17" s="476"/>
      <c r="E17" s="467"/>
      <c r="F17" s="476"/>
      <c r="G17" s="467"/>
      <c r="H17" s="465"/>
      <c r="I17" s="465"/>
      <c r="J17" s="467"/>
      <c r="K17" s="454"/>
      <c r="L17" s="454"/>
      <c r="M17" s="454"/>
      <c r="N17" s="466">
        <f t="shared" si="2"/>
        <v>0</v>
      </c>
      <c r="O17" s="454"/>
      <c r="P17" s="454"/>
      <c r="Q17" s="454"/>
      <c r="R17" s="466">
        <f t="shared" si="3"/>
        <v>0</v>
      </c>
      <c r="S17" s="454"/>
      <c r="T17" s="454"/>
      <c r="U17" s="454"/>
      <c r="V17" s="454"/>
      <c r="W17" s="454"/>
      <c r="X17" s="454"/>
      <c r="Y17" s="466">
        <f t="shared" si="7"/>
        <v>0</v>
      </c>
      <c r="Z17" s="466">
        <f t="shared" si="7"/>
        <v>0</v>
      </c>
      <c r="AA17" s="454"/>
      <c r="AB17" s="454"/>
      <c r="AC17" s="454"/>
      <c r="AD17" s="466">
        <f t="shared" si="5"/>
        <v>0</v>
      </c>
      <c r="AE17" s="474"/>
      <c r="AF17" s="475"/>
      <c r="AG17" s="477"/>
      <c r="AI17" s="2130" t="b">
        <f t="shared" ca="1" si="6"/>
        <v>1</v>
      </c>
    </row>
    <row r="18" spans="1:35" s="2830" customFormat="1" ht="15" thickBot="1">
      <c r="A18" s="2427" t="str">
        <f t="shared" ref="A18" si="9">"R41="&amp;MID(C18,1,60)&amp;";R11="&amp;D18&amp;";R12="&amp;MID(E18,1,60)&amp;";R13="&amp;F18&amp;";R14="&amp;IFERROR(MID(G18,FIND("{",G18)+1,FIND("}",G18)-FIND("{",G18)-1),"")&amp;";R15="&amp;MID(H18,1,60)&amp;";R16="&amp;MID(I18,1,60)&amp;";R5="&amp;IFERROR(MID(J18,FIND("{",J18)+1,FIND("}",J18)-FIND("{",J18)-1),"")&amp;";R45="&amp;IFERROR(MID(AE18,FIND("{",AE18)+1,FIND("}",AE18)-FIND("{",AE18)-1),"")&amp;";R47="&amp;MID(AF18,1,60)&amp;";COM="&amp;AG18</f>
        <v>R41=;R11=;R12=;R13=;R14=;R15=;R16=;R5=;R45=;R47=;COM=</v>
      </c>
      <c r="C18" s="1028"/>
      <c r="D18" s="1029"/>
      <c r="E18" s="1030"/>
      <c r="F18" s="1029"/>
      <c r="G18" s="1030"/>
      <c r="H18" s="1031"/>
      <c r="I18" s="1031"/>
      <c r="J18" s="1030"/>
      <c r="K18" s="548"/>
      <c r="L18" s="548"/>
      <c r="M18" s="548"/>
      <c r="N18" s="1032">
        <f t="shared" ref="N18" si="10">SUM(K18:M18)</f>
        <v>0</v>
      </c>
      <c r="O18" s="548"/>
      <c r="P18" s="548"/>
      <c r="Q18" s="548"/>
      <c r="R18" s="1032">
        <f t="shared" ref="R18" si="11">SUM(O18:Q18)</f>
        <v>0</v>
      </c>
      <c r="S18" s="548"/>
      <c r="T18" s="548"/>
      <c r="U18" s="548"/>
      <c r="V18" s="548"/>
      <c r="W18" s="548"/>
      <c r="X18" s="548"/>
      <c r="Y18" s="1032">
        <f t="shared" ref="Y18" si="12">S18+U18+W18</f>
        <v>0</v>
      </c>
      <c r="Z18" s="1032">
        <f t="shared" ref="Z18" si="13">T18+V18+X18</f>
        <v>0</v>
      </c>
      <c r="AA18" s="548"/>
      <c r="AB18" s="548"/>
      <c r="AC18" s="548"/>
      <c r="AD18" s="1032">
        <f t="shared" ref="AD18" si="14">SUM(AA18:AC18)</f>
        <v>0</v>
      </c>
      <c r="AE18" s="1033"/>
      <c r="AF18" s="1034"/>
      <c r="AG18" s="1035"/>
      <c r="AI18" s="2130" t="b">
        <f t="shared" ca="1" si="6"/>
        <v>1</v>
      </c>
    </row>
  </sheetData>
  <sheetProtection algorithmName="SHA-512" hashValue="8tPCWe/fyNmQy+lCIMwA6jU8CWeCN1rUd8r1BcEBWgcy++1jybeLWBRHcHifKBdNBT5L74nvYlFvCsKscRxQbA==" saltValue="xedL1rKIpDLEZM6JMdZRVw==" spinCount="100000" sheet="1" objects="1" scenarios="1" formatColumns="0" formatRows="0" autoFilter="0"/>
  <autoFilter ref="H10:AI10"/>
  <customSheetViews>
    <customSheetView guid="{3769259D-9653-4B34-A2F6-4FB6F9F4E533}" showGridLines="0" showAutoFilter="1" hiddenRows="1" hiddenColumns="1">
      <pane xSplit="6" ySplit="10" topLeftCell="V11" activePane="bottomRight" state="frozen"/>
      <selection pane="bottomRight" activeCell="C16" sqref="C16"/>
      <pageMargins left="0.7" right="0.7" top="0.75" bottom="0.75" header="0.3" footer="0.3"/>
      <autoFilter ref="B1:AF1"/>
    </customSheetView>
    <customSheetView guid="{40D7A2BB-326C-4ED3-999C-17852F56D6F4}" showGridLines="0" showAutoFilter="1" hiddenRows="1" hiddenColumns="1">
      <pane xSplit="6" ySplit="10" topLeftCell="V11" activePane="bottomRight" state="frozen"/>
      <selection pane="bottomRight" activeCell="C16" sqref="C16"/>
      <pageMargins left="0.7" right="0.7" top="0.75" bottom="0.75" header="0.3" footer="0.3"/>
      <autoFilter ref="B1:AF1"/>
    </customSheetView>
    <customSheetView guid="{5D121940-0CE8-4A0E-A493-67FAAA6E0FF8}" showGridLines="0" showAutoFilter="1" hiddenRows="1" hiddenColumns="1" topLeftCell="B2">
      <pane xSplit="5" ySplit="9" topLeftCell="Y11" activePane="bottomRight" state="frozen"/>
      <selection pane="bottomRight" activeCell="C10" sqref="C10:AG10"/>
      <pageMargins left="0.7" right="0.7" top="0.75" bottom="0.75" header="0.3" footer="0.3"/>
      <autoFilter ref="B1:AF1"/>
    </customSheetView>
    <customSheetView guid="{47AEACC4-6EA5-412C-AF39-A6C5357B313A}" showGridLines="0" showAutoFilter="1" hiddenRows="1" hiddenColumns="1" topLeftCell="B2">
      <pane xSplit="5" ySplit="9" topLeftCell="Y11" activePane="bottomRight" state="frozen"/>
      <selection pane="bottomRight" activeCell="C10" sqref="C10:AG10"/>
      <pageMargins left="0.7" right="0.7" top="0.75" bottom="0.75" header="0.3" footer="0.3"/>
      <autoFilter ref="B1:AF1"/>
    </customSheetView>
    <customSheetView guid="{4D957B38-5430-481E-B791-E0A66F913B50}" scale="70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5" ySplit="9" topLeftCell="Y11" activePane="bottomRight" state="frozen"/>
      <selection pane="bottomRight" activeCell="C10" sqref="C10:AG10"/>
      <pageMargins left="0.7" right="0.7" top="0.75" bottom="0.75" header="0.3" footer="0.3"/>
      <autoFilter ref="B1:AF1"/>
    </customSheetView>
  </customSheetViews>
  <mergeCells count="19">
    <mergeCell ref="G6:G8"/>
    <mergeCell ref="K6:N7"/>
    <mergeCell ref="C6:C8"/>
    <mergeCell ref="D6:D8"/>
    <mergeCell ref="E6:E8"/>
    <mergeCell ref="F6:F8"/>
    <mergeCell ref="O6:R7"/>
    <mergeCell ref="S6:Z6"/>
    <mergeCell ref="H6:H8"/>
    <mergeCell ref="AF6:AF8"/>
    <mergeCell ref="I6:I8"/>
    <mergeCell ref="J6:J8"/>
    <mergeCell ref="AG6:AG8"/>
    <mergeCell ref="S7:T7"/>
    <mergeCell ref="U7:V7"/>
    <mergeCell ref="W7:X7"/>
    <mergeCell ref="Y7:Z7"/>
    <mergeCell ref="AA6:AD7"/>
    <mergeCell ref="AE6:AE8"/>
  </mergeCells>
  <phoneticPr fontId="0" type="noConversion"/>
  <dataValidations count="5">
    <dataValidation type="list" operator="equal" allowBlank="1" showErrorMessage="1" errorTitle="Выбор элемента списка" error="Данного элемента нет в списке" sqref="G12:G18">
      <formula1>_tc</formula1>
    </dataValidation>
    <dataValidation type="list" operator="equal" allowBlank="1" showErrorMessage="1" errorTitle="Выбор элемента списка" error="Данного элемента нет в списке" sqref="J12:J18">
      <formula1>_2720</formula1>
    </dataValidation>
    <dataValidation operator="equal" allowBlank="1" showInputMessage="1" prompt="ДД.ММ.ГГГГ - ДД.ММ.ГГГГ (01.01.2010 - 31.01.2010)" sqref="H12:I18">
      <formula1>0</formula1>
      <formula2>0</formula2>
    </dataValidation>
    <dataValidation operator="equal" allowBlank="1" showInputMessage="1" prompt="Дата в формате ДД.ММ.ГГГГ (01.01.2010)" sqref="D12:D18 F12:F18">
      <formula1>0</formula1>
      <formula2>0</formula2>
    </dataValidation>
    <dataValidation type="list" allowBlank="1" showInputMessage="1" showErrorMessage="1" sqref="AE12:AE18">
      <formula1>_оценка_вер_</formula1>
    </dataValidation>
  </dataValidations>
  <hyperlinks>
    <hyperlink ref="H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1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AddButtonsRowAdd">
                <anchor moveWithCells="1">
                  <from>
                    <xdr:col>6</xdr:col>
                    <xdr:colOff>831850</xdr:colOff>
                    <xdr:row>1</xdr:row>
                    <xdr:rowOff>184150</xdr:rowOff>
                  </from>
                  <to>
                    <xdr:col>7</xdr:col>
                    <xdr:colOff>1409700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W23"/>
  <sheetViews>
    <sheetView topLeftCell="G5" zoomScale="60" zoomScaleNormal="60" workbookViewId="0">
      <selection activeCell="T10" sqref="T10"/>
    </sheetView>
  </sheetViews>
  <sheetFormatPr defaultColWidth="9.453125" defaultRowHeight="14.5"/>
  <cols>
    <col min="1" max="1" width="23.81640625" style="1163" hidden="1" customWidth="1"/>
    <col min="2" max="2" width="2.453125" style="1163" customWidth="1"/>
    <col min="3" max="3" width="65.453125" style="1564" customWidth="1"/>
    <col min="4" max="4" width="14" style="1163" customWidth="1"/>
    <col min="5" max="5" width="15.453125" style="1163" customWidth="1"/>
    <col min="6" max="6" width="19.453125" style="1163" customWidth="1"/>
    <col min="7" max="17" width="14" style="1163" customWidth="1"/>
    <col min="18" max="18" width="9.453125" style="1163"/>
    <col min="19" max="19" width="19.1796875" style="2830" customWidth="1"/>
    <col min="20" max="20" width="19.453125" style="2830" customWidth="1"/>
    <col min="21" max="21" width="20.1796875" style="1163" customWidth="1"/>
    <col min="22" max="22" width="23.1796875" style="1163" customWidth="1"/>
    <col min="23" max="23" width="14.81640625" style="1163" bestFit="1" customWidth="1"/>
    <col min="24" max="16384" width="9.453125" style="1163"/>
  </cols>
  <sheetData>
    <row r="1" spans="1:23" ht="15.75" hidden="1" customHeight="1">
      <c r="A1" s="1561" t="s">
        <v>5036</v>
      </c>
      <c r="B1" s="6"/>
      <c r="C1" s="267"/>
      <c r="D1" s="6" t="s">
        <v>238</v>
      </c>
      <c r="E1" s="6" t="s">
        <v>239</v>
      </c>
      <c r="F1" s="6" t="s">
        <v>240</v>
      </c>
      <c r="G1" s="6" t="s">
        <v>241</v>
      </c>
      <c r="H1" s="6" t="s">
        <v>242</v>
      </c>
      <c r="I1" s="6" t="s">
        <v>243</v>
      </c>
      <c r="J1" s="6" t="s">
        <v>244</v>
      </c>
      <c r="K1" s="6" t="s">
        <v>245</v>
      </c>
      <c r="L1" s="6" t="s">
        <v>246</v>
      </c>
      <c r="M1" s="6" t="s">
        <v>247</v>
      </c>
      <c r="N1" s="6" t="s">
        <v>248</v>
      </c>
      <c r="O1" s="6" t="s">
        <v>249</v>
      </c>
      <c r="P1" s="6" t="s">
        <v>5082</v>
      </c>
      <c r="Q1" s="6"/>
    </row>
    <row r="2" spans="1:23" s="1778" customFormat="1">
      <c r="A2" s="741"/>
      <c r="B2" s="1919"/>
      <c r="C2" s="1941"/>
      <c r="D2" s="1778" t="s">
        <v>480</v>
      </c>
      <c r="E2" s="1778" t="s">
        <v>480</v>
      </c>
      <c r="F2" s="1778" t="s">
        <v>480</v>
      </c>
      <c r="G2" s="1778" t="s">
        <v>480</v>
      </c>
      <c r="H2" s="1778" t="s">
        <v>480</v>
      </c>
      <c r="I2" s="1778" t="s">
        <v>480</v>
      </c>
      <c r="J2" s="1778" t="s">
        <v>480</v>
      </c>
      <c r="K2" s="1778" t="s">
        <v>480</v>
      </c>
      <c r="L2" s="1778" t="s">
        <v>480</v>
      </c>
      <c r="M2" s="1778" t="s">
        <v>480</v>
      </c>
      <c r="N2" s="1778" t="s">
        <v>480</v>
      </c>
      <c r="O2" s="1778" t="s">
        <v>480</v>
      </c>
      <c r="P2" s="1778" t="s">
        <v>480</v>
      </c>
    </row>
    <row r="3" spans="1:23">
      <c r="A3" s="9"/>
      <c r="D3"/>
    </row>
    <row r="4" spans="1:23" ht="26">
      <c r="A4" s="9"/>
      <c r="C4" s="486" t="s">
        <v>5035</v>
      </c>
      <c r="D4" s="24"/>
      <c r="E4" s="1897" t="s">
        <v>2067</v>
      </c>
      <c r="F4" s="1244">
        <f>Содержание!$D$2</f>
        <v>0</v>
      </c>
      <c r="G4" s="24"/>
      <c r="H4" s="24"/>
      <c r="I4" s="24"/>
      <c r="J4" s="24"/>
      <c r="K4" s="24"/>
      <c r="L4" s="430"/>
      <c r="M4" s="430"/>
      <c r="N4" s="430"/>
      <c r="O4" s="430"/>
      <c r="P4" s="430"/>
      <c r="Q4" s="196"/>
      <c r="T4" s="2830">
        <v>3</v>
      </c>
    </row>
    <row r="5" spans="1:23" ht="26.5" thickBot="1">
      <c r="A5" s="9"/>
      <c r="C5"/>
      <c r="D5" s="3044" t="s">
        <v>1436</v>
      </c>
      <c r="E5" s="1897" t="s">
        <v>2075</v>
      </c>
      <c r="F5" s="1244" t="str">
        <f>Содержание!$D$15</f>
        <v>2022 год</v>
      </c>
      <c r="G5" s="24"/>
      <c r="H5" s="24"/>
      <c r="I5" s="24"/>
      <c r="J5" s="24"/>
      <c r="K5" s="24"/>
      <c r="L5" s="430"/>
      <c r="M5" s="430"/>
      <c r="N5" s="430"/>
      <c r="O5" s="430"/>
      <c r="P5" s="430"/>
      <c r="Q5" s="24"/>
    </row>
    <row r="6" spans="1:23" ht="46.5" customHeight="1">
      <c r="A6" s="9"/>
      <c r="C6" s="426" t="s">
        <v>3065</v>
      </c>
      <c r="D6" s="478" t="s">
        <v>3064</v>
      </c>
      <c r="E6" s="478" t="s">
        <v>3063</v>
      </c>
      <c r="F6" s="478" t="s">
        <v>3062</v>
      </c>
      <c r="G6" s="478" t="s">
        <v>3061</v>
      </c>
      <c r="H6" s="478" t="s">
        <v>3060</v>
      </c>
      <c r="I6" s="478" t="s">
        <v>3059</v>
      </c>
      <c r="J6" s="478" t="s">
        <v>3058</v>
      </c>
      <c r="K6" s="478" t="s">
        <v>3057</v>
      </c>
      <c r="L6" s="478" t="s">
        <v>3056</v>
      </c>
      <c r="M6" s="478" t="s">
        <v>3055</v>
      </c>
      <c r="N6" s="478" t="s">
        <v>3054</v>
      </c>
      <c r="O6" s="478" t="s">
        <v>3053</v>
      </c>
      <c r="P6" s="478" t="s">
        <v>3052</v>
      </c>
      <c r="Q6" s="425" t="s">
        <v>3401</v>
      </c>
      <c r="S6" s="3288" t="s">
        <v>14283</v>
      </c>
      <c r="T6" s="3288" t="s">
        <v>10102</v>
      </c>
      <c r="U6" s="3328" t="s">
        <v>10247</v>
      </c>
      <c r="V6" s="3329" t="s">
        <v>10248</v>
      </c>
      <c r="W6" s="3330" t="s">
        <v>10249</v>
      </c>
    </row>
    <row r="7" spans="1:23" s="762" customFormat="1">
      <c r="A7" s="748"/>
      <c r="C7" s="421" t="s">
        <v>6783</v>
      </c>
      <c r="D7" s="769" t="s">
        <v>3389</v>
      </c>
      <c r="E7" s="769" t="s">
        <v>3389</v>
      </c>
      <c r="F7" s="769" t="s">
        <v>3389</v>
      </c>
      <c r="G7" s="769" t="s">
        <v>3389</v>
      </c>
      <c r="H7" s="769" t="s">
        <v>3389</v>
      </c>
      <c r="I7" s="769" t="s">
        <v>3389</v>
      </c>
      <c r="J7" s="769" t="s">
        <v>3389</v>
      </c>
      <c r="K7" s="769" t="s">
        <v>3389</v>
      </c>
      <c r="L7" s="769" t="s">
        <v>3389</v>
      </c>
      <c r="M7" s="769" t="s">
        <v>3389</v>
      </c>
      <c r="N7" s="769" t="s">
        <v>3389</v>
      </c>
      <c r="O7" s="769" t="s">
        <v>3389</v>
      </c>
      <c r="P7" s="769" t="s">
        <v>3389</v>
      </c>
      <c r="Q7" s="770"/>
      <c r="S7" s="1778"/>
      <c r="T7" s="1778"/>
      <c r="U7" s="3331" t="s">
        <v>14496</v>
      </c>
      <c r="V7" s="3331">
        <f>G10</f>
        <v>0</v>
      </c>
      <c r="W7" s="3331">
        <f>G11</f>
        <v>0</v>
      </c>
    </row>
    <row r="8" spans="1:23" s="705" customFormat="1" ht="12.5">
      <c r="A8" s="715"/>
      <c r="C8" s="716" t="s">
        <v>4164</v>
      </c>
      <c r="D8" s="697" t="s">
        <v>4165</v>
      </c>
      <c r="E8" s="697" t="s">
        <v>4166</v>
      </c>
      <c r="F8" s="697" t="s">
        <v>5500</v>
      </c>
      <c r="G8" s="697" t="s">
        <v>4169</v>
      </c>
      <c r="H8" s="697" t="s">
        <v>4168</v>
      </c>
      <c r="I8" s="697" t="s">
        <v>4178</v>
      </c>
      <c r="J8" s="697" t="s">
        <v>4179</v>
      </c>
      <c r="K8" s="697" t="s">
        <v>4167</v>
      </c>
      <c r="L8" s="697" t="s">
        <v>5501</v>
      </c>
      <c r="M8" s="697" t="s">
        <v>4701</v>
      </c>
      <c r="N8" s="697" t="s">
        <v>4702</v>
      </c>
      <c r="O8" s="697" t="s">
        <v>4703</v>
      </c>
      <c r="P8" s="697" t="s">
        <v>5502</v>
      </c>
      <c r="Q8" s="1644" t="s">
        <v>5503</v>
      </c>
      <c r="T8" s="2196" t="b">
        <f>AND(T9:T11)</f>
        <v>1</v>
      </c>
      <c r="U8" s="3331" t="s">
        <v>14497</v>
      </c>
      <c r="V8" s="3331">
        <f>J10</f>
        <v>0</v>
      </c>
      <c r="W8" s="3331">
        <f>J11</f>
        <v>0</v>
      </c>
    </row>
    <row r="9" spans="1:23" s="1719" customFormat="1">
      <c r="A9" s="429"/>
      <c r="C9" s="516" t="s">
        <v>4170</v>
      </c>
      <c r="D9" s="481">
        <f>D11+D10</f>
        <v>0</v>
      </c>
      <c r="E9" s="481">
        <f t="shared" ref="E9:P9" si="0">E11+E10</f>
        <v>0</v>
      </c>
      <c r="F9" s="481">
        <f t="shared" si="0"/>
        <v>0</v>
      </c>
      <c r="G9" s="481">
        <f t="shared" si="0"/>
        <v>0</v>
      </c>
      <c r="H9" s="481">
        <f t="shared" si="0"/>
        <v>0</v>
      </c>
      <c r="I9" s="481">
        <f t="shared" si="0"/>
        <v>0</v>
      </c>
      <c r="J9" s="481">
        <f t="shared" si="0"/>
        <v>0</v>
      </c>
      <c r="K9" s="481">
        <f t="shared" si="0"/>
        <v>0</v>
      </c>
      <c r="L9" s="481">
        <f t="shared" si="0"/>
        <v>0</v>
      </c>
      <c r="M9" s="481">
        <f t="shared" si="0"/>
        <v>0</v>
      </c>
      <c r="N9" s="481">
        <f t="shared" si="0"/>
        <v>0</v>
      </c>
      <c r="O9" s="481">
        <f t="shared" si="0"/>
        <v>0</v>
      </c>
      <c r="P9" s="481">
        <f t="shared" si="0"/>
        <v>0</v>
      </c>
      <c r="Q9" s="1036"/>
      <c r="U9" s="3331" t="s">
        <v>14498</v>
      </c>
      <c r="V9" s="3331">
        <f>M10</f>
        <v>0</v>
      </c>
      <c r="W9" s="3331">
        <f>M11</f>
        <v>0</v>
      </c>
    </row>
    <row r="10" spans="1:23" ht="15" thickBot="1">
      <c r="A10" s="9" t="str">
        <f>"R28=03;COM="&amp;Q10</f>
        <v>R28=03;COM=</v>
      </c>
      <c r="C10" s="517" t="s">
        <v>3051</v>
      </c>
      <c r="D10" s="479"/>
      <c r="E10" s="479"/>
      <c r="F10" s="479"/>
      <c r="G10" s="479"/>
      <c r="H10" s="479"/>
      <c r="I10" s="479"/>
      <c r="J10" s="479"/>
      <c r="K10" s="479"/>
      <c r="L10" s="479"/>
      <c r="M10" s="479"/>
      <c r="N10" s="479"/>
      <c r="O10" s="479"/>
      <c r="P10" s="479"/>
      <c r="Q10" s="480"/>
      <c r="S10" s="2830">
        <f>Баланс!$F$16-SUMIF('60_02'!C:C,"{251015} Расчеты с поставщиками по инвестиционной недвижимости",'60_02'!F:F)-SUMIF('08'!C:C,"{0080_~} Создание и приобретение инвестиционной недвижимости",'08'!D:D)-'10_расш'!J10-SUMIF(ОСВ_авт!$N:$N,Баланс!D16,ОСВ_авт!$E:$E)-'60_02'!F14-SUMIF('02'!$D:$D,"{7*",'02'!$H:$H)+SUMIF('02'!$D:$D,"{8*",'02'!$H:$H)-SUMIF('03'!$D:$D,"{3*",'03'!$H:$H)</f>
        <v>0</v>
      </c>
      <c r="T10" s="2830" t="b">
        <f>VLOOKUP($F$5,$U$6:$W$10,2,0)=Баланс!$E$16-SUMIF('60_02'!C:C,"{251015} Расчеты с поставщиками по инвестиционной недвижимости",'60_02'!L:L)-SUMIF('08'!C:C,"{0080_~} Создание и приобретение инвестиционной недвижимости",'08'!X:X)-'10_расш'!S10-'60_02'!L14-SUMIF(ОСВ_авт!$N:$N,Баланс!D16,ОСВ_авт!$F:$F)-SUMIF('02'!$D:$D,"{7*",'02'!$S:$S)+SUMIF('02'!$D:$D,"{8*",'02'!$S:$S)-SUMIF('03'!$D:$D,"{3*",'03'!$U:$U)</f>
        <v>1</v>
      </c>
      <c r="U10" s="3332" t="s">
        <v>14349</v>
      </c>
      <c r="V10" s="3332">
        <f>P10</f>
        <v>0</v>
      </c>
      <c r="W10" s="3332">
        <f>P11</f>
        <v>0</v>
      </c>
    </row>
    <row r="11" spans="1:23">
      <c r="A11" s="2427" t="str">
        <f>"R28=01;COM="&amp;Q11</f>
        <v>R28=01;COM=</v>
      </c>
      <c r="C11" s="517" t="s">
        <v>8864</v>
      </c>
      <c r="D11" s="479"/>
      <c r="E11" s="479"/>
      <c r="F11" s="479"/>
      <c r="G11" s="479"/>
      <c r="H11" s="479"/>
      <c r="I11" s="479"/>
      <c r="J11" s="479"/>
      <c r="K11" s="479"/>
      <c r="L11" s="479"/>
      <c r="M11" s="479"/>
      <c r="N11" s="479"/>
      <c r="O11" s="479"/>
      <c r="P11" s="479"/>
      <c r="Q11" s="480"/>
      <c r="S11" s="2830">
        <f>Баланс!$F$12-SUMIF('10'!_xlnm.Print_Titles,"*1600*",'10'!$D:$D)</f>
        <v>0</v>
      </c>
      <c r="T11" s="2830" t="b">
        <f>VLOOKUP($F$5,$U$6:$W$10,3,0)=Баланс!$E$12-SUMIF('10'!_xlnm.Print_Titles,"*1600*",'10'!$W:$W)</f>
        <v>1</v>
      </c>
    </row>
    <row r="12" spans="1:23">
      <c r="A12" s="9" t="str">
        <f>"R27=11;R28=01;COM="</f>
        <v>R27=11;R28=01;COM=</v>
      </c>
      <c r="C12" s="518" t="s">
        <v>8782</v>
      </c>
      <c r="D12" s="482">
        <f>D10+D11-D13-D19-D23</f>
        <v>0</v>
      </c>
      <c r="E12" s="482">
        <f t="shared" ref="E12:O12" si="1">E10+E11-E13-E19-E23</f>
        <v>0</v>
      </c>
      <c r="F12" s="482">
        <f t="shared" si="1"/>
        <v>0</v>
      </c>
      <c r="G12" s="482">
        <f t="shared" si="1"/>
        <v>0</v>
      </c>
      <c r="H12" s="482">
        <f t="shared" si="1"/>
        <v>0</v>
      </c>
      <c r="I12" s="482">
        <f t="shared" si="1"/>
        <v>0</v>
      </c>
      <c r="J12" s="482">
        <f t="shared" si="1"/>
        <v>0</v>
      </c>
      <c r="K12" s="482">
        <f t="shared" si="1"/>
        <v>0</v>
      </c>
      <c r="L12" s="482">
        <f t="shared" si="1"/>
        <v>0</v>
      </c>
      <c r="M12" s="482">
        <f t="shared" si="1"/>
        <v>0</v>
      </c>
      <c r="N12" s="482">
        <f t="shared" si="1"/>
        <v>0</v>
      </c>
      <c r="O12" s="482">
        <f t="shared" si="1"/>
        <v>0</v>
      </c>
      <c r="P12" s="482">
        <f>P10+P11-P13-P19-P23</f>
        <v>0</v>
      </c>
      <c r="Q12" s="480"/>
      <c r="W12" s="2830"/>
    </row>
    <row r="13" spans="1:23">
      <c r="A13" s="9"/>
      <c r="C13" s="517" t="s">
        <v>8791</v>
      </c>
      <c r="D13" s="482">
        <f t="shared" ref="D13:P13" si="2">SUM(D14:D18)</f>
        <v>0</v>
      </c>
      <c r="E13" s="482">
        <f t="shared" si="2"/>
        <v>0</v>
      </c>
      <c r="F13" s="482">
        <f t="shared" si="2"/>
        <v>0</v>
      </c>
      <c r="G13" s="482">
        <f t="shared" si="2"/>
        <v>0</v>
      </c>
      <c r="H13" s="482">
        <f t="shared" si="2"/>
        <v>0</v>
      </c>
      <c r="I13" s="482">
        <f t="shared" si="2"/>
        <v>0</v>
      </c>
      <c r="J13" s="482">
        <f t="shared" si="2"/>
        <v>0</v>
      </c>
      <c r="K13" s="482">
        <f t="shared" si="2"/>
        <v>0</v>
      </c>
      <c r="L13" s="482">
        <f t="shared" si="2"/>
        <v>0</v>
      </c>
      <c r="M13" s="482">
        <f t="shared" si="2"/>
        <v>0</v>
      </c>
      <c r="N13" s="482">
        <f t="shared" si="2"/>
        <v>0</v>
      </c>
      <c r="O13" s="482">
        <f t="shared" si="2"/>
        <v>0</v>
      </c>
      <c r="P13" s="482">
        <f t="shared" si="2"/>
        <v>0</v>
      </c>
      <c r="Q13" s="480"/>
    </row>
    <row r="14" spans="1:23" ht="37.5">
      <c r="A14" s="9" t="str">
        <f>"R27=21;R28=01;COM="&amp;Q14</f>
        <v>R27=21;R28=01;COM=</v>
      </c>
      <c r="C14" s="518" t="s">
        <v>2979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80"/>
      <c r="S14" s="1563"/>
      <c r="T14" s="3534"/>
      <c r="U14" s="3534"/>
    </row>
    <row r="15" spans="1:23" ht="25">
      <c r="A15" s="9" t="str">
        <f>"R27=22;R28=01;COM="&amp;Q14</f>
        <v>R27=22;R28=01;COM=</v>
      </c>
      <c r="C15" s="518" t="s">
        <v>2980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80"/>
      <c r="S15" s="1563"/>
      <c r="U15" s="2830"/>
    </row>
    <row r="16" spans="1:23">
      <c r="A16" s="9" t="str">
        <f>"R27=24;R28=01;COM="&amp;Q14</f>
        <v>R27=24;R28=01;COM=</v>
      </c>
      <c r="C16" s="518" t="s">
        <v>2981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80"/>
      <c r="S16" s="1563"/>
      <c r="U16" s="2830"/>
    </row>
    <row r="17" spans="1:21">
      <c r="A17" s="9" t="str">
        <f>"R27=25;R28=01;COM="&amp;Q14</f>
        <v>R27=25;R28=01;COM=</v>
      </c>
      <c r="C17" s="518" t="s">
        <v>2982</v>
      </c>
      <c r="D17" s="479"/>
      <c r="E17" s="479"/>
      <c r="F17" s="479"/>
      <c r="G17" s="479"/>
      <c r="H17" s="479"/>
      <c r="I17" s="479"/>
      <c r="J17" s="479"/>
      <c r="K17" s="479"/>
      <c r="L17" s="479"/>
      <c r="M17" s="479"/>
      <c r="N17" s="479"/>
      <c r="O17" s="479"/>
      <c r="P17" s="479"/>
      <c r="Q17" s="480"/>
      <c r="S17" s="1563"/>
      <c r="U17" s="2830"/>
    </row>
    <row r="18" spans="1:21" s="2830" customFormat="1" ht="25">
      <c r="A18" s="2427" t="str">
        <f>"R27=26;R28=01;COM="&amp;Q15</f>
        <v>R27=26;R28=01;COM=</v>
      </c>
      <c r="C18" s="518" t="s">
        <v>8792</v>
      </c>
      <c r="D18" s="479"/>
      <c r="E18" s="479"/>
      <c r="F18" s="479"/>
      <c r="G18" s="479"/>
      <c r="H18" s="479"/>
      <c r="I18" s="479"/>
      <c r="J18" s="479"/>
      <c r="K18" s="479"/>
      <c r="L18" s="479"/>
      <c r="M18" s="479"/>
      <c r="N18" s="479"/>
      <c r="O18" s="479"/>
      <c r="P18" s="479"/>
      <c r="Q18" s="480"/>
      <c r="S18" s="3533"/>
      <c r="T18" s="3533"/>
      <c r="U18" s="3533"/>
    </row>
    <row r="19" spans="1:21">
      <c r="A19" s="9"/>
      <c r="C19" s="517" t="s">
        <v>8657</v>
      </c>
      <c r="D19" s="482">
        <f>SUM(D20:D22)</f>
        <v>0</v>
      </c>
      <c r="E19" s="482">
        <f t="shared" ref="E19:P19" si="3">SUM(E20:E22)</f>
        <v>0</v>
      </c>
      <c r="F19" s="482">
        <f t="shared" si="3"/>
        <v>0</v>
      </c>
      <c r="G19" s="482">
        <f t="shared" si="3"/>
        <v>0</v>
      </c>
      <c r="H19" s="482">
        <f t="shared" si="3"/>
        <v>0</v>
      </c>
      <c r="I19" s="482">
        <f t="shared" si="3"/>
        <v>0</v>
      </c>
      <c r="J19" s="482">
        <f t="shared" si="3"/>
        <v>0</v>
      </c>
      <c r="K19" s="482">
        <f t="shared" si="3"/>
        <v>0</v>
      </c>
      <c r="L19" s="482">
        <f t="shared" si="3"/>
        <v>0</v>
      </c>
      <c r="M19" s="482">
        <f t="shared" si="3"/>
        <v>0</v>
      </c>
      <c r="N19" s="482">
        <f t="shared" si="3"/>
        <v>0</v>
      </c>
      <c r="O19" s="482">
        <f t="shared" si="3"/>
        <v>0</v>
      </c>
      <c r="P19" s="482">
        <f t="shared" si="3"/>
        <v>0</v>
      </c>
      <c r="Q19" s="480"/>
    </row>
    <row r="20" spans="1:21">
      <c r="A20" s="9" t="str">
        <f>"R27=41;R28=01;COM="&amp;Q14</f>
        <v>R27=41;R28=01;COM=</v>
      </c>
      <c r="C20" s="518" t="s">
        <v>2769</v>
      </c>
      <c r="D20" s="479"/>
      <c r="E20" s="479"/>
      <c r="F20" s="479"/>
      <c r="G20" s="479"/>
      <c r="H20" s="479"/>
      <c r="I20" s="479"/>
      <c r="J20" s="479"/>
      <c r="K20" s="479"/>
      <c r="L20" s="479"/>
      <c r="M20" s="479"/>
      <c r="N20" s="479"/>
      <c r="O20" s="479"/>
      <c r="P20" s="479"/>
      <c r="Q20" s="480"/>
    </row>
    <row r="21" spans="1:21" ht="25">
      <c r="A21" s="9" t="str">
        <f>"R27=42;R28=01;COM="&amp;Q14</f>
        <v>R27=42;R28=01;COM=</v>
      </c>
      <c r="C21" s="518" t="s">
        <v>2770</v>
      </c>
      <c r="D21" s="479"/>
      <c r="E21" s="479"/>
      <c r="F21" s="479"/>
      <c r="G21" s="479"/>
      <c r="H21" s="479"/>
      <c r="I21" s="479"/>
      <c r="J21" s="479"/>
      <c r="K21" s="479"/>
      <c r="L21" s="479"/>
      <c r="M21" s="479"/>
      <c r="N21" s="479"/>
      <c r="O21" s="479"/>
      <c r="P21" s="479"/>
      <c r="Q21" s="480"/>
    </row>
    <row r="22" spans="1:21" s="2830" customFormat="1">
      <c r="A22" s="2427" t="str">
        <f>"R27=49;R28=01;COM="&amp;Q14</f>
        <v>R27=49;R28=01;COM=</v>
      </c>
      <c r="C22" s="518" t="s">
        <v>8790</v>
      </c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80"/>
    </row>
    <row r="23" spans="1:21" ht="15" thickBot="1">
      <c r="A23" s="9" t="str">
        <f>"R27=50;R28=01;COM="&amp;Q14</f>
        <v>R27=50;R28=01;COM=</v>
      </c>
      <c r="C23" s="2966" t="s">
        <v>8783</v>
      </c>
      <c r="D23" s="1037"/>
      <c r="E23" s="1037"/>
      <c r="F23" s="1037"/>
      <c r="G23" s="1037"/>
      <c r="H23" s="1037"/>
      <c r="I23" s="1037"/>
      <c r="J23" s="1037"/>
      <c r="K23" s="1037"/>
      <c r="L23" s="1037"/>
      <c r="M23" s="1037"/>
      <c r="N23" s="1037"/>
      <c r="O23" s="1037"/>
      <c r="P23" s="1037"/>
      <c r="Q23" s="1038"/>
    </row>
  </sheetData>
  <sheetProtection algorithmName="SHA-512" hashValue="zqNyGJuREoHFLAJpOeaNL4tE6bnaZUK1lCtz2719UnNZB50MRObE8MhclqvhPBcInoqa9MsN+aGAoPAt2EtXWA==" saltValue="MfjLQZHgsmmdA6H5WcBWig==" spinCount="100000" sheet="1" objects="1" scenarios="1" formatColumns="0" formatRows="0" autoFilter="0"/>
  <autoFilter ref="C7:Q7"/>
  <customSheetViews>
    <customSheetView guid="{3769259D-9653-4B34-A2F6-4FB6F9F4E533}" showGridLines="0" showAutoFilter="1" hiddenRows="1" hiddenColumns="1">
      <pane xSplit="3" ySplit="8" topLeftCell="D9" activePane="bottomRight" state="frozen"/>
      <selection pane="bottomRight" activeCell="C16" sqref="C16"/>
      <pageMargins left="0.7" right="0.7" top="0.75" bottom="0.75" header="0.3" footer="0.3"/>
      <autoFilter ref="B1:P1"/>
    </customSheetView>
    <customSheetView guid="{40D7A2BB-326C-4ED3-999C-17852F56D6F4}" showGridLines="0" showAutoFilter="1" hiddenRows="1" hiddenColumns="1">
      <pane xSplit="3" ySplit="8" topLeftCell="D9" activePane="bottomRight" state="frozen"/>
      <selection pane="bottomRight" activeCell="C16" sqref="C16"/>
      <pageMargins left="0.7" right="0.7" top="0.75" bottom="0.75" header="0.3" footer="0.3"/>
      <autoFilter ref="B1:P1"/>
    </customSheetView>
    <customSheetView guid="{5D121940-0CE8-4A0E-A493-67FAAA6E0FF8}" showGridLines="0" showAutoFilter="1" hiddenRows="1" hiddenColumns="1" topLeftCell="B2">
      <pane xSplit="2" ySplit="7" topLeftCell="K9" activePane="bottomRight" state="frozen"/>
      <selection pane="bottomRight" activeCell="C8" sqref="C8:Q8"/>
      <pageMargins left="0.7" right="0.7" top="0.75" bottom="0.75" header="0.3" footer="0.3"/>
      <autoFilter ref="B1:P1"/>
    </customSheetView>
    <customSheetView guid="{47AEACC4-6EA5-412C-AF39-A6C5357B313A}" showGridLines="0" showAutoFilter="1" hiddenRows="1" hiddenColumns="1" topLeftCell="B2">
      <pane xSplit="2" ySplit="7" topLeftCell="K9" activePane="bottomRight" state="frozen"/>
      <selection pane="bottomRight" activeCell="C8" sqref="C8:Q8"/>
      <pageMargins left="0.7" right="0.7" top="0.75" bottom="0.75" header="0.3" footer="0.3"/>
      <autoFilter ref="B1:P1"/>
    </customSheetView>
    <customSheetView guid="{4D957B38-5430-481E-B791-E0A66F913B50}" scale="70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2" ySplit="7" topLeftCell="K9" activePane="bottomRight" state="frozen"/>
      <selection pane="bottomRight" activeCell="C8" sqref="C8:Q8"/>
      <pageMargins left="0.7" right="0.7" top="0.75" bottom="0.75" header="0.3" footer="0.3"/>
      <autoFilter ref="B1:P1"/>
    </customSheetView>
  </customSheetViews>
  <phoneticPr fontId="0" type="noConversion"/>
  <hyperlinks>
    <hyperlink ref="D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8" orientation="landscape" horizontalDpi="4294967294" verticalDpi="4294967294"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fitToPage="1"/>
  </sheetPr>
  <dimension ref="A1:L26"/>
  <sheetViews>
    <sheetView topLeftCell="B5" zoomScale="74" zoomScaleNormal="74" workbookViewId="0">
      <selection activeCell="F6" sqref="F6"/>
    </sheetView>
  </sheetViews>
  <sheetFormatPr defaultColWidth="9.453125" defaultRowHeight="14.5"/>
  <cols>
    <col min="1" max="1" width="34.54296875" style="1163" hidden="1" customWidth="1"/>
    <col min="2" max="2" width="9.453125" style="1163" customWidth="1"/>
    <col min="3" max="3" width="17.54296875" style="1163" customWidth="1"/>
    <col min="4" max="4" width="98.54296875" style="1163" customWidth="1"/>
    <col min="5" max="5" width="20.54296875" style="1163" customWidth="1"/>
    <col min="6" max="6" width="16.453125" style="1163" bestFit="1" customWidth="1"/>
    <col min="7" max="7" width="16.453125" style="2732" customWidth="1"/>
    <col min="8" max="8" width="19.54296875" style="1163" customWidth="1"/>
    <col min="9" max="9" width="18.54296875" style="1163" customWidth="1"/>
    <col min="10" max="11" width="34.453125" style="1163" customWidth="1"/>
    <col min="12" max="12" width="31.453125" style="1163" customWidth="1"/>
    <col min="13" max="16384" width="9.453125" style="1163"/>
  </cols>
  <sheetData>
    <row r="1" spans="1:12" ht="30" hidden="1" customHeight="1">
      <c r="A1" s="1561" t="s">
        <v>5034</v>
      </c>
      <c r="B1" s="6"/>
      <c r="C1" s="6"/>
      <c r="D1" s="6"/>
      <c r="E1" s="6"/>
      <c r="F1" s="6"/>
      <c r="G1" s="2438"/>
      <c r="H1" s="2438" t="s">
        <v>8422</v>
      </c>
    </row>
    <row r="2" spans="1:12">
      <c r="A2" s="7"/>
      <c r="B2" s="10"/>
      <c r="C2" s="10"/>
      <c r="D2"/>
      <c r="E2" s="1919" t="s">
        <v>1648</v>
      </c>
      <c r="F2" s="1919" t="s">
        <v>1648</v>
      </c>
      <c r="G2" s="1919"/>
    </row>
    <row r="3" spans="1:12" ht="26">
      <c r="A3" s="9"/>
      <c r="F3" s="1897" t="s">
        <v>2067</v>
      </c>
      <c r="G3" s="1244">
        <f>Содержание!$D$2</f>
        <v>0</v>
      </c>
    </row>
    <row r="4" spans="1:12" ht="26">
      <c r="A4" s="9"/>
      <c r="C4" s="105" t="s">
        <v>8180</v>
      </c>
      <c r="D4" s="24"/>
      <c r="E4" s="3044" t="s">
        <v>1436</v>
      </c>
      <c r="F4" s="1897" t="s">
        <v>2075</v>
      </c>
      <c r="G4" s="1244" t="str">
        <f>Содержание!$D$15</f>
        <v>2022 год</v>
      </c>
    </row>
    <row r="5" spans="1:12" ht="15" thickBot="1">
      <c r="A5" s="9"/>
      <c r="C5" s="428"/>
      <c r="D5"/>
      <c r="E5" s="428"/>
      <c r="F5" s="428"/>
      <c r="G5" s="192"/>
      <c r="H5" s="24"/>
    </row>
    <row r="6" spans="1:12" ht="78">
      <c r="A6" s="9"/>
      <c r="C6" s="2775" t="s">
        <v>8181</v>
      </c>
      <c r="D6" s="469" t="s">
        <v>262</v>
      </c>
      <c r="E6" s="2776" t="s">
        <v>8182</v>
      </c>
      <c r="F6" s="2776" t="s">
        <v>8183</v>
      </c>
      <c r="G6" s="2776" t="s">
        <v>8394</v>
      </c>
      <c r="H6" s="2776" t="s">
        <v>8184</v>
      </c>
      <c r="I6" s="2776" t="s">
        <v>8185</v>
      </c>
      <c r="J6" s="2776" t="s">
        <v>8186</v>
      </c>
      <c r="K6" s="2793" t="s">
        <v>8327</v>
      </c>
      <c r="L6" s="2793" t="s">
        <v>8349</v>
      </c>
    </row>
    <row r="7" spans="1:12" s="762" customFormat="1">
      <c r="A7" s="748"/>
      <c r="C7" s="768" t="s">
        <v>3993</v>
      </c>
      <c r="D7" s="769">
        <v>2751</v>
      </c>
      <c r="E7" s="2773">
        <v>6018</v>
      </c>
      <c r="F7" s="2773">
        <v>1014</v>
      </c>
      <c r="G7" s="2832" t="s">
        <v>5247</v>
      </c>
      <c r="H7" s="2773" t="s">
        <v>4184</v>
      </c>
      <c r="I7" s="2773" t="s">
        <v>4184</v>
      </c>
      <c r="J7" s="2790">
        <v>2755</v>
      </c>
      <c r="K7" s="2794" t="b">
        <f>AND(K10:K1481)</f>
        <v>1</v>
      </c>
      <c r="L7" s="2794" t="b">
        <f>OR(I10&lt;&gt;"",I11&lt;&gt;"",I12&lt;&gt;"",I13&lt;&gt;"",I14&lt;&gt;"")</f>
        <v>0</v>
      </c>
    </row>
    <row r="8" spans="1:12" s="674" customFormat="1" ht="46.5" customHeight="1">
      <c r="A8" s="668"/>
      <c r="C8" s="716" t="s">
        <v>4164</v>
      </c>
      <c r="D8" s="697" t="s">
        <v>4165</v>
      </c>
      <c r="E8" s="697" t="s">
        <v>4166</v>
      </c>
      <c r="F8" s="697" t="s">
        <v>5500</v>
      </c>
      <c r="G8" s="697"/>
      <c r="H8" s="697" t="s">
        <v>4169</v>
      </c>
      <c r="I8" s="697" t="s">
        <v>4168</v>
      </c>
      <c r="J8" s="697" t="s">
        <v>4178</v>
      </c>
      <c r="K8" s="762"/>
      <c r="L8" s="762"/>
    </row>
    <row r="9" spans="1:12">
      <c r="A9" s="9"/>
      <c r="C9" s="460" t="s">
        <v>4170</v>
      </c>
      <c r="D9" s="461" t="s">
        <v>3389</v>
      </c>
      <c r="E9" s="461" t="s">
        <v>3389</v>
      </c>
      <c r="F9" s="461" t="s">
        <v>3389</v>
      </c>
      <c r="G9" s="461"/>
      <c r="H9" s="461" t="s">
        <v>3389</v>
      </c>
      <c r="I9" s="461" t="s">
        <v>3389</v>
      </c>
      <c r="J9" s="461" t="s">
        <v>3389</v>
      </c>
    </row>
    <row r="10" spans="1:12" ht="25">
      <c r="A10" s="2427" t="str">
        <f t="shared" ref="A10:A26" si="0">"R5="&amp;IFERROR(MID(C10,FIND("{",C10)+1,FIND("}",C10)-FIND("{",C10)-1),"")&amp;";R30="&amp;IFERROR(MID(D10,FIND("{",D10)+1,FIND("}",D10)-FIND("{",D10)-1),"")&amp;";R22="&amp;IFERROR(MID(E10,FIND("{",E10)+1,FIND("}",E10)-FIND("{",E10)-1),"")&amp;";R39="&amp;MID(G10,1,20)&amp;";R23="&amp;IF(I10&amp;"" &lt;&gt; "",IF(UPPER(I10)="ДА",1,IF(UPPER(I10)="НЕТ",2,3)),"")&amp;";R44="&amp;IFERROR(MID(J10,FIND("{",J10)+1,FIND("}",J10)-FIND("{",J10)-1),"")</f>
        <v>R5=04;R30=01;R22=;R39=;R23=;R44=</v>
      </c>
      <c r="C10" s="2781" t="s">
        <v>4911</v>
      </c>
      <c r="D10" s="2782" t="s">
        <v>8344</v>
      </c>
      <c r="E10" s="461" t="s">
        <v>3389</v>
      </c>
      <c r="F10" s="461" t="s">
        <v>3389</v>
      </c>
      <c r="G10" s="461"/>
      <c r="H10" s="2936">
        <v>1.4999999999999999E-2</v>
      </c>
      <c r="I10" s="2778"/>
      <c r="J10" s="2784"/>
      <c r="K10" s="1163" t="b">
        <f t="shared" ref="K10:K24" si="1">IF(OR(C10="{20} ЕСН (ФСС)",D10="{01} Применение коэффициента 1,5 в отношении расходов на НИОКР в указанном периоде"),IF(I10="да",TRUE,IF(OR(I10="нет",I10="частично"),J10&lt;&gt;"",TRUE)),TRUE)</f>
        <v>1</v>
      </c>
      <c r="L10" s="2732"/>
    </row>
    <row r="11" spans="1:12" ht="25">
      <c r="A11" s="2427" t="str">
        <f t="shared" si="0"/>
        <v>R5=04;R30=02;R22=;R39=;R23=;R44=</v>
      </c>
      <c r="C11" s="2781" t="s">
        <v>4911</v>
      </c>
      <c r="D11" s="2782" t="s">
        <v>8328</v>
      </c>
      <c r="E11" s="454"/>
      <c r="F11" s="461" t="s">
        <v>3389</v>
      </c>
      <c r="G11" s="2833"/>
      <c r="H11" s="2778"/>
      <c r="I11" s="2778"/>
      <c r="J11" s="2786" t="s">
        <v>3389</v>
      </c>
      <c r="K11" s="2732" t="b">
        <f t="shared" si="1"/>
        <v>1</v>
      </c>
      <c r="L11" s="2732"/>
    </row>
    <row r="12" spans="1:12" ht="25">
      <c r="A12" s="2427" t="str">
        <f t="shared" si="0"/>
        <v>R5=04;R30=03;R22=;R39=;R23=;R44=</v>
      </c>
      <c r="C12" s="2781" t="s">
        <v>4911</v>
      </c>
      <c r="D12" s="2782" t="s">
        <v>8329</v>
      </c>
      <c r="E12" s="454"/>
      <c r="F12" s="461" t="s">
        <v>3389</v>
      </c>
      <c r="G12" s="2833"/>
      <c r="H12" s="2778"/>
      <c r="I12" s="2778"/>
      <c r="J12" s="2786" t="s">
        <v>3389</v>
      </c>
      <c r="K12" s="2732" t="b">
        <f t="shared" si="1"/>
        <v>1</v>
      </c>
      <c r="L12" s="2732"/>
    </row>
    <row r="13" spans="1:12" ht="25">
      <c r="A13" s="2427" t="str">
        <f t="shared" si="0"/>
        <v>R5=04;R30=04;R22=;R39=;R23=;R44=</v>
      </c>
      <c r="C13" s="2781" t="s">
        <v>4911</v>
      </c>
      <c r="D13" s="2782" t="s">
        <v>8330</v>
      </c>
      <c r="E13" s="454"/>
      <c r="F13" s="461" t="s">
        <v>3389</v>
      </c>
      <c r="G13" s="2833"/>
      <c r="H13" s="2778"/>
      <c r="I13" s="2778"/>
      <c r="J13" s="2786" t="s">
        <v>3389</v>
      </c>
      <c r="K13" s="2732" t="b">
        <f t="shared" si="1"/>
        <v>1</v>
      </c>
      <c r="L13" s="2732"/>
    </row>
    <row r="14" spans="1:12">
      <c r="A14" s="2427" t="str">
        <f t="shared" si="0"/>
        <v>R5=20;R30=05;R22=;R39=-;R23=;R44=</v>
      </c>
      <c r="C14" s="2781" t="s">
        <v>8187</v>
      </c>
      <c r="D14" s="2782" t="s">
        <v>8331</v>
      </c>
      <c r="E14" s="461" t="s">
        <v>3389</v>
      </c>
      <c r="F14" s="454"/>
      <c r="G14" s="2834" t="str">
        <f>IF(ISNA(VLOOKUP(F14,Справочник!$DO$2:$DP$159,2,0)),"-",VLOOKUP(F14,Справочник!$DO$2:$DP$159,2,0))</f>
        <v>-</v>
      </c>
      <c r="H14" s="2778"/>
      <c r="I14" s="2778"/>
      <c r="J14" s="2784"/>
      <c r="K14" s="2732" t="b">
        <f t="shared" si="1"/>
        <v>1</v>
      </c>
      <c r="L14" s="2732"/>
    </row>
    <row r="15" spans="1:12">
      <c r="A15" s="2427" t="str">
        <f t="shared" si="0"/>
        <v>R5=;R30=;R22=;R39=-;R23=;R44=</v>
      </c>
      <c r="C15" s="464"/>
      <c r="D15" s="468"/>
      <c r="E15" s="454"/>
      <c r="F15" s="454"/>
      <c r="G15" s="2834" t="str">
        <f>IF(ISNA(VLOOKUP(F15,Справочник!$DO$2:$DP$159,2,0)),"-",VLOOKUP(F15,Справочник!$DO$2:$DP$159,2,0))</f>
        <v>-</v>
      </c>
      <c r="H15" s="2778"/>
      <c r="I15" s="2778"/>
      <c r="J15" s="2784"/>
      <c r="K15" s="2732" t="b">
        <f t="shared" si="1"/>
        <v>1</v>
      </c>
      <c r="L15" s="4"/>
    </row>
    <row r="16" spans="1:12">
      <c r="A16" s="2427" t="str">
        <f t="shared" si="0"/>
        <v>R5=;R30=;R22=;R39=-;R23=;R44=</v>
      </c>
      <c r="C16" s="464"/>
      <c r="D16" s="468"/>
      <c r="E16" s="454"/>
      <c r="F16" s="454"/>
      <c r="G16" s="2834" t="str">
        <f>IF(ISNA(VLOOKUP(F16,Справочник!$DO$2:$DP$159,2,0)),"-",VLOOKUP(F16,Справочник!$DO$2:$DP$159,2,0))</f>
        <v>-</v>
      </c>
      <c r="H16" s="2778"/>
      <c r="I16" s="2778"/>
      <c r="J16" s="2784"/>
      <c r="K16" s="2732" t="b">
        <f t="shared" si="1"/>
        <v>1</v>
      </c>
      <c r="L16" s="2732"/>
    </row>
    <row r="17" spans="1:12">
      <c r="A17" s="2427" t="str">
        <f t="shared" si="0"/>
        <v>R5=;R30=;R22=;R39=-;R23=;R44=</v>
      </c>
      <c r="C17" s="464"/>
      <c r="D17" s="468"/>
      <c r="E17" s="454"/>
      <c r="F17" s="454"/>
      <c r="G17" s="2834" t="str">
        <f>IF(ISNA(VLOOKUP(F17,Справочник!$DO$2:$DP$159,2,0)),"-",VLOOKUP(F17,Справочник!$DO$2:$DP$159,2,0))</f>
        <v>-</v>
      </c>
      <c r="H17" s="2778"/>
      <c r="I17" s="2778"/>
      <c r="J17" s="2784"/>
      <c r="K17" s="2732" t="b">
        <f t="shared" si="1"/>
        <v>1</v>
      </c>
      <c r="L17" s="2732"/>
    </row>
    <row r="18" spans="1:12">
      <c r="A18" s="2427" t="str">
        <f t="shared" si="0"/>
        <v>R5=;R30=;R22=;R39=-;R23=;R44=</v>
      </c>
      <c r="C18" s="464"/>
      <c r="D18" s="468"/>
      <c r="E18" s="454"/>
      <c r="F18" s="454"/>
      <c r="G18" s="2834" t="str">
        <f>IF(ISNA(VLOOKUP(F18,Справочник!$DO$2:$DP$159,2,0)),"-",VLOOKUP(F18,Справочник!$DO$2:$DP$159,2,0))</f>
        <v>-</v>
      </c>
      <c r="H18" s="2778"/>
      <c r="I18" s="2778"/>
      <c r="J18" s="2784"/>
      <c r="K18" s="2732" t="b">
        <f t="shared" si="1"/>
        <v>1</v>
      </c>
      <c r="L18" s="2732"/>
    </row>
    <row r="19" spans="1:12">
      <c r="A19" s="2427" t="str">
        <f t="shared" si="0"/>
        <v>R5=;R30=;R22=;R39=-;R23=;R44=</v>
      </c>
      <c r="C19" s="464"/>
      <c r="D19" s="468"/>
      <c r="E19" s="454"/>
      <c r="F19" s="454"/>
      <c r="G19" s="2834" t="str">
        <f>IF(ISNA(VLOOKUP(F19,Справочник!$DO$2:$DP$159,2,0)),"-",VLOOKUP(F19,Справочник!$DO$2:$DP$159,2,0))</f>
        <v>-</v>
      </c>
      <c r="H19" s="2778"/>
      <c r="I19" s="2778"/>
      <c r="J19" s="2784"/>
      <c r="K19" s="2732" t="b">
        <f t="shared" si="1"/>
        <v>1</v>
      </c>
      <c r="L19" s="2732"/>
    </row>
    <row r="20" spans="1:12">
      <c r="A20" s="2427" t="str">
        <f t="shared" si="0"/>
        <v>R5=;R30=;R22=;R39=-;R23=;R44=</v>
      </c>
      <c r="C20" s="464"/>
      <c r="D20" s="468"/>
      <c r="E20" s="454"/>
      <c r="F20" s="454"/>
      <c r="G20" s="2834" t="str">
        <f>IF(ISNA(VLOOKUP(F20,Справочник!$DO$2:$DP$159,2,0)),"-",VLOOKUP(F20,Справочник!$DO$2:$DP$159,2,0))</f>
        <v>-</v>
      </c>
      <c r="H20" s="2778"/>
      <c r="I20" s="2778"/>
      <c r="J20" s="2784"/>
      <c r="K20" s="2732" t="b">
        <f t="shared" si="1"/>
        <v>1</v>
      </c>
      <c r="L20" s="2732"/>
    </row>
    <row r="21" spans="1:12" s="2732" customFormat="1">
      <c r="A21" s="2427" t="str">
        <f t="shared" si="0"/>
        <v>R5=;R30=;R22=;R39=-;R23=;R44=</v>
      </c>
      <c r="C21" s="464"/>
      <c r="D21" s="468"/>
      <c r="E21" s="454"/>
      <c r="F21" s="454"/>
      <c r="G21" s="2834" t="str">
        <f>IF(ISNA(VLOOKUP(F21,Справочник!$DO$2:$DP$159,2,0)),"-",VLOOKUP(F21,Справочник!$DO$2:$DP$159,2,0))</f>
        <v>-</v>
      </c>
      <c r="H21" s="2778"/>
      <c r="I21" s="2778"/>
      <c r="J21" s="2784"/>
      <c r="K21" s="2732" t="b">
        <f t="shared" si="1"/>
        <v>1</v>
      </c>
    </row>
    <row r="22" spans="1:12" s="2732" customFormat="1">
      <c r="A22" s="2427" t="str">
        <f t="shared" si="0"/>
        <v>R5=;R30=;R22=;R39=-;R23=;R44=</v>
      </c>
      <c r="C22" s="464"/>
      <c r="D22" s="468"/>
      <c r="E22" s="454"/>
      <c r="F22" s="454"/>
      <c r="G22" s="2834" t="str">
        <f>IF(ISNA(VLOOKUP(F22,Справочник!$DO$2:$DP$159,2,0)),"-",VLOOKUP(F22,Справочник!$DO$2:$DP$159,2,0))</f>
        <v>-</v>
      </c>
      <c r="H22" s="2778"/>
      <c r="I22" s="2778"/>
      <c r="J22" s="2784"/>
      <c r="K22" s="2732" t="b">
        <f t="shared" si="1"/>
        <v>1</v>
      </c>
    </row>
    <row r="23" spans="1:12" s="2732" customFormat="1">
      <c r="A23" s="2427" t="str">
        <f t="shared" si="0"/>
        <v>R5=;R30=;R22=;R39=-;R23=;R44=</v>
      </c>
      <c r="C23" s="464"/>
      <c r="D23" s="468"/>
      <c r="E23" s="454"/>
      <c r="F23" s="454"/>
      <c r="G23" s="2834" t="str">
        <f>IF(ISNA(VLOOKUP(F23,Справочник!$DO$2:$DP$159,2,0)),"-",VLOOKUP(F23,Справочник!$DO$2:$DP$159,2,0))</f>
        <v>-</v>
      </c>
      <c r="H23" s="2778"/>
      <c r="I23" s="2778"/>
      <c r="J23" s="2784"/>
      <c r="K23" s="2732" t="b">
        <f t="shared" si="1"/>
        <v>1</v>
      </c>
    </row>
    <row r="24" spans="1:12" s="2830" customFormat="1">
      <c r="A24" s="2427" t="str">
        <f t="shared" si="0"/>
        <v>R5=;R30=;R22=;R39=-;R23=;R44=</v>
      </c>
      <c r="C24" s="464"/>
      <c r="D24" s="468"/>
      <c r="E24" s="454"/>
      <c r="F24" s="454"/>
      <c r="G24" s="2834" t="str">
        <f>IF(ISNA(VLOOKUP(F24,Справочник!$DO$2:$DP$159,2,0)),"-",VLOOKUP(F24,Справочник!$DO$2:$DP$159,2,0))</f>
        <v>-</v>
      </c>
      <c r="H24" s="2778"/>
      <c r="I24" s="2778"/>
      <c r="J24" s="2784"/>
      <c r="K24" s="2830" t="b">
        <f t="shared" si="1"/>
        <v>1</v>
      </c>
    </row>
    <row r="25" spans="1:12" s="2830" customFormat="1">
      <c r="A25" s="2427" t="str">
        <f t="shared" si="0"/>
        <v>R5=;R30=;R22=;R39=-;R23=;R44=</v>
      </c>
      <c r="C25" s="464"/>
      <c r="D25" s="468"/>
      <c r="E25" s="454"/>
      <c r="F25" s="454"/>
      <c r="G25" s="2834" t="str">
        <f>IF(ISNA(VLOOKUP(F25,Справочник!$DO$2:$DP$159,2,0)),"-",VLOOKUP(F25,Справочник!$DO$2:$DP$159,2,0))</f>
        <v>-</v>
      </c>
      <c r="H25" s="2778"/>
      <c r="I25" s="2778"/>
      <c r="J25" s="2784"/>
      <c r="K25" s="2830" t="b">
        <f t="shared" ref="K25" si="2">IF(OR(C25="{20} ЕСН (ФСС)",D25="{01} Применение коэффициента 1,5 в отношении расходов на НИОКР в указанном периоде"),IF(I25="да",TRUE,IF(OR(I25="нет",I25="частично"),J25&lt;&gt;"",TRUE)),TRUE)</f>
        <v>1</v>
      </c>
    </row>
    <row r="26" spans="1:12" s="2830" customFormat="1">
      <c r="A26" s="2427" t="str">
        <f t="shared" si="0"/>
        <v>R5=;R30=;R22=;R39=-;R23=;R44=</v>
      </c>
      <c r="C26" s="464"/>
      <c r="D26" s="468"/>
      <c r="E26" s="454"/>
      <c r="F26" s="454"/>
      <c r="G26" s="2834" t="str">
        <f>IF(ISNA(VLOOKUP(F26,Справочник!$DO$2:$DP$159,2,0)),"-",VLOOKUP(F26,Справочник!$DO$2:$DP$159,2,0))</f>
        <v>-</v>
      </c>
      <c r="H26" s="2778"/>
      <c r="I26" s="2778"/>
      <c r="J26" s="2784"/>
      <c r="K26" s="2830" t="b">
        <f t="shared" ref="K26" si="3">IF(OR(C26="{20} ЕСН (ФСС)",D26="{01} Применение коэффициента 1,5 в отношении расходов на НИОКР в указанном периоде"),IF(I26="да",TRUE,IF(OR(I26="нет",I26="частично"),J26&lt;&gt;"",TRUE)),TRUE)</f>
        <v>1</v>
      </c>
    </row>
  </sheetData>
  <sheetProtection algorithmName="SHA-512" hashValue="PaWT+/2hD3ytr7ETGfSnFr3LQJLiC9NqlmQ0+4VB6X22ZZP67tfHaLWhskD8Jlzxa5pPAM1khC154D2O3G3mig==" saltValue="kzO3ekM8ctFa0dIZRVr2dQ==" spinCount="100000" sheet="1" objects="1" scenarios="1" formatColumns="0" formatRows="0" autoFilter="0"/>
  <autoFilter ref="C7:J7"/>
  <customSheetViews>
    <customSheetView guid="{3769259D-9653-4B34-A2F6-4FB6F9F4E533}" showGridLines="0" showAutoFilter="1" hiddenRows="1" hiddenColumns="1">
      <pane xSplit="4" ySplit="8" topLeftCell="E9" activePane="bottomRight" state="frozen"/>
      <selection pane="bottomRight" activeCell="C16" sqref="C16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pane xSplit="3.9251592356687897" ySplit="8" topLeftCell="E9" activePane="bottomRight" state="frozen"/>
      <selection pane="bottomRight" activeCell="C16" sqref="C16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2">
      <pane xSplit="3" ySplit="7" topLeftCell="E9" activePane="bottomRight" state="frozen"/>
      <selection pane="bottomRight" activeCell="C8" sqref="C8:G8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2">
      <pane xSplit="2.9315286624203822" ySplit="7" topLeftCell="E9" activePane="bottomRight" state="frozen"/>
      <selection pane="bottomRight" activeCell="C8" sqref="C8:G8"/>
      <pageMargins left="0.7" right="0.7" top="0.75" bottom="0.75" header="0.3" footer="0.3"/>
      <autoFilter ref="B1:F1"/>
    </customSheetView>
    <customSheetView guid="{4D957B38-5430-481E-B791-E0A66F913B50}" scale="70">
      <selection activeCell="O17" sqref="O17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2.9124203821656049" ySplit="7" topLeftCell="E9" activePane="bottomRight" state="frozen"/>
      <selection pane="bottomRight" activeCell="C8" sqref="C8:G8"/>
      <pageMargins left="0.7" right="0.7" top="0.75" bottom="0.75" header="0.3" footer="0.3"/>
      <autoFilter ref="B1:F1"/>
    </customSheetView>
  </customSheetViews>
  <phoneticPr fontId="0" type="noConversion"/>
  <dataValidations count="10">
    <dataValidation type="list" allowBlank="1" showInputMessage="1" showErrorMessage="1" sqref="D15:D26">
      <formula1>_2751</formula1>
    </dataValidation>
    <dataValidation type="list" allowBlank="1" showInputMessage="1" showErrorMessage="1" sqref="E11:E13">
      <formula1>_6018</formula1>
    </dataValidation>
    <dataValidation type="list" allowBlank="1" showInputMessage="1" showErrorMessage="1" sqref="F14">
      <formula1>_1014</formula1>
    </dataValidation>
    <dataValidation operator="equal" allowBlank="1" showErrorMessage="1" errorTitle="Выбор элемента списка" error="Данного элемента нет в списке" sqref="C10:C14"/>
    <dataValidation type="list" allowBlank="1" showInputMessage="1" showErrorMessage="1" sqref="I10:I26">
      <formula1>IF(C10="{20} ЕСН (ФСС)",_2,_3)</formula1>
    </dataValidation>
    <dataValidation type="list" allowBlank="1" showInputMessage="1" showErrorMessage="1" sqref="E15:E26">
      <formula1>IF(AND(D15&lt;&gt;"{05} Применение скидки к тарифам",D15&lt;&gt;"{01} Применение коэффициента 1,5 в отношении расходов на НИОКР в указанном периоде"),_6018,$E$9)</formula1>
    </dataValidation>
    <dataValidation type="list" allowBlank="1" showInputMessage="1" showErrorMessage="1" sqref="F15:F26">
      <formula1>IF(D15="{05} Применение скидки к тарифам",_1014,$E$9)</formula1>
    </dataValidation>
    <dataValidation type="list" allowBlank="1" showInputMessage="1" showErrorMessage="1" sqref="J10 J14">
      <formula1>IF(AND(C10="{20} ЕСН (ФСС)",I10="нет"),_2755_5,IF(AND(C10="{04} Налог на прибыль",D10="{01} Применение коэффициента 1,5 в отношении расходов на НИОКР в указанном периоде",OR(I10="нет",I10="частично")),_2755_1,_2755))</formula1>
    </dataValidation>
    <dataValidation type="list" allowBlank="1" showInputMessage="1" showErrorMessage="1" sqref="J15:J26">
      <formula1>IF(AND(C15="{20} ЕСН (ФСС)",I15="нет"),_2755_5,IF(AND(C15="{04} Налог на прибыль",D15="{01} Применение коэффициента 1,5 в отношении расходов на НИОКР в указанном периоде"),_2755_1,_2755))</formula1>
    </dataValidation>
    <dataValidation type="list" operator="equal" allowBlank="1" showErrorMessage="1" errorTitle="Выбор элемента списка" error="Данного элемента нет в списке" sqref="C15:C26">
      <formula1>_2720_</formula1>
    </dataValidation>
  </dataValidations>
  <hyperlinks>
    <hyperlink ref="E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AddButtonsRowAdd">
                <anchor moveWithCells="1">
                  <from>
                    <xdr:col>3</xdr:col>
                    <xdr:colOff>4451350</xdr:colOff>
                    <xdr:row>2</xdr:row>
                    <xdr:rowOff>114300</xdr:rowOff>
                  </from>
                  <to>
                    <xdr:col>3</xdr:col>
                    <xdr:colOff>5861050</xdr:colOff>
                    <xdr:row>3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W30"/>
  <sheetViews>
    <sheetView topLeftCell="B17" zoomScale="86" zoomScaleNormal="86" workbookViewId="0">
      <selection activeCell="F17" sqref="F17"/>
    </sheetView>
  </sheetViews>
  <sheetFormatPr defaultColWidth="19.453125" defaultRowHeight="14.5"/>
  <cols>
    <col min="1" max="1" width="20.453125" style="1163" hidden="1" customWidth="1"/>
    <col min="2" max="2" width="2.453125" style="1163" customWidth="1"/>
    <col min="3" max="3" width="56.453125" style="1564" customWidth="1"/>
    <col min="4" max="5" width="15.54296875" style="1163" customWidth="1"/>
    <col min="6" max="6" width="24" style="1163" customWidth="1"/>
    <col min="7" max="7" width="15.54296875" style="1163" customWidth="1"/>
    <col min="8" max="8" width="18.54296875" style="1163" customWidth="1"/>
    <col min="9" max="9" width="15.54296875" style="1163" customWidth="1"/>
    <col min="10" max="11" width="17.54296875" style="1163" customWidth="1"/>
    <col min="12" max="15" width="15.54296875" style="1163" customWidth="1"/>
    <col min="16" max="16" width="19.453125" style="1163" customWidth="1"/>
    <col min="17" max="19" width="15.54296875" style="1163" customWidth="1"/>
    <col min="20" max="20" width="39.54296875" style="1163" customWidth="1"/>
    <col min="21" max="21" width="19.453125" style="1163"/>
    <col min="22" max="22" width="19.453125" style="1163" customWidth="1"/>
    <col min="23" max="16384" width="19.453125" style="1163"/>
  </cols>
  <sheetData>
    <row r="1" spans="1:23" ht="28.5" hidden="1" customHeight="1">
      <c r="A1" s="167" t="s">
        <v>481</v>
      </c>
      <c r="B1" s="6"/>
      <c r="C1" s="267"/>
      <c r="D1" s="6"/>
      <c r="E1" s="6" t="s">
        <v>670</v>
      </c>
      <c r="F1" s="6" t="s">
        <v>482</v>
      </c>
      <c r="G1" s="6" t="s">
        <v>483</v>
      </c>
      <c r="H1" s="6" t="s">
        <v>484</v>
      </c>
      <c r="I1" s="6" t="s">
        <v>1124</v>
      </c>
      <c r="J1" s="6" t="s">
        <v>485</v>
      </c>
      <c r="K1" s="6" t="s">
        <v>486</v>
      </c>
      <c r="L1" s="6" t="s">
        <v>487</v>
      </c>
      <c r="M1" s="6" t="s">
        <v>1125</v>
      </c>
      <c r="N1" s="6" t="s">
        <v>488</v>
      </c>
      <c r="O1" s="6" t="s">
        <v>1127</v>
      </c>
      <c r="P1" s="6" t="s">
        <v>1128</v>
      </c>
      <c r="Q1" s="6"/>
      <c r="R1" s="6" t="s">
        <v>1010</v>
      </c>
      <c r="S1" s="6" t="s">
        <v>489</v>
      </c>
      <c r="T1" s="6"/>
    </row>
    <row r="2" spans="1:23" s="1778" customFormat="1">
      <c r="A2" s="7"/>
      <c r="B2" s="1919"/>
      <c r="C2" s="1941"/>
      <c r="D2" s="1778" t="s">
        <v>1648</v>
      </c>
      <c r="E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</row>
    <row r="3" spans="1:23">
      <c r="A3" s="9"/>
      <c r="D3"/>
    </row>
    <row r="4" spans="1:23" ht="26.5">
      <c r="A4" s="9"/>
      <c r="C4" s="519" t="s">
        <v>3670</v>
      </c>
      <c r="D4"/>
      <c r="E4" s="1897" t="s">
        <v>2067</v>
      </c>
      <c r="F4" s="1244">
        <f>Содержание!$D$2</f>
        <v>0</v>
      </c>
      <c r="G4" s="8"/>
      <c r="H4" s="8"/>
      <c r="I4" s="8"/>
      <c r="J4" s="8"/>
      <c r="K4" s="1253"/>
      <c r="L4" s="1253"/>
      <c r="M4" s="8"/>
      <c r="N4" s="8"/>
      <c r="O4" s="8"/>
      <c r="P4" s="8"/>
      <c r="Q4" s="8"/>
      <c r="R4" s="8"/>
      <c r="S4" s="8"/>
      <c r="T4" s="8"/>
      <c r="U4" s="8"/>
    </row>
    <row r="5" spans="1:23" ht="26.5" thickBot="1">
      <c r="A5" s="9"/>
      <c r="D5" s="3044" t="s">
        <v>1436</v>
      </c>
      <c r="E5" s="1897" t="s">
        <v>2075</v>
      </c>
      <c r="F5" s="1244" t="str">
        <f>Содержание!$D$15</f>
        <v>2022 год</v>
      </c>
      <c r="G5" s="10"/>
      <c r="H5" s="10"/>
      <c r="I5" s="10"/>
      <c r="J5" s="8"/>
      <c r="K5" s="8"/>
      <c r="L5" s="8"/>
      <c r="M5" s="8"/>
      <c r="N5" s="8"/>
      <c r="O5" s="10"/>
      <c r="P5" s="10"/>
      <c r="Q5" s="10"/>
      <c r="R5" s="10"/>
      <c r="S5" s="10"/>
      <c r="T5" s="10"/>
      <c r="U5" s="10"/>
    </row>
    <row r="6" spans="1:23" ht="15" customHeight="1" thickBot="1">
      <c r="A6" s="9"/>
      <c r="C6" s="3732" t="s">
        <v>4929</v>
      </c>
      <c r="D6" s="3713" t="s">
        <v>4210</v>
      </c>
      <c r="E6" s="3713" t="s">
        <v>1431</v>
      </c>
      <c r="F6" s="3713" t="s">
        <v>1432</v>
      </c>
      <c r="G6" s="3713" t="s">
        <v>3669</v>
      </c>
      <c r="H6" s="3713" t="s">
        <v>3668</v>
      </c>
      <c r="I6" s="3713" t="s">
        <v>5524</v>
      </c>
      <c r="J6" s="3677" t="s">
        <v>3667</v>
      </c>
      <c r="K6" s="3677"/>
      <c r="L6" s="3677"/>
      <c r="M6" s="3677"/>
      <c r="N6" s="3783" t="s">
        <v>1643</v>
      </c>
      <c r="O6" s="3713" t="s">
        <v>4923</v>
      </c>
      <c r="P6" s="3713" t="s">
        <v>2220</v>
      </c>
      <c r="Q6" s="3949" t="s">
        <v>3666</v>
      </c>
      <c r="R6" s="3949" t="s">
        <v>1433</v>
      </c>
      <c r="S6" s="3949" t="s">
        <v>1434</v>
      </c>
      <c r="T6" s="3781" t="s">
        <v>4183</v>
      </c>
    </row>
    <row r="7" spans="1:23" ht="52">
      <c r="A7" s="9"/>
      <c r="C7" s="3744"/>
      <c r="D7" s="3710"/>
      <c r="E7" s="3710"/>
      <c r="F7" s="3710"/>
      <c r="G7" s="3710"/>
      <c r="H7" s="3710"/>
      <c r="I7" s="3710"/>
      <c r="J7" s="15" t="s">
        <v>2771</v>
      </c>
      <c r="K7" s="15" t="s">
        <v>2772</v>
      </c>
      <c r="L7" s="15" t="s">
        <v>1683</v>
      </c>
      <c r="M7" s="15" t="s">
        <v>1664</v>
      </c>
      <c r="N7" s="3777"/>
      <c r="O7" s="3710"/>
      <c r="P7" s="3710"/>
      <c r="Q7" s="3950"/>
      <c r="R7" s="3950"/>
      <c r="S7" s="3950"/>
      <c r="T7" s="3951"/>
      <c r="V7" s="2892" t="s">
        <v>8582</v>
      </c>
      <c r="W7" s="2892" t="s">
        <v>8583</v>
      </c>
    </row>
    <row r="8" spans="1:23">
      <c r="A8" s="9"/>
      <c r="C8" s="369" t="s">
        <v>913</v>
      </c>
      <c r="D8" s="367" t="s">
        <v>5234</v>
      </c>
      <c r="E8" s="367" t="s">
        <v>672</v>
      </c>
      <c r="F8" s="367" t="s">
        <v>674</v>
      </c>
      <c r="G8" s="368" t="s">
        <v>3659</v>
      </c>
      <c r="H8" s="368" t="s">
        <v>3662</v>
      </c>
      <c r="I8" s="368" t="s">
        <v>4920</v>
      </c>
      <c r="J8" s="368" t="s">
        <v>3658</v>
      </c>
      <c r="K8" s="368" t="s">
        <v>4918</v>
      </c>
      <c r="L8" s="368" t="s">
        <v>4916</v>
      </c>
      <c r="M8" s="368" t="s">
        <v>4917</v>
      </c>
      <c r="N8" s="368" t="s">
        <v>1642</v>
      </c>
      <c r="O8" s="368" t="s">
        <v>4915</v>
      </c>
      <c r="P8" s="368" t="s">
        <v>3664</v>
      </c>
      <c r="Q8" s="367" t="s">
        <v>4163</v>
      </c>
      <c r="R8" s="367" t="s">
        <v>673</v>
      </c>
      <c r="S8" s="367" t="s">
        <v>694</v>
      </c>
      <c r="T8" s="366" t="s">
        <v>865</v>
      </c>
    </row>
    <row r="9" spans="1:23" s="674" customFormat="1" ht="10.5">
      <c r="A9" s="668"/>
      <c r="C9" s="675" t="s">
        <v>4164</v>
      </c>
      <c r="D9" s="675" t="s">
        <v>4165</v>
      </c>
      <c r="E9" s="675" t="s">
        <v>4166</v>
      </c>
      <c r="F9" s="675" t="s">
        <v>5500</v>
      </c>
      <c r="G9" s="675" t="s">
        <v>4169</v>
      </c>
      <c r="H9" s="675" t="s">
        <v>4168</v>
      </c>
      <c r="I9" s="675" t="s">
        <v>4178</v>
      </c>
      <c r="J9" s="675" t="s">
        <v>4179</v>
      </c>
      <c r="K9" s="675" t="s">
        <v>4167</v>
      </c>
      <c r="L9" s="675" t="s">
        <v>5501</v>
      </c>
      <c r="M9" s="675" t="s">
        <v>4701</v>
      </c>
      <c r="N9" s="675" t="s">
        <v>4702</v>
      </c>
      <c r="O9" s="675" t="s">
        <v>4703</v>
      </c>
      <c r="P9" s="675" t="s">
        <v>5502</v>
      </c>
      <c r="Q9" s="675" t="s">
        <v>5503</v>
      </c>
      <c r="R9" s="675" t="s">
        <v>5504</v>
      </c>
      <c r="S9" s="675" t="s">
        <v>4853</v>
      </c>
      <c r="T9" s="675" t="s">
        <v>4852</v>
      </c>
    </row>
    <row r="10" spans="1:23" s="1571" customFormat="1">
      <c r="A10" s="744"/>
      <c r="C10" s="1323" t="s">
        <v>4170</v>
      </c>
      <c r="D10" s="1324">
        <f t="shared" ref="D10:S10" si="0">SUM(D11:D26)</f>
        <v>0</v>
      </c>
      <c r="E10" s="1324">
        <f t="shared" si="0"/>
        <v>0</v>
      </c>
      <c r="F10" s="1324">
        <f t="shared" si="0"/>
        <v>0</v>
      </c>
      <c r="G10" s="1324">
        <f t="shared" si="0"/>
        <v>0</v>
      </c>
      <c r="H10" s="1324">
        <f t="shared" si="0"/>
        <v>0</v>
      </c>
      <c r="I10" s="1324">
        <f t="shared" si="0"/>
        <v>0</v>
      </c>
      <c r="J10" s="1324">
        <f t="shared" si="0"/>
        <v>0</v>
      </c>
      <c r="K10" s="1324">
        <f t="shared" si="0"/>
        <v>0</v>
      </c>
      <c r="L10" s="1324">
        <f t="shared" si="0"/>
        <v>0</v>
      </c>
      <c r="M10" s="1324">
        <f t="shared" si="0"/>
        <v>0</v>
      </c>
      <c r="N10" s="1324">
        <f t="shared" si="0"/>
        <v>0</v>
      </c>
      <c r="O10" s="1324">
        <f t="shared" si="0"/>
        <v>0</v>
      </c>
      <c r="P10" s="1324">
        <f t="shared" si="0"/>
        <v>0</v>
      </c>
      <c r="Q10" s="1324">
        <f t="shared" si="0"/>
        <v>0</v>
      </c>
      <c r="R10" s="1324">
        <f t="shared" si="0"/>
        <v>0</v>
      </c>
      <c r="S10" s="1324">
        <f t="shared" si="0"/>
        <v>0</v>
      </c>
      <c r="T10" s="1322" t="s">
        <v>4184</v>
      </c>
      <c r="V10" s="1571" t="b">
        <f>AND(V11:V26)</f>
        <v>1</v>
      </c>
      <c r="W10" s="1571" t="b">
        <f>AND(W11:W26)</f>
        <v>1</v>
      </c>
    </row>
    <row r="11" spans="1:23" ht="25">
      <c r="A11" s="9" t="str">
        <f>"R10="&amp;IFERROR(MID(C11,FIND("{",C11)+1,FIND("}",C11)-FIND("{",C11)-1),"")&amp;";"&amp;"COM="&amp;T11</f>
        <v>R10=11;COM=</v>
      </c>
      <c r="C11" s="2509" t="s">
        <v>7116</v>
      </c>
      <c r="D11" s="1434"/>
      <c r="E11" s="1434"/>
      <c r="F11" s="1153">
        <f>D11-E11</f>
        <v>0</v>
      </c>
      <c r="G11" s="1434"/>
      <c r="H11" s="1434"/>
      <c r="I11" s="1325"/>
      <c r="J11" s="1434"/>
      <c r="K11" s="1325"/>
      <c r="L11" s="1325"/>
      <c r="M11" s="1325"/>
      <c r="N11" s="1434"/>
      <c r="O11" s="1325"/>
      <c r="P11" s="1434"/>
      <c r="Q11" s="1324">
        <f t="shared" ref="Q11:Q26" si="1">SUM(D11,G11:P11)</f>
        <v>0</v>
      </c>
      <c r="R11" s="1434"/>
      <c r="S11" s="1153">
        <f>Q11-R11</f>
        <v>0</v>
      </c>
      <c r="T11" s="1326"/>
      <c r="V11" s="1163" t="b">
        <f t="shared" ref="V11:V26" si="2">IF(OR(E11&lt;-1,F11&gt;1,R11&lt;-1,S11&gt;1),FALSE,TRUE)</f>
        <v>1</v>
      </c>
      <c r="W11" s="1163" t="b">
        <f>IF(OR(G11&lt;-1,H11&lt;-1,K11:K11&gt;1,L11&gt;1,M11&gt;1),FALSE,TRUE)</f>
        <v>1</v>
      </c>
    </row>
    <row r="12" spans="1:23" ht="25">
      <c r="A12" s="2427" t="str">
        <f t="shared" ref="A12:A26" si="3">"R10="&amp;IFERROR(MID(C12,FIND("{",C12)+1,FIND("}",C12)-FIND("{",C12)-1),"")&amp;";"&amp;"COM="&amp;T12</f>
        <v>R10=12;COM=</v>
      </c>
      <c r="C12" s="2509" t="s">
        <v>3657</v>
      </c>
      <c r="D12" s="1434"/>
      <c r="E12" s="1434"/>
      <c r="F12" s="1153">
        <f t="shared" ref="F12:F25" si="4">D12-E12</f>
        <v>0</v>
      </c>
      <c r="G12" s="1434"/>
      <c r="H12" s="1434"/>
      <c r="I12" s="1325"/>
      <c r="J12" s="1434"/>
      <c r="K12" s="1325"/>
      <c r="L12" s="1325"/>
      <c r="M12" s="1325"/>
      <c r="N12" s="1325"/>
      <c r="O12" s="1325"/>
      <c r="P12" s="1325"/>
      <c r="Q12" s="1324">
        <f t="shared" si="1"/>
        <v>0</v>
      </c>
      <c r="R12" s="1325"/>
      <c r="S12" s="1153">
        <f t="shared" ref="S12:S26" si="5">Q12-R12</f>
        <v>0</v>
      </c>
      <c r="T12" s="1326"/>
      <c r="V12" s="1163" t="b">
        <f t="shared" si="2"/>
        <v>1</v>
      </c>
      <c r="W12" s="2830" t="b">
        <f t="shared" ref="W12:W26" si="6">IF(OR(G12&lt;-1,H12&lt;-1,K12:K12&gt;1,L12&gt;1,M12&gt;1),FALSE,TRUE)</f>
        <v>1</v>
      </c>
    </row>
    <row r="13" spans="1:23" s="2830" customFormat="1" ht="37.5">
      <c r="A13" s="2427" t="str">
        <f t="shared" si="3"/>
        <v>R10=13;COM=</v>
      </c>
      <c r="C13" s="2509" t="s">
        <v>8656</v>
      </c>
      <c r="D13" s="1434"/>
      <c r="E13" s="1434"/>
      <c r="F13" s="1915">
        <f t="shared" si="4"/>
        <v>0</v>
      </c>
      <c r="G13" s="1434"/>
      <c r="H13" s="1434"/>
      <c r="I13" s="1325"/>
      <c r="J13" s="1434"/>
      <c r="K13" s="1325"/>
      <c r="L13" s="1325"/>
      <c r="M13" s="1325"/>
      <c r="N13" s="1325"/>
      <c r="O13" s="1325"/>
      <c r="P13" s="1325"/>
      <c r="Q13" s="1324">
        <f t="shared" si="1"/>
        <v>0</v>
      </c>
      <c r="R13" s="1325"/>
      <c r="S13" s="1915">
        <f t="shared" si="5"/>
        <v>0</v>
      </c>
      <c r="T13" s="1326"/>
      <c r="V13" s="2830" t="b">
        <f t="shared" ref="V13" si="7">IF(OR(E13&lt;-1,F13&gt;1,R13&lt;-1,S13&gt;1),FALSE,TRUE)</f>
        <v>1</v>
      </c>
      <c r="W13" s="2830" t="b">
        <f t="shared" si="6"/>
        <v>1</v>
      </c>
    </row>
    <row r="14" spans="1:23" ht="25">
      <c r="A14" s="2427" t="str">
        <f t="shared" si="3"/>
        <v>R10=21;COM=</v>
      </c>
      <c r="C14" s="2509" t="s">
        <v>3656</v>
      </c>
      <c r="D14" s="1434"/>
      <c r="E14" s="1434"/>
      <c r="F14" s="1153">
        <f t="shared" si="4"/>
        <v>0</v>
      </c>
      <c r="G14" s="1434"/>
      <c r="H14" s="1325"/>
      <c r="I14" s="1325"/>
      <c r="J14" s="1434"/>
      <c r="K14" s="1325"/>
      <c r="L14" s="1325"/>
      <c r="M14" s="1325"/>
      <c r="N14" s="1325"/>
      <c r="O14" s="1325"/>
      <c r="P14" s="1325"/>
      <c r="Q14" s="1324">
        <f t="shared" si="1"/>
        <v>0</v>
      </c>
      <c r="R14" s="1325"/>
      <c r="S14" s="1153">
        <f t="shared" si="5"/>
        <v>0</v>
      </c>
      <c r="T14" s="1326"/>
      <c r="V14" s="1163" t="b">
        <f t="shared" si="2"/>
        <v>1</v>
      </c>
      <c r="W14" s="2830" t="b">
        <f t="shared" si="6"/>
        <v>1</v>
      </c>
    </row>
    <row r="15" spans="1:23" ht="46.5" customHeight="1">
      <c r="A15" s="2427" t="str">
        <f t="shared" si="3"/>
        <v>R10=22;COM=</v>
      </c>
      <c r="C15" s="2509" t="s">
        <v>7117</v>
      </c>
      <c r="D15" s="1434"/>
      <c r="E15" s="1434"/>
      <c r="F15" s="1153">
        <f t="shared" si="4"/>
        <v>0</v>
      </c>
      <c r="G15" s="1434"/>
      <c r="H15" s="1325"/>
      <c r="I15" s="1325"/>
      <c r="J15" s="1434"/>
      <c r="K15" s="1325"/>
      <c r="L15" s="1325"/>
      <c r="M15" s="1325"/>
      <c r="N15" s="1325"/>
      <c r="O15" s="1325"/>
      <c r="P15" s="1325"/>
      <c r="Q15" s="1324">
        <f t="shared" si="1"/>
        <v>0</v>
      </c>
      <c r="R15" s="1325"/>
      <c r="S15" s="1153">
        <f t="shared" si="5"/>
        <v>0</v>
      </c>
      <c r="T15" s="1326"/>
      <c r="V15" s="1163" t="b">
        <f t="shared" si="2"/>
        <v>1</v>
      </c>
      <c r="W15" s="2830" t="b">
        <f t="shared" si="6"/>
        <v>1</v>
      </c>
    </row>
    <row r="16" spans="1:23" ht="56.25" customHeight="1">
      <c r="A16" s="2427" t="str">
        <f t="shared" si="3"/>
        <v>R10=23;COM=</v>
      </c>
      <c r="C16" s="2509" t="s">
        <v>7118</v>
      </c>
      <c r="D16" s="1434"/>
      <c r="E16" s="1434"/>
      <c r="F16" s="1153">
        <f t="shared" si="4"/>
        <v>0</v>
      </c>
      <c r="G16" s="1434"/>
      <c r="H16" s="1325"/>
      <c r="I16" s="1325"/>
      <c r="J16" s="1434"/>
      <c r="K16" s="1325"/>
      <c r="L16" s="1325"/>
      <c r="M16" s="1325"/>
      <c r="N16" s="1325"/>
      <c r="O16" s="1325"/>
      <c r="P16" s="1325"/>
      <c r="Q16" s="1324">
        <f t="shared" si="1"/>
        <v>0</v>
      </c>
      <c r="R16" s="1325"/>
      <c r="S16" s="1153">
        <f t="shared" si="5"/>
        <v>0</v>
      </c>
      <c r="T16" s="1326"/>
      <c r="V16" s="1163" t="b">
        <f t="shared" si="2"/>
        <v>1</v>
      </c>
      <c r="W16" s="2830" t="b">
        <f t="shared" si="6"/>
        <v>1</v>
      </c>
    </row>
    <row r="17" spans="1:23" ht="65.25" customHeight="1">
      <c r="A17" s="2427" t="str">
        <f t="shared" si="3"/>
        <v>R10=24;COM=</v>
      </c>
      <c r="C17" s="2509" t="s">
        <v>7119</v>
      </c>
      <c r="D17" s="1434"/>
      <c r="E17" s="1434"/>
      <c r="F17" s="1153">
        <f t="shared" si="4"/>
        <v>0</v>
      </c>
      <c r="G17" s="1434"/>
      <c r="H17" s="1325"/>
      <c r="I17" s="1325"/>
      <c r="J17" s="1434"/>
      <c r="K17" s="1325"/>
      <c r="L17" s="1325"/>
      <c r="M17" s="1325"/>
      <c r="N17" s="1325"/>
      <c r="O17" s="1325"/>
      <c r="P17" s="1325"/>
      <c r="Q17" s="1324">
        <f t="shared" si="1"/>
        <v>0</v>
      </c>
      <c r="R17" s="1325"/>
      <c r="S17" s="1153">
        <f t="shared" si="5"/>
        <v>0</v>
      </c>
      <c r="T17" s="1326"/>
      <c r="V17" s="1163" t="b">
        <f t="shared" si="2"/>
        <v>1</v>
      </c>
      <c r="W17" s="2830" t="b">
        <f t="shared" si="6"/>
        <v>1</v>
      </c>
    </row>
    <row r="18" spans="1:23" ht="50.25" customHeight="1">
      <c r="A18" s="2427" t="str">
        <f t="shared" si="3"/>
        <v>R10=25;COM=</v>
      </c>
      <c r="C18" s="2509" t="s">
        <v>7120</v>
      </c>
      <c r="D18" s="1434"/>
      <c r="E18" s="1434"/>
      <c r="F18" s="1153">
        <f t="shared" si="4"/>
        <v>0</v>
      </c>
      <c r="G18" s="1434"/>
      <c r="H18" s="1325"/>
      <c r="I18" s="1325"/>
      <c r="J18" s="1434"/>
      <c r="K18" s="1325"/>
      <c r="L18" s="1325"/>
      <c r="M18" s="1325"/>
      <c r="N18" s="1325"/>
      <c r="O18" s="1325"/>
      <c r="P18" s="1325"/>
      <c r="Q18" s="1324">
        <f t="shared" si="1"/>
        <v>0</v>
      </c>
      <c r="R18" s="1325"/>
      <c r="S18" s="1153">
        <f t="shared" si="5"/>
        <v>0</v>
      </c>
      <c r="T18" s="1326"/>
      <c r="V18" s="1163" t="b">
        <f t="shared" si="2"/>
        <v>1</v>
      </c>
      <c r="W18" s="2830" t="b">
        <f t="shared" si="6"/>
        <v>1</v>
      </c>
    </row>
    <row r="19" spans="1:23" ht="36" customHeight="1">
      <c r="A19" s="2427" t="str">
        <f t="shared" si="3"/>
        <v>R10=26;COM=</v>
      </c>
      <c r="C19" s="2509" t="s">
        <v>5931</v>
      </c>
      <c r="D19" s="1434"/>
      <c r="E19" s="1434"/>
      <c r="F19" s="1153">
        <f t="shared" si="4"/>
        <v>0</v>
      </c>
      <c r="G19" s="1434"/>
      <c r="H19" s="1325"/>
      <c r="I19" s="1325"/>
      <c r="J19" s="1434"/>
      <c r="K19" s="1325"/>
      <c r="L19" s="1325"/>
      <c r="M19" s="1325"/>
      <c r="N19" s="1325"/>
      <c r="O19" s="1325"/>
      <c r="P19" s="1325"/>
      <c r="Q19" s="1324">
        <f t="shared" si="1"/>
        <v>0</v>
      </c>
      <c r="R19" s="1325"/>
      <c r="S19" s="1153">
        <f t="shared" si="5"/>
        <v>0</v>
      </c>
      <c r="T19" s="1326"/>
      <c r="V19" s="1163" t="b">
        <f t="shared" si="2"/>
        <v>1</v>
      </c>
      <c r="W19" s="2830" t="b">
        <f t="shared" si="6"/>
        <v>1</v>
      </c>
    </row>
    <row r="20" spans="1:23" ht="25">
      <c r="A20" s="2427" t="str">
        <f t="shared" si="3"/>
        <v>R10=27;COM=</v>
      </c>
      <c r="C20" s="2509" t="s">
        <v>6080</v>
      </c>
      <c r="D20" s="1434"/>
      <c r="E20" s="1434"/>
      <c r="F20" s="1153">
        <f t="shared" si="4"/>
        <v>0</v>
      </c>
      <c r="G20" s="1434"/>
      <c r="H20" s="1325"/>
      <c r="I20" s="1325"/>
      <c r="J20" s="1434"/>
      <c r="K20" s="1325"/>
      <c r="L20" s="1325"/>
      <c r="M20" s="1325"/>
      <c r="N20" s="1325"/>
      <c r="O20" s="1325"/>
      <c r="P20" s="1325"/>
      <c r="Q20" s="1324">
        <f t="shared" si="1"/>
        <v>0</v>
      </c>
      <c r="R20" s="1325"/>
      <c r="S20" s="1153">
        <f t="shared" si="5"/>
        <v>0</v>
      </c>
      <c r="T20" s="1326"/>
      <c r="V20" s="2422" t="b">
        <f t="shared" si="2"/>
        <v>1</v>
      </c>
      <c r="W20" s="2830" t="b">
        <f t="shared" si="6"/>
        <v>1</v>
      </c>
    </row>
    <row r="21" spans="1:23" s="2422" customFormat="1" ht="36" customHeight="1">
      <c r="A21" s="2427" t="str">
        <f t="shared" si="3"/>
        <v>R10=28;COM=</v>
      </c>
      <c r="C21" s="2509" t="s">
        <v>6081</v>
      </c>
      <c r="D21" s="1434"/>
      <c r="E21" s="1434"/>
      <c r="F21" s="1153">
        <f t="shared" si="4"/>
        <v>0</v>
      </c>
      <c r="G21" s="1434"/>
      <c r="H21" s="1325"/>
      <c r="I21" s="1325"/>
      <c r="J21" s="1434"/>
      <c r="K21" s="1325"/>
      <c r="L21" s="1325"/>
      <c r="M21" s="1325"/>
      <c r="N21" s="1325"/>
      <c r="O21" s="1325"/>
      <c r="P21" s="1325"/>
      <c r="Q21" s="1324">
        <f t="shared" si="1"/>
        <v>0</v>
      </c>
      <c r="R21" s="1325"/>
      <c r="S21" s="1153">
        <f t="shared" si="5"/>
        <v>0</v>
      </c>
      <c r="T21" s="1326"/>
      <c r="V21" s="2422" t="b">
        <f t="shared" si="2"/>
        <v>1</v>
      </c>
      <c r="W21" s="2830" t="b">
        <f t="shared" si="6"/>
        <v>1</v>
      </c>
    </row>
    <row r="22" spans="1:23" s="2422" customFormat="1" ht="37.5">
      <c r="A22" s="2427" t="str">
        <f t="shared" si="3"/>
        <v>R10=29;COM=</v>
      </c>
      <c r="C22" s="2509" t="s">
        <v>7121</v>
      </c>
      <c r="D22" s="1434"/>
      <c r="E22" s="1434"/>
      <c r="F22" s="1153">
        <f t="shared" si="4"/>
        <v>0</v>
      </c>
      <c r="G22" s="1434"/>
      <c r="H22" s="1325"/>
      <c r="I22" s="1325"/>
      <c r="J22" s="1434"/>
      <c r="K22" s="1325"/>
      <c r="L22" s="1325"/>
      <c r="M22" s="1325"/>
      <c r="N22" s="1325"/>
      <c r="O22" s="1325"/>
      <c r="P22" s="1325"/>
      <c r="Q22" s="1324">
        <f t="shared" si="1"/>
        <v>0</v>
      </c>
      <c r="R22" s="1325"/>
      <c r="S22" s="1153">
        <f t="shared" si="5"/>
        <v>0</v>
      </c>
      <c r="T22" s="1326"/>
      <c r="V22" s="2422" t="b">
        <f t="shared" si="2"/>
        <v>1</v>
      </c>
      <c r="W22" s="2830" t="b">
        <f t="shared" si="6"/>
        <v>1</v>
      </c>
    </row>
    <row r="23" spans="1:23">
      <c r="A23" s="2427" t="str">
        <f t="shared" si="3"/>
        <v>R10=31;COM=</v>
      </c>
      <c r="C23" s="2509" t="s">
        <v>3655</v>
      </c>
      <c r="D23" s="1434"/>
      <c r="E23" s="1434"/>
      <c r="F23" s="1153">
        <f t="shared" si="4"/>
        <v>0</v>
      </c>
      <c r="G23" s="1434"/>
      <c r="H23" s="1325"/>
      <c r="I23" s="1325"/>
      <c r="J23" s="1434"/>
      <c r="K23" s="1325"/>
      <c r="L23" s="1325"/>
      <c r="M23" s="1325"/>
      <c r="N23" s="1325"/>
      <c r="O23" s="1325"/>
      <c r="P23" s="1325"/>
      <c r="Q23" s="1324">
        <f t="shared" si="1"/>
        <v>0</v>
      </c>
      <c r="R23" s="1325"/>
      <c r="S23" s="1153">
        <f t="shared" si="5"/>
        <v>0</v>
      </c>
      <c r="T23" s="1326"/>
      <c r="V23" s="2422" t="b">
        <f t="shared" si="2"/>
        <v>1</v>
      </c>
      <c r="W23" s="2830" t="b">
        <f t="shared" si="6"/>
        <v>1</v>
      </c>
    </row>
    <row r="24" spans="1:23">
      <c r="A24" s="2427" t="str">
        <f t="shared" si="3"/>
        <v>R10=32;COM=</v>
      </c>
      <c r="C24" s="2509" t="s">
        <v>3654</v>
      </c>
      <c r="D24" s="1434"/>
      <c r="E24" s="1434"/>
      <c r="F24" s="1153">
        <f t="shared" si="4"/>
        <v>0</v>
      </c>
      <c r="G24" s="1434"/>
      <c r="H24" s="1325"/>
      <c r="I24" s="1325"/>
      <c r="J24" s="1434"/>
      <c r="K24" s="1325"/>
      <c r="L24" s="1325"/>
      <c r="M24" s="1325"/>
      <c r="N24" s="1325"/>
      <c r="O24" s="1325"/>
      <c r="P24" s="1325"/>
      <c r="Q24" s="1324">
        <f t="shared" si="1"/>
        <v>0</v>
      </c>
      <c r="R24" s="1325"/>
      <c r="S24" s="1153">
        <f t="shared" si="5"/>
        <v>0</v>
      </c>
      <c r="T24" s="1326"/>
      <c r="V24" s="1163" t="b">
        <f t="shared" si="2"/>
        <v>1</v>
      </c>
      <c r="W24" s="2830" t="b">
        <f t="shared" si="6"/>
        <v>1</v>
      </c>
    </row>
    <row r="25" spans="1:23" ht="25">
      <c r="A25" s="2427" t="str">
        <f t="shared" si="3"/>
        <v>R10=41;COM=</v>
      </c>
      <c r="C25" s="2509" t="s">
        <v>3653</v>
      </c>
      <c r="D25" s="1434"/>
      <c r="E25" s="1434"/>
      <c r="F25" s="1153">
        <f t="shared" si="4"/>
        <v>0</v>
      </c>
      <c r="G25" s="1434"/>
      <c r="H25" s="1325"/>
      <c r="I25" s="1325"/>
      <c r="J25" s="1434"/>
      <c r="K25" s="1325"/>
      <c r="L25" s="1325"/>
      <c r="M25" s="1325"/>
      <c r="N25" s="1325"/>
      <c r="O25" s="1325"/>
      <c r="P25" s="1325"/>
      <c r="Q25" s="1324">
        <f t="shared" si="1"/>
        <v>0</v>
      </c>
      <c r="R25" s="1325"/>
      <c r="S25" s="1153">
        <f t="shared" si="5"/>
        <v>0</v>
      </c>
      <c r="T25" s="1326"/>
      <c r="V25" s="1163" t="b">
        <f t="shared" si="2"/>
        <v>1</v>
      </c>
      <c r="W25" s="2830" t="b">
        <f t="shared" si="6"/>
        <v>1</v>
      </c>
    </row>
    <row r="26" spans="1:23" ht="25.5" thickBot="1">
      <c r="A26" s="2427" t="str">
        <f t="shared" si="3"/>
        <v>R10=42;COM=</v>
      </c>
      <c r="C26" s="520" t="s">
        <v>7122</v>
      </c>
      <c r="D26" s="1483"/>
      <c r="E26" s="1483"/>
      <c r="F26" s="1327">
        <f>D26-E26</f>
        <v>0</v>
      </c>
      <c r="G26" s="1483"/>
      <c r="H26" s="1328"/>
      <c r="I26" s="1328"/>
      <c r="J26" s="1483"/>
      <c r="K26" s="1328"/>
      <c r="L26" s="1328"/>
      <c r="M26" s="1328"/>
      <c r="N26" s="1328"/>
      <c r="O26" s="1328"/>
      <c r="P26" s="1328"/>
      <c r="Q26" s="1329">
        <f t="shared" si="1"/>
        <v>0</v>
      </c>
      <c r="R26" s="1328"/>
      <c r="S26" s="1327">
        <f t="shared" si="5"/>
        <v>0</v>
      </c>
      <c r="T26" s="1330"/>
      <c r="V26" s="1163" t="b">
        <f t="shared" si="2"/>
        <v>1</v>
      </c>
      <c r="W26" s="2830" t="b">
        <f t="shared" si="6"/>
        <v>1</v>
      </c>
    </row>
    <row r="30" spans="1:23" ht="51" customHeight="1"/>
  </sheetData>
  <sheetProtection algorithmName="SHA-512" hashValue="mk18ktu61ng5r8SqEbjFi00UN8ZTa5S2clNdMvcc3lPJphxCQMVFRB5Cwpm5YNz7LqGopy8vKaNOxfN8/gT2sw==" saltValue="Z8RK1XzXXUpMV296a8LLZw==" spinCount="100000" sheet="1" objects="1" scenarios="1" formatColumns="0" formatRows="0" autoFilter="0"/>
  <autoFilter ref="C9:T9"/>
  <customSheetViews>
    <customSheetView guid="{3769259D-9653-4B34-A2F6-4FB6F9F4E533}" showGridLines="0" showAutoFilter="1" hiddenRows="1" hiddenColumns="1">
      <pane xSplit="4" ySplit="10" topLeftCell="Z11" activePane="bottomRight" state="frozen"/>
      <selection pane="bottomRight" activeCell="C16" sqref="C16"/>
      <pageMargins left="0.7" right="0.7" top="0.75" bottom="0.75" header="0.3" footer="0.3"/>
      <autoFilter ref="B1:AD1"/>
    </customSheetView>
    <customSheetView guid="{40D7A2BB-326C-4ED3-999C-17852F56D6F4}" showGridLines="0" showAutoFilter="1" hiddenRows="1" hiddenColumns="1">
      <pane xSplit="4" ySplit="10" topLeftCell="Z11" activePane="bottomRight" state="frozen"/>
      <selection pane="bottomRight" activeCell="C16" sqref="C16"/>
      <pageMargins left="0.7" right="0.7" top="0.75" bottom="0.75" header="0.3" footer="0.3"/>
      <autoFilter ref="B1:AD1"/>
    </customSheetView>
    <customSheetView guid="{5D121940-0CE8-4A0E-A493-67FAAA6E0FF8}" showGridLines="0" showAutoFilter="1" hiddenRows="1" hiddenColumns="1" topLeftCell="B2">
      <pane xSplit="3" ySplit="9" topLeftCell="AF17" activePane="bottomRight" state="frozen"/>
      <selection pane="bottomRight" activeCell="AG2" sqref="AG1:AG65536"/>
      <pageMargins left="0.7" right="0.7" top="0.75" bottom="0.75" header="0.3" footer="0.3"/>
      <autoFilter ref="B1:AD1"/>
    </customSheetView>
    <customSheetView guid="{47AEACC4-6EA5-412C-AF39-A6C5357B313A}" showGridLines="0" showAutoFilter="1" hiddenRows="1" hiddenColumns="1">
      <pane xSplit="3" ySplit="9" topLeftCell="AA10" activePane="bottomRight" state="frozen"/>
      <selection pane="bottomRight" activeCell="C9" sqref="C9:AE9"/>
      <pageMargins left="0.7" right="0.7" top="0.75" bottom="0.75" header="0.3" footer="0.3"/>
      <autoFilter ref="B1:AD1"/>
    </customSheetView>
    <customSheetView guid="{4D957B38-5430-481E-B791-E0A66F913B50}" scale="70">
      <selection activeCell="C11" sqref="C11"/>
      <pageMargins left="0.7" right="0.7" top="0.75" bottom="0.75" header="0.3" footer="0.3"/>
    </customSheetView>
    <customSheetView guid="{C913A9E8-661B-40A4-A3C9-1BC5F2B2E9F0}" showGridLines="0" showAutoFilter="1" hiddenRows="1" hiddenColumns="1">
      <pane xSplit="3" ySplit="9" topLeftCell="AA10" activePane="bottomRight" state="frozen"/>
      <selection pane="bottomRight" activeCell="C9" sqref="C9:AE9"/>
      <pageMargins left="0.7" right="0.7" top="0.75" bottom="0.75" header="0.3" footer="0.3"/>
      <autoFilter ref="B1:AD1"/>
    </customSheetView>
  </customSheetViews>
  <mergeCells count="15">
    <mergeCell ref="C6:C7"/>
    <mergeCell ref="D6:D7"/>
    <mergeCell ref="G6:G7"/>
    <mergeCell ref="H6:H7"/>
    <mergeCell ref="E6:E7"/>
    <mergeCell ref="F6:F7"/>
    <mergeCell ref="S6:S7"/>
    <mergeCell ref="N6:N7"/>
    <mergeCell ref="I6:I7"/>
    <mergeCell ref="T6:T7"/>
    <mergeCell ref="J6:M6"/>
    <mergeCell ref="O6:O7"/>
    <mergeCell ref="P6:P7"/>
    <mergeCell ref="Q6:Q7"/>
    <mergeCell ref="R6:R7"/>
  </mergeCells>
  <phoneticPr fontId="0" type="noConversion"/>
  <hyperlinks>
    <hyperlink ref="D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8" fitToWidth="2" orientation="landscape" horizontalDpi="300" verticalDpi="300"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>
    <pageSetUpPr fitToPage="1"/>
  </sheetPr>
  <dimension ref="A1:Y23"/>
  <sheetViews>
    <sheetView topLeftCell="B2" zoomScale="52" zoomScaleNormal="52" workbookViewId="0">
      <selection activeCell="F17" sqref="F17"/>
    </sheetView>
  </sheetViews>
  <sheetFormatPr defaultColWidth="19.453125" defaultRowHeight="14.5"/>
  <cols>
    <col min="1" max="1" width="9" style="1163" hidden="1" customWidth="1"/>
    <col min="2" max="2" width="2.453125" style="1163" customWidth="1"/>
    <col min="3" max="3" width="32.54296875" style="1163" customWidth="1"/>
    <col min="4" max="4" width="21" style="1163" customWidth="1"/>
    <col min="5" max="5" width="19.54296875" style="1163" customWidth="1"/>
    <col min="6" max="9" width="17" style="1163" customWidth="1"/>
    <col min="10" max="10" width="19.54296875" style="1163" customWidth="1"/>
    <col min="11" max="14" width="17" style="1163" customWidth="1"/>
    <col min="15" max="15" width="21.54296875" style="1163" customWidth="1"/>
    <col min="16" max="23" width="17" style="1163" customWidth="1"/>
    <col min="24" max="24" width="19.453125" style="1163"/>
    <col min="25" max="25" width="19.453125" style="1163" customWidth="1"/>
    <col min="26" max="16384" width="19.453125" style="1163"/>
  </cols>
  <sheetData>
    <row r="1" spans="1:25" ht="15.75" hidden="1" customHeight="1">
      <c r="A1" s="23" t="s">
        <v>496</v>
      </c>
      <c r="B1" s="6"/>
      <c r="C1" s="37"/>
      <c r="D1" s="6"/>
      <c r="E1" s="6" t="s">
        <v>1074</v>
      </c>
      <c r="F1" s="6" t="s">
        <v>1075</v>
      </c>
      <c r="G1" s="6"/>
      <c r="H1" s="6" t="s">
        <v>1061</v>
      </c>
      <c r="I1" s="6" t="s">
        <v>1062</v>
      </c>
      <c r="J1" s="6" t="s">
        <v>490</v>
      </c>
      <c r="K1" s="6" t="s">
        <v>497</v>
      </c>
      <c r="L1" s="6" t="s">
        <v>491</v>
      </c>
      <c r="M1" s="6" t="s">
        <v>493</v>
      </c>
      <c r="N1" s="2420" t="s">
        <v>6456</v>
      </c>
      <c r="O1" s="6" t="s">
        <v>495</v>
      </c>
      <c r="P1" s="6" t="s">
        <v>492</v>
      </c>
      <c r="Q1" s="6"/>
      <c r="R1" s="6" t="s">
        <v>1077</v>
      </c>
      <c r="S1" s="6" t="s">
        <v>1078</v>
      </c>
      <c r="T1" s="6"/>
      <c r="U1" s="6" t="s">
        <v>1072</v>
      </c>
      <c r="V1" s="6" t="s">
        <v>1073</v>
      </c>
      <c r="W1" s="6"/>
    </row>
    <row r="2" spans="1:25" s="1923" customFormat="1">
      <c r="A2" s="1950"/>
      <c r="B2" s="1951"/>
      <c r="C2" s="1951"/>
      <c r="D2" s="1951" t="s">
        <v>1648</v>
      </c>
      <c r="E2" s="1951" t="s">
        <v>1648</v>
      </c>
      <c r="F2" s="1951" t="s">
        <v>1648</v>
      </c>
      <c r="G2" s="1951" t="s">
        <v>1648</v>
      </c>
      <c r="H2" s="1951" t="s">
        <v>1648</v>
      </c>
      <c r="I2" s="1951" t="s">
        <v>1648</v>
      </c>
      <c r="J2" s="1951" t="s">
        <v>1648</v>
      </c>
      <c r="K2" s="1951" t="s">
        <v>1648</v>
      </c>
      <c r="L2" s="1951" t="s">
        <v>1648</v>
      </c>
      <c r="M2" s="1951" t="s">
        <v>1648</v>
      </c>
      <c r="N2" s="1951" t="s">
        <v>1648</v>
      </c>
      <c r="O2" s="1951" t="s">
        <v>1648</v>
      </c>
      <c r="P2" s="1951" t="s">
        <v>1648</v>
      </c>
      <c r="Q2" s="1951" t="s">
        <v>1648</v>
      </c>
      <c r="R2" s="1951" t="s">
        <v>1648</v>
      </c>
      <c r="S2" s="1951" t="s">
        <v>1648</v>
      </c>
      <c r="T2" s="1951" t="s">
        <v>1648</v>
      </c>
      <c r="U2" s="1951" t="s">
        <v>1648</v>
      </c>
      <c r="V2" s="1951" t="s">
        <v>1648</v>
      </c>
    </row>
    <row r="3" spans="1:25" ht="26">
      <c r="A3" s="9"/>
      <c r="C3" s="24"/>
      <c r="D3" s="173"/>
      <c r="E3"/>
      <c r="F3" s="1897" t="s">
        <v>2067</v>
      </c>
      <c r="G3" s="1244">
        <f>Содержание!$D$2</f>
        <v>0</v>
      </c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</row>
    <row r="4" spans="1:25" ht="26">
      <c r="A4" s="9"/>
      <c r="C4" s="105" t="s">
        <v>1798</v>
      </c>
      <c r="D4" s="24"/>
      <c r="E4" s="3044" t="s">
        <v>1436</v>
      </c>
      <c r="F4" s="1897" t="s">
        <v>2075</v>
      </c>
      <c r="G4" s="1244" t="str">
        <f>Содержание!$D$15</f>
        <v>2022 год</v>
      </c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U4" s="24"/>
      <c r="V4" s="24"/>
      <c r="W4" s="24"/>
    </row>
    <row r="5" spans="1:25" ht="15" thickBot="1">
      <c r="A5" s="9"/>
      <c r="D5"/>
      <c r="E5" s="192"/>
      <c r="F5" s="192"/>
      <c r="G5" s="192"/>
      <c r="H5" s="192"/>
      <c r="I5" s="192"/>
      <c r="J5" s="192"/>
      <c r="K5" s="192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4"/>
    </row>
    <row r="6" spans="1:25" ht="63" customHeight="1">
      <c r="A6" s="9"/>
      <c r="C6" s="111" t="s">
        <v>1825</v>
      </c>
      <c r="D6" s="14" t="s">
        <v>3962</v>
      </c>
      <c r="E6" s="28" t="s">
        <v>4081</v>
      </c>
      <c r="F6" s="28" t="s">
        <v>445</v>
      </c>
      <c r="G6" s="14" t="s">
        <v>3963</v>
      </c>
      <c r="H6" s="28" t="s">
        <v>4081</v>
      </c>
      <c r="I6" s="28" t="s">
        <v>445</v>
      </c>
      <c r="J6" s="28" t="s">
        <v>1438</v>
      </c>
      <c r="K6" s="28" t="s">
        <v>5221</v>
      </c>
      <c r="L6" s="28" t="s">
        <v>5214</v>
      </c>
      <c r="M6" s="28" t="s">
        <v>3974</v>
      </c>
      <c r="N6" s="28" t="s">
        <v>5222</v>
      </c>
      <c r="O6" s="28" t="s">
        <v>4842</v>
      </c>
      <c r="P6" s="28" t="s">
        <v>5215</v>
      </c>
      <c r="Q6" s="347" t="s">
        <v>3964</v>
      </c>
      <c r="R6" s="28" t="s">
        <v>4081</v>
      </c>
      <c r="S6" s="28" t="s">
        <v>445</v>
      </c>
      <c r="T6" s="347" t="s">
        <v>3965</v>
      </c>
      <c r="U6" s="28" t="s">
        <v>4081</v>
      </c>
      <c r="V6" s="28" t="s">
        <v>445</v>
      </c>
      <c r="W6" s="82" t="s">
        <v>4183</v>
      </c>
    </row>
    <row r="7" spans="1:25">
      <c r="A7" s="9"/>
      <c r="C7" s="99" t="s">
        <v>1822</v>
      </c>
      <c r="D7" s="15" t="s">
        <v>5234</v>
      </c>
      <c r="E7" s="15" t="s">
        <v>4142</v>
      </c>
      <c r="F7" s="15" t="s">
        <v>4142</v>
      </c>
      <c r="G7" s="15" t="s">
        <v>5234</v>
      </c>
      <c r="H7" s="15" t="s">
        <v>4142</v>
      </c>
      <c r="I7" s="15" t="s">
        <v>4142</v>
      </c>
      <c r="J7" s="16" t="s">
        <v>5216</v>
      </c>
      <c r="K7" s="16" t="s">
        <v>5223</v>
      </c>
      <c r="L7" s="16" t="s">
        <v>5217</v>
      </c>
      <c r="M7" s="16" t="s">
        <v>5219</v>
      </c>
      <c r="N7" s="16" t="s">
        <v>5220</v>
      </c>
      <c r="O7" s="16" t="s">
        <v>2773</v>
      </c>
      <c r="P7" s="16" t="s">
        <v>5218</v>
      </c>
      <c r="Q7" s="15" t="s">
        <v>4163</v>
      </c>
      <c r="R7" s="15" t="s">
        <v>4142</v>
      </c>
      <c r="S7" s="15" t="s">
        <v>4142</v>
      </c>
      <c r="T7" s="15" t="s">
        <v>4163</v>
      </c>
      <c r="U7" s="15" t="s">
        <v>4142</v>
      </c>
      <c r="V7" s="15" t="s">
        <v>4142</v>
      </c>
      <c r="W7" s="25"/>
    </row>
    <row r="8" spans="1:25" s="674" customFormat="1" ht="10.5">
      <c r="A8" s="668"/>
      <c r="C8" s="706" t="s">
        <v>4164</v>
      </c>
      <c r="D8" s="1532" t="s">
        <v>4165</v>
      </c>
      <c r="E8" s="1532" t="s">
        <v>4166</v>
      </c>
      <c r="F8" s="1532" t="s">
        <v>5500</v>
      </c>
      <c r="G8" s="1532" t="s">
        <v>4169</v>
      </c>
      <c r="H8" s="1532" t="s">
        <v>4168</v>
      </c>
      <c r="I8" s="1532" t="s">
        <v>4178</v>
      </c>
      <c r="J8" s="1532" t="s">
        <v>4179</v>
      </c>
      <c r="K8" s="1532" t="s">
        <v>4167</v>
      </c>
      <c r="L8" s="1532" t="s">
        <v>5501</v>
      </c>
      <c r="M8" s="1532" t="s">
        <v>4701</v>
      </c>
      <c r="N8" s="1532" t="s">
        <v>4702</v>
      </c>
      <c r="O8" s="1532" t="s">
        <v>4703</v>
      </c>
      <c r="P8" s="1532" t="s">
        <v>5502</v>
      </c>
      <c r="Q8" s="1532" t="s">
        <v>5503</v>
      </c>
      <c r="R8" s="1532" t="s">
        <v>5504</v>
      </c>
      <c r="S8" s="1532" t="s">
        <v>4853</v>
      </c>
      <c r="T8" s="1532" t="s">
        <v>4852</v>
      </c>
      <c r="U8" s="1532" t="s">
        <v>5505</v>
      </c>
      <c r="V8" s="1532" t="s">
        <v>4851</v>
      </c>
      <c r="W8" s="1532" t="s">
        <v>5506</v>
      </c>
    </row>
    <row r="9" spans="1:25">
      <c r="A9" s="9"/>
      <c r="C9" s="277" t="s">
        <v>4170</v>
      </c>
      <c r="D9" s="177">
        <f t="shared" ref="D9:I9" si="0">SUM(D10:D10003)</f>
        <v>0</v>
      </c>
      <c r="E9" s="177">
        <f t="shared" si="0"/>
        <v>0</v>
      </c>
      <c r="F9" s="177">
        <f t="shared" si="0"/>
        <v>0</v>
      </c>
      <c r="G9" s="177">
        <f t="shared" si="0"/>
        <v>0</v>
      </c>
      <c r="H9" s="177">
        <f t="shared" si="0"/>
        <v>0</v>
      </c>
      <c r="I9" s="177">
        <f t="shared" si="0"/>
        <v>0</v>
      </c>
      <c r="J9" s="177">
        <f t="shared" ref="J9:V9" si="1">SUM(J10:J10003)</f>
        <v>0</v>
      </c>
      <c r="K9" s="177">
        <f t="shared" si="1"/>
        <v>0</v>
      </c>
      <c r="L9" s="177">
        <f t="shared" si="1"/>
        <v>0</v>
      </c>
      <c r="M9" s="177">
        <f t="shared" si="1"/>
        <v>0</v>
      </c>
      <c r="N9" s="177">
        <f t="shared" si="1"/>
        <v>0</v>
      </c>
      <c r="O9" s="177">
        <f t="shared" si="1"/>
        <v>0</v>
      </c>
      <c r="P9" s="177">
        <f t="shared" si="1"/>
        <v>0</v>
      </c>
      <c r="Q9" s="177">
        <f t="shared" si="1"/>
        <v>0</v>
      </c>
      <c r="R9" s="177">
        <f t="shared" si="1"/>
        <v>0</v>
      </c>
      <c r="S9" s="177">
        <f t="shared" si="1"/>
        <v>0</v>
      </c>
      <c r="T9" s="177">
        <f t="shared" si="1"/>
        <v>0</v>
      </c>
      <c r="U9" s="177">
        <f t="shared" si="1"/>
        <v>0</v>
      </c>
      <c r="V9" s="177">
        <f t="shared" si="1"/>
        <v>0</v>
      </c>
      <c r="W9" s="278" t="s">
        <v>4184</v>
      </c>
      <c r="Y9" s="1163" t="b">
        <f>AND(Y10:Y100)</f>
        <v>1</v>
      </c>
    </row>
    <row r="10" spans="1:25">
      <c r="A10" s="9" t="str">
        <f t="shared" ref="A10:A15" si="2">"R12="&amp;IF(ISERROR(MID(C10,FIND("{",C10)+1,FIND("}",C10)-FIND("{",C10)-1)),"",MID(C10,FIND("{",C10)+1,FIND("}",C10)-FIND("{",C10)-1))&amp;";COM="&amp;W10</f>
        <v>R12=;COM=</v>
      </c>
      <c r="C10" s="1484"/>
      <c r="D10" s="1434"/>
      <c r="E10" s="1434"/>
      <c r="F10" s="1769">
        <f t="shared" ref="F10:F15" si="3">D10-E10</f>
        <v>0</v>
      </c>
      <c r="G10" s="178"/>
      <c r="H10" s="1434"/>
      <c r="I10" s="1769">
        <f t="shared" ref="I10:I15" si="4">G10-H10</f>
        <v>0</v>
      </c>
      <c r="J10" s="178"/>
      <c r="K10" s="178"/>
      <c r="L10" s="178"/>
      <c r="M10" s="1434"/>
      <c r="N10" s="1434"/>
      <c r="O10" s="178"/>
      <c r="P10" s="178"/>
      <c r="Q10" s="1714">
        <f t="shared" ref="Q10:Q15" si="5">SUM(D10,G10,J10:P10,-T10)</f>
        <v>0</v>
      </c>
      <c r="R10" s="279"/>
      <c r="S10" s="1769">
        <f t="shared" ref="S10:S15" si="6">Q10-R10</f>
        <v>0</v>
      </c>
      <c r="T10" s="279"/>
      <c r="U10" s="279"/>
      <c r="V10" s="1769">
        <f t="shared" ref="V10:V15" si="7">T10-U10</f>
        <v>0</v>
      </c>
      <c r="W10" s="90"/>
      <c r="Y10" s="1163" t="b">
        <f t="shared" ref="Y10:Y15" si="8">IF(OR(E10&lt;-1,F10&lt;-1,I10&gt;1,H10&gt;1,R10&lt;-1,S10&lt;-1,U10&gt;1,V10&gt;1),FALSE,TRUE)</f>
        <v>1</v>
      </c>
    </row>
    <row r="11" spans="1:25">
      <c r="A11" s="9" t="str">
        <f t="shared" si="2"/>
        <v>R12=;COM=</v>
      </c>
      <c r="C11" s="1484"/>
      <c r="D11" s="1434"/>
      <c r="E11" s="1434"/>
      <c r="F11" s="1769">
        <f t="shared" si="3"/>
        <v>0</v>
      </c>
      <c r="G11" s="178"/>
      <c r="H11" s="1434"/>
      <c r="I11" s="1769">
        <f t="shared" si="4"/>
        <v>0</v>
      </c>
      <c r="J11" s="178"/>
      <c r="K11" s="178"/>
      <c r="L11" s="178"/>
      <c r="M11" s="1434"/>
      <c r="N11" s="1434"/>
      <c r="O11" s="178"/>
      <c r="P11" s="178"/>
      <c r="Q11" s="1714">
        <f t="shared" si="5"/>
        <v>0</v>
      </c>
      <c r="R11" s="279"/>
      <c r="S11" s="1769">
        <f t="shared" si="6"/>
        <v>0</v>
      </c>
      <c r="T11" s="279"/>
      <c r="U11" s="279"/>
      <c r="V11" s="1769">
        <f t="shared" si="7"/>
        <v>0</v>
      </c>
      <c r="W11" s="90"/>
      <c r="Y11" s="1163" t="b">
        <f t="shared" si="8"/>
        <v>1</v>
      </c>
    </row>
    <row r="12" spans="1:25">
      <c r="A12" s="9" t="str">
        <f t="shared" si="2"/>
        <v>R12=;COM=</v>
      </c>
      <c r="C12" s="1484"/>
      <c r="D12" s="1434"/>
      <c r="E12" s="1434"/>
      <c r="F12" s="1769">
        <f t="shared" si="3"/>
        <v>0</v>
      </c>
      <c r="G12" s="178"/>
      <c r="H12" s="1434"/>
      <c r="I12" s="1769">
        <f t="shared" si="4"/>
        <v>0</v>
      </c>
      <c r="J12" s="178"/>
      <c r="K12" s="178"/>
      <c r="L12" s="178"/>
      <c r="M12" s="1434"/>
      <c r="N12" s="1434"/>
      <c r="O12" s="178"/>
      <c r="P12" s="178"/>
      <c r="Q12" s="1714">
        <f t="shared" si="5"/>
        <v>0</v>
      </c>
      <c r="R12" s="279"/>
      <c r="S12" s="1769">
        <f t="shared" si="6"/>
        <v>0</v>
      </c>
      <c r="T12" s="279"/>
      <c r="U12" s="279"/>
      <c r="V12" s="1769">
        <f t="shared" si="7"/>
        <v>0</v>
      </c>
      <c r="W12" s="90"/>
      <c r="Y12" s="1163" t="b">
        <f t="shared" si="8"/>
        <v>1</v>
      </c>
    </row>
    <row r="13" spans="1:25">
      <c r="A13" s="9" t="str">
        <f t="shared" si="2"/>
        <v>R12=;COM=</v>
      </c>
      <c r="C13" s="1484"/>
      <c r="D13" s="1434"/>
      <c r="E13" s="1434"/>
      <c r="F13" s="1769">
        <f t="shared" si="3"/>
        <v>0</v>
      </c>
      <c r="G13" s="178"/>
      <c r="H13" s="1434"/>
      <c r="I13" s="1769">
        <f t="shared" si="4"/>
        <v>0</v>
      </c>
      <c r="J13" s="178"/>
      <c r="K13" s="178"/>
      <c r="L13" s="178"/>
      <c r="M13" s="1434"/>
      <c r="N13" s="1434"/>
      <c r="O13" s="178"/>
      <c r="P13" s="178"/>
      <c r="Q13" s="1714">
        <f t="shared" si="5"/>
        <v>0</v>
      </c>
      <c r="R13" s="279"/>
      <c r="S13" s="1769">
        <f t="shared" si="6"/>
        <v>0</v>
      </c>
      <c r="T13" s="279"/>
      <c r="U13" s="279"/>
      <c r="V13" s="1769">
        <f t="shared" si="7"/>
        <v>0</v>
      </c>
      <c r="W13" s="90"/>
      <c r="Y13" s="1163" t="b">
        <f t="shared" si="8"/>
        <v>1</v>
      </c>
    </row>
    <row r="14" spans="1:25" s="2830" customFormat="1">
      <c r="A14" s="2427" t="str">
        <f t="shared" si="2"/>
        <v>R12=;COM=</v>
      </c>
      <c r="C14" s="1484"/>
      <c r="D14" s="1434"/>
      <c r="E14" s="1434"/>
      <c r="F14" s="1769">
        <f t="shared" si="3"/>
        <v>0</v>
      </c>
      <c r="G14" s="1434"/>
      <c r="H14" s="1434"/>
      <c r="I14" s="1769">
        <f t="shared" si="4"/>
        <v>0</v>
      </c>
      <c r="J14" s="1434"/>
      <c r="K14" s="1434"/>
      <c r="L14" s="1434"/>
      <c r="M14" s="1434"/>
      <c r="N14" s="1434"/>
      <c r="O14" s="1434"/>
      <c r="P14" s="1434"/>
      <c r="Q14" s="1714">
        <f t="shared" si="5"/>
        <v>0</v>
      </c>
      <c r="R14" s="279"/>
      <c r="S14" s="1769">
        <f t="shared" si="6"/>
        <v>0</v>
      </c>
      <c r="T14" s="279"/>
      <c r="U14" s="279"/>
      <c r="V14" s="1769">
        <f t="shared" si="7"/>
        <v>0</v>
      </c>
      <c r="W14" s="90"/>
      <c r="Y14" s="2830" t="b">
        <f t="shared" si="8"/>
        <v>1</v>
      </c>
    </row>
    <row r="15" spans="1:25" s="2830" customFormat="1" ht="15" thickBot="1">
      <c r="A15" s="2427" t="str">
        <f t="shared" si="2"/>
        <v>R12=;COM=</v>
      </c>
      <c r="C15" s="419"/>
      <c r="D15" s="276"/>
      <c r="E15" s="276"/>
      <c r="F15" s="1908">
        <f t="shared" si="3"/>
        <v>0</v>
      </c>
      <c r="G15" s="276"/>
      <c r="H15" s="276"/>
      <c r="I15" s="1908">
        <f t="shared" si="4"/>
        <v>0</v>
      </c>
      <c r="J15" s="276"/>
      <c r="K15" s="276"/>
      <c r="L15" s="276"/>
      <c r="M15" s="276"/>
      <c r="N15" s="276"/>
      <c r="O15" s="276"/>
      <c r="P15" s="276"/>
      <c r="Q15" s="1722">
        <f t="shared" si="5"/>
        <v>0</v>
      </c>
      <c r="R15" s="280"/>
      <c r="S15" s="1908">
        <f t="shared" si="6"/>
        <v>0</v>
      </c>
      <c r="T15" s="280"/>
      <c r="U15" s="280"/>
      <c r="V15" s="1908">
        <f t="shared" si="7"/>
        <v>0</v>
      </c>
      <c r="W15" s="83"/>
      <c r="Y15" s="2830" t="b">
        <f t="shared" si="8"/>
        <v>1</v>
      </c>
    </row>
    <row r="23" ht="15.75" customHeight="1"/>
  </sheetData>
  <sheetProtection algorithmName="SHA-512" hashValue="WblL+DfxWGWQNS0SN/j8Wi5CslntkUQF/IoGAMfXFIGiTCo70m2mpG5SLD+HyQj93C8qoF2L+vVddKDABdJFEQ==" saltValue="K3TfCkvn0Wj4Dyuc7A+cRQ==" spinCount="100000" sheet="1" objects="1" scenarios="1" formatColumns="0" formatRows="0" autoFilter="0"/>
  <autoFilter ref="C8:W8"/>
  <customSheetViews>
    <customSheetView guid="{3769259D-9653-4B34-A2F6-4FB6F9F4E533}" showGridLines="0" showAutoFilter="1" hiddenColumns="1">
      <pane xSplit="4" ySplit="9" topLeftCell="E10" activePane="bottomRight" state="frozen"/>
      <selection pane="bottomRight"/>
      <pageMargins left="0.7" right="0.7" top="0.75" bottom="0.75" header="0.3" footer="0.3"/>
      <autoFilter ref="B1:V1"/>
    </customSheetView>
    <customSheetView guid="{40D7A2BB-326C-4ED3-999C-17852F56D6F4}" showGridLines="0" showAutoFilter="1" hiddenColumns="1">
      <pane xSplit="4" ySplit="9" topLeftCell="E10" activePane="bottomRight" state="frozen"/>
      <selection pane="bottomRight"/>
      <pageMargins left="0.7" right="0.7" top="0.75" bottom="0.75" header="0.3" footer="0.3"/>
      <autoFilter ref="B1:V1"/>
    </customSheetView>
    <customSheetView guid="{5D121940-0CE8-4A0E-A493-67FAAA6E0FF8}" showGridLines="0" showAutoFilter="1" hiddenRows="1" hiddenColumns="1" topLeftCell="B2">
      <pane xSplit="3" ySplit="8" topLeftCell="V10" activePane="bottomRight" state="frozen"/>
      <selection pane="bottomRight" activeCell="Y2" sqref="Y1:Y65536"/>
      <pageMargins left="0.7" right="0.7" top="0.75" bottom="0.75" header="0.3" footer="0.3"/>
      <autoFilter ref="B1:V1"/>
    </customSheetView>
    <customSheetView guid="{47AEACC4-6EA5-412C-AF39-A6C5357B313A}" showGridLines="0" showAutoFilter="1" hiddenRows="1" hiddenColumns="1">
      <pane xSplit="3" ySplit="8" topLeftCell="P9" activePane="bottomRight" state="frozen"/>
      <selection pane="bottomRight" activeCell="C8" sqref="C8:W8"/>
      <pageMargins left="0.7" right="0.7" top="0.75" bottom="0.75" header="0.3" footer="0.3"/>
      <autoFilter ref="B1:V1"/>
    </customSheetView>
    <customSheetView guid="{4D957B38-5430-481E-B791-E0A66F913B50}" scale="70">
      <pageMargins left="0.7" right="0.7" top="0.75" bottom="0.75" header="0.3" footer="0.3"/>
    </customSheetView>
    <customSheetView guid="{1C36793E-2B7E-411E-AA99-985D5D59B75A}" scale="70">
      <selection activeCell="I32" sqref="I32"/>
      <pageMargins left="0.7" right="0.7" top="0.75" bottom="0.75" header="0.3" footer="0.3"/>
    </customSheetView>
    <customSheetView guid="{C913A9E8-661B-40A4-A3C9-1BC5F2B2E9F0}" showGridLines="0" showAutoFilter="1" hiddenRows="1" hiddenColumns="1">
      <pane xSplit="3" ySplit="8" topLeftCell="P9" activePane="bottomRight" state="frozen"/>
      <selection pane="bottomRight" activeCell="C8" sqref="C8:W8"/>
      <pageMargins left="0.7" right="0.7" top="0.75" bottom="0.75" header="0.3" footer="0.3"/>
      <autoFilter ref="B1:V1"/>
    </customSheetView>
  </customSheetViews>
  <phoneticPr fontId="0" type="noConversion"/>
  <dataValidations count="1">
    <dataValidation type="list" operator="equal" allowBlank="1" showErrorMessage="1" errorTitle="Выбор элемента списка" error="Данного элемента нет в списке" sqref="C10:C15">
      <formula1>_2530</formula1>
    </dataValidation>
  </dataValidations>
  <hyperlinks>
    <hyperlink ref="E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6" fitToWidth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AddButtonsRowAdd">
                <anchor moveWithCells="1">
                  <from>
                    <xdr:col>11</xdr:col>
                    <xdr:colOff>793750</xdr:colOff>
                    <xdr:row>2</xdr:row>
                    <xdr:rowOff>69850</xdr:rowOff>
                  </from>
                  <to>
                    <xdr:col>12</xdr:col>
                    <xdr:colOff>1060450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pageSetUpPr fitToPage="1"/>
  </sheetPr>
  <dimension ref="A1:X16"/>
  <sheetViews>
    <sheetView topLeftCell="B2" zoomScale="74" zoomScaleNormal="74" workbookViewId="0">
      <selection activeCell="F17" sqref="F17"/>
    </sheetView>
  </sheetViews>
  <sheetFormatPr defaultColWidth="10.453125" defaultRowHeight="14.5"/>
  <cols>
    <col min="1" max="1" width="30.54296875" style="1163" hidden="1" customWidth="1"/>
    <col min="2" max="2" width="5.453125" style="252" customWidth="1"/>
    <col min="3" max="3" width="25.54296875" style="252" customWidth="1"/>
    <col min="4" max="4" width="16.453125" style="252" customWidth="1"/>
    <col min="5" max="5" width="20.54296875" style="252" customWidth="1"/>
    <col min="6" max="6" width="14.54296875" style="252" customWidth="1"/>
    <col min="7" max="7" width="29.54296875" style="252" customWidth="1"/>
    <col min="8" max="13" width="17.453125" style="252" customWidth="1"/>
    <col min="14" max="14" width="22.453125" style="252" bestFit="1" customWidth="1"/>
    <col min="15" max="15" width="16.54296875" style="252" bestFit="1" customWidth="1"/>
    <col min="16" max="16" width="17.453125" style="252" customWidth="1"/>
    <col min="17" max="17" width="12.54296875" style="252" customWidth="1"/>
    <col min="18" max="18" width="13.453125" style="252" customWidth="1"/>
    <col min="19" max="20" width="17.453125" style="252" customWidth="1"/>
    <col min="21" max="251" width="11.453125" style="252" customWidth="1"/>
    <col min="252" max="252" width="5.54296875" style="252" customWidth="1"/>
    <col min="253" max="253" width="36.54296875" style="252" customWidth="1"/>
    <col min="254" max="254" width="16.453125" style="252" customWidth="1"/>
    <col min="255" max="255" width="12.453125" style="252" customWidth="1"/>
    <col min="256" max="16384" width="10.453125" style="252"/>
  </cols>
  <sheetData>
    <row r="1" spans="1:24" s="1163" customFormat="1" ht="16.5" hidden="1" customHeight="1">
      <c r="A1" s="167" t="s">
        <v>224</v>
      </c>
      <c r="B1" s="5"/>
      <c r="C1" s="5"/>
      <c r="D1" s="6"/>
      <c r="E1" s="6"/>
      <c r="F1" s="6"/>
      <c r="G1" s="6"/>
      <c r="H1" s="6"/>
      <c r="I1" s="6" t="s">
        <v>391</v>
      </c>
      <c r="J1" s="6" t="s">
        <v>1061</v>
      </c>
      <c r="K1" s="6" t="s">
        <v>1062</v>
      </c>
      <c r="L1" s="6" t="s">
        <v>498</v>
      </c>
      <c r="M1" s="6" t="s">
        <v>499</v>
      </c>
      <c r="N1" s="6" t="s">
        <v>500</v>
      </c>
      <c r="O1" s="6" t="s">
        <v>501</v>
      </c>
      <c r="P1" s="6"/>
      <c r="Q1" s="6" t="s">
        <v>494</v>
      </c>
      <c r="R1" s="6" t="s">
        <v>1072</v>
      </c>
      <c r="S1" s="6" t="s">
        <v>1073</v>
      </c>
      <c r="T1" s="6"/>
    </row>
    <row r="2" spans="1:24" s="1778" customFormat="1" ht="15" thickBot="1">
      <c r="A2" s="7"/>
      <c r="H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R2" s="1778" t="s">
        <v>1648</v>
      </c>
      <c r="S2" s="1778" t="s">
        <v>1648</v>
      </c>
    </row>
    <row r="3" spans="1:24" s="32" customFormat="1" ht="39">
      <c r="A3" s="7"/>
      <c r="G3" s="324" t="s">
        <v>1820</v>
      </c>
      <c r="H3" s="1897" t="s">
        <v>2067</v>
      </c>
      <c r="I3" s="1244">
        <f>Содержание!$D$2</f>
        <v>0</v>
      </c>
    </row>
    <row r="4" spans="1:24" s="32" customFormat="1" ht="15" thickBot="1">
      <c r="A4" s="7"/>
      <c r="C4" s="105" t="s">
        <v>5165</v>
      </c>
      <c r="F4" s="3044" t="s">
        <v>1436</v>
      </c>
      <c r="G4" s="326" t="b">
        <f>ROUND(SUMIF($G$10:$G$9999,"{20} Расчеты неденежными средствами",$N$10:$N$9999),0)=ROUND('75_01_Неденеж'!I9,0)</f>
        <v>1</v>
      </c>
      <c r="H4" s="1897" t="s">
        <v>2075</v>
      </c>
      <c r="I4" s="1244" t="str">
        <f>Содержание!$D$15</f>
        <v>2022 год</v>
      </c>
    </row>
    <row r="5" spans="1:24" s="24" customFormat="1" ht="13.5" thickBot="1">
      <c r="A5" s="9"/>
      <c r="C5" s="251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</row>
    <row r="6" spans="1:24" ht="104">
      <c r="A6" s="9"/>
      <c r="B6" s="192"/>
      <c r="C6" s="85" t="s">
        <v>1819</v>
      </c>
      <c r="D6" s="28" t="s">
        <v>5531</v>
      </c>
      <c r="E6" s="3165" t="s">
        <v>8394</v>
      </c>
      <c r="F6" s="28" t="s">
        <v>4664</v>
      </c>
      <c r="G6" s="28" t="s">
        <v>3016</v>
      </c>
      <c r="H6" s="28" t="s">
        <v>5225</v>
      </c>
      <c r="I6" s="28" t="s">
        <v>395</v>
      </c>
      <c r="J6" s="28" t="s">
        <v>396</v>
      </c>
      <c r="K6" s="28" t="s">
        <v>397</v>
      </c>
      <c r="L6" s="28" t="s">
        <v>2962</v>
      </c>
      <c r="M6" s="28" t="s">
        <v>2776</v>
      </c>
      <c r="N6" s="28" t="s">
        <v>1708</v>
      </c>
      <c r="O6" s="28" t="s">
        <v>5524</v>
      </c>
      <c r="P6" s="28" t="s">
        <v>5233</v>
      </c>
      <c r="Q6" s="28" t="s">
        <v>398</v>
      </c>
      <c r="R6" s="28" t="s">
        <v>399</v>
      </c>
      <c r="S6" s="28" t="s">
        <v>400</v>
      </c>
      <c r="T6" s="82" t="s">
        <v>4183</v>
      </c>
    </row>
    <row r="7" spans="1:24" ht="17.149999999999999" customHeight="1">
      <c r="A7" s="9"/>
      <c r="B7" s="192"/>
      <c r="C7" s="99" t="s">
        <v>5247</v>
      </c>
      <c r="D7" s="15" t="s">
        <v>5247</v>
      </c>
      <c r="E7" s="2361" t="s">
        <v>5247</v>
      </c>
      <c r="F7" s="792" t="s">
        <v>5250</v>
      </c>
      <c r="G7" s="792">
        <v>2540</v>
      </c>
      <c r="H7" s="792" t="s">
        <v>672</v>
      </c>
      <c r="I7" s="792" t="s">
        <v>4142</v>
      </c>
      <c r="J7" s="792" t="s">
        <v>4142</v>
      </c>
      <c r="K7" s="792" t="s">
        <v>4142</v>
      </c>
      <c r="L7" s="792" t="s">
        <v>3470</v>
      </c>
      <c r="M7" s="792" t="s">
        <v>2792</v>
      </c>
      <c r="N7" s="792" t="s">
        <v>3471</v>
      </c>
      <c r="O7" s="792" t="s">
        <v>3487</v>
      </c>
      <c r="P7" s="792" t="s">
        <v>4163</v>
      </c>
      <c r="Q7" s="792" t="s">
        <v>673</v>
      </c>
      <c r="R7" s="792" t="s">
        <v>4142</v>
      </c>
      <c r="S7" s="792" t="s">
        <v>4142</v>
      </c>
      <c r="T7" s="248"/>
    </row>
    <row r="8" spans="1:24" s="719" customFormat="1" ht="10.5">
      <c r="A8" s="668"/>
      <c r="B8" s="718"/>
      <c r="C8" s="1723" t="s">
        <v>4164</v>
      </c>
      <c r="D8" s="1724" t="s">
        <v>4165</v>
      </c>
      <c r="E8" s="1724" t="s">
        <v>4166</v>
      </c>
      <c r="F8" s="1724" t="s">
        <v>5500</v>
      </c>
      <c r="G8" s="1724" t="s">
        <v>4169</v>
      </c>
      <c r="H8" s="1724" t="s">
        <v>4168</v>
      </c>
      <c r="I8" s="1724" t="s">
        <v>4178</v>
      </c>
      <c r="J8" s="1724" t="s">
        <v>4179</v>
      </c>
      <c r="K8" s="1724" t="s">
        <v>4167</v>
      </c>
      <c r="L8" s="1724" t="s">
        <v>5501</v>
      </c>
      <c r="M8" s="1724" t="s">
        <v>4701</v>
      </c>
      <c r="N8" s="1724" t="s">
        <v>4702</v>
      </c>
      <c r="O8" s="1724" t="s">
        <v>4703</v>
      </c>
      <c r="P8" s="1724" t="s">
        <v>5502</v>
      </c>
      <c r="Q8" s="1724" t="s">
        <v>5503</v>
      </c>
      <c r="R8" s="1724" t="s">
        <v>5504</v>
      </c>
      <c r="S8" s="1724" t="s">
        <v>4853</v>
      </c>
      <c r="T8" s="1724" t="s">
        <v>4852</v>
      </c>
    </row>
    <row r="9" spans="1:24" ht="13">
      <c r="A9" s="9"/>
      <c r="B9" s="192"/>
      <c r="C9" s="1156" t="s">
        <v>4170</v>
      </c>
      <c r="D9" s="241" t="s">
        <v>3389</v>
      </c>
      <c r="E9" s="241" t="s">
        <v>3389</v>
      </c>
      <c r="F9" s="241" t="s">
        <v>3389</v>
      </c>
      <c r="G9" s="241" t="s">
        <v>3389</v>
      </c>
      <c r="H9" s="1402">
        <f>SUM(H10:H9999)</f>
        <v>0</v>
      </c>
      <c r="I9" s="1402">
        <f>SUM(I10:I9999)</f>
        <v>0</v>
      </c>
      <c r="J9" s="1402">
        <f t="shared" ref="J9:S9" si="0">SUM(J10:J9999)</f>
        <v>0</v>
      </c>
      <c r="K9" s="1402">
        <f t="shared" si="0"/>
        <v>0</v>
      </c>
      <c r="L9" s="1402">
        <f t="shared" si="0"/>
        <v>0</v>
      </c>
      <c r="M9" s="1402">
        <f t="shared" si="0"/>
        <v>0</v>
      </c>
      <c r="N9" s="1402">
        <f t="shared" si="0"/>
        <v>0</v>
      </c>
      <c r="O9" s="1402">
        <f t="shared" si="0"/>
        <v>0</v>
      </c>
      <c r="P9" s="1402">
        <f t="shared" si="0"/>
        <v>0</v>
      </c>
      <c r="Q9" s="1402">
        <f t="shared" si="0"/>
        <v>0</v>
      </c>
      <c r="R9" s="1402">
        <f t="shared" si="0"/>
        <v>0</v>
      </c>
      <c r="S9" s="1402">
        <f t="shared" si="0"/>
        <v>0</v>
      </c>
      <c r="T9" s="239" t="s">
        <v>3389</v>
      </c>
    </row>
    <row r="10" spans="1:24" ht="13.4" customHeight="1">
      <c r="A10" s="9" t="str">
        <f t="shared" ref="A10:A16" si="1">"R42="&amp;MID(IF(E10&lt;&gt;"",E10,D10),1,30)&amp;";R2="&amp;IFERROR(MID(F10,FIND("{",F10)+1,FIND("}",F10)-FIND("{",F10)-1),"")&amp;";R8="&amp;IFERROR(MID(G10,FIND("{",G10)+1,FIND("}",G10)-FIND("{",G10)-1),"")&amp;";R57="&amp;MID(C10,1,60)&amp;";R36="&amp;MID(E10,1,30)&amp;";R43="&amp;MID(D10,1,30)&amp;";COM="&amp;T10</f>
        <v>R42=;R2=;R8=;R57=;R36=;R43=;COM=</v>
      </c>
      <c r="B10" s="207"/>
      <c r="C10" s="1401"/>
      <c r="D10" s="1407"/>
      <c r="E10" s="1407"/>
      <c r="F10" s="1408"/>
      <c r="G10" s="1403"/>
      <c r="H10" s="1409"/>
      <c r="I10" s="1409"/>
      <c r="J10" s="1409"/>
      <c r="K10" s="1770">
        <f>H10-J10-I10</f>
        <v>0</v>
      </c>
      <c r="L10" s="1409"/>
      <c r="M10" s="1409"/>
      <c r="N10" s="1409"/>
      <c r="O10" s="1409"/>
      <c r="P10" s="1402">
        <f t="shared" ref="P10:P16" si="2">SUM(H10,L10:O10)</f>
        <v>0</v>
      </c>
      <c r="Q10" s="1409"/>
      <c r="R10" s="1409"/>
      <c r="S10" s="1770">
        <f>P10-R10-Q10</f>
        <v>0</v>
      </c>
      <c r="T10" s="1410"/>
      <c r="W10" s="2038" t="b">
        <f>IF(C10&gt;0,OR(AND($D10&lt;&gt;"",$E10=""),AND($D10="",$E10&lt;&gt;""),AND($D10&lt;&gt;"",$E10&lt;&gt;"")),TRUE)</f>
        <v>1</v>
      </c>
      <c r="X10" s="2232" t="b">
        <f>NOT(OR(TEXT(E10,"#")="10015",D10="Внешние контрагенты"))</f>
        <v>1</v>
      </c>
    </row>
    <row r="11" spans="1:24" ht="13.4" customHeight="1">
      <c r="A11" s="2427" t="str">
        <f t="shared" si="1"/>
        <v>R42=;R2=;R8=;R57=;R36=;R43=;COM=</v>
      </c>
      <c r="B11" s="207"/>
      <c r="C11" s="1401"/>
      <c r="D11" s="1407"/>
      <c r="E11" s="1407"/>
      <c r="F11" s="1408"/>
      <c r="G11" s="1403"/>
      <c r="H11" s="1409"/>
      <c r="I11" s="1409"/>
      <c r="J11" s="1409"/>
      <c r="K11" s="1770">
        <f t="shared" ref="K11:K16" si="3">H11-J11-I11</f>
        <v>0</v>
      </c>
      <c r="L11" s="1409"/>
      <c r="M11" s="1409"/>
      <c r="N11" s="1409"/>
      <c r="O11" s="1409"/>
      <c r="P11" s="1402">
        <f t="shared" si="2"/>
        <v>0</v>
      </c>
      <c r="Q11" s="1409"/>
      <c r="R11" s="1409"/>
      <c r="S11" s="1770">
        <f t="shared" ref="S11:S16" si="4">P11-R11-Q11</f>
        <v>0</v>
      </c>
      <c r="T11" s="1410"/>
      <c r="W11" s="2038" t="b">
        <f t="shared" ref="W11:W16" si="5">IF(C11&gt;0,OR(AND($D11&lt;&gt;"",$E11=""),AND($D11="",$E11&lt;&gt;""),AND($D11&lt;&gt;"",$E11&lt;&gt;"")),TRUE)</f>
        <v>1</v>
      </c>
      <c r="X11" s="2232" t="b">
        <f t="shared" ref="X11:X16" si="6">NOT(OR(TEXT(E11,"#")="10015",D11="Внешние контрагенты"))</f>
        <v>1</v>
      </c>
    </row>
    <row r="12" spans="1:24" ht="13.4" customHeight="1">
      <c r="A12" s="2427" t="str">
        <f t="shared" si="1"/>
        <v>R42=;R2=;R8=;R57=;R36=;R43=;COM=</v>
      </c>
      <c r="B12" s="207"/>
      <c r="C12" s="1401"/>
      <c r="D12" s="1407"/>
      <c r="E12" s="1407"/>
      <c r="F12" s="1408"/>
      <c r="G12" s="1403"/>
      <c r="H12" s="1409"/>
      <c r="I12" s="1409"/>
      <c r="J12" s="1409"/>
      <c r="K12" s="1770">
        <f t="shared" si="3"/>
        <v>0</v>
      </c>
      <c r="L12" s="1409"/>
      <c r="M12" s="1409"/>
      <c r="N12" s="1409"/>
      <c r="O12" s="1409"/>
      <c r="P12" s="1402">
        <f t="shared" si="2"/>
        <v>0</v>
      </c>
      <c r="Q12" s="1409"/>
      <c r="R12" s="1409"/>
      <c r="S12" s="1770">
        <f t="shared" si="4"/>
        <v>0</v>
      </c>
      <c r="T12" s="1410"/>
      <c r="W12" s="2038" t="b">
        <f t="shared" si="5"/>
        <v>1</v>
      </c>
      <c r="X12" s="2232" t="b">
        <f t="shared" si="6"/>
        <v>1</v>
      </c>
    </row>
    <row r="13" spans="1:24" ht="13.4" customHeight="1">
      <c r="A13" s="2427" t="str">
        <f t="shared" si="1"/>
        <v>R42=;R2=;R8=;R57=;R36=;R43=;COM=</v>
      </c>
      <c r="B13" s="207"/>
      <c r="C13" s="1401"/>
      <c r="D13" s="1407"/>
      <c r="E13" s="1407"/>
      <c r="F13" s="1408"/>
      <c r="G13" s="1403"/>
      <c r="H13" s="1409"/>
      <c r="I13" s="1409"/>
      <c r="J13" s="1409"/>
      <c r="K13" s="1770">
        <f t="shared" si="3"/>
        <v>0</v>
      </c>
      <c r="L13" s="1409"/>
      <c r="M13" s="1409"/>
      <c r="N13" s="1409"/>
      <c r="O13" s="1409"/>
      <c r="P13" s="1402">
        <f t="shared" si="2"/>
        <v>0</v>
      </c>
      <c r="Q13" s="1409"/>
      <c r="R13" s="1409"/>
      <c r="S13" s="1770">
        <f t="shared" si="4"/>
        <v>0</v>
      </c>
      <c r="T13" s="1410"/>
      <c r="W13" s="2038" t="b">
        <f t="shared" si="5"/>
        <v>1</v>
      </c>
      <c r="X13" s="2232" t="b">
        <f t="shared" si="6"/>
        <v>1</v>
      </c>
    </row>
    <row r="14" spans="1:24" ht="13.4" customHeight="1">
      <c r="A14" s="2427" t="str">
        <f t="shared" si="1"/>
        <v>R42=;R2=;R8=;R57=;R36=;R43=;COM=</v>
      </c>
      <c r="B14" s="207"/>
      <c r="C14" s="1401"/>
      <c r="D14" s="1407"/>
      <c r="E14" s="1407"/>
      <c r="F14" s="1408"/>
      <c r="G14" s="1403"/>
      <c r="H14" s="1409"/>
      <c r="I14" s="1409"/>
      <c r="J14" s="1409"/>
      <c r="K14" s="1770">
        <f t="shared" si="3"/>
        <v>0</v>
      </c>
      <c r="L14" s="1409"/>
      <c r="M14" s="1409"/>
      <c r="N14" s="1409"/>
      <c r="O14" s="1409"/>
      <c r="P14" s="1402">
        <f t="shared" si="2"/>
        <v>0</v>
      </c>
      <c r="Q14" s="1409"/>
      <c r="R14" s="1409"/>
      <c r="S14" s="1770">
        <f t="shared" si="4"/>
        <v>0</v>
      </c>
      <c r="T14" s="1410"/>
      <c r="W14" s="2038" t="b">
        <f t="shared" si="5"/>
        <v>1</v>
      </c>
      <c r="X14" s="2232" t="b">
        <f t="shared" si="6"/>
        <v>1</v>
      </c>
    </row>
    <row r="15" spans="1:24" ht="13.4" customHeight="1">
      <c r="A15" s="2427" t="str">
        <f t="shared" si="1"/>
        <v>R42=;R2=;R8=;R57=;R36=;R43=;COM=</v>
      </c>
      <c r="B15" s="207"/>
      <c r="C15" s="1401"/>
      <c r="D15" s="1407"/>
      <c r="E15" s="1407"/>
      <c r="F15" s="1408"/>
      <c r="G15" s="1403"/>
      <c r="H15" s="1409"/>
      <c r="I15" s="1409"/>
      <c r="J15" s="1409"/>
      <c r="K15" s="1770">
        <f t="shared" si="3"/>
        <v>0</v>
      </c>
      <c r="L15" s="1409"/>
      <c r="M15" s="1409"/>
      <c r="N15" s="1409"/>
      <c r="O15" s="1409"/>
      <c r="P15" s="1402">
        <f t="shared" si="2"/>
        <v>0</v>
      </c>
      <c r="Q15" s="1409"/>
      <c r="R15" s="1409"/>
      <c r="S15" s="1770">
        <f t="shared" si="4"/>
        <v>0</v>
      </c>
      <c r="T15" s="1410"/>
      <c r="W15" s="2038" t="b">
        <f t="shared" si="5"/>
        <v>1</v>
      </c>
      <c r="X15" s="2232" t="b">
        <f t="shared" si="6"/>
        <v>1</v>
      </c>
    </row>
    <row r="16" spans="1:24" ht="13.5" thickBot="1">
      <c r="A16" s="2427" t="str">
        <f t="shared" si="1"/>
        <v>R42=;R2=;R8=;R57=;R36=;R43=;COM=</v>
      </c>
      <c r="B16" s="207"/>
      <c r="C16" s="1404"/>
      <c r="D16" s="1411"/>
      <c r="E16" s="2378"/>
      <c r="F16" s="1412"/>
      <c r="G16" s="1406"/>
      <c r="H16" s="1413"/>
      <c r="I16" s="1413"/>
      <c r="J16" s="1413"/>
      <c r="K16" s="1771">
        <f t="shared" si="3"/>
        <v>0</v>
      </c>
      <c r="L16" s="1413"/>
      <c r="M16" s="1413"/>
      <c r="N16" s="1413"/>
      <c r="O16" s="1413"/>
      <c r="P16" s="1405">
        <f t="shared" si="2"/>
        <v>0</v>
      </c>
      <c r="Q16" s="1413"/>
      <c r="R16" s="1413"/>
      <c r="S16" s="1771">
        <f t="shared" si="4"/>
        <v>0</v>
      </c>
      <c r="T16" s="1414"/>
      <c r="W16" s="2038" t="b">
        <f t="shared" si="5"/>
        <v>1</v>
      </c>
      <c r="X16" s="2232" t="b">
        <f t="shared" si="6"/>
        <v>1</v>
      </c>
    </row>
  </sheetData>
  <sheetProtection algorithmName="SHA-512" hashValue="KMzcLSDYvS3TWTXIMrMED/7ZXvHpHS7j2enRmrhmm+HlkoxIxYJdQdhg4ZwmPPMX2VwLh98pWZ8FPCm5AFYmUA==" saltValue="JpgXS9o/sb/yIDq5UKh/RQ==" spinCount="100000" sheet="1" objects="1" scenarios="1" formatColumns="0" formatRows="0" autoFilter="0"/>
  <autoFilter ref="C8:T8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pageSetup paperSize="9" orientation="portrait" horizontalDpi="0" verticalDpi="0" r:id="rId1"/>
      <autoFilter ref="B1:Q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pageSetup paperSize="9" orientation="portrait" horizontalDpi="0" verticalDpi="0" r:id="rId2"/>
      <autoFilter ref="B1:Q1"/>
    </customSheetView>
    <customSheetView guid="{5D121940-0CE8-4A0E-A493-67FAAA6E0FF8}" showGridLines="0" showAutoFilter="1" hiddenRows="1" hiddenColumns="1" topLeftCell="P3">
      <selection activeCell="T3" sqref="T1:T65536"/>
      <pageMargins left="0.7" right="0.7" top="0.75" bottom="0.75" header="0.3" footer="0.3"/>
      <pageSetup paperSize="9" orientation="portrait" horizontalDpi="0" verticalDpi="0" r:id="rId3"/>
      <autoFilter ref="B1:Q1"/>
    </customSheetView>
    <customSheetView guid="{47AEACC4-6EA5-412C-AF39-A6C5357B313A}" showGridLines="0" showAutoFilter="1" hiddenRows="1" hiddenColumns="1" topLeftCell="I2">
      <selection activeCell="C8" sqref="C8:R8"/>
      <pageMargins left="0.7" right="0.7" top="0.75" bottom="0.75" header="0.3" footer="0.3"/>
      <autoFilter ref="B1:Q1"/>
    </customSheetView>
    <customSheetView guid="{4D957B38-5430-481E-B791-E0A66F913B50}" scale="70">
      <selection activeCell="J4" sqref="J4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I2">
      <selection activeCell="C8" sqref="C8:R8"/>
      <pageMargins left="0.7" right="0.7" top="0.75" bottom="0.75" header="0.3" footer="0.3"/>
      <autoFilter ref="B1:Q1"/>
    </customSheetView>
  </customSheetViews>
  <phoneticPr fontId="0" type="noConversion"/>
  <dataValidations count="3">
    <dataValidation type="list" operator="equal" allowBlank="1" showInputMessage="1" showErrorMessage="1" errorTitle="Выбор элемента списка" error="Данного элемента нет в списке" prompt="При выборе значения &quot;Прочие валюты&quot;, наименование валюты раскрыть в комментариях" sqref="F64704:G64713">
      <formula1>_6003_</formula1>
    </dataValidation>
    <dataValidation type="list" operator="equal" allowBlank="1" showInputMessage="1" showErrorMessage="1" errorTitle="Выбор элемента списка" error="Данного элемента нет в списке" prompt="При выборе значения &quot;Прочие валюты&quot;, наименование валюты раскрыть в комментариях" sqref="F10:F16">
      <formula1>_6003</formula1>
    </dataValidation>
    <dataValidation type="list" allowBlank="1" showInputMessage="1" showErrorMessage="1" sqref="G10:G16">
      <formula1>_2540</formula1>
    </dataValidation>
  </dataValidations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8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7" name="Button 1">
              <controlPr defaultSize="0" print="0" autoFill="0" autoPict="0" macro="[0]!AddButtonsRowAdd">
                <anchor moveWithCells="1">
                  <from>
                    <xdr:col>11</xdr:col>
                    <xdr:colOff>336550</xdr:colOff>
                    <xdr:row>2</xdr:row>
                    <xdr:rowOff>69850</xdr:rowOff>
                  </from>
                  <to>
                    <xdr:col>12</xdr:col>
                    <xdr:colOff>603250</xdr:colOff>
                    <xdr:row>2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pageSetUpPr fitToPage="1"/>
  </sheetPr>
  <dimension ref="A1:M14"/>
  <sheetViews>
    <sheetView topLeftCell="D2" zoomScale="78" zoomScaleNormal="78" workbookViewId="0">
      <selection activeCell="F17" sqref="F17"/>
    </sheetView>
  </sheetViews>
  <sheetFormatPr defaultColWidth="9.453125" defaultRowHeight="14.5"/>
  <cols>
    <col min="1" max="1" width="15.54296875" style="1163" hidden="1" customWidth="1"/>
    <col min="2" max="2" width="4.453125" style="32" customWidth="1"/>
    <col min="3" max="3" width="21" style="32" customWidth="1"/>
    <col min="4" max="4" width="18.54296875" style="32" customWidth="1"/>
    <col min="5" max="5" width="22.54296875" style="32" customWidth="1"/>
    <col min="6" max="6" width="20.453125" style="32" customWidth="1"/>
    <col min="7" max="8" width="18.54296875" style="32" customWidth="1"/>
    <col min="9" max="9" width="23" style="32" customWidth="1"/>
    <col min="10" max="10" width="52.54296875" style="32" customWidth="1"/>
    <col min="11" max="11" width="14.54296875" style="32" customWidth="1"/>
    <col min="12" max="12" width="11.453125" style="32" customWidth="1"/>
    <col min="13" max="13" width="14.453125" style="32" customWidth="1"/>
    <col min="14" max="16384" width="9.453125" style="32"/>
  </cols>
  <sheetData>
    <row r="1" spans="1:13" s="1163" customFormat="1" ht="11.25" hidden="1" customHeight="1">
      <c r="A1" s="167" t="s">
        <v>1799</v>
      </c>
      <c r="B1" s="5"/>
      <c r="C1" s="5"/>
      <c r="D1" s="6"/>
      <c r="E1" s="6"/>
      <c r="F1" s="6"/>
      <c r="G1" s="6"/>
      <c r="H1" s="6"/>
      <c r="I1" s="6" t="s">
        <v>502</v>
      </c>
      <c r="J1" s="6"/>
    </row>
    <row r="2" spans="1:13">
      <c r="A2" s="7"/>
      <c r="F2"/>
      <c r="I2" s="1778" t="s">
        <v>1648</v>
      </c>
    </row>
    <row r="3" spans="1:13" ht="26">
      <c r="A3" s="7"/>
      <c r="G3" s="1897" t="s">
        <v>2067</v>
      </c>
      <c r="H3" s="1244">
        <f>Содержание!$D$2</f>
        <v>0</v>
      </c>
    </row>
    <row r="4" spans="1:13" s="24" customFormat="1">
      <c r="A4" s="9"/>
      <c r="C4" s="105" t="s">
        <v>5166</v>
      </c>
      <c r="G4" s="1897" t="s">
        <v>2075</v>
      </c>
      <c r="H4" s="1244" t="str">
        <f>Содержание!$D$15</f>
        <v>2022 год</v>
      </c>
      <c r="J4" s="3044" t="s">
        <v>1436</v>
      </c>
    </row>
    <row r="5" spans="1:13" s="24" customFormat="1" ht="15" thickBot="1">
      <c r="A5" s="9"/>
      <c r="D5"/>
      <c r="E5" s="2358"/>
    </row>
    <row r="6" spans="1:13" s="24" customFormat="1" ht="65">
      <c r="A6" s="9"/>
      <c r="B6" s="193"/>
      <c r="C6" s="85" t="s">
        <v>5167</v>
      </c>
      <c r="D6" s="28" t="s">
        <v>5531</v>
      </c>
      <c r="E6" s="3165" t="s">
        <v>8394</v>
      </c>
      <c r="F6" s="28" t="s">
        <v>5168</v>
      </c>
      <c r="G6" s="28" t="s">
        <v>5169</v>
      </c>
      <c r="H6" s="28" t="s">
        <v>4200</v>
      </c>
      <c r="I6" s="28" t="s">
        <v>5170</v>
      </c>
      <c r="J6" s="3405" t="s">
        <v>4183</v>
      </c>
      <c r="K6" s="3405" t="s">
        <v>14240</v>
      </c>
    </row>
    <row r="7" spans="1:13" s="749" customFormat="1" ht="13">
      <c r="A7" s="748"/>
      <c r="B7" s="771"/>
      <c r="C7" s="750" t="s">
        <v>5247</v>
      </c>
      <c r="D7" s="751" t="s">
        <v>5247</v>
      </c>
      <c r="E7" s="2361" t="s">
        <v>5247</v>
      </c>
      <c r="F7" s="751" t="s">
        <v>3389</v>
      </c>
      <c r="G7" s="751" t="s">
        <v>3389</v>
      </c>
      <c r="H7" s="751" t="s">
        <v>3389</v>
      </c>
      <c r="I7" s="751" t="s">
        <v>3389</v>
      </c>
      <c r="J7" s="772"/>
      <c r="K7" s="3415" t="s">
        <v>14260</v>
      </c>
    </row>
    <row r="8" spans="1:13" s="698" customFormat="1" ht="10">
      <c r="A8" s="668"/>
      <c r="B8" s="702"/>
      <c r="C8" s="722" t="s">
        <v>4164</v>
      </c>
      <c r="D8" s="1725" t="s">
        <v>4165</v>
      </c>
      <c r="E8" s="1725" t="s">
        <v>4166</v>
      </c>
      <c r="F8" s="1725" t="s">
        <v>5500</v>
      </c>
      <c r="G8" s="1725" t="s">
        <v>4169</v>
      </c>
      <c r="H8" s="1725" t="s">
        <v>4168</v>
      </c>
      <c r="I8" s="1725" t="s">
        <v>4178</v>
      </c>
      <c r="J8" s="1725" t="s">
        <v>4179</v>
      </c>
    </row>
    <row r="9" spans="1:13" s="24" customFormat="1" ht="13">
      <c r="A9" s="9"/>
      <c r="B9" s="193"/>
      <c r="C9" s="253" t="s">
        <v>4170</v>
      </c>
      <c r="D9" s="241" t="s">
        <v>3389</v>
      </c>
      <c r="E9" s="241" t="s">
        <v>3389</v>
      </c>
      <c r="F9" s="241" t="s">
        <v>3389</v>
      </c>
      <c r="G9" s="241" t="s">
        <v>3389</v>
      </c>
      <c r="H9" s="257" t="s">
        <v>3389</v>
      </c>
      <c r="I9" s="1415">
        <f>SUM(I10:I2002)</f>
        <v>0</v>
      </c>
      <c r="J9" s="239" t="s">
        <v>3389</v>
      </c>
      <c r="K9" s="3010" t="b">
        <f ca="1">AND(K10:K1400)</f>
        <v>1</v>
      </c>
    </row>
    <row r="10" spans="1:13" s="194" customFormat="1" ht="12.5">
      <c r="A10" s="9" t="str">
        <f>"R42="&amp;MID(IF(E10&lt;&gt;"",E10,D10),1,30)&amp;";R21="&amp;MID(F10,1,60)&amp;";R34="&amp;MID(G10,1,60)&amp;";R28="&amp;H10&amp;";R57="&amp;MID(C10,1,60)&amp;";R36="&amp;MID(E10,1,30)&amp;";R43="&amp;MID(D10,1,30)&amp;";COM="&amp;J10</f>
        <v>R42=;R21=;R34=;R28=;R57=;R36=;R43=;COM=</v>
      </c>
      <c r="B10" s="187"/>
      <c r="C10" s="254"/>
      <c r="D10" s="243"/>
      <c r="E10" s="243"/>
      <c r="F10" s="243"/>
      <c r="G10" s="243"/>
      <c r="H10" s="214"/>
      <c r="I10" s="19"/>
      <c r="J10" s="244"/>
      <c r="K10" s="3010" t="b">
        <f ca="1">IF(ISBLANK(H10),TRUE,IF(CELL("формат",H10)="D1",AND(LEN(TEXT(H10,"ДД.мм.ГГГГ"))=10,NOT(ISERR(SEARCH("??.??.????",TEXT(H10,"ДД.мм.ГГГГ"))))),AND(NOT(ISERROR(DATEVALUE(H10))),LEN(H10)=10,NOT(ISERR(SEARCH("??.??.????",TEXT(H10,"ДД.мм.ГГГГ")))))))</f>
        <v>1</v>
      </c>
      <c r="L10" s="24"/>
      <c r="M10" s="2038" t="b">
        <f>IF(C10&gt;0,OR(AND($D10&lt;&gt;"",$E10=""),AND($D10="",$E10&lt;&gt;""),AND($D10&lt;&gt;"",$E10&lt;&gt;"")),TRUE)</f>
        <v>1</v>
      </c>
    </row>
    <row r="11" spans="1:13" s="24" customFormat="1" ht="12.5">
      <c r="A11" s="2427" t="str">
        <f>"R42="&amp;MID(IF(E11&lt;&gt;"",E11,D11),1,30)&amp;";R21="&amp;MID(F11,1,60)&amp;";R34="&amp;MID(G11,1,60)&amp;";R28="&amp;H11&amp;";R57="&amp;MID(C11,1,60)&amp;";R36="&amp;MID(E11,1,30)&amp;";R43="&amp;MID(D11,1,30)&amp;";COM="&amp;J11</f>
        <v>R42=;R21=;R34=;R28=;R57=;R36=;R43=;COM=</v>
      </c>
      <c r="B11" s="187"/>
      <c r="C11" s="254"/>
      <c r="D11" s="243"/>
      <c r="E11" s="243"/>
      <c r="F11" s="243"/>
      <c r="G11" s="243"/>
      <c r="H11" s="214"/>
      <c r="I11" s="19"/>
      <c r="J11" s="244"/>
      <c r="K11" s="3010" t="b">
        <f t="shared" ref="K11:K14" ca="1" si="0">IF(ISBLANK(H11),TRUE,IF(CELL("формат",H11)="D1",AND(LEN(TEXT(H11,"ДД.мм.ГГГГ"))=10,NOT(ISERR(SEARCH("??.??.????",TEXT(H11,"ДД.мм.ГГГГ"))))),AND(NOT(ISERROR(DATEVALUE(H11))),LEN(H11)=10,NOT(ISERR(SEARCH("??.??.????",TEXT(H11,"ДД.мм.ГГГГ")))))))</f>
        <v>1</v>
      </c>
      <c r="M11" s="2038" t="b">
        <f t="shared" ref="M11:M14" si="1">IF(C11&gt;0,OR(AND($D11&lt;&gt;"",$E11=""),AND($D11="",$E11&lt;&gt;""),AND($D11&lt;&gt;"",$E11&lt;&gt;"")),TRUE)</f>
        <v>1</v>
      </c>
    </row>
    <row r="12" spans="1:13" s="24" customFormat="1" ht="12.5">
      <c r="A12" s="2427" t="str">
        <f>"R42="&amp;MID(IF(E12&lt;&gt;"",E12,D12),1,30)&amp;";R21="&amp;MID(F12,1,60)&amp;";R34="&amp;MID(G12,1,60)&amp;";R28="&amp;H12&amp;";R57="&amp;MID(C12,1,60)&amp;";R36="&amp;MID(E12,1,30)&amp;";R43="&amp;MID(D12,1,30)&amp;";COM="&amp;J12</f>
        <v>R42=;R21=;R34=;R28=;R57=;R36=;R43=;COM=</v>
      </c>
      <c r="B12" s="187"/>
      <c r="C12" s="254"/>
      <c r="D12" s="243"/>
      <c r="E12" s="243"/>
      <c r="F12" s="243"/>
      <c r="G12" s="243"/>
      <c r="H12" s="214"/>
      <c r="I12" s="19"/>
      <c r="J12" s="244"/>
      <c r="K12" s="3010" t="b">
        <f t="shared" ca="1" si="0"/>
        <v>1</v>
      </c>
      <c r="M12" s="2038" t="b">
        <f t="shared" si="1"/>
        <v>1</v>
      </c>
    </row>
    <row r="13" spans="1:13" s="24" customFormat="1" ht="12.5">
      <c r="A13" s="2427" t="str">
        <f>"R42="&amp;MID(IF(E13&lt;&gt;"",E13,D13),1,30)&amp;";R21="&amp;MID(F13,1,60)&amp;";R34="&amp;MID(G13,1,60)&amp;";R28="&amp;H13&amp;";R57="&amp;MID(C13,1,60)&amp;";R36="&amp;MID(E13,1,30)&amp;";R43="&amp;MID(D13,1,30)&amp;";COM="&amp;J13</f>
        <v>R42=;R21=;R34=;R28=;R57=;R36=;R43=;COM=</v>
      </c>
      <c r="B13" s="187"/>
      <c r="C13" s="254"/>
      <c r="D13" s="243"/>
      <c r="E13" s="243"/>
      <c r="F13" s="243"/>
      <c r="G13" s="243"/>
      <c r="H13" s="214"/>
      <c r="I13" s="19"/>
      <c r="J13" s="244"/>
      <c r="K13" s="3010" t="b">
        <f t="shared" ca="1" si="0"/>
        <v>1</v>
      </c>
      <c r="M13" s="2038" t="b">
        <f t="shared" si="1"/>
        <v>1</v>
      </c>
    </row>
    <row r="14" spans="1:13" s="24" customFormat="1" ht="13" thickBot="1">
      <c r="A14" s="2427" t="str">
        <f>"R42="&amp;MID(IF(E14&lt;&gt;"",E14,D14),1,30)&amp;";R21="&amp;MID(F14,1,60)&amp;";R34="&amp;MID(G14,1,60)&amp;";R28="&amp;H14&amp;";R57="&amp;MID(C14,1,60)&amp;";R36="&amp;MID(E14,1,30)&amp;";R43="&amp;MID(D14,1,30)&amp;";COM="&amp;J14</f>
        <v>R42=;R21=;R34=;R28=;R57=;R36=;R43=;COM=</v>
      </c>
      <c r="B14" s="187"/>
      <c r="C14" s="1040"/>
      <c r="D14" s="1041"/>
      <c r="E14" s="1041"/>
      <c r="F14" s="1041"/>
      <c r="G14" s="1041"/>
      <c r="H14" s="1042"/>
      <c r="I14" s="102"/>
      <c r="J14" s="256"/>
      <c r="K14" s="3010" t="b">
        <f t="shared" ca="1" si="0"/>
        <v>1</v>
      </c>
      <c r="M14" s="2038" t="b">
        <f t="shared" si="1"/>
        <v>1</v>
      </c>
    </row>
  </sheetData>
  <sheetProtection algorithmName="SHA-512" hashValue="gUpWFQd/27UOM4ynW+TspJY3Bh6TdrvGjvsS0+MtH8ljpry0VOSt/kvVLyn5wV78ZN/wiHulTHUL2Vwpgnc98w==" saltValue="WGsgLPD4GEj2axcdcNtk8w==" spinCount="100000" sheet="1" objects="1" scenarios="1" formatColumns="0" formatRows="0" autoFilter="0"/>
  <autoFilter ref="C8:M8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autoFilter ref="B1:I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autoFilter ref="B1:I1"/>
    </customSheetView>
    <customSheetView guid="{5D121940-0CE8-4A0E-A493-67FAAA6E0FF8}" showGridLines="0" showAutoFilter="1" hiddenRows="1" hiddenColumns="1" topLeftCell="D2">
      <selection activeCell="H22" sqref="H22"/>
      <pageMargins left="0.7" right="0.7" top="0.75" bottom="0.75" header="0.3" footer="0.3"/>
      <autoFilter ref="B1:I1"/>
    </customSheetView>
    <customSheetView guid="{47AEACC4-6EA5-412C-AF39-A6C5357B313A}" showGridLines="0" showAutoFilter="1" hiddenRows="1" hiddenColumns="1" topLeftCell="D2">
      <selection activeCell="C8" sqref="C8:J8"/>
      <pageMargins left="0.7" right="0.7" top="0.75" bottom="0.75" header="0.3" footer="0.3"/>
      <autoFilter ref="B1:I1"/>
    </customSheetView>
    <customSheetView guid="{4D957B38-5430-481E-B791-E0A66F913B50}" scale="70">
      <selection activeCell="H8" sqref="H8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D2">
      <selection activeCell="C8" sqref="C8:J8"/>
      <pageMargins left="0.7" right="0.7" top="0.75" bottom="0.75" header="0.3" footer="0.3"/>
      <autoFilter ref="B1:I1"/>
    </customSheetView>
  </customSheetViews>
  <phoneticPr fontId="0" type="noConversion"/>
  <dataValidations count="1">
    <dataValidation operator="equal" allowBlank="1" showInputMessage="1" prompt="Дата в формате ДД.ММ.ГГГГ (01.01.2010)" sqref="H64915:H64924">
      <formula1>0</formula1>
      <formula2>0</formula2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8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AddButtonsRowAdd">
                <anchor moveWithCells="1">
                  <from>
                    <xdr:col>8</xdr:col>
                    <xdr:colOff>565150</xdr:colOff>
                    <xdr:row>2</xdr:row>
                    <xdr:rowOff>146050</xdr:rowOff>
                  </from>
                  <to>
                    <xdr:col>9</xdr:col>
                    <xdr:colOff>419100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0">
    <pageSetUpPr fitToPage="1"/>
  </sheetPr>
  <dimension ref="A1:Y12"/>
  <sheetViews>
    <sheetView topLeftCell="B2" zoomScale="66" zoomScaleNormal="66" workbookViewId="0">
      <selection activeCell="E29" sqref="E29"/>
    </sheetView>
  </sheetViews>
  <sheetFormatPr defaultColWidth="15.453125" defaultRowHeight="14.5"/>
  <cols>
    <col min="1" max="1" width="10.453125" hidden="1" customWidth="1"/>
    <col min="2" max="2" width="2.453125" style="32" customWidth="1"/>
    <col min="3" max="3" width="28.453125" style="522" customWidth="1"/>
    <col min="4" max="4" width="10.54296875" style="522" customWidth="1"/>
    <col min="5" max="5" width="15.54296875" style="522" customWidth="1"/>
    <col min="6" max="6" width="14.54296875" style="522" customWidth="1"/>
    <col min="7" max="8" width="14" style="522" customWidth="1"/>
    <col min="9" max="11" width="13.54296875" style="522" customWidth="1"/>
    <col min="12" max="17" width="17" style="522" customWidth="1"/>
    <col min="18" max="18" width="17.54296875" style="32" customWidth="1"/>
    <col min="19" max="19" width="17.453125" style="32" customWidth="1"/>
    <col min="20" max="20" width="16.453125" style="32" customWidth="1"/>
    <col min="21" max="21" width="29.54296875" style="32" customWidth="1"/>
    <col min="22" max="22" width="15.453125" style="32" customWidth="1"/>
    <col min="23" max="23" width="22.54296875" style="32" customWidth="1"/>
    <col min="24" max="24" width="26.453125" style="32" customWidth="1"/>
    <col min="25" max="254" width="9.453125" style="32" customWidth="1"/>
    <col min="255" max="255" width="5.54296875" style="32" customWidth="1"/>
    <col min="256" max="16384" width="15.453125" style="32"/>
  </cols>
  <sheetData>
    <row r="1" spans="1:25" customFormat="1" ht="25.5" hidden="1" customHeight="1">
      <c r="A1" s="167" t="s">
        <v>2840</v>
      </c>
      <c r="B1" s="5"/>
      <c r="C1" s="521"/>
      <c r="D1" s="571"/>
      <c r="E1" s="571"/>
      <c r="F1" s="571"/>
      <c r="G1" s="571"/>
      <c r="H1" s="571"/>
      <c r="I1" s="6"/>
      <c r="J1" s="6" t="s">
        <v>391</v>
      </c>
      <c r="K1" s="6" t="s">
        <v>8524</v>
      </c>
      <c r="L1" s="6" t="s">
        <v>503</v>
      </c>
      <c r="M1" s="6" t="s">
        <v>504</v>
      </c>
      <c r="N1" s="6" t="s">
        <v>505</v>
      </c>
      <c r="O1" s="6" t="s">
        <v>506</v>
      </c>
      <c r="P1" s="6" t="s">
        <v>507</v>
      </c>
      <c r="Q1" s="6" t="s">
        <v>1071</v>
      </c>
      <c r="R1" s="6"/>
      <c r="S1" s="6" t="s">
        <v>494</v>
      </c>
      <c r="T1" s="6" t="s">
        <v>8525</v>
      </c>
      <c r="U1" s="6"/>
    </row>
    <row r="2" spans="1:25" s="1923" customFormat="1">
      <c r="A2" s="1950"/>
      <c r="C2" s="1952"/>
      <c r="D2" s="1952"/>
      <c r="E2" s="1952"/>
      <c r="F2" s="1953"/>
      <c r="G2" s="1952"/>
      <c r="H2" s="1952"/>
      <c r="I2" s="1923" t="s">
        <v>1648</v>
      </c>
      <c r="J2" s="1923" t="s">
        <v>1648</v>
      </c>
      <c r="K2" s="1923" t="s">
        <v>1648</v>
      </c>
      <c r="L2" s="1923" t="s">
        <v>1648</v>
      </c>
      <c r="M2" s="1923" t="s">
        <v>1648</v>
      </c>
      <c r="N2" s="1923" t="s">
        <v>1648</v>
      </c>
      <c r="O2" s="1923" t="s">
        <v>1648</v>
      </c>
      <c r="P2" s="1923" t="s">
        <v>1648</v>
      </c>
      <c r="Q2" s="1923" t="s">
        <v>1648</v>
      </c>
      <c r="R2" s="1923" t="s">
        <v>1648</v>
      </c>
      <c r="S2" s="1923" t="s">
        <v>1648</v>
      </c>
    </row>
    <row r="3" spans="1:25" ht="26.5" thickBot="1">
      <c r="A3" s="9"/>
      <c r="B3" s="24"/>
      <c r="C3" s="523" t="s">
        <v>5171</v>
      </c>
      <c r="D3" s="524"/>
      <c r="E3" s="524"/>
      <c r="F3" s="1897" t="s">
        <v>2067</v>
      </c>
      <c r="G3" s="1244">
        <f>Содержание!$D$2</f>
        <v>0</v>
      </c>
      <c r="H3" s="524"/>
      <c r="I3" s="524"/>
      <c r="J3" s="3044" t="s">
        <v>1436</v>
      </c>
      <c r="K3" s="524"/>
      <c r="L3" s="524"/>
      <c r="M3" s="524"/>
      <c r="N3" s="524"/>
      <c r="O3" s="524"/>
      <c r="P3" s="524"/>
      <c r="Q3" s="524"/>
      <c r="R3" s="24"/>
      <c r="S3" s="24"/>
      <c r="T3" s="24"/>
      <c r="U3" s="24"/>
    </row>
    <row r="4" spans="1:25" ht="26.5" thickBot="1">
      <c r="A4" s="9"/>
      <c r="B4" s="24"/>
      <c r="C4" s="524"/>
      <c r="D4"/>
      <c r="E4" s="2358"/>
      <c r="F4" s="1897" t="s">
        <v>2075</v>
      </c>
      <c r="G4" s="1244" t="str">
        <f>Содержание!$D$15</f>
        <v>2022 год</v>
      </c>
      <c r="H4" s="524"/>
      <c r="I4" s="524"/>
      <c r="J4" s="524"/>
      <c r="K4" s="524"/>
      <c r="L4" s="524"/>
      <c r="M4" s="524"/>
      <c r="N4" s="524"/>
      <c r="O4" s="524"/>
      <c r="P4" s="524"/>
      <c r="Q4" s="524"/>
      <c r="R4" s="24"/>
      <c r="S4" s="24"/>
      <c r="T4" s="24"/>
      <c r="U4" s="24"/>
      <c r="W4" s="2311" t="s">
        <v>6204</v>
      </c>
      <c r="X4" s="2311" t="s">
        <v>6205</v>
      </c>
    </row>
    <row r="5" spans="1:25" ht="91">
      <c r="A5" s="9"/>
      <c r="B5" s="192"/>
      <c r="C5" s="796" t="s">
        <v>5167</v>
      </c>
      <c r="D5" s="801" t="s">
        <v>5531</v>
      </c>
      <c r="E5" s="3165" t="s">
        <v>8394</v>
      </c>
      <c r="F5" s="28" t="s">
        <v>4556</v>
      </c>
      <c r="G5" s="801" t="s">
        <v>5172</v>
      </c>
      <c r="H5" s="801" t="s">
        <v>4664</v>
      </c>
      <c r="I5" s="28" t="s">
        <v>5225</v>
      </c>
      <c r="J5" s="28" t="s">
        <v>8472</v>
      </c>
      <c r="K5" s="28" t="s">
        <v>8473</v>
      </c>
      <c r="L5" s="28" t="s">
        <v>5173</v>
      </c>
      <c r="M5" s="28" t="s">
        <v>1437</v>
      </c>
      <c r="N5" s="28" t="s">
        <v>5174</v>
      </c>
      <c r="O5" s="28" t="s">
        <v>5175</v>
      </c>
      <c r="P5" s="28" t="s">
        <v>5176</v>
      </c>
      <c r="Q5" s="28" t="s">
        <v>5524</v>
      </c>
      <c r="R5" s="28" t="s">
        <v>5233</v>
      </c>
      <c r="S5" s="28" t="s">
        <v>8470</v>
      </c>
      <c r="T5" s="28" t="s">
        <v>8471</v>
      </c>
      <c r="U5" s="82" t="s">
        <v>4183</v>
      </c>
      <c r="W5" s="1417" t="b">
        <f>IF(ABS((SUMIF(F:F,"{22} Расчеты по годовым (итоговым) дивидендам",L:L)+SUMIF(F:F,"{21} Расчеты по промежуточным дивидендам",L:L)+SUMIF('50_51_52_55_57_движ'!_xlnm.Print_Titles,"{3221000_~_~_~} Выплата дивидендов",'50_51_52_55_57_движ'!J:J)))&lt;=1,TRUE,FALSE)</f>
        <v>1</v>
      </c>
      <c r="X5" s="1417" t="b">
        <f>IF(ABS((SUMIF(F:F,"{23} Часть прибыли, перечисляемая ФГУП в ГК ""Росатом""",L:L)+SUMIF('50_51_52_55_57_движ'!_xlnm.Print_Titles,"{3222000_~_~_~} Перечисление прибыли от использования имущества, находящегося в хозяйственном ведении, оперативном управлении",'50_51_52_55_57_движ'!J:J)))&lt;=1,TRUE,FALSE)</f>
        <v>1</v>
      </c>
    </row>
    <row r="6" spans="1:25" ht="17.149999999999999" customHeight="1">
      <c r="A6" s="9"/>
      <c r="B6" s="192"/>
      <c r="C6" s="800" t="s">
        <v>5247</v>
      </c>
      <c r="D6" s="247" t="s">
        <v>5247</v>
      </c>
      <c r="E6" s="2361" t="s">
        <v>5247</v>
      </c>
      <c r="F6" s="247" t="s">
        <v>1826</v>
      </c>
      <c r="G6" s="247">
        <v>2640</v>
      </c>
      <c r="H6" s="797" t="s">
        <v>5250</v>
      </c>
      <c r="I6" s="247" t="s">
        <v>674</v>
      </c>
      <c r="J6" s="247" t="s">
        <v>4142</v>
      </c>
      <c r="K6" s="247" t="s">
        <v>4142</v>
      </c>
      <c r="L6" s="247" t="s">
        <v>1439</v>
      </c>
      <c r="M6" s="247" t="s">
        <v>5177</v>
      </c>
      <c r="N6" s="247" t="s">
        <v>5178</v>
      </c>
      <c r="O6" s="247" t="s">
        <v>5179</v>
      </c>
      <c r="P6" s="247" t="s">
        <v>5180</v>
      </c>
      <c r="Q6" s="247" t="s">
        <v>4088</v>
      </c>
      <c r="R6" s="247" t="s">
        <v>694</v>
      </c>
      <c r="S6" s="2863" t="s">
        <v>673</v>
      </c>
      <c r="T6" s="247" t="s">
        <v>4142</v>
      </c>
      <c r="U6" s="248"/>
    </row>
    <row r="7" spans="1:25" s="720" customFormat="1" ht="10">
      <c r="A7" s="715"/>
      <c r="B7" s="1043"/>
      <c r="C7" s="1728" t="s">
        <v>4164</v>
      </c>
      <c r="D7" s="1729" t="s">
        <v>4165</v>
      </c>
      <c r="E7" s="1729" t="s">
        <v>4166</v>
      </c>
      <c r="F7" s="1729" t="s">
        <v>5500</v>
      </c>
      <c r="G7" s="1729" t="s">
        <v>4169</v>
      </c>
      <c r="H7" s="1729" t="s">
        <v>4168</v>
      </c>
      <c r="I7" s="1729" t="s">
        <v>4178</v>
      </c>
      <c r="J7" s="1729" t="s">
        <v>4179</v>
      </c>
      <c r="K7" s="1729" t="s">
        <v>4167</v>
      </c>
      <c r="L7" s="1729" t="s">
        <v>5501</v>
      </c>
      <c r="M7" s="1729" t="s">
        <v>4701</v>
      </c>
      <c r="N7" s="1729" t="s">
        <v>4702</v>
      </c>
      <c r="O7" s="1729" t="s">
        <v>4703</v>
      </c>
      <c r="P7" s="1729" t="s">
        <v>5502</v>
      </c>
      <c r="Q7" s="1729" t="s">
        <v>5503</v>
      </c>
      <c r="R7" s="1729" t="s">
        <v>5504</v>
      </c>
      <c r="S7" s="1729" t="s">
        <v>4853</v>
      </c>
      <c r="T7" s="1729" t="s">
        <v>4852</v>
      </c>
      <c r="U7" s="1729" t="s">
        <v>5505</v>
      </c>
    </row>
    <row r="8" spans="1:25" s="24" customFormat="1" ht="13">
      <c r="A8" s="9"/>
      <c r="B8" s="192"/>
      <c r="C8" s="1416" t="s">
        <v>4170</v>
      </c>
      <c r="D8" s="602" t="s">
        <v>3389</v>
      </c>
      <c r="E8" s="602" t="s">
        <v>3389</v>
      </c>
      <c r="F8" s="602" t="s">
        <v>3389</v>
      </c>
      <c r="G8" s="602" t="s">
        <v>3389</v>
      </c>
      <c r="H8" s="602" t="s">
        <v>3389</v>
      </c>
      <c r="I8" s="1417">
        <f>SUM(I9:I9998)</f>
        <v>0</v>
      </c>
      <c r="J8" s="1417">
        <f t="shared" ref="J8:T8" si="0">SUM(J9:J9998)</f>
        <v>0</v>
      </c>
      <c r="K8" s="1417">
        <f t="shared" si="0"/>
        <v>0</v>
      </c>
      <c r="L8" s="1417">
        <f t="shared" si="0"/>
        <v>0</v>
      </c>
      <c r="M8" s="1417">
        <f t="shared" si="0"/>
        <v>0</v>
      </c>
      <c r="N8" s="1417">
        <f t="shared" si="0"/>
        <v>0</v>
      </c>
      <c r="O8" s="1417">
        <f t="shared" si="0"/>
        <v>0</v>
      </c>
      <c r="P8" s="1417">
        <f t="shared" si="0"/>
        <v>0</v>
      </c>
      <c r="Q8" s="1417">
        <f t="shared" si="0"/>
        <v>0</v>
      </c>
      <c r="R8" s="1417">
        <f t="shared" si="0"/>
        <v>0</v>
      </c>
      <c r="S8" s="1417">
        <f t="shared" si="0"/>
        <v>0</v>
      </c>
      <c r="T8" s="1417">
        <f t="shared" si="0"/>
        <v>0</v>
      </c>
      <c r="U8" s="455" t="s">
        <v>3389</v>
      </c>
    </row>
    <row r="9" spans="1:25" s="194" customFormat="1" ht="12.5">
      <c r="A9" s="9" t="str">
        <f t="shared" ref="A9:A12" si="1">"R42="&amp;MID(IF(E9&lt;&gt;"",E9,D9),1,30)&amp;";R9="&amp;IFERROR(MID(F9,FIND("{",F9)+1,FIND("}",F9)-FIND("{",F9)-1),"")&amp;";R10="&amp;IFERROR(MID(G9,FIND("{",G9)+1,FIND("}",G9)-FIND("{",G9)-1),"")&amp;";R2="&amp;IFERROR(MID(H9,FIND("{",H9)+1,FIND("}",H9)-FIND("{",H9)-1),"")&amp;";R36="&amp;MID(E9,1,30)&amp;";R43="&amp;MID(D9,1,30)&amp;";COM="&amp;U9</f>
        <v>R42=-;R9=;R10=;R2=;R36=-;R43=-;COM=</v>
      </c>
      <c r="B9" s="575"/>
      <c r="C9" s="1484"/>
      <c r="D9" s="1730" t="str">
        <f>IF(ISNA(VLOOKUP(C9,Список_компаний!$A$3:$E$299,3,0)),"-",VLOOKUP(C9,Список_компаний!$A$3:$E$299,2,0))</f>
        <v>-</v>
      </c>
      <c r="E9" s="1730" t="str">
        <f>IF(ISERROR(VLOOKUP(C9,Список_компаний!$A$3:$C$299,3,0)),"-",VLOOKUP(C9,Список_компаний!$A$3:$C$299,3,0))</f>
        <v>-</v>
      </c>
      <c r="F9" s="1485"/>
      <c r="G9" s="1486"/>
      <c r="H9" s="1487"/>
      <c r="I9" s="1418"/>
      <c r="J9" s="1418"/>
      <c r="K9" s="1772">
        <f>I9-J9</f>
        <v>0</v>
      </c>
      <c r="L9" s="1431"/>
      <c r="M9" s="1418"/>
      <c r="N9" s="1418"/>
      <c r="O9" s="1418"/>
      <c r="P9" s="1431"/>
      <c r="Q9" s="1418"/>
      <c r="R9" s="1417">
        <f>SUM(I9,L9:Q9)</f>
        <v>0</v>
      </c>
      <c r="S9" s="1418"/>
      <c r="T9" s="1772">
        <f>R9-S9</f>
        <v>0</v>
      </c>
      <c r="U9" s="1419"/>
      <c r="W9" s="2109"/>
      <c r="Y9" s="2109"/>
    </row>
    <row r="10" spans="1:25" s="194" customFormat="1" ht="12.5">
      <c r="A10" s="2427" t="str">
        <f t="shared" si="1"/>
        <v>R42=-;R9=;R10=;R2=;R36=-;R43=-;COM=</v>
      </c>
      <c r="B10" s="575"/>
      <c r="C10" s="1484"/>
      <c r="D10" s="1730" t="str">
        <f>IF(ISNA(VLOOKUP(C10,Список_компаний!$A$3:$E$299,3,0)),"-",VLOOKUP(C10,Список_компаний!$A$3:$E$299,2,0))</f>
        <v>-</v>
      </c>
      <c r="E10" s="1730" t="str">
        <f>IF(ISERROR(VLOOKUP(C10,Список_компаний!$A$3:$C$299,3,0)),"-",VLOOKUP(C10,Список_компаний!$A$3:$C$299,3,0))</f>
        <v>-</v>
      </c>
      <c r="F10" s="1485"/>
      <c r="G10" s="1486"/>
      <c r="H10" s="1487"/>
      <c r="I10" s="1418"/>
      <c r="J10" s="1418"/>
      <c r="K10" s="1772">
        <f>I10-J10</f>
        <v>0</v>
      </c>
      <c r="L10" s="1431"/>
      <c r="M10" s="1418"/>
      <c r="N10" s="1418"/>
      <c r="O10" s="1418"/>
      <c r="P10" s="1431"/>
      <c r="Q10" s="1418"/>
      <c r="R10" s="1417">
        <f>SUM(I10,L10:Q10)</f>
        <v>0</v>
      </c>
      <c r="S10" s="1418"/>
      <c r="T10" s="1772">
        <f>R10-S10</f>
        <v>0</v>
      </c>
      <c r="U10" s="1419"/>
      <c r="W10" s="2109"/>
      <c r="Y10" s="2109"/>
    </row>
    <row r="11" spans="1:25" s="194" customFormat="1" ht="12.5">
      <c r="A11" s="2427" t="str">
        <f t="shared" si="1"/>
        <v>R42=-;R9=;R10=;R2=;R36=-;R43=-;COM=</v>
      </c>
      <c r="B11" s="575"/>
      <c r="C11" s="1484"/>
      <c r="D11" s="1730" t="str">
        <f>IF(ISNA(VLOOKUP(C11,Список_компаний!$A$3:$E$299,3,0)),"-",VLOOKUP(C11,Список_компаний!$A$3:$E$299,2,0))</f>
        <v>-</v>
      </c>
      <c r="E11" s="1730" t="str">
        <f>IF(ISERROR(VLOOKUP(C11,Список_компаний!$A$3:$C$299,3,0)),"-",VLOOKUP(C11,Список_компаний!$A$3:$C$299,3,0))</f>
        <v>-</v>
      </c>
      <c r="F11" s="1485"/>
      <c r="G11" s="1486"/>
      <c r="H11" s="1487"/>
      <c r="I11" s="1418"/>
      <c r="J11" s="1418"/>
      <c r="K11" s="1772">
        <f>I11-J11</f>
        <v>0</v>
      </c>
      <c r="L11" s="1431"/>
      <c r="M11" s="1418"/>
      <c r="N11" s="1418"/>
      <c r="O11" s="1418"/>
      <c r="P11" s="1431"/>
      <c r="Q11" s="1418"/>
      <c r="R11" s="1417">
        <f>SUM(I11,L11:Q11)</f>
        <v>0</v>
      </c>
      <c r="S11" s="1418"/>
      <c r="T11" s="1772">
        <f>R11-S11</f>
        <v>0</v>
      </c>
      <c r="U11" s="1419"/>
      <c r="W11" s="2109"/>
      <c r="Y11" s="2109"/>
    </row>
    <row r="12" spans="1:25" s="24" customFormat="1" ht="13" thickBot="1">
      <c r="A12" s="2427" t="str">
        <f t="shared" si="1"/>
        <v>R42=-;R9=;R10=;R2=;R36=-;R43=-;COM=</v>
      </c>
      <c r="B12" s="575"/>
      <c r="C12" s="1731"/>
      <c r="D12" s="2914" t="str">
        <f>IF(ISNA(VLOOKUP(C12,Список_компаний!$A$3:$E$299,3,0)),"-",VLOOKUP(C12,Список_компаний!$A$3:$E$299,2,0))</f>
        <v>-</v>
      </c>
      <c r="E12" s="2914" t="str">
        <f>IF(ISERROR(VLOOKUP(C12,Список_компаний!$A$3:$C$299,3,0)),"-",VLOOKUP(C12,Список_компаний!$A$3:$C$299,3,0))</f>
        <v>-</v>
      </c>
      <c r="F12" s="1732"/>
      <c r="G12" s="1733"/>
      <c r="H12" s="1734"/>
      <c r="I12" s="1420"/>
      <c r="J12" s="1420"/>
      <c r="K12" s="1773">
        <f>I12-J12</f>
        <v>0</v>
      </c>
      <c r="L12" s="1420"/>
      <c r="M12" s="1420"/>
      <c r="N12" s="1420"/>
      <c r="O12" s="1420"/>
      <c r="P12" s="1432"/>
      <c r="Q12" s="1420"/>
      <c r="R12" s="1421">
        <f>SUM(I12,L12:Q12)</f>
        <v>0</v>
      </c>
      <c r="S12" s="1420"/>
      <c r="T12" s="1773">
        <f>R12-S12</f>
        <v>0</v>
      </c>
      <c r="U12" s="1422"/>
      <c r="W12" s="2109"/>
      <c r="Y12" s="2109"/>
    </row>
  </sheetData>
  <sheetProtection algorithmName="SHA-512" hashValue="e1jFXGw3cpWHBtxa/+kDPTeHZKs3TEAzK84TJ9Ak9Y5QhucRYjtHTNE1ncapJUBJ2amgUeQdhEK6hJKMMGkzGg==" saltValue="8ipiMlJfMF0Ly2BJzp9d9g==" spinCount="100000" sheet="1" objects="1" scenarios="1" formatColumns="0" formatRows="0" autoFilter="0"/>
  <autoFilter ref="C7:U7"/>
  <customSheetViews>
    <customSheetView guid="{3769259D-9653-4B34-A2F6-4FB6F9F4E533}" showGridLines="0" showAutoFilter="1" hiddenRows="1" hiddenColumns="1" topLeftCell="H2">
      <selection activeCell="E36" sqref="E36"/>
      <pageMargins left="0.7" right="0.7" top="0.75" bottom="0.75" header="0.3" footer="0.3"/>
      <autoFilter ref="B1:S1"/>
    </customSheetView>
    <customSheetView guid="{40D7A2BB-326C-4ED3-999C-17852F56D6F4}" showGridLines="0" showAutoFilter="1" hiddenRows="1" hiddenColumns="1" topLeftCell="H2">
      <selection activeCell="E36" sqref="E36"/>
      <pageMargins left="0.7" right="0.7" top="0.75" bottom="0.75" header="0.3" footer="0.3"/>
      <autoFilter ref="B1:S1"/>
    </customSheetView>
    <customSheetView guid="{5D121940-0CE8-4A0E-A493-67FAAA6E0FF8}" showGridLines="0" showAutoFilter="1" hiddenRows="1" hiddenColumns="1" topLeftCell="K2">
      <selection activeCell="C7" sqref="C7:T7"/>
      <pageMargins left="0.7" right="0.7" top="0.75" bottom="0.75" header="0.3" footer="0.3"/>
      <autoFilter ref="B1:S1"/>
    </customSheetView>
    <customSheetView guid="{47AEACC4-6EA5-412C-AF39-A6C5357B313A}" showGridLines="0" showAutoFilter="1" hiddenRows="1" hiddenColumns="1" topLeftCell="K2">
      <selection activeCell="C7" sqref="C7:T7"/>
      <pageMargins left="0.7" right="0.7" top="0.75" bottom="0.75" header="0.3" footer="0.3"/>
      <autoFilter ref="B1:S1"/>
    </customSheetView>
    <customSheetView guid="{4D957B38-5430-481E-B791-E0A66F913B50}" scale="70">
      <selection activeCell="C32" sqref="C32"/>
      <pageMargins left="0.7" right="0.7" top="0.75" bottom="0.75" header="0.3" footer="0.3"/>
    </customSheetView>
    <customSheetView guid="{1C36793E-2B7E-411E-AA99-985D5D59B75A}" scale="70">
      <selection activeCell="L31" sqref="L31"/>
      <pageMargins left="0.7" right="0.7" top="0.75" bottom="0.75" header="0.3" footer="0.3"/>
    </customSheetView>
    <customSheetView guid="{C913A9E8-661B-40A4-A3C9-1BC5F2B2E9F0}" showGridLines="0" showAutoFilter="1" hiddenRows="1" hiddenColumns="1" topLeftCell="K2">
      <selection activeCell="C7" sqref="C7:T7"/>
      <pageMargins left="0.7" right="0.7" top="0.75" bottom="0.75" header="0.3" footer="0.3"/>
      <autoFilter ref="B1:S1"/>
    </customSheetView>
  </customSheetViews>
  <phoneticPr fontId="0" type="noConversion"/>
  <dataValidations count="4">
    <dataValidation type="list" operator="equal" allowBlank="1" showErrorMessage="1" errorTitle="Выбор элемента списка" error="Данного элемента нет в списке" sqref="F9:F12">
      <formula1>_2630</formula1>
    </dataValidation>
    <dataValidation type="list" operator="equal" allowBlank="1" showErrorMessage="1" errorTitle="Выбор элемента списка" error="Данного элемента нет в списке" sqref="G9:G12">
      <formula1>_2640</formula1>
    </dataValidation>
    <dataValidation type="list" operator="equal" allowBlank="1" showInputMessage="1" showErrorMessage="1" errorTitle="Выбор элемента списка" error="Данного элемента нет в списке" prompt="При выборе значения &quot;Прочие валюты&quot;, наименование валюты раскрыть в комментариях" sqref="H9:H12">
      <formula1>_6003</formula1>
    </dataValidation>
    <dataValidation type="list" allowBlank="1" showInputMessage="1" showErrorMessage="1" sqref="C9:C12">
      <formula1>_comp</formula1>
    </dataValidation>
  </dataValidations>
  <hyperlinks>
    <hyperlink ref="J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8" fitToWidth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AddButtonsRowAdd">
                <anchor moveWithCells="1">
                  <from>
                    <xdr:col>7</xdr:col>
                    <xdr:colOff>381000</xdr:colOff>
                    <xdr:row>2</xdr:row>
                    <xdr:rowOff>69850</xdr:rowOff>
                  </from>
                  <to>
                    <xdr:col>8</xdr:col>
                    <xdr:colOff>869950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3">
    <pageSetUpPr fitToPage="1"/>
  </sheetPr>
  <dimension ref="A1:AZ74"/>
  <sheetViews>
    <sheetView topLeftCell="B1" zoomScale="50" zoomScaleNormal="50" workbookViewId="0">
      <pane xSplit="3" ySplit="7" topLeftCell="AO8" activePane="bottomRight" state="frozen"/>
      <selection activeCell="F17" sqref="F17"/>
      <selection pane="topRight" activeCell="F17" sqref="F17"/>
      <selection pane="bottomLeft" activeCell="F17" sqref="F17"/>
      <selection pane="bottomRight" activeCell="C5" sqref="C5"/>
    </sheetView>
  </sheetViews>
  <sheetFormatPr defaultColWidth="15.453125" defaultRowHeight="14.5"/>
  <cols>
    <col min="1" max="1" width="57" style="1163" hidden="1" customWidth="1"/>
    <col min="2" max="2" width="3.54296875" style="32" customWidth="1"/>
    <col min="3" max="3" width="85.54296875" style="522" bestFit="1" customWidth="1"/>
    <col min="4" max="4" width="33.54296875" style="522" bestFit="1" customWidth="1"/>
    <col min="5" max="5" width="12" style="522" bestFit="1" customWidth="1"/>
    <col min="6" max="7" width="12.453125" style="32" customWidth="1"/>
    <col min="8" max="8" width="16.1796875" style="32" customWidth="1"/>
    <col min="9" max="10" width="15.81640625" style="32" customWidth="1"/>
    <col min="11" max="11" width="13.54296875" style="32" customWidth="1"/>
    <col min="12" max="12" width="17.453125" style="32" customWidth="1"/>
    <col min="13" max="13" width="15.1796875" style="32" customWidth="1"/>
    <col min="14" max="14" width="9.81640625" style="32" customWidth="1"/>
    <col min="15" max="17" width="15.1796875" style="32" customWidth="1"/>
    <col min="18" max="18" width="14.453125" style="32" bestFit="1" customWidth="1"/>
    <col min="19" max="19" width="13.54296875" style="32" bestFit="1" customWidth="1"/>
    <col min="20" max="20" width="11.1796875" style="32" customWidth="1"/>
    <col min="21" max="21" width="10.54296875" style="32" customWidth="1"/>
    <col min="22" max="22" width="13" style="32" customWidth="1"/>
    <col min="23" max="23" width="11.81640625" style="32" customWidth="1"/>
    <col min="24" max="24" width="15" style="32" bestFit="1" customWidth="1"/>
    <col min="25" max="25" width="23.54296875" style="32" bestFit="1" customWidth="1"/>
    <col min="26" max="26" width="29.54296875" style="32" bestFit="1" customWidth="1"/>
    <col min="27" max="27" width="39.54296875" style="32" bestFit="1" customWidth="1"/>
    <col min="28" max="28" width="25.54296875" style="32" bestFit="1" customWidth="1"/>
    <col min="29" max="29" width="27.54296875" style="32" bestFit="1" customWidth="1"/>
    <col min="30" max="30" width="28.453125" style="32" bestFit="1" customWidth="1"/>
    <col min="31" max="31" width="14.453125" style="2654" bestFit="1" customWidth="1"/>
    <col min="32" max="32" width="13.54296875" style="2654" bestFit="1" customWidth="1"/>
    <col min="33" max="33" width="14.453125" style="2654" bestFit="1" customWidth="1"/>
    <col min="34" max="34" width="13.54296875" style="2654" bestFit="1" customWidth="1"/>
    <col min="35" max="35" width="18.54296875" style="32" bestFit="1" customWidth="1"/>
    <col min="36" max="37" width="19.453125" style="32" bestFit="1" customWidth="1"/>
    <col min="38" max="38" width="17.453125" style="32" bestFit="1" customWidth="1"/>
    <col min="39" max="39" width="19.453125" style="32" bestFit="1" customWidth="1"/>
    <col min="40" max="40" width="27.54296875" style="32" bestFit="1" customWidth="1"/>
    <col min="41" max="41" width="22.453125" style="32" bestFit="1" customWidth="1"/>
    <col min="42" max="42" width="21" style="32" bestFit="1" customWidth="1"/>
    <col min="43" max="43" width="17.453125" style="32" bestFit="1" customWidth="1"/>
    <col min="44" max="46" width="15.453125" style="32"/>
    <col min="47" max="47" width="9.54296875" style="32" customWidth="1"/>
    <col min="48" max="16384" width="15.453125" style="32"/>
  </cols>
  <sheetData>
    <row r="1" spans="1:52" s="1163" customFormat="1" ht="17.25" customHeight="1">
      <c r="A1" s="167" t="s">
        <v>508</v>
      </c>
      <c r="B1" s="5"/>
      <c r="C1" s="521"/>
      <c r="D1" s="571"/>
      <c r="E1" s="571"/>
      <c r="F1" s="6"/>
      <c r="G1" s="6"/>
      <c r="H1" s="6" t="s">
        <v>1074</v>
      </c>
      <c r="I1" s="6" t="s">
        <v>1061</v>
      </c>
      <c r="J1" s="6" t="s">
        <v>1075</v>
      </c>
      <c r="K1" s="6" t="s">
        <v>1062</v>
      </c>
      <c r="L1" s="6" t="s">
        <v>509</v>
      </c>
      <c r="M1" s="6" t="s">
        <v>1063</v>
      </c>
      <c r="N1" s="2438" t="s">
        <v>1066</v>
      </c>
      <c r="O1" s="6" t="s">
        <v>1067</v>
      </c>
      <c r="P1" s="6" t="s">
        <v>1070</v>
      </c>
      <c r="Q1" s="6" t="s">
        <v>1071</v>
      </c>
      <c r="R1" s="6"/>
      <c r="S1" s="6"/>
      <c r="T1" s="6" t="s">
        <v>1077</v>
      </c>
      <c r="U1" s="6" t="s">
        <v>1072</v>
      </c>
      <c r="V1" s="6" t="s">
        <v>1078</v>
      </c>
      <c r="W1" s="6" t="s">
        <v>1073</v>
      </c>
      <c r="AE1" s="2654"/>
      <c r="AF1" s="2654"/>
      <c r="AG1" s="2654"/>
      <c r="AH1" s="2654"/>
      <c r="AT1" s="2830"/>
    </row>
    <row r="2" spans="1:52" ht="19.5" customHeight="1">
      <c r="A2" s="7"/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/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1778" t="s">
        <v>1648</v>
      </c>
      <c r="U2" s="1778" t="s">
        <v>1648</v>
      </c>
      <c r="V2" s="1778" t="s">
        <v>1648</v>
      </c>
      <c r="W2" s="1778" t="s">
        <v>1648</v>
      </c>
    </row>
    <row r="3" spans="1:52" s="24" customFormat="1" ht="35.25" customHeight="1">
      <c r="A3" s="9"/>
      <c r="C3" s="523" t="s">
        <v>5181</v>
      </c>
      <c r="D3" s="524"/>
      <c r="E3"/>
      <c r="F3" s="526">
        <v>7601</v>
      </c>
      <c r="G3" s="526"/>
      <c r="H3" s="1897" t="s">
        <v>2067</v>
      </c>
      <c r="I3" s="1244">
        <f>Содержание!$D$2</f>
        <v>0</v>
      </c>
      <c r="J3" s="3044" t="s">
        <v>1436</v>
      </c>
      <c r="K3" s="526"/>
      <c r="L3" s="526">
        <v>7601</v>
      </c>
      <c r="M3" s="526">
        <v>7601</v>
      </c>
      <c r="N3" s="526"/>
      <c r="O3" s="526">
        <v>7601</v>
      </c>
      <c r="P3" s="526">
        <v>7601</v>
      </c>
      <c r="Q3" s="526">
        <v>7601</v>
      </c>
      <c r="R3" s="526">
        <v>7601</v>
      </c>
      <c r="S3" s="526"/>
      <c r="T3" s="526">
        <v>7602</v>
      </c>
      <c r="U3" s="526"/>
      <c r="V3" s="526"/>
      <c r="W3" s="526"/>
      <c r="AE3" s="2641"/>
      <c r="AF3" s="2641"/>
      <c r="AG3" s="2641"/>
      <c r="AH3" s="2641"/>
    </row>
    <row r="4" spans="1:52" s="24" customFormat="1" ht="26.5" thickBot="1">
      <c r="A4" s="9"/>
      <c r="C4"/>
      <c r="D4" s="524" t="b">
        <f t="array" ref="D4">IF(SMALL(IF(""=C45:C2710,ROW(C45:C2710),2700),1)&gt;LARGE(IF(""&lt;&gt;C45:C2710,ROW(C45:C2710),0),1),TRUE,FALSE)</f>
        <v>1</v>
      </c>
      <c r="E4" s="524"/>
      <c r="H4" s="1897" t="s">
        <v>2075</v>
      </c>
      <c r="I4" s="1244" t="str">
        <f>Содержание!$D$15</f>
        <v>2022 год</v>
      </c>
      <c r="O4" s="173"/>
      <c r="Y4" s="2653" t="b">
        <f>AND(Y45:Y65524)</f>
        <v>1</v>
      </c>
      <c r="Z4" s="2653" t="b">
        <f>AND(Z45:Z65524)</f>
        <v>1</v>
      </c>
      <c r="AA4" s="105"/>
      <c r="AB4" s="2653" t="b">
        <f>AND(AB45:AB65524)</f>
        <v>1</v>
      </c>
      <c r="AC4" s="2653" t="b">
        <f>AND(AC22:AC65524)</f>
        <v>1</v>
      </c>
      <c r="AD4" s="2653" t="b">
        <f>AND(AD45:AD65524)</f>
        <v>1</v>
      </c>
      <c r="AE4" s="3952" t="s">
        <v>6113</v>
      </c>
      <c r="AF4" s="3952"/>
      <c r="AG4" s="3952"/>
      <c r="AH4" s="3952"/>
      <c r="AI4" s="3952"/>
      <c r="AJ4" s="2258" t="b">
        <f>AND(AJ45:AJ6011)</f>
        <v>1</v>
      </c>
      <c r="AK4" s="2258" t="b">
        <f>AND(AK45:AK6011)</f>
        <v>1</v>
      </c>
      <c r="AL4" s="2258" t="b">
        <f>AND(AL45:AL6011)</f>
        <v>1</v>
      </c>
      <c r="AM4" s="2258" t="b">
        <f>AND(AM45:AM6011)</f>
        <v>1</v>
      </c>
      <c r="AN4" s="2258"/>
      <c r="AO4" s="2258"/>
      <c r="AP4" s="2258" t="b">
        <f>AND(AP45:AP6011)</f>
        <v>1</v>
      </c>
      <c r="AQ4" s="2258" t="b">
        <f>AND(AQ45:AQ6011)</f>
        <v>1</v>
      </c>
      <c r="AR4" s="2258" t="b">
        <f>AND(AR45:AR6011)</f>
        <v>1</v>
      </c>
      <c r="AS4" s="2258" t="b">
        <f>AND(AS45:AS6011)</f>
        <v>1</v>
      </c>
      <c r="AT4" s="2258" t="b">
        <f>AND(AT45:AT6011)</f>
        <v>1</v>
      </c>
    </row>
    <row r="5" spans="1:52" s="773" customFormat="1" ht="65.5" thickBot="1">
      <c r="A5" s="544"/>
      <c r="C5" s="111" t="s">
        <v>5182</v>
      </c>
      <c r="D5" s="14" t="s">
        <v>5183</v>
      </c>
      <c r="E5" s="14" t="s">
        <v>4664</v>
      </c>
      <c r="F5" s="14" t="s">
        <v>1753</v>
      </c>
      <c r="G5" s="14" t="s">
        <v>1754</v>
      </c>
      <c r="H5" s="28" t="s">
        <v>1651</v>
      </c>
      <c r="I5" s="28" t="s">
        <v>1652</v>
      </c>
      <c r="J5" s="28" t="s">
        <v>1195</v>
      </c>
      <c r="K5" s="28" t="s">
        <v>1196</v>
      </c>
      <c r="L5" s="14" t="s">
        <v>2780</v>
      </c>
      <c r="M5" s="14" t="s">
        <v>2859</v>
      </c>
      <c r="N5" s="3147" t="s">
        <v>5498</v>
      </c>
      <c r="O5" s="14" t="s">
        <v>5184</v>
      </c>
      <c r="P5" s="14" t="s">
        <v>4079</v>
      </c>
      <c r="Q5" s="14" t="s">
        <v>5524</v>
      </c>
      <c r="R5" s="347" t="s">
        <v>1755</v>
      </c>
      <c r="S5" s="347" t="s">
        <v>1756</v>
      </c>
      <c r="T5" s="28" t="s">
        <v>1651</v>
      </c>
      <c r="U5" s="28" t="s">
        <v>1652</v>
      </c>
      <c r="V5" s="28" t="s">
        <v>1195</v>
      </c>
      <c r="W5" s="28" t="s">
        <v>1196</v>
      </c>
      <c r="X5" s="82" t="s">
        <v>4183</v>
      </c>
      <c r="Y5" s="2647" t="s">
        <v>7691</v>
      </c>
      <c r="Z5" s="2647" t="s">
        <v>8584</v>
      </c>
      <c r="AA5" s="1911"/>
      <c r="AB5" s="2647" t="s">
        <v>7689</v>
      </c>
      <c r="AC5" s="2647" t="s">
        <v>7692</v>
      </c>
      <c r="AD5" s="2647" t="s">
        <v>7693</v>
      </c>
      <c r="AE5" s="3953" t="s">
        <v>1755</v>
      </c>
      <c r="AF5" s="3954"/>
      <c r="AG5" s="3953" t="s">
        <v>1756</v>
      </c>
      <c r="AH5" s="3954"/>
      <c r="AI5" s="32"/>
      <c r="AJ5" s="2647" t="s">
        <v>6116</v>
      </c>
      <c r="AK5" s="2647" t="s">
        <v>6118</v>
      </c>
      <c r="AL5" s="2647" t="s">
        <v>6117</v>
      </c>
      <c r="AM5" s="2647" t="s">
        <v>6119</v>
      </c>
      <c r="AN5" s="2648" t="s">
        <v>1652</v>
      </c>
      <c r="AO5" s="2648" t="s">
        <v>1196</v>
      </c>
      <c r="AP5" s="2946" t="s">
        <v>7690</v>
      </c>
      <c r="AQ5" s="2946" t="s">
        <v>8577</v>
      </c>
      <c r="AR5" s="3223" t="s">
        <v>10009</v>
      </c>
      <c r="AS5" s="3320" t="s">
        <v>10208</v>
      </c>
      <c r="AT5" s="3548" t="s">
        <v>14889</v>
      </c>
    </row>
    <row r="6" spans="1:52" s="24" customFormat="1" ht="40.5" customHeight="1">
      <c r="A6" s="9"/>
      <c r="C6" s="525">
        <v>10022</v>
      </c>
      <c r="D6" s="600">
        <v>10023</v>
      </c>
      <c r="E6" s="600" t="s">
        <v>5250</v>
      </c>
      <c r="F6" s="258" t="s">
        <v>672</v>
      </c>
      <c r="G6" s="258" t="s">
        <v>674</v>
      </c>
      <c r="H6" s="258" t="s">
        <v>4142</v>
      </c>
      <c r="I6" s="258" t="s">
        <v>4142</v>
      </c>
      <c r="J6" s="258" t="s">
        <v>4142</v>
      </c>
      <c r="K6" s="258" t="s">
        <v>4142</v>
      </c>
      <c r="L6" s="259" t="s">
        <v>732</v>
      </c>
      <c r="M6" s="259" t="s">
        <v>4082</v>
      </c>
      <c r="N6" s="259" t="s">
        <v>4074</v>
      </c>
      <c r="O6" s="259" t="s">
        <v>4084</v>
      </c>
      <c r="P6" s="259" t="s">
        <v>4087</v>
      </c>
      <c r="Q6" s="259" t="s">
        <v>4088</v>
      </c>
      <c r="R6" s="258" t="s">
        <v>673</v>
      </c>
      <c r="S6" s="258" t="s">
        <v>694</v>
      </c>
      <c r="T6" s="258" t="s">
        <v>4142</v>
      </c>
      <c r="U6" s="258" t="s">
        <v>4142</v>
      </c>
      <c r="V6" s="258" t="s">
        <v>4142</v>
      </c>
      <c r="W6" s="258" t="s">
        <v>4142</v>
      </c>
      <c r="X6" s="260"/>
      <c r="Y6" s="2647"/>
      <c r="Z6" s="2647"/>
      <c r="AA6" s="1911"/>
      <c r="AB6" s="2647"/>
      <c r="AC6" s="2647"/>
      <c r="AD6" s="2647"/>
      <c r="AE6" s="2655" t="s">
        <v>6114</v>
      </c>
      <c r="AF6" s="2655" t="s">
        <v>6115</v>
      </c>
      <c r="AG6" s="2655" t="s">
        <v>6114</v>
      </c>
      <c r="AH6" s="2655" t="s">
        <v>6115</v>
      </c>
      <c r="AI6" s="673"/>
      <c r="AJ6" s="2651"/>
      <c r="AK6" s="2651"/>
      <c r="AL6" s="2651"/>
      <c r="AM6" s="2651"/>
      <c r="AN6" s="2651"/>
      <c r="AO6" s="2651"/>
      <c r="AP6" s="2651"/>
      <c r="AQ6" s="2796"/>
      <c r="AR6" s="3222"/>
      <c r="AS6" s="3319"/>
      <c r="AT6" s="3547"/>
    </row>
    <row r="7" spans="1:52" s="673" customFormat="1" ht="12.5">
      <c r="A7" s="694"/>
      <c r="C7" s="1735" t="s">
        <v>4164</v>
      </c>
      <c r="D7" s="1736" t="s">
        <v>4165</v>
      </c>
      <c r="E7" s="1735" t="s">
        <v>4166</v>
      </c>
      <c r="F7" s="1736" t="s">
        <v>5500</v>
      </c>
      <c r="G7" s="1735" t="s">
        <v>4169</v>
      </c>
      <c r="H7" s="1736" t="s">
        <v>4168</v>
      </c>
      <c r="I7" s="1735" t="s">
        <v>4178</v>
      </c>
      <c r="J7" s="1736" t="s">
        <v>4179</v>
      </c>
      <c r="K7" s="1735" t="s">
        <v>4167</v>
      </c>
      <c r="L7" s="1736" t="s">
        <v>5501</v>
      </c>
      <c r="M7" s="1735" t="s">
        <v>4701</v>
      </c>
      <c r="N7" s="1735" t="s">
        <v>4702</v>
      </c>
      <c r="O7" s="1735" t="s">
        <v>4703</v>
      </c>
      <c r="P7" s="1735" t="s">
        <v>5502</v>
      </c>
      <c r="Q7" s="1735" t="s">
        <v>5503</v>
      </c>
      <c r="R7" s="1735" t="s">
        <v>5504</v>
      </c>
      <c r="S7" s="1735" t="s">
        <v>4853</v>
      </c>
      <c r="T7" s="1735" t="s">
        <v>4852</v>
      </c>
      <c r="U7" s="1735" t="s">
        <v>5505</v>
      </c>
      <c r="V7" s="1735" t="s">
        <v>4851</v>
      </c>
      <c r="W7" s="1735" t="s">
        <v>5506</v>
      </c>
      <c r="X7" s="1735" t="s">
        <v>4850</v>
      </c>
      <c r="Y7" s="1910"/>
      <c r="Z7" s="1910"/>
      <c r="AE7" s="2656"/>
      <c r="AF7" s="2656"/>
      <c r="AG7" s="2656"/>
      <c r="AH7" s="2656"/>
      <c r="AR7" s="24"/>
    </row>
    <row r="8" spans="1:52" s="24" customFormat="1">
      <c r="A8" s="9"/>
      <c r="C8" s="994" t="s">
        <v>4170</v>
      </c>
      <c r="D8" s="1333" t="s">
        <v>4184</v>
      </c>
      <c r="E8" s="1333" t="s">
        <v>4184</v>
      </c>
      <c r="F8" s="1334">
        <f t="shared" ref="F8:W8" si="0">SUM(F11:F65558)</f>
        <v>0</v>
      </c>
      <c r="G8" s="1334">
        <f t="shared" si="0"/>
        <v>0</v>
      </c>
      <c r="H8" s="1334">
        <f t="shared" si="0"/>
        <v>0</v>
      </c>
      <c r="I8" s="1334">
        <f t="shared" si="0"/>
        <v>0</v>
      </c>
      <c r="J8" s="1774">
        <f t="shared" si="0"/>
        <v>0</v>
      </c>
      <c r="K8" s="1774">
        <f t="shared" si="0"/>
        <v>0</v>
      </c>
      <c r="L8" s="1334">
        <f t="shared" si="0"/>
        <v>0</v>
      </c>
      <c r="M8" s="1334">
        <f t="shared" si="0"/>
        <v>0</v>
      </c>
      <c r="N8" s="1334">
        <f t="shared" si="0"/>
        <v>0</v>
      </c>
      <c r="O8" s="1334">
        <f t="shared" si="0"/>
        <v>0</v>
      </c>
      <c r="P8" s="1334">
        <f t="shared" si="0"/>
        <v>0</v>
      </c>
      <c r="Q8" s="1334">
        <f t="shared" si="0"/>
        <v>0</v>
      </c>
      <c r="R8" s="1334">
        <f t="shared" si="0"/>
        <v>0</v>
      </c>
      <c r="S8" s="1334">
        <f t="shared" si="0"/>
        <v>0</v>
      </c>
      <c r="T8" s="1334">
        <f t="shared" si="0"/>
        <v>0</v>
      </c>
      <c r="U8" s="1334">
        <f t="shared" si="0"/>
        <v>0</v>
      </c>
      <c r="V8" s="1774">
        <f t="shared" si="0"/>
        <v>0</v>
      </c>
      <c r="W8" s="1774">
        <f t="shared" si="0"/>
        <v>0</v>
      </c>
      <c r="X8" s="949" t="s">
        <v>4184</v>
      </c>
      <c r="Y8" s="173"/>
      <c r="Z8" s="173"/>
      <c r="AE8" s="2641"/>
      <c r="AF8" s="2641"/>
      <c r="AG8" s="2641"/>
      <c r="AH8" s="2641"/>
      <c r="AT8" s="1911" t="s">
        <v>14471</v>
      </c>
      <c r="AZ8" s="3551" t="s">
        <v>14890</v>
      </c>
    </row>
    <row r="9" spans="1:52" s="24" customFormat="1">
      <c r="A9" s="9"/>
      <c r="B9" s="201"/>
      <c r="C9" s="994" t="s">
        <v>5440</v>
      </c>
      <c r="D9" s="1146" t="s">
        <v>4184</v>
      </c>
      <c r="E9" s="1146" t="s">
        <v>4184</v>
      </c>
      <c r="F9" s="1334">
        <f>SUMIF($C$45:$C$56,"{252008} Расчеты по дивидендам и части прибыли от использования имущества, находящегося в хозяйственном ведении, оперативном управлении, к получению",F45:F56)+F21</f>
        <v>0</v>
      </c>
      <c r="G9" s="1334">
        <f>SUMIF($C$45:$C$56,"{252008} Расчеты по дивидендам и части прибыли от использования имущества, находящегося в хозяйственном ведении, оперативном управлении, к получению",G45:G56)+G21</f>
        <v>0</v>
      </c>
      <c r="H9" s="1335"/>
      <c r="I9" s="1335"/>
      <c r="J9" s="1775">
        <f>F9-H9</f>
        <v>0</v>
      </c>
      <c r="K9" s="1775">
        <f>G9-I9</f>
        <v>0</v>
      </c>
      <c r="L9" s="1334">
        <f t="shared" ref="L9:S9" si="1">SUMIF($C$45:$C$56,"{252008} Расчеты по дивидендам и части прибыли от использования имущества, находящегося в хозяйственном ведении, оперативном управлении, к получению",L45:L56)+L21</f>
        <v>0</v>
      </c>
      <c r="M9" s="1334">
        <f t="shared" si="1"/>
        <v>0</v>
      </c>
      <c r="N9" s="1334">
        <f t="shared" si="1"/>
        <v>0</v>
      </c>
      <c r="O9" s="1334">
        <f t="shared" si="1"/>
        <v>0</v>
      </c>
      <c r="P9" s="1334">
        <f t="shared" si="1"/>
        <v>0</v>
      </c>
      <c r="Q9" s="1334">
        <f t="shared" si="1"/>
        <v>0</v>
      </c>
      <c r="R9" s="1334">
        <f t="shared" si="1"/>
        <v>0</v>
      </c>
      <c r="S9" s="1334">
        <f t="shared" si="1"/>
        <v>0</v>
      </c>
      <c r="T9" s="1335"/>
      <c r="U9" s="1509"/>
      <c r="V9" s="1775">
        <f>R9-T9</f>
        <v>0</v>
      </c>
      <c r="W9" s="1775">
        <f>S9-U9</f>
        <v>0</v>
      </c>
      <c r="X9" s="1336"/>
      <c r="Y9" s="173"/>
      <c r="Z9" s="173"/>
      <c r="AE9" s="2641"/>
      <c r="AF9" s="2641"/>
      <c r="AG9" s="2641"/>
      <c r="AH9" s="2641"/>
      <c r="AT9" s="1911" t="s">
        <v>14470</v>
      </c>
      <c r="AZ9" s="3551" t="s">
        <v>14891</v>
      </c>
    </row>
    <row r="10" spans="1:52" s="24" customFormat="1">
      <c r="A10" s="9"/>
      <c r="B10" s="201"/>
      <c r="C10" s="994" t="s">
        <v>5441</v>
      </c>
      <c r="D10" s="1146" t="s">
        <v>4184</v>
      </c>
      <c r="E10" s="1146" t="s">
        <v>4184</v>
      </c>
      <c r="F10" s="1334">
        <f>F8-F9</f>
        <v>0</v>
      </c>
      <c r="G10" s="1334">
        <f>G8-G9</f>
        <v>0</v>
      </c>
      <c r="H10" s="1334">
        <f t="shared" ref="H10:Q10" si="2">H8-H9</f>
        <v>0</v>
      </c>
      <c r="I10" s="1334">
        <f t="shared" si="2"/>
        <v>0</v>
      </c>
      <c r="J10" s="1775">
        <f t="shared" ref="J10:J45" si="3">F10-H10</f>
        <v>0</v>
      </c>
      <c r="K10" s="1775">
        <f t="shared" ref="K10:K45" si="4">G10-I10</f>
        <v>0</v>
      </c>
      <c r="L10" s="1334">
        <f t="shared" si="2"/>
        <v>0</v>
      </c>
      <c r="M10" s="1334">
        <f t="shared" si="2"/>
        <v>0</v>
      </c>
      <c r="N10" s="1334">
        <f t="shared" ref="N10" si="5">N8-N9</f>
        <v>0</v>
      </c>
      <c r="O10" s="1334">
        <f t="shared" si="2"/>
        <v>0</v>
      </c>
      <c r="P10" s="1334">
        <f t="shared" si="2"/>
        <v>0</v>
      </c>
      <c r="Q10" s="1334">
        <f t="shared" si="2"/>
        <v>0</v>
      </c>
      <c r="R10" s="1334">
        <f>R8-R9</f>
        <v>0</v>
      </c>
      <c r="S10" s="1334">
        <f>S8-S9</f>
        <v>0</v>
      </c>
      <c r="T10" s="1334">
        <f>T8-T9</f>
        <v>0</v>
      </c>
      <c r="U10" s="1334">
        <f>U8-U9</f>
        <v>0</v>
      </c>
      <c r="V10" s="1775">
        <f t="shared" ref="V10:V21" si="6">R10-T10</f>
        <v>0</v>
      </c>
      <c r="W10" s="1775">
        <f t="shared" ref="W10:W46" si="7">S10-U10</f>
        <v>0</v>
      </c>
      <c r="X10" s="1336"/>
      <c r="Y10" s="173"/>
      <c r="Z10" s="173"/>
      <c r="AE10" s="2641"/>
      <c r="AF10" s="2641"/>
      <c r="AG10" s="2641"/>
      <c r="AH10" s="2641"/>
      <c r="AT10" s="1911" t="s">
        <v>14469</v>
      </c>
      <c r="AZ10" s="3551" t="s">
        <v>15006</v>
      </c>
    </row>
    <row r="11" spans="1:52" s="24" customFormat="1">
      <c r="A11" s="429" t="str">
        <f t="shared" ref="A11:A18" si="8">"R1="&amp;IFERROR(MID(C11,FIND("{",C11)+1,FIND("}",C11)-FIND("{",C11)-1),"")&amp;";R35=100;R44=H;COM="&amp;X11</f>
        <v>R1=252002;R35=100;R44=H;COM=</v>
      </c>
      <c r="B11" s="201"/>
      <c r="C11" s="1144" t="s">
        <v>7472</v>
      </c>
      <c r="D11" s="1146" t="s">
        <v>4184</v>
      </c>
      <c r="E11" s="1146" t="s">
        <v>4184</v>
      </c>
      <c r="F11" s="1337">
        <f>SUMIF('76_01_%'!$I:$I,$C11,'76_01_%'!L:L)</f>
        <v>0</v>
      </c>
      <c r="G11" s="1337">
        <f>SUMIF('76_01_%'!$I:$I,$C11,'76_01_%'!M:M)</f>
        <v>0</v>
      </c>
      <c r="H11" s="1337">
        <f>SUMIF('76_01_%'!$I:$I,$C11,'76_01_%'!N:N)</f>
        <v>0</v>
      </c>
      <c r="I11" s="1337">
        <f>SUMIF('76_01_%'!$I:$I,$C11,'76_01_%'!O:O)</f>
        <v>0</v>
      </c>
      <c r="J11" s="1337">
        <f>SUMIF('76_01_%'!$I:$I,$C11,'76_01_%'!P:P)</f>
        <v>0</v>
      </c>
      <c r="K11" s="1337">
        <f>SUMIF('76_01_%'!$I:$I,$C11,'76_01_%'!Q:Q)</f>
        <v>0</v>
      </c>
      <c r="L11" s="1334">
        <f>SUMIF('76_01_%'!$I:$I,$C11,'76_01_%'!R:R)</f>
        <v>0</v>
      </c>
      <c r="M11" s="1334">
        <f>SUMIF('76_01_%'!$I:$I,$C11,'76_01_%'!T:T)</f>
        <v>0</v>
      </c>
      <c r="N11" s="1145" t="s">
        <v>4184</v>
      </c>
      <c r="O11" s="1145" t="s">
        <v>4184</v>
      </c>
      <c r="P11" s="1334">
        <f>SUMIF('76_01_%'!$I:$I,$C11,'76_01_%'!W:W)</f>
        <v>0</v>
      </c>
      <c r="Q11" s="1334">
        <f>SUMIF('76_01_%'!$I:$I,$C11,'76_01_%'!S:S)+SUMIF('76_01_%'!$I:$I,$C11,'76_01_%'!U:U)+SUMIF('76_01_%'!$I:$I,$C11,'76_01_%'!V:V)</f>
        <v>0</v>
      </c>
      <c r="R11" s="1334">
        <f>SUMIF('76_01_%'!$I:$I,$C11,'76_01_%'!X:X)</f>
        <v>0</v>
      </c>
      <c r="S11" s="1334">
        <f>SUMIF('76_01_%'!$I:$I,$C11,'76_01_%'!Y:Y)</f>
        <v>0</v>
      </c>
      <c r="T11" s="1334">
        <f>SUMIF('76_01_%'!$I:$I,$C11,'76_01_%'!Z:Z)</f>
        <v>0</v>
      </c>
      <c r="U11" s="1334">
        <f>SUMIF('76_01_%'!$I:$I,$C11,'76_01_%'!AA:AA)</f>
        <v>0</v>
      </c>
      <c r="V11" s="1334">
        <f>SUMIF('76_01_%'!$I:$I,$C11,'76_01_%'!AB:AB)</f>
        <v>0</v>
      </c>
      <c r="W11" s="1334">
        <f>SUMIF('76_01_%'!$I:$I,$C11,'76_01_%'!AC:AC)</f>
        <v>0</v>
      </c>
      <c r="X11" s="1336"/>
      <c r="Y11" s="173"/>
      <c r="Z11" s="173"/>
      <c r="AE11" s="2641"/>
      <c r="AF11" s="2641"/>
      <c r="AG11" s="2641"/>
      <c r="AH11" s="2641"/>
      <c r="AT11" s="1911" t="s">
        <v>14472</v>
      </c>
      <c r="AZ11" s="3551" t="s">
        <v>14950</v>
      </c>
    </row>
    <row r="12" spans="1:52" s="24" customFormat="1">
      <c r="A12" s="429" t="str">
        <f t="shared" si="8"/>
        <v>R1=252005;R35=100;R44=H;COM=</v>
      </c>
      <c r="B12" s="201"/>
      <c r="C12" s="1144" t="s">
        <v>3034</v>
      </c>
      <c r="D12" s="1146" t="s">
        <v>4184</v>
      </c>
      <c r="E12" s="1146" t="s">
        <v>4184</v>
      </c>
      <c r="F12" s="1337">
        <f>SUMIF('76_01_%'!$I:$I,$C12,'76_01_%'!L:L)</f>
        <v>0</v>
      </c>
      <c r="G12" s="1337">
        <f>SUMIF('76_01_%'!$I:$I,$C12,'76_01_%'!M:M)</f>
        <v>0</v>
      </c>
      <c r="H12" s="1337">
        <f>SUMIF('76_01_%'!$I:$I,$C12,'76_01_%'!N:N)</f>
        <v>0</v>
      </c>
      <c r="I12" s="1337">
        <f>SUMIF('76_01_%'!$I:$I,$C12,'76_01_%'!O:O)</f>
        <v>0</v>
      </c>
      <c r="J12" s="1337">
        <f>SUMIF('76_01_%'!$I:$I,$C12,'76_01_%'!P:P)</f>
        <v>0</v>
      </c>
      <c r="K12" s="1337">
        <f>SUMIF('76_01_%'!$I:$I,$C12,'76_01_%'!Q:Q)</f>
        <v>0</v>
      </c>
      <c r="L12" s="1334">
        <f>SUMIF('76_01_%'!$I:$I,$C12,'76_01_%'!R:R)</f>
        <v>0</v>
      </c>
      <c r="M12" s="1334">
        <f>SUMIF('76_01_%'!$I:$I,$C12,'76_01_%'!T:T)</f>
        <v>0</v>
      </c>
      <c r="N12" s="1145" t="s">
        <v>4184</v>
      </c>
      <c r="O12" s="1145" t="s">
        <v>4184</v>
      </c>
      <c r="P12" s="1334">
        <f>SUMIF('76_01_%'!$I:$I,$C12,'76_01_%'!W:W)</f>
        <v>0</v>
      </c>
      <c r="Q12" s="1334">
        <f>SUMIF('76_01_%'!$I:$I,$C12,'76_01_%'!S:S)+SUMIF('76_01_%'!$I:$I,$C12,'76_01_%'!U:U)+SUMIF('76_01_%'!$I:$I,$C12,'76_01_%'!V:V)</f>
        <v>0</v>
      </c>
      <c r="R12" s="1334">
        <f>SUMIF('76_01_%'!$I:$I,$C12,'76_01_%'!X:X)</f>
        <v>0</v>
      </c>
      <c r="S12" s="1334">
        <f>SUMIF('76_01_%'!$I:$I,$C12,'76_01_%'!Y:Y)</f>
        <v>0</v>
      </c>
      <c r="T12" s="1334">
        <f>SUMIF('76_01_%'!$I:$I,$C12,'76_01_%'!Z:Z)</f>
        <v>0</v>
      </c>
      <c r="U12" s="1334">
        <f>SUMIF('76_01_%'!$I:$I,$C12,'76_01_%'!AA:AA)</f>
        <v>0</v>
      </c>
      <c r="V12" s="1334">
        <f>SUMIF('76_01_%'!$I:$I,$C12,'76_01_%'!AB:AB)</f>
        <v>0</v>
      </c>
      <c r="W12" s="1334">
        <f>SUMIF('76_01_%'!$I:$I,$C12,'76_01_%'!AC:AC)</f>
        <v>0</v>
      </c>
      <c r="X12" s="1336"/>
      <c r="Y12" s="173"/>
      <c r="Z12" s="173"/>
      <c r="AE12" s="2641"/>
      <c r="AF12" s="2641"/>
      <c r="AG12" s="2641"/>
      <c r="AH12" s="2641"/>
      <c r="AT12" s="1911" t="s">
        <v>14473</v>
      </c>
      <c r="AZ12" s="3551" t="s">
        <v>14951</v>
      </c>
    </row>
    <row r="13" spans="1:52" s="24" customFormat="1">
      <c r="A13" s="429" t="str">
        <f t="shared" si="8"/>
        <v>R1=252006;R35=100;R44=H;COM=</v>
      </c>
      <c r="B13" s="201"/>
      <c r="C13" s="1144" t="s">
        <v>7473</v>
      </c>
      <c r="D13" s="1146" t="s">
        <v>4184</v>
      </c>
      <c r="E13" s="1146" t="s">
        <v>4184</v>
      </c>
      <c r="F13" s="1337">
        <f>SUMIF('76_01_%'!$I:$I,$C13,'76_01_%'!L:L)</f>
        <v>0</v>
      </c>
      <c r="G13" s="1337">
        <f>SUMIF('76_01_%'!$I:$I,$C13,'76_01_%'!M:M)</f>
        <v>0</v>
      </c>
      <c r="H13" s="1337">
        <f>SUMIF('76_01_%'!$I:$I,$C13,'76_01_%'!N:N)</f>
        <v>0</v>
      </c>
      <c r="I13" s="1337">
        <f>SUMIF('76_01_%'!$I:$I,$C13,'76_01_%'!O:O)</f>
        <v>0</v>
      </c>
      <c r="J13" s="1337">
        <f>SUMIF('76_01_%'!$I:$I,$C13,'76_01_%'!P:P)</f>
        <v>0</v>
      </c>
      <c r="K13" s="1337">
        <f>SUMIF('76_01_%'!$I:$I,$C13,'76_01_%'!Q:Q)</f>
        <v>0</v>
      </c>
      <c r="L13" s="1334">
        <f>SUMIF('76_01_%'!$I:$I,$C13,'76_01_%'!R:R)</f>
        <v>0</v>
      </c>
      <c r="M13" s="1334">
        <f>SUMIF('76_01_%'!$I:$I,$C13,'76_01_%'!T:T)</f>
        <v>0</v>
      </c>
      <c r="N13" s="1145" t="s">
        <v>4184</v>
      </c>
      <c r="O13" s="1145" t="s">
        <v>4184</v>
      </c>
      <c r="P13" s="1334">
        <f>SUMIF('76_01_%'!$I:$I,$C13,'76_01_%'!W:W)</f>
        <v>0</v>
      </c>
      <c r="Q13" s="1334">
        <f>SUMIF('76_01_%'!$I:$I,$C13,'76_01_%'!S:S)+SUMIF('76_01_%'!$I:$I,$C13,'76_01_%'!U:U)+SUMIF('76_01_%'!$I:$I,$C13,'76_01_%'!V:V)</f>
        <v>0</v>
      </c>
      <c r="R13" s="1334">
        <f>SUMIF('76_01_%'!$I:$I,$C13,'76_01_%'!X:X)</f>
        <v>0</v>
      </c>
      <c r="S13" s="1334">
        <f>SUMIF('76_01_%'!$I:$I,$C13,'76_01_%'!Y:Y)</f>
        <v>0</v>
      </c>
      <c r="T13" s="1334">
        <f>SUMIF('76_01_%'!$I:$I,$C13,'76_01_%'!Z:Z)</f>
        <v>0</v>
      </c>
      <c r="U13" s="1334">
        <f>SUMIF('76_01_%'!$I:$I,$C13,'76_01_%'!AA:AA)</f>
        <v>0</v>
      </c>
      <c r="V13" s="1334">
        <f>SUMIF('76_01_%'!$I:$I,$C13,'76_01_%'!AB:AB)</f>
        <v>0</v>
      </c>
      <c r="W13" s="1334">
        <f>SUMIF('76_01_%'!$I:$I,$C13,'76_01_%'!AC:AC)</f>
        <v>0</v>
      </c>
      <c r="X13" s="1336"/>
      <c r="Y13" s="173"/>
      <c r="Z13" s="173"/>
      <c r="AE13" s="2641"/>
      <c r="AF13" s="2641"/>
      <c r="AG13" s="2641"/>
      <c r="AH13" s="2641"/>
      <c r="AT13" s="1911" t="s">
        <v>14474</v>
      </c>
      <c r="AZ13" s="3551" t="s">
        <v>14892</v>
      </c>
    </row>
    <row r="14" spans="1:52" s="24" customFormat="1">
      <c r="A14" s="429" t="str">
        <f t="shared" si="8"/>
        <v>R1=252007;R35=100;R44=H;COM=</v>
      </c>
      <c r="B14" s="201"/>
      <c r="C14" s="1144" t="s">
        <v>3035</v>
      </c>
      <c r="D14" s="1146" t="s">
        <v>4184</v>
      </c>
      <c r="E14" s="1146" t="s">
        <v>4184</v>
      </c>
      <c r="F14" s="1337">
        <f>SUMIF('76_01_%'!$I:$I,$C14,'76_01_%'!L:L)</f>
        <v>0</v>
      </c>
      <c r="G14" s="1337">
        <f>SUMIF('76_01_%'!$I:$I,$C14,'76_01_%'!M:M)</f>
        <v>0</v>
      </c>
      <c r="H14" s="1337">
        <f>SUMIF('76_01_%'!$I:$I,$C14,'76_01_%'!N:N)</f>
        <v>0</v>
      </c>
      <c r="I14" s="1337">
        <f>SUMIF('76_01_%'!$I:$I,$C14,'76_01_%'!O:O)</f>
        <v>0</v>
      </c>
      <c r="J14" s="1337">
        <f>SUMIF('76_01_%'!$I:$I,$C14,'76_01_%'!P:P)</f>
        <v>0</v>
      </c>
      <c r="K14" s="1337">
        <f>SUMIF('76_01_%'!$I:$I,$C14,'76_01_%'!Q:Q)</f>
        <v>0</v>
      </c>
      <c r="L14" s="1334">
        <f>SUMIF('76_01_%'!$I:$I,$C14,'76_01_%'!R:R)</f>
        <v>0</v>
      </c>
      <c r="M14" s="1334">
        <f>SUMIF('76_01_%'!$I:$I,$C14,'76_01_%'!T:T)</f>
        <v>0</v>
      </c>
      <c r="N14" s="1145" t="s">
        <v>4184</v>
      </c>
      <c r="O14" s="1145" t="s">
        <v>4184</v>
      </c>
      <c r="P14" s="1334">
        <f>SUMIF('76_01_%'!$I:$I,$C14,'76_01_%'!W:W)</f>
        <v>0</v>
      </c>
      <c r="Q14" s="1334">
        <f>SUMIF('76_01_%'!$I:$I,$C14,'76_01_%'!S:S)+SUMIF('76_01_%'!$I:$I,$C14,'76_01_%'!U:U)+SUMIF('76_01_%'!$I:$I,$C14,'76_01_%'!V:V)</f>
        <v>0</v>
      </c>
      <c r="R14" s="1334">
        <f>SUMIF('76_01_%'!$I:$I,$C14,'76_01_%'!X:X)</f>
        <v>0</v>
      </c>
      <c r="S14" s="1334">
        <f>SUMIF('76_01_%'!$I:$I,$C14,'76_01_%'!Y:Y)</f>
        <v>0</v>
      </c>
      <c r="T14" s="1334">
        <f>SUMIF('76_01_%'!$I:$I,$C14,'76_01_%'!Z:Z)</f>
        <v>0</v>
      </c>
      <c r="U14" s="1334">
        <f>SUMIF('76_01_%'!$I:$I,$C14,'76_01_%'!AA:AA)</f>
        <v>0</v>
      </c>
      <c r="V14" s="1334">
        <f>SUMIF('76_01_%'!$I:$I,$C14,'76_01_%'!AB:AB)</f>
        <v>0</v>
      </c>
      <c r="W14" s="1334">
        <f>SUMIF('76_01_%'!$I:$I,$C14,'76_01_%'!AC:AC)</f>
        <v>0</v>
      </c>
      <c r="X14" s="1336"/>
      <c r="Y14" s="173"/>
      <c r="Z14" s="173"/>
      <c r="AE14" s="2641"/>
      <c r="AF14" s="2641"/>
      <c r="AG14" s="2641"/>
      <c r="AH14" s="2641"/>
      <c r="AT14" s="1911" t="s">
        <v>14475</v>
      </c>
      <c r="AZ14" s="3551" t="s">
        <v>14996</v>
      </c>
    </row>
    <row r="15" spans="1:52" s="24" customFormat="1" ht="12.5">
      <c r="A15" s="429" t="str">
        <f t="shared" si="8"/>
        <v>R1=252065;R35=100;R44=H;COM=</v>
      </c>
      <c r="C15" s="1144" t="s">
        <v>3086</v>
      </c>
      <c r="D15" s="1146" t="s">
        <v>4184</v>
      </c>
      <c r="E15" s="1146" t="s">
        <v>4184</v>
      </c>
      <c r="F15" s="1337">
        <f>SUMIF('76_01_%'!$I:$I,$C15,'76_01_%'!L:L)</f>
        <v>0</v>
      </c>
      <c r="G15" s="1337">
        <f>SUMIF('76_01_%'!$I:$I,$C15,'76_01_%'!M:M)</f>
        <v>0</v>
      </c>
      <c r="H15" s="1337">
        <f>SUMIF('76_01_%'!$I:$I,$C15,'76_01_%'!N:N)</f>
        <v>0</v>
      </c>
      <c r="I15" s="1337">
        <f>SUMIF('76_01_%'!$I:$I,$C15,'76_01_%'!O:O)</f>
        <v>0</v>
      </c>
      <c r="J15" s="1337">
        <f>SUMIF('76_01_%'!$I:$I,$C15,'76_01_%'!P:P)</f>
        <v>0</v>
      </c>
      <c r="K15" s="1337">
        <f>SUMIF('76_01_%'!$I:$I,$C15,'76_01_%'!Q:Q)</f>
        <v>0</v>
      </c>
      <c r="L15" s="1334">
        <f>SUMIF('76_01_%'!$I:$I,$C15,'76_01_%'!R:R)</f>
        <v>0</v>
      </c>
      <c r="M15" s="1334">
        <f>SUMIF('76_01_%'!$I:$I,$C15,'76_01_%'!T:T)</f>
        <v>0</v>
      </c>
      <c r="N15" s="1145" t="s">
        <v>4184</v>
      </c>
      <c r="O15" s="1145" t="s">
        <v>4184</v>
      </c>
      <c r="P15" s="1334">
        <f>SUMIF('76_01_%'!$I:$I,$C15,'76_01_%'!W:W)</f>
        <v>0</v>
      </c>
      <c r="Q15" s="1334">
        <f>SUMIF('76_01_%'!$I:$I,$C15,'76_01_%'!S:S)+SUMIF('76_01_%'!$I:$I,$C15,'76_01_%'!U:U)+SUMIF('76_01_%'!$I:$I,$C15,'76_01_%'!V:V)</f>
        <v>0</v>
      </c>
      <c r="R15" s="1334">
        <f>SUMIF('76_01_%'!$I:$I,$C15,'76_01_%'!X:X)</f>
        <v>0</v>
      </c>
      <c r="S15" s="1334">
        <f>SUMIF('76_01_%'!$I:$I,$C15,'76_01_%'!Y:Y)</f>
        <v>0</v>
      </c>
      <c r="T15" s="1334">
        <f>SUMIF('76_01_%'!$I:$I,$C15,'76_01_%'!Z:Z)</f>
        <v>0</v>
      </c>
      <c r="U15" s="1334">
        <f>SUMIF('76_01_%'!$I:$I,$C15,'76_01_%'!AA:AA)</f>
        <v>0</v>
      </c>
      <c r="V15" s="1334">
        <f>SUMIF('76_01_%'!$I:$I,$C15,'76_01_%'!AB:AB)</f>
        <v>0</v>
      </c>
      <c r="W15" s="1334">
        <f>SUMIF('76_01_%'!$I:$I,$C15,'76_01_%'!AC:AC)</f>
        <v>0</v>
      </c>
      <c r="X15" s="1336"/>
      <c r="Y15" s="173"/>
      <c r="Z15" s="173"/>
      <c r="AE15" s="2641"/>
      <c r="AF15" s="2641"/>
      <c r="AG15" s="2641"/>
      <c r="AH15" s="2641"/>
    </row>
    <row r="16" spans="1:52" s="24" customFormat="1" ht="12.5">
      <c r="A16" s="429" t="str">
        <f t="shared" si="8"/>
        <v>R1=252066;R35=100;R44=H;COM=</v>
      </c>
      <c r="B16" s="201"/>
      <c r="C16" s="1144" t="s">
        <v>3087</v>
      </c>
      <c r="D16" s="1146" t="s">
        <v>4184</v>
      </c>
      <c r="E16" s="1146" t="s">
        <v>4184</v>
      </c>
      <c r="F16" s="1337">
        <f>SUMIF('76_01_%'!$I:$I,$C16,'76_01_%'!L:L)</f>
        <v>0</v>
      </c>
      <c r="G16" s="1337">
        <f>SUMIF('76_01_%'!$I:$I,$C16,'76_01_%'!M:M)</f>
        <v>0</v>
      </c>
      <c r="H16" s="1337">
        <f>SUMIF('76_01_%'!$I:$I,$C16,'76_01_%'!N:N)</f>
        <v>0</v>
      </c>
      <c r="I16" s="1337">
        <f>SUMIF('76_01_%'!$I:$I,$C16,'76_01_%'!O:O)</f>
        <v>0</v>
      </c>
      <c r="J16" s="1337">
        <f>SUMIF('76_01_%'!$I:$I,$C16,'76_01_%'!P:P)</f>
        <v>0</v>
      </c>
      <c r="K16" s="1337">
        <f>SUMIF('76_01_%'!$I:$I,$C16,'76_01_%'!Q:Q)</f>
        <v>0</v>
      </c>
      <c r="L16" s="1334">
        <f>SUMIF('76_01_%'!$I:$I,$C16,'76_01_%'!R:R)</f>
        <v>0</v>
      </c>
      <c r="M16" s="1334">
        <f>SUMIF('76_01_%'!$I:$I,$C16,'76_01_%'!T:T)</f>
        <v>0</v>
      </c>
      <c r="N16" s="1145" t="s">
        <v>4184</v>
      </c>
      <c r="O16" s="1145" t="s">
        <v>4184</v>
      </c>
      <c r="P16" s="1334">
        <f>SUMIF('76_01_%'!$I:$I,$C16,'76_01_%'!W:W)</f>
        <v>0</v>
      </c>
      <c r="Q16" s="1334">
        <f>SUMIF('76_01_%'!$I:$I,$C16,'76_01_%'!S:S)+SUMIF('76_01_%'!$I:$I,$C16,'76_01_%'!U:U)+SUMIF('76_01_%'!$I:$I,$C16,'76_01_%'!V:V)</f>
        <v>0</v>
      </c>
      <c r="R16" s="1334">
        <f>SUMIF('76_01_%'!$I:$I,$C16,'76_01_%'!X:X)</f>
        <v>0</v>
      </c>
      <c r="S16" s="1334">
        <f>SUMIF('76_01_%'!$I:$I,$C16,'76_01_%'!Y:Y)</f>
        <v>0</v>
      </c>
      <c r="T16" s="1334">
        <f>SUMIF('76_01_%'!$I:$I,$C16,'76_01_%'!Z:Z)</f>
        <v>0</v>
      </c>
      <c r="U16" s="1334">
        <f>SUMIF('76_01_%'!$I:$I,$C16,'76_01_%'!AA:AA)</f>
        <v>0</v>
      </c>
      <c r="V16" s="1334">
        <f>SUMIF('76_01_%'!$I:$I,$C16,'76_01_%'!AB:AB)</f>
        <v>0</v>
      </c>
      <c r="W16" s="1334">
        <f>SUMIF('76_01_%'!$I:$I,$C16,'76_01_%'!AC:AC)</f>
        <v>0</v>
      </c>
      <c r="X16" s="1336"/>
      <c r="Y16" s="173"/>
      <c r="Z16" s="173"/>
      <c r="AE16" s="2641"/>
      <c r="AF16" s="2641"/>
      <c r="AG16" s="2641"/>
      <c r="AH16" s="2641"/>
    </row>
    <row r="17" spans="1:42" s="24" customFormat="1" ht="25">
      <c r="A17" s="429" t="str">
        <f t="shared" si="8"/>
        <v>R1=252074;R35=100;R44=H;COM=</v>
      </c>
      <c r="C17" s="1144" t="s">
        <v>6864</v>
      </c>
      <c r="D17" s="1146" t="s">
        <v>4184</v>
      </c>
      <c r="E17" s="1146" t="s">
        <v>4184</v>
      </c>
      <c r="F17" s="1337">
        <f>SUMIF('76_01_%'!$I:$I,$C17,'76_01_%'!L:L)</f>
        <v>0</v>
      </c>
      <c r="G17" s="1337">
        <f>SUMIF('76_01_%'!$I:$I,$C17,'76_01_%'!M:M)</f>
        <v>0</v>
      </c>
      <c r="H17" s="1337">
        <f>SUMIF('76_01_%'!$I:$I,$C17,'76_01_%'!N:N)</f>
        <v>0</v>
      </c>
      <c r="I17" s="1337">
        <f>SUMIF('76_01_%'!$I:$I,$C17,'76_01_%'!O:O)</f>
        <v>0</v>
      </c>
      <c r="J17" s="1337">
        <f>SUMIF('76_01_%'!$I:$I,$C17,'76_01_%'!P:P)</f>
        <v>0</v>
      </c>
      <c r="K17" s="1337">
        <f>SUMIF('76_01_%'!$I:$I,$C17,'76_01_%'!Q:Q)</f>
        <v>0</v>
      </c>
      <c r="L17" s="1334">
        <f>SUMIF('76_01_%'!$I:$I,$C17,'76_01_%'!R:R)</f>
        <v>0</v>
      </c>
      <c r="M17" s="1334">
        <f>SUMIF('76_01_%'!$I:$I,$C17,'76_01_%'!T:T)</f>
        <v>0</v>
      </c>
      <c r="N17" s="1145" t="s">
        <v>4184</v>
      </c>
      <c r="O17" s="1145" t="s">
        <v>4184</v>
      </c>
      <c r="P17" s="1334">
        <f>SUMIF('76_01_%'!$I:$I,$C17,'76_01_%'!W:W)</f>
        <v>0</v>
      </c>
      <c r="Q17" s="1334">
        <f>SUMIF('76_01_%'!$I:$I,$C17,'76_01_%'!S:S)+SUMIF('76_01_%'!$I:$I,$C17,'76_01_%'!U:U)+SUMIF('76_01_%'!$I:$I,$C17,'76_01_%'!V:V)</f>
        <v>0</v>
      </c>
      <c r="R17" s="1334">
        <f>SUMIF('76_01_%'!$I:$I,$C17,'76_01_%'!X:X)</f>
        <v>0</v>
      </c>
      <c r="S17" s="1334">
        <f>SUMIF('76_01_%'!$I:$I,$C17,'76_01_%'!Y:Y)</f>
        <v>0</v>
      </c>
      <c r="T17" s="1334">
        <f>SUMIF('76_01_%'!$I:$I,$C17,'76_01_%'!Z:Z)</f>
        <v>0</v>
      </c>
      <c r="U17" s="1334">
        <f>SUMIF('76_01_%'!$I:$I,$C17,'76_01_%'!AA:AA)</f>
        <v>0</v>
      </c>
      <c r="V17" s="1334">
        <f>SUMIF('76_01_%'!$I:$I,$C17,'76_01_%'!AB:AB)</f>
        <v>0</v>
      </c>
      <c r="W17" s="1334">
        <f>SUMIF('76_01_%'!$I:$I,$C17,'76_01_%'!AC:AC)</f>
        <v>0</v>
      </c>
      <c r="X17" s="1336"/>
      <c r="Y17" s="173"/>
      <c r="Z17" s="173"/>
      <c r="AE17" s="2641"/>
      <c r="AF17" s="2641"/>
      <c r="AG17" s="2641"/>
      <c r="AH17" s="2641"/>
    </row>
    <row r="18" spans="1:42" ht="26">
      <c r="A18" s="429" t="str">
        <f t="shared" si="8"/>
        <v>R1=252075;R35=100;R44=H;COM=</v>
      </c>
      <c r="C18" s="1144" t="s">
        <v>6865</v>
      </c>
      <c r="D18" s="1146" t="s">
        <v>4184</v>
      </c>
      <c r="E18" s="1146" t="s">
        <v>4184</v>
      </c>
      <c r="F18" s="1337">
        <f>SUMIF('76_01_%'!$I:$I,$C18,'76_01_%'!L:L)</f>
        <v>0</v>
      </c>
      <c r="G18" s="1337">
        <f>SUMIF('76_01_%'!$I:$I,$C18,'76_01_%'!M:M)</f>
        <v>0</v>
      </c>
      <c r="H18" s="1337">
        <f>SUMIF('76_01_%'!$I:$I,$C18,'76_01_%'!N:N)</f>
        <v>0</v>
      </c>
      <c r="I18" s="1337">
        <f>SUMIF('76_01_%'!$I:$I,$C18,'76_01_%'!O:O)</f>
        <v>0</v>
      </c>
      <c r="J18" s="1337">
        <f>SUMIF('76_01_%'!$I:$I,$C18,'76_01_%'!P:P)</f>
        <v>0</v>
      </c>
      <c r="K18" s="1337">
        <f>SUMIF('76_01_%'!$I:$I,$C18,'76_01_%'!Q:Q)</f>
        <v>0</v>
      </c>
      <c r="L18" s="1334">
        <f>SUMIF('76_01_%'!$I:$I,$C18,'76_01_%'!R:R)</f>
        <v>0</v>
      </c>
      <c r="M18" s="1334">
        <f>SUMIF('76_01_%'!$I:$I,$C18,'76_01_%'!T:T)</f>
        <v>0</v>
      </c>
      <c r="N18" s="1145" t="s">
        <v>4184</v>
      </c>
      <c r="O18" s="1145" t="s">
        <v>4184</v>
      </c>
      <c r="P18" s="1334">
        <f>SUMIF('76_01_%'!$I:$I,$C18,'76_01_%'!W:W)</f>
        <v>0</v>
      </c>
      <c r="Q18" s="1334">
        <f>SUMIF('76_01_%'!$I:$I,$C18,'76_01_%'!S:S)+SUMIF('76_01_%'!$I:$I,$C18,'76_01_%'!U:U)+SUMIF('76_01_%'!$I:$I,$C18,'76_01_%'!V:V)</f>
        <v>0</v>
      </c>
      <c r="R18" s="1334">
        <f>SUMIF('76_01_%'!$I:$I,$C18,'76_01_%'!X:X)</f>
        <v>0</v>
      </c>
      <c r="S18" s="1334">
        <f>SUMIF('76_01_%'!$I:$I,$C18,'76_01_%'!Y:Y)</f>
        <v>0</v>
      </c>
      <c r="T18" s="1334">
        <f>SUMIF('76_01_%'!$I:$I,$C18,'76_01_%'!Z:Z)</f>
        <v>0</v>
      </c>
      <c r="U18" s="1334">
        <f>SUMIF('76_01_%'!$I:$I,$C18,'76_01_%'!AA:AA)</f>
        <v>0</v>
      </c>
      <c r="V18" s="1334">
        <f>SUMIF('76_01_%'!$I:$I,$C18,'76_01_%'!AB:AB)</f>
        <v>0</v>
      </c>
      <c r="W18" s="1334">
        <f>SUMIF('76_01_%'!$I:$I,$C18,'76_01_%'!AC:AC)</f>
        <v>0</v>
      </c>
      <c r="X18" s="1336"/>
      <c r="Y18" s="114"/>
      <c r="Z18" s="114"/>
    </row>
    <row r="19" spans="1:42" ht="26">
      <c r="A19" s="3163" t="str">
        <f>"R1="&amp;IFERROR(MID(C19,FIND("{",C19)+1,FIND("}",C19)-FIND("{",C19)-1),"")&amp;";R35=100;R44=H;COM="&amp;X19</f>
        <v>R1=252076;R35=100;R44=H;COM=</v>
      </c>
      <c r="C19" s="1144" t="s">
        <v>9885</v>
      </c>
      <c r="D19" s="1146" t="s">
        <v>4184</v>
      </c>
      <c r="E19" s="1146" t="s">
        <v>4184</v>
      </c>
      <c r="F19" s="1337">
        <f>SUMIF('76_01_%'!$I:$I,$C19,'76_01_%'!L:L)</f>
        <v>0</v>
      </c>
      <c r="G19" s="1337">
        <f>SUMIF('76_01_%'!$I:$I,$C19,'76_01_%'!M:M)</f>
        <v>0</v>
      </c>
      <c r="H19" s="1337">
        <f>SUMIF('76_01_%'!$I:$I,$C19,'76_01_%'!N:N)</f>
        <v>0</v>
      </c>
      <c r="I19" s="1337">
        <f>SUMIF('76_01_%'!$I:$I,$C19,'76_01_%'!O:O)</f>
        <v>0</v>
      </c>
      <c r="J19" s="1337">
        <f>SUMIF('76_01_%'!$I:$I,$C19,'76_01_%'!P:P)</f>
        <v>0</v>
      </c>
      <c r="K19" s="1337">
        <f>SUMIF('76_01_%'!$I:$I,$C19,'76_01_%'!Q:Q)</f>
        <v>0</v>
      </c>
      <c r="L19" s="1334">
        <f>SUMIF('76_01_%'!$I:$I,$C19,'76_01_%'!R:R)</f>
        <v>0</v>
      </c>
      <c r="M19" s="1334">
        <f>SUMIF('76_01_%'!$I:$I,$C19,'76_01_%'!T:T)</f>
        <v>0</v>
      </c>
      <c r="N19" s="1145" t="s">
        <v>4184</v>
      </c>
      <c r="O19" s="1145" t="s">
        <v>4184</v>
      </c>
      <c r="P19" s="1334">
        <f>SUMIF('76_01_%'!$I:$I,$C19,'76_01_%'!W:W)</f>
        <v>0</v>
      </c>
      <c r="Q19" s="1334">
        <f>SUMIF('76_01_%'!$I:$I,$C19,'76_01_%'!S:S)+SUMIF('76_01_%'!$I:$I,$C19,'76_01_%'!U:U)+SUMIF('76_01_%'!$I:$I,$C19,'76_01_%'!V:V)</f>
        <v>0</v>
      </c>
      <c r="R19" s="1334">
        <f>SUMIF('76_01_%'!$I:$I,$C19,'76_01_%'!X:X)</f>
        <v>0</v>
      </c>
      <c r="S19" s="1334">
        <f>SUMIF('76_01_%'!$I:$I,$C19,'76_01_%'!Y:Y)</f>
        <v>0</v>
      </c>
      <c r="T19" s="1334">
        <f>SUMIF('76_01_%'!$I:$I,$C19,'76_01_%'!Z:Z)</f>
        <v>0</v>
      </c>
      <c r="U19" s="1334">
        <f>SUMIF('76_01_%'!$I:$I,$C19,'76_01_%'!AA:AA)</f>
        <v>0</v>
      </c>
      <c r="V19" s="1334">
        <f>SUMIF('76_01_%'!$I:$I,$C19,'76_01_%'!AB:AB)</f>
        <v>0</v>
      </c>
      <c r="W19" s="1334">
        <f>SUMIF('76_01_%'!$I:$I,$C19,'76_01_%'!AC:AC)</f>
        <v>0</v>
      </c>
      <c r="X19" s="1336"/>
      <c r="Y19" s="114"/>
      <c r="Z19" s="114"/>
    </row>
    <row r="20" spans="1:42">
      <c r="A20" s="429" t="str">
        <f>"R1=252005;R35=200;R44=H;COM="&amp;X20</f>
        <v>R1=252005;R35=200;R44=H;COM=</v>
      </c>
      <c r="C20" s="1144" t="s">
        <v>9793</v>
      </c>
      <c r="D20" s="1146" t="s">
        <v>4184</v>
      </c>
      <c r="E20" s="1146" t="s">
        <v>4184</v>
      </c>
      <c r="F20" s="1337">
        <f>SUMIF('76_01_%'!$I:$I,$C20,'76_01_%'!L:L)</f>
        <v>0</v>
      </c>
      <c r="G20" s="1337">
        <f>SUMIF('76_01_%'!$I:$I,$C20,'76_01_%'!M:M)</f>
        <v>0</v>
      </c>
      <c r="H20" s="1337">
        <f>SUMIF('76_01_%'!$I:$I,$C20,'76_01_%'!N:N)</f>
        <v>0</v>
      </c>
      <c r="I20" s="1337">
        <f>SUMIF('76_01_%'!$I:$I,$C20,'76_01_%'!O:O)</f>
        <v>0</v>
      </c>
      <c r="J20" s="1337">
        <f>SUMIF('76_01_%'!$I:$I,$C20,'76_01_%'!P:P)</f>
        <v>0</v>
      </c>
      <c r="K20" s="1337">
        <f>SUMIF('76_01_%'!$I:$I,$C20,'76_01_%'!Q:Q)</f>
        <v>0</v>
      </c>
      <c r="L20" s="1334">
        <f>SUMIF('76_01_%'!$I:$I,$C20,'76_01_%'!R:R)</f>
        <v>0</v>
      </c>
      <c r="M20" s="1334">
        <f>SUMIF('76_01_%'!$I:$I,$C20,'76_01_%'!T:T)</f>
        <v>0</v>
      </c>
      <c r="N20" s="1145" t="s">
        <v>4184</v>
      </c>
      <c r="O20" s="1145" t="s">
        <v>4184</v>
      </c>
      <c r="P20" s="1334">
        <f>SUMIF('76_01_%'!$I:$I,$C20,'76_01_%'!W:W)</f>
        <v>0</v>
      </c>
      <c r="Q20" s="1334">
        <f>SUMIF('76_01_%'!$I:$I,$C20,'76_01_%'!S:S)+SUMIF('76_01_%'!$I:$I,$C20,'76_01_%'!U:U)+SUMIF('76_01_%'!$I:$I,$C20,'76_01_%'!V:V)</f>
        <v>0</v>
      </c>
      <c r="R20" s="1334">
        <f>SUMIF('76_01_%'!$I:$I,$C20,'76_01_%'!X:X)</f>
        <v>0</v>
      </c>
      <c r="S20" s="1334">
        <f>SUMIF('76_01_%'!$I:$I,$C20,'76_01_%'!Y:Y)</f>
        <v>0</v>
      </c>
      <c r="T20" s="1334">
        <f>SUMIF('76_01_%'!$I:$I,$C20,'76_01_%'!Z:Z)</f>
        <v>0</v>
      </c>
      <c r="U20" s="1334">
        <f>SUMIF('76_01_%'!$I:$I,$C20,'76_01_%'!AA:AA)</f>
        <v>0</v>
      </c>
      <c r="V20" s="1334">
        <f>SUMIF('76_01_%'!$I:$I,$C20,'76_01_%'!AB:AB)</f>
        <v>0</v>
      </c>
      <c r="W20" s="1334">
        <f>SUMIF('76_01_%'!$I:$I,$C20,'76_01_%'!AC:AC)</f>
        <v>0</v>
      </c>
      <c r="X20" s="1336"/>
      <c r="Y20" s="114"/>
      <c r="Z20" s="114"/>
    </row>
    <row r="21" spans="1:42" ht="26">
      <c r="A21" s="9" t="str">
        <f>"R1=252008;R7="&amp;IFERROR("2552"&amp;MID(D21,FIND("{",D21)+1,FIND("}",D21)-FIND("{",D21)-1),"")&amp;";R2=RUB;R35=200;COM="&amp;X21</f>
        <v>R1=252008;R7=;R2=RUB;R35=200;COM=</v>
      </c>
      <c r="C21" s="1144" t="s">
        <v>8585</v>
      </c>
      <c r="D21" s="1146" t="s">
        <v>4184</v>
      </c>
      <c r="E21" s="1146" t="s">
        <v>4184</v>
      </c>
      <c r="F21" s="1335"/>
      <c r="G21" s="1335"/>
      <c r="H21" s="1335"/>
      <c r="I21" s="1335"/>
      <c r="J21" s="1775">
        <f t="shared" si="3"/>
        <v>0</v>
      </c>
      <c r="K21" s="1775">
        <f t="shared" si="4"/>
        <v>0</v>
      </c>
      <c r="L21" s="1335"/>
      <c r="M21" s="1335"/>
      <c r="N21" s="1335"/>
      <c r="O21" s="1335"/>
      <c r="P21" s="1335"/>
      <c r="Q21" s="1335"/>
      <c r="R21" s="1335"/>
      <c r="S21" s="1332">
        <f t="shared" ref="S21:S44" si="9">SUM(F21:G21,L21:Q21)-R21</f>
        <v>0</v>
      </c>
      <c r="T21" s="1335"/>
      <c r="U21" s="1509"/>
      <c r="V21" s="1775">
        <f t="shared" si="6"/>
        <v>0</v>
      </c>
      <c r="W21" s="1775">
        <f t="shared" si="7"/>
        <v>0</v>
      </c>
      <c r="X21" s="1336"/>
      <c r="Y21" s="114"/>
      <c r="Z21" s="114"/>
    </row>
    <row r="22" spans="1:42" ht="39">
      <c r="A22" s="9" t="str">
        <f t="shared" ref="A22:A34" si="10">"R1="&amp;IFERROR(MID(C22,FIND("{",C22)+1,FIND("}",C22)-FIND("{",C22)-1),"")&amp;";R7="&amp;IFERROR("2552"&amp;MID(D22,FIND("{",D22)+1,FIND("}",D22)-FIND("{",D22)-1),"")&amp;";R2=RUB;R35=200;COM="&amp;X22</f>
        <v>R1=252016;R7=255221;R2=RUB;R35=200;COM=</v>
      </c>
      <c r="C22" s="1144" t="s">
        <v>1494</v>
      </c>
      <c r="D22" s="1146" t="s">
        <v>5443</v>
      </c>
      <c r="E22" s="1146" t="s">
        <v>4184</v>
      </c>
      <c r="F22" s="1335"/>
      <c r="G22" s="1146" t="s">
        <v>4184</v>
      </c>
      <c r="H22" s="1335"/>
      <c r="I22" s="1146" t="s">
        <v>4184</v>
      </c>
      <c r="J22" s="1775">
        <f>F22-H22</f>
        <v>0</v>
      </c>
      <c r="K22" s="1146" t="s">
        <v>4184</v>
      </c>
      <c r="L22" s="1335"/>
      <c r="M22" s="1335"/>
      <c r="N22" s="1335"/>
      <c r="O22" s="1335"/>
      <c r="P22" s="1335"/>
      <c r="Q22" s="1335"/>
      <c r="R22" s="1337">
        <f>SUM(F22,L22:Q22)</f>
        <v>0</v>
      </c>
      <c r="S22" s="1146" t="s">
        <v>4184</v>
      </c>
      <c r="T22" s="1335"/>
      <c r="U22" s="1146" t="s">
        <v>4184</v>
      </c>
      <c r="V22" s="1775">
        <f>R22-T22</f>
        <v>0</v>
      </c>
      <c r="W22" s="1146" t="s">
        <v>4184</v>
      </c>
      <c r="X22" s="1336"/>
      <c r="Y22" s="114"/>
      <c r="AC22" s="2065" t="b">
        <f>AND(IF(D22="{21} Дебиторская задолженность",L22&gt;=0,TRUE),IF(D22="{21} Дебиторская задолженность",IF(O22&lt;=0,TRUE,FALSE),TRUE),IF(D22="{12} Авансы выданные",O22&lt;=0,TRUE),IF(D22="{12} Авансы выданные",IF(L22=0,TRUE,FALSE),TRUE),IF(D22="{11} Кредиторская задолженность",L22&lt;=0,TRUE),IF(D22="{11} Кредиторская задолженность",IF(O22&gt;=0,TRUE,FALSE),TRUE),IF(D22="{22} Авансы полученные",O22&gt;=0,TRUE),IF(D22="{22} Авансы полученные",IF(L22=0,TRUE,FALSE),TRUE))</f>
        <v>1</v>
      </c>
    </row>
    <row r="23" spans="1:42" ht="39">
      <c r="A23" s="9" t="str">
        <f t="shared" si="10"/>
        <v>R1=252013;R7=255211;R2=RUB;R35=200;COM=</v>
      </c>
      <c r="C23" s="1144" t="s">
        <v>1495</v>
      </c>
      <c r="D23" s="1146" t="s">
        <v>5442</v>
      </c>
      <c r="E23" s="1146" t="s">
        <v>4184</v>
      </c>
      <c r="F23" s="1146" t="s">
        <v>4184</v>
      </c>
      <c r="G23" s="1335"/>
      <c r="H23" s="1146" t="s">
        <v>4184</v>
      </c>
      <c r="I23" s="1335"/>
      <c r="J23" s="1146" t="s">
        <v>4184</v>
      </c>
      <c r="K23" s="1775">
        <f>G23-I23</f>
        <v>0</v>
      </c>
      <c r="L23" s="1335"/>
      <c r="M23" s="1335"/>
      <c r="N23" s="1335"/>
      <c r="O23" s="1335"/>
      <c r="P23" s="1335"/>
      <c r="Q23" s="1335"/>
      <c r="R23" s="1146" t="s">
        <v>4184</v>
      </c>
      <c r="S23" s="1337">
        <f>SUM(G23,L23:Q23)</f>
        <v>0</v>
      </c>
      <c r="T23" s="1146" t="s">
        <v>4184</v>
      </c>
      <c r="U23" s="1509"/>
      <c r="V23" s="1146" t="s">
        <v>4184</v>
      </c>
      <c r="W23" s="1775">
        <f>S23-U23</f>
        <v>0</v>
      </c>
      <c r="X23" s="1336"/>
      <c r="Y23" s="114"/>
      <c r="AC23" s="2065" t="b">
        <f t="shared" ref="AC23:AC29" si="11">AND(IF(D23="{21} Дебиторская задолженность",L23&gt;=0,TRUE),IF(D23="{21} Дебиторская задолженность",IF(O23&lt;=0,TRUE,FALSE),TRUE),IF(D23="{12} Авансы выданные",O23&lt;=0,TRUE),IF(D23="{12} Авансы выданные",IF(L23=0,TRUE,FALSE),TRUE),IF(D23="{11} Кредиторская задолженность",L23&lt;=0,TRUE),IF(D23="{11} Кредиторская задолженность",IF(O23&gt;=0,TRUE,FALSE),TRUE),IF(D23="{22} Авансы полученные",O23&gt;=0,TRUE),IF(D23="{22} Авансы полученные",IF(L23=0,TRUE,FALSE),TRUE))</f>
        <v>1</v>
      </c>
    </row>
    <row r="24" spans="1:42" ht="39">
      <c r="A24" s="9" t="str">
        <f t="shared" si="10"/>
        <v>R1=252013;R7=255212;R2=RUB;R35=200;COM=</v>
      </c>
      <c r="C24" s="1144" t="s">
        <v>1495</v>
      </c>
      <c r="D24" s="1146" t="s">
        <v>5444</v>
      </c>
      <c r="E24" s="1146" t="s">
        <v>4184</v>
      </c>
      <c r="F24" s="1335"/>
      <c r="G24" s="1146" t="s">
        <v>4184</v>
      </c>
      <c r="H24" s="1335"/>
      <c r="I24" s="1146" t="s">
        <v>4184</v>
      </c>
      <c r="J24" s="1775">
        <f>F24-H24</f>
        <v>0</v>
      </c>
      <c r="K24" s="1146" t="s">
        <v>4184</v>
      </c>
      <c r="L24" s="1335"/>
      <c r="M24" s="1335"/>
      <c r="N24" s="1335"/>
      <c r="O24" s="1335"/>
      <c r="P24" s="1335"/>
      <c r="Q24" s="1335"/>
      <c r="R24" s="1337">
        <f>SUM(F24,L24:Q24)</f>
        <v>0</v>
      </c>
      <c r="S24" s="1146" t="s">
        <v>4184</v>
      </c>
      <c r="T24" s="1335"/>
      <c r="U24" s="1146" t="s">
        <v>4184</v>
      </c>
      <c r="V24" s="1775">
        <f>R24-T24</f>
        <v>0</v>
      </c>
      <c r="W24" s="1146" t="s">
        <v>4184</v>
      </c>
      <c r="X24" s="1336"/>
      <c r="AC24" s="2065" t="b">
        <f t="shared" si="11"/>
        <v>1</v>
      </c>
      <c r="AE24" s="3952"/>
      <c r="AF24" s="3952"/>
      <c r="AG24" s="3945"/>
      <c r="AH24" s="3945"/>
      <c r="AI24" s="3945"/>
    </row>
    <row r="25" spans="1:42" ht="39">
      <c r="A25" s="9" t="str">
        <f t="shared" si="10"/>
        <v>R1=252016;R7=255222;R2=RUB;R35=200;COM=</v>
      </c>
      <c r="C25" s="1144" t="s">
        <v>1496</v>
      </c>
      <c r="D25" s="1146" t="s">
        <v>5445</v>
      </c>
      <c r="E25" s="1146" t="s">
        <v>4184</v>
      </c>
      <c r="F25" s="1146" t="s">
        <v>4184</v>
      </c>
      <c r="G25" s="1335"/>
      <c r="H25" s="1146" t="s">
        <v>4184</v>
      </c>
      <c r="I25" s="1335"/>
      <c r="J25" s="1146" t="s">
        <v>4184</v>
      </c>
      <c r="K25" s="1775">
        <f>G25-I25</f>
        <v>0</v>
      </c>
      <c r="L25" s="1335"/>
      <c r="M25" s="1335"/>
      <c r="N25" s="1335"/>
      <c r="O25" s="1335"/>
      <c r="P25" s="1335"/>
      <c r="Q25" s="1335"/>
      <c r="R25" s="1146" t="s">
        <v>4184</v>
      </c>
      <c r="S25" s="1337">
        <f>SUM(G25,L25:Q25)</f>
        <v>0</v>
      </c>
      <c r="T25" s="1146" t="s">
        <v>4184</v>
      </c>
      <c r="U25" s="1509"/>
      <c r="V25" s="1146" t="s">
        <v>4184</v>
      </c>
      <c r="W25" s="1775">
        <f>S25-U25</f>
        <v>0</v>
      </c>
      <c r="X25" s="1336"/>
      <c r="AA25" s="1911" t="s">
        <v>3073</v>
      </c>
      <c r="AC25" s="2065" t="b">
        <f t="shared" si="11"/>
        <v>1</v>
      </c>
      <c r="AE25" s="3952"/>
      <c r="AF25" s="3952"/>
      <c r="AG25" s="3945"/>
      <c r="AH25" s="3945"/>
      <c r="AI25" s="3945"/>
      <c r="AJ25" s="24"/>
      <c r="AK25" s="24"/>
      <c r="AL25" s="24"/>
    </row>
    <row r="26" spans="1:42" ht="51.5">
      <c r="A26" s="2429" t="str">
        <f t="shared" si="10"/>
        <v>R1=252071;R7=255212;R2=RUB;R35=200;COM=</v>
      </c>
      <c r="C26" s="2286" t="s">
        <v>6120</v>
      </c>
      <c r="D26" s="948" t="s">
        <v>5444</v>
      </c>
      <c r="E26" s="1146" t="s">
        <v>4184</v>
      </c>
      <c r="F26" s="1335"/>
      <c r="G26" s="1146" t="s">
        <v>4184</v>
      </c>
      <c r="H26" s="1335"/>
      <c r="I26" s="1146" t="s">
        <v>4184</v>
      </c>
      <c r="J26" s="1775">
        <f>F26-H26</f>
        <v>0</v>
      </c>
      <c r="K26" s="1146" t="s">
        <v>4184</v>
      </c>
      <c r="L26" s="1335"/>
      <c r="M26" s="1335"/>
      <c r="N26" s="1335"/>
      <c r="O26" s="1335"/>
      <c r="P26" s="1335"/>
      <c r="Q26" s="1335"/>
      <c r="R26" s="1337">
        <f>SUM(F26,L26:Q26)</f>
        <v>0</v>
      </c>
      <c r="S26" s="1146" t="s">
        <v>4184</v>
      </c>
      <c r="T26" s="1335"/>
      <c r="U26" s="1146" t="s">
        <v>4184</v>
      </c>
      <c r="V26" s="1775">
        <f>R26-T26</f>
        <v>0</v>
      </c>
      <c r="W26" s="1146" t="s">
        <v>4184</v>
      </c>
      <c r="X26" s="1336"/>
      <c r="AA26" s="1911"/>
      <c r="AC26" s="2065" t="b">
        <f>AND(IF(D26="{21} Дебиторская задолженность",L26&gt;=0,TRUE),IF(D26="{21} Дебиторская задолженность",IF(O26&lt;=0,TRUE,FALSE),TRUE),IF(D26="{12} Авансы выданные",O26&lt;=0,TRUE),IF(D26="{12} Авансы выданные",IF(L26=0,TRUE,FALSE),TRUE),IF(D26="{11} Кредиторская задолженность",L26&lt;=0,TRUE),IF(D26="{11} Кредиторская задолженность",IF(O26&gt;=0,TRUE,FALSE),TRUE),IF(D26="{22} Авансы полученные",O26&gt;=0,TRUE),IF(D26="{22} Авансы полученные",IF(L26=0,TRUE,FALSE),TRUE))</f>
        <v>1</v>
      </c>
      <c r="AE26" s="2641"/>
      <c r="AF26" s="2641"/>
      <c r="AG26" s="2641"/>
      <c r="AH26" s="2641"/>
      <c r="AJ26" s="24"/>
      <c r="AK26" s="24"/>
      <c r="AL26" s="24"/>
    </row>
    <row r="27" spans="1:42" ht="26.5">
      <c r="A27" s="2429" t="str">
        <f t="shared" si="10"/>
        <v>R1=252017;R7=255221;R2=RUB;R35=200;COM=</v>
      </c>
      <c r="C27" s="2286" t="s">
        <v>6121</v>
      </c>
      <c r="D27" s="948" t="s">
        <v>5443</v>
      </c>
      <c r="E27" s="1146" t="s">
        <v>4184</v>
      </c>
      <c r="F27" s="1335"/>
      <c r="G27" s="1146" t="s">
        <v>4184</v>
      </c>
      <c r="H27" s="1335"/>
      <c r="I27" s="1146" t="s">
        <v>4184</v>
      </c>
      <c r="J27" s="1775">
        <f>F27-H27</f>
        <v>0</v>
      </c>
      <c r="K27" s="1146" t="s">
        <v>4184</v>
      </c>
      <c r="L27" s="1335"/>
      <c r="M27" s="1335"/>
      <c r="N27" s="1335"/>
      <c r="O27" s="1335"/>
      <c r="P27" s="1335"/>
      <c r="Q27" s="1335"/>
      <c r="R27" s="1337">
        <f>SUM(F27,L27:Q27)</f>
        <v>0</v>
      </c>
      <c r="S27" s="1146" t="s">
        <v>4184</v>
      </c>
      <c r="T27" s="1335"/>
      <c r="U27" s="1146" t="s">
        <v>4184</v>
      </c>
      <c r="V27" s="1775">
        <f>R27-T27</f>
        <v>0</v>
      </c>
      <c r="W27" s="1146" t="s">
        <v>4184</v>
      </c>
      <c r="X27" s="1336"/>
      <c r="AA27" s="1911"/>
      <c r="AC27" s="2065" t="b">
        <f t="shared" si="11"/>
        <v>1</v>
      </c>
    </row>
    <row r="28" spans="1:42" ht="26.5">
      <c r="A28" s="2429" t="str">
        <f t="shared" si="10"/>
        <v>R1=252014;R7=255211;R2=RUB;R35=200;COM=</v>
      </c>
      <c r="C28" s="2286" t="s">
        <v>6122</v>
      </c>
      <c r="D28" s="948" t="s">
        <v>5442</v>
      </c>
      <c r="E28" s="1146" t="s">
        <v>4184</v>
      </c>
      <c r="F28" s="1146" t="s">
        <v>4184</v>
      </c>
      <c r="G28" s="1335"/>
      <c r="H28" s="1146" t="s">
        <v>4184</v>
      </c>
      <c r="I28" s="1335"/>
      <c r="J28" s="1146" t="s">
        <v>4184</v>
      </c>
      <c r="K28" s="1775">
        <f>G28-I28</f>
        <v>0</v>
      </c>
      <c r="L28" s="1335"/>
      <c r="M28" s="1335"/>
      <c r="N28" s="1335"/>
      <c r="O28" s="1335"/>
      <c r="P28" s="1335"/>
      <c r="Q28" s="1335"/>
      <c r="R28" s="1146" t="s">
        <v>4184</v>
      </c>
      <c r="S28" s="1337">
        <f>SUM(G28,L28:Q28)</f>
        <v>0</v>
      </c>
      <c r="T28" s="1146" t="s">
        <v>4184</v>
      </c>
      <c r="U28" s="1509"/>
      <c r="V28" s="1146" t="s">
        <v>4184</v>
      </c>
      <c r="W28" s="1775">
        <f>S28-U28</f>
        <v>0</v>
      </c>
      <c r="X28" s="1336"/>
      <c r="AA28" s="1911"/>
      <c r="AC28" s="2065" t="b">
        <f t="shared" si="11"/>
        <v>1</v>
      </c>
    </row>
    <row r="29" spans="1:42" ht="26.5">
      <c r="A29" s="9" t="str">
        <f t="shared" si="10"/>
        <v>R1=252014;R7=255212;R2=RUB;R35=200;COM=</v>
      </c>
      <c r="C29" s="2286" t="s">
        <v>6122</v>
      </c>
      <c r="D29" s="948" t="s">
        <v>5444</v>
      </c>
      <c r="E29" s="1146" t="s">
        <v>4184</v>
      </c>
      <c r="F29" s="1335"/>
      <c r="G29" s="1146" t="s">
        <v>4184</v>
      </c>
      <c r="H29" s="1335"/>
      <c r="I29" s="1146" t="s">
        <v>4184</v>
      </c>
      <c r="J29" s="1775">
        <f>F29-H29</f>
        <v>0</v>
      </c>
      <c r="K29" s="1146" t="s">
        <v>4184</v>
      </c>
      <c r="L29" s="1335"/>
      <c r="M29" s="1335"/>
      <c r="N29" s="1335"/>
      <c r="O29" s="1335"/>
      <c r="P29" s="1335"/>
      <c r="Q29" s="1335"/>
      <c r="R29" s="1337">
        <f>SUM(F29,L29:Q29)</f>
        <v>0</v>
      </c>
      <c r="S29" s="1146" t="s">
        <v>4184</v>
      </c>
      <c r="T29" s="1335"/>
      <c r="U29" s="1146" t="s">
        <v>4184</v>
      </c>
      <c r="V29" s="1775">
        <f>R29-T29</f>
        <v>0</v>
      </c>
      <c r="W29" s="1146" t="s">
        <v>4184</v>
      </c>
      <c r="X29" s="1336"/>
      <c r="AC29" s="2065" t="b">
        <f t="shared" si="11"/>
        <v>1</v>
      </c>
      <c r="AE29" s="2657"/>
      <c r="AF29" s="2657"/>
      <c r="AG29" s="2657"/>
      <c r="AH29" s="2657"/>
      <c r="AI29" s="2649"/>
      <c r="AJ29" s="24"/>
      <c r="AK29" s="24"/>
      <c r="AL29" s="24"/>
    </row>
    <row r="30" spans="1:42" ht="26.5">
      <c r="A30" s="2427" t="str">
        <f t="shared" si="10"/>
        <v>R1=252017;R7=255222;R2=RUB;R35=200;COM=</v>
      </c>
      <c r="C30" s="2286" t="s">
        <v>6121</v>
      </c>
      <c r="D30" s="948" t="s">
        <v>5445</v>
      </c>
      <c r="E30" s="1146" t="s">
        <v>4184</v>
      </c>
      <c r="F30" s="1146" t="s">
        <v>4184</v>
      </c>
      <c r="G30" s="1335"/>
      <c r="H30" s="1146" t="s">
        <v>4184</v>
      </c>
      <c r="I30" s="1335"/>
      <c r="J30" s="1146" t="s">
        <v>4184</v>
      </c>
      <c r="K30" s="1775">
        <f>G30-I30</f>
        <v>0</v>
      </c>
      <c r="L30" s="1335"/>
      <c r="M30" s="1335"/>
      <c r="N30" s="1335"/>
      <c r="O30" s="1335"/>
      <c r="P30" s="1335"/>
      <c r="Q30" s="1335"/>
      <c r="R30" s="1146" t="s">
        <v>4184</v>
      </c>
      <c r="S30" s="1337">
        <f>SUM(G30,L30:Q30)</f>
        <v>0</v>
      </c>
      <c r="T30" s="1146" t="s">
        <v>4184</v>
      </c>
      <c r="U30" s="1509"/>
      <c r="V30" s="1146" t="s">
        <v>4184</v>
      </c>
      <c r="W30" s="1775">
        <f>S30-U30</f>
        <v>0</v>
      </c>
      <c r="X30" s="1336"/>
      <c r="AA30" s="1911"/>
      <c r="AC30" s="2065" t="b">
        <f>AND(IF(D30="{21} Дебиторская задолженность",L30&gt;=0,TRUE),IF(D30="{21} Дебиторская задолженность",IF(O30&lt;=0,TRUE,FALSE),TRUE),IF(D30="{12} Авансы выданные",O30&lt;=0,TRUE),IF(D30="{12} Авансы выданные",IF(L30=0,TRUE,FALSE),TRUE),IF(D30="{11} Кредиторская задолженность",L30&lt;=0,TRUE),IF(D30="{11} Кредиторская задолженность",IF(O30&gt;=0,TRUE,FALSE),TRUE),IF(D30="{22} Авансы полученные",O30&gt;=0,TRUE),IF(D30="{22} Авансы полученные",IF(L30=0,TRUE,FALSE),TRUE))</f>
        <v>1</v>
      </c>
      <c r="AE30" s="2657"/>
      <c r="AF30" s="2657"/>
      <c r="AG30" s="2657"/>
      <c r="AH30" s="2657"/>
      <c r="AJ30" s="2103"/>
      <c r="AK30" s="2103"/>
      <c r="AL30" s="2103"/>
      <c r="AM30" s="2103"/>
      <c r="AP30" s="2103"/>
    </row>
    <row r="31" spans="1:42" ht="26.5">
      <c r="A31" s="2427" t="str">
        <f t="shared" si="10"/>
        <v>R1=252048;R7=255221;R2=RUB;R35=200;COM=</v>
      </c>
      <c r="C31" s="2286" t="s">
        <v>7592</v>
      </c>
      <c r="D31" s="948" t="s">
        <v>5443</v>
      </c>
      <c r="E31" s="1146" t="s">
        <v>4184</v>
      </c>
      <c r="F31" s="1335"/>
      <c r="G31" s="1146" t="s">
        <v>4184</v>
      </c>
      <c r="H31" s="1335"/>
      <c r="I31" s="1146" t="s">
        <v>4184</v>
      </c>
      <c r="J31" s="1775">
        <f>F31-H31</f>
        <v>0</v>
      </c>
      <c r="K31" s="1146" t="s">
        <v>4184</v>
      </c>
      <c r="L31" s="1335"/>
      <c r="M31" s="1335"/>
      <c r="N31" s="1335"/>
      <c r="O31" s="1335"/>
      <c r="P31" s="1335"/>
      <c r="Q31" s="1335"/>
      <c r="R31" s="1337">
        <f>SUM(F31,L31:Q31)</f>
        <v>0</v>
      </c>
      <c r="S31" s="1146" t="s">
        <v>4184</v>
      </c>
      <c r="T31" s="1335"/>
      <c r="U31" s="1146" t="s">
        <v>4184</v>
      </c>
      <c r="V31" s="1775">
        <f>R31-T31</f>
        <v>0</v>
      </c>
      <c r="W31" s="1146" t="s">
        <v>4184</v>
      </c>
      <c r="X31" s="1336"/>
      <c r="AA31" s="1911"/>
      <c r="AC31" s="2065" t="b">
        <f t="shared" ref="AC31:AC44" si="12">AND(IF(D31="{21} Дебиторская задолженность",L31&gt;=0,TRUE),IF(D31="{21} Дебиторская задолженность",IF(O31&lt;=0,TRUE,FALSE),TRUE),IF(D31="{12} Авансы выданные",O31&lt;=0,TRUE),IF(D31="{12} Авансы выданные",IF(L31=0,TRUE,FALSE),TRUE),IF(D31="{11} Кредиторская задолженность",L31&lt;=0,TRUE),IF(D31="{11} Кредиторская задолженность",IF(O31&gt;=0,TRUE,FALSE),TRUE),IF(D31="{22} Авансы полученные",O31&gt;=0,TRUE),IF(D31="{22} Авансы полученные",IF(L31=0,TRUE,FALSE),TRUE))</f>
        <v>1</v>
      </c>
      <c r="AE31" s="2657"/>
      <c r="AF31" s="2657"/>
      <c r="AG31" s="2657"/>
      <c r="AH31" s="2657"/>
      <c r="AJ31" s="24"/>
      <c r="AK31" s="24"/>
      <c r="AL31" s="24"/>
      <c r="AM31" s="24"/>
    </row>
    <row r="32" spans="1:42" ht="26.25" customHeight="1">
      <c r="A32" s="2427" t="str">
        <f t="shared" si="10"/>
        <v>R1=252048;R7=255211;R2=RUB;R35=200;COM=</v>
      </c>
      <c r="C32" s="2286" t="s">
        <v>7593</v>
      </c>
      <c r="D32" s="948" t="s">
        <v>5442</v>
      </c>
      <c r="E32" s="1146" t="s">
        <v>4184</v>
      </c>
      <c r="F32" s="1146" t="s">
        <v>4184</v>
      </c>
      <c r="G32" s="1335"/>
      <c r="H32" s="1146" t="s">
        <v>4184</v>
      </c>
      <c r="I32" s="1335"/>
      <c r="J32" s="1146" t="s">
        <v>4184</v>
      </c>
      <c r="K32" s="1775">
        <f>G32-I32</f>
        <v>0</v>
      </c>
      <c r="L32" s="1335"/>
      <c r="M32" s="1335"/>
      <c r="N32" s="1335"/>
      <c r="O32" s="1335"/>
      <c r="P32" s="1335"/>
      <c r="Q32" s="1335"/>
      <c r="R32" s="1146" t="s">
        <v>4184</v>
      </c>
      <c r="S32" s="1337">
        <f>SUM(G32,L32:Q32)</f>
        <v>0</v>
      </c>
      <c r="T32" s="1146" t="s">
        <v>4184</v>
      </c>
      <c r="U32" s="1509"/>
      <c r="V32" s="1146" t="s">
        <v>4184</v>
      </c>
      <c r="W32" s="1775">
        <f>S32-U32</f>
        <v>0</v>
      </c>
      <c r="X32" s="1336"/>
      <c r="AC32" s="2065" t="b">
        <f t="shared" si="12"/>
        <v>1</v>
      </c>
      <c r="AE32" s="3952"/>
      <c r="AF32" s="3952"/>
      <c r="AG32" s="3952"/>
      <c r="AH32" s="3952"/>
      <c r="AI32" s="3952"/>
      <c r="AJ32" s="24"/>
      <c r="AK32" s="24"/>
      <c r="AL32" s="24"/>
      <c r="AM32" s="24"/>
    </row>
    <row r="33" spans="1:49" ht="27.75" customHeight="1">
      <c r="A33" s="2427" t="str">
        <f t="shared" si="10"/>
        <v>R1=252048;R7=255212;R2=RUB;R35=200;COM=</v>
      </c>
      <c r="C33" s="2286" t="s">
        <v>7593</v>
      </c>
      <c r="D33" s="948" t="s">
        <v>5444</v>
      </c>
      <c r="E33" s="1146" t="s">
        <v>4184</v>
      </c>
      <c r="F33" s="1335"/>
      <c r="G33" s="1146" t="s">
        <v>4184</v>
      </c>
      <c r="H33" s="1335"/>
      <c r="I33" s="1146" t="s">
        <v>4184</v>
      </c>
      <c r="J33" s="1775">
        <f>F33-H33</f>
        <v>0</v>
      </c>
      <c r="K33" s="1146" t="s">
        <v>4184</v>
      </c>
      <c r="L33" s="1335"/>
      <c r="M33" s="1335"/>
      <c r="N33" s="1335"/>
      <c r="O33" s="1335"/>
      <c r="P33" s="1335"/>
      <c r="Q33" s="1335"/>
      <c r="R33" s="1337">
        <f>SUM(F33,L33:Q33)</f>
        <v>0</v>
      </c>
      <c r="S33" s="1146" t="s">
        <v>4184</v>
      </c>
      <c r="T33" s="1335"/>
      <c r="U33" s="1146" t="s">
        <v>4184</v>
      </c>
      <c r="V33" s="1775">
        <f>R33-T33</f>
        <v>0</v>
      </c>
      <c r="W33" s="1146" t="s">
        <v>4184</v>
      </c>
      <c r="X33" s="1336"/>
      <c r="AA33" s="1911"/>
      <c r="AC33" s="2065" t="b">
        <f t="shared" si="12"/>
        <v>1</v>
      </c>
    </row>
    <row r="34" spans="1:49" ht="30" customHeight="1">
      <c r="A34" s="2427" t="str">
        <f t="shared" si="10"/>
        <v>R1=252071;R7=255211;R2=RUB;R35=200;COM=</v>
      </c>
      <c r="C34" s="2286" t="s">
        <v>8690</v>
      </c>
      <c r="D34" s="948" t="s">
        <v>5442</v>
      </c>
      <c r="E34" s="1146" t="s">
        <v>4184</v>
      </c>
      <c r="F34" s="1146" t="s">
        <v>4184</v>
      </c>
      <c r="G34" s="1335"/>
      <c r="H34" s="1146" t="s">
        <v>4184</v>
      </c>
      <c r="I34" s="1335"/>
      <c r="J34" s="1146" t="s">
        <v>4184</v>
      </c>
      <c r="K34" s="1775">
        <f>G34-I34</f>
        <v>0</v>
      </c>
      <c r="L34" s="1335"/>
      <c r="M34" s="1335"/>
      <c r="N34" s="1335"/>
      <c r="O34" s="1335"/>
      <c r="P34" s="1335"/>
      <c r="Q34" s="1335"/>
      <c r="R34" s="1146" t="s">
        <v>4184</v>
      </c>
      <c r="S34" s="1337">
        <f>SUM(G34,L34:Q34)</f>
        <v>0</v>
      </c>
      <c r="T34" s="1146" t="s">
        <v>4184</v>
      </c>
      <c r="U34" s="1509"/>
      <c r="V34" s="1146" t="s">
        <v>4184</v>
      </c>
      <c r="W34" s="1775">
        <f>S34-U34</f>
        <v>0</v>
      </c>
      <c r="X34" s="1336"/>
      <c r="AA34" s="1911"/>
      <c r="AC34" s="2065" t="b">
        <f t="shared" si="12"/>
        <v>1</v>
      </c>
    </row>
    <row r="35" spans="1:49" ht="26.5">
      <c r="A35" s="2427" t="str">
        <f>"R1="&amp;IFERROR(MID(C35,FIND("{",C35)+1,FIND("}",C35)-FIND("{",C35)-1),"")&amp;";R7="&amp;IFERROR("2552"&amp;MID(D35,FIND("{",D35)+1,FIND("}",D35)-FIND("{",D35)-1),"")&amp;";R2=RUB;R35=200;COM="&amp;X35</f>
        <v>R1=252036;R7=255221;R2=RUB;R35=200;COM=</v>
      </c>
      <c r="C35" s="2286" t="s">
        <v>14883</v>
      </c>
      <c r="D35" s="3549" t="s">
        <v>5443</v>
      </c>
      <c r="E35" s="1146" t="s">
        <v>4184</v>
      </c>
      <c r="F35" s="1335"/>
      <c r="G35" s="1146" t="s">
        <v>4184</v>
      </c>
      <c r="H35" s="1335"/>
      <c r="I35" s="1146" t="s">
        <v>4184</v>
      </c>
      <c r="J35" s="1775">
        <f>F35-H35</f>
        <v>0</v>
      </c>
      <c r="K35" s="1146" t="s">
        <v>4184</v>
      </c>
      <c r="L35" s="1335"/>
      <c r="M35" s="1335"/>
      <c r="N35" s="1335"/>
      <c r="O35" s="1335"/>
      <c r="P35" s="1335"/>
      <c r="Q35" s="1335"/>
      <c r="R35" s="1337">
        <f>SUM(F35,L35:Q35)</f>
        <v>0</v>
      </c>
      <c r="S35" s="1146" t="s">
        <v>4184</v>
      </c>
      <c r="T35" s="1335"/>
      <c r="U35" s="1146" t="s">
        <v>4184</v>
      </c>
      <c r="V35" s="1775">
        <f>R35-T35</f>
        <v>0</v>
      </c>
      <c r="W35" s="1146" t="s">
        <v>4184</v>
      </c>
      <c r="X35" s="1336"/>
      <c r="AA35" s="1911"/>
      <c r="AC35" s="2065" t="b">
        <f t="shared" si="12"/>
        <v>1</v>
      </c>
      <c r="AE35" s="2657"/>
      <c r="AF35" s="2657"/>
      <c r="AG35" s="2657"/>
      <c r="AH35" s="2657"/>
      <c r="AJ35" s="24"/>
      <c r="AK35" s="24"/>
      <c r="AL35" s="24"/>
      <c r="AM35" s="24"/>
    </row>
    <row r="36" spans="1:49" ht="26.5">
      <c r="A36" s="2427" t="str">
        <f t="shared" ref="A36:A37" si="13">"R1="&amp;IFERROR(MID(C36,FIND("{",C36)+1,FIND("}",C36)-FIND("{",C36)-1),"")&amp;";R7="&amp;IFERROR("2552"&amp;MID(D36,FIND("{",D36)+1,FIND("}",D36)-FIND("{",D36)-1),"")&amp;";R2=RUB;R35=200;COM="&amp;X36</f>
        <v>R1=252080;R7=255221;R2=RUB;R35=200;COM=</v>
      </c>
      <c r="C36" s="2286" t="s">
        <v>14884</v>
      </c>
      <c r="D36" s="3549" t="s">
        <v>5443</v>
      </c>
      <c r="E36" s="1146" t="s">
        <v>4184</v>
      </c>
      <c r="F36" s="1335"/>
      <c r="G36" s="1146" t="s">
        <v>4184</v>
      </c>
      <c r="H36" s="1335"/>
      <c r="I36" s="1146" t="s">
        <v>4184</v>
      </c>
      <c r="J36" s="1775">
        <f>F36-H36</f>
        <v>0</v>
      </c>
      <c r="K36" s="1146" t="s">
        <v>4184</v>
      </c>
      <c r="L36" s="1335"/>
      <c r="M36" s="1335"/>
      <c r="N36" s="1335"/>
      <c r="O36" s="1335"/>
      <c r="P36" s="1335"/>
      <c r="Q36" s="1335"/>
      <c r="R36" s="1337">
        <f>SUM(F36,L36:Q36)</f>
        <v>0</v>
      </c>
      <c r="S36" s="1146" t="s">
        <v>4184</v>
      </c>
      <c r="T36" s="1335"/>
      <c r="U36" s="1146" t="s">
        <v>4184</v>
      </c>
      <c r="V36" s="1775">
        <f>R36-T36</f>
        <v>0</v>
      </c>
      <c r="W36" s="1146" t="s">
        <v>4184</v>
      </c>
      <c r="X36" s="1336"/>
      <c r="AA36" s="1911"/>
      <c r="AC36" s="2065" t="b">
        <f t="shared" si="12"/>
        <v>1</v>
      </c>
      <c r="AE36" s="2657"/>
      <c r="AF36" s="2657"/>
      <c r="AG36" s="2657"/>
      <c r="AH36" s="2657"/>
      <c r="AJ36" s="24"/>
      <c r="AK36" s="24"/>
      <c r="AL36" s="24"/>
      <c r="AM36" s="24"/>
    </row>
    <row r="37" spans="1:49" ht="26.5">
      <c r="A37" s="2427" t="str">
        <f t="shared" si="13"/>
        <v>R1=252036;R7=255222;R2=RUB;R35=200;COM=</v>
      </c>
      <c r="C37" s="2286" t="s">
        <v>14883</v>
      </c>
      <c r="D37" s="3549" t="s">
        <v>5445</v>
      </c>
      <c r="E37" s="1146" t="s">
        <v>4184</v>
      </c>
      <c r="F37" s="1146" t="s">
        <v>4184</v>
      </c>
      <c r="G37" s="1335"/>
      <c r="H37" s="1146" t="s">
        <v>4184</v>
      </c>
      <c r="I37" s="1335"/>
      <c r="J37" s="1146" t="s">
        <v>4184</v>
      </c>
      <c r="K37" s="1775">
        <f>G37-I37</f>
        <v>0</v>
      </c>
      <c r="L37" s="1335"/>
      <c r="M37" s="1335"/>
      <c r="N37" s="1335"/>
      <c r="O37" s="1335"/>
      <c r="P37" s="1335"/>
      <c r="Q37" s="1335"/>
      <c r="R37" s="1146" t="s">
        <v>4184</v>
      </c>
      <c r="S37" s="1337">
        <f>SUM(G37,L37:Q37)</f>
        <v>0</v>
      </c>
      <c r="T37" s="1146" t="s">
        <v>4184</v>
      </c>
      <c r="U37" s="1509"/>
      <c r="V37" s="1146" t="s">
        <v>4184</v>
      </c>
      <c r="W37" s="1775">
        <f>S37-U37</f>
        <v>0</v>
      </c>
      <c r="X37" s="1336"/>
      <c r="AA37" s="1911"/>
      <c r="AC37" s="2065" t="b">
        <f t="shared" si="12"/>
        <v>1</v>
      </c>
      <c r="AE37" s="2657"/>
      <c r="AF37" s="2657"/>
      <c r="AG37" s="2657"/>
      <c r="AH37" s="2657"/>
      <c r="AJ37" s="3010"/>
      <c r="AK37" s="3010"/>
      <c r="AL37" s="3010"/>
      <c r="AM37" s="3010"/>
      <c r="AP37" s="3010"/>
    </row>
    <row r="38" spans="1:49" ht="27.75" customHeight="1">
      <c r="A38" s="2427" t="str">
        <f t="shared" ref="A38:A42" si="14">"R1="&amp;IFERROR(MID(C38,FIND("{",C38)+1,FIND("}",C38)-FIND("{",C38)-1),"")&amp;";R7="&amp;IFERROR("2552"&amp;MID(D38,FIND("{",D38)+1,FIND("}",D38)-FIND("{",D38)-1),"")&amp;";R2=RUB;R35=200;COM="&amp;X38</f>
        <v>R1=252081;R7=255221;R2=RUB;R35=200;COM=Х</v>
      </c>
      <c r="C38" s="2286" t="s">
        <v>14885</v>
      </c>
      <c r="D38" s="3549" t="s">
        <v>5443</v>
      </c>
      <c r="E38" s="1146" t="s">
        <v>4184</v>
      </c>
      <c r="F38" s="1146" t="s">
        <v>4184</v>
      </c>
      <c r="G38" s="1146" t="s">
        <v>4184</v>
      </c>
      <c r="H38" s="1146" t="s">
        <v>4184</v>
      </c>
      <c r="I38" s="1146" t="s">
        <v>4184</v>
      </c>
      <c r="J38" s="1146" t="s">
        <v>4184</v>
      </c>
      <c r="K38" s="1146" t="s">
        <v>4184</v>
      </c>
      <c r="L38" s="1146" t="s">
        <v>4184</v>
      </c>
      <c r="M38" s="1146" t="s">
        <v>4184</v>
      </c>
      <c r="N38" s="1146" t="s">
        <v>4184</v>
      </c>
      <c r="O38" s="1146" t="s">
        <v>4184</v>
      </c>
      <c r="P38" s="1146" t="s">
        <v>4184</v>
      </c>
      <c r="Q38" s="1146" t="s">
        <v>4184</v>
      </c>
      <c r="R38" s="1146" t="s">
        <v>4184</v>
      </c>
      <c r="S38" s="1146" t="s">
        <v>4184</v>
      </c>
      <c r="T38" s="1146" t="s">
        <v>4184</v>
      </c>
      <c r="U38" s="1146" t="s">
        <v>4184</v>
      </c>
      <c r="V38" s="1146" t="s">
        <v>4184</v>
      </c>
      <c r="W38" s="1146" t="s">
        <v>4184</v>
      </c>
      <c r="X38" s="1146" t="s">
        <v>4184</v>
      </c>
      <c r="AA38" s="1911"/>
      <c r="AC38" s="2065"/>
    </row>
    <row r="39" spans="1:49" ht="26.25" customHeight="1">
      <c r="A39" s="2427" t="str">
        <f t="shared" si="14"/>
        <v>R1=252037;R7=255211;R2=RUB;R35=200;COM=</v>
      </c>
      <c r="C39" s="3550" t="s">
        <v>14887</v>
      </c>
      <c r="D39" s="3549" t="s">
        <v>5442</v>
      </c>
      <c r="E39" s="1146" t="s">
        <v>4184</v>
      </c>
      <c r="F39" s="1146" t="s">
        <v>4184</v>
      </c>
      <c r="G39" s="1335"/>
      <c r="H39" s="1146" t="s">
        <v>4184</v>
      </c>
      <c r="I39" s="1335"/>
      <c r="J39" s="1146" t="s">
        <v>4184</v>
      </c>
      <c r="K39" s="1775">
        <f>G39-I39</f>
        <v>0</v>
      </c>
      <c r="L39" s="1335"/>
      <c r="M39" s="1335"/>
      <c r="N39" s="1335"/>
      <c r="O39" s="1335"/>
      <c r="P39" s="1335"/>
      <c r="Q39" s="1335"/>
      <c r="R39" s="1146" t="s">
        <v>4184</v>
      </c>
      <c r="S39" s="1337">
        <f>SUM(G39,L39:Q39)</f>
        <v>0</v>
      </c>
      <c r="T39" s="1146" t="s">
        <v>4184</v>
      </c>
      <c r="U39" s="1509"/>
      <c r="V39" s="1146" t="s">
        <v>4184</v>
      </c>
      <c r="W39" s="1775">
        <f>S39-U39</f>
        <v>0</v>
      </c>
      <c r="X39" s="1336"/>
      <c r="AC39" s="2065" t="b">
        <f t="shared" si="12"/>
        <v>1</v>
      </c>
      <c r="AE39" s="3952"/>
      <c r="AF39" s="3952"/>
      <c r="AG39" s="3952"/>
      <c r="AH39" s="3952"/>
      <c r="AI39" s="3952"/>
      <c r="AJ39" s="24"/>
      <c r="AK39" s="24"/>
      <c r="AL39" s="24"/>
      <c r="AM39" s="24"/>
    </row>
    <row r="40" spans="1:49" ht="27.75" customHeight="1">
      <c r="A40" s="2427" t="str">
        <f t="shared" si="14"/>
        <v>R1=252038;R7=255212;R2=RUB;R35=200;COM=</v>
      </c>
      <c r="C40" s="3550" t="s">
        <v>14886</v>
      </c>
      <c r="D40" s="3549" t="s">
        <v>5444</v>
      </c>
      <c r="E40" s="1146" t="s">
        <v>4184</v>
      </c>
      <c r="F40" s="1335"/>
      <c r="G40" s="1146" t="s">
        <v>4184</v>
      </c>
      <c r="H40" s="1335"/>
      <c r="I40" s="1146" t="s">
        <v>4184</v>
      </c>
      <c r="J40" s="1775">
        <f>F40-H40</f>
        <v>0</v>
      </c>
      <c r="K40" s="1146" t="s">
        <v>4184</v>
      </c>
      <c r="L40" s="1335"/>
      <c r="M40" s="1335"/>
      <c r="N40" s="1335"/>
      <c r="O40" s="1335"/>
      <c r="P40" s="1335"/>
      <c r="Q40" s="1335"/>
      <c r="R40" s="1337">
        <f>SUM(F40,L40:Q40)</f>
        <v>0</v>
      </c>
      <c r="S40" s="1146" t="s">
        <v>4184</v>
      </c>
      <c r="T40" s="1335"/>
      <c r="U40" s="1146" t="s">
        <v>4184</v>
      </c>
      <c r="V40" s="1775">
        <f>R40-T40</f>
        <v>0</v>
      </c>
      <c r="W40" s="1146" t="s">
        <v>4184</v>
      </c>
      <c r="X40" s="1336"/>
      <c r="AA40" s="1911"/>
      <c r="AC40" s="2065" t="b">
        <f t="shared" si="12"/>
        <v>1</v>
      </c>
    </row>
    <row r="41" spans="1:49" ht="26.5">
      <c r="A41" s="2427" t="str">
        <f t="shared" si="14"/>
        <v>R1=252038;R7=255212;R2=RUB;R35=200;COM=</v>
      </c>
      <c r="C41" s="3550" t="s">
        <v>14886</v>
      </c>
      <c r="D41" s="3549" t="s">
        <v>5444</v>
      </c>
      <c r="E41" s="1146" t="s">
        <v>4184</v>
      </c>
      <c r="F41" s="1146" t="s">
        <v>4184</v>
      </c>
      <c r="G41" s="1335"/>
      <c r="H41" s="1146" t="s">
        <v>4184</v>
      </c>
      <c r="I41" s="1335"/>
      <c r="J41" s="1146" t="s">
        <v>4184</v>
      </c>
      <c r="K41" s="1775">
        <f>G41-I41</f>
        <v>0</v>
      </c>
      <c r="L41" s="1335"/>
      <c r="M41" s="1335"/>
      <c r="N41" s="1335"/>
      <c r="O41" s="1335"/>
      <c r="P41" s="1335"/>
      <c r="Q41" s="1335"/>
      <c r="R41" s="1146" t="s">
        <v>4184</v>
      </c>
      <c r="S41" s="1337">
        <f>SUM(G41,L41:Q41)</f>
        <v>0</v>
      </c>
      <c r="T41" s="1146" t="s">
        <v>4184</v>
      </c>
      <c r="U41" s="1509"/>
      <c r="V41" s="1146" t="s">
        <v>4184</v>
      </c>
      <c r="W41" s="1775">
        <f>S41-U41</f>
        <v>0</v>
      </c>
      <c r="X41" s="1336"/>
      <c r="AA41" s="1911"/>
      <c r="AC41" s="2065" t="b">
        <f t="shared" si="12"/>
        <v>1</v>
      </c>
      <c r="AE41" s="2657"/>
      <c r="AF41" s="2657"/>
      <c r="AG41" s="2657"/>
      <c r="AH41" s="2657"/>
      <c r="AJ41" s="3010"/>
      <c r="AK41" s="3010"/>
      <c r="AL41" s="3010"/>
      <c r="AM41" s="3010"/>
      <c r="AP41" s="3010"/>
    </row>
    <row r="42" spans="1:49" ht="39">
      <c r="A42" s="2427" t="str">
        <f t="shared" si="14"/>
        <v>R1=252079;R7=255211;R2=RUB;R35=200;COM=Х</v>
      </c>
      <c r="C42" s="2286" t="s">
        <v>14888</v>
      </c>
      <c r="D42" s="3549" t="s">
        <v>5442</v>
      </c>
      <c r="E42" s="1146" t="s">
        <v>4184</v>
      </c>
      <c r="F42" s="1146" t="s">
        <v>4184</v>
      </c>
      <c r="G42" s="1146" t="s">
        <v>4184</v>
      </c>
      <c r="H42" s="1146" t="s">
        <v>4184</v>
      </c>
      <c r="I42" s="1146" t="s">
        <v>4184</v>
      </c>
      <c r="J42" s="1146" t="s">
        <v>4184</v>
      </c>
      <c r="K42" s="1146" t="s">
        <v>4184</v>
      </c>
      <c r="L42" s="1146" t="s">
        <v>4184</v>
      </c>
      <c r="M42" s="1146" t="s">
        <v>4184</v>
      </c>
      <c r="N42" s="1146" t="s">
        <v>4184</v>
      </c>
      <c r="O42" s="1146" t="s">
        <v>4184</v>
      </c>
      <c r="P42" s="1146" t="s">
        <v>4184</v>
      </c>
      <c r="Q42" s="1146" t="s">
        <v>4184</v>
      </c>
      <c r="R42" s="1146" t="s">
        <v>4184</v>
      </c>
      <c r="S42" s="1146" t="s">
        <v>4184</v>
      </c>
      <c r="T42" s="1146" t="s">
        <v>4184</v>
      </c>
      <c r="U42" s="1146" t="s">
        <v>4184</v>
      </c>
      <c r="V42" s="1146" t="s">
        <v>4184</v>
      </c>
      <c r="W42" s="1146" t="s">
        <v>4184</v>
      </c>
      <c r="X42" s="1146" t="s">
        <v>4184</v>
      </c>
      <c r="AA42" s="1911"/>
      <c r="AC42" s="2065"/>
      <c r="AE42" s="2657"/>
      <c r="AF42" s="2657"/>
      <c r="AG42" s="2657"/>
      <c r="AH42" s="2657"/>
      <c r="AJ42" s="3010"/>
      <c r="AK42" s="3010"/>
      <c r="AL42" s="3010"/>
      <c r="AM42" s="3010"/>
      <c r="AP42" s="3010"/>
    </row>
    <row r="43" spans="1:49" ht="26.5">
      <c r="A43" s="2427" t="str">
        <f t="shared" ref="A43" si="15">"R1="&amp;IFERROR(MID(C43,FIND("{",C43)+1,FIND("}",C43)-FIND("{",C43)-1),"")&amp;";R7="&amp;IFERROR("2552"&amp;MID(D43,FIND("{",D43)+1,FIND("}",D43)-FIND("{",D43)-1),"")&amp;";R2=RUB;R35=200;COM="&amp;X43</f>
        <v>R1=252038;R7=255211;R2=RUB;R35=200;COM=</v>
      </c>
      <c r="C43" s="3550" t="s">
        <v>14886</v>
      </c>
      <c r="D43" s="3549" t="s">
        <v>5442</v>
      </c>
      <c r="E43" s="1146" t="s">
        <v>4184</v>
      </c>
      <c r="F43" s="1146" t="s">
        <v>4184</v>
      </c>
      <c r="G43" s="1335"/>
      <c r="H43" s="1146" t="s">
        <v>4184</v>
      </c>
      <c r="I43" s="1335"/>
      <c r="J43" s="1146" t="s">
        <v>4184</v>
      </c>
      <c r="K43" s="1775">
        <f>G43-I43</f>
        <v>0</v>
      </c>
      <c r="L43" s="1335"/>
      <c r="M43" s="1335"/>
      <c r="N43" s="1335"/>
      <c r="O43" s="1335"/>
      <c r="P43" s="1335"/>
      <c r="Q43" s="1335"/>
      <c r="R43" s="1146" t="s">
        <v>4184</v>
      </c>
      <c r="S43" s="1337">
        <f>SUM(G43,L43:Q43)</f>
        <v>0</v>
      </c>
      <c r="T43" s="1146" t="s">
        <v>4184</v>
      </c>
      <c r="U43" s="1509"/>
      <c r="V43" s="1146" t="s">
        <v>4184</v>
      </c>
      <c r="W43" s="1775">
        <f>S43-U43</f>
        <v>0</v>
      </c>
      <c r="X43" s="1336"/>
      <c r="AC43" s="2065" t="b">
        <f t="shared" si="12"/>
        <v>1</v>
      </c>
      <c r="AE43" s="3952"/>
      <c r="AF43" s="3952"/>
      <c r="AG43" s="3952"/>
      <c r="AH43" s="3952"/>
      <c r="AI43" s="3952"/>
      <c r="AJ43" s="24"/>
      <c r="AK43" s="24"/>
      <c r="AL43" s="24"/>
      <c r="AM43" s="24"/>
    </row>
    <row r="44" spans="1:49" ht="24.75" customHeight="1">
      <c r="A44" s="2427" t="str">
        <f>"R1=252053;R7=;R2=RUB;R35=200;COM="&amp;X44</f>
        <v>R1=252053;R7=;R2=RUB;R35=200;COM=</v>
      </c>
      <c r="C44" s="981" t="s">
        <v>8586</v>
      </c>
      <c r="D44" s="1146" t="s">
        <v>4184</v>
      </c>
      <c r="E44" s="1146" t="s">
        <v>4184</v>
      </c>
      <c r="F44" s="1335"/>
      <c r="G44" s="1335"/>
      <c r="H44" s="1335"/>
      <c r="I44" s="1335"/>
      <c r="J44" s="1775">
        <f t="shared" si="3"/>
        <v>0</v>
      </c>
      <c r="K44" s="1775">
        <f t="shared" si="4"/>
        <v>0</v>
      </c>
      <c r="L44" s="1335"/>
      <c r="M44" s="1335"/>
      <c r="N44" s="1335"/>
      <c r="O44" s="1335"/>
      <c r="P44" s="1335"/>
      <c r="Q44" s="1335"/>
      <c r="R44" s="1335"/>
      <c r="S44" s="1332">
        <f t="shared" si="9"/>
        <v>0</v>
      </c>
      <c r="T44" s="1335"/>
      <c r="U44" s="1509"/>
      <c r="V44" s="1775">
        <f>R44-T44</f>
        <v>0</v>
      </c>
      <c r="W44" s="1775">
        <f t="shared" si="7"/>
        <v>0</v>
      </c>
      <c r="X44" s="1336"/>
      <c r="Y44" s="114"/>
      <c r="Z44" s="114"/>
      <c r="AA44" s="1911" t="s">
        <v>3074</v>
      </c>
      <c r="AB44" s="2065"/>
      <c r="AC44" s="2065" t="b">
        <f t="shared" si="12"/>
        <v>1</v>
      </c>
      <c r="AD44" s="2193"/>
      <c r="AI44" s="673"/>
      <c r="AW44" s="3562"/>
    </row>
    <row r="45" spans="1:49" ht="28.5" customHeight="1">
      <c r="A45" s="9" t="str">
        <f t="shared" ref="A45:A60" si="16">"R1="&amp;IFERROR(MID(C45,FIND("{",C45)+1,FIND("}",C45)-FIND("{",C45)-1),"")&amp;";R7="&amp;IFERROR("2552"&amp;MID(D45,FIND("{",D45)+1,FIND("}",D45)-FIND("{",D45)-1),"")&amp;";R2="&amp;IFERROR(MID(E45,FIND("{",E45)+1,FIND("}",E45)-FIND("{",E45)-1),"")&amp;";R35=100;COM="&amp;X45</f>
        <v>R1=;R7=;R2=;R35=100;COM=</v>
      </c>
      <c r="B45" s="601" t="s">
        <v>5536</v>
      </c>
      <c r="C45" s="1331"/>
      <c r="D45" s="909"/>
      <c r="E45" s="1339"/>
      <c r="F45" s="1335"/>
      <c r="G45" s="1335"/>
      <c r="H45" s="1335"/>
      <c r="I45" s="1335"/>
      <c r="J45" s="1775">
        <f t="shared" si="3"/>
        <v>0</v>
      </c>
      <c r="K45" s="1775">
        <f t="shared" si="4"/>
        <v>0</v>
      </c>
      <c r="L45" s="1335"/>
      <c r="M45" s="1335"/>
      <c r="N45" s="1335"/>
      <c r="O45" s="1335"/>
      <c r="P45" s="1338"/>
      <c r="Q45" s="1335"/>
      <c r="R45" s="1335"/>
      <c r="S45" s="1332">
        <f>SUM(F45:G45,L45:Q45)-R45</f>
        <v>0</v>
      </c>
      <c r="T45" s="1338"/>
      <c r="U45" s="1335"/>
      <c r="V45" s="1775">
        <f t="shared" ref="V45:V56" si="17">R45-T45</f>
        <v>0</v>
      </c>
      <c r="W45" s="1775">
        <f t="shared" si="7"/>
        <v>0</v>
      </c>
      <c r="X45" s="1336"/>
      <c r="Y45" s="3557" t="b">
        <f>IF(AND(C45=$AT$10,D45=$AA$46),TRUE,IF(AND(C45=$AT$12,D45=$AA$46),AND(F45&lt;=0,H45&lt;=0,J45&lt;=0,R45&lt;=0,T45&lt;=0,V45&lt;=0),AND(F45&gt;=0,H45&gt;=0,J45&gt;=0,R45&gt;=0,T45&gt;=0,V45&gt;=0,G45&lt;=0,I45&lt;=0,K45&lt;=0,S45&lt;=0,U45&lt;=0,W45&lt;=0)))</f>
        <v>1</v>
      </c>
      <c r="Z45" s="2065" t="b">
        <f>IF(AND(C45=$AT$10,D45=$AA$46),TRUE,IF($D45&lt;&gt;0,OR(IF(OR($D45=$AA$47,$D45=$AA$46),AND($G45="",$I45="",$K45=0,$S45=0,$U45="",$W45=0)),IF(OR($D45=$AA$48,$D45=$AA$45),AND($F45="",$H45="",$J45=0,$R45="",$T45="",$V45=0))),TRUE))</f>
        <v>1</v>
      </c>
      <c r="AA45" s="1911" t="s">
        <v>5442</v>
      </c>
      <c r="AB45" s="2065" t="b">
        <f>AND(IF(C45=$C$11,FALSE,TRUE),IF(C45=$C$13,FALSE,TRUE),IF(C45=$C$16,FALSE,TRUE),IF(C45=$C$17,FALSE,TRUE),IF(C45=$C$18,FALSE,TRUE))</f>
        <v>1</v>
      </c>
      <c r="AC45" s="2065" t="b">
        <f>IF(C45="{252026} НДС по авансам полученным",OR(L45&gt;=0,L45&lt;=0),AND(IF(D45="{21} Дебиторская задолженность",L45&gt;=0,TRUE),IF(D45="{21} Дебиторская задолженность",IF(O45&lt;=0,TRUE,FALSE),TRUE),IF(D45="{12} Авансы выданные",O45&lt;=0,TRUE),IF(D45="{12} Авансы выданные",IF(L45=0,TRUE,FALSE),TRUE),IF(D45="{11} Кредиторская задолженность",L45&lt;=0,TRUE),IF(D45="{11} Кредиторская задолженность",IF(O45&gt;=0,TRUE,FALSE),TRUE),IF(D45="{22} Авансы полученные",O45&gt;=0,TRUE),IF(D45="{22} Авансы полученные",IF(L45=0,TRUE,FALSE),TRUE)))</f>
        <v>1</v>
      </c>
      <c r="AD45" s="2130" t="b">
        <f>AND(IF(C45=$AA$44,IF(OR(D45=$AA$47,D45=$AA$46),TRUE,FALSE),TRUE),IF(C45=$AA$25,IF(OR(D45=$AA$48,D45=$AA$45),TRUE,FALSE),TRUE))</f>
        <v>1</v>
      </c>
      <c r="AE45" s="2654">
        <f>SUMIFS('60,62,63,76_контр'!$P$15:$P25000,'60,62,63,76_контр'!$J$15:$J25000,'76'!$C45,'60,62,63,76_контр'!$AX$15:$AX25000,'76'!$AI45,'60,62,63,76_контр'!$O$15:$O25000,'76'!$E45,'60,62,63,76_контр'!$C$15:$C25000,"76",'60,62,63,76_контр'!$N$15:$N25000,"{10} Долгосрочная",'60,62,63,76_контр'!$AY$15:$AY25000,"-")</f>
        <v>0</v>
      </c>
      <c r="AF45" s="2654">
        <f>SUMIFS('60,62,63,76_контр'!$P$15:$P25000,'60,62,63,76_контр'!$J$15:$J25000,'76'!$C45,'60,62,63,76_контр'!$AX$15:$AX25000,'76'!$AI45,'60,62,63,76_контр'!$O$15:$O25000,'76'!$E45,'60,62,63,76_контр'!$C$15:$C25000,"76",'60,62,63,76_контр'!$N$15:$N25000,"{20} Краткосрочная",'60,62,63,76_контр'!$AY$15:$AY25000,"-")</f>
        <v>0</v>
      </c>
      <c r="AG45" s="2654">
        <f>SUMIFS('60,62,63,76_контр'!$V$15:$V25000,'60,62,63,76_контр'!$J$15:$J25000,'76'!$C45,'60,62,63,76_контр'!$AX$15:$AX25000,'76'!$AI45,'60,62,63,76_контр'!$O$15:$O25000,'76'!$E45,'60,62,63,76_контр'!$C$15:$C25000,"76",'60,62,63,76_контр'!$N$15:$N25000,"{10} Долгосрочная",'60,62,63,76_контр'!$AY$15:$AY25000,"-")</f>
        <v>0</v>
      </c>
      <c r="AH45" s="2654">
        <f>SUMIFS('60,62,63,76_контр'!$V$15:$V25000,'60,62,63,76_контр'!$J$15:$J25000,'76'!$C45,'60,62,63,76_контр'!$AX$15:$AX25000,'76'!$AI45,'60,62,63,76_контр'!$O$15:$O25000,'76'!$E45,'60,62,63,76_контр'!$C$15:$C25000,"76",'60,62,63,76_контр'!$N$15:$N25000,"{20} Краткосрочная",'60,62,63,76_контр'!$AY$15:$AY25000,"-")</f>
        <v>0</v>
      </c>
      <c r="AI45" s="2266" t="str">
        <f t="shared" ref="AI45:AI58" si="18">IFERROR(RIGHT(D45,LEN(D45)-5),"")</f>
        <v/>
      </c>
      <c r="AJ45" s="2289" t="b">
        <f t="shared" ref="AJ45:AJ62" si="19">IF(ABS(AE45-SUMIFS(T:T,C:C,C45,D:D,D45,E:E,E45))&lt;5,TRUE,FALSE)</f>
        <v>1</v>
      </c>
      <c r="AK45" s="2289" t="b">
        <f t="shared" ref="AK45:AK62" si="20">IF(ABS(AF45-SUMIFS(V:V,C:C,C45,D:D,D45,E:E,E45))&lt;5,TRUE,FALSE)</f>
        <v>1</v>
      </c>
      <c r="AL45" s="2129" t="b">
        <f t="shared" ref="AL45:AL62" si="21">IF(ABS(AG45-SUMIFS(U:U,C:C,C45,D:D,D45,E:E,E45))&lt;5,TRUE,FALSE)</f>
        <v>1</v>
      </c>
      <c r="AM45" s="2129" t="b">
        <f t="shared" ref="AM45:AM62" si="22">IF(ABS(AH45-SUMIFS(W:W,C:C,C45,D:D,D45,E:E,E45))&lt;5,TRUE,FALSE)</f>
        <v>1</v>
      </c>
      <c r="AN45" s="2324">
        <f>SUM(U45:U10017)</f>
        <v>0</v>
      </c>
      <c r="AO45" s="2324">
        <f>SUM(W45:W10017)</f>
        <v>0</v>
      </c>
      <c r="AP45" s="2129" t="b">
        <f>IF(C45="{252026} НДС по авансам полученным",D45="{21} Дебиторская задолженность",IF(C45="{252073} НДС с авансов, выданных по капитальному строительству (перерасчетный)",D45="{11} Кредиторская задолженность",IF(C45="{252029} НДС по авансам выданным (перерасчетный) без капитального строительства",D45="{11} Кредиторская задолженность",IF(C45="{252025} НДС по авансам выданным (предварит) без кап строительства",D45="{21} Дебиторская задолженность",IF(C45="{252072} НДС с авансов, выданных по капитальному строительству (предварит)",D45="{21} Дебиторская задолженность",IF(C45="{252014} Расчеты с Агентами (Комиссионерами) по агентскому вознаграждению",OR(D45="{11} Кредиторская задолженность",D45="{12} Авансы выданные"),IF(C45="{252017} Расчеты с Комитентами (Принципалами) по агентскому вознаграждению",OR(D45="{21} Дебиторская задолженность",D45="{22} Авансы полученные"),IF(C45="{252012} Расчеты с Агентами (Комиссионерами) по возмещению понесенных затрат при продаже продукции (работ, услуг) Комитента (Принципала)",OR(D45="{11} Кредиторская задолженность",D45="{12} Авансы выданные"),IF(C45="{252071}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средств",OR(D45="{11} Кредиторская задолженность",D45="{12} Авансы выданные"),IF(C45="{252019} Расчеты с Комитентами (Принципалами) по возмещению понесенных затрат при продаже продукции (работ, услуг) Комитента (Принципала)",OR(D45="{21} Дебиторская задолженность",D45="{22} Авансы полученные"),TRUE))))))))))</f>
        <v>1</v>
      </c>
      <c r="AQ45" s="2129" t="b">
        <f>IF(Содержание!$D$12="тыс. рублей",IF(AND(E45="{RUB} Российские рубли",P45&lt;&gt;0),FALSE,TRUE),TRUE)</f>
        <v>1</v>
      </c>
      <c r="AR45" s="2129" t="b">
        <f>IF(COUNTBLANK(F45:W45)=13,TRUE,C45&lt;&gt;"")</f>
        <v>1</v>
      </c>
      <c r="AS45" s="2129" t="b">
        <f t="shared" ref="AS45:AS62" si="23">IF(COUNTBLANK(F45:W45)=13,TRUE,E45&lt;&gt;"")</f>
        <v>1</v>
      </c>
      <c r="AT45" s="3558" t="b">
        <f>IF(C45="",TRUE,IF(C45=$AT$8,OR(D45=$AA$47,D45=$AA$48),IF(C45=$AT$9,D45=$AA$45,IF(C45=$AT$10,OR(D45=$AA$46,D45=$AA$45),IF(C45=$AT$11,D45=$AA$47,IF(C45=$AT$12,OR(D45=$AA$46,D45=$AA$45),IF(C45=$AT$13,D45=$AA$47,IF(C45=$AT$14,D45=$AA$47,TRUE))))))))</f>
        <v>1</v>
      </c>
      <c r="AW45" s="3563"/>
    </row>
    <row r="46" spans="1:49" ht="24" customHeight="1">
      <c r="A46" s="9" t="str">
        <f t="shared" si="16"/>
        <v>R1=;R7=;R2=;R35=100;COM=</v>
      </c>
      <c r="B46" s="601"/>
      <c r="C46" s="1331"/>
      <c r="D46" s="909"/>
      <c r="E46" s="1339"/>
      <c r="F46" s="1335"/>
      <c r="G46" s="1335"/>
      <c r="H46" s="1335"/>
      <c r="I46" s="1335"/>
      <c r="J46" s="1775">
        <f t="shared" ref="J46:J56" si="24">F46-H46</f>
        <v>0</v>
      </c>
      <c r="K46" s="1775">
        <f t="shared" ref="K46:K56" si="25">G46-I46</f>
        <v>0</v>
      </c>
      <c r="L46" s="1335"/>
      <c r="M46" s="1335"/>
      <c r="N46" s="1335"/>
      <c r="O46" s="1335"/>
      <c r="P46" s="1338"/>
      <c r="Q46" s="1335"/>
      <c r="R46" s="1335"/>
      <c r="S46" s="1332">
        <f>SUM(F46:G46,L46:Q46)-R46</f>
        <v>0</v>
      </c>
      <c r="T46" s="1338"/>
      <c r="U46" s="1335"/>
      <c r="V46" s="1775">
        <f>R46-T46</f>
        <v>0</v>
      </c>
      <c r="W46" s="1775">
        <f t="shared" si="7"/>
        <v>0</v>
      </c>
      <c r="X46" s="1336"/>
      <c r="Y46" s="3557" t="b">
        <f t="shared" ref="Y46:Y74" si="26">IF(AND(C46=$AT$10,D46=$AA$46),TRUE,IF(AND(C46=$AT$12,D46=$AA$46),AND(F46&lt;=0,H46&lt;=0,J46&lt;=0,R46&lt;=0,T46&lt;=0,V46&lt;=0),AND(F46&gt;=0,H46&gt;=0,J46&gt;=0,R46&gt;=0,T46&gt;=0,V46&gt;=0,G46&lt;=0,I46&lt;=0,K46&lt;=0,S46&lt;=0,U46&lt;=0,W46&lt;=0)))</f>
        <v>1</v>
      </c>
      <c r="Z46" s="2065" t="b">
        <f t="shared" ref="Z46:Z74" si="27">IF(AND(C46=$AT$10,D46=$AA$46),TRUE,IF($D46&lt;&gt;0,OR(IF(OR($D46=$AA$47,$D46=$AA$46),AND($G46="",$I46="",$K46=0,$S46=0,$U46="",$W46=0)),IF(OR($D46=$AA$48,$D46=$AA$45),AND($F46="",$H46="",$J46=0,$R46="",$T46="",$V46=0))),TRUE))</f>
        <v>1</v>
      </c>
      <c r="AA46" s="1911" t="s">
        <v>5444</v>
      </c>
      <c r="AB46" s="2065" t="b">
        <f t="shared" ref="AB46:AB60" si="28">AND(IF(C46=$C$11,FALSE,TRUE),IF(C46=$C$13,FALSE,TRUE),IF(C46=$C$16,FALSE,TRUE),IF(C46=$C$17,FALSE,TRUE),IF(C46=$C$18,FALSE,TRUE))</f>
        <v>1</v>
      </c>
      <c r="AC46" s="2065" t="b">
        <f t="shared" ref="AC46:AC62" si="29">IF(C46="{252026} НДС по авансам полученным",OR(L46&gt;=0,L46&lt;=0),AND(IF(D46="{21} Дебиторская задолженность",L46&gt;=0,TRUE),IF(D46="{21} Дебиторская задолженность",IF(O46&lt;=0,TRUE,FALSE),TRUE),IF(D46="{12} Авансы выданные",O46&lt;=0,TRUE),IF(D46="{12} Авансы выданные",IF(L46=0,TRUE,FALSE),TRUE),IF(D46="{11} Кредиторская задолженность",L46&lt;=0,TRUE),IF(D46="{11} Кредиторская задолженность",IF(O46&gt;=0,TRUE,FALSE),TRUE),IF(D46="{22} Авансы полученные",O46&gt;=0,TRUE),IF(D46="{22} Авансы полученные",IF(L46=0,TRUE,FALSE),TRUE)))</f>
        <v>1</v>
      </c>
      <c r="AD46" s="2130" t="b">
        <f t="shared" ref="AD46:AD62" si="30">AND(IF(C46=$AA$44,IF(OR(D46=$AA$47,D46=$AA$46),TRUE,FALSE),TRUE),IF(C46=$AA$25,IF(OR(D46=$AA$48,D46=$AA$45),TRUE,FALSE),TRUE))</f>
        <v>1</v>
      </c>
      <c r="AE46" s="2654">
        <f>SUMIFS('60,62,63,76_контр'!$P$15:$P25001,'60,62,63,76_контр'!$J$15:$J25001,'76'!$C46,'60,62,63,76_контр'!$AX$15:$AX25001,'76'!$AI46,'60,62,63,76_контр'!$O$15:$O25001,'76'!$E46,'60,62,63,76_контр'!$C$15:$C25001,"76",'60,62,63,76_контр'!$N$15:$N25001,"{10} Долгосрочная",'60,62,63,76_контр'!$AY$15:$AY25001,"-")</f>
        <v>0</v>
      </c>
      <c r="AF46" s="2654">
        <f>SUMIFS('60,62,63,76_контр'!$P$15:$P25001,'60,62,63,76_контр'!$J$15:$J25001,'76'!$C46,'60,62,63,76_контр'!$AX$15:$AX25001,'76'!$AI46,'60,62,63,76_контр'!$O$15:$O25001,'76'!$E46,'60,62,63,76_контр'!$C$15:$C25001,"76",'60,62,63,76_контр'!$N$15:$N25001,"{20} Краткосрочная",'60,62,63,76_контр'!$AY$15:$AY25001,"-")</f>
        <v>0</v>
      </c>
      <c r="AG46" s="2654">
        <f>SUMIFS('60,62,63,76_контр'!$V$15:$V25001,'60,62,63,76_контр'!$J$15:$J25001,'76'!$C46,'60,62,63,76_контр'!$AX$15:$AX25001,'76'!$AI46,'60,62,63,76_контр'!$O$15:$O25001,'76'!$E46,'60,62,63,76_контр'!$C$15:$C25001,"76",'60,62,63,76_контр'!$N$15:$N25001,"{10} Долгосрочная",'60,62,63,76_контр'!$AY$15:$AY25001,"-")</f>
        <v>0</v>
      </c>
      <c r="AH46" s="2654">
        <f>SUMIFS('60,62,63,76_контр'!$V$15:$V25001,'60,62,63,76_контр'!$J$15:$J25001,'76'!$C46,'60,62,63,76_контр'!$AX$15:$AX25001,'76'!$AI46,'60,62,63,76_контр'!$O$15:$O25001,'76'!$E46,'60,62,63,76_контр'!$C$15:$C25001,"76",'60,62,63,76_контр'!$N$15:$N25001,"{20} Краткосрочная",'60,62,63,76_контр'!$AY$15:$AY25001,"-")</f>
        <v>0</v>
      </c>
      <c r="AI46" s="2266" t="str">
        <f>IFERROR(RIGHT(D46,LEN(D46)-5),"")</f>
        <v/>
      </c>
      <c r="AJ46" s="2289" t="b">
        <f t="shared" si="19"/>
        <v>1</v>
      </c>
      <c r="AK46" s="2289" t="b">
        <f t="shared" si="20"/>
        <v>1</v>
      </c>
      <c r="AL46" s="2129" t="b">
        <f t="shared" si="21"/>
        <v>1</v>
      </c>
      <c r="AM46" s="2129" t="b">
        <f t="shared" si="22"/>
        <v>1</v>
      </c>
      <c r="AP46" s="2129" t="b">
        <f t="shared" ref="AP46:AP62" si="31">IF(C46="{252026} НДС по авансам полученным",D46="{21} Дебиторская задолженность",IF(C46="{252073} НДС с авансов, выданных по капитальному строительству (перерасчетный)",D46="{11} Кредиторская задолженность",IF(C46="{252029} НДС по авансам выданным (перерасчетный) без капитального строительства",D46="{11} Кредиторская задолженность",IF(C46="{252025} НДС по авансам выданным (предварит) без кап строительства",D46="{21} Дебиторская задолженность",IF(C46="{252072} НДС с авансов, выданных по капитальному строительству (предварит)",D46="{21} Дебиторская задолженность",IF(C46="{252014} Расчеты с Агентами (Комиссионерами) по агентскому вознаграждению",OR(D46="{11} Кредиторская задолженность",D46="{12} Авансы выданные"),IF(C46="{252017} Расчеты с Комитентами (Принципалами) по агентскому вознаграждению",OR(D46="{21} Дебиторская задолженность",D46="{22} Авансы полученные"),IF(C46="{252012} Расчеты с Агентами (Комиссионерами) по возмещению понесенных затрат при продаже продукции (работ, услуг) Комитента (Принципала)",OR(D46="{11} Кредиторская задолженность",D46="{12} Авансы выданные"),IF(C46="{252071}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средств",OR(D46="{11} Кредиторская задолженность",D46="{12} Авансы выданные"),IF(C46="{252019} Расчеты с Комитентами (Принципалами) по возмещению понесенных затрат при продаже продукции (работ, услуг) Комитента (Принципала)",OR(D46="{21} Дебиторская задолженность",D46="{22} Авансы полученные"),TRUE))))))))))</f>
        <v>1</v>
      </c>
      <c r="AQ46" s="2129" t="b">
        <f>IF(Содержание!$D$12="тыс. рублей",IF(AND(E46="{RUB} Российские рубли",P46&lt;&gt;0),FALSE,TRUE),TRUE)</f>
        <v>1</v>
      </c>
      <c r="AR46" s="2129" t="b">
        <f t="shared" ref="AR46:AR62" si="32">IF(COUNTBLANK(F46:W46)=13,TRUE,C46&lt;&gt;"")</f>
        <v>1</v>
      </c>
      <c r="AS46" s="2129" t="b">
        <f t="shared" si="23"/>
        <v>1</v>
      </c>
      <c r="AT46" s="3558" t="b">
        <f t="shared" ref="AT46:AT74" si="33">IF(C46="",TRUE,IF(C46=$AT$8,OR(D46=$AA$47,D46=$AA$48),IF(C46=$AT$9,D46=$AA$45,IF(C46=$AT$10,OR(D46=$AA$46,D46=$AA$45),IF(C46=$AT$11,D46=$AA$47,IF(C46=$AT$12,OR(D46=$AA$46,D46=$AA$45),IF(C46=$AT$13,D46=$AA$47,IF(C46=$AT$14,D46=$AA$47,TRUE))))))))</f>
        <v>1</v>
      </c>
      <c r="AV46" s="3559"/>
    </row>
    <row r="47" spans="1:49">
      <c r="A47" s="9" t="str">
        <f t="shared" si="16"/>
        <v>R1=;R7=;R2=;R35=100;COM=</v>
      </c>
      <c r="B47" s="601"/>
      <c r="C47" s="1331"/>
      <c r="D47" s="909"/>
      <c r="E47" s="1339"/>
      <c r="F47" s="1335"/>
      <c r="G47" s="1335"/>
      <c r="H47" s="1335"/>
      <c r="I47" s="1335"/>
      <c r="J47" s="1775">
        <f t="shared" si="24"/>
        <v>0</v>
      </c>
      <c r="K47" s="1775">
        <f t="shared" si="25"/>
        <v>0</v>
      </c>
      <c r="L47" s="1335"/>
      <c r="M47" s="1335"/>
      <c r="N47" s="1335"/>
      <c r="O47" s="1335"/>
      <c r="P47" s="1338"/>
      <c r="Q47" s="1335"/>
      <c r="R47" s="1335"/>
      <c r="S47" s="1332">
        <f t="shared" ref="S47:S56" si="34">SUM(F47:G47,L47:Q47)-R47</f>
        <v>0</v>
      </c>
      <c r="T47" s="1335"/>
      <c r="U47" s="1509"/>
      <c r="V47" s="1775">
        <f t="shared" si="17"/>
        <v>0</v>
      </c>
      <c r="W47" s="1775">
        <f t="shared" ref="W47:W56" si="35">S47-U47</f>
        <v>0</v>
      </c>
      <c r="X47" s="1336"/>
      <c r="Y47" s="3557" t="b">
        <f t="shared" si="26"/>
        <v>1</v>
      </c>
      <c r="Z47" s="2065" t="b">
        <f t="shared" si="27"/>
        <v>1</v>
      </c>
      <c r="AA47" s="1911" t="s">
        <v>5443</v>
      </c>
      <c r="AB47" s="2065" t="b">
        <f t="shared" si="28"/>
        <v>1</v>
      </c>
      <c r="AC47" s="2065" t="b">
        <f t="shared" si="29"/>
        <v>1</v>
      </c>
      <c r="AD47" s="2130" t="b">
        <f t="shared" si="30"/>
        <v>1</v>
      </c>
      <c r="AE47" s="2654">
        <f>SUMIFS('60,62,63,76_контр'!$P$15:$P25002,'60,62,63,76_контр'!$J$15:$J25002,'76'!$C47,'60,62,63,76_контр'!$AX$15:$AX25002,'76'!$AI47,'60,62,63,76_контр'!$O$15:$O25002,'76'!$E47,'60,62,63,76_контр'!$C$15:$C25002,"76",'60,62,63,76_контр'!$N$15:$N25002,"{10} Долгосрочная",'60,62,63,76_контр'!$AY$15:$AY25002,"-")</f>
        <v>0</v>
      </c>
      <c r="AF47" s="2654">
        <f>SUMIFS('60,62,63,76_контр'!$P$15:$P25002,'60,62,63,76_контр'!$J$15:$J25002,'76'!$C47,'60,62,63,76_контр'!$AX$15:$AX25002,'76'!$AI47,'60,62,63,76_контр'!$O$15:$O25002,'76'!$E47,'60,62,63,76_контр'!$C$15:$C25002,"76",'60,62,63,76_контр'!$N$15:$N25002,"{20} Краткосрочная",'60,62,63,76_контр'!$AY$15:$AY25002,"-")</f>
        <v>0</v>
      </c>
      <c r="AG47" s="2654">
        <f>SUMIFS('60,62,63,76_контр'!$V$15:$V25002,'60,62,63,76_контр'!$J$15:$J25002,'76'!$C47,'60,62,63,76_контр'!$AX$15:$AX25002,'76'!$AI47,'60,62,63,76_контр'!$O$15:$O25002,'76'!$E47,'60,62,63,76_контр'!$C$15:$C25002,"76",'60,62,63,76_контр'!$N$15:$N25002,"{10} Долгосрочная",'60,62,63,76_контр'!$AY$15:$AY25002,"-")</f>
        <v>0</v>
      </c>
      <c r="AH47" s="2654">
        <f>SUMIFS('60,62,63,76_контр'!$V$15:$V25002,'60,62,63,76_контр'!$J$15:$J25002,'76'!$C47,'60,62,63,76_контр'!$AX$15:$AX25002,'76'!$AI47,'60,62,63,76_контр'!$O$15:$O25002,'76'!$E47,'60,62,63,76_контр'!$C$15:$C25002,"76",'60,62,63,76_контр'!$N$15:$N25002,"{20} Краткосрочная",'60,62,63,76_контр'!$AY$15:$AY25002,"-")</f>
        <v>0</v>
      </c>
      <c r="AI47" s="2266" t="str">
        <f t="shared" si="18"/>
        <v/>
      </c>
      <c r="AJ47" s="2289" t="b">
        <f t="shared" si="19"/>
        <v>1</v>
      </c>
      <c r="AK47" s="2289" t="b">
        <f t="shared" si="20"/>
        <v>1</v>
      </c>
      <c r="AL47" s="2129" t="b">
        <f t="shared" si="21"/>
        <v>1</v>
      </c>
      <c r="AM47" s="2129" t="b">
        <f t="shared" si="22"/>
        <v>1</v>
      </c>
      <c r="AP47" s="2129" t="b">
        <f t="shared" si="31"/>
        <v>1</v>
      </c>
      <c r="AQ47" s="2129" t="b">
        <f>IF(Содержание!$D$12="тыс. рублей",IF(AND(E47="{RUB} Российские рубли",P47&lt;&gt;0),FALSE,TRUE),TRUE)</f>
        <v>1</v>
      </c>
      <c r="AR47" s="2129" t="b">
        <f t="shared" si="32"/>
        <v>1</v>
      </c>
      <c r="AS47" s="2129" t="b">
        <f t="shared" si="23"/>
        <v>1</v>
      </c>
      <c r="AT47" s="3558" t="b">
        <f t="shared" si="33"/>
        <v>1</v>
      </c>
    </row>
    <row r="48" spans="1:49">
      <c r="A48" s="9" t="str">
        <f t="shared" si="16"/>
        <v>R1=;R7=;R2=;R35=100;COM=</v>
      </c>
      <c r="B48" s="601"/>
      <c r="C48" s="1331"/>
      <c r="D48" s="909"/>
      <c r="E48" s="1339"/>
      <c r="F48" s="1335"/>
      <c r="G48" s="1335"/>
      <c r="H48" s="1335"/>
      <c r="I48" s="1335"/>
      <c r="J48" s="1775">
        <f t="shared" si="24"/>
        <v>0</v>
      </c>
      <c r="K48" s="1775">
        <f t="shared" si="25"/>
        <v>0</v>
      </c>
      <c r="L48" s="1335"/>
      <c r="M48" s="1335"/>
      <c r="N48" s="1335"/>
      <c r="O48" s="1335"/>
      <c r="P48" s="1338"/>
      <c r="Q48" s="1335"/>
      <c r="R48" s="1335"/>
      <c r="S48" s="1332">
        <f>SUM(F48:G48,L48:Q48)-R48</f>
        <v>0</v>
      </c>
      <c r="T48" s="1335"/>
      <c r="U48" s="1509"/>
      <c r="V48" s="1775">
        <f>R48-T48</f>
        <v>0</v>
      </c>
      <c r="W48" s="1775">
        <f t="shared" si="35"/>
        <v>0</v>
      </c>
      <c r="X48" s="1336"/>
      <c r="Y48" s="3557" t="b">
        <f t="shared" si="26"/>
        <v>1</v>
      </c>
      <c r="Z48" s="2065" t="b">
        <f t="shared" si="27"/>
        <v>1</v>
      </c>
      <c r="AA48" s="1911" t="s">
        <v>5445</v>
      </c>
      <c r="AB48" s="2065" t="b">
        <f>AND(IF(C48=$C$11,FALSE,TRUE),IF(C48=$C$13,FALSE,TRUE),IF(C48=$C$16,FALSE,TRUE),IF(C48=$C$17,FALSE,TRUE),IF(C48=$C$18,FALSE,TRUE))</f>
        <v>1</v>
      </c>
      <c r="AC48" s="2065" t="b">
        <f t="shared" si="29"/>
        <v>1</v>
      </c>
      <c r="AD48" s="2130" t="b">
        <f t="shared" si="30"/>
        <v>1</v>
      </c>
      <c r="AE48" s="2654">
        <f>SUMIFS('60,62,63,76_контр'!$P$15:$P25003,'60,62,63,76_контр'!$J$15:$J25003,'76'!$C48,'60,62,63,76_контр'!$AX$15:$AX25003,'76'!$AI48,'60,62,63,76_контр'!$O$15:$O25003,'76'!$E48,'60,62,63,76_контр'!$C$15:$C25003,"76",'60,62,63,76_контр'!$N$15:$N25003,"{10} Долгосрочная",'60,62,63,76_контр'!$AY$15:$AY25003,"-")</f>
        <v>0</v>
      </c>
      <c r="AF48" s="2654">
        <f>SUMIFS('60,62,63,76_контр'!$P$15:$P25003,'60,62,63,76_контр'!$J$15:$J25003,'76'!$C48,'60,62,63,76_контр'!$AX$15:$AX25003,'76'!$AI48,'60,62,63,76_контр'!$O$15:$O25003,'76'!$E48,'60,62,63,76_контр'!$C$15:$C25003,"76",'60,62,63,76_контр'!$N$15:$N25003,"{20} Краткосрочная",'60,62,63,76_контр'!$AY$15:$AY25003,"-")</f>
        <v>0</v>
      </c>
      <c r="AG48" s="2654">
        <f>SUMIFS('60,62,63,76_контр'!$V$15:$V25003,'60,62,63,76_контр'!$J$15:$J25003,'76'!$C48,'60,62,63,76_контр'!$AX$15:$AX25003,'76'!$AI48,'60,62,63,76_контр'!$O$15:$O25003,'76'!$E48,'60,62,63,76_контр'!$C$15:$C25003,"76",'60,62,63,76_контр'!$N$15:$N25003,"{10} Долгосрочная",'60,62,63,76_контр'!$AY$15:$AY25003,"-")</f>
        <v>0</v>
      </c>
      <c r="AH48" s="2654">
        <f>SUMIFS('60,62,63,76_контр'!$V$15:$V25003,'60,62,63,76_контр'!$J$15:$J25003,'76'!$C48,'60,62,63,76_контр'!$AX$15:$AX25003,'76'!$AI48,'60,62,63,76_контр'!$O$15:$O25003,'76'!$E48,'60,62,63,76_контр'!$C$15:$C25003,"76",'60,62,63,76_контр'!$N$15:$N25003,"{20} Краткосрочная",'60,62,63,76_контр'!$AY$15:$AY25003,"-")</f>
        <v>0</v>
      </c>
      <c r="AI48" s="2266" t="str">
        <f t="shared" si="18"/>
        <v/>
      </c>
      <c r="AJ48" s="2289" t="b">
        <f t="shared" si="19"/>
        <v>1</v>
      </c>
      <c r="AK48" s="2289" t="b">
        <f t="shared" si="20"/>
        <v>1</v>
      </c>
      <c r="AL48" s="2129" t="b">
        <f t="shared" si="21"/>
        <v>1</v>
      </c>
      <c r="AM48" s="2129" t="b">
        <f t="shared" si="22"/>
        <v>1</v>
      </c>
      <c r="AP48" s="2129" t="b">
        <f t="shared" si="31"/>
        <v>1</v>
      </c>
      <c r="AQ48" s="2129" t="b">
        <f>IF(Содержание!$D$12="тыс. рублей",IF(AND(E48="{RUB} Российские рубли",P48&lt;&gt;0),FALSE,TRUE),TRUE)</f>
        <v>1</v>
      </c>
      <c r="AR48" s="2129" t="b">
        <f t="shared" si="32"/>
        <v>1</v>
      </c>
      <c r="AS48" s="2129" t="b">
        <f t="shared" si="23"/>
        <v>1</v>
      </c>
      <c r="AT48" s="3558" t="b">
        <f t="shared" si="33"/>
        <v>1</v>
      </c>
    </row>
    <row r="49" spans="1:46">
      <c r="A49" s="9" t="str">
        <f t="shared" si="16"/>
        <v>R1=;R7=;R2=;R35=100;COM=</v>
      </c>
      <c r="B49" s="601"/>
      <c r="C49" s="1331"/>
      <c r="D49" s="909"/>
      <c r="E49" s="1339"/>
      <c r="F49" s="1335"/>
      <c r="G49" s="1335"/>
      <c r="H49" s="1335"/>
      <c r="I49" s="1335"/>
      <c r="J49" s="1775">
        <f t="shared" si="24"/>
        <v>0</v>
      </c>
      <c r="K49" s="1775">
        <f t="shared" si="25"/>
        <v>0</v>
      </c>
      <c r="L49" s="1335"/>
      <c r="M49" s="1335"/>
      <c r="N49" s="1335"/>
      <c r="O49" s="1335"/>
      <c r="P49" s="1338"/>
      <c r="Q49" s="1335"/>
      <c r="R49" s="1335"/>
      <c r="S49" s="1332">
        <f t="shared" si="34"/>
        <v>0</v>
      </c>
      <c r="T49" s="1335"/>
      <c r="U49" s="1509"/>
      <c r="V49" s="1775">
        <f t="shared" si="17"/>
        <v>0</v>
      </c>
      <c r="W49" s="1775">
        <f t="shared" si="35"/>
        <v>0</v>
      </c>
      <c r="X49" s="1336"/>
      <c r="Y49" s="3557" t="b">
        <f t="shared" si="26"/>
        <v>1</v>
      </c>
      <c r="Z49" s="2065" t="b">
        <f t="shared" si="27"/>
        <v>1</v>
      </c>
      <c r="AB49" s="2065" t="b">
        <f t="shared" si="28"/>
        <v>1</v>
      </c>
      <c r="AC49" s="2065" t="b">
        <f t="shared" si="29"/>
        <v>1</v>
      </c>
      <c r="AD49" s="2130" t="b">
        <f t="shared" si="30"/>
        <v>1</v>
      </c>
      <c r="AE49" s="2654">
        <f>SUMIFS('60,62,63,76_контр'!$P$15:$P25004,'60,62,63,76_контр'!$J$15:$J25004,'76'!$C49,'60,62,63,76_контр'!$AX$15:$AX25004,'76'!$AI49,'60,62,63,76_контр'!$O$15:$O25004,'76'!$E49,'60,62,63,76_контр'!$C$15:$C25004,"76",'60,62,63,76_контр'!$N$15:$N25004,"{10} Долгосрочная",'60,62,63,76_контр'!$AY$15:$AY25004,"-")</f>
        <v>0</v>
      </c>
      <c r="AF49" s="2654">
        <f>SUMIFS('60,62,63,76_контр'!$P$15:$P25004,'60,62,63,76_контр'!$J$15:$J25004,'76'!$C49,'60,62,63,76_контр'!$AX$15:$AX25004,'76'!$AI49,'60,62,63,76_контр'!$O$15:$O25004,'76'!$E49,'60,62,63,76_контр'!$C$15:$C25004,"76",'60,62,63,76_контр'!$N$15:$N25004,"{20} Краткосрочная",'60,62,63,76_контр'!$AY$15:$AY25004,"-")</f>
        <v>0</v>
      </c>
      <c r="AG49" s="2654">
        <f>SUMIFS('60,62,63,76_контр'!$V$15:$V25004,'60,62,63,76_контр'!$J$15:$J25004,'76'!$C49,'60,62,63,76_контр'!$AX$15:$AX25004,'76'!$AI49,'60,62,63,76_контр'!$O$15:$O25004,'76'!$E49,'60,62,63,76_контр'!$C$15:$C25004,"76",'60,62,63,76_контр'!$N$15:$N25004,"{10} Долгосрочная",'60,62,63,76_контр'!$AY$15:$AY25004,"-")</f>
        <v>0</v>
      </c>
      <c r="AH49" s="2654">
        <f>SUMIFS('60,62,63,76_контр'!$V$15:$V25004,'60,62,63,76_контр'!$J$15:$J25004,'76'!$C49,'60,62,63,76_контр'!$AX$15:$AX25004,'76'!$AI49,'60,62,63,76_контр'!$O$15:$O25004,'76'!$E49,'60,62,63,76_контр'!$C$15:$C25004,"76",'60,62,63,76_контр'!$N$15:$N25004,"{20} Краткосрочная",'60,62,63,76_контр'!$AY$15:$AY25004,"-")</f>
        <v>0</v>
      </c>
      <c r="AI49" s="2266" t="str">
        <f t="shared" si="18"/>
        <v/>
      </c>
      <c r="AJ49" s="2289" t="b">
        <f t="shared" si="19"/>
        <v>1</v>
      </c>
      <c r="AK49" s="2289" t="b">
        <f t="shared" si="20"/>
        <v>1</v>
      </c>
      <c r="AL49" s="2129" t="b">
        <f t="shared" si="21"/>
        <v>1</v>
      </c>
      <c r="AM49" s="2129" t="b">
        <f t="shared" si="22"/>
        <v>1</v>
      </c>
      <c r="AP49" s="2129" t="b">
        <f t="shared" si="31"/>
        <v>1</v>
      </c>
      <c r="AQ49" s="2129" t="b">
        <f>IF(Содержание!$D$12="тыс. рублей",IF(AND(E49="{RUB} Российские рубли",P49&lt;&gt;0),FALSE,TRUE),TRUE)</f>
        <v>1</v>
      </c>
      <c r="AR49" s="2129" t="b">
        <f t="shared" si="32"/>
        <v>1</v>
      </c>
      <c r="AS49" s="2129" t="b">
        <f t="shared" si="23"/>
        <v>1</v>
      </c>
      <c r="AT49" s="3558" t="b">
        <f t="shared" si="33"/>
        <v>1</v>
      </c>
    </row>
    <row r="50" spans="1:46">
      <c r="A50" s="9" t="str">
        <f t="shared" si="16"/>
        <v>R1=;R7=;R2=;R35=100;COM=</v>
      </c>
      <c r="B50" s="601"/>
      <c r="C50" s="1331"/>
      <c r="D50" s="909"/>
      <c r="E50" s="1339"/>
      <c r="F50" s="1335"/>
      <c r="G50" s="1335"/>
      <c r="H50" s="1335"/>
      <c r="I50" s="1335"/>
      <c r="J50" s="1775">
        <f t="shared" si="24"/>
        <v>0</v>
      </c>
      <c r="K50" s="1775">
        <f t="shared" si="25"/>
        <v>0</v>
      </c>
      <c r="L50" s="1335"/>
      <c r="M50" s="1335"/>
      <c r="N50" s="1335"/>
      <c r="O50" s="1335"/>
      <c r="P50" s="1338"/>
      <c r="Q50" s="1335"/>
      <c r="R50" s="1335"/>
      <c r="S50" s="1332">
        <f t="shared" si="34"/>
        <v>0</v>
      </c>
      <c r="T50" s="1335"/>
      <c r="U50" s="1509"/>
      <c r="V50" s="1775">
        <f t="shared" si="17"/>
        <v>0</v>
      </c>
      <c r="W50" s="1775">
        <f t="shared" si="35"/>
        <v>0</v>
      </c>
      <c r="X50" s="1336"/>
      <c r="Y50" s="3557" t="b">
        <f t="shared" si="26"/>
        <v>1</v>
      </c>
      <c r="Z50" s="2065" t="b">
        <f t="shared" si="27"/>
        <v>1</v>
      </c>
      <c r="AB50" s="2065" t="b">
        <f t="shared" si="28"/>
        <v>1</v>
      </c>
      <c r="AC50" s="2065" t="b">
        <f t="shared" si="29"/>
        <v>1</v>
      </c>
      <c r="AD50" s="2130" t="b">
        <f t="shared" si="30"/>
        <v>1</v>
      </c>
      <c r="AE50" s="2654">
        <f>SUMIFS('60,62,63,76_контр'!$P$15:$P25005,'60,62,63,76_контр'!$J$15:$J25005,'76'!$C50,'60,62,63,76_контр'!$AX$15:$AX25005,'76'!$AI50,'60,62,63,76_контр'!$O$15:$O25005,'76'!$E50,'60,62,63,76_контр'!$C$15:$C25005,"76",'60,62,63,76_контр'!$N$15:$N25005,"{10} Долгосрочная",'60,62,63,76_контр'!$AY$15:$AY25005,"-")</f>
        <v>0</v>
      </c>
      <c r="AF50" s="2654">
        <f>SUMIFS('60,62,63,76_контр'!$P$15:$P25005,'60,62,63,76_контр'!$J$15:$J25005,'76'!$C50,'60,62,63,76_контр'!$AX$15:$AX25005,'76'!$AI50,'60,62,63,76_контр'!$O$15:$O25005,'76'!$E50,'60,62,63,76_контр'!$C$15:$C25005,"76",'60,62,63,76_контр'!$N$15:$N25005,"{20} Краткосрочная",'60,62,63,76_контр'!$AY$15:$AY25005,"-")</f>
        <v>0</v>
      </c>
      <c r="AG50" s="2654">
        <f>SUMIFS('60,62,63,76_контр'!$V$15:$V25005,'60,62,63,76_контр'!$J$15:$J25005,'76'!$C50,'60,62,63,76_контр'!$AX$15:$AX25005,'76'!$AI50,'60,62,63,76_контр'!$O$15:$O25005,'76'!$E50,'60,62,63,76_контр'!$C$15:$C25005,"76",'60,62,63,76_контр'!$N$15:$N25005,"{10} Долгосрочная",'60,62,63,76_контр'!$AY$15:$AY25005,"-")</f>
        <v>0</v>
      </c>
      <c r="AH50" s="2654">
        <f>SUMIFS('60,62,63,76_контр'!$V$15:$V25005,'60,62,63,76_контр'!$J$15:$J25005,'76'!$C50,'60,62,63,76_контр'!$AX$15:$AX25005,'76'!$AI50,'60,62,63,76_контр'!$O$15:$O25005,'76'!$E50,'60,62,63,76_контр'!$C$15:$C25005,"76",'60,62,63,76_контр'!$N$15:$N25005,"{20} Краткосрочная",'60,62,63,76_контр'!$AY$15:$AY25005,"-")</f>
        <v>0</v>
      </c>
      <c r="AI50" s="2266" t="str">
        <f t="shared" si="18"/>
        <v/>
      </c>
      <c r="AJ50" s="2289" t="b">
        <f t="shared" si="19"/>
        <v>1</v>
      </c>
      <c r="AK50" s="2289" t="b">
        <f t="shared" si="20"/>
        <v>1</v>
      </c>
      <c r="AL50" s="2129" t="b">
        <f t="shared" si="21"/>
        <v>1</v>
      </c>
      <c r="AM50" s="2129" t="b">
        <f t="shared" si="22"/>
        <v>1</v>
      </c>
      <c r="AP50" s="2129" t="b">
        <f t="shared" si="31"/>
        <v>1</v>
      </c>
      <c r="AQ50" s="2129" t="b">
        <f>IF(Содержание!$D$12="тыс. рублей",IF(AND(E50="{RUB} Российские рубли",P50&lt;&gt;0),FALSE,TRUE),TRUE)</f>
        <v>1</v>
      </c>
      <c r="AR50" s="2129" t="b">
        <f t="shared" si="32"/>
        <v>1</v>
      </c>
      <c r="AS50" s="2129" t="b">
        <f t="shared" si="23"/>
        <v>1</v>
      </c>
      <c r="AT50" s="3558" t="b">
        <f t="shared" si="33"/>
        <v>1</v>
      </c>
    </row>
    <row r="51" spans="1:46">
      <c r="A51" s="9" t="str">
        <f t="shared" si="16"/>
        <v>R1=;R7=;R2=;R35=100;COM=</v>
      </c>
      <c r="B51" s="601"/>
      <c r="C51" s="1331"/>
      <c r="D51" s="909"/>
      <c r="E51" s="1339"/>
      <c r="F51" s="1335"/>
      <c r="G51" s="1335"/>
      <c r="H51" s="1335"/>
      <c r="I51" s="1335"/>
      <c r="J51" s="1775">
        <f t="shared" si="24"/>
        <v>0</v>
      </c>
      <c r="K51" s="1775">
        <f t="shared" si="25"/>
        <v>0</v>
      </c>
      <c r="L51" s="1335"/>
      <c r="M51" s="1335"/>
      <c r="N51" s="1335"/>
      <c r="O51" s="1335"/>
      <c r="P51" s="1338"/>
      <c r="Q51" s="1335"/>
      <c r="R51" s="1335"/>
      <c r="S51" s="1332">
        <f t="shared" si="34"/>
        <v>0</v>
      </c>
      <c r="T51" s="1335"/>
      <c r="U51" s="1509"/>
      <c r="V51" s="1775">
        <f t="shared" si="17"/>
        <v>0</v>
      </c>
      <c r="W51" s="1775">
        <f t="shared" si="35"/>
        <v>0</v>
      </c>
      <c r="X51" s="1336"/>
      <c r="Y51" s="3557" t="b">
        <f t="shared" si="26"/>
        <v>1</v>
      </c>
      <c r="Z51" s="2065" t="b">
        <f t="shared" si="27"/>
        <v>1</v>
      </c>
      <c r="AB51" s="2065" t="b">
        <f t="shared" si="28"/>
        <v>1</v>
      </c>
      <c r="AC51" s="2065" t="b">
        <f t="shared" si="29"/>
        <v>1</v>
      </c>
      <c r="AD51" s="2130" t="b">
        <f t="shared" si="30"/>
        <v>1</v>
      </c>
      <c r="AE51" s="2654">
        <f>SUMIFS('60,62,63,76_контр'!$P$15:$P25006,'60,62,63,76_контр'!$J$15:$J25006,'76'!$C51,'60,62,63,76_контр'!$AX$15:$AX25006,'76'!$AI51,'60,62,63,76_контр'!$O$15:$O25006,'76'!$E51,'60,62,63,76_контр'!$C$15:$C25006,"76",'60,62,63,76_контр'!$N$15:$N25006,"{10} Долгосрочная",'60,62,63,76_контр'!$AY$15:$AY25006,"-")</f>
        <v>0</v>
      </c>
      <c r="AF51" s="2654">
        <f>SUMIFS('60,62,63,76_контр'!$P$15:$P25006,'60,62,63,76_контр'!$J$15:$J25006,'76'!$C51,'60,62,63,76_контр'!$AX$15:$AX25006,'76'!$AI51,'60,62,63,76_контр'!$O$15:$O25006,'76'!$E51,'60,62,63,76_контр'!$C$15:$C25006,"76",'60,62,63,76_контр'!$N$15:$N25006,"{20} Краткосрочная",'60,62,63,76_контр'!$AY$15:$AY25006,"-")</f>
        <v>0</v>
      </c>
      <c r="AG51" s="2654">
        <f>SUMIFS('60,62,63,76_контр'!$V$15:$V25006,'60,62,63,76_контр'!$J$15:$J25006,'76'!$C51,'60,62,63,76_контр'!$AX$15:$AX25006,'76'!$AI51,'60,62,63,76_контр'!$O$15:$O25006,'76'!$E51,'60,62,63,76_контр'!$C$15:$C25006,"76",'60,62,63,76_контр'!$N$15:$N25006,"{10} Долгосрочная",'60,62,63,76_контр'!$AY$15:$AY25006,"-")</f>
        <v>0</v>
      </c>
      <c r="AH51" s="2654">
        <f>SUMIFS('60,62,63,76_контр'!$V$15:$V25006,'60,62,63,76_контр'!$J$15:$J25006,'76'!$C51,'60,62,63,76_контр'!$AX$15:$AX25006,'76'!$AI51,'60,62,63,76_контр'!$O$15:$O25006,'76'!$E51,'60,62,63,76_контр'!$C$15:$C25006,"76",'60,62,63,76_контр'!$N$15:$N25006,"{20} Краткосрочная",'60,62,63,76_контр'!$AY$15:$AY25006,"-")</f>
        <v>0</v>
      </c>
      <c r="AI51" s="2266" t="str">
        <f t="shared" si="18"/>
        <v/>
      </c>
      <c r="AJ51" s="2289" t="b">
        <f t="shared" si="19"/>
        <v>1</v>
      </c>
      <c r="AK51" s="2289" t="b">
        <f t="shared" si="20"/>
        <v>1</v>
      </c>
      <c r="AL51" s="2129" t="b">
        <f t="shared" si="21"/>
        <v>1</v>
      </c>
      <c r="AM51" s="2129" t="b">
        <f t="shared" si="22"/>
        <v>1</v>
      </c>
      <c r="AP51" s="2129" t="b">
        <f t="shared" si="31"/>
        <v>1</v>
      </c>
      <c r="AQ51" s="2129" t="b">
        <f>IF(Содержание!$D$12="тыс. рублей",IF(AND(E51="{RUB} Российские рубли",P51&lt;&gt;0),FALSE,TRUE),TRUE)</f>
        <v>1</v>
      </c>
      <c r="AR51" s="2129" t="b">
        <f t="shared" si="32"/>
        <v>1</v>
      </c>
      <c r="AS51" s="2129" t="b">
        <f t="shared" si="23"/>
        <v>1</v>
      </c>
      <c r="AT51" s="3558" t="b">
        <f t="shared" si="33"/>
        <v>1</v>
      </c>
    </row>
    <row r="52" spans="1:46">
      <c r="A52" s="9" t="str">
        <f t="shared" si="16"/>
        <v>R1=;R7=;R2=;R35=100;COM=</v>
      </c>
      <c r="B52" s="601"/>
      <c r="C52" s="1331"/>
      <c r="D52" s="909"/>
      <c r="E52" s="1339"/>
      <c r="F52" s="1335"/>
      <c r="G52" s="1335"/>
      <c r="H52" s="1335"/>
      <c r="I52" s="1335"/>
      <c r="J52" s="1775">
        <f t="shared" si="24"/>
        <v>0</v>
      </c>
      <c r="K52" s="1775">
        <f t="shared" si="25"/>
        <v>0</v>
      </c>
      <c r="L52" s="1335"/>
      <c r="M52" s="1335"/>
      <c r="N52" s="1335"/>
      <c r="O52" s="1335"/>
      <c r="P52" s="1338"/>
      <c r="Q52" s="1335"/>
      <c r="R52" s="1335"/>
      <c r="S52" s="1332">
        <f t="shared" si="34"/>
        <v>0</v>
      </c>
      <c r="T52" s="1335"/>
      <c r="U52" s="1509"/>
      <c r="V52" s="1775">
        <f t="shared" si="17"/>
        <v>0</v>
      </c>
      <c r="W52" s="1775">
        <f t="shared" si="35"/>
        <v>0</v>
      </c>
      <c r="X52" s="1336"/>
      <c r="Y52" s="3557" t="b">
        <f t="shared" si="26"/>
        <v>1</v>
      </c>
      <c r="Z52" s="2065" t="b">
        <f t="shared" si="27"/>
        <v>1</v>
      </c>
      <c r="AB52" s="2065" t="b">
        <f t="shared" si="28"/>
        <v>1</v>
      </c>
      <c r="AC52" s="2065" t="b">
        <f t="shared" si="29"/>
        <v>1</v>
      </c>
      <c r="AD52" s="2130" t="b">
        <f t="shared" si="30"/>
        <v>1</v>
      </c>
      <c r="AE52" s="2654">
        <f>SUMIFS('60,62,63,76_контр'!$P$15:$P25007,'60,62,63,76_контр'!$J$15:$J25007,'76'!$C52,'60,62,63,76_контр'!$AX$15:$AX25007,'76'!$AI52,'60,62,63,76_контр'!$O$15:$O25007,'76'!$E52,'60,62,63,76_контр'!$C$15:$C25007,"76",'60,62,63,76_контр'!$N$15:$N25007,"{10} Долгосрочная",'60,62,63,76_контр'!$AY$15:$AY25007,"-")</f>
        <v>0</v>
      </c>
      <c r="AF52" s="2654">
        <f>SUMIFS('60,62,63,76_контр'!$P$15:$P25007,'60,62,63,76_контр'!$J$15:$J25007,'76'!$C52,'60,62,63,76_контр'!$AX$15:$AX25007,'76'!$AI52,'60,62,63,76_контр'!$O$15:$O25007,'76'!$E52,'60,62,63,76_контр'!$C$15:$C25007,"76",'60,62,63,76_контр'!$N$15:$N25007,"{20} Краткосрочная",'60,62,63,76_контр'!$AY$15:$AY25007,"-")</f>
        <v>0</v>
      </c>
      <c r="AG52" s="2654">
        <f>SUMIFS('60,62,63,76_контр'!$V$15:$V25007,'60,62,63,76_контр'!$J$15:$J25007,'76'!$C52,'60,62,63,76_контр'!$AX$15:$AX25007,'76'!$AI52,'60,62,63,76_контр'!$O$15:$O25007,'76'!$E52,'60,62,63,76_контр'!$C$15:$C25007,"76",'60,62,63,76_контр'!$N$15:$N25007,"{10} Долгосрочная",'60,62,63,76_контр'!$AY$15:$AY25007,"-")</f>
        <v>0</v>
      </c>
      <c r="AH52" s="2654">
        <f>SUMIFS('60,62,63,76_контр'!$V$15:$V25007,'60,62,63,76_контр'!$J$15:$J25007,'76'!$C52,'60,62,63,76_контр'!$AX$15:$AX25007,'76'!$AI52,'60,62,63,76_контр'!$O$15:$O25007,'76'!$E52,'60,62,63,76_контр'!$C$15:$C25007,"76",'60,62,63,76_контр'!$N$15:$N25007,"{20} Краткосрочная",'60,62,63,76_контр'!$AY$15:$AY25007,"-")</f>
        <v>0</v>
      </c>
      <c r="AI52" s="2266" t="str">
        <f t="shared" si="18"/>
        <v/>
      </c>
      <c r="AJ52" s="2289" t="b">
        <f t="shared" si="19"/>
        <v>1</v>
      </c>
      <c r="AK52" s="2289" t="b">
        <f t="shared" si="20"/>
        <v>1</v>
      </c>
      <c r="AL52" s="2129" t="b">
        <f t="shared" si="21"/>
        <v>1</v>
      </c>
      <c r="AM52" s="2129" t="b">
        <f t="shared" si="22"/>
        <v>1</v>
      </c>
      <c r="AP52" s="2129" t="b">
        <f t="shared" si="31"/>
        <v>1</v>
      </c>
      <c r="AQ52" s="2129" t="b">
        <f>IF(Содержание!$D$12="тыс. рублей",IF(AND(E52="{RUB} Российские рубли",P52&lt;&gt;0),FALSE,TRUE),TRUE)</f>
        <v>1</v>
      </c>
      <c r="AR52" s="2129" t="b">
        <f t="shared" si="32"/>
        <v>1</v>
      </c>
      <c r="AS52" s="2129" t="b">
        <f t="shared" si="23"/>
        <v>1</v>
      </c>
      <c r="AT52" s="3558" t="b">
        <f t="shared" si="33"/>
        <v>1</v>
      </c>
    </row>
    <row r="53" spans="1:46">
      <c r="A53" s="9" t="str">
        <f t="shared" si="16"/>
        <v>R1=;R7=;R2=;R35=100;COM=</v>
      </c>
      <c r="B53" s="601"/>
      <c r="C53" s="1331"/>
      <c r="D53" s="909"/>
      <c r="E53" s="1339"/>
      <c r="F53" s="1335"/>
      <c r="G53" s="1335"/>
      <c r="H53" s="1335"/>
      <c r="I53" s="1335"/>
      <c r="J53" s="1775">
        <f t="shared" si="24"/>
        <v>0</v>
      </c>
      <c r="K53" s="1775">
        <f t="shared" si="25"/>
        <v>0</v>
      </c>
      <c r="L53" s="1335"/>
      <c r="M53" s="1335"/>
      <c r="N53" s="1335"/>
      <c r="O53" s="1335"/>
      <c r="P53" s="1338"/>
      <c r="Q53" s="1335"/>
      <c r="R53" s="1335"/>
      <c r="S53" s="1332">
        <f t="shared" si="34"/>
        <v>0</v>
      </c>
      <c r="T53" s="1335"/>
      <c r="U53" s="1509"/>
      <c r="V53" s="1775">
        <f t="shared" si="17"/>
        <v>0</v>
      </c>
      <c r="W53" s="1775">
        <f t="shared" si="35"/>
        <v>0</v>
      </c>
      <c r="X53" s="1336"/>
      <c r="Y53" s="3557" t="b">
        <f t="shared" si="26"/>
        <v>1</v>
      </c>
      <c r="Z53" s="2065" t="b">
        <f t="shared" si="27"/>
        <v>1</v>
      </c>
      <c r="AB53" s="2065" t="b">
        <f>AND(IF(C53=$C$11,FALSE,TRUE),IF(C53=$C$13,FALSE,TRUE),IF(C53=$C$16,FALSE,TRUE),IF(C53=$C$17,FALSE,TRUE),IF(C53=$C$18,FALSE,TRUE))</f>
        <v>1</v>
      </c>
      <c r="AC53" s="2065" t="b">
        <f t="shared" si="29"/>
        <v>1</v>
      </c>
      <c r="AD53" s="2130" t="b">
        <f t="shared" si="30"/>
        <v>1</v>
      </c>
      <c r="AE53" s="2654">
        <f>SUMIFS('60,62,63,76_контр'!$P$15:$P25008,'60,62,63,76_контр'!$J$15:$J25008,'76'!$C53,'60,62,63,76_контр'!$AX$15:$AX25008,'76'!$AI53,'60,62,63,76_контр'!$O$15:$O25008,'76'!$E53,'60,62,63,76_контр'!$C$15:$C25008,"76",'60,62,63,76_контр'!$N$15:$N25008,"{10} Долгосрочная",'60,62,63,76_контр'!$AY$15:$AY25008,"-")</f>
        <v>0</v>
      </c>
      <c r="AF53" s="2654">
        <f>SUMIFS('60,62,63,76_контр'!$P$15:$P25008,'60,62,63,76_контр'!$J$15:$J25008,'76'!$C53,'60,62,63,76_контр'!$AX$15:$AX25008,'76'!$AI53,'60,62,63,76_контр'!$O$15:$O25008,'76'!$E53,'60,62,63,76_контр'!$C$15:$C25008,"76",'60,62,63,76_контр'!$N$15:$N25008,"{20} Краткосрочная",'60,62,63,76_контр'!$AY$15:$AY25008,"-")</f>
        <v>0</v>
      </c>
      <c r="AG53" s="2654">
        <f>SUMIFS('60,62,63,76_контр'!$V$15:$V25008,'60,62,63,76_контр'!$J$15:$J25008,'76'!$C53,'60,62,63,76_контр'!$AX$15:$AX25008,'76'!$AI53,'60,62,63,76_контр'!$O$15:$O25008,'76'!$E53,'60,62,63,76_контр'!$C$15:$C25008,"76",'60,62,63,76_контр'!$N$15:$N25008,"{10} Долгосрочная",'60,62,63,76_контр'!$AY$15:$AY25008,"-")</f>
        <v>0</v>
      </c>
      <c r="AH53" s="2654">
        <f>SUMIFS('60,62,63,76_контр'!$V$15:$V25008,'60,62,63,76_контр'!$J$15:$J25008,'76'!$C53,'60,62,63,76_контр'!$AX$15:$AX25008,'76'!$AI53,'60,62,63,76_контр'!$O$15:$O25008,'76'!$E53,'60,62,63,76_контр'!$C$15:$C25008,"76",'60,62,63,76_контр'!$N$15:$N25008,"{20} Краткосрочная",'60,62,63,76_контр'!$AY$15:$AY25008,"-")</f>
        <v>0</v>
      </c>
      <c r="AI53" s="2266" t="str">
        <f t="shared" si="18"/>
        <v/>
      </c>
      <c r="AJ53" s="2289" t="b">
        <f t="shared" si="19"/>
        <v>1</v>
      </c>
      <c r="AK53" s="2289" t="b">
        <f t="shared" si="20"/>
        <v>1</v>
      </c>
      <c r="AL53" s="2129" t="b">
        <f t="shared" si="21"/>
        <v>1</v>
      </c>
      <c r="AM53" s="2129" t="b">
        <f t="shared" si="22"/>
        <v>1</v>
      </c>
      <c r="AP53" s="2129" t="b">
        <f t="shared" si="31"/>
        <v>1</v>
      </c>
      <c r="AQ53" s="2129" t="b">
        <f>IF(Содержание!$D$12="тыс. рублей",IF(AND(E53="{RUB} Российские рубли",P53&lt;&gt;0),FALSE,TRUE),TRUE)</f>
        <v>1</v>
      </c>
      <c r="AR53" s="2129" t="b">
        <f t="shared" si="32"/>
        <v>1</v>
      </c>
      <c r="AS53" s="2129" t="b">
        <f t="shared" si="23"/>
        <v>1</v>
      </c>
      <c r="AT53" s="3558" t="b">
        <f t="shared" si="33"/>
        <v>1</v>
      </c>
    </row>
    <row r="54" spans="1:46">
      <c r="A54" s="9" t="str">
        <f t="shared" si="16"/>
        <v>R1=;R7=;R2=;R35=100;COM=</v>
      </c>
      <c r="B54" s="601"/>
      <c r="C54" s="1331"/>
      <c r="D54" s="909"/>
      <c r="E54" s="1339"/>
      <c r="F54" s="1335"/>
      <c r="G54" s="1335"/>
      <c r="H54" s="1335"/>
      <c r="I54" s="1335"/>
      <c r="J54" s="1775">
        <f t="shared" si="24"/>
        <v>0</v>
      </c>
      <c r="K54" s="1775">
        <f t="shared" si="25"/>
        <v>0</v>
      </c>
      <c r="L54" s="1335"/>
      <c r="M54" s="1335"/>
      <c r="N54" s="1335"/>
      <c r="O54" s="1335"/>
      <c r="P54" s="1338"/>
      <c r="Q54" s="1335"/>
      <c r="R54" s="1335"/>
      <c r="S54" s="1332">
        <f t="shared" si="34"/>
        <v>0</v>
      </c>
      <c r="T54" s="1335"/>
      <c r="U54" s="1509"/>
      <c r="V54" s="1775">
        <f t="shared" si="17"/>
        <v>0</v>
      </c>
      <c r="W54" s="1775">
        <f t="shared" si="35"/>
        <v>0</v>
      </c>
      <c r="X54" s="1336"/>
      <c r="Y54" s="3557" t="b">
        <f t="shared" si="26"/>
        <v>1</v>
      </c>
      <c r="Z54" s="2065" t="b">
        <f t="shared" si="27"/>
        <v>1</v>
      </c>
      <c r="AB54" s="2065" t="b">
        <f>AND(IF(C54=$C$11,FALSE,TRUE),IF(C54=$C$13,FALSE,TRUE),IF(C54=$C$16,FALSE,TRUE),IF(C54=$C$17,FALSE,TRUE),IF(C54=$C$18,FALSE,TRUE))</f>
        <v>1</v>
      </c>
      <c r="AC54" s="2065" t="b">
        <f t="shared" si="29"/>
        <v>1</v>
      </c>
      <c r="AD54" s="2130" t="b">
        <f t="shared" si="30"/>
        <v>1</v>
      </c>
      <c r="AE54" s="2654">
        <f>SUMIFS('60,62,63,76_контр'!$P$15:$P25009,'60,62,63,76_контр'!$J$15:$J25009,'76'!$C54,'60,62,63,76_контр'!$AX$15:$AX25009,'76'!$AI54,'60,62,63,76_контр'!$O$15:$O25009,'76'!$E54,'60,62,63,76_контр'!$C$15:$C25009,"76",'60,62,63,76_контр'!$N$15:$N25009,"{10} Долгосрочная",'60,62,63,76_контр'!$AY$15:$AY25009,"-")</f>
        <v>0</v>
      </c>
      <c r="AF54" s="2654">
        <f>SUMIFS('60,62,63,76_контр'!$P$15:$P25009,'60,62,63,76_контр'!$J$15:$J25009,'76'!$C54,'60,62,63,76_контр'!$AX$15:$AX25009,'76'!$AI54,'60,62,63,76_контр'!$O$15:$O25009,'76'!$E54,'60,62,63,76_контр'!$C$15:$C25009,"76",'60,62,63,76_контр'!$N$15:$N25009,"{20} Краткосрочная",'60,62,63,76_контр'!$AY$15:$AY25009,"-")</f>
        <v>0</v>
      </c>
      <c r="AG54" s="2654">
        <f>SUMIFS('60,62,63,76_контр'!$V$15:$V25009,'60,62,63,76_контр'!$J$15:$J25009,'76'!$C54,'60,62,63,76_контр'!$AX$15:$AX25009,'76'!$AI54,'60,62,63,76_контр'!$O$15:$O25009,'76'!$E54,'60,62,63,76_контр'!$C$15:$C25009,"76",'60,62,63,76_контр'!$N$15:$N25009,"{10} Долгосрочная",'60,62,63,76_контр'!$AY$15:$AY25009,"-")</f>
        <v>0</v>
      </c>
      <c r="AH54" s="2654">
        <f>SUMIFS('60,62,63,76_контр'!$V$15:$V25009,'60,62,63,76_контр'!$J$15:$J25009,'76'!$C54,'60,62,63,76_контр'!$AX$15:$AX25009,'76'!$AI54,'60,62,63,76_контр'!$O$15:$O25009,'76'!$E54,'60,62,63,76_контр'!$C$15:$C25009,"76",'60,62,63,76_контр'!$N$15:$N25009,"{20} Краткосрочная",'60,62,63,76_контр'!$AY$15:$AY25009,"-")</f>
        <v>0</v>
      </c>
      <c r="AI54" s="2266" t="str">
        <f>IFERROR(RIGHT(D54,LEN(D54)-5),"")</f>
        <v/>
      </c>
      <c r="AJ54" s="2289" t="b">
        <f t="shared" si="19"/>
        <v>1</v>
      </c>
      <c r="AK54" s="2289" t="b">
        <f t="shared" si="20"/>
        <v>1</v>
      </c>
      <c r="AL54" s="2129" t="b">
        <f t="shared" si="21"/>
        <v>1</v>
      </c>
      <c r="AM54" s="2129" t="b">
        <f t="shared" si="22"/>
        <v>1</v>
      </c>
      <c r="AP54" s="2129" t="b">
        <f t="shared" si="31"/>
        <v>1</v>
      </c>
      <c r="AQ54" s="2129" t="b">
        <f>IF(Содержание!$D$12="тыс. рублей",IF(AND(E54="{RUB} Российские рубли",P54&lt;&gt;0),FALSE,TRUE),TRUE)</f>
        <v>1</v>
      </c>
      <c r="AR54" s="2129" t="b">
        <f t="shared" si="32"/>
        <v>1</v>
      </c>
      <c r="AS54" s="2129" t="b">
        <f t="shared" si="23"/>
        <v>1</v>
      </c>
      <c r="AT54" s="3558" t="b">
        <f t="shared" si="33"/>
        <v>1</v>
      </c>
    </row>
    <row r="55" spans="1:46">
      <c r="A55" s="9" t="str">
        <f t="shared" si="16"/>
        <v>R1=;R7=;R2=;R35=100;COM=</v>
      </c>
      <c r="B55" s="601"/>
      <c r="C55" s="1331"/>
      <c r="D55" s="909"/>
      <c r="E55" s="1339"/>
      <c r="F55" s="1335"/>
      <c r="G55" s="1335"/>
      <c r="H55" s="1335"/>
      <c r="I55" s="1335"/>
      <c r="J55" s="1775">
        <f t="shared" si="24"/>
        <v>0</v>
      </c>
      <c r="K55" s="1775">
        <f t="shared" si="25"/>
        <v>0</v>
      </c>
      <c r="L55" s="1335"/>
      <c r="M55" s="1335"/>
      <c r="N55" s="1335"/>
      <c r="O55" s="1335"/>
      <c r="P55" s="1338"/>
      <c r="Q55" s="1335"/>
      <c r="R55" s="1335"/>
      <c r="S55" s="1332">
        <f t="shared" si="34"/>
        <v>0</v>
      </c>
      <c r="T55" s="1335"/>
      <c r="U55" s="1509"/>
      <c r="V55" s="1775">
        <f t="shared" si="17"/>
        <v>0</v>
      </c>
      <c r="W55" s="1775">
        <f t="shared" si="35"/>
        <v>0</v>
      </c>
      <c r="X55" s="1336"/>
      <c r="Y55" s="3557" t="b">
        <f t="shared" si="26"/>
        <v>1</v>
      </c>
      <c r="Z55" s="2065" t="b">
        <f t="shared" si="27"/>
        <v>1</v>
      </c>
      <c r="AB55" s="2065" t="b">
        <f t="shared" si="28"/>
        <v>1</v>
      </c>
      <c r="AC55" s="2065" t="b">
        <f t="shared" si="29"/>
        <v>1</v>
      </c>
      <c r="AD55" s="2130" t="b">
        <f t="shared" si="30"/>
        <v>1</v>
      </c>
      <c r="AE55" s="2654">
        <f>SUMIFS('60,62,63,76_контр'!$P$15:$P25010,'60,62,63,76_контр'!$J$15:$J25010,'76'!$C55,'60,62,63,76_контр'!$AX$15:$AX25010,'76'!$AI55,'60,62,63,76_контр'!$O$15:$O25010,'76'!$E55,'60,62,63,76_контр'!$C$15:$C25010,"76",'60,62,63,76_контр'!$N$15:$N25010,"{10} Долгосрочная",'60,62,63,76_контр'!$AY$15:$AY25010,"-")</f>
        <v>0</v>
      </c>
      <c r="AF55" s="2654">
        <f>SUMIFS('60,62,63,76_контр'!$P$15:$P25010,'60,62,63,76_контр'!$J$15:$J25010,'76'!$C55,'60,62,63,76_контр'!$AX$15:$AX25010,'76'!$AI55,'60,62,63,76_контр'!$O$15:$O25010,'76'!$E55,'60,62,63,76_контр'!$C$15:$C25010,"76",'60,62,63,76_контр'!$N$15:$N25010,"{20} Краткосрочная",'60,62,63,76_контр'!$AY$15:$AY25010,"-")</f>
        <v>0</v>
      </c>
      <c r="AG55" s="2654">
        <f>SUMIFS('60,62,63,76_контр'!$V$15:$V25010,'60,62,63,76_контр'!$J$15:$J25010,'76'!$C55,'60,62,63,76_контр'!$AX$15:$AX25010,'76'!$AI55,'60,62,63,76_контр'!$O$15:$O25010,'76'!$E55,'60,62,63,76_контр'!$C$15:$C25010,"76",'60,62,63,76_контр'!$N$15:$N25010,"{10} Долгосрочная",'60,62,63,76_контр'!$AY$15:$AY25010,"-")</f>
        <v>0</v>
      </c>
      <c r="AH55" s="2654">
        <f>SUMIFS('60,62,63,76_контр'!$V$15:$V25010,'60,62,63,76_контр'!$J$15:$J25010,'76'!$C55,'60,62,63,76_контр'!$AX$15:$AX25010,'76'!$AI55,'60,62,63,76_контр'!$O$15:$O25010,'76'!$E55,'60,62,63,76_контр'!$C$15:$C25010,"76",'60,62,63,76_контр'!$N$15:$N25010,"{20} Краткосрочная",'60,62,63,76_контр'!$AY$15:$AY25010,"-")</f>
        <v>0</v>
      </c>
      <c r="AI55" s="2266" t="str">
        <f t="shared" si="18"/>
        <v/>
      </c>
      <c r="AJ55" s="2289" t="b">
        <f t="shared" si="19"/>
        <v>1</v>
      </c>
      <c r="AK55" s="2289" t="b">
        <f t="shared" si="20"/>
        <v>1</v>
      </c>
      <c r="AL55" s="2129" t="b">
        <f t="shared" si="21"/>
        <v>1</v>
      </c>
      <c r="AM55" s="2129" t="b">
        <f t="shared" si="22"/>
        <v>1</v>
      </c>
      <c r="AP55" s="2129" t="b">
        <f t="shared" si="31"/>
        <v>1</v>
      </c>
      <c r="AQ55" s="2129" t="b">
        <f>IF(Содержание!$D$12="тыс. рублей",IF(AND(E55="{RUB} Российские рубли",P55&lt;&gt;0),FALSE,TRUE),TRUE)</f>
        <v>1</v>
      </c>
      <c r="AR55" s="2129" t="b">
        <f t="shared" si="32"/>
        <v>1</v>
      </c>
      <c r="AS55" s="2129" t="b">
        <f t="shared" si="23"/>
        <v>1</v>
      </c>
      <c r="AT55" s="3558" t="b">
        <f t="shared" si="33"/>
        <v>1</v>
      </c>
    </row>
    <row r="56" spans="1:46">
      <c r="A56" s="9" t="str">
        <f t="shared" si="16"/>
        <v>R1=;R7=;R2=;R35=100;COM=</v>
      </c>
      <c r="B56" s="601"/>
      <c r="C56" s="1331"/>
      <c r="D56" s="909"/>
      <c r="E56" s="1339"/>
      <c r="F56" s="1335"/>
      <c r="G56" s="1335"/>
      <c r="H56" s="1335"/>
      <c r="I56" s="1335"/>
      <c r="J56" s="1775">
        <f t="shared" si="24"/>
        <v>0</v>
      </c>
      <c r="K56" s="1775">
        <f t="shared" si="25"/>
        <v>0</v>
      </c>
      <c r="L56" s="1335"/>
      <c r="M56" s="1335"/>
      <c r="N56" s="1335"/>
      <c r="O56" s="1335"/>
      <c r="P56" s="1338"/>
      <c r="Q56" s="1335"/>
      <c r="R56" s="1335"/>
      <c r="S56" s="1332">
        <f t="shared" si="34"/>
        <v>0</v>
      </c>
      <c r="T56" s="1335"/>
      <c r="U56" s="1509"/>
      <c r="V56" s="1775">
        <f t="shared" si="17"/>
        <v>0</v>
      </c>
      <c r="W56" s="1775">
        <f t="shared" si="35"/>
        <v>0</v>
      </c>
      <c r="X56" s="1336"/>
      <c r="Y56" s="3557" t="b">
        <f t="shared" si="26"/>
        <v>1</v>
      </c>
      <c r="Z56" s="2065" t="b">
        <f t="shared" si="27"/>
        <v>1</v>
      </c>
      <c r="AB56" s="2065" t="b">
        <f t="shared" si="28"/>
        <v>1</v>
      </c>
      <c r="AC56" s="2065" t="b">
        <f t="shared" si="29"/>
        <v>1</v>
      </c>
      <c r="AD56" s="2130" t="b">
        <f t="shared" si="30"/>
        <v>1</v>
      </c>
      <c r="AE56" s="2654">
        <f>SUMIFS('60,62,63,76_контр'!$P$15:$P25011,'60,62,63,76_контр'!$J$15:$J25011,'76'!$C56,'60,62,63,76_контр'!$AX$15:$AX25011,'76'!$AI56,'60,62,63,76_контр'!$O$15:$O25011,'76'!$E56,'60,62,63,76_контр'!$C$15:$C25011,"76",'60,62,63,76_контр'!$N$15:$N25011,"{10} Долгосрочная",'60,62,63,76_контр'!$AY$15:$AY25011,"-")</f>
        <v>0</v>
      </c>
      <c r="AF56" s="2654">
        <f>SUMIFS('60,62,63,76_контр'!$P$15:$P25011,'60,62,63,76_контр'!$J$15:$J25011,'76'!$C56,'60,62,63,76_контр'!$AX$15:$AX25011,'76'!$AI56,'60,62,63,76_контр'!$O$15:$O25011,'76'!$E56,'60,62,63,76_контр'!$C$15:$C25011,"76",'60,62,63,76_контр'!$N$15:$N25011,"{20} Краткосрочная",'60,62,63,76_контр'!$AY$15:$AY25011,"-")</f>
        <v>0</v>
      </c>
      <c r="AG56" s="2654">
        <f>SUMIFS('60,62,63,76_контр'!$V$15:$V25011,'60,62,63,76_контр'!$J$15:$J25011,'76'!$C56,'60,62,63,76_контр'!$AX$15:$AX25011,'76'!$AI56,'60,62,63,76_контр'!$O$15:$O25011,'76'!$E56,'60,62,63,76_контр'!$C$15:$C25011,"76",'60,62,63,76_контр'!$N$15:$N25011,"{10} Долгосрочная",'60,62,63,76_контр'!$AY$15:$AY25011,"-")</f>
        <v>0</v>
      </c>
      <c r="AH56" s="2654">
        <f>SUMIFS('60,62,63,76_контр'!$V$15:$V25011,'60,62,63,76_контр'!$J$15:$J25011,'76'!$C56,'60,62,63,76_контр'!$AX$15:$AX25011,'76'!$AI56,'60,62,63,76_контр'!$O$15:$O25011,'76'!$E56,'60,62,63,76_контр'!$C$15:$C25011,"76",'60,62,63,76_контр'!$N$15:$N25011,"{20} Краткосрочная",'60,62,63,76_контр'!$AY$15:$AY25011,"-")</f>
        <v>0</v>
      </c>
      <c r="AI56" s="2266" t="str">
        <f t="shared" si="18"/>
        <v/>
      </c>
      <c r="AJ56" s="2289" t="b">
        <f t="shared" si="19"/>
        <v>1</v>
      </c>
      <c r="AK56" s="2289" t="b">
        <f t="shared" si="20"/>
        <v>1</v>
      </c>
      <c r="AL56" s="2129" t="b">
        <f t="shared" si="21"/>
        <v>1</v>
      </c>
      <c r="AM56" s="2129" t="b">
        <f t="shared" si="22"/>
        <v>1</v>
      </c>
      <c r="AP56" s="2129" t="b">
        <f t="shared" si="31"/>
        <v>1</v>
      </c>
      <c r="AQ56" s="2129" t="b">
        <f>IF(Содержание!$D$12="тыс. рублей",IF(AND(E56="{RUB} Российские рубли",P56&lt;&gt;0),FALSE,TRUE),TRUE)</f>
        <v>1</v>
      </c>
      <c r="AR56" s="2129" t="b">
        <f t="shared" si="32"/>
        <v>1</v>
      </c>
      <c r="AS56" s="2129" t="b">
        <f t="shared" si="23"/>
        <v>1</v>
      </c>
      <c r="AT56" s="3558" t="b">
        <f t="shared" si="33"/>
        <v>1</v>
      </c>
    </row>
    <row r="57" spans="1:46">
      <c r="A57" s="9" t="str">
        <f t="shared" si="16"/>
        <v>R1=;R7=;R2=;R35=100;COM=</v>
      </c>
      <c r="B57" s="601"/>
      <c r="C57" s="1331"/>
      <c r="D57" s="909"/>
      <c r="E57" s="1339"/>
      <c r="F57" s="1335"/>
      <c r="G57" s="1335"/>
      <c r="H57" s="1335"/>
      <c r="I57" s="1335"/>
      <c r="J57" s="1775">
        <f t="shared" ref="J57" si="36">F57-H57</f>
        <v>0</v>
      </c>
      <c r="K57" s="1775">
        <f t="shared" ref="K57" si="37">G57-I57</f>
        <v>0</v>
      </c>
      <c r="L57" s="1335"/>
      <c r="M57" s="1335"/>
      <c r="N57" s="1335"/>
      <c r="O57" s="1335"/>
      <c r="P57" s="1338"/>
      <c r="Q57" s="1335"/>
      <c r="R57" s="1335"/>
      <c r="S57" s="1332">
        <f t="shared" ref="S57" si="38">SUM(F57:G57,L57:Q57)-R57</f>
        <v>0</v>
      </c>
      <c r="T57" s="1335"/>
      <c r="U57" s="1509"/>
      <c r="V57" s="1775">
        <f t="shared" ref="V57" si="39">R57-T57</f>
        <v>0</v>
      </c>
      <c r="W57" s="1775">
        <f t="shared" ref="W57" si="40">S57-U57</f>
        <v>0</v>
      </c>
      <c r="X57" s="1336"/>
      <c r="Y57" s="3557" t="b">
        <f t="shared" si="26"/>
        <v>1</v>
      </c>
      <c r="Z57" s="2065" t="b">
        <f t="shared" si="27"/>
        <v>1</v>
      </c>
      <c r="AB57" s="2065" t="b">
        <f t="shared" si="28"/>
        <v>1</v>
      </c>
      <c r="AC57" s="2065" t="b">
        <f t="shared" si="29"/>
        <v>1</v>
      </c>
      <c r="AD57" s="2130" t="b">
        <f t="shared" si="30"/>
        <v>1</v>
      </c>
      <c r="AE57" s="2654">
        <f>SUMIFS('60,62,63,76_контр'!$P$15:$P25012,'60,62,63,76_контр'!$J$15:$J25012,'76'!$C57,'60,62,63,76_контр'!$AX$15:$AX25012,'76'!$AI57,'60,62,63,76_контр'!$O$15:$O25012,'76'!$E57,'60,62,63,76_контр'!$C$15:$C25012,"76",'60,62,63,76_контр'!$N$15:$N25012,"{10} Долгосрочная",'60,62,63,76_контр'!$AY$15:$AY25012,"-")</f>
        <v>0</v>
      </c>
      <c r="AF57" s="2654">
        <f>SUMIFS('60,62,63,76_контр'!$P$15:$P25012,'60,62,63,76_контр'!$J$15:$J25012,'76'!$C57,'60,62,63,76_контр'!$AX$15:$AX25012,'76'!$AI57,'60,62,63,76_контр'!$O$15:$O25012,'76'!$E57,'60,62,63,76_контр'!$C$15:$C25012,"76",'60,62,63,76_контр'!$N$15:$N25012,"{20} Краткосрочная",'60,62,63,76_контр'!$AY$15:$AY25012,"-")</f>
        <v>0</v>
      </c>
      <c r="AG57" s="2654">
        <f>SUMIFS('60,62,63,76_контр'!$V$15:$V25012,'60,62,63,76_контр'!$J$15:$J25012,'76'!$C57,'60,62,63,76_контр'!$AX$15:$AX25012,'76'!$AI57,'60,62,63,76_контр'!$O$15:$O25012,'76'!$E57,'60,62,63,76_контр'!$C$15:$C25012,"76",'60,62,63,76_контр'!$N$15:$N25012,"{10} Долгосрочная",'60,62,63,76_контр'!$AY$15:$AY25012,"-")</f>
        <v>0</v>
      </c>
      <c r="AH57" s="2654">
        <f>SUMIFS('60,62,63,76_контр'!$V$15:$V25012,'60,62,63,76_контр'!$J$15:$J25012,'76'!$C57,'60,62,63,76_контр'!$AX$15:$AX25012,'76'!$AI57,'60,62,63,76_контр'!$O$15:$O25012,'76'!$E57,'60,62,63,76_контр'!$C$15:$C25012,"76",'60,62,63,76_контр'!$N$15:$N25012,"{20} Краткосрочная",'60,62,63,76_контр'!$AY$15:$AY25012,"-")</f>
        <v>0</v>
      </c>
      <c r="AI57" s="2266" t="str">
        <f t="shared" si="18"/>
        <v/>
      </c>
      <c r="AJ57" s="2289" t="b">
        <f t="shared" si="19"/>
        <v>1</v>
      </c>
      <c r="AK57" s="2289" t="b">
        <f t="shared" si="20"/>
        <v>1</v>
      </c>
      <c r="AL57" s="2129" t="b">
        <f t="shared" si="21"/>
        <v>1</v>
      </c>
      <c r="AM57" s="2129" t="b">
        <f t="shared" si="22"/>
        <v>1</v>
      </c>
      <c r="AP57" s="2129" t="b">
        <f t="shared" si="31"/>
        <v>1</v>
      </c>
      <c r="AQ57" s="2129" t="b">
        <f>IF(Содержание!$D$12="тыс. рублей",IF(AND(E57="{RUB} Российские рубли",P57&lt;&gt;0),FALSE,TRUE),TRUE)</f>
        <v>1</v>
      </c>
      <c r="AR57" s="2129" t="b">
        <f t="shared" si="32"/>
        <v>1</v>
      </c>
      <c r="AS57" s="2129" t="b">
        <f t="shared" si="23"/>
        <v>1</v>
      </c>
      <c r="AT57" s="3558" t="b">
        <f t="shared" si="33"/>
        <v>1</v>
      </c>
    </row>
    <row r="58" spans="1:46">
      <c r="A58" s="9" t="str">
        <f t="shared" si="16"/>
        <v>R1=;R7=;R2=;R35=100;COM=</v>
      </c>
      <c r="B58" s="601"/>
      <c r="C58" s="1331"/>
      <c r="D58" s="909"/>
      <c r="E58" s="1339"/>
      <c r="F58" s="1335"/>
      <c r="G58" s="1335"/>
      <c r="H58" s="1335"/>
      <c r="I58" s="1335"/>
      <c r="J58" s="1775">
        <f t="shared" ref="J58" si="41">F58-H58</f>
        <v>0</v>
      </c>
      <c r="K58" s="1775">
        <f t="shared" ref="K58" si="42">G58-I58</f>
        <v>0</v>
      </c>
      <c r="L58" s="1335"/>
      <c r="M58" s="1335"/>
      <c r="N58" s="1335"/>
      <c r="O58" s="1335"/>
      <c r="P58" s="1338"/>
      <c r="Q58" s="1335"/>
      <c r="R58" s="1335"/>
      <c r="S58" s="1332">
        <f t="shared" ref="S58" si="43">SUM(F58:G58,L58:Q58)-R58</f>
        <v>0</v>
      </c>
      <c r="T58" s="1335"/>
      <c r="U58" s="1509"/>
      <c r="V58" s="1775">
        <f t="shared" ref="V58" si="44">R58-T58</f>
        <v>0</v>
      </c>
      <c r="W58" s="1775">
        <f t="shared" ref="W58" si="45">S58-U58</f>
        <v>0</v>
      </c>
      <c r="X58" s="1336"/>
      <c r="Y58" s="3557" t="b">
        <f t="shared" si="26"/>
        <v>1</v>
      </c>
      <c r="Z58" s="2065" t="b">
        <f t="shared" si="27"/>
        <v>1</v>
      </c>
      <c r="AB58" s="2065" t="b">
        <f t="shared" si="28"/>
        <v>1</v>
      </c>
      <c r="AC58" s="2065" t="b">
        <f t="shared" si="29"/>
        <v>1</v>
      </c>
      <c r="AD58" s="2130" t="b">
        <f t="shared" si="30"/>
        <v>1</v>
      </c>
      <c r="AE58" s="2654">
        <f>SUMIFS('60,62,63,76_контр'!$P$15:$P25013,'60,62,63,76_контр'!$J$15:$J25013,'76'!$C58,'60,62,63,76_контр'!$AX$15:$AX25013,'76'!$AI58,'60,62,63,76_контр'!$O$15:$O25013,'76'!$E58,'60,62,63,76_контр'!$C$15:$C25013,"76",'60,62,63,76_контр'!$N$15:$N25013,"{10} Долгосрочная",'60,62,63,76_контр'!$AY$15:$AY25013,"-")</f>
        <v>0</v>
      </c>
      <c r="AF58" s="2654">
        <f>SUMIFS('60,62,63,76_контр'!$P$15:$P25013,'60,62,63,76_контр'!$J$15:$J25013,'76'!$C58,'60,62,63,76_контр'!$AX$15:$AX25013,'76'!$AI58,'60,62,63,76_контр'!$O$15:$O25013,'76'!$E58,'60,62,63,76_контр'!$C$15:$C25013,"76",'60,62,63,76_контр'!$N$15:$N25013,"{20} Краткосрочная",'60,62,63,76_контр'!$AY$15:$AY25013,"-")</f>
        <v>0</v>
      </c>
      <c r="AG58" s="2654">
        <f>SUMIFS('60,62,63,76_контр'!$V$15:$V25013,'60,62,63,76_контр'!$J$15:$J25013,'76'!$C58,'60,62,63,76_контр'!$AX$15:$AX25013,'76'!$AI58,'60,62,63,76_контр'!$O$15:$O25013,'76'!$E58,'60,62,63,76_контр'!$C$15:$C25013,"76",'60,62,63,76_контр'!$N$15:$N25013,"{10} Долгосрочная",'60,62,63,76_контр'!$AY$15:$AY25013,"-")</f>
        <v>0</v>
      </c>
      <c r="AH58" s="2654">
        <f>SUMIFS('60,62,63,76_контр'!$V$15:$V25013,'60,62,63,76_контр'!$J$15:$J25013,'76'!$C58,'60,62,63,76_контр'!$AX$15:$AX25013,'76'!$AI58,'60,62,63,76_контр'!$O$15:$O25013,'76'!$E58,'60,62,63,76_контр'!$C$15:$C25013,"76",'60,62,63,76_контр'!$N$15:$N25013,"{20} Краткосрочная",'60,62,63,76_контр'!$AY$15:$AY25013,"-")</f>
        <v>0</v>
      </c>
      <c r="AI58" s="2266" t="str">
        <f t="shared" si="18"/>
        <v/>
      </c>
      <c r="AJ58" s="2289" t="b">
        <f t="shared" si="19"/>
        <v>1</v>
      </c>
      <c r="AK58" s="2289" t="b">
        <f t="shared" si="20"/>
        <v>1</v>
      </c>
      <c r="AL58" s="2129" t="b">
        <f t="shared" si="21"/>
        <v>1</v>
      </c>
      <c r="AM58" s="2129" t="b">
        <f t="shared" si="22"/>
        <v>1</v>
      </c>
      <c r="AP58" s="2129" t="b">
        <f t="shared" si="31"/>
        <v>1</v>
      </c>
      <c r="AQ58" s="2129" t="b">
        <f>IF(Содержание!$D$12="тыс. рублей",IF(AND(E58="{RUB} Российские рубли",P58&lt;&gt;0),FALSE,TRUE),TRUE)</f>
        <v>1</v>
      </c>
      <c r="AR58" s="2129" t="b">
        <f t="shared" si="32"/>
        <v>1</v>
      </c>
      <c r="AS58" s="2129" t="b">
        <f t="shared" si="23"/>
        <v>1</v>
      </c>
      <c r="AT58" s="3558" t="b">
        <f t="shared" si="33"/>
        <v>1</v>
      </c>
    </row>
    <row r="59" spans="1:46">
      <c r="A59" s="9" t="str">
        <f t="shared" si="16"/>
        <v>R1=;R7=;R2=;R35=100;COM=</v>
      </c>
      <c r="B59" s="601"/>
      <c r="C59" s="1331"/>
      <c r="D59" s="909"/>
      <c r="E59" s="1339"/>
      <c r="F59" s="1335"/>
      <c r="G59" s="1335"/>
      <c r="H59" s="1335"/>
      <c r="I59" s="1335"/>
      <c r="J59" s="1775">
        <f t="shared" ref="J59" si="46">F59-H59</f>
        <v>0</v>
      </c>
      <c r="K59" s="1775">
        <f t="shared" ref="K59" si="47">G59-I59</f>
        <v>0</v>
      </c>
      <c r="L59" s="1335"/>
      <c r="M59" s="1335"/>
      <c r="N59" s="1335"/>
      <c r="O59" s="1335"/>
      <c r="P59" s="1338"/>
      <c r="Q59" s="1335"/>
      <c r="R59" s="1335"/>
      <c r="S59" s="1332">
        <f t="shared" ref="S59" si="48">SUM(F59:G59,L59:Q59)-R59</f>
        <v>0</v>
      </c>
      <c r="T59" s="1335"/>
      <c r="U59" s="1509"/>
      <c r="V59" s="1775">
        <f t="shared" ref="V59" si="49">R59-T59</f>
        <v>0</v>
      </c>
      <c r="W59" s="1775">
        <f t="shared" ref="W59" si="50">S59-U59</f>
        <v>0</v>
      </c>
      <c r="X59" s="1336"/>
      <c r="Y59" s="3557" t="b">
        <f t="shared" si="26"/>
        <v>1</v>
      </c>
      <c r="Z59" s="2065" t="b">
        <f t="shared" si="27"/>
        <v>1</v>
      </c>
      <c r="AB59" s="2065" t="b">
        <f t="shared" si="28"/>
        <v>1</v>
      </c>
      <c r="AC59" s="2065" t="b">
        <f t="shared" si="29"/>
        <v>1</v>
      </c>
      <c r="AD59" s="2130" t="b">
        <f t="shared" si="30"/>
        <v>1</v>
      </c>
      <c r="AE59" s="2654">
        <f>SUMIFS('60,62,63,76_контр'!$P$15:$P25014,'60,62,63,76_контр'!$J$15:$J25014,'76'!$C59,'60,62,63,76_контр'!$AX$15:$AX25014,'76'!$AI59,'60,62,63,76_контр'!$O$15:$O25014,'76'!$E59,'60,62,63,76_контр'!$C$15:$C25014,"76",'60,62,63,76_контр'!$N$15:$N25014,"{10} Долгосрочная",'60,62,63,76_контр'!$AY$15:$AY25014,"-")</f>
        <v>0</v>
      </c>
      <c r="AF59" s="2654">
        <f>SUMIFS('60,62,63,76_контр'!$P$15:$P25014,'60,62,63,76_контр'!$J$15:$J25014,'76'!$C59,'60,62,63,76_контр'!$AX$15:$AX25014,'76'!$AI59,'60,62,63,76_контр'!$O$15:$O25014,'76'!$E59,'60,62,63,76_контр'!$C$15:$C25014,"76",'60,62,63,76_контр'!$N$15:$N25014,"{20} Краткосрочная",'60,62,63,76_контр'!$AY$15:$AY25014,"-")</f>
        <v>0</v>
      </c>
      <c r="AG59" s="2654">
        <f>SUMIFS('60,62,63,76_контр'!$V$15:$V25014,'60,62,63,76_контр'!$J$15:$J25014,'76'!$C59,'60,62,63,76_контр'!$AX$15:$AX25014,'76'!$AI59,'60,62,63,76_контр'!$O$15:$O25014,'76'!$E59,'60,62,63,76_контр'!$C$15:$C25014,"76",'60,62,63,76_контр'!$N$15:$N25014,"{10} Долгосрочная",'60,62,63,76_контр'!$AY$15:$AY25014,"-")</f>
        <v>0</v>
      </c>
      <c r="AH59" s="2654">
        <f>SUMIFS('60,62,63,76_контр'!$V$15:$V25014,'60,62,63,76_контр'!$J$15:$J25014,'76'!$C59,'60,62,63,76_контр'!$AX$15:$AX25014,'76'!$AI59,'60,62,63,76_контр'!$O$15:$O25014,'76'!$E59,'60,62,63,76_контр'!$C$15:$C25014,"76",'60,62,63,76_контр'!$N$15:$N25014,"{20} Краткосрочная",'60,62,63,76_контр'!$AY$15:$AY25014,"-")</f>
        <v>0</v>
      </c>
      <c r="AI59" s="2266" t="str">
        <f t="shared" ref="AI59" si="51">IFERROR(RIGHT(D59,LEN(D59)-5),"")</f>
        <v/>
      </c>
      <c r="AJ59" s="2289" t="b">
        <f t="shared" si="19"/>
        <v>1</v>
      </c>
      <c r="AK59" s="2289" t="b">
        <f t="shared" si="20"/>
        <v>1</v>
      </c>
      <c r="AL59" s="2129" t="b">
        <f t="shared" si="21"/>
        <v>1</v>
      </c>
      <c r="AM59" s="2129" t="b">
        <f t="shared" si="22"/>
        <v>1</v>
      </c>
      <c r="AP59" s="2129" t="b">
        <f t="shared" si="31"/>
        <v>1</v>
      </c>
      <c r="AQ59" s="2129" t="b">
        <f>IF(Содержание!$D$12="тыс. рублей",IF(AND(E59="{RUB} Российские рубли",P59&lt;&gt;0),FALSE,TRUE),TRUE)</f>
        <v>1</v>
      </c>
      <c r="AR59" s="2129" t="b">
        <f t="shared" si="32"/>
        <v>1</v>
      </c>
      <c r="AS59" s="2129" t="b">
        <f t="shared" si="23"/>
        <v>1</v>
      </c>
      <c r="AT59" s="3558" t="b">
        <f t="shared" si="33"/>
        <v>1</v>
      </c>
    </row>
    <row r="60" spans="1:46">
      <c r="A60" s="2427" t="str">
        <f t="shared" si="16"/>
        <v>R1=;R7=;R2=;R35=100;COM=</v>
      </c>
      <c r="B60" s="601"/>
      <c r="C60" s="1331"/>
      <c r="D60" s="909"/>
      <c r="E60" s="1339"/>
      <c r="F60" s="1335"/>
      <c r="G60" s="1335"/>
      <c r="H60" s="1335"/>
      <c r="I60" s="1335"/>
      <c r="J60" s="1775">
        <f t="shared" ref="J60" si="52">F60-H60</f>
        <v>0</v>
      </c>
      <c r="K60" s="1775">
        <f t="shared" ref="K60" si="53">G60-I60</f>
        <v>0</v>
      </c>
      <c r="L60" s="1335"/>
      <c r="M60" s="1335"/>
      <c r="N60" s="1335"/>
      <c r="O60" s="1335"/>
      <c r="P60" s="1338"/>
      <c r="Q60" s="1335"/>
      <c r="R60" s="1335"/>
      <c r="S60" s="1332">
        <f t="shared" ref="S60" si="54">SUM(F60:G60,L60:Q60)-R60</f>
        <v>0</v>
      </c>
      <c r="T60" s="1335"/>
      <c r="U60" s="1509"/>
      <c r="V60" s="1775">
        <f t="shared" ref="V60" si="55">R60-T60</f>
        <v>0</v>
      </c>
      <c r="W60" s="1775">
        <f t="shared" ref="W60" si="56">S60-U60</f>
        <v>0</v>
      </c>
      <c r="X60" s="1336"/>
      <c r="Y60" s="3557" t="b">
        <f t="shared" si="26"/>
        <v>1</v>
      </c>
      <c r="Z60" s="2065" t="b">
        <f t="shared" si="27"/>
        <v>1</v>
      </c>
      <c r="AB60" s="2065" t="b">
        <f t="shared" si="28"/>
        <v>1</v>
      </c>
      <c r="AC60" s="2065" t="b">
        <f t="shared" si="29"/>
        <v>1</v>
      </c>
      <c r="AD60" s="2130" t="b">
        <f t="shared" si="30"/>
        <v>1</v>
      </c>
      <c r="AE60" s="2654">
        <f>SUMIFS('60,62,63,76_контр'!$P$15:$P25015,'60,62,63,76_контр'!$J$15:$J25015,'76'!$C60,'60,62,63,76_контр'!$AX$15:$AX25015,'76'!$AI60,'60,62,63,76_контр'!$O$15:$O25015,'76'!$E60,'60,62,63,76_контр'!$C$15:$C25015,"76",'60,62,63,76_контр'!$N$15:$N25015,"{10} Долгосрочная",'60,62,63,76_контр'!$AY$15:$AY25015,"-")</f>
        <v>0</v>
      </c>
      <c r="AF60" s="2654">
        <f>SUMIFS('60,62,63,76_контр'!$P$15:$P25015,'60,62,63,76_контр'!$J$15:$J25015,'76'!$C60,'60,62,63,76_контр'!$AX$15:$AX25015,'76'!$AI60,'60,62,63,76_контр'!$O$15:$O25015,'76'!$E60,'60,62,63,76_контр'!$C$15:$C25015,"76",'60,62,63,76_контр'!$N$15:$N25015,"{20} Краткосрочная",'60,62,63,76_контр'!$AY$15:$AY25015,"-")</f>
        <v>0</v>
      </c>
      <c r="AG60" s="2654">
        <f>SUMIFS('60,62,63,76_контр'!$V$15:$V25015,'60,62,63,76_контр'!$J$15:$J25015,'76'!$C60,'60,62,63,76_контр'!$AX$15:$AX25015,'76'!$AI60,'60,62,63,76_контр'!$O$15:$O25015,'76'!$E60,'60,62,63,76_контр'!$C$15:$C25015,"76",'60,62,63,76_контр'!$N$15:$N25015,"{10} Долгосрочная",'60,62,63,76_контр'!$AY$15:$AY25015,"-")</f>
        <v>0</v>
      </c>
      <c r="AH60" s="2654">
        <f>SUMIFS('60,62,63,76_контр'!$V$15:$V25015,'60,62,63,76_контр'!$J$15:$J25015,'76'!$C60,'60,62,63,76_контр'!$AX$15:$AX25015,'76'!$AI60,'60,62,63,76_контр'!$O$15:$O25015,'76'!$E60,'60,62,63,76_контр'!$C$15:$C25015,"76",'60,62,63,76_контр'!$N$15:$N25015,"{20} Краткосрочная",'60,62,63,76_контр'!$AY$15:$AY25015,"-")</f>
        <v>0</v>
      </c>
      <c r="AI60" s="2266" t="str">
        <f t="shared" ref="AI60" si="57">IFERROR(RIGHT(D60,LEN(D60)-5),"")</f>
        <v/>
      </c>
      <c r="AJ60" s="2289" t="b">
        <f t="shared" si="19"/>
        <v>1</v>
      </c>
      <c r="AK60" s="2289" t="b">
        <f t="shared" si="20"/>
        <v>1</v>
      </c>
      <c r="AL60" s="2129" t="b">
        <f t="shared" si="21"/>
        <v>1</v>
      </c>
      <c r="AM60" s="2129" t="b">
        <f t="shared" si="22"/>
        <v>1</v>
      </c>
      <c r="AP60" s="2129" t="b">
        <f t="shared" si="31"/>
        <v>1</v>
      </c>
      <c r="AQ60" s="2129" t="b">
        <f>IF(Содержание!$D$12="тыс. рублей",IF(AND(E60="{RUB} Российские рубли",P60&lt;&gt;0),FALSE,TRUE),TRUE)</f>
        <v>1</v>
      </c>
      <c r="AR60" s="2129" t="b">
        <f t="shared" si="32"/>
        <v>1</v>
      </c>
      <c r="AS60" s="2129" t="b">
        <f t="shared" si="23"/>
        <v>1</v>
      </c>
      <c r="AT60" s="3558" t="b">
        <f t="shared" si="33"/>
        <v>1</v>
      </c>
    </row>
    <row r="61" spans="1:46">
      <c r="A61" s="2427" t="str">
        <f t="shared" ref="A61" si="58">"R1="&amp;IFERROR(MID(C61,FIND("{",C61)+1,FIND("}",C61)-FIND("{",C61)-1),"")&amp;";R7="&amp;IFERROR("2552"&amp;MID(D61,FIND("{",D61)+1,FIND("}",D61)-FIND("{",D61)-1),"")&amp;";R2="&amp;IFERROR(MID(E61,FIND("{",E61)+1,FIND("}",E61)-FIND("{",E61)-1),"")&amp;";R35=100;COM="&amp;X61</f>
        <v>R1=;R7=;R2=;R35=100;COM=</v>
      </c>
      <c r="B61" s="601"/>
      <c r="C61" s="1331"/>
      <c r="D61" s="909"/>
      <c r="E61" s="1339"/>
      <c r="F61" s="1335"/>
      <c r="G61" s="1335"/>
      <c r="H61" s="1335"/>
      <c r="I61" s="1335"/>
      <c r="J61" s="1775">
        <f t="shared" ref="J61" si="59">F61-H61</f>
        <v>0</v>
      </c>
      <c r="K61" s="1775">
        <f t="shared" ref="K61" si="60">G61-I61</f>
        <v>0</v>
      </c>
      <c r="L61" s="1335"/>
      <c r="M61" s="1335"/>
      <c r="N61" s="1335"/>
      <c r="O61" s="1335"/>
      <c r="P61" s="1338"/>
      <c r="Q61" s="1335"/>
      <c r="R61" s="1335"/>
      <c r="S61" s="1332">
        <f t="shared" ref="S61" si="61">SUM(F61:G61,L61:Q61)-R61</f>
        <v>0</v>
      </c>
      <c r="T61" s="1335"/>
      <c r="U61" s="1509"/>
      <c r="V61" s="1775">
        <f t="shared" ref="V61" si="62">R61-T61</f>
        <v>0</v>
      </c>
      <c r="W61" s="1775">
        <f t="shared" ref="W61" si="63">S61-U61</f>
        <v>0</v>
      </c>
      <c r="X61" s="1336"/>
      <c r="Y61" s="3557" t="b">
        <f t="shared" si="26"/>
        <v>1</v>
      </c>
      <c r="Z61" s="2065" t="b">
        <f t="shared" si="27"/>
        <v>1</v>
      </c>
      <c r="AB61" s="2065" t="b">
        <f t="shared" ref="AB61" si="64">AND(IF(C61=$C$11,FALSE,TRUE),IF(C61=$C$13,FALSE,TRUE),IF(C61=$C$16,FALSE,TRUE),IF(C61=$C$17,FALSE,TRUE),IF(C61=$C$18,FALSE,TRUE))</f>
        <v>1</v>
      </c>
      <c r="AC61" s="2065" t="b">
        <f t="shared" si="29"/>
        <v>1</v>
      </c>
      <c r="AD61" s="2130" t="b">
        <f t="shared" si="30"/>
        <v>1</v>
      </c>
      <c r="AE61" s="2654">
        <f>SUMIFS('60,62,63,76_контр'!$P$15:$P25016,'60,62,63,76_контр'!$J$15:$J25016,'76'!$C61,'60,62,63,76_контр'!$AX$15:$AX25016,'76'!$AI61,'60,62,63,76_контр'!$O$15:$O25016,'76'!$E61,'60,62,63,76_контр'!$C$15:$C25016,"76",'60,62,63,76_контр'!$N$15:$N25016,"{10} Долгосрочная",'60,62,63,76_контр'!$AY$15:$AY25016,"-")</f>
        <v>0</v>
      </c>
      <c r="AF61" s="2654">
        <f>SUMIFS('60,62,63,76_контр'!$P$15:$P25016,'60,62,63,76_контр'!$J$15:$J25016,'76'!$C61,'60,62,63,76_контр'!$AX$15:$AX25016,'76'!$AI61,'60,62,63,76_контр'!$O$15:$O25016,'76'!$E61,'60,62,63,76_контр'!$C$15:$C25016,"76",'60,62,63,76_контр'!$N$15:$N25016,"{20} Краткосрочная",'60,62,63,76_контр'!$AY$15:$AY25016,"-")</f>
        <v>0</v>
      </c>
      <c r="AG61" s="2654">
        <f>SUMIFS('60,62,63,76_контр'!$V$15:$V25016,'60,62,63,76_контр'!$J$15:$J25016,'76'!$C61,'60,62,63,76_контр'!$AX$15:$AX25016,'76'!$AI61,'60,62,63,76_контр'!$O$15:$O25016,'76'!$E61,'60,62,63,76_контр'!$C$15:$C25016,"76",'60,62,63,76_контр'!$N$15:$N25016,"{10} Долгосрочная",'60,62,63,76_контр'!$AY$15:$AY25016,"-")</f>
        <v>0</v>
      </c>
      <c r="AH61" s="2654">
        <f>SUMIFS('60,62,63,76_контр'!$V$15:$V25016,'60,62,63,76_контр'!$J$15:$J25016,'76'!$C61,'60,62,63,76_контр'!$AX$15:$AX25016,'76'!$AI61,'60,62,63,76_контр'!$O$15:$O25016,'76'!$E61,'60,62,63,76_контр'!$C$15:$C25016,"76",'60,62,63,76_контр'!$N$15:$N25016,"{20} Краткосрочная",'60,62,63,76_контр'!$AY$15:$AY25016,"-")</f>
        <v>0</v>
      </c>
      <c r="AI61" s="2266" t="str">
        <f t="shared" ref="AI61" si="65">IFERROR(RIGHT(D61,LEN(D61)-5),"")</f>
        <v/>
      </c>
      <c r="AJ61" s="2289" t="b">
        <f t="shared" si="19"/>
        <v>1</v>
      </c>
      <c r="AK61" s="2289" t="b">
        <f t="shared" si="20"/>
        <v>1</v>
      </c>
      <c r="AL61" s="2129" t="b">
        <f t="shared" si="21"/>
        <v>1</v>
      </c>
      <c r="AM61" s="2129" t="b">
        <f t="shared" si="22"/>
        <v>1</v>
      </c>
      <c r="AP61" s="2129" t="b">
        <f t="shared" si="31"/>
        <v>1</v>
      </c>
      <c r="AQ61" s="2129" t="b">
        <f>IF(Содержание!$D$12="тыс. рублей",IF(AND(E61="{RUB} Российские рубли",P61&lt;&gt;0),FALSE,TRUE),TRUE)</f>
        <v>1</v>
      </c>
      <c r="AR61" s="2129" t="b">
        <f t="shared" si="32"/>
        <v>1</v>
      </c>
      <c r="AS61" s="2129" t="b">
        <f t="shared" si="23"/>
        <v>1</v>
      </c>
      <c r="AT61" s="3558" t="b">
        <f t="shared" si="33"/>
        <v>1</v>
      </c>
    </row>
    <row r="62" spans="1:46">
      <c r="A62" s="2427" t="str">
        <f t="shared" ref="A62" si="66">"R1="&amp;IFERROR(MID(C62,FIND("{",C62)+1,FIND("}",C62)-FIND("{",C62)-1),"")&amp;";R7="&amp;IFERROR("2552"&amp;MID(D62,FIND("{",D62)+1,FIND("}",D62)-FIND("{",D62)-1),"")&amp;";R2="&amp;IFERROR(MID(E62,FIND("{",E62)+1,FIND("}",E62)-FIND("{",E62)-1),"")&amp;";R35=100;COM="&amp;X62</f>
        <v>R1=;R7=;R2=;R35=100;COM=</v>
      </c>
      <c r="B62" s="601"/>
      <c r="C62" s="1331"/>
      <c r="D62" s="909"/>
      <c r="E62" s="1339"/>
      <c r="F62" s="1335"/>
      <c r="G62" s="1335"/>
      <c r="H62" s="1335"/>
      <c r="I62" s="1335"/>
      <c r="J62" s="1775">
        <f t="shared" ref="J62" si="67">F62-H62</f>
        <v>0</v>
      </c>
      <c r="K62" s="1775">
        <f t="shared" ref="K62" si="68">G62-I62</f>
        <v>0</v>
      </c>
      <c r="L62" s="1335"/>
      <c r="M62" s="1335"/>
      <c r="N62" s="1335"/>
      <c r="O62" s="1335"/>
      <c r="P62" s="1338"/>
      <c r="Q62" s="1335"/>
      <c r="R62" s="1335"/>
      <c r="S62" s="1332">
        <f t="shared" ref="S62" si="69">SUM(F62:G62,L62:Q62)-R62</f>
        <v>0</v>
      </c>
      <c r="T62" s="1335"/>
      <c r="U62" s="1509"/>
      <c r="V62" s="1775">
        <f t="shared" ref="V62" si="70">R62-T62</f>
        <v>0</v>
      </c>
      <c r="W62" s="1775">
        <f t="shared" ref="W62" si="71">S62-U62</f>
        <v>0</v>
      </c>
      <c r="X62" s="1336"/>
      <c r="Y62" s="3557" t="b">
        <f t="shared" si="26"/>
        <v>1</v>
      </c>
      <c r="Z62" s="2065" t="b">
        <f t="shared" si="27"/>
        <v>1</v>
      </c>
      <c r="AB62" s="2065" t="b">
        <f t="shared" ref="AB62" si="72">AND(IF(C62=$C$11,FALSE,TRUE),IF(C62=$C$13,FALSE,TRUE),IF(C62=$C$16,FALSE,TRUE),IF(C62=$C$17,FALSE,TRUE),IF(C62=$C$18,FALSE,TRUE))</f>
        <v>1</v>
      </c>
      <c r="AC62" s="2065" t="b">
        <f t="shared" si="29"/>
        <v>1</v>
      </c>
      <c r="AD62" s="2130" t="b">
        <f t="shared" si="30"/>
        <v>1</v>
      </c>
      <c r="AE62" s="2654">
        <f>SUMIFS('60,62,63,76_контр'!$P$15:$P25017,'60,62,63,76_контр'!$J$15:$J25017,'76'!$C62,'60,62,63,76_контр'!$AX$15:$AX25017,'76'!$AI62,'60,62,63,76_контр'!$O$15:$O25017,'76'!$E62,'60,62,63,76_контр'!$C$15:$C25017,"76",'60,62,63,76_контр'!$N$15:$N25017,"{10} Долгосрочная",'60,62,63,76_контр'!$AY$15:$AY25017,"-")</f>
        <v>0</v>
      </c>
      <c r="AF62" s="2654">
        <f>SUMIFS('60,62,63,76_контр'!$P$15:$P25017,'60,62,63,76_контр'!$J$15:$J25017,'76'!$C62,'60,62,63,76_контр'!$AX$15:$AX25017,'76'!$AI62,'60,62,63,76_контр'!$O$15:$O25017,'76'!$E62,'60,62,63,76_контр'!$C$15:$C25017,"76",'60,62,63,76_контр'!$N$15:$N25017,"{20} Краткосрочная",'60,62,63,76_контр'!$AY$15:$AY25017,"-")</f>
        <v>0</v>
      </c>
      <c r="AG62" s="2654">
        <f>SUMIFS('60,62,63,76_контр'!$V$15:$V25017,'60,62,63,76_контр'!$J$15:$J25017,'76'!$C62,'60,62,63,76_контр'!$AX$15:$AX25017,'76'!$AI62,'60,62,63,76_контр'!$O$15:$O25017,'76'!$E62,'60,62,63,76_контр'!$C$15:$C25017,"76",'60,62,63,76_контр'!$N$15:$N25017,"{10} Долгосрочная",'60,62,63,76_контр'!$AY$15:$AY25017,"-")</f>
        <v>0</v>
      </c>
      <c r="AH62" s="2654">
        <f>SUMIFS('60,62,63,76_контр'!$V$15:$V25017,'60,62,63,76_контр'!$J$15:$J25017,'76'!$C62,'60,62,63,76_контр'!$AX$15:$AX25017,'76'!$AI62,'60,62,63,76_контр'!$O$15:$O25017,'76'!$E62,'60,62,63,76_контр'!$C$15:$C25017,"76",'60,62,63,76_контр'!$N$15:$N25017,"{20} Краткосрочная",'60,62,63,76_контр'!$AY$15:$AY25017,"-")</f>
        <v>0</v>
      </c>
      <c r="AI62" s="2266" t="str">
        <f t="shared" ref="AI62" si="73">IFERROR(RIGHT(D62,LEN(D62)-5),"")</f>
        <v/>
      </c>
      <c r="AJ62" s="2289" t="b">
        <f t="shared" si="19"/>
        <v>1</v>
      </c>
      <c r="AK62" s="2289" t="b">
        <f t="shared" si="20"/>
        <v>1</v>
      </c>
      <c r="AL62" s="2129" t="b">
        <f t="shared" si="21"/>
        <v>1</v>
      </c>
      <c r="AM62" s="2129" t="b">
        <f t="shared" si="22"/>
        <v>1</v>
      </c>
      <c r="AP62" s="2129" t="b">
        <f t="shared" si="31"/>
        <v>1</v>
      </c>
      <c r="AQ62" s="2129" t="b">
        <f>IF(Содержание!$D$12="тыс. рублей",IF(AND(E62="{RUB} Российские рубли",P62&lt;&gt;0),FALSE,TRUE),TRUE)</f>
        <v>1</v>
      </c>
      <c r="AR62" s="2129" t="b">
        <f t="shared" si="32"/>
        <v>1</v>
      </c>
      <c r="AS62" s="2129" t="b">
        <f t="shared" si="23"/>
        <v>1</v>
      </c>
      <c r="AT62" s="3558" t="b">
        <f t="shared" si="33"/>
        <v>1</v>
      </c>
    </row>
    <row r="63" spans="1:46">
      <c r="A63" s="2427" t="str">
        <f t="shared" ref="A63" si="74">"R1="&amp;IFERROR(MID(C63,FIND("{",C63)+1,FIND("}",C63)-FIND("{",C63)-1),"")&amp;";R7="&amp;IFERROR("2552"&amp;MID(D63,FIND("{",D63)+1,FIND("}",D63)-FIND("{",D63)-1),"")&amp;";R2="&amp;IFERROR(MID(E63,FIND("{",E63)+1,FIND("}",E63)-FIND("{",E63)-1),"")&amp;";R35=100;COM="&amp;X63</f>
        <v>R1=;R7=;R2=;R35=100;COM=</v>
      </c>
      <c r="B63" s="601"/>
      <c r="C63" s="1331"/>
      <c r="D63" s="909"/>
      <c r="E63" s="1339"/>
      <c r="F63" s="1335"/>
      <c r="G63" s="1335"/>
      <c r="H63" s="1335"/>
      <c r="I63" s="1335"/>
      <c r="J63" s="1775">
        <f t="shared" ref="J63" si="75">F63-H63</f>
        <v>0</v>
      </c>
      <c r="K63" s="1775">
        <f t="shared" ref="K63" si="76">G63-I63</f>
        <v>0</v>
      </c>
      <c r="L63" s="1335"/>
      <c r="M63" s="1335"/>
      <c r="N63" s="1335"/>
      <c r="O63" s="1335"/>
      <c r="P63" s="1338"/>
      <c r="Q63" s="1335"/>
      <c r="R63" s="1335"/>
      <c r="S63" s="1332">
        <f t="shared" ref="S63" si="77">SUM(F63:G63,L63:Q63)-R63</f>
        <v>0</v>
      </c>
      <c r="T63" s="1335"/>
      <c r="U63" s="1509"/>
      <c r="V63" s="1775">
        <f t="shared" ref="V63" si="78">R63-T63</f>
        <v>0</v>
      </c>
      <c r="W63" s="1775">
        <f t="shared" ref="W63" si="79">S63-U63</f>
        <v>0</v>
      </c>
      <c r="X63" s="1336"/>
      <c r="Y63" s="3557" t="b">
        <f t="shared" si="26"/>
        <v>1</v>
      </c>
      <c r="Z63" s="2065" t="b">
        <f t="shared" si="27"/>
        <v>1</v>
      </c>
      <c r="AB63" s="2065" t="b">
        <f t="shared" ref="AB63" si="80">AND(IF(C63=$C$11,FALSE,TRUE),IF(C63=$C$13,FALSE,TRUE),IF(C63=$C$16,FALSE,TRUE),IF(C63=$C$17,FALSE,TRUE),IF(C63=$C$18,FALSE,TRUE))</f>
        <v>1</v>
      </c>
      <c r="AC63" s="2065" t="b">
        <f t="shared" ref="AC63" si="81">IF(C63="{252026} НДС по авансам полученным",OR(L63&gt;=0,L63&lt;=0),AND(IF(D63="{21} Дебиторская задолженность",L63&gt;=0,TRUE),IF(D63="{21} Дебиторская задолженность",IF(O63&lt;=0,TRUE,FALSE),TRUE),IF(D63="{12} Авансы выданные",O63&lt;=0,TRUE),IF(D63="{12} Авансы выданные",IF(L63=0,TRUE,FALSE),TRUE),IF(D63="{11} Кредиторская задолженность",L63&lt;=0,TRUE),IF(D63="{11} Кредиторская задолженность",IF(O63&gt;=0,TRUE,FALSE),TRUE),IF(D63="{22} Авансы полученные",O63&gt;=0,TRUE),IF(D63="{22} Авансы полученные",IF(L63=0,TRUE,FALSE),TRUE)))</f>
        <v>1</v>
      </c>
      <c r="AD63" s="2130" t="b">
        <f t="shared" ref="AD63" si="82">AND(IF(C63=$AA$44,IF(OR(D63=$AA$47,D63=$AA$46),TRUE,FALSE),TRUE),IF(C63=$AA$25,IF(OR(D63=$AA$48,D63=$AA$45),TRUE,FALSE),TRUE))</f>
        <v>1</v>
      </c>
      <c r="AE63" s="2654">
        <f>SUMIFS('60,62,63,76_контр'!$P$15:$P25018,'60,62,63,76_контр'!$J$15:$J25018,'76'!$C63,'60,62,63,76_контр'!$AX$15:$AX25018,'76'!$AI63,'60,62,63,76_контр'!$O$15:$O25018,'76'!$E63,'60,62,63,76_контр'!$C$15:$C25018,"76",'60,62,63,76_контр'!$N$15:$N25018,"{10} Долгосрочная",'60,62,63,76_контр'!$AY$15:$AY25018,"-")</f>
        <v>0</v>
      </c>
      <c r="AF63" s="2654">
        <f>SUMIFS('60,62,63,76_контр'!$P$15:$P25018,'60,62,63,76_контр'!$J$15:$J25018,'76'!$C63,'60,62,63,76_контр'!$AX$15:$AX25018,'76'!$AI63,'60,62,63,76_контр'!$O$15:$O25018,'76'!$E63,'60,62,63,76_контр'!$C$15:$C25018,"76",'60,62,63,76_контр'!$N$15:$N25018,"{20} Краткосрочная",'60,62,63,76_контр'!$AY$15:$AY25018,"-")</f>
        <v>0</v>
      </c>
      <c r="AG63" s="2654">
        <f>SUMIFS('60,62,63,76_контр'!$V$15:$V25018,'60,62,63,76_контр'!$J$15:$J25018,'76'!$C63,'60,62,63,76_контр'!$AX$15:$AX25018,'76'!$AI63,'60,62,63,76_контр'!$O$15:$O25018,'76'!$E63,'60,62,63,76_контр'!$C$15:$C25018,"76",'60,62,63,76_контр'!$N$15:$N25018,"{10} Долгосрочная",'60,62,63,76_контр'!$AY$15:$AY25018,"-")</f>
        <v>0</v>
      </c>
      <c r="AH63" s="2654">
        <f>SUMIFS('60,62,63,76_контр'!$V$15:$V25018,'60,62,63,76_контр'!$J$15:$J25018,'76'!$C63,'60,62,63,76_контр'!$AX$15:$AX25018,'76'!$AI63,'60,62,63,76_контр'!$O$15:$O25018,'76'!$E63,'60,62,63,76_контр'!$C$15:$C25018,"76",'60,62,63,76_контр'!$N$15:$N25018,"{20} Краткосрочная",'60,62,63,76_контр'!$AY$15:$AY25018,"-")</f>
        <v>0</v>
      </c>
      <c r="AI63" s="2266" t="str">
        <f t="shared" ref="AI63" si="83">IFERROR(RIGHT(D63,LEN(D63)-5),"")</f>
        <v/>
      </c>
      <c r="AJ63" s="2289" t="b">
        <f t="shared" ref="AJ63" si="84">IF(ABS(AE63-SUMIFS(T:T,C:C,C63,D:D,D63,E:E,E63))&lt;5,TRUE,FALSE)</f>
        <v>1</v>
      </c>
      <c r="AK63" s="2289" t="b">
        <f t="shared" ref="AK63" si="85">IF(ABS(AF63-SUMIFS(V:V,C:C,C63,D:D,D63,E:E,E63))&lt;5,TRUE,FALSE)</f>
        <v>1</v>
      </c>
      <c r="AL63" s="2129" t="b">
        <f t="shared" ref="AL63" si="86">IF(ABS(AG63-SUMIFS(U:U,C:C,C63,D:D,D63,E:E,E63))&lt;5,TRUE,FALSE)</f>
        <v>1</v>
      </c>
      <c r="AM63" s="2129" t="b">
        <f t="shared" ref="AM63" si="87">IF(ABS(AH63-SUMIFS(W:W,C:C,C63,D:D,D63,E:E,E63))&lt;5,TRUE,FALSE)</f>
        <v>1</v>
      </c>
      <c r="AP63" s="2129" t="b">
        <f t="shared" ref="AP63" si="88">IF(C63="{252026} НДС по авансам полученным",D63="{21} Дебиторская задолженность",IF(C63="{252073} НДС с авансов, выданных по капитальному строительству (перерасчетный)",D63="{11} Кредиторская задолженность",IF(C63="{252029} НДС по авансам выданным (перерасчетный) без капитального строительства",D63="{11} Кредиторская задолженность",IF(C63="{252025} НДС по авансам выданным (предварит) без кап строительства",D63="{21} Дебиторская задолженность",IF(C63="{252072} НДС с авансов, выданных по капитальному строительству (предварит)",D63="{21} Дебиторская задолженность",IF(C63="{252014} Расчеты с Агентами (Комиссионерами) по агентскому вознаграждению",OR(D63="{11} Кредиторская задолженность",D63="{12} Авансы выданные"),IF(C63="{252017} Расчеты с Комитентами (Принципалами) по агентскому вознаграждению",OR(D63="{21} Дебиторская задолженность",D63="{22} Авансы полученные"),IF(C63="{252012} Расчеты с Агентами (Комиссионерами) по возмещению понесенных затрат при продаже продукции (работ, услуг) Комитента (Принципала)",OR(D63="{11} Кредиторская задолженность",D63="{12} Авансы выданные"),IF(C63="{252071}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средств",OR(D63="{11} Кредиторская задолженность",D63="{12} Авансы выданные"),IF(C63="{252019} Расчеты с Комитентами (Принципалами) по возмещению понесенных затрат при продаже продукции (работ, услуг) Комитента (Принципала)",OR(D63="{21} Дебиторская задолженность",D63="{22} Авансы полученные"),TRUE))))))))))</f>
        <v>1</v>
      </c>
      <c r="AQ63" s="2129" t="b">
        <f>IF(Содержание!$D$12="тыс. рублей",IF(AND(E63="{RUB} Российские рубли",P63&lt;&gt;0),FALSE,TRUE),TRUE)</f>
        <v>1</v>
      </c>
      <c r="AR63" s="2129" t="b">
        <f t="shared" ref="AR63" si="89">IF(COUNTBLANK(F63:W63)=13,TRUE,C63&lt;&gt;"")</f>
        <v>1</v>
      </c>
      <c r="AS63" s="2129" t="b">
        <f t="shared" ref="AS63" si="90">IF(COUNTBLANK(F63:W63)=13,TRUE,E63&lt;&gt;"")</f>
        <v>1</v>
      </c>
      <c r="AT63" s="3558" t="b">
        <f t="shared" si="33"/>
        <v>1</v>
      </c>
    </row>
    <row r="64" spans="1:46">
      <c r="A64" s="2427" t="str">
        <f t="shared" ref="A64" si="91">"R1="&amp;IFERROR(MID(C64,FIND("{",C64)+1,FIND("}",C64)-FIND("{",C64)-1),"")&amp;";R7="&amp;IFERROR("2552"&amp;MID(D64,FIND("{",D64)+1,FIND("}",D64)-FIND("{",D64)-1),"")&amp;";R2="&amp;IFERROR(MID(E64,FIND("{",E64)+1,FIND("}",E64)-FIND("{",E64)-1),"")&amp;";R35=100;COM="&amp;X64</f>
        <v>R1=;R7=;R2=;R35=100;COM=</v>
      </c>
      <c r="B64" s="601"/>
      <c r="C64" s="1331"/>
      <c r="D64" s="909"/>
      <c r="E64" s="1339"/>
      <c r="F64" s="1335"/>
      <c r="G64" s="1335"/>
      <c r="H64" s="1335"/>
      <c r="I64" s="1335"/>
      <c r="J64" s="1775">
        <f t="shared" ref="J64" si="92">F64-H64</f>
        <v>0</v>
      </c>
      <c r="K64" s="1775">
        <f t="shared" ref="K64" si="93">G64-I64</f>
        <v>0</v>
      </c>
      <c r="L64" s="1335"/>
      <c r="M64" s="1335"/>
      <c r="N64" s="1335"/>
      <c r="O64" s="1335"/>
      <c r="P64" s="1338"/>
      <c r="Q64" s="1335"/>
      <c r="R64" s="1335"/>
      <c r="S64" s="1332">
        <f t="shared" ref="S64" si="94">SUM(F64:G64,L64:Q64)-R64</f>
        <v>0</v>
      </c>
      <c r="T64" s="1335"/>
      <c r="U64" s="1509"/>
      <c r="V64" s="1775">
        <f t="shared" ref="V64" si="95">R64-T64</f>
        <v>0</v>
      </c>
      <c r="W64" s="1775">
        <f t="shared" ref="W64" si="96">S64-U64</f>
        <v>0</v>
      </c>
      <c r="X64" s="1336"/>
      <c r="Y64" s="3557" t="b">
        <f t="shared" si="26"/>
        <v>1</v>
      </c>
      <c r="Z64" s="2065" t="b">
        <f t="shared" si="27"/>
        <v>1</v>
      </c>
      <c r="AB64" s="2065" t="b">
        <f t="shared" ref="AB64" si="97">AND(IF(C64=$C$11,FALSE,TRUE),IF(C64=$C$13,FALSE,TRUE),IF(C64=$C$16,FALSE,TRUE),IF(C64=$C$17,FALSE,TRUE),IF(C64=$C$18,FALSE,TRUE))</f>
        <v>1</v>
      </c>
      <c r="AC64" s="2065" t="b">
        <f t="shared" ref="AC64" si="98">IF(C64="{252026} НДС по авансам полученным",OR(L64&gt;=0,L64&lt;=0),AND(IF(D64="{21} Дебиторская задолженность",L64&gt;=0,TRUE),IF(D64="{21} Дебиторская задолженность",IF(O64&lt;=0,TRUE,FALSE),TRUE),IF(D64="{12} Авансы выданные",O64&lt;=0,TRUE),IF(D64="{12} Авансы выданные",IF(L64=0,TRUE,FALSE),TRUE),IF(D64="{11} Кредиторская задолженность",L64&lt;=0,TRUE),IF(D64="{11} Кредиторская задолженность",IF(O64&gt;=0,TRUE,FALSE),TRUE),IF(D64="{22} Авансы полученные",O64&gt;=0,TRUE),IF(D64="{22} Авансы полученные",IF(L64=0,TRUE,FALSE),TRUE)))</f>
        <v>1</v>
      </c>
      <c r="AD64" s="2130" t="b">
        <f t="shared" ref="AD64" si="99">AND(IF(C64=$AA$44,IF(OR(D64=$AA$47,D64=$AA$46),TRUE,FALSE),TRUE),IF(C64=$AA$25,IF(OR(D64=$AA$48,D64=$AA$45),TRUE,FALSE),TRUE))</f>
        <v>1</v>
      </c>
      <c r="AE64" s="2654">
        <f>SUMIFS('60,62,63,76_контр'!$P$15:$P25019,'60,62,63,76_контр'!$J$15:$J25019,'76'!$C64,'60,62,63,76_контр'!$AX$15:$AX25019,'76'!$AI64,'60,62,63,76_контр'!$O$15:$O25019,'76'!$E64,'60,62,63,76_контр'!$C$15:$C25019,"76",'60,62,63,76_контр'!$N$15:$N25019,"{10} Долгосрочная",'60,62,63,76_контр'!$AY$15:$AY25019,"-")</f>
        <v>0</v>
      </c>
      <c r="AF64" s="2654">
        <f>SUMIFS('60,62,63,76_контр'!$P$15:$P25019,'60,62,63,76_контр'!$J$15:$J25019,'76'!$C64,'60,62,63,76_контр'!$AX$15:$AX25019,'76'!$AI64,'60,62,63,76_контр'!$O$15:$O25019,'76'!$E64,'60,62,63,76_контр'!$C$15:$C25019,"76",'60,62,63,76_контр'!$N$15:$N25019,"{20} Краткосрочная",'60,62,63,76_контр'!$AY$15:$AY25019,"-")</f>
        <v>0</v>
      </c>
      <c r="AG64" s="2654">
        <f>SUMIFS('60,62,63,76_контр'!$V$15:$V25019,'60,62,63,76_контр'!$J$15:$J25019,'76'!$C64,'60,62,63,76_контр'!$AX$15:$AX25019,'76'!$AI64,'60,62,63,76_контр'!$O$15:$O25019,'76'!$E64,'60,62,63,76_контр'!$C$15:$C25019,"76",'60,62,63,76_контр'!$N$15:$N25019,"{10} Долгосрочная",'60,62,63,76_контр'!$AY$15:$AY25019,"-")</f>
        <v>0</v>
      </c>
      <c r="AH64" s="2654">
        <f>SUMIFS('60,62,63,76_контр'!$V$15:$V25019,'60,62,63,76_контр'!$J$15:$J25019,'76'!$C64,'60,62,63,76_контр'!$AX$15:$AX25019,'76'!$AI64,'60,62,63,76_контр'!$O$15:$O25019,'76'!$E64,'60,62,63,76_контр'!$C$15:$C25019,"76",'60,62,63,76_контр'!$N$15:$N25019,"{20} Краткосрочная",'60,62,63,76_контр'!$AY$15:$AY25019,"-")</f>
        <v>0</v>
      </c>
      <c r="AI64" s="2266" t="str">
        <f t="shared" ref="AI64" si="100">IFERROR(RIGHT(D64,LEN(D64)-5),"")</f>
        <v/>
      </c>
      <c r="AJ64" s="2289" t="b">
        <f t="shared" ref="AJ64" si="101">IF(ABS(AE64-SUMIFS(T:T,C:C,C64,D:D,D64,E:E,E64))&lt;5,TRUE,FALSE)</f>
        <v>1</v>
      </c>
      <c r="AK64" s="2289" t="b">
        <f t="shared" ref="AK64" si="102">IF(ABS(AF64-SUMIFS(V:V,C:C,C64,D:D,D64,E:E,E64))&lt;5,TRUE,FALSE)</f>
        <v>1</v>
      </c>
      <c r="AL64" s="2129" t="b">
        <f t="shared" ref="AL64" si="103">IF(ABS(AG64-SUMIFS(U:U,C:C,C64,D:D,D64,E:E,E64))&lt;5,TRUE,FALSE)</f>
        <v>1</v>
      </c>
      <c r="AM64" s="2129" t="b">
        <f t="shared" ref="AM64" si="104">IF(ABS(AH64-SUMIFS(W:W,C:C,C64,D:D,D64,E:E,E64))&lt;5,TRUE,FALSE)</f>
        <v>1</v>
      </c>
      <c r="AP64" s="2129" t="b">
        <f t="shared" ref="AP64" si="105">IF(C64="{252026} НДС по авансам полученным",D64="{21} Дебиторская задолженность",IF(C64="{252073} НДС с авансов, выданных по капитальному строительству (перерасчетный)",D64="{11} Кредиторская задолженность",IF(C64="{252029} НДС по авансам выданным (перерасчетный) без капитального строительства",D64="{11} Кредиторская задолженность",IF(C64="{252025} НДС по авансам выданным (предварит) без кап строительства",D64="{21} Дебиторская задолженность",IF(C64="{252072} НДС с авансов, выданных по капитальному строительству (предварит)",D64="{21} Дебиторская задолженность",IF(C64="{252014} Расчеты с Агентами (Комиссионерами) по агентскому вознаграждению",OR(D64="{11} Кредиторская задолженность",D64="{12} Авансы выданные"),IF(C64="{252017} Расчеты с Комитентами (Принципалами) по агентскому вознаграждению",OR(D64="{21} Дебиторская задолженность",D64="{22} Авансы полученные"),IF(C64="{252012} Расчеты с Агентами (Комиссионерами) по возмещению понесенных затрат при продаже продукции (работ, услуг) Комитента (Принципала)",OR(D64="{11} Кредиторская задолженность",D64="{12} Авансы выданные"),IF(C64="{252071}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средств",OR(D64="{11} Кредиторская задолженность",D64="{12} Авансы выданные"),IF(C64="{252019} Расчеты с Комитентами (Принципалами) по возмещению понесенных затрат при продаже продукции (работ, услуг) Комитента (Принципала)",OR(D64="{21} Дебиторская задолженность",D64="{22} Авансы полученные"),TRUE))))))))))</f>
        <v>1</v>
      </c>
      <c r="AQ64" s="2129" t="b">
        <f>IF(Содержание!$D$12="тыс. рублей",IF(AND(E64="{RUB} Российские рубли",P64&lt;&gt;0),FALSE,TRUE),TRUE)</f>
        <v>1</v>
      </c>
      <c r="AR64" s="2129" t="b">
        <f t="shared" ref="AR64" si="106">IF(COUNTBLANK(F64:W64)=13,TRUE,C64&lt;&gt;"")</f>
        <v>1</v>
      </c>
      <c r="AS64" s="2129" t="b">
        <f t="shared" ref="AS64" si="107">IF(COUNTBLANK(F64:W64)=13,TRUE,E64&lt;&gt;"")</f>
        <v>1</v>
      </c>
      <c r="AT64" s="3558" t="b">
        <f t="shared" si="33"/>
        <v>1</v>
      </c>
    </row>
    <row r="65" spans="1:46">
      <c r="A65" s="2427" t="str">
        <f t="shared" ref="A65" si="108">"R1="&amp;IFERROR(MID(C65,FIND("{",C65)+1,FIND("}",C65)-FIND("{",C65)-1),"")&amp;";R7="&amp;IFERROR("2552"&amp;MID(D65,FIND("{",D65)+1,FIND("}",D65)-FIND("{",D65)-1),"")&amp;";R2="&amp;IFERROR(MID(E65,FIND("{",E65)+1,FIND("}",E65)-FIND("{",E65)-1),"")&amp;";R35=100;COM="&amp;X65</f>
        <v>R1=;R7=;R2=;R35=100;COM=</v>
      </c>
      <c r="B65" s="601"/>
      <c r="C65" s="1331"/>
      <c r="D65" s="909"/>
      <c r="E65" s="1339"/>
      <c r="F65" s="1335"/>
      <c r="G65" s="1335"/>
      <c r="H65" s="1335"/>
      <c r="I65" s="1335"/>
      <c r="J65" s="1775">
        <f t="shared" ref="J65" si="109">F65-H65</f>
        <v>0</v>
      </c>
      <c r="K65" s="1775">
        <f t="shared" ref="K65" si="110">G65-I65</f>
        <v>0</v>
      </c>
      <c r="L65" s="1335"/>
      <c r="M65" s="1335"/>
      <c r="N65" s="1335"/>
      <c r="O65" s="1335"/>
      <c r="P65" s="1338"/>
      <c r="Q65" s="1335"/>
      <c r="R65" s="1335"/>
      <c r="S65" s="1332">
        <f t="shared" ref="S65" si="111">SUM(F65:G65,L65:Q65)-R65</f>
        <v>0</v>
      </c>
      <c r="T65" s="1335"/>
      <c r="U65" s="1509"/>
      <c r="V65" s="1775">
        <f t="shared" ref="V65" si="112">R65-T65</f>
        <v>0</v>
      </c>
      <c r="W65" s="1775">
        <f t="shared" ref="W65" si="113">S65-U65</f>
        <v>0</v>
      </c>
      <c r="X65" s="1336"/>
      <c r="Y65" s="3557" t="b">
        <f t="shared" si="26"/>
        <v>1</v>
      </c>
      <c r="Z65" s="2065" t="b">
        <f t="shared" si="27"/>
        <v>1</v>
      </c>
      <c r="AB65" s="2065" t="b">
        <f t="shared" ref="AB65" si="114">AND(IF(C65=$C$11,FALSE,TRUE),IF(C65=$C$13,FALSE,TRUE),IF(C65=$C$16,FALSE,TRUE),IF(C65=$C$17,FALSE,TRUE),IF(C65=$C$18,FALSE,TRUE))</f>
        <v>1</v>
      </c>
      <c r="AC65" s="2065" t="b">
        <f t="shared" ref="AC65" si="115">IF(C65="{252026} НДС по авансам полученным",OR(L65&gt;=0,L65&lt;=0),AND(IF(D65="{21} Дебиторская задолженность",L65&gt;=0,TRUE),IF(D65="{21} Дебиторская задолженность",IF(O65&lt;=0,TRUE,FALSE),TRUE),IF(D65="{12} Авансы выданные",O65&lt;=0,TRUE),IF(D65="{12} Авансы выданные",IF(L65=0,TRUE,FALSE),TRUE),IF(D65="{11} Кредиторская задолженность",L65&lt;=0,TRUE),IF(D65="{11} Кредиторская задолженность",IF(O65&gt;=0,TRUE,FALSE),TRUE),IF(D65="{22} Авансы полученные",O65&gt;=0,TRUE),IF(D65="{22} Авансы полученные",IF(L65=0,TRUE,FALSE),TRUE)))</f>
        <v>1</v>
      </c>
      <c r="AD65" s="2130" t="b">
        <f t="shared" ref="AD65" si="116">AND(IF(C65=$AA$44,IF(OR(D65=$AA$47,D65=$AA$46),TRUE,FALSE),TRUE),IF(C65=$AA$25,IF(OR(D65=$AA$48,D65=$AA$45),TRUE,FALSE),TRUE))</f>
        <v>1</v>
      </c>
      <c r="AE65" s="2654">
        <f>SUMIFS('60,62,63,76_контр'!$P$15:$P25020,'60,62,63,76_контр'!$J$15:$J25020,'76'!$C65,'60,62,63,76_контр'!$AX$15:$AX25020,'76'!$AI65,'60,62,63,76_контр'!$O$15:$O25020,'76'!$E65,'60,62,63,76_контр'!$C$15:$C25020,"76",'60,62,63,76_контр'!$N$15:$N25020,"{10} Долгосрочная",'60,62,63,76_контр'!$AY$15:$AY25020,"-")</f>
        <v>0</v>
      </c>
      <c r="AF65" s="2654">
        <f>SUMIFS('60,62,63,76_контр'!$P$15:$P25020,'60,62,63,76_контр'!$J$15:$J25020,'76'!$C65,'60,62,63,76_контр'!$AX$15:$AX25020,'76'!$AI65,'60,62,63,76_контр'!$O$15:$O25020,'76'!$E65,'60,62,63,76_контр'!$C$15:$C25020,"76",'60,62,63,76_контр'!$N$15:$N25020,"{20} Краткосрочная",'60,62,63,76_контр'!$AY$15:$AY25020,"-")</f>
        <v>0</v>
      </c>
      <c r="AG65" s="2654">
        <f>SUMIFS('60,62,63,76_контр'!$V$15:$V25020,'60,62,63,76_контр'!$J$15:$J25020,'76'!$C65,'60,62,63,76_контр'!$AX$15:$AX25020,'76'!$AI65,'60,62,63,76_контр'!$O$15:$O25020,'76'!$E65,'60,62,63,76_контр'!$C$15:$C25020,"76",'60,62,63,76_контр'!$N$15:$N25020,"{10} Долгосрочная",'60,62,63,76_контр'!$AY$15:$AY25020,"-")</f>
        <v>0</v>
      </c>
      <c r="AH65" s="2654">
        <f>SUMIFS('60,62,63,76_контр'!$V$15:$V25020,'60,62,63,76_контр'!$J$15:$J25020,'76'!$C65,'60,62,63,76_контр'!$AX$15:$AX25020,'76'!$AI65,'60,62,63,76_контр'!$O$15:$O25020,'76'!$E65,'60,62,63,76_контр'!$C$15:$C25020,"76",'60,62,63,76_контр'!$N$15:$N25020,"{20} Краткосрочная",'60,62,63,76_контр'!$AY$15:$AY25020,"-")</f>
        <v>0</v>
      </c>
      <c r="AI65" s="2266" t="str">
        <f t="shared" ref="AI65" si="117">IFERROR(RIGHT(D65,LEN(D65)-5),"")</f>
        <v/>
      </c>
      <c r="AJ65" s="2289" t="b">
        <f t="shared" ref="AJ65" si="118">IF(ABS(AE65-SUMIFS(T:T,C:C,C65,D:D,D65,E:E,E65))&lt;5,TRUE,FALSE)</f>
        <v>1</v>
      </c>
      <c r="AK65" s="2289" t="b">
        <f t="shared" ref="AK65" si="119">IF(ABS(AF65-SUMIFS(V:V,C:C,C65,D:D,D65,E:E,E65))&lt;5,TRUE,FALSE)</f>
        <v>1</v>
      </c>
      <c r="AL65" s="2129" t="b">
        <f t="shared" ref="AL65" si="120">IF(ABS(AG65-SUMIFS(U:U,C:C,C65,D:D,D65,E:E,E65))&lt;5,TRUE,FALSE)</f>
        <v>1</v>
      </c>
      <c r="AM65" s="2129" t="b">
        <f t="shared" ref="AM65" si="121">IF(ABS(AH65-SUMIFS(W:W,C:C,C65,D:D,D65,E:E,E65))&lt;5,TRUE,FALSE)</f>
        <v>1</v>
      </c>
      <c r="AP65" s="2129" t="b">
        <f t="shared" ref="AP65" si="122">IF(C65="{252026} НДС по авансам полученным",D65="{21} Дебиторская задолженность",IF(C65="{252073} НДС с авансов, выданных по капитальному строительству (перерасчетный)",D65="{11} Кредиторская задолженность",IF(C65="{252029} НДС по авансам выданным (перерасчетный) без капитального строительства",D65="{11} Кредиторская задолженность",IF(C65="{252025} НДС по авансам выданным (предварит) без кап строительства",D65="{21} Дебиторская задолженность",IF(C65="{252072} НДС с авансов, выданных по капитальному строительству (предварит)",D65="{21} Дебиторская задолженность",IF(C65="{252014} Расчеты с Агентами (Комиссионерами) по агентскому вознаграждению",OR(D65="{11} Кредиторская задолженность",D65="{12} Авансы выданные"),IF(C65="{252017} Расчеты с Комитентами (Принципалами) по агентскому вознаграждению",OR(D65="{21} Дебиторская задолженность",D65="{22} Авансы полученные"),IF(C65="{252012} Расчеты с Агентами (Комиссионерами) по возмещению понесенных затрат при продаже продукции (работ, услуг) Комитента (Принципала)",OR(D65="{11} Кредиторская задолженность",D65="{12} Авансы выданные"),IF(C65="{252071}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средств",OR(D65="{11} Кредиторская задолженность",D65="{12} Авансы выданные"),IF(C65="{252019} Расчеты с Комитентами (Принципалами) по возмещению понесенных затрат при продаже продукции (работ, услуг) Комитента (Принципала)",OR(D65="{21} Дебиторская задолженность",D65="{22} Авансы полученные"),TRUE))))))))))</f>
        <v>1</v>
      </c>
      <c r="AQ65" s="2129" t="b">
        <f>IF(Содержание!$D$12="тыс. рублей",IF(AND(E65="{RUB} Российские рубли",P65&lt;&gt;0),FALSE,TRUE),TRUE)</f>
        <v>1</v>
      </c>
      <c r="AR65" s="2129" t="b">
        <f t="shared" ref="AR65" si="123">IF(COUNTBLANK(F65:W65)=13,TRUE,C65&lt;&gt;"")</f>
        <v>1</v>
      </c>
      <c r="AS65" s="2129" t="b">
        <f t="shared" ref="AS65" si="124">IF(COUNTBLANK(F65:W65)=13,TRUE,E65&lt;&gt;"")</f>
        <v>1</v>
      </c>
      <c r="AT65" s="3558" t="b">
        <f t="shared" si="33"/>
        <v>1</v>
      </c>
    </row>
    <row r="66" spans="1:46">
      <c r="A66" s="2427" t="str">
        <f t="shared" ref="A66" si="125">"R1="&amp;IFERROR(MID(C66,FIND("{",C66)+1,FIND("}",C66)-FIND("{",C66)-1),"")&amp;";R7="&amp;IFERROR("2552"&amp;MID(D66,FIND("{",D66)+1,FIND("}",D66)-FIND("{",D66)-1),"")&amp;";R2="&amp;IFERROR(MID(E66,FIND("{",E66)+1,FIND("}",E66)-FIND("{",E66)-1),"")&amp;";R35=100;COM="&amp;X66</f>
        <v>R1=;R7=;R2=;R35=100;COM=</v>
      </c>
      <c r="B66" s="601"/>
      <c r="C66" s="1331"/>
      <c r="D66" s="909"/>
      <c r="E66" s="1339"/>
      <c r="F66" s="1335"/>
      <c r="G66" s="1335"/>
      <c r="H66" s="1335"/>
      <c r="I66" s="1335"/>
      <c r="J66" s="1775">
        <f t="shared" ref="J66" si="126">F66-H66</f>
        <v>0</v>
      </c>
      <c r="K66" s="1775">
        <f t="shared" ref="K66" si="127">G66-I66</f>
        <v>0</v>
      </c>
      <c r="L66" s="1335"/>
      <c r="M66" s="1335"/>
      <c r="N66" s="1335"/>
      <c r="O66" s="1335"/>
      <c r="P66" s="1338"/>
      <c r="Q66" s="1335"/>
      <c r="R66" s="1335"/>
      <c r="S66" s="1332">
        <f t="shared" ref="S66" si="128">SUM(F66:G66,L66:Q66)-R66</f>
        <v>0</v>
      </c>
      <c r="T66" s="1335"/>
      <c r="U66" s="1509"/>
      <c r="V66" s="1775">
        <f t="shared" ref="V66" si="129">R66-T66</f>
        <v>0</v>
      </c>
      <c r="W66" s="1775">
        <f t="shared" ref="W66" si="130">S66-U66</f>
        <v>0</v>
      </c>
      <c r="X66" s="1336"/>
      <c r="Y66" s="3557" t="b">
        <f t="shared" si="26"/>
        <v>1</v>
      </c>
      <c r="Z66" s="2065" t="b">
        <f t="shared" si="27"/>
        <v>1</v>
      </c>
      <c r="AB66" s="2065" t="b">
        <f t="shared" ref="AB66" si="131">AND(IF(C66=$C$11,FALSE,TRUE),IF(C66=$C$13,FALSE,TRUE),IF(C66=$C$16,FALSE,TRUE),IF(C66=$C$17,FALSE,TRUE),IF(C66=$C$18,FALSE,TRUE))</f>
        <v>1</v>
      </c>
      <c r="AC66" s="2065" t="b">
        <f t="shared" ref="AC66" si="132">IF(C66="{252026} НДС по авансам полученным",OR(L66&gt;=0,L66&lt;=0),AND(IF(D66="{21} Дебиторская задолженность",L66&gt;=0,TRUE),IF(D66="{21} Дебиторская задолженность",IF(O66&lt;=0,TRUE,FALSE),TRUE),IF(D66="{12} Авансы выданные",O66&lt;=0,TRUE),IF(D66="{12} Авансы выданные",IF(L66=0,TRUE,FALSE),TRUE),IF(D66="{11} Кредиторская задолженность",L66&lt;=0,TRUE),IF(D66="{11} Кредиторская задолженность",IF(O66&gt;=0,TRUE,FALSE),TRUE),IF(D66="{22} Авансы полученные",O66&gt;=0,TRUE),IF(D66="{22} Авансы полученные",IF(L66=0,TRUE,FALSE),TRUE)))</f>
        <v>1</v>
      </c>
      <c r="AD66" s="2130" t="b">
        <f t="shared" ref="AD66" si="133">AND(IF(C66=$AA$44,IF(OR(D66=$AA$47,D66=$AA$46),TRUE,FALSE),TRUE),IF(C66=$AA$25,IF(OR(D66=$AA$48,D66=$AA$45),TRUE,FALSE),TRUE))</f>
        <v>1</v>
      </c>
      <c r="AE66" s="2654">
        <f>SUMIFS('60,62,63,76_контр'!$P$15:$P25021,'60,62,63,76_контр'!$J$15:$J25021,'76'!$C66,'60,62,63,76_контр'!$AX$15:$AX25021,'76'!$AI66,'60,62,63,76_контр'!$O$15:$O25021,'76'!$E66,'60,62,63,76_контр'!$C$15:$C25021,"76",'60,62,63,76_контр'!$N$15:$N25021,"{10} Долгосрочная",'60,62,63,76_контр'!$AY$15:$AY25021,"-")</f>
        <v>0</v>
      </c>
      <c r="AF66" s="2654">
        <f>SUMIFS('60,62,63,76_контр'!$P$15:$P25021,'60,62,63,76_контр'!$J$15:$J25021,'76'!$C66,'60,62,63,76_контр'!$AX$15:$AX25021,'76'!$AI66,'60,62,63,76_контр'!$O$15:$O25021,'76'!$E66,'60,62,63,76_контр'!$C$15:$C25021,"76",'60,62,63,76_контр'!$N$15:$N25021,"{20} Краткосрочная",'60,62,63,76_контр'!$AY$15:$AY25021,"-")</f>
        <v>0</v>
      </c>
      <c r="AG66" s="2654">
        <f>SUMIFS('60,62,63,76_контр'!$V$15:$V25021,'60,62,63,76_контр'!$J$15:$J25021,'76'!$C66,'60,62,63,76_контр'!$AX$15:$AX25021,'76'!$AI66,'60,62,63,76_контр'!$O$15:$O25021,'76'!$E66,'60,62,63,76_контр'!$C$15:$C25021,"76",'60,62,63,76_контр'!$N$15:$N25021,"{10} Долгосрочная",'60,62,63,76_контр'!$AY$15:$AY25021,"-")</f>
        <v>0</v>
      </c>
      <c r="AH66" s="2654">
        <f>SUMIFS('60,62,63,76_контр'!$V$15:$V25021,'60,62,63,76_контр'!$J$15:$J25021,'76'!$C66,'60,62,63,76_контр'!$AX$15:$AX25021,'76'!$AI66,'60,62,63,76_контр'!$O$15:$O25021,'76'!$E66,'60,62,63,76_контр'!$C$15:$C25021,"76",'60,62,63,76_контр'!$N$15:$N25021,"{20} Краткосрочная",'60,62,63,76_контр'!$AY$15:$AY25021,"-")</f>
        <v>0</v>
      </c>
      <c r="AI66" s="2266" t="str">
        <f t="shared" ref="AI66" si="134">IFERROR(RIGHT(D66,LEN(D66)-5),"")</f>
        <v/>
      </c>
      <c r="AJ66" s="2289" t="b">
        <f t="shared" ref="AJ66" si="135">IF(ABS(AE66-SUMIFS(T:T,C:C,C66,D:D,D66,E:E,E66))&lt;5,TRUE,FALSE)</f>
        <v>1</v>
      </c>
      <c r="AK66" s="2289" t="b">
        <f t="shared" ref="AK66" si="136">IF(ABS(AF66-SUMIFS(V:V,C:C,C66,D:D,D66,E:E,E66))&lt;5,TRUE,FALSE)</f>
        <v>1</v>
      </c>
      <c r="AL66" s="2129" t="b">
        <f t="shared" ref="AL66" si="137">IF(ABS(AG66-SUMIFS(U:U,C:C,C66,D:D,D66,E:E,E66))&lt;5,TRUE,FALSE)</f>
        <v>1</v>
      </c>
      <c r="AM66" s="2129" t="b">
        <f t="shared" ref="AM66" si="138">IF(ABS(AH66-SUMIFS(W:W,C:C,C66,D:D,D66,E:E,E66))&lt;5,TRUE,FALSE)</f>
        <v>1</v>
      </c>
      <c r="AP66" s="2129" t="b">
        <f t="shared" ref="AP66" si="139">IF(C66="{252026} НДС по авансам полученным",D66="{21} Дебиторская задолженность",IF(C66="{252073} НДС с авансов, выданных по капитальному строительству (перерасчетный)",D66="{11} Кредиторская задолженность",IF(C66="{252029} НДС по авансам выданным (перерасчетный) без капитального строительства",D66="{11} Кредиторская задолженность",IF(C66="{252025} НДС по авансам выданным (предварит) без кап строительства",D66="{21} Дебиторская задолженность",IF(C66="{252072} НДС с авансов, выданных по капитальному строительству (предварит)",D66="{21} Дебиторская задолженность",IF(C66="{252014} Расчеты с Агентами (Комиссионерами) по агентскому вознаграждению",OR(D66="{11} Кредиторская задолженность",D66="{12} Авансы выданные"),IF(C66="{252017} Расчеты с Комитентами (Принципалами) по агентскому вознаграждению",OR(D66="{21} Дебиторская задолженность",D66="{22} Авансы полученные"),IF(C66="{252012} Расчеты с Агентами (Комиссионерами) по возмещению понесенных затрат при продаже продукции (работ, услуг) Комитента (Принципала)",OR(D66="{11} Кредиторская задолженность",D66="{12} Авансы выданные"),IF(C66="{252071}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средств",OR(D66="{11} Кредиторская задолженность",D66="{12} Авансы выданные"),IF(C66="{252019} Расчеты с Комитентами (Принципалами) по возмещению понесенных затрат при продаже продукции (работ, услуг) Комитента (Принципала)",OR(D66="{21} Дебиторская задолженность",D66="{22} Авансы полученные"),TRUE))))))))))</f>
        <v>1</v>
      </c>
      <c r="AQ66" s="2129" t="b">
        <f>IF(Содержание!$D$12="тыс. рублей",IF(AND(E66="{RUB} Российские рубли",P66&lt;&gt;0),FALSE,TRUE),TRUE)</f>
        <v>1</v>
      </c>
      <c r="AR66" s="2129" t="b">
        <f t="shared" ref="AR66" si="140">IF(COUNTBLANK(F66:W66)=13,TRUE,C66&lt;&gt;"")</f>
        <v>1</v>
      </c>
      <c r="AS66" s="2129" t="b">
        <f t="shared" ref="AS66" si="141">IF(COUNTBLANK(F66:W66)=13,TRUE,E66&lt;&gt;"")</f>
        <v>1</v>
      </c>
      <c r="AT66" s="3558" t="b">
        <f t="shared" si="33"/>
        <v>1</v>
      </c>
    </row>
    <row r="67" spans="1:46">
      <c r="A67" s="2427" t="str">
        <f t="shared" ref="A67" si="142">"R1="&amp;IFERROR(MID(C67,FIND("{",C67)+1,FIND("}",C67)-FIND("{",C67)-1),"")&amp;";R7="&amp;IFERROR("2552"&amp;MID(D67,FIND("{",D67)+1,FIND("}",D67)-FIND("{",D67)-1),"")&amp;";R2="&amp;IFERROR(MID(E67,FIND("{",E67)+1,FIND("}",E67)-FIND("{",E67)-1),"")&amp;";R35=100;COM="&amp;X67</f>
        <v>R1=;R7=;R2=;R35=100;COM=</v>
      </c>
      <c r="B67" s="601"/>
      <c r="C67" s="1331"/>
      <c r="D67" s="909"/>
      <c r="E67" s="1339"/>
      <c r="F67" s="1335"/>
      <c r="G67" s="1335"/>
      <c r="H67" s="1335"/>
      <c r="I67" s="1335"/>
      <c r="J67" s="1775">
        <f t="shared" ref="J67" si="143">F67-H67</f>
        <v>0</v>
      </c>
      <c r="K67" s="1775">
        <f t="shared" ref="K67" si="144">G67-I67</f>
        <v>0</v>
      </c>
      <c r="L67" s="1335"/>
      <c r="M67" s="1335"/>
      <c r="N67" s="1335"/>
      <c r="O67" s="1335"/>
      <c r="P67" s="1338"/>
      <c r="Q67" s="1335"/>
      <c r="R67" s="1335"/>
      <c r="S67" s="1332">
        <f t="shared" ref="S67" si="145">SUM(F67:G67,L67:Q67)-R67</f>
        <v>0</v>
      </c>
      <c r="T67" s="1335"/>
      <c r="U67" s="1509"/>
      <c r="V67" s="1775">
        <f t="shared" ref="V67" si="146">R67-T67</f>
        <v>0</v>
      </c>
      <c r="W67" s="1775">
        <f t="shared" ref="W67" si="147">S67-U67</f>
        <v>0</v>
      </c>
      <c r="X67" s="1336"/>
      <c r="Y67" s="3557" t="b">
        <f t="shared" si="26"/>
        <v>1</v>
      </c>
      <c r="Z67" s="2065" t="b">
        <f t="shared" si="27"/>
        <v>1</v>
      </c>
      <c r="AB67" s="2065" t="b">
        <f t="shared" ref="AB67" si="148">AND(IF(C67=$C$11,FALSE,TRUE),IF(C67=$C$13,FALSE,TRUE),IF(C67=$C$16,FALSE,TRUE),IF(C67=$C$17,FALSE,TRUE),IF(C67=$C$18,FALSE,TRUE))</f>
        <v>1</v>
      </c>
      <c r="AC67" s="2065" t="b">
        <f t="shared" ref="AC67" si="149">IF(C67="{252026} НДС по авансам полученным",OR(L67&gt;=0,L67&lt;=0),AND(IF(D67="{21} Дебиторская задолженность",L67&gt;=0,TRUE),IF(D67="{21} Дебиторская задолженность",IF(O67&lt;=0,TRUE,FALSE),TRUE),IF(D67="{12} Авансы выданные",O67&lt;=0,TRUE),IF(D67="{12} Авансы выданные",IF(L67=0,TRUE,FALSE),TRUE),IF(D67="{11} Кредиторская задолженность",L67&lt;=0,TRUE),IF(D67="{11} Кредиторская задолженность",IF(O67&gt;=0,TRUE,FALSE),TRUE),IF(D67="{22} Авансы полученные",O67&gt;=0,TRUE),IF(D67="{22} Авансы полученные",IF(L67=0,TRUE,FALSE),TRUE)))</f>
        <v>1</v>
      </c>
      <c r="AD67" s="2130" t="b">
        <f t="shared" ref="AD67" si="150">AND(IF(C67=$AA$44,IF(OR(D67=$AA$47,D67=$AA$46),TRUE,FALSE),TRUE),IF(C67=$AA$25,IF(OR(D67=$AA$48,D67=$AA$45),TRUE,FALSE),TRUE))</f>
        <v>1</v>
      </c>
      <c r="AE67" s="2654">
        <f>SUMIFS('60,62,63,76_контр'!$P$15:$P25022,'60,62,63,76_контр'!$J$15:$J25022,'76'!$C67,'60,62,63,76_контр'!$AX$15:$AX25022,'76'!$AI67,'60,62,63,76_контр'!$O$15:$O25022,'76'!$E67,'60,62,63,76_контр'!$C$15:$C25022,"76",'60,62,63,76_контр'!$N$15:$N25022,"{10} Долгосрочная",'60,62,63,76_контр'!$AY$15:$AY25022,"-")</f>
        <v>0</v>
      </c>
      <c r="AF67" s="2654">
        <f>SUMIFS('60,62,63,76_контр'!$P$15:$P25022,'60,62,63,76_контр'!$J$15:$J25022,'76'!$C67,'60,62,63,76_контр'!$AX$15:$AX25022,'76'!$AI67,'60,62,63,76_контр'!$O$15:$O25022,'76'!$E67,'60,62,63,76_контр'!$C$15:$C25022,"76",'60,62,63,76_контр'!$N$15:$N25022,"{20} Краткосрочная",'60,62,63,76_контр'!$AY$15:$AY25022,"-")</f>
        <v>0</v>
      </c>
      <c r="AG67" s="2654">
        <f>SUMIFS('60,62,63,76_контр'!$V$15:$V25022,'60,62,63,76_контр'!$J$15:$J25022,'76'!$C67,'60,62,63,76_контр'!$AX$15:$AX25022,'76'!$AI67,'60,62,63,76_контр'!$O$15:$O25022,'76'!$E67,'60,62,63,76_контр'!$C$15:$C25022,"76",'60,62,63,76_контр'!$N$15:$N25022,"{10} Долгосрочная",'60,62,63,76_контр'!$AY$15:$AY25022,"-")</f>
        <v>0</v>
      </c>
      <c r="AH67" s="2654">
        <f>SUMIFS('60,62,63,76_контр'!$V$15:$V25022,'60,62,63,76_контр'!$J$15:$J25022,'76'!$C67,'60,62,63,76_контр'!$AX$15:$AX25022,'76'!$AI67,'60,62,63,76_контр'!$O$15:$O25022,'76'!$E67,'60,62,63,76_контр'!$C$15:$C25022,"76",'60,62,63,76_контр'!$N$15:$N25022,"{20} Краткосрочная",'60,62,63,76_контр'!$AY$15:$AY25022,"-")</f>
        <v>0</v>
      </c>
      <c r="AI67" s="2266" t="str">
        <f t="shared" ref="AI67" si="151">IFERROR(RIGHT(D67,LEN(D67)-5),"")</f>
        <v/>
      </c>
      <c r="AJ67" s="2289" t="b">
        <f t="shared" ref="AJ67" si="152">IF(ABS(AE67-SUMIFS(T:T,C:C,C67,D:D,D67,E:E,E67))&lt;5,TRUE,FALSE)</f>
        <v>1</v>
      </c>
      <c r="AK67" s="2289" t="b">
        <f t="shared" ref="AK67" si="153">IF(ABS(AF67-SUMIFS(V:V,C:C,C67,D:D,D67,E:E,E67))&lt;5,TRUE,FALSE)</f>
        <v>1</v>
      </c>
      <c r="AL67" s="2129" t="b">
        <f t="shared" ref="AL67" si="154">IF(ABS(AG67-SUMIFS(U:U,C:C,C67,D:D,D67,E:E,E67))&lt;5,TRUE,FALSE)</f>
        <v>1</v>
      </c>
      <c r="AM67" s="2129" t="b">
        <f t="shared" ref="AM67" si="155">IF(ABS(AH67-SUMIFS(W:W,C:C,C67,D:D,D67,E:E,E67))&lt;5,TRUE,FALSE)</f>
        <v>1</v>
      </c>
      <c r="AP67" s="2129" t="b">
        <f t="shared" ref="AP67" si="156">IF(C67="{252026} НДС по авансам полученным",D67="{21} Дебиторская задолженность",IF(C67="{252073} НДС с авансов, выданных по капитальному строительству (перерасчетный)",D67="{11} Кредиторская задолженность",IF(C67="{252029} НДС по авансам выданным (перерасчетный) без капитального строительства",D67="{11} Кредиторская задолженность",IF(C67="{252025} НДС по авансам выданным (предварит) без кап строительства",D67="{21} Дебиторская задолженность",IF(C67="{252072} НДС с авансов, выданных по капитальному строительству (предварит)",D67="{21} Дебиторская задолженность",IF(C67="{252014} Расчеты с Агентами (Комиссионерами) по агентскому вознаграждению",OR(D67="{11} Кредиторская задолженность",D67="{12} Авансы выданные"),IF(C67="{252017} Расчеты с Комитентами (Принципалами) по агентскому вознаграждению",OR(D67="{21} Дебиторская задолженность",D67="{22} Авансы полученные"),IF(C67="{252012} Расчеты с Агентами (Комиссионерами) по возмещению понесенных затрат при продаже продукции (работ, услуг) Комитента (Принципала)",OR(D67="{11} Кредиторская задолженность",D67="{12} Авансы выданные"),IF(C67="{252071}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средств",OR(D67="{11} Кредиторская задолженность",D67="{12} Авансы выданные"),IF(C67="{252019} Расчеты с Комитентами (Принципалами) по возмещению понесенных затрат при продаже продукции (работ, услуг) Комитента (Принципала)",OR(D67="{21} Дебиторская задолженность",D67="{22} Авансы полученные"),TRUE))))))))))</f>
        <v>1</v>
      </c>
      <c r="AQ67" s="2129" t="b">
        <f>IF(Содержание!$D$12="тыс. рублей",IF(AND(E67="{RUB} Российские рубли",P67&lt;&gt;0),FALSE,TRUE),TRUE)</f>
        <v>1</v>
      </c>
      <c r="AR67" s="2129" t="b">
        <f t="shared" ref="AR67" si="157">IF(COUNTBLANK(F67:W67)=13,TRUE,C67&lt;&gt;"")</f>
        <v>1</v>
      </c>
      <c r="AS67" s="2129" t="b">
        <f t="shared" ref="AS67" si="158">IF(COUNTBLANK(F67:W67)=13,TRUE,E67&lt;&gt;"")</f>
        <v>1</v>
      </c>
      <c r="AT67" s="3558" t="b">
        <f t="shared" si="33"/>
        <v>1</v>
      </c>
    </row>
    <row r="68" spans="1:46">
      <c r="A68" s="2427" t="str">
        <f t="shared" ref="A68" si="159">"R1="&amp;IFERROR(MID(C68,FIND("{",C68)+1,FIND("}",C68)-FIND("{",C68)-1),"")&amp;";R7="&amp;IFERROR("2552"&amp;MID(D68,FIND("{",D68)+1,FIND("}",D68)-FIND("{",D68)-1),"")&amp;";R2="&amp;IFERROR(MID(E68,FIND("{",E68)+1,FIND("}",E68)-FIND("{",E68)-1),"")&amp;";R35=100;COM="&amp;X68</f>
        <v>R1=;R7=;R2=;R35=100;COM=</v>
      </c>
      <c r="B68" s="601"/>
      <c r="C68" s="1331"/>
      <c r="D68" s="909"/>
      <c r="E68" s="1339"/>
      <c r="F68" s="1335"/>
      <c r="G68" s="1335"/>
      <c r="H68" s="1335"/>
      <c r="I68" s="1335"/>
      <c r="J68" s="1775">
        <f t="shared" ref="J68" si="160">F68-H68</f>
        <v>0</v>
      </c>
      <c r="K68" s="1775">
        <f t="shared" ref="K68" si="161">G68-I68</f>
        <v>0</v>
      </c>
      <c r="L68" s="1335"/>
      <c r="M68" s="1335"/>
      <c r="N68" s="1335"/>
      <c r="O68" s="1335"/>
      <c r="P68" s="1338"/>
      <c r="Q68" s="1335"/>
      <c r="R68" s="1335"/>
      <c r="S68" s="1332">
        <f t="shared" ref="S68" si="162">SUM(F68:G68,L68:Q68)-R68</f>
        <v>0</v>
      </c>
      <c r="T68" s="1335"/>
      <c r="U68" s="1509"/>
      <c r="V68" s="1775">
        <f t="shared" ref="V68" si="163">R68-T68</f>
        <v>0</v>
      </c>
      <c r="W68" s="1775">
        <f t="shared" ref="W68" si="164">S68-U68</f>
        <v>0</v>
      </c>
      <c r="X68" s="1336"/>
      <c r="Y68" s="3557" t="b">
        <f t="shared" si="26"/>
        <v>1</v>
      </c>
      <c r="Z68" s="2065" t="b">
        <f t="shared" si="27"/>
        <v>1</v>
      </c>
      <c r="AB68" s="2065" t="b">
        <f t="shared" ref="AB68" si="165">AND(IF(C68=$C$11,FALSE,TRUE),IF(C68=$C$13,FALSE,TRUE),IF(C68=$C$16,FALSE,TRUE),IF(C68=$C$17,FALSE,TRUE),IF(C68=$C$18,FALSE,TRUE))</f>
        <v>1</v>
      </c>
      <c r="AC68" s="2065" t="b">
        <f t="shared" ref="AC68" si="166">IF(C68="{252026} НДС по авансам полученным",OR(L68&gt;=0,L68&lt;=0),AND(IF(D68="{21} Дебиторская задолженность",L68&gt;=0,TRUE),IF(D68="{21} Дебиторская задолженность",IF(O68&lt;=0,TRUE,FALSE),TRUE),IF(D68="{12} Авансы выданные",O68&lt;=0,TRUE),IF(D68="{12} Авансы выданные",IF(L68=0,TRUE,FALSE),TRUE),IF(D68="{11} Кредиторская задолженность",L68&lt;=0,TRUE),IF(D68="{11} Кредиторская задолженность",IF(O68&gt;=0,TRUE,FALSE),TRUE),IF(D68="{22} Авансы полученные",O68&gt;=0,TRUE),IF(D68="{22} Авансы полученные",IF(L68=0,TRUE,FALSE),TRUE)))</f>
        <v>1</v>
      </c>
      <c r="AD68" s="2130" t="b">
        <f t="shared" ref="AD68" si="167">AND(IF(C68=$AA$44,IF(OR(D68=$AA$47,D68=$AA$46),TRUE,FALSE),TRUE),IF(C68=$AA$25,IF(OR(D68=$AA$48,D68=$AA$45),TRUE,FALSE),TRUE))</f>
        <v>1</v>
      </c>
      <c r="AE68" s="2654">
        <f>SUMIFS('60,62,63,76_контр'!$P$15:$P25023,'60,62,63,76_контр'!$J$15:$J25023,'76'!$C68,'60,62,63,76_контр'!$AX$15:$AX25023,'76'!$AI68,'60,62,63,76_контр'!$O$15:$O25023,'76'!$E68,'60,62,63,76_контр'!$C$15:$C25023,"76",'60,62,63,76_контр'!$N$15:$N25023,"{10} Долгосрочная",'60,62,63,76_контр'!$AY$15:$AY25023,"-")</f>
        <v>0</v>
      </c>
      <c r="AF68" s="2654">
        <f>SUMIFS('60,62,63,76_контр'!$P$15:$P25023,'60,62,63,76_контр'!$J$15:$J25023,'76'!$C68,'60,62,63,76_контр'!$AX$15:$AX25023,'76'!$AI68,'60,62,63,76_контр'!$O$15:$O25023,'76'!$E68,'60,62,63,76_контр'!$C$15:$C25023,"76",'60,62,63,76_контр'!$N$15:$N25023,"{20} Краткосрочная",'60,62,63,76_контр'!$AY$15:$AY25023,"-")</f>
        <v>0</v>
      </c>
      <c r="AG68" s="2654">
        <f>SUMIFS('60,62,63,76_контр'!$V$15:$V25023,'60,62,63,76_контр'!$J$15:$J25023,'76'!$C68,'60,62,63,76_контр'!$AX$15:$AX25023,'76'!$AI68,'60,62,63,76_контр'!$O$15:$O25023,'76'!$E68,'60,62,63,76_контр'!$C$15:$C25023,"76",'60,62,63,76_контр'!$N$15:$N25023,"{10} Долгосрочная",'60,62,63,76_контр'!$AY$15:$AY25023,"-")</f>
        <v>0</v>
      </c>
      <c r="AH68" s="2654">
        <f>SUMIFS('60,62,63,76_контр'!$V$15:$V25023,'60,62,63,76_контр'!$J$15:$J25023,'76'!$C68,'60,62,63,76_контр'!$AX$15:$AX25023,'76'!$AI68,'60,62,63,76_контр'!$O$15:$O25023,'76'!$E68,'60,62,63,76_контр'!$C$15:$C25023,"76",'60,62,63,76_контр'!$N$15:$N25023,"{20} Краткосрочная",'60,62,63,76_контр'!$AY$15:$AY25023,"-")</f>
        <v>0</v>
      </c>
      <c r="AI68" s="2266" t="str">
        <f t="shared" ref="AI68" si="168">IFERROR(RIGHT(D68,LEN(D68)-5),"")</f>
        <v/>
      </c>
      <c r="AJ68" s="2289" t="b">
        <f t="shared" ref="AJ68" si="169">IF(ABS(AE68-SUMIFS(T:T,C:C,C68,D:D,D68,E:E,E68))&lt;5,TRUE,FALSE)</f>
        <v>1</v>
      </c>
      <c r="AK68" s="2289" t="b">
        <f t="shared" ref="AK68" si="170">IF(ABS(AF68-SUMIFS(V:V,C:C,C68,D:D,D68,E:E,E68))&lt;5,TRUE,FALSE)</f>
        <v>1</v>
      </c>
      <c r="AL68" s="2129" t="b">
        <f t="shared" ref="AL68" si="171">IF(ABS(AG68-SUMIFS(U:U,C:C,C68,D:D,D68,E:E,E68))&lt;5,TRUE,FALSE)</f>
        <v>1</v>
      </c>
      <c r="AM68" s="2129" t="b">
        <f t="shared" ref="AM68" si="172">IF(ABS(AH68-SUMIFS(W:W,C:C,C68,D:D,D68,E:E,E68))&lt;5,TRUE,FALSE)</f>
        <v>1</v>
      </c>
      <c r="AP68" s="2129" t="b">
        <f t="shared" ref="AP68" si="173">IF(C68="{252026} НДС по авансам полученным",D68="{21} Дебиторская задолженность",IF(C68="{252073} НДС с авансов, выданных по капитальному строительству (перерасчетный)",D68="{11} Кредиторская задолженность",IF(C68="{252029} НДС по авансам выданным (перерасчетный) без капитального строительства",D68="{11} Кредиторская задолженность",IF(C68="{252025} НДС по авансам выданным (предварит) без кап строительства",D68="{21} Дебиторская задолженность",IF(C68="{252072} НДС с авансов, выданных по капитальному строительству (предварит)",D68="{21} Дебиторская задолженность",IF(C68="{252014} Расчеты с Агентами (Комиссионерами) по агентскому вознаграждению",OR(D68="{11} Кредиторская задолженность",D68="{12} Авансы выданные"),IF(C68="{252017} Расчеты с Комитентами (Принципалами) по агентскому вознаграждению",OR(D68="{21} Дебиторская задолженность",D68="{22} Авансы полученные"),IF(C68="{252012} Расчеты с Агентами (Комиссионерами) по возмещению понесенных затрат при продаже продукции (работ, услуг) Комитента (Принципала)",OR(D68="{11} Кредиторская задолженность",D68="{12} Авансы выданные"),IF(C68="{252071}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средств",OR(D68="{11} Кредиторская задолженность",D68="{12} Авансы выданные"),IF(C68="{252019} Расчеты с Комитентами (Принципалами) по возмещению понесенных затрат при продаже продукции (работ, услуг) Комитента (Принципала)",OR(D68="{21} Дебиторская задолженность",D68="{22} Авансы полученные"),TRUE))))))))))</f>
        <v>1</v>
      </c>
      <c r="AQ68" s="2129" t="b">
        <f>IF(Содержание!$D$12="тыс. рублей",IF(AND(E68="{RUB} Российские рубли",P68&lt;&gt;0),FALSE,TRUE),TRUE)</f>
        <v>1</v>
      </c>
      <c r="AR68" s="2129" t="b">
        <f t="shared" ref="AR68" si="174">IF(COUNTBLANK(F68:W68)=13,TRUE,C68&lt;&gt;"")</f>
        <v>1</v>
      </c>
      <c r="AS68" s="2129" t="b">
        <f t="shared" ref="AS68" si="175">IF(COUNTBLANK(F68:W68)=13,TRUE,E68&lt;&gt;"")</f>
        <v>1</v>
      </c>
      <c r="AT68" s="3558" t="b">
        <f t="shared" si="33"/>
        <v>1</v>
      </c>
    </row>
    <row r="69" spans="1:46">
      <c r="A69" s="2427" t="str">
        <f t="shared" ref="A69" si="176">"R1="&amp;IFERROR(MID(C69,FIND("{",C69)+1,FIND("}",C69)-FIND("{",C69)-1),"")&amp;";R7="&amp;IFERROR("2552"&amp;MID(D69,FIND("{",D69)+1,FIND("}",D69)-FIND("{",D69)-1),"")&amp;";R2="&amp;IFERROR(MID(E69,FIND("{",E69)+1,FIND("}",E69)-FIND("{",E69)-1),"")&amp;";R35=100;COM="&amp;X69</f>
        <v>R1=;R7=;R2=;R35=100;COM=</v>
      </c>
      <c r="B69" s="601"/>
      <c r="C69" s="1331"/>
      <c r="D69" s="909"/>
      <c r="E69" s="1339"/>
      <c r="F69" s="1335"/>
      <c r="G69" s="1335"/>
      <c r="H69" s="1335"/>
      <c r="I69" s="1335"/>
      <c r="J69" s="1775">
        <f t="shared" ref="J69" si="177">F69-H69</f>
        <v>0</v>
      </c>
      <c r="K69" s="1775">
        <f t="shared" ref="K69" si="178">G69-I69</f>
        <v>0</v>
      </c>
      <c r="L69" s="1335"/>
      <c r="M69" s="1335"/>
      <c r="N69" s="1335"/>
      <c r="O69" s="1335"/>
      <c r="P69" s="1338"/>
      <c r="Q69" s="1335"/>
      <c r="R69" s="1335"/>
      <c r="S69" s="1332">
        <f t="shared" ref="S69" si="179">SUM(F69:G69,L69:Q69)-R69</f>
        <v>0</v>
      </c>
      <c r="T69" s="1335"/>
      <c r="U69" s="1509"/>
      <c r="V69" s="1775">
        <f t="shared" ref="V69" si="180">R69-T69</f>
        <v>0</v>
      </c>
      <c r="W69" s="1775">
        <f t="shared" ref="W69" si="181">S69-U69</f>
        <v>0</v>
      </c>
      <c r="X69" s="1336"/>
      <c r="Y69" s="3557" t="b">
        <f t="shared" si="26"/>
        <v>1</v>
      </c>
      <c r="Z69" s="2065" t="b">
        <f t="shared" si="27"/>
        <v>1</v>
      </c>
      <c r="AB69" s="2065" t="b">
        <f t="shared" ref="AB69" si="182">AND(IF(C69=$C$11,FALSE,TRUE),IF(C69=$C$13,FALSE,TRUE),IF(C69=$C$16,FALSE,TRUE),IF(C69=$C$17,FALSE,TRUE),IF(C69=$C$18,FALSE,TRUE))</f>
        <v>1</v>
      </c>
      <c r="AC69" s="2065" t="b">
        <f t="shared" ref="AC69" si="183">IF(C69="{252026} НДС по авансам полученным",OR(L69&gt;=0,L69&lt;=0),AND(IF(D69="{21} Дебиторская задолженность",L69&gt;=0,TRUE),IF(D69="{21} Дебиторская задолженность",IF(O69&lt;=0,TRUE,FALSE),TRUE),IF(D69="{12} Авансы выданные",O69&lt;=0,TRUE),IF(D69="{12} Авансы выданные",IF(L69=0,TRUE,FALSE),TRUE),IF(D69="{11} Кредиторская задолженность",L69&lt;=0,TRUE),IF(D69="{11} Кредиторская задолженность",IF(O69&gt;=0,TRUE,FALSE),TRUE),IF(D69="{22} Авансы полученные",O69&gt;=0,TRUE),IF(D69="{22} Авансы полученные",IF(L69=0,TRUE,FALSE),TRUE)))</f>
        <v>1</v>
      </c>
      <c r="AD69" s="2130" t="b">
        <f t="shared" ref="AD69" si="184">AND(IF(C69=$AA$44,IF(OR(D69=$AA$47,D69=$AA$46),TRUE,FALSE),TRUE),IF(C69=$AA$25,IF(OR(D69=$AA$48,D69=$AA$45),TRUE,FALSE),TRUE))</f>
        <v>1</v>
      </c>
      <c r="AE69" s="2654">
        <f>SUMIFS('60,62,63,76_контр'!$P$15:$P25024,'60,62,63,76_контр'!$J$15:$J25024,'76'!$C69,'60,62,63,76_контр'!$AX$15:$AX25024,'76'!$AI69,'60,62,63,76_контр'!$O$15:$O25024,'76'!$E69,'60,62,63,76_контр'!$C$15:$C25024,"76",'60,62,63,76_контр'!$N$15:$N25024,"{10} Долгосрочная",'60,62,63,76_контр'!$AY$15:$AY25024,"-")</f>
        <v>0</v>
      </c>
      <c r="AF69" s="2654">
        <f>SUMIFS('60,62,63,76_контр'!$P$15:$P25024,'60,62,63,76_контр'!$J$15:$J25024,'76'!$C69,'60,62,63,76_контр'!$AX$15:$AX25024,'76'!$AI69,'60,62,63,76_контр'!$O$15:$O25024,'76'!$E69,'60,62,63,76_контр'!$C$15:$C25024,"76",'60,62,63,76_контр'!$N$15:$N25024,"{20} Краткосрочная",'60,62,63,76_контр'!$AY$15:$AY25024,"-")</f>
        <v>0</v>
      </c>
      <c r="AG69" s="2654">
        <f>SUMIFS('60,62,63,76_контр'!$V$15:$V25024,'60,62,63,76_контр'!$J$15:$J25024,'76'!$C69,'60,62,63,76_контр'!$AX$15:$AX25024,'76'!$AI69,'60,62,63,76_контр'!$O$15:$O25024,'76'!$E69,'60,62,63,76_контр'!$C$15:$C25024,"76",'60,62,63,76_контр'!$N$15:$N25024,"{10} Долгосрочная",'60,62,63,76_контр'!$AY$15:$AY25024,"-")</f>
        <v>0</v>
      </c>
      <c r="AH69" s="2654">
        <f>SUMIFS('60,62,63,76_контр'!$V$15:$V25024,'60,62,63,76_контр'!$J$15:$J25024,'76'!$C69,'60,62,63,76_контр'!$AX$15:$AX25024,'76'!$AI69,'60,62,63,76_контр'!$O$15:$O25024,'76'!$E69,'60,62,63,76_контр'!$C$15:$C25024,"76",'60,62,63,76_контр'!$N$15:$N25024,"{20} Краткосрочная",'60,62,63,76_контр'!$AY$15:$AY25024,"-")</f>
        <v>0</v>
      </c>
      <c r="AI69" s="2266" t="str">
        <f t="shared" ref="AI69" si="185">IFERROR(RIGHT(D69,LEN(D69)-5),"")</f>
        <v/>
      </c>
      <c r="AJ69" s="2289" t="b">
        <f t="shared" ref="AJ69" si="186">IF(ABS(AE69-SUMIFS(T:T,C:C,C69,D:D,D69,E:E,E69))&lt;5,TRUE,FALSE)</f>
        <v>1</v>
      </c>
      <c r="AK69" s="2289" t="b">
        <f t="shared" ref="AK69" si="187">IF(ABS(AF69-SUMIFS(V:V,C:C,C69,D:D,D69,E:E,E69))&lt;5,TRUE,FALSE)</f>
        <v>1</v>
      </c>
      <c r="AL69" s="2129" t="b">
        <f t="shared" ref="AL69" si="188">IF(ABS(AG69-SUMIFS(U:U,C:C,C69,D:D,D69,E:E,E69))&lt;5,TRUE,FALSE)</f>
        <v>1</v>
      </c>
      <c r="AM69" s="2129" t="b">
        <f t="shared" ref="AM69" si="189">IF(ABS(AH69-SUMIFS(W:W,C:C,C69,D:D,D69,E:E,E69))&lt;5,TRUE,FALSE)</f>
        <v>1</v>
      </c>
      <c r="AP69" s="2129" t="b">
        <f t="shared" ref="AP69" si="190">IF(C69="{252026} НДС по авансам полученным",D69="{21} Дебиторская задолженность",IF(C69="{252073} НДС с авансов, выданных по капитальному строительству (перерасчетный)",D69="{11} Кредиторская задолженность",IF(C69="{252029} НДС по авансам выданным (перерасчетный) без капитального строительства",D69="{11} Кредиторская задолженность",IF(C69="{252025} НДС по авансам выданным (предварит) без кап строительства",D69="{21} Дебиторская задолженность",IF(C69="{252072} НДС с авансов, выданных по капитальному строительству (предварит)",D69="{21} Дебиторская задолженность",IF(C69="{252014} Расчеты с Агентами (Комиссионерами) по агентскому вознаграждению",OR(D69="{11} Кредиторская задолженность",D69="{12} Авансы выданные"),IF(C69="{252017} Расчеты с Комитентами (Принципалами) по агентскому вознаграждению",OR(D69="{21} Дебиторская задолженность",D69="{22} Авансы полученные"),IF(C69="{252012} Расчеты с Агентами (Комиссионерами) по возмещению понесенных затрат при продаже продукции (работ, услуг) Комитента (Принципала)",OR(D69="{11} Кредиторская задолженность",D69="{12} Авансы выданные"),IF(C69="{252071}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средств",OR(D69="{11} Кредиторская задолженность",D69="{12} Авансы выданные"),IF(C69="{252019} Расчеты с Комитентами (Принципалами) по возмещению понесенных затрат при продаже продукции (работ, услуг) Комитента (Принципала)",OR(D69="{21} Дебиторская задолженность",D69="{22} Авансы полученные"),TRUE))))))))))</f>
        <v>1</v>
      </c>
      <c r="AQ69" s="2129" t="b">
        <f>IF(Содержание!$D$12="тыс. рублей",IF(AND(E69="{RUB} Российские рубли",P69&lt;&gt;0),FALSE,TRUE),TRUE)</f>
        <v>1</v>
      </c>
      <c r="AR69" s="2129" t="b">
        <f t="shared" ref="AR69" si="191">IF(COUNTBLANK(F69:W69)=13,TRUE,C69&lt;&gt;"")</f>
        <v>1</v>
      </c>
      <c r="AS69" s="2129" t="b">
        <f t="shared" ref="AS69" si="192">IF(COUNTBLANK(F69:W69)=13,TRUE,E69&lt;&gt;"")</f>
        <v>1</v>
      </c>
      <c r="AT69" s="3558" t="b">
        <f t="shared" si="33"/>
        <v>1</v>
      </c>
    </row>
    <row r="70" spans="1:46">
      <c r="A70" s="2427" t="str">
        <f t="shared" ref="A70" si="193">"R1="&amp;IFERROR(MID(C70,FIND("{",C70)+1,FIND("}",C70)-FIND("{",C70)-1),"")&amp;";R7="&amp;IFERROR("2552"&amp;MID(D70,FIND("{",D70)+1,FIND("}",D70)-FIND("{",D70)-1),"")&amp;";R2="&amp;IFERROR(MID(E70,FIND("{",E70)+1,FIND("}",E70)-FIND("{",E70)-1),"")&amp;";R35=100;COM="&amp;X70</f>
        <v>R1=;R7=;R2=;R35=100;COM=</v>
      </c>
      <c r="B70" s="601"/>
      <c r="C70" s="1331"/>
      <c r="D70" s="909"/>
      <c r="E70" s="1339"/>
      <c r="F70" s="1335"/>
      <c r="G70" s="1335"/>
      <c r="H70" s="1335"/>
      <c r="I70" s="1335"/>
      <c r="J70" s="1775">
        <f t="shared" ref="J70" si="194">F70-H70</f>
        <v>0</v>
      </c>
      <c r="K70" s="1775">
        <f t="shared" ref="K70" si="195">G70-I70</f>
        <v>0</v>
      </c>
      <c r="L70" s="1335"/>
      <c r="M70" s="1335"/>
      <c r="N70" s="1335"/>
      <c r="O70" s="1335"/>
      <c r="P70" s="1338"/>
      <c r="Q70" s="1335"/>
      <c r="R70" s="1335"/>
      <c r="S70" s="1332">
        <f t="shared" ref="S70" si="196">SUM(F70:G70,L70:Q70)-R70</f>
        <v>0</v>
      </c>
      <c r="T70" s="1335"/>
      <c r="U70" s="1509"/>
      <c r="V70" s="1775">
        <f t="shared" ref="V70" si="197">R70-T70</f>
        <v>0</v>
      </c>
      <c r="W70" s="1775">
        <f t="shared" ref="W70" si="198">S70-U70</f>
        <v>0</v>
      </c>
      <c r="X70" s="1336"/>
      <c r="Y70" s="3557" t="b">
        <f t="shared" si="26"/>
        <v>1</v>
      </c>
      <c r="Z70" s="2065" t="b">
        <f t="shared" si="27"/>
        <v>1</v>
      </c>
      <c r="AB70" s="2065" t="b">
        <f t="shared" ref="AB70" si="199">AND(IF(C70=$C$11,FALSE,TRUE),IF(C70=$C$13,FALSE,TRUE),IF(C70=$C$16,FALSE,TRUE),IF(C70=$C$17,FALSE,TRUE),IF(C70=$C$18,FALSE,TRUE))</f>
        <v>1</v>
      </c>
      <c r="AC70" s="2065" t="b">
        <f t="shared" ref="AC70" si="200">IF(C70="{252026} НДС по авансам полученным",OR(L70&gt;=0,L70&lt;=0),AND(IF(D70="{21} Дебиторская задолженность",L70&gt;=0,TRUE),IF(D70="{21} Дебиторская задолженность",IF(O70&lt;=0,TRUE,FALSE),TRUE),IF(D70="{12} Авансы выданные",O70&lt;=0,TRUE),IF(D70="{12} Авансы выданные",IF(L70=0,TRUE,FALSE),TRUE),IF(D70="{11} Кредиторская задолженность",L70&lt;=0,TRUE),IF(D70="{11} Кредиторская задолженность",IF(O70&gt;=0,TRUE,FALSE),TRUE),IF(D70="{22} Авансы полученные",O70&gt;=0,TRUE),IF(D70="{22} Авансы полученные",IF(L70=0,TRUE,FALSE),TRUE)))</f>
        <v>1</v>
      </c>
      <c r="AD70" s="2130" t="b">
        <f t="shared" ref="AD70" si="201">AND(IF(C70=$AA$44,IF(OR(D70=$AA$47,D70=$AA$46),TRUE,FALSE),TRUE),IF(C70=$AA$25,IF(OR(D70=$AA$48,D70=$AA$45),TRUE,FALSE),TRUE))</f>
        <v>1</v>
      </c>
      <c r="AE70" s="2654">
        <f>SUMIFS('60,62,63,76_контр'!$P$15:$P25025,'60,62,63,76_контр'!$J$15:$J25025,'76'!$C70,'60,62,63,76_контр'!$AX$15:$AX25025,'76'!$AI70,'60,62,63,76_контр'!$O$15:$O25025,'76'!$E70,'60,62,63,76_контр'!$C$15:$C25025,"76",'60,62,63,76_контр'!$N$15:$N25025,"{10} Долгосрочная",'60,62,63,76_контр'!$AY$15:$AY25025,"-")</f>
        <v>0</v>
      </c>
      <c r="AF70" s="2654">
        <f>SUMIFS('60,62,63,76_контр'!$P$15:$P25025,'60,62,63,76_контр'!$J$15:$J25025,'76'!$C70,'60,62,63,76_контр'!$AX$15:$AX25025,'76'!$AI70,'60,62,63,76_контр'!$O$15:$O25025,'76'!$E70,'60,62,63,76_контр'!$C$15:$C25025,"76",'60,62,63,76_контр'!$N$15:$N25025,"{20} Краткосрочная",'60,62,63,76_контр'!$AY$15:$AY25025,"-")</f>
        <v>0</v>
      </c>
      <c r="AG70" s="2654">
        <f>SUMIFS('60,62,63,76_контр'!$V$15:$V25025,'60,62,63,76_контр'!$J$15:$J25025,'76'!$C70,'60,62,63,76_контр'!$AX$15:$AX25025,'76'!$AI70,'60,62,63,76_контр'!$O$15:$O25025,'76'!$E70,'60,62,63,76_контр'!$C$15:$C25025,"76",'60,62,63,76_контр'!$N$15:$N25025,"{10} Долгосрочная",'60,62,63,76_контр'!$AY$15:$AY25025,"-")</f>
        <v>0</v>
      </c>
      <c r="AH70" s="2654">
        <f>SUMIFS('60,62,63,76_контр'!$V$15:$V25025,'60,62,63,76_контр'!$J$15:$J25025,'76'!$C70,'60,62,63,76_контр'!$AX$15:$AX25025,'76'!$AI70,'60,62,63,76_контр'!$O$15:$O25025,'76'!$E70,'60,62,63,76_контр'!$C$15:$C25025,"76",'60,62,63,76_контр'!$N$15:$N25025,"{20} Краткосрочная",'60,62,63,76_контр'!$AY$15:$AY25025,"-")</f>
        <v>0</v>
      </c>
      <c r="AI70" s="2266" t="str">
        <f t="shared" ref="AI70" si="202">IFERROR(RIGHT(D70,LEN(D70)-5),"")</f>
        <v/>
      </c>
      <c r="AJ70" s="2289" t="b">
        <f t="shared" ref="AJ70" si="203">IF(ABS(AE70-SUMIFS(T:T,C:C,C70,D:D,D70,E:E,E70))&lt;5,TRUE,FALSE)</f>
        <v>1</v>
      </c>
      <c r="AK70" s="2289" t="b">
        <f t="shared" ref="AK70" si="204">IF(ABS(AF70-SUMIFS(V:V,C:C,C70,D:D,D70,E:E,E70))&lt;5,TRUE,FALSE)</f>
        <v>1</v>
      </c>
      <c r="AL70" s="2129" t="b">
        <f t="shared" ref="AL70" si="205">IF(ABS(AG70-SUMIFS(U:U,C:C,C70,D:D,D70,E:E,E70))&lt;5,TRUE,FALSE)</f>
        <v>1</v>
      </c>
      <c r="AM70" s="2129" t="b">
        <f t="shared" ref="AM70" si="206">IF(ABS(AH70-SUMIFS(W:W,C:C,C70,D:D,D70,E:E,E70))&lt;5,TRUE,FALSE)</f>
        <v>1</v>
      </c>
      <c r="AP70" s="2129" t="b">
        <f t="shared" ref="AP70" si="207">IF(C70="{252026} НДС по авансам полученным",D70="{21} Дебиторская задолженность",IF(C70="{252073} НДС с авансов, выданных по капитальному строительству (перерасчетный)",D70="{11} Кредиторская задолженность",IF(C70="{252029} НДС по авансам выданным (перерасчетный) без капитального строительства",D70="{11} Кредиторская задолженность",IF(C70="{252025} НДС по авансам выданным (предварит) без кап строительства",D70="{21} Дебиторская задолженность",IF(C70="{252072} НДС с авансов, выданных по капитальному строительству (предварит)",D70="{21} Дебиторская задолженность",IF(C70="{252014} Расчеты с Агентами (Комиссионерами) по агентскому вознаграждению",OR(D70="{11} Кредиторская задолженность",D70="{12} Авансы выданные"),IF(C70="{252017} Расчеты с Комитентами (Принципалами) по агентскому вознаграждению",OR(D70="{21} Дебиторская задолженность",D70="{22} Авансы полученные"),IF(C70="{252012} Расчеты с Агентами (Комиссионерами) по возмещению понесенных затрат при продаже продукции (работ, услуг) Комитента (Принципала)",OR(D70="{11} Кредиторская задолженность",D70="{12} Авансы выданные"),IF(C70="{252071}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средств",OR(D70="{11} Кредиторская задолженность",D70="{12} Авансы выданные"),IF(C70="{252019} Расчеты с Комитентами (Принципалами) по возмещению понесенных затрат при продаже продукции (работ, услуг) Комитента (Принципала)",OR(D70="{21} Дебиторская задолженность",D70="{22} Авансы полученные"),TRUE))))))))))</f>
        <v>1</v>
      </c>
      <c r="AQ70" s="2129" t="b">
        <f>IF(Содержание!$D$12="тыс. рублей",IF(AND(E70="{RUB} Российские рубли",P70&lt;&gt;0),FALSE,TRUE),TRUE)</f>
        <v>1</v>
      </c>
      <c r="AR70" s="2129" t="b">
        <f t="shared" ref="AR70" si="208">IF(COUNTBLANK(F70:W70)=13,TRUE,C70&lt;&gt;"")</f>
        <v>1</v>
      </c>
      <c r="AS70" s="2129" t="b">
        <f t="shared" ref="AS70" si="209">IF(COUNTBLANK(F70:W70)=13,TRUE,E70&lt;&gt;"")</f>
        <v>1</v>
      </c>
      <c r="AT70" s="3558" t="b">
        <f t="shared" si="33"/>
        <v>1</v>
      </c>
    </row>
    <row r="71" spans="1:46">
      <c r="A71" s="2427" t="str">
        <f t="shared" ref="A71" si="210">"R1="&amp;IFERROR(MID(C71,FIND("{",C71)+1,FIND("}",C71)-FIND("{",C71)-1),"")&amp;";R7="&amp;IFERROR("2552"&amp;MID(D71,FIND("{",D71)+1,FIND("}",D71)-FIND("{",D71)-1),"")&amp;";R2="&amp;IFERROR(MID(E71,FIND("{",E71)+1,FIND("}",E71)-FIND("{",E71)-1),"")&amp;";R35=100;COM="&amp;X71</f>
        <v>R1=;R7=;R2=;R35=100;COM=</v>
      </c>
      <c r="B71" s="601"/>
      <c r="C71" s="1331"/>
      <c r="D71" s="909"/>
      <c r="E71" s="1339"/>
      <c r="F71" s="1335"/>
      <c r="G71" s="1335"/>
      <c r="H71" s="1335"/>
      <c r="I71" s="1335"/>
      <c r="J71" s="1775">
        <f t="shared" ref="J71" si="211">F71-H71</f>
        <v>0</v>
      </c>
      <c r="K71" s="1775">
        <f t="shared" ref="K71" si="212">G71-I71</f>
        <v>0</v>
      </c>
      <c r="L71" s="1335"/>
      <c r="M71" s="1335"/>
      <c r="N71" s="1335"/>
      <c r="O71" s="1335"/>
      <c r="P71" s="1338"/>
      <c r="Q71" s="1335"/>
      <c r="R71" s="1335"/>
      <c r="S71" s="1332">
        <f t="shared" ref="S71" si="213">SUM(F71:G71,L71:Q71)-R71</f>
        <v>0</v>
      </c>
      <c r="T71" s="1335"/>
      <c r="U71" s="1509"/>
      <c r="V71" s="1775">
        <f t="shared" ref="V71" si="214">R71-T71</f>
        <v>0</v>
      </c>
      <c r="W71" s="1775">
        <f t="shared" ref="W71" si="215">S71-U71</f>
        <v>0</v>
      </c>
      <c r="X71" s="1336"/>
      <c r="Y71" s="3557" t="b">
        <f t="shared" si="26"/>
        <v>1</v>
      </c>
      <c r="Z71" s="2065" t="b">
        <f t="shared" si="27"/>
        <v>1</v>
      </c>
      <c r="AB71" s="2065" t="b">
        <f t="shared" ref="AB71" si="216">AND(IF(C71=$C$11,FALSE,TRUE),IF(C71=$C$13,FALSE,TRUE),IF(C71=$C$16,FALSE,TRUE),IF(C71=$C$17,FALSE,TRUE),IF(C71=$C$18,FALSE,TRUE))</f>
        <v>1</v>
      </c>
      <c r="AC71" s="2065" t="b">
        <f t="shared" ref="AC71" si="217">IF(C71="{252026} НДС по авансам полученным",OR(L71&gt;=0,L71&lt;=0),AND(IF(D71="{21} Дебиторская задолженность",L71&gt;=0,TRUE),IF(D71="{21} Дебиторская задолженность",IF(O71&lt;=0,TRUE,FALSE),TRUE),IF(D71="{12} Авансы выданные",O71&lt;=0,TRUE),IF(D71="{12} Авансы выданные",IF(L71=0,TRUE,FALSE),TRUE),IF(D71="{11} Кредиторская задолженность",L71&lt;=0,TRUE),IF(D71="{11} Кредиторская задолженность",IF(O71&gt;=0,TRUE,FALSE),TRUE),IF(D71="{22} Авансы полученные",O71&gt;=0,TRUE),IF(D71="{22} Авансы полученные",IF(L71=0,TRUE,FALSE),TRUE)))</f>
        <v>1</v>
      </c>
      <c r="AD71" s="2130" t="b">
        <f t="shared" ref="AD71" si="218">AND(IF(C71=$AA$44,IF(OR(D71=$AA$47,D71=$AA$46),TRUE,FALSE),TRUE),IF(C71=$AA$25,IF(OR(D71=$AA$48,D71=$AA$45),TRUE,FALSE),TRUE))</f>
        <v>1</v>
      </c>
      <c r="AE71" s="2654">
        <f>SUMIFS('60,62,63,76_контр'!$P$15:$P25026,'60,62,63,76_контр'!$J$15:$J25026,'76'!$C71,'60,62,63,76_контр'!$AX$15:$AX25026,'76'!$AI71,'60,62,63,76_контр'!$O$15:$O25026,'76'!$E71,'60,62,63,76_контр'!$C$15:$C25026,"76",'60,62,63,76_контр'!$N$15:$N25026,"{10} Долгосрочная",'60,62,63,76_контр'!$AY$15:$AY25026,"-")</f>
        <v>0</v>
      </c>
      <c r="AF71" s="2654">
        <f>SUMIFS('60,62,63,76_контр'!$P$15:$P25026,'60,62,63,76_контр'!$J$15:$J25026,'76'!$C71,'60,62,63,76_контр'!$AX$15:$AX25026,'76'!$AI71,'60,62,63,76_контр'!$O$15:$O25026,'76'!$E71,'60,62,63,76_контр'!$C$15:$C25026,"76",'60,62,63,76_контр'!$N$15:$N25026,"{20} Краткосрочная",'60,62,63,76_контр'!$AY$15:$AY25026,"-")</f>
        <v>0</v>
      </c>
      <c r="AG71" s="2654">
        <f>SUMIFS('60,62,63,76_контр'!$V$15:$V25026,'60,62,63,76_контр'!$J$15:$J25026,'76'!$C71,'60,62,63,76_контр'!$AX$15:$AX25026,'76'!$AI71,'60,62,63,76_контр'!$O$15:$O25026,'76'!$E71,'60,62,63,76_контр'!$C$15:$C25026,"76",'60,62,63,76_контр'!$N$15:$N25026,"{10} Долгосрочная",'60,62,63,76_контр'!$AY$15:$AY25026,"-")</f>
        <v>0</v>
      </c>
      <c r="AH71" s="2654">
        <f>SUMIFS('60,62,63,76_контр'!$V$15:$V25026,'60,62,63,76_контр'!$J$15:$J25026,'76'!$C71,'60,62,63,76_контр'!$AX$15:$AX25026,'76'!$AI71,'60,62,63,76_контр'!$O$15:$O25026,'76'!$E71,'60,62,63,76_контр'!$C$15:$C25026,"76",'60,62,63,76_контр'!$N$15:$N25026,"{20} Краткосрочная",'60,62,63,76_контр'!$AY$15:$AY25026,"-")</f>
        <v>0</v>
      </c>
      <c r="AI71" s="2266" t="str">
        <f t="shared" ref="AI71" si="219">IFERROR(RIGHT(D71,LEN(D71)-5),"")</f>
        <v/>
      </c>
      <c r="AJ71" s="2289" t="b">
        <f t="shared" ref="AJ71" si="220">IF(ABS(AE71-SUMIFS(T:T,C:C,C71,D:D,D71,E:E,E71))&lt;5,TRUE,FALSE)</f>
        <v>1</v>
      </c>
      <c r="AK71" s="2289" t="b">
        <f t="shared" ref="AK71" si="221">IF(ABS(AF71-SUMIFS(V:V,C:C,C71,D:D,D71,E:E,E71))&lt;5,TRUE,FALSE)</f>
        <v>1</v>
      </c>
      <c r="AL71" s="2129" t="b">
        <f t="shared" ref="AL71" si="222">IF(ABS(AG71-SUMIFS(U:U,C:C,C71,D:D,D71,E:E,E71))&lt;5,TRUE,FALSE)</f>
        <v>1</v>
      </c>
      <c r="AM71" s="2129" t="b">
        <f t="shared" ref="AM71" si="223">IF(ABS(AH71-SUMIFS(W:W,C:C,C71,D:D,D71,E:E,E71))&lt;5,TRUE,FALSE)</f>
        <v>1</v>
      </c>
      <c r="AP71" s="2129" t="b">
        <f t="shared" ref="AP71" si="224">IF(C71="{252026} НДС по авансам полученным",D71="{21} Дебиторская задолженность",IF(C71="{252073} НДС с авансов, выданных по капитальному строительству (перерасчетный)",D71="{11} Кредиторская задолженность",IF(C71="{252029} НДС по авансам выданным (перерасчетный) без капитального строительства",D71="{11} Кредиторская задолженность",IF(C71="{252025} НДС по авансам выданным (предварит) без кап строительства",D71="{21} Дебиторская задолженность",IF(C71="{252072} НДС с авансов, выданных по капитальному строительству (предварит)",D71="{21} Дебиторская задолженность",IF(C71="{252014} Расчеты с Агентами (Комиссионерами) по агентскому вознаграждению",OR(D71="{11} Кредиторская задолженность",D71="{12} Авансы выданные"),IF(C71="{252017} Расчеты с Комитентами (Принципалами) по агентскому вознаграждению",OR(D71="{21} Дебиторская задолженность",D71="{22} Авансы полученные"),IF(C71="{252012} Расчеты с Агентами (Комиссионерами) по возмещению понесенных затрат при продаже продукции (работ, услуг) Комитента (Принципала)",OR(D71="{11} Кредиторская задолженность",D71="{12} Авансы выданные"),IF(C71="{252071}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средств",OR(D71="{11} Кредиторская задолженность",D71="{12} Авансы выданные"),IF(C71="{252019} Расчеты с Комитентами (Принципалами) по возмещению понесенных затрат при продаже продукции (работ, услуг) Комитента (Принципала)",OR(D71="{21} Дебиторская задолженность",D71="{22} Авансы полученные"),TRUE))))))))))</f>
        <v>1</v>
      </c>
      <c r="AQ71" s="2129" t="b">
        <f>IF(Содержание!$D$12="тыс. рублей",IF(AND(E71="{RUB} Российские рубли",P71&lt;&gt;0),FALSE,TRUE),TRUE)</f>
        <v>1</v>
      </c>
      <c r="AR71" s="2129" t="b">
        <f t="shared" ref="AR71" si="225">IF(COUNTBLANK(F71:W71)=13,TRUE,C71&lt;&gt;"")</f>
        <v>1</v>
      </c>
      <c r="AS71" s="2129" t="b">
        <f t="shared" ref="AS71" si="226">IF(COUNTBLANK(F71:W71)=13,TRUE,E71&lt;&gt;"")</f>
        <v>1</v>
      </c>
      <c r="AT71" s="3558" t="b">
        <f t="shared" si="33"/>
        <v>1</v>
      </c>
    </row>
    <row r="72" spans="1:46">
      <c r="A72" s="2427" t="str">
        <f t="shared" ref="A72" si="227">"R1="&amp;IFERROR(MID(C72,FIND("{",C72)+1,FIND("}",C72)-FIND("{",C72)-1),"")&amp;";R7="&amp;IFERROR("2552"&amp;MID(D72,FIND("{",D72)+1,FIND("}",D72)-FIND("{",D72)-1),"")&amp;";R2="&amp;IFERROR(MID(E72,FIND("{",E72)+1,FIND("}",E72)-FIND("{",E72)-1),"")&amp;";R35=100;COM="&amp;X72</f>
        <v>R1=;R7=;R2=;R35=100;COM=</v>
      </c>
      <c r="B72" s="601"/>
      <c r="C72" s="1331"/>
      <c r="D72" s="909"/>
      <c r="E72" s="1339"/>
      <c r="F72" s="1335"/>
      <c r="G72" s="1335"/>
      <c r="H72" s="1335"/>
      <c r="I72" s="1335"/>
      <c r="J72" s="1775">
        <f t="shared" ref="J72" si="228">F72-H72</f>
        <v>0</v>
      </c>
      <c r="K72" s="1775">
        <f t="shared" ref="K72" si="229">G72-I72</f>
        <v>0</v>
      </c>
      <c r="L72" s="1335"/>
      <c r="M72" s="1335"/>
      <c r="N72" s="1335"/>
      <c r="O72" s="1335"/>
      <c r="P72" s="1338"/>
      <c r="Q72" s="1335"/>
      <c r="R72" s="1335"/>
      <c r="S72" s="1332">
        <f t="shared" ref="S72" si="230">SUM(F72:G72,L72:Q72)-R72</f>
        <v>0</v>
      </c>
      <c r="T72" s="1335"/>
      <c r="U72" s="1509"/>
      <c r="V72" s="1775">
        <f t="shared" ref="V72" si="231">R72-T72</f>
        <v>0</v>
      </c>
      <c r="W72" s="1775">
        <f t="shared" ref="W72" si="232">S72-U72</f>
        <v>0</v>
      </c>
      <c r="X72" s="1336"/>
      <c r="Y72" s="3557" t="b">
        <f t="shared" si="26"/>
        <v>1</v>
      </c>
      <c r="Z72" s="2065" t="b">
        <f t="shared" si="27"/>
        <v>1</v>
      </c>
      <c r="AB72" s="2065" t="b">
        <f t="shared" ref="AB72" si="233">AND(IF(C72=$C$11,FALSE,TRUE),IF(C72=$C$13,FALSE,TRUE),IF(C72=$C$16,FALSE,TRUE),IF(C72=$C$17,FALSE,TRUE),IF(C72=$C$18,FALSE,TRUE))</f>
        <v>1</v>
      </c>
      <c r="AC72" s="2065" t="b">
        <f t="shared" ref="AC72" si="234">IF(C72="{252026} НДС по авансам полученным",OR(L72&gt;=0,L72&lt;=0),AND(IF(D72="{21} Дебиторская задолженность",L72&gt;=0,TRUE),IF(D72="{21} Дебиторская задолженность",IF(O72&lt;=0,TRUE,FALSE),TRUE),IF(D72="{12} Авансы выданные",O72&lt;=0,TRUE),IF(D72="{12} Авансы выданные",IF(L72=0,TRUE,FALSE),TRUE),IF(D72="{11} Кредиторская задолженность",L72&lt;=0,TRUE),IF(D72="{11} Кредиторская задолженность",IF(O72&gt;=0,TRUE,FALSE),TRUE),IF(D72="{22} Авансы полученные",O72&gt;=0,TRUE),IF(D72="{22} Авансы полученные",IF(L72=0,TRUE,FALSE),TRUE)))</f>
        <v>1</v>
      </c>
      <c r="AD72" s="2130" t="b">
        <f t="shared" ref="AD72" si="235">AND(IF(C72=$AA$44,IF(OR(D72=$AA$47,D72=$AA$46),TRUE,FALSE),TRUE),IF(C72=$AA$25,IF(OR(D72=$AA$48,D72=$AA$45),TRUE,FALSE),TRUE))</f>
        <v>1</v>
      </c>
      <c r="AE72" s="2654">
        <f>SUMIFS('60,62,63,76_контр'!$P$15:$P25027,'60,62,63,76_контр'!$J$15:$J25027,'76'!$C72,'60,62,63,76_контр'!$AX$15:$AX25027,'76'!$AI72,'60,62,63,76_контр'!$O$15:$O25027,'76'!$E72,'60,62,63,76_контр'!$C$15:$C25027,"76",'60,62,63,76_контр'!$N$15:$N25027,"{10} Долгосрочная",'60,62,63,76_контр'!$AY$15:$AY25027,"-")</f>
        <v>0</v>
      </c>
      <c r="AF72" s="2654">
        <f>SUMIFS('60,62,63,76_контр'!$P$15:$P25027,'60,62,63,76_контр'!$J$15:$J25027,'76'!$C72,'60,62,63,76_контр'!$AX$15:$AX25027,'76'!$AI72,'60,62,63,76_контр'!$O$15:$O25027,'76'!$E72,'60,62,63,76_контр'!$C$15:$C25027,"76",'60,62,63,76_контр'!$N$15:$N25027,"{20} Краткосрочная",'60,62,63,76_контр'!$AY$15:$AY25027,"-")</f>
        <v>0</v>
      </c>
      <c r="AG72" s="2654">
        <f>SUMIFS('60,62,63,76_контр'!$V$15:$V25027,'60,62,63,76_контр'!$J$15:$J25027,'76'!$C72,'60,62,63,76_контр'!$AX$15:$AX25027,'76'!$AI72,'60,62,63,76_контр'!$O$15:$O25027,'76'!$E72,'60,62,63,76_контр'!$C$15:$C25027,"76",'60,62,63,76_контр'!$N$15:$N25027,"{10} Долгосрочная",'60,62,63,76_контр'!$AY$15:$AY25027,"-")</f>
        <v>0</v>
      </c>
      <c r="AH72" s="2654">
        <f>SUMIFS('60,62,63,76_контр'!$V$15:$V25027,'60,62,63,76_контр'!$J$15:$J25027,'76'!$C72,'60,62,63,76_контр'!$AX$15:$AX25027,'76'!$AI72,'60,62,63,76_контр'!$O$15:$O25027,'76'!$E72,'60,62,63,76_контр'!$C$15:$C25027,"76",'60,62,63,76_контр'!$N$15:$N25027,"{20} Краткосрочная",'60,62,63,76_контр'!$AY$15:$AY25027,"-")</f>
        <v>0</v>
      </c>
      <c r="AI72" s="2266" t="str">
        <f t="shared" ref="AI72" si="236">IFERROR(RIGHT(D72,LEN(D72)-5),"")</f>
        <v/>
      </c>
      <c r="AJ72" s="2289" t="b">
        <f t="shared" ref="AJ72" si="237">IF(ABS(AE72-SUMIFS(T:T,C:C,C72,D:D,D72,E:E,E72))&lt;5,TRUE,FALSE)</f>
        <v>1</v>
      </c>
      <c r="AK72" s="2289" t="b">
        <f t="shared" ref="AK72" si="238">IF(ABS(AF72-SUMIFS(V:V,C:C,C72,D:D,D72,E:E,E72))&lt;5,TRUE,FALSE)</f>
        <v>1</v>
      </c>
      <c r="AL72" s="2129" t="b">
        <f t="shared" ref="AL72" si="239">IF(ABS(AG72-SUMIFS(U:U,C:C,C72,D:D,D72,E:E,E72))&lt;5,TRUE,FALSE)</f>
        <v>1</v>
      </c>
      <c r="AM72" s="2129" t="b">
        <f t="shared" ref="AM72" si="240">IF(ABS(AH72-SUMIFS(W:W,C:C,C72,D:D,D72,E:E,E72))&lt;5,TRUE,FALSE)</f>
        <v>1</v>
      </c>
      <c r="AP72" s="2129" t="b">
        <f t="shared" ref="AP72" si="241">IF(C72="{252026} НДС по авансам полученным",D72="{21} Дебиторская задолженность",IF(C72="{252073} НДС с авансов, выданных по капитальному строительству (перерасчетный)",D72="{11} Кредиторская задолженность",IF(C72="{252029} НДС по авансам выданным (перерасчетный) без капитального строительства",D72="{11} Кредиторская задолженность",IF(C72="{252025} НДС по авансам выданным (предварит) без кап строительства",D72="{21} Дебиторская задолженность",IF(C72="{252072} НДС с авансов, выданных по капитальному строительству (предварит)",D72="{21} Дебиторская задолженность",IF(C72="{252014} Расчеты с Агентами (Комиссионерами) по агентскому вознаграждению",OR(D72="{11} Кредиторская задолженность",D72="{12} Авансы выданные"),IF(C72="{252017} Расчеты с Комитентами (Принципалами) по агентскому вознаграждению",OR(D72="{21} Дебиторская задолженность",D72="{22} Авансы полученные"),IF(C72="{252012} Расчеты с Агентами (Комиссионерами) по возмещению понесенных затрат при продаже продукции (работ, услуг) Комитента (Принципала)",OR(D72="{11} Кредиторская задолженность",D72="{12} Авансы выданные"),IF(C72="{252071}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средств",OR(D72="{11} Кредиторская задолженность",D72="{12} Авансы выданные"),IF(C72="{252019} Расчеты с Комитентами (Принципалами) по возмещению понесенных затрат при продаже продукции (работ, услуг) Комитента (Принципала)",OR(D72="{21} Дебиторская задолженность",D72="{22} Авансы полученные"),TRUE))))))))))</f>
        <v>1</v>
      </c>
      <c r="AQ72" s="2129" t="b">
        <f>IF(Содержание!$D$12="тыс. рублей",IF(AND(E72="{RUB} Российские рубли",P72&lt;&gt;0),FALSE,TRUE),TRUE)</f>
        <v>1</v>
      </c>
      <c r="AR72" s="2129" t="b">
        <f t="shared" ref="AR72" si="242">IF(COUNTBLANK(F72:W72)=13,TRUE,C72&lt;&gt;"")</f>
        <v>1</v>
      </c>
      <c r="AS72" s="2129" t="b">
        <f t="shared" ref="AS72" si="243">IF(COUNTBLANK(F72:W72)=13,TRUE,E72&lt;&gt;"")</f>
        <v>1</v>
      </c>
      <c r="AT72" s="3558" t="b">
        <f t="shared" si="33"/>
        <v>1</v>
      </c>
    </row>
    <row r="73" spans="1:46">
      <c r="A73" s="2427" t="str">
        <f t="shared" ref="A73" si="244">"R1="&amp;IFERROR(MID(C73,FIND("{",C73)+1,FIND("}",C73)-FIND("{",C73)-1),"")&amp;";R7="&amp;IFERROR("2552"&amp;MID(D73,FIND("{",D73)+1,FIND("}",D73)-FIND("{",D73)-1),"")&amp;";R2="&amp;IFERROR(MID(E73,FIND("{",E73)+1,FIND("}",E73)-FIND("{",E73)-1),"")&amp;";R35=100;COM="&amp;X73</f>
        <v>R1=;R7=;R2=;R35=100;COM=</v>
      </c>
      <c r="B73" s="601"/>
      <c r="C73" s="1331"/>
      <c r="D73" s="909"/>
      <c r="E73" s="1339"/>
      <c r="F73" s="1335"/>
      <c r="G73" s="1335"/>
      <c r="H73" s="1335"/>
      <c r="I73" s="1335"/>
      <c r="J73" s="1775">
        <f t="shared" ref="J73" si="245">F73-H73</f>
        <v>0</v>
      </c>
      <c r="K73" s="1775">
        <f t="shared" ref="K73" si="246">G73-I73</f>
        <v>0</v>
      </c>
      <c r="L73" s="1335"/>
      <c r="M73" s="1335"/>
      <c r="N73" s="1335"/>
      <c r="O73" s="1335"/>
      <c r="P73" s="1338"/>
      <c r="Q73" s="1335"/>
      <c r="R73" s="1335"/>
      <c r="S73" s="1332">
        <f t="shared" ref="S73" si="247">SUM(F73:G73,L73:Q73)-R73</f>
        <v>0</v>
      </c>
      <c r="T73" s="1335"/>
      <c r="U73" s="1509"/>
      <c r="V73" s="1775">
        <f t="shared" ref="V73" si="248">R73-T73</f>
        <v>0</v>
      </c>
      <c r="W73" s="1775">
        <f t="shared" ref="W73" si="249">S73-U73</f>
        <v>0</v>
      </c>
      <c r="X73" s="1336"/>
      <c r="Y73" s="3557" t="b">
        <f t="shared" si="26"/>
        <v>1</v>
      </c>
      <c r="Z73" s="2065" t="b">
        <f t="shared" si="27"/>
        <v>1</v>
      </c>
      <c r="AB73" s="2065" t="b">
        <f t="shared" ref="AB73" si="250">AND(IF(C73=$C$11,FALSE,TRUE),IF(C73=$C$13,FALSE,TRUE),IF(C73=$C$16,FALSE,TRUE),IF(C73=$C$17,FALSE,TRUE),IF(C73=$C$18,FALSE,TRUE))</f>
        <v>1</v>
      </c>
      <c r="AC73" s="2065" t="b">
        <f t="shared" ref="AC73" si="251">IF(C73="{252026} НДС по авансам полученным",OR(L73&gt;=0,L73&lt;=0),AND(IF(D73="{21} Дебиторская задолженность",L73&gt;=0,TRUE),IF(D73="{21} Дебиторская задолженность",IF(O73&lt;=0,TRUE,FALSE),TRUE),IF(D73="{12} Авансы выданные",O73&lt;=0,TRUE),IF(D73="{12} Авансы выданные",IF(L73=0,TRUE,FALSE),TRUE),IF(D73="{11} Кредиторская задолженность",L73&lt;=0,TRUE),IF(D73="{11} Кредиторская задолженность",IF(O73&gt;=0,TRUE,FALSE),TRUE),IF(D73="{22} Авансы полученные",O73&gt;=0,TRUE),IF(D73="{22} Авансы полученные",IF(L73=0,TRUE,FALSE),TRUE)))</f>
        <v>1</v>
      </c>
      <c r="AD73" s="2130" t="b">
        <f t="shared" ref="AD73" si="252">AND(IF(C73=$AA$44,IF(OR(D73=$AA$47,D73=$AA$46),TRUE,FALSE),TRUE),IF(C73=$AA$25,IF(OR(D73=$AA$48,D73=$AA$45),TRUE,FALSE),TRUE))</f>
        <v>1</v>
      </c>
      <c r="AE73" s="2654">
        <f>SUMIFS('60,62,63,76_контр'!$P$15:$P25028,'60,62,63,76_контр'!$J$15:$J25028,'76'!$C73,'60,62,63,76_контр'!$AX$15:$AX25028,'76'!$AI73,'60,62,63,76_контр'!$O$15:$O25028,'76'!$E73,'60,62,63,76_контр'!$C$15:$C25028,"76",'60,62,63,76_контр'!$N$15:$N25028,"{10} Долгосрочная",'60,62,63,76_контр'!$AY$15:$AY25028,"-")</f>
        <v>0</v>
      </c>
      <c r="AF73" s="2654">
        <f>SUMIFS('60,62,63,76_контр'!$P$15:$P25028,'60,62,63,76_контр'!$J$15:$J25028,'76'!$C73,'60,62,63,76_контр'!$AX$15:$AX25028,'76'!$AI73,'60,62,63,76_контр'!$O$15:$O25028,'76'!$E73,'60,62,63,76_контр'!$C$15:$C25028,"76",'60,62,63,76_контр'!$N$15:$N25028,"{20} Краткосрочная",'60,62,63,76_контр'!$AY$15:$AY25028,"-")</f>
        <v>0</v>
      </c>
      <c r="AG73" s="2654">
        <f>SUMIFS('60,62,63,76_контр'!$V$15:$V25028,'60,62,63,76_контр'!$J$15:$J25028,'76'!$C73,'60,62,63,76_контр'!$AX$15:$AX25028,'76'!$AI73,'60,62,63,76_контр'!$O$15:$O25028,'76'!$E73,'60,62,63,76_контр'!$C$15:$C25028,"76",'60,62,63,76_контр'!$N$15:$N25028,"{10} Долгосрочная",'60,62,63,76_контр'!$AY$15:$AY25028,"-")</f>
        <v>0</v>
      </c>
      <c r="AH73" s="2654">
        <f>SUMIFS('60,62,63,76_контр'!$V$15:$V25028,'60,62,63,76_контр'!$J$15:$J25028,'76'!$C73,'60,62,63,76_контр'!$AX$15:$AX25028,'76'!$AI73,'60,62,63,76_контр'!$O$15:$O25028,'76'!$E73,'60,62,63,76_контр'!$C$15:$C25028,"76",'60,62,63,76_контр'!$N$15:$N25028,"{20} Краткосрочная",'60,62,63,76_контр'!$AY$15:$AY25028,"-")</f>
        <v>0</v>
      </c>
      <c r="AI73" s="2266" t="str">
        <f t="shared" ref="AI73" si="253">IFERROR(RIGHT(D73,LEN(D73)-5),"")</f>
        <v/>
      </c>
      <c r="AJ73" s="2289" t="b">
        <f t="shared" ref="AJ73" si="254">IF(ABS(AE73-SUMIFS(T:T,C:C,C73,D:D,D73,E:E,E73))&lt;5,TRUE,FALSE)</f>
        <v>1</v>
      </c>
      <c r="AK73" s="2289" t="b">
        <f t="shared" ref="AK73" si="255">IF(ABS(AF73-SUMIFS(V:V,C:C,C73,D:D,D73,E:E,E73))&lt;5,TRUE,FALSE)</f>
        <v>1</v>
      </c>
      <c r="AL73" s="2129" t="b">
        <f t="shared" ref="AL73" si="256">IF(ABS(AG73-SUMIFS(U:U,C:C,C73,D:D,D73,E:E,E73))&lt;5,TRUE,FALSE)</f>
        <v>1</v>
      </c>
      <c r="AM73" s="2129" t="b">
        <f t="shared" ref="AM73" si="257">IF(ABS(AH73-SUMIFS(W:W,C:C,C73,D:D,D73,E:E,E73))&lt;5,TRUE,FALSE)</f>
        <v>1</v>
      </c>
      <c r="AP73" s="2129" t="b">
        <f t="shared" ref="AP73" si="258">IF(C73="{252026} НДС по авансам полученным",D73="{21} Дебиторская задолженность",IF(C73="{252073} НДС с авансов, выданных по капитальному строительству (перерасчетный)",D73="{11} Кредиторская задолженность",IF(C73="{252029} НДС по авансам выданным (перерасчетный) без капитального строительства",D73="{11} Кредиторская задолженность",IF(C73="{252025} НДС по авансам выданным (предварит) без кап строительства",D73="{21} Дебиторская задолженность",IF(C73="{252072} НДС с авансов, выданных по капитальному строительству (предварит)",D73="{21} Дебиторская задолженность",IF(C73="{252014} Расчеты с Агентами (Комиссионерами) по агентскому вознаграждению",OR(D73="{11} Кредиторская задолженность",D73="{12} Авансы выданные"),IF(C73="{252017} Расчеты с Комитентами (Принципалами) по агентскому вознаграждению",OR(D73="{21} Дебиторская задолженность",D73="{22} Авансы полученные"),IF(C73="{252012} Расчеты с Агентами (Комиссионерами) по возмещению понесенных затрат при продаже продукции (работ, услуг) Комитента (Принципала)",OR(D73="{11} Кредиторская задолженность",D73="{12} Авансы выданные"),IF(C73="{252071}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средств",OR(D73="{11} Кредиторская задолженность",D73="{12} Авансы выданные"),IF(C73="{252019} Расчеты с Комитентами (Принципалами) по возмещению понесенных затрат при продаже продукции (работ, услуг) Комитента (Принципала)",OR(D73="{21} Дебиторская задолженность",D73="{22} Авансы полученные"),TRUE))))))))))</f>
        <v>1</v>
      </c>
      <c r="AQ73" s="2129" t="b">
        <f>IF(Содержание!$D$12="тыс. рублей",IF(AND(E73="{RUB} Российские рубли",P73&lt;&gt;0),FALSE,TRUE),TRUE)</f>
        <v>1</v>
      </c>
      <c r="AR73" s="2129" t="b">
        <f t="shared" ref="AR73" si="259">IF(COUNTBLANK(F73:W73)=13,TRUE,C73&lt;&gt;"")</f>
        <v>1</v>
      </c>
      <c r="AS73" s="2129" t="b">
        <f t="shared" ref="AS73" si="260">IF(COUNTBLANK(F73:W73)=13,TRUE,E73&lt;&gt;"")</f>
        <v>1</v>
      </c>
      <c r="AT73" s="3558" t="b">
        <f t="shared" si="33"/>
        <v>1</v>
      </c>
    </row>
    <row r="74" spans="1:46" ht="15" thickBot="1">
      <c r="A74" s="2427" t="str">
        <f t="shared" ref="A74" si="261">"R1="&amp;IFERROR(MID(C74,FIND("{",C74)+1,FIND("}",C74)-FIND("{",C74)-1),"")&amp;";R7="&amp;IFERROR("2552"&amp;MID(D74,FIND("{",D74)+1,FIND("}",D74)-FIND("{",D74)-1),"")&amp;";R2="&amp;IFERROR(MID(E74,FIND("{",E74)+1,FIND("}",E74)-FIND("{",E74)-1),"")&amp;";R35=100;COM="&amp;X74</f>
        <v>R1=;R7=;R2=;R35=100;COM=</v>
      </c>
      <c r="C74" s="1536"/>
      <c r="D74" s="910"/>
      <c r="E74" s="1537"/>
      <c r="F74" s="1340"/>
      <c r="G74" s="1340"/>
      <c r="H74" s="1340"/>
      <c r="I74" s="1340"/>
      <c r="J74" s="1776">
        <f t="shared" ref="J74" si="262">F74-H74</f>
        <v>0</v>
      </c>
      <c r="K74" s="1776">
        <f t="shared" ref="K74" si="263">G74-I74</f>
        <v>0</v>
      </c>
      <c r="L74" s="1340"/>
      <c r="M74" s="1340"/>
      <c r="N74" s="3148"/>
      <c r="O74" s="1340"/>
      <c r="P74" s="1538"/>
      <c r="Q74" s="1340"/>
      <c r="R74" s="1340"/>
      <c r="S74" s="1539">
        <f t="shared" ref="S74" si="264">SUM(F74:G74,L74:Q74)-R74</f>
        <v>0</v>
      </c>
      <c r="T74" s="1340"/>
      <c r="U74" s="1340"/>
      <c r="V74" s="1776">
        <f t="shared" ref="V74" si="265">R74-T74</f>
        <v>0</v>
      </c>
      <c r="W74" s="1776">
        <f t="shared" ref="W74" si="266">S74-U74</f>
        <v>0</v>
      </c>
      <c r="X74" s="1540"/>
      <c r="Y74" s="3557" t="b">
        <f t="shared" si="26"/>
        <v>1</v>
      </c>
      <c r="Z74" s="2065" t="b">
        <f t="shared" si="27"/>
        <v>1</v>
      </c>
      <c r="AB74" s="2065" t="b">
        <f t="shared" ref="AB74" si="267">AND(IF(C74=$C$11,FALSE,TRUE),IF(C74=$C$13,FALSE,TRUE),IF(C74=$C$16,FALSE,TRUE),IF(C74=$C$17,FALSE,TRUE),IF(C74=$C$18,FALSE,TRUE))</f>
        <v>1</v>
      </c>
      <c r="AC74" s="2065" t="b">
        <f t="shared" ref="AC74" si="268">IF(C74="{252026} НДС по авансам полученным",OR(L74&gt;=0,L74&lt;=0),AND(IF(D74="{21} Дебиторская задолженность",L74&gt;=0,TRUE),IF(D74="{21} Дебиторская задолженность",IF(O74&lt;=0,TRUE,FALSE),TRUE),IF(D74="{12} Авансы выданные",O74&lt;=0,TRUE),IF(D74="{12} Авансы выданные",IF(L74=0,TRUE,FALSE),TRUE),IF(D74="{11} Кредиторская задолженность",L74&lt;=0,TRUE),IF(D74="{11} Кредиторская задолженность",IF(O74&gt;=0,TRUE,FALSE),TRUE),IF(D74="{22} Авансы полученные",O74&gt;=0,TRUE),IF(D74="{22} Авансы полученные",IF(L74=0,TRUE,FALSE),TRUE)))</f>
        <v>1</v>
      </c>
      <c r="AD74" s="2130" t="b">
        <f t="shared" ref="AD74" si="269">AND(IF(C74=$AA$44,IF(OR(D74=$AA$47,D74=$AA$46),TRUE,FALSE),TRUE),IF(C74=$AA$25,IF(OR(D74=$AA$48,D74=$AA$45),TRUE,FALSE),TRUE))</f>
        <v>1</v>
      </c>
      <c r="AE74" s="2654">
        <f>SUMIFS('60,62,63,76_контр'!$P$15:$P25029,'60,62,63,76_контр'!$J$15:$J25029,'76'!$C74,'60,62,63,76_контр'!$AX$15:$AX25029,'76'!$AI74,'60,62,63,76_контр'!$O$15:$O25029,'76'!$E74,'60,62,63,76_контр'!$C$15:$C25029,"76",'60,62,63,76_контр'!$N$15:$N25029,"{10} Долгосрочная",'60,62,63,76_контр'!$AY$15:$AY25029,"-")</f>
        <v>0</v>
      </c>
      <c r="AF74" s="2654">
        <f>SUMIFS('60,62,63,76_контр'!$P$15:$P25029,'60,62,63,76_контр'!$J$15:$J25029,'76'!$C74,'60,62,63,76_контр'!$AX$15:$AX25029,'76'!$AI74,'60,62,63,76_контр'!$O$15:$O25029,'76'!$E74,'60,62,63,76_контр'!$C$15:$C25029,"76",'60,62,63,76_контр'!$N$15:$N25029,"{20} Краткосрочная",'60,62,63,76_контр'!$AY$15:$AY25029,"-")</f>
        <v>0</v>
      </c>
      <c r="AG74" s="2654">
        <f>SUMIFS('60,62,63,76_контр'!$V$15:$V25029,'60,62,63,76_контр'!$J$15:$J25029,'76'!$C74,'60,62,63,76_контр'!$AX$15:$AX25029,'76'!$AI74,'60,62,63,76_контр'!$O$15:$O25029,'76'!$E74,'60,62,63,76_контр'!$C$15:$C25029,"76",'60,62,63,76_контр'!$N$15:$N25029,"{10} Долгосрочная",'60,62,63,76_контр'!$AY$15:$AY25029,"-")</f>
        <v>0</v>
      </c>
      <c r="AH74" s="2654">
        <f>SUMIFS('60,62,63,76_контр'!$V$15:$V25029,'60,62,63,76_контр'!$J$15:$J25029,'76'!$C74,'60,62,63,76_контр'!$AX$15:$AX25029,'76'!$AI74,'60,62,63,76_контр'!$O$15:$O25029,'76'!$E74,'60,62,63,76_контр'!$C$15:$C25029,"76",'60,62,63,76_контр'!$N$15:$N25029,"{20} Краткосрочная",'60,62,63,76_контр'!$AY$15:$AY25029,"-")</f>
        <v>0</v>
      </c>
      <c r="AI74" s="2266" t="str">
        <f t="shared" ref="AI74" si="270">IFERROR(RIGHT(D74,LEN(D74)-5),"")</f>
        <v/>
      </c>
      <c r="AJ74" s="2289" t="b">
        <f t="shared" ref="AJ74" si="271">IF(ABS(AE74-SUMIFS(T:T,C:C,C74,D:D,D74,E:E,E74))&lt;5,TRUE,FALSE)</f>
        <v>1</v>
      </c>
      <c r="AK74" s="2289" t="b">
        <f t="shared" ref="AK74" si="272">IF(ABS(AF74-SUMIFS(V:V,C:C,C74,D:D,D74,E:E,E74))&lt;5,TRUE,FALSE)</f>
        <v>1</v>
      </c>
      <c r="AL74" s="2129" t="b">
        <f t="shared" ref="AL74" si="273">IF(ABS(AG74-SUMIFS(U:U,C:C,C74,D:D,D74,E:E,E74))&lt;5,TRUE,FALSE)</f>
        <v>1</v>
      </c>
      <c r="AM74" s="2129" t="b">
        <f t="shared" ref="AM74" si="274">IF(ABS(AH74-SUMIFS(W:W,C:C,C74,D:D,D74,E:E,E74))&lt;5,TRUE,FALSE)</f>
        <v>1</v>
      </c>
      <c r="AP74" s="2129" t="b">
        <f t="shared" ref="AP74" si="275">IF(C74="{252026} НДС по авансам полученным",D74="{21} Дебиторская задолженность",IF(C74="{252073} НДС с авансов, выданных по капитальному строительству (перерасчетный)",D74="{11} Кредиторская задолженность",IF(C74="{252029} НДС по авансам выданным (перерасчетный) без капитального строительства",D74="{11} Кредиторская задолженность",IF(C74="{252025} НДС по авансам выданным (предварит) без кап строительства",D74="{21} Дебиторская задолженность",IF(C74="{252072} НДС с авансов, выданных по капитальному строительству (предварит)",D74="{21} Дебиторская задолженность",IF(C74="{252014} Расчеты с Агентами (Комиссионерами) по агентскому вознаграждению",OR(D74="{11} Кредиторская задолженность",D74="{12} Авансы выданные"),IF(C74="{252017} Расчеты с Комитентами (Принципалами) по агентскому вознаграждению",OR(D74="{21} Дебиторская задолженность",D74="{22} Авансы полученные"),IF(C74="{252012} Расчеты с Агентами (Комиссионерами) по возмещению понесенных затрат при продаже продукции (работ, услуг) Комитента (Принципала)",OR(D74="{11} Кредиторская задолженность",D74="{12} Авансы выданные"),IF(C74="{252071} Расчеты с Агентами (Комиссионерами) по возмещению понесенных затрат при закупке продукции (работ, услуг) для Комитента (принципала) для создания (модернизации) объектов основных средств",OR(D74="{11} Кредиторская задолженность",D74="{12} Авансы выданные"),IF(C74="{252019} Расчеты с Комитентами (Принципалами) по возмещению понесенных затрат при продаже продукции (работ, услуг) Комитента (Принципала)",OR(D74="{21} Дебиторская задолженность",D74="{22} Авансы полученные"),TRUE))))))))))</f>
        <v>1</v>
      </c>
      <c r="AQ74" s="2129" t="b">
        <f>IF(Содержание!$D$12="тыс. рублей",IF(AND(E74="{RUB} Российские рубли",P74&lt;&gt;0),FALSE,TRUE),TRUE)</f>
        <v>1</v>
      </c>
      <c r="AR74" s="2129" t="b">
        <f t="shared" ref="AR74" si="276">IF(COUNTBLANK(F74:W74)=13,TRUE,C74&lt;&gt;"")</f>
        <v>1</v>
      </c>
      <c r="AS74" s="2129" t="b">
        <f t="shared" ref="AS74" si="277">IF(COUNTBLANK(F74:W74)=13,TRUE,E74&lt;&gt;"")</f>
        <v>1</v>
      </c>
      <c r="AT74" s="3558" t="b">
        <f t="shared" si="33"/>
        <v>1</v>
      </c>
    </row>
  </sheetData>
  <sheetProtection algorithmName="SHA-512" hashValue="d2AN6keHYdmUwzOZM8U9uFGncKT0lTisXz2oENL0WVBJCS0clVcH/6EzIGX3e/BXSiZ+VRzpgkZE/GoKJGw2SA==" saltValue="KYIAbSwgUluEhFT+iH2l9g==" spinCount="100000" sheet="1" objects="1" scenarios="1" formatColumns="0" formatRows="0" autoFilter="0"/>
  <autoFilter ref="C7:AT74"/>
  <customSheetViews>
    <customSheetView guid="{3769259D-9653-4B34-A2F6-4FB6F9F4E533}" showGridLines="0" showAutoFilter="1" hiddenRows="1" hiddenColumns="1" topLeftCell="B2">
      <selection activeCell="D6" sqref="D6"/>
      <pageMargins left="0.7" right="0.7" top="0.75" bottom="0.75" header="0.3" footer="0.3"/>
      <pageSetup paperSize="9" orientation="portrait" r:id="rId1"/>
      <autoFilter ref="B1:V1"/>
    </customSheetView>
    <customSheetView guid="{40D7A2BB-326C-4ED3-999C-17852F56D6F4}" showGridLines="0" showAutoFilter="1" hiddenRows="1" hiddenColumns="1" topLeftCell="B2">
      <selection activeCell="D6" sqref="D6"/>
      <pageMargins left="0.7" right="0.7" top="0.75" bottom="0.75" header="0.3" footer="0.3"/>
      <pageSetup paperSize="9" orientation="portrait" r:id="rId2"/>
      <autoFilter ref="B1:V1"/>
    </customSheetView>
    <customSheetView guid="{5D121940-0CE8-4A0E-A493-67FAAA6E0FF8}" showGridLines="0" showAutoFilter="1" hiddenRows="1" hiddenColumns="1" topLeftCell="B3">
      <selection activeCell="D6" sqref="D6"/>
      <pageMargins left="0.7" right="0.7" top="0.75" bottom="0.75" header="0.3" footer="0.3"/>
      <pageSetup paperSize="9" orientation="portrait" r:id="rId3"/>
      <autoFilter ref="B1:V1"/>
    </customSheetView>
    <customSheetView guid="{47AEACC4-6EA5-412C-AF39-A6C5357B313A}" showGridLines="0" showAutoFilter="1" hiddenRows="1" hiddenColumns="1" topLeftCell="N2">
      <selection activeCell="C7" sqref="C7:W7"/>
      <pageMargins left="0.7" right="0.7" top="0.75" bottom="0.75" header="0.3" footer="0.3"/>
      <pageSetup paperSize="9" orientation="portrait" r:id="rId4"/>
      <autoFilter ref="B1:V1"/>
    </customSheetView>
    <customSheetView guid="{C913A9E8-661B-40A4-A3C9-1BC5F2B2E9F0}" showGridLines="0" showAutoFilter="1" hiddenRows="1" hiddenColumns="1" topLeftCell="B2">
      <selection activeCell="D6" sqref="D6"/>
      <pageMargins left="0.7" right="0.7" top="0.75" bottom="0.75" header="0.3" footer="0.3"/>
      <pageSetup paperSize="9" orientation="portrait" r:id="rId5"/>
      <autoFilter ref="B1:V1"/>
    </customSheetView>
  </customSheetViews>
  <mergeCells count="8">
    <mergeCell ref="AE39:AI39"/>
    <mergeCell ref="AE43:AI43"/>
    <mergeCell ref="AE32:AI32"/>
    <mergeCell ref="AE4:AI4"/>
    <mergeCell ref="AE5:AF5"/>
    <mergeCell ref="AG5:AH5"/>
    <mergeCell ref="AE24:AI24"/>
    <mergeCell ref="AE25:AI25"/>
  </mergeCells>
  <phoneticPr fontId="0" type="noConversion"/>
  <dataValidations count="3">
    <dataValidation type="list" allowBlank="1" showInputMessage="1" showErrorMessage="1" sqref="C45:C74">
      <formula1>_9022_other</formula1>
    </dataValidation>
    <dataValidation type="list" allowBlank="1" showInputMessage="1" showErrorMessage="1" sqref="D45:D74">
      <formula1>_2552</formula1>
    </dataValidation>
    <dataValidation type="list" allowBlank="1" showInputMessage="1" showErrorMessage="1" sqref="E45:E74">
      <formula1>_6003</formula1>
    </dataValidation>
  </dataValidations>
  <hyperlinks>
    <hyperlink ref="J3" location="Содержание!A1" display="Содержание"/>
  </hyperlinks>
  <pageMargins left="0.15748031496062992" right="0.19685039370078741" top="0.15748031496062992" bottom="0.15748031496062992" header="0.15748031496062992" footer="0.31496062992125984"/>
  <pageSetup paperSize="9" scale="36" fitToWidth="2" orientation="landscape" r:id="rId6"/>
  <ignoredErrors>
    <ignoredError sqref="R22 R24" unlockedFormula="1"/>
  </ignoredErrors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2" r:id="rId9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10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11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12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13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4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5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6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7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8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9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20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21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22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260350</xdr:rowOff>
                  </from>
                  <to>
                    <xdr:col>0</xdr:col>
                    <xdr:colOff>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74" r:id="rId23" name="Button 974">
              <controlPr defaultSize="0" print="0" autoFill="0" autoPict="0" macro="[0]!AddButtonsRowAdd">
                <anchor moveWithCells="1">
                  <from>
                    <xdr:col>3</xdr:col>
                    <xdr:colOff>1479550</xdr:colOff>
                    <xdr:row>2</xdr:row>
                    <xdr:rowOff>31750</xdr:rowOff>
                  </from>
                  <to>
                    <xdr:col>6</xdr:col>
                    <xdr:colOff>336550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pageSetUpPr fitToPage="1"/>
  </sheetPr>
  <dimension ref="A1:BB31"/>
  <sheetViews>
    <sheetView topLeftCell="D2" zoomScale="53" zoomScaleNormal="53" workbookViewId="0">
      <selection activeCell="I12" sqref="I12"/>
    </sheetView>
  </sheetViews>
  <sheetFormatPr defaultColWidth="30.54296875" defaultRowHeight="14.5"/>
  <cols>
    <col min="1" max="1" width="22.54296875" style="271" hidden="1" customWidth="1"/>
    <col min="2" max="2" width="5.54296875" style="32" customWidth="1"/>
    <col min="3" max="3" width="16.453125" style="32" bestFit="1" customWidth="1"/>
    <col min="4" max="4" width="16.453125" style="32" customWidth="1"/>
    <col min="5" max="5" width="30.453125" style="32" customWidth="1"/>
    <col min="6" max="6" width="13.453125" style="32" customWidth="1"/>
    <col min="7" max="7" width="25.453125" style="32" customWidth="1"/>
    <col min="8" max="8" width="13.453125" style="32" customWidth="1"/>
    <col min="9" max="9" width="88.54296875" style="32" customWidth="1"/>
    <col min="10" max="10" width="23.453125" style="32" customWidth="1"/>
    <col min="11" max="11" width="24.54296875" style="32" customWidth="1"/>
    <col min="12" max="29" width="15.453125" style="32" customWidth="1"/>
    <col min="30" max="30" width="44.54296875" style="32" customWidth="1"/>
    <col min="31" max="31" width="38.54296875" style="32" customWidth="1"/>
    <col min="32" max="32" width="24.54296875" style="32" customWidth="1"/>
    <col min="33" max="35" width="9.54296875" style="32" customWidth="1"/>
    <col min="36" max="39" width="30.54296875" style="32"/>
    <col min="40" max="40" width="11.54296875" style="32" customWidth="1"/>
    <col min="41" max="41" width="9.54296875" style="32" customWidth="1"/>
    <col min="42" max="42" width="9.453125" style="32" customWidth="1"/>
    <col min="43" max="43" width="9" style="32" customWidth="1"/>
    <col min="44" max="44" width="12.453125" style="32" customWidth="1"/>
    <col min="45" max="45" width="11" style="32" customWidth="1"/>
    <col min="46" max="47" width="11.54296875" style="32" customWidth="1"/>
    <col min="48" max="16384" width="30.54296875" style="32"/>
  </cols>
  <sheetData>
    <row r="1" spans="1:54" s="10" customFormat="1" ht="23.25" hidden="1" customHeight="1">
      <c r="A1" s="537" t="s">
        <v>2841</v>
      </c>
      <c r="B1" s="22"/>
      <c r="C1" s="22"/>
      <c r="D1" s="22"/>
      <c r="E1" s="6"/>
      <c r="F1" s="37"/>
      <c r="G1" s="37"/>
      <c r="H1" s="37"/>
      <c r="I1" s="37"/>
      <c r="J1" s="37"/>
      <c r="K1" s="6"/>
      <c r="N1" s="6" t="s">
        <v>6457</v>
      </c>
      <c r="O1" s="6" t="s">
        <v>1056</v>
      </c>
      <c r="P1" s="2426" t="s">
        <v>6458</v>
      </c>
      <c r="Q1" s="2426" t="s">
        <v>1055</v>
      </c>
      <c r="R1" s="6" t="s">
        <v>510</v>
      </c>
      <c r="S1" s="6" t="s">
        <v>1018</v>
      </c>
      <c r="T1" s="6" t="s">
        <v>511</v>
      </c>
      <c r="U1" s="6" t="s">
        <v>1020</v>
      </c>
      <c r="V1" s="6" t="s">
        <v>1021</v>
      </c>
      <c r="W1" s="6" t="s">
        <v>1023</v>
      </c>
      <c r="Z1" s="6" t="s">
        <v>6459</v>
      </c>
      <c r="AA1" s="6" t="s">
        <v>6460</v>
      </c>
      <c r="AB1" s="2426" t="s">
        <v>6461</v>
      </c>
      <c r="AC1" s="2426" t="s">
        <v>6462</v>
      </c>
    </row>
    <row r="2" spans="1:54" s="12" customFormat="1" ht="15" thickBot="1">
      <c r="A2" s="538"/>
      <c r="E2"/>
      <c r="I2" s="24"/>
      <c r="J2" s="24"/>
      <c r="L2" s="1778" t="s">
        <v>1648</v>
      </c>
      <c r="M2" s="1778" t="s">
        <v>1648</v>
      </c>
      <c r="N2" s="1778"/>
      <c r="O2" s="1778"/>
      <c r="P2" s="1778"/>
      <c r="Q2" s="1778"/>
      <c r="R2" s="1778" t="s">
        <v>1648</v>
      </c>
      <c r="S2" s="1778" t="s">
        <v>1648</v>
      </c>
      <c r="T2" s="1778" t="s">
        <v>1648</v>
      </c>
      <c r="U2" s="1778" t="s">
        <v>1648</v>
      </c>
      <c r="V2" s="1778" t="s">
        <v>1648</v>
      </c>
      <c r="W2" s="1778" t="s">
        <v>1648</v>
      </c>
      <c r="X2" s="1778" t="s">
        <v>1648</v>
      </c>
      <c r="AJ2" s="2525" t="s">
        <v>3086</v>
      </c>
      <c r="AK2" s="2525" t="s">
        <v>7145</v>
      </c>
      <c r="AL2" s="2526" t="b">
        <f>AND(AL5:AL12)</f>
        <v>1</v>
      </c>
      <c r="AM2" s="2526" t="b">
        <f>AND(AM5:AM12)</f>
        <v>1</v>
      </c>
    </row>
    <row r="3" spans="1:54" s="24" customFormat="1" ht="26">
      <c r="A3" s="538"/>
      <c r="J3" s="1897" t="s">
        <v>2067</v>
      </c>
      <c r="K3" s="1244">
        <f>Содержание!$D$2</f>
        <v>0</v>
      </c>
      <c r="AD3" s="2529" t="s">
        <v>7157</v>
      </c>
      <c r="AJ3" s="2525" t="s">
        <v>3087</v>
      </c>
      <c r="AK3" s="2525" t="s">
        <v>3003</v>
      </c>
      <c r="AL3" s="2800" t="s">
        <v>8354</v>
      </c>
      <c r="AM3" s="2800" t="s">
        <v>8354</v>
      </c>
    </row>
    <row r="4" spans="1:54" s="24" customFormat="1" ht="15" thickBot="1">
      <c r="A4" s="538"/>
      <c r="C4"/>
      <c r="E4" s="105" t="s">
        <v>5496</v>
      </c>
      <c r="J4" s="1897" t="s">
        <v>2075</v>
      </c>
      <c r="K4" s="1244" t="str">
        <f>Содержание!$D$15</f>
        <v>2022 год</v>
      </c>
      <c r="AD4" s="325" t="b">
        <f>AND(AG9:AH9)</f>
        <v>1</v>
      </c>
      <c r="AJ4" s="2525" t="s">
        <v>3034</v>
      </c>
      <c r="AK4" s="2525" t="s">
        <v>7146</v>
      </c>
      <c r="AL4" s="2801" t="s">
        <v>8355</v>
      </c>
      <c r="AM4" s="2801" t="s">
        <v>8356</v>
      </c>
    </row>
    <row r="5" spans="1:54" s="24" customFormat="1" ht="34.5" customHeight="1" thickBot="1">
      <c r="A5" s="538"/>
      <c r="I5" s="3044" t="s">
        <v>1436</v>
      </c>
      <c r="J5" s="173"/>
      <c r="AJ5" s="2525" t="s">
        <v>7473</v>
      </c>
      <c r="AK5" s="2525" t="s">
        <v>3005</v>
      </c>
      <c r="AL5" s="2528" t="b">
        <f>IF(ABS((SUMIFS($X:$X,$I:$I,"{252002} Проценты по займам, выданным в рамках операций кэш пулинга, к получению",AW:AW,"-"))-SUMIFS('60,62,63,76_контр'!P:P,'60,62,63,76_контр'!J:J,"{252002} Проценты по займам, выданным в рамках операций кэш пулинга, к получению",'60,62,63,76_контр'!AY:AY,"-"))&lt;2,TRUE)</f>
        <v>1</v>
      </c>
      <c r="AM5" s="2528" t="b">
        <f>IF(ABS((SUMIFS($Y:$Y,$I:$I,"{252002} Проценты по займам, выданным в рамках операций кэш пулинга, к получению",AW:AW,"-"))-SUMIFS('60,62,63,76_контр'!V:V,'60,62,63,76_контр'!J:J,"{252002} Проценты по займам, выданным в рамках операций кэш пулинга, к получению",'60,62,63,76_контр'!AY:AY,"-"))&lt;2,TRUE)</f>
        <v>1</v>
      </c>
    </row>
    <row r="6" spans="1:54" s="24" customFormat="1" ht="38.25" customHeight="1" thickBot="1">
      <c r="A6" s="538"/>
      <c r="B6" s="192"/>
      <c r="C6" s="3732" t="s">
        <v>94</v>
      </c>
      <c r="D6" s="3959" t="s">
        <v>5382</v>
      </c>
      <c r="E6" s="3732" t="s">
        <v>5381</v>
      </c>
      <c r="F6" s="3713" t="s">
        <v>5531</v>
      </c>
      <c r="G6" s="3851" t="s">
        <v>8394</v>
      </c>
      <c r="H6" s="3713" t="s">
        <v>5383</v>
      </c>
      <c r="I6" s="3677" t="s">
        <v>4090</v>
      </c>
      <c r="J6" s="3677" t="s">
        <v>5384</v>
      </c>
      <c r="K6" s="3713" t="s">
        <v>4664</v>
      </c>
      <c r="L6" s="3851" t="s">
        <v>1753</v>
      </c>
      <c r="M6" s="3851" t="s">
        <v>1754</v>
      </c>
      <c r="N6" s="3851" t="s">
        <v>1651</v>
      </c>
      <c r="O6" s="3851" t="s">
        <v>1652</v>
      </c>
      <c r="P6" s="3851" t="s">
        <v>1195</v>
      </c>
      <c r="Q6" s="3851" t="s">
        <v>1196</v>
      </c>
      <c r="R6" s="3735" t="s">
        <v>4679</v>
      </c>
      <c r="S6" s="3736"/>
      <c r="T6" s="3736"/>
      <c r="U6" s="3736"/>
      <c r="V6" s="3736"/>
      <c r="W6" s="3940"/>
      <c r="X6" s="3740" t="s">
        <v>1755</v>
      </c>
      <c r="Y6" s="3740" t="s">
        <v>1756</v>
      </c>
      <c r="Z6" s="3740" t="s">
        <v>1651</v>
      </c>
      <c r="AA6" s="3740" t="s">
        <v>1652</v>
      </c>
      <c r="AB6" s="3740" t="s">
        <v>1195</v>
      </c>
      <c r="AC6" s="3740" t="s">
        <v>1196</v>
      </c>
      <c r="AD6" s="3711" t="s">
        <v>4183</v>
      </c>
      <c r="AJ6" s="2525" t="s">
        <v>3035</v>
      </c>
      <c r="AK6" s="2525" t="s">
        <v>3006</v>
      </c>
      <c r="AL6" s="2528" t="b">
        <f>IF(ABS((SUMIFS($X:$X,$I:$I,"{252005} Проценты по долгосрочным денежным займам к получению",AW:AW,"-"))-SUMIFS('60,62,63,76_контр'!P:P,'60,62,63,76_контр'!J:J,"{252005} Проценты по долгосрочным денежным займам к получению",'60,62,63,76_контр'!AY:AY,"-"))&lt;2,TRUE)</f>
        <v>1</v>
      </c>
      <c r="AM6" s="2528" t="b">
        <f>IF(ABS((SUMIFS($Y:$Y,$I:$I,"{252005} Проценты по долгосрочным денежным займам к получению",AW:AW,"-"))-SUMIFS('60,62,63,76_контр'!V:V,'60,62,63,76_контр'!J:J,"{252005} Проценты по долгосрочным денежным займам к получению",'60,62,63,76_контр'!AY:AY,"-"))&lt;2,TRUE)</f>
        <v>1</v>
      </c>
      <c r="AR6" s="2169" t="b">
        <f>AND(AR12:AR43)</f>
        <v>1</v>
      </c>
      <c r="AS6" s="2169" t="b">
        <f>AND(AS12:AS43)</f>
        <v>1</v>
      </c>
      <c r="AT6" s="2169" t="b">
        <f>AND(AT12:AT43)</f>
        <v>1</v>
      </c>
      <c r="AU6" s="2169" t="b">
        <f>AND(AU12:AU43)</f>
        <v>1</v>
      </c>
      <c r="AX6" s="2169" t="b">
        <f>AND(AX12:AX43)</f>
        <v>1</v>
      </c>
      <c r="AY6" s="2169" t="b">
        <f t="shared" ref="AY6:BB6" si="0">AND(AY12:AY43)</f>
        <v>1</v>
      </c>
      <c r="AZ6" s="2169" t="b">
        <f t="shared" si="0"/>
        <v>1</v>
      </c>
      <c r="BA6" s="2169" t="b">
        <f t="shared" si="0"/>
        <v>1</v>
      </c>
      <c r="BB6" s="2169" t="b">
        <f t="shared" si="0"/>
        <v>1</v>
      </c>
    </row>
    <row r="7" spans="1:54" s="24" customFormat="1" ht="86.9" customHeight="1">
      <c r="A7" s="538"/>
      <c r="B7" s="192"/>
      <c r="C7" s="3732"/>
      <c r="D7" s="3960"/>
      <c r="E7" s="3732"/>
      <c r="F7" s="3713"/>
      <c r="G7" s="3807"/>
      <c r="H7" s="3713"/>
      <c r="I7" s="3677"/>
      <c r="J7" s="3677"/>
      <c r="K7" s="3713"/>
      <c r="L7" s="3717"/>
      <c r="M7" s="3717"/>
      <c r="N7" s="3717"/>
      <c r="O7" s="3717"/>
      <c r="P7" s="3717"/>
      <c r="Q7" s="3717"/>
      <c r="R7" s="16" t="s">
        <v>2774</v>
      </c>
      <c r="S7" s="16" t="s">
        <v>2775</v>
      </c>
      <c r="T7" s="2261" t="s">
        <v>6072</v>
      </c>
      <c r="U7" s="16" t="s">
        <v>5498</v>
      </c>
      <c r="V7" s="16" t="s">
        <v>5393</v>
      </c>
      <c r="W7" s="16" t="s">
        <v>5379</v>
      </c>
      <c r="X7" s="3741"/>
      <c r="Y7" s="3741"/>
      <c r="Z7" s="3741" t="s">
        <v>1651</v>
      </c>
      <c r="AA7" s="3741" t="s">
        <v>1652</v>
      </c>
      <c r="AB7" s="3741" t="s">
        <v>1195</v>
      </c>
      <c r="AC7" s="3741" t="s">
        <v>1196</v>
      </c>
      <c r="AD7" s="3711"/>
      <c r="AJ7" s="2525" t="s">
        <v>3035</v>
      </c>
      <c r="AK7" s="2525" t="s">
        <v>3002</v>
      </c>
      <c r="AL7" s="2528" t="b">
        <f>IF(ABS((SUMIFS($X:$X,$I:$I,"{252006} Проценты по краткосрочным займам (кроме кэш пулинга) к получению",AW:AW,"-"))-SUMIFS('60,62,63,76_контр'!P:P,'60,62,63,76_контр'!J:J,"{252006} Проценты по краткосрочным займам (кроме кэш пулинга) к получению",'60,62,63,76_контр'!AY:AY,"-"))&lt;2,TRUE)</f>
        <v>1</v>
      </c>
      <c r="AM7" s="2528" t="b">
        <f>IF(ABS((SUMIFS($Y:$Y,$I:$I,"{252006} Проценты по краткосрочным займам (кроме кэш пулинга) к получению",AW:AW,"-"))-SUMIFS('60,62,63,76_контр'!V:V,'60,62,63,76_контр'!J:J,"{252006} Проценты по краткосрочным займам (кроме кэш пулинга) к получению",'60,62,63,76_контр'!AY:AY,"-"))&lt;2,TRUE)</f>
        <v>1</v>
      </c>
      <c r="AN7" s="3953" t="s">
        <v>1755</v>
      </c>
      <c r="AO7" s="3954"/>
      <c r="AP7" s="3953" t="s">
        <v>1756</v>
      </c>
      <c r="AQ7" s="3954"/>
      <c r="AR7" s="3957" t="s">
        <v>6116</v>
      </c>
      <c r="AS7" s="3900" t="s">
        <v>6118</v>
      </c>
      <c r="AT7" s="3900" t="s">
        <v>6117</v>
      </c>
      <c r="AU7" s="3916" t="s">
        <v>6119</v>
      </c>
      <c r="AV7" s="3953" t="s">
        <v>9912</v>
      </c>
      <c r="AW7" s="3954"/>
      <c r="AX7" s="3955" t="s">
        <v>9911</v>
      </c>
      <c r="AY7" s="3956"/>
      <c r="AZ7" s="3956"/>
    </row>
    <row r="8" spans="1:54" s="24" customFormat="1" ht="130">
      <c r="A8" s="538"/>
      <c r="B8" s="192"/>
      <c r="C8" s="99"/>
      <c r="D8" s="99" t="s">
        <v>4219</v>
      </c>
      <c r="E8" s="99" t="s">
        <v>5247</v>
      </c>
      <c r="F8" s="16">
        <v>6004</v>
      </c>
      <c r="G8" s="2361" t="s">
        <v>5247</v>
      </c>
      <c r="H8" s="15" t="s">
        <v>4219</v>
      </c>
      <c r="I8" s="15">
        <v>10022</v>
      </c>
      <c r="J8" s="15" t="s">
        <v>3009</v>
      </c>
      <c r="K8" s="15" t="s">
        <v>5250</v>
      </c>
      <c r="L8" s="16" t="s">
        <v>672</v>
      </c>
      <c r="M8" s="16" t="s">
        <v>674</v>
      </c>
      <c r="N8" s="258" t="s">
        <v>4142</v>
      </c>
      <c r="O8" s="258" t="s">
        <v>4142</v>
      </c>
      <c r="P8" s="258" t="s">
        <v>4142</v>
      </c>
      <c r="Q8" s="258" t="s">
        <v>4142</v>
      </c>
      <c r="R8" s="16" t="s">
        <v>1835</v>
      </c>
      <c r="S8" s="16" t="s">
        <v>5402</v>
      </c>
      <c r="T8" s="16" t="s">
        <v>1699</v>
      </c>
      <c r="U8" s="16" t="s">
        <v>5404</v>
      </c>
      <c r="V8" s="16" t="s">
        <v>5405</v>
      </c>
      <c r="W8" s="16" t="s">
        <v>5406</v>
      </c>
      <c r="X8" s="15" t="s">
        <v>673</v>
      </c>
      <c r="Y8" s="15" t="s">
        <v>694</v>
      </c>
      <c r="Z8" s="258" t="s">
        <v>4142</v>
      </c>
      <c r="AA8" s="258" t="s">
        <v>4142</v>
      </c>
      <c r="AB8" s="258" t="s">
        <v>4142</v>
      </c>
      <c r="AC8" s="258" t="s">
        <v>4142</v>
      </c>
      <c r="AD8" s="25"/>
      <c r="AJ8" s="2525" t="s">
        <v>7472</v>
      </c>
      <c r="AK8" s="2525" t="s">
        <v>3007</v>
      </c>
      <c r="AL8" s="2528" t="b">
        <f>IF(ABS((SUMIFS($X:$X,$I:$I,"{252007} Проценты по финансовым вложениям к получению",AW:AW,"-"))-SUMIFS('60,62,63,76_контр'!P:P,'60,62,63,76_контр'!J:J,"{252007} Проценты по финансовым вложениям к получению",'60,62,63,76_контр'!AY:AY,"-"))&lt;2,TRUE)</f>
        <v>1</v>
      </c>
      <c r="AM8" s="2528" t="b">
        <f>IF(ABS((SUMIFS($Y:$Y,$I:$I,"{252007} Проценты по финансовым вложениям к получению",AW:AW,"-"))-SUMIFS('60,62,63,76_контр'!V:V,'60,62,63,76_контр'!J:J,"{252007} Проценты по финансовым вложениям к получению",'60,62,63,76_контр'!AY:AY,"-"))&lt;2,TRUE)</f>
        <v>1</v>
      </c>
      <c r="AN8" s="2655" t="s">
        <v>6114</v>
      </c>
      <c r="AO8" s="2655" t="s">
        <v>6115</v>
      </c>
      <c r="AP8" s="2655" t="s">
        <v>6114</v>
      </c>
      <c r="AQ8" s="2655" t="s">
        <v>6115</v>
      </c>
      <c r="AR8" s="3958"/>
      <c r="AS8" s="3717"/>
      <c r="AT8" s="3717"/>
      <c r="AU8" s="3741"/>
      <c r="AV8" s="2655" t="s">
        <v>7875</v>
      </c>
      <c r="AW8" s="2655" t="s">
        <v>9913</v>
      </c>
      <c r="AX8" s="3955"/>
      <c r="AY8" s="3956"/>
      <c r="AZ8" s="3956"/>
      <c r="BA8" s="3317" t="s">
        <v>10198</v>
      </c>
      <c r="BB8" s="3317" t="s">
        <v>10199</v>
      </c>
    </row>
    <row r="9" spans="1:54" s="720" customFormat="1" ht="13" thickBot="1">
      <c r="A9" s="538"/>
      <c r="B9" s="1044"/>
      <c r="C9" s="1341" t="s">
        <v>4164</v>
      </c>
      <c r="D9" s="1342" t="s">
        <v>4165</v>
      </c>
      <c r="E9" s="1341" t="s">
        <v>4166</v>
      </c>
      <c r="F9" s="1342" t="s">
        <v>5500</v>
      </c>
      <c r="G9" s="1342" t="s">
        <v>4169</v>
      </c>
      <c r="H9" s="1342" t="s">
        <v>4168</v>
      </c>
      <c r="I9" s="1342" t="s">
        <v>4178</v>
      </c>
      <c r="J9" s="1342" t="s">
        <v>4179</v>
      </c>
      <c r="K9" s="1342" t="s">
        <v>4167</v>
      </c>
      <c r="L9" s="1342" t="s">
        <v>5501</v>
      </c>
      <c r="M9" s="1342" t="s">
        <v>4701</v>
      </c>
      <c r="N9" s="1342" t="s">
        <v>4702</v>
      </c>
      <c r="O9" s="1342" t="s">
        <v>4703</v>
      </c>
      <c r="P9" s="1342" t="s">
        <v>5502</v>
      </c>
      <c r="Q9" s="1342" t="s">
        <v>5503</v>
      </c>
      <c r="R9" s="1342" t="s">
        <v>5504</v>
      </c>
      <c r="S9" s="1342" t="s">
        <v>4853</v>
      </c>
      <c r="T9" s="1342" t="s">
        <v>4852</v>
      </c>
      <c r="U9" s="1342" t="s">
        <v>5505</v>
      </c>
      <c r="V9" s="1342" t="s">
        <v>4851</v>
      </c>
      <c r="W9" s="1342" t="s">
        <v>5506</v>
      </c>
      <c r="X9" s="1342" t="s">
        <v>4850</v>
      </c>
      <c r="Y9" s="1342" t="s">
        <v>3303</v>
      </c>
      <c r="Z9" s="1342" t="s">
        <v>3304</v>
      </c>
      <c r="AA9" s="1342" t="s">
        <v>3305</v>
      </c>
      <c r="AB9" s="1342" t="s">
        <v>3306</v>
      </c>
      <c r="AC9" s="1342" t="s">
        <v>3307</v>
      </c>
      <c r="AD9" s="1342" t="s">
        <v>3308</v>
      </c>
      <c r="AG9" s="2526" t="b">
        <f>AND(AG12:AG1300)</f>
        <v>1</v>
      </c>
      <c r="AH9" s="2526" t="b">
        <f>AND(AH12:AH1300)</f>
        <v>1</v>
      </c>
      <c r="AI9" s="2526" t="b">
        <f>AND(AL2:AM2)</f>
        <v>1</v>
      </c>
      <c r="AJ9" s="2525" t="s">
        <v>6864</v>
      </c>
      <c r="AK9" s="2525"/>
      <c r="AL9" s="2528" t="b">
        <f>IF(ABS((SUMIFS($X:$X,$I:$I,"{252065} Проценты по долгосрочным товарным займам к получению",AW:AW,"-"))-SUMIFS('60,62,63,76_контр'!P:P,'60,62,63,76_контр'!J:J,"{252065} Проценты по долгосрочным товарным займам к получению",'60,62,63,76_контр'!AY:AY,"-"))&lt;2,TRUE)</f>
        <v>1</v>
      </c>
      <c r="AM9" s="2528" t="b">
        <f>IF(ABS((SUMIFS($Y:$Y,$I:$I,"{252065} Проценты по долгосрочным товарным займам к получению",AW:AW,"-"))-SUMIFS('60,62,63,76_контр'!V:V,'60,62,63,76_контр'!J:J,"{252065} Проценты по долгосрочным товарным займам к получению",'60,62,63,76_контр'!AY:AY,"-"))&lt;2,TRUE)</f>
        <v>1</v>
      </c>
    </row>
    <row r="10" spans="1:54" s="24" customFormat="1" ht="26">
      <c r="A10" s="538"/>
      <c r="C10" s="1045" t="s">
        <v>4184</v>
      </c>
      <c r="D10" s="1049" t="s">
        <v>4184</v>
      </c>
      <c r="E10" s="1046" t="s">
        <v>4170</v>
      </c>
      <c r="F10" s="979" t="s">
        <v>4184</v>
      </c>
      <c r="G10" s="979" t="s">
        <v>4184</v>
      </c>
      <c r="H10" s="979" t="s">
        <v>4184</v>
      </c>
      <c r="I10" s="914" t="s">
        <v>4184</v>
      </c>
      <c r="J10" s="893" t="s">
        <v>4184</v>
      </c>
      <c r="K10" s="914" t="s">
        <v>4184</v>
      </c>
      <c r="L10" s="1344">
        <f t="shared" ref="L10:AC10" si="1">SUM(L11:L65536)</f>
        <v>0</v>
      </c>
      <c r="M10" s="1344">
        <f t="shared" si="1"/>
        <v>0</v>
      </c>
      <c r="N10" s="1344">
        <f t="shared" si="1"/>
        <v>0</v>
      </c>
      <c r="O10" s="1344">
        <f t="shared" si="1"/>
        <v>0</v>
      </c>
      <c r="P10" s="1344">
        <f t="shared" si="1"/>
        <v>0</v>
      </c>
      <c r="Q10" s="1344">
        <f t="shared" si="1"/>
        <v>0</v>
      </c>
      <c r="R10" s="1344">
        <f t="shared" si="1"/>
        <v>0</v>
      </c>
      <c r="S10" s="1344">
        <f t="shared" si="1"/>
        <v>0</v>
      </c>
      <c r="T10" s="1344">
        <f t="shared" si="1"/>
        <v>0</v>
      </c>
      <c r="U10" s="1344">
        <f t="shared" si="1"/>
        <v>0</v>
      </c>
      <c r="V10" s="1344">
        <f t="shared" si="1"/>
        <v>0</v>
      </c>
      <c r="W10" s="1344">
        <f t="shared" si="1"/>
        <v>0</v>
      </c>
      <c r="X10" s="1344">
        <f t="shared" si="1"/>
        <v>0</v>
      </c>
      <c r="Y10" s="1344">
        <f t="shared" si="1"/>
        <v>0</v>
      </c>
      <c r="Z10" s="1344">
        <f t="shared" si="1"/>
        <v>0</v>
      </c>
      <c r="AA10" s="1344">
        <f t="shared" si="1"/>
        <v>0</v>
      </c>
      <c r="AB10" s="1344">
        <f t="shared" si="1"/>
        <v>0</v>
      </c>
      <c r="AC10" s="1344">
        <f t="shared" si="1"/>
        <v>0</v>
      </c>
      <c r="AD10" s="1345" t="s">
        <v>3389</v>
      </c>
      <c r="AE10" s="2328" t="s">
        <v>1652</v>
      </c>
      <c r="AF10" s="2328" t="s">
        <v>1196</v>
      </c>
      <c r="AG10" s="2527"/>
      <c r="AH10" s="2527"/>
      <c r="AJ10" s="2525" t="s">
        <v>6865</v>
      </c>
      <c r="AK10" s="2525"/>
      <c r="AL10" s="2528" t="b">
        <f>IF(ABS((SUMIFS($X:$X,$I:$I,"{252066} Проценты по краткосрочным товарным займам к получению",AW:AW,"-"))-SUMIFS('60,62,63,76_контр'!P:P,'60,62,63,76_контр'!J:J,"{252066} Проценты по краткосрочным товарным займам к получению",'60,62,63,76_контр'!AY:AY,"-"))&lt;2,TRUE)</f>
        <v>1</v>
      </c>
      <c r="AM10" s="2528" t="b">
        <f>IF(ABS((SUMIFS($Y:$Y,$I:$I,"{252066} Проценты по краткосрочным товарным займам к получению",AW:AW,"-"))-SUMIFS('60,62,63,76_контр'!V:V,'60,62,63,76_контр'!J:J,"{252066} Проценты по краткосрочным товарным займам к получению",'60,62,63,76_контр'!AY:AY,"-"))&lt;2,TRUE)</f>
        <v>1</v>
      </c>
    </row>
    <row r="11" spans="1:54" s="24" customFormat="1" ht="38.5">
      <c r="A11" s="556" t="str">
        <f>"R50=7706664260X"&amp;";R32=252005"&amp;IFERROR(MID(I11,FIND("{",I11)+1,FIND("}",I11)-FIND("{",I11)-1),"")&amp;";COM="&amp;AD11</f>
        <v>R50=7706664260X;R32=252005;COM=</v>
      </c>
      <c r="B11" s="207"/>
      <c r="C11" s="1047" t="s">
        <v>4184</v>
      </c>
      <c r="D11" s="1050" t="s">
        <v>4184</v>
      </c>
      <c r="E11" s="1048" t="s">
        <v>9793</v>
      </c>
      <c r="F11" s="914" t="s">
        <v>4184</v>
      </c>
      <c r="G11" s="914" t="s">
        <v>4184</v>
      </c>
      <c r="H11" s="914" t="s">
        <v>4184</v>
      </c>
      <c r="I11" s="1048" t="s">
        <v>9793</v>
      </c>
      <c r="J11" s="892" t="s">
        <v>4184</v>
      </c>
      <c r="K11" s="914" t="s">
        <v>4184</v>
      </c>
      <c r="L11" s="1434"/>
      <c r="M11" s="1434"/>
      <c r="N11" s="1434"/>
      <c r="O11" s="1434"/>
      <c r="P11" s="1775">
        <f t="shared" ref="P11:Q11" si="2">L11-N11</f>
        <v>0</v>
      </c>
      <c r="Q11" s="1775">
        <f t="shared" si="2"/>
        <v>0</v>
      </c>
      <c r="R11" s="1434"/>
      <c r="S11" s="1434"/>
      <c r="T11" s="1009"/>
      <c r="U11" s="897"/>
      <c r="V11" s="1434"/>
      <c r="W11" s="897"/>
      <c r="X11" s="1344">
        <f t="shared" ref="X11:X23" si="3">SUM(L11:M11,R11:W11)-Y11</f>
        <v>0</v>
      </c>
      <c r="Y11" s="897"/>
      <c r="Z11" s="2312"/>
      <c r="AA11" s="2312"/>
      <c r="AB11" s="1775">
        <f t="shared" ref="AB11:AB13" si="4">X11-Z11</f>
        <v>0</v>
      </c>
      <c r="AC11" s="1775">
        <f t="shared" ref="AC11:AC13" si="5">Y11-AA11</f>
        <v>0</v>
      </c>
      <c r="AD11" s="987"/>
      <c r="AE11" s="2324">
        <f>SUM(AA12:AA9983)</f>
        <v>0</v>
      </c>
      <c r="AF11" s="2324">
        <f>SUM(AC12:AC9983)</f>
        <v>0</v>
      </c>
      <c r="AG11" s="2527"/>
      <c r="AH11" s="2527"/>
      <c r="AI11" s="2526" t="b">
        <f>AND(AI12:AI1300,BA6:BB6)</f>
        <v>1</v>
      </c>
      <c r="AJ11" s="2525" t="s">
        <v>3035</v>
      </c>
      <c r="AK11" s="2525" t="s">
        <v>3007</v>
      </c>
      <c r="AL11" s="2528" t="b">
        <f>IF(ABS((SUMIFS($X:$X,$I:$I,"{252074} Проценты полученные по депозитам со сроком до даты погашения (размещения) три и менее месяцев",AW:AW,"-"))-SUMIFS('60,62,63,76_контр'!P:P,'60,62,63,76_контр'!J:J,"{252074} Проценты полученные по депозитам со сроком до даты погашения (размещения) три и менее месяцев",'60,62,63,76_контр'!AY:AY,"-"))&lt;2,TRUE)</f>
        <v>1</v>
      </c>
      <c r="AM11" s="2528" t="b">
        <f>IF(ABS((SUMIFS($Y:$Y,$I:$I,"{252074} Проценты полученные по депозитам со сроком до даты погашения (размещения) три и менее месяцев",AW:AW,"-"))-SUMIFS('60,62,63,76_контр'!V:V,'60,62,63,76_контр'!J:J,"{252074} Проценты полученные по депозитам со сроком до даты погашения (размещения) три и менее месяцев",'60,62,63,76_контр'!AY:AY,"-"))&lt;2,TRUE)</f>
        <v>1</v>
      </c>
    </row>
    <row r="12" spans="1:54" s="651" customFormat="1" ht="31.5" customHeight="1">
      <c r="A12" s="556" t="str">
        <f t="shared" ref="A12:A13" si="6">"R50="&amp;C12&amp;";R32="&amp;IFERROR(MID(I12,FIND("{",I12)+1,FIND("}",I12)-FIND("{",I12)-1),"")&amp;";R36="&amp;MID(G12,1,30)&amp;";R43="&amp;MID(F12,1,30)&amp;";COM="&amp;AD12</f>
        <v>R50=;R32=;R36= ;R43= ;COM=</v>
      </c>
      <c r="B12" s="1116"/>
      <c r="C12" s="1488"/>
      <c r="D12" s="1489" t="str">
        <f>IF(ISERROR(VLOOKUP($C12,Фин_договоры!$C:$AE,4,FALSE))," ",VLOOKUP($C12,Фин_договоры!$C:$AE,4,FALSE))</f>
        <v xml:space="preserve"> </v>
      </c>
      <c r="E12" s="1489" t="str">
        <f>IF(ISERROR(VLOOKUP($C12,Фин_договоры!$C:$AE,6,FALSE))," ",VLOOKUP($C12,Фин_договоры!$C:$AE,6,FALSE))</f>
        <v xml:space="preserve"> </v>
      </c>
      <c r="F12" s="1489" t="str">
        <f>IF(ISERROR(VLOOKUP($C12,Фин_договоры!$C:$AE,7,FALSE))," ",VLOOKUP($C12,Фин_договоры!$C:$AE,7,FALSE))</f>
        <v xml:space="preserve"> </v>
      </c>
      <c r="G12" s="1489" t="str">
        <f>IF(ISERROR(VLOOKUP($C12,Фин_договоры!$C:$AE,8,FALSE))," ",VLOOKUP($C12,Фин_договоры!$C:$AE,8,FALSE))</f>
        <v xml:space="preserve"> </v>
      </c>
      <c r="H12" s="2976" t="str">
        <f>IF(ISERROR(VLOOKUP($C12,Фин_договоры!$C:$AE,5,FALSE))," ",VLOOKUP($C12,Фин_договоры!$C:$AE,5,FALSE))</f>
        <v xml:space="preserve"> </v>
      </c>
      <c r="I12" s="2975"/>
      <c r="J12" s="1549" t="str">
        <f>IF(ISERROR(VLOOKUP($C12,Фин_договоры!$C:$AE,2,FALSE))," ",VLOOKUP($C12,Фин_договоры!$C:$AE,2,FALSE))</f>
        <v xml:space="preserve"> </v>
      </c>
      <c r="K12" s="1549" t="str">
        <f>IF(ISERROR(VLOOKUP($C12,Фин_договоры!$C:$AE,16,FALSE))," ",VLOOKUP($C12,Фин_договоры!$C:$AE,16,FALSE))</f>
        <v xml:space="preserve"> </v>
      </c>
      <c r="L12" s="1491"/>
      <c r="M12" s="1491"/>
      <c r="N12" s="1491"/>
      <c r="O12" s="1491"/>
      <c r="P12" s="1775">
        <f t="shared" ref="P12:P13" si="7">L12-N12</f>
        <v>0</v>
      </c>
      <c r="Q12" s="1775">
        <f t="shared" ref="Q12:Q13" si="8">M12-O12</f>
        <v>0</v>
      </c>
      <c r="R12" s="1491"/>
      <c r="S12" s="1491"/>
      <c r="T12" s="1491"/>
      <c r="U12" s="1491"/>
      <c r="V12" s="1491"/>
      <c r="W12" s="1491"/>
      <c r="X12" s="1344">
        <f t="shared" si="3"/>
        <v>0</v>
      </c>
      <c r="Y12" s="1491"/>
      <c r="Z12" s="2313"/>
      <c r="AA12" s="2313"/>
      <c r="AB12" s="1775">
        <f t="shared" si="4"/>
        <v>0</v>
      </c>
      <c r="AC12" s="1775">
        <f t="shared" si="5"/>
        <v>0</v>
      </c>
      <c r="AD12" s="1492"/>
      <c r="AG12" s="2528" t="b">
        <f>IF(OR(AND(OR(I12=$AJ$2,I12=$AJ$3),J12=$AK$3),AND(OR(I12=$AJ$4,I12=$AJ$5),J12=$AK$2),AND(I12=$AJ$6,J12=$AK$6),AND(I12=$AJ$8,J12=$AK$5),AND(I12=$AJ$4,J12=$AK$4),AND(I12=$AJ$5,J12=$AK$4),AND(I12=$AJ$7,J12=$AK$7),AND(I12=$AJ$11,J12=$AK$11),AND(I12=$AJ$7,J12=$AK$7),AND(OR(I12=$AJ$9,I12=$AJ$10),J12=$AK$8),I12=""),TRUE,FALSE)</f>
        <v>1</v>
      </c>
      <c r="AH12" s="2528" t="b">
        <f t="shared" ref="AH12:AH23" si="9">IF(C12&gt;0,I12&gt;0,TRUE)</f>
        <v>1</v>
      </c>
      <c r="AI12" s="2528" t="b">
        <f>IF(AND(I12=$AJ$11,OR(J12=$AK$7,J12=$AK$6)),TRUE,IF(I12=$AJ$11,IF(AND(I12=$AJ$11,J12=$AK$11),IF((VLOOKUP(C12,Фин_договоры!C:AK,35,0))&gt;365,TRUE,FALSE),FALSE),TRUE))</f>
        <v>1</v>
      </c>
      <c r="AL12" s="2528" t="b">
        <f>IF(ABS((SUMIFS($X:$X,$I:$I,"{252075} Проценты полученные по депозитам со сроком до даты погашения (размещения) более трех месяцев",AW:AW,"-"))-SUMIFS('60,62,63,76_контр'!P:P,'60,62,63,76_контр'!J:J,"{252075} Проценты полученные по депозитам со сроком до даты погашения (размещения) более трех месяцев",'60,62,63,76_контр'!AY:AY,"-"))&lt;2,TRUE)</f>
        <v>1</v>
      </c>
      <c r="AM12" s="2528" t="b">
        <f>IF(ABS((SUMIFS($Y:$Y,$I:$I,"{252075} Проценты полученные по депозитам со сроком до даты погашения (размещения) более трех месяцев",AW:AW,"-"))-SUMIFS('60,62,63,76_контр'!V:V,'60,62,63,76_контр'!J:J,"{252075} Проценты полученные по депозитам со сроком до даты погашения (размещения) более трех месяцев",'60,62,63,76_контр'!AY:AY,"-"))&lt;2,TRUE)</f>
        <v>1</v>
      </c>
      <c r="AN12" s="2654">
        <f>SUMIFS('60,62,63,76_контр'!$P$15:$P25000,'60,62,63,76_контр'!$J$15:$J25000,$I12,'60,62,63,76_контр'!$O$15:$O25000,$K12,'60,62,63,76_контр'!$C$15:$C25000,"76",'60,62,63,76_контр'!$N$15:$N25000,"{10} Долгосрочная",'60,62,63,76_контр'!$AY$15:$AY25000,"-")</f>
        <v>0</v>
      </c>
      <c r="AO12" s="2654">
        <f>SUMIFS('60,62,63,76_контр'!$P$15:$P25000,'60,62,63,76_контр'!$J$15:$J25000,$I12,'60,62,63,76_контр'!$O$15:$O25000,$K12,'60,62,63,76_контр'!$C$15:$C25000,"76",'60,62,63,76_контр'!$N$15:$N25000,"{20} Краткосрочная",'60,62,63,76_контр'!$AY$15:$AY25000,"-")</f>
        <v>0</v>
      </c>
      <c r="AP12" s="2654">
        <f>SUMIFS('60,62,63,76_контр'!$V$15:$V25000,'60,62,63,76_контр'!$J$15:$J25000,$I12,'60,62,63,76_контр'!$O$15:$O25000,$K12,'60,62,63,76_контр'!$C$15:$C25000,"76",'60,62,63,76_контр'!$N$15:$N25000,"{10} Долгосрочная",'60,62,63,76_контр'!$AY$15:$AY25000,"-")</f>
        <v>0</v>
      </c>
      <c r="AQ12" s="2654">
        <f>SUMIFS('60,62,63,76_контр'!$V$15:$V25000,'60,62,63,76_контр'!$J$15:$J25000,$I12,'60,62,63,76_контр'!$O$15:$O25000,$K12,'60,62,63,76_контр'!$C$15:$C25000,"76",'60,62,63,76_контр'!$N$15:$N25000,"{20} Краткосрочная",'60,62,63,76_контр'!$AY$15:$AY25000,"-")</f>
        <v>0</v>
      </c>
      <c r="AR12" s="2289" t="b">
        <f>IF(ABS(AN12-SUMIFS(Z:Z,I:I,I12,K:K,K12,AW:AW,"-"))&lt;5,TRUE,FALSE)</f>
        <v>1</v>
      </c>
      <c r="AS12" s="2289" t="b">
        <f>IF(ABS(AO12-SUMIFS(AB:AB,I:I,I12,K:K,K12,AW:AW,"-"))&lt;5,TRUE,FALSE)</f>
        <v>1</v>
      </c>
      <c r="AT12" s="2289" t="b">
        <f>IF(ABS(AP12-SUMIFS(AA:AA,I:I,I12,K:K,K12,AW:AW,"-"))&lt;5,TRUE,FALSE)</f>
        <v>1</v>
      </c>
      <c r="AU12" s="2289" t="b">
        <f>IF(ABS(AQ12-SUMIFS(AC:AC,I:I,I12,K:K,K12,AW:AW,"-"))&lt;5,TRUE,FALSE)</f>
        <v>1</v>
      </c>
      <c r="AV12" s="651" t="str">
        <f>IF(OR(IF(TEXT(LEFT(F12,1),"0")="0",TRUE,FALSE),ISERROR(F12*1)),F12,F12*1)</f>
        <v xml:space="preserve"> </v>
      </c>
      <c r="AW12" s="651" t="str">
        <f t="shared" ref="AW12:AW25" si="10">IF(OR($AV12=3801085668,$AV12=7704765961,$AV12=5256065824),"-",IF(ISNA(VLOOKUP($AV12,_icompindex,1,0)),"-",VLOOKUP($AV12,_icompindex,1,0)))</f>
        <v>-</v>
      </c>
      <c r="AX12" s="2289" t="b">
        <f>IF(ABS((SUMIFS($X:$X,$I:$I,"{252002} Проценты по займам, выданным в рамках операций кэш пулинга, к получению",AW:AW,"-",G:G,G12))-SUMIFS('60,62,63,76_контр'!P:P,'60,62,63,76_контр'!J:J,"{252002} Проценты по займам, выданным в рамках операций кэш пулинга, к получению",'60,62,63,76_контр'!AY:AY,"-",'60,62,63,76_контр'!F:F,G12))&lt;2,TRUE)</f>
        <v>1</v>
      </c>
      <c r="AY12" s="2289" t="b">
        <f>IF(ABS((SUMIFS($X:$X,$I:$I,"{252005} Проценты по долгосрочным денежным займам к получению",AW:AW,"-",G:G,G12))-SUMIFS('60,62,63,76_контр'!P:P,'60,62,63,76_контр'!J:J,"{252005} Проценты по долгосрочным денежным займам к получению",'60,62,63,76_контр'!AY:AY,"-",'60,62,63,76_контр'!F:F,G12))&lt;2,TRUE)</f>
        <v>1</v>
      </c>
      <c r="AZ12" s="2289" t="b">
        <f>IF(ABS((SUMIFS($X:$X,$I:$I,"{252006} Проценты по краткосрочным займам (кроме кэш пулинга) к получению",AW:AW,"-",G:G,G12))-SUMIFS('60,62,63,76_контр'!P:P,'60,62,63,76_контр'!J:J,"{252006} Проценты по краткосрочным займам (кроме кэш пулинга) к получению",'60,62,63,76_контр'!AY:AY,"-",'60,62,63,76_контр'!F:F,G12))&lt;2,TRUE)</f>
        <v>1</v>
      </c>
      <c r="BA12" s="3318" t="b">
        <f>IF(OR(C12="",J12&lt;&gt;$AK$8),TRUE,IF(J12=$AK$8,IF(IFERROR(VLOOKUP(C12,Фин_договоры!C:AK,35,0),TRUE)&lt;=90,I12=$AJ$9,I12&lt;&gt;$AJ$9),TRUE))</f>
        <v>1</v>
      </c>
      <c r="BB12" s="3318" t="b">
        <f>IF(OR(C12="",J12&lt;&gt;$AK$8),TRUE,IF(J12=$AK$8,IF(IFERROR(VLOOKUP(C12,Фин_договоры!C:AK,35,0),TRUE)&gt;=91,OR(I12=$AJ$11,I12=$AJ$10),OR(I12&lt;&gt;$AJ$11,I12&lt;&gt;$AJ$10)),TRUE))</f>
        <v>1</v>
      </c>
    </row>
    <row r="13" spans="1:54" s="651" customFormat="1" ht="31.5" customHeight="1">
      <c r="A13" s="556" t="str">
        <f t="shared" si="6"/>
        <v>R50=;R32=;R36= ;R43= ;COM=</v>
      </c>
      <c r="B13" s="1116"/>
      <c r="C13" s="1488"/>
      <c r="D13" s="1489" t="str">
        <f>IF(ISERROR(VLOOKUP($C13,Фин_договоры!$C:$AE,4,FALSE))," ",VLOOKUP($C13,Фин_договоры!$C:$AE,4,FALSE))</f>
        <v xml:space="preserve"> </v>
      </c>
      <c r="E13" s="1489" t="str">
        <f>IF(ISERROR(VLOOKUP($C13,Фин_договоры!$C:$AE,6,FALSE))," ",VLOOKUP($C13,Фин_договоры!$C:$AE,6,FALSE))</f>
        <v xml:space="preserve"> </v>
      </c>
      <c r="F13" s="1489" t="str">
        <f>IF(ISERROR(VLOOKUP($C13,Фин_договоры!$C:$AE,7,FALSE))," ",VLOOKUP($C13,Фин_договоры!$C:$AE,7,FALSE))</f>
        <v xml:space="preserve"> </v>
      </c>
      <c r="G13" s="1489" t="str">
        <f>IF(ISERROR(VLOOKUP($C13,Фин_договоры!$C:$AE,8,FALSE))," ",VLOOKUP($C13,Фин_договоры!$C:$AE,8,FALSE))</f>
        <v xml:space="preserve"> </v>
      </c>
      <c r="H13" s="1490" t="str">
        <f>IF(ISERROR(VLOOKUP($C13,Фин_договоры!$C:$AE,5,FALSE))," ",VLOOKUP($C13,Фин_договоры!$C:$AE,5,FALSE))</f>
        <v xml:space="preserve"> </v>
      </c>
      <c r="I13" s="2975"/>
      <c r="J13" s="1549" t="str">
        <f>IF(ISERROR(VLOOKUP($C13,Фин_договоры!$C:$AE,2,FALSE))," ",VLOOKUP($C13,Фин_договоры!$C:$AE,2,FALSE))</f>
        <v xml:space="preserve"> </v>
      </c>
      <c r="K13" s="1549" t="str">
        <f>IF(ISERROR(VLOOKUP($C13,Фин_договоры!$C:$AE,16,FALSE))," ",VLOOKUP($C13,Фин_договоры!$C:$AE,16,FALSE))</f>
        <v xml:space="preserve"> </v>
      </c>
      <c r="L13" s="1491"/>
      <c r="M13" s="1491"/>
      <c r="N13" s="1491"/>
      <c r="O13" s="1491"/>
      <c r="P13" s="1775">
        <f t="shared" si="7"/>
        <v>0</v>
      </c>
      <c r="Q13" s="1775">
        <f t="shared" si="8"/>
        <v>0</v>
      </c>
      <c r="R13" s="1491"/>
      <c r="S13" s="1491"/>
      <c r="T13" s="1491"/>
      <c r="U13" s="1491"/>
      <c r="V13" s="1491"/>
      <c r="W13" s="1491"/>
      <c r="X13" s="1344">
        <f t="shared" si="3"/>
        <v>0</v>
      </c>
      <c r="Y13" s="1491"/>
      <c r="Z13" s="2313"/>
      <c r="AA13" s="2313"/>
      <c r="AB13" s="1775">
        <f t="shared" si="4"/>
        <v>0</v>
      </c>
      <c r="AC13" s="1775">
        <f t="shared" si="5"/>
        <v>0</v>
      </c>
      <c r="AD13" s="1492"/>
      <c r="AG13" s="2528" t="b">
        <f t="shared" ref="AG13:AG25" si="11">IF(OR(AND(OR(I13=$AJ$2,I13=$AJ$3),J13=$AK$3),AND(OR(I13=$AJ$4,I13=$AJ$5),J13=$AK$2),AND(I13=$AJ$6,J13=$AK$6),AND(I13=$AJ$8,J13=$AK$5),AND(I13=$AJ$4,J13=$AK$4),AND(I13=$AJ$5,J13=$AK$4),AND(I13=$AJ$7,J13=$AK$7),AND(I13=$AJ$11,J13=$AK$11),AND(I13=$AJ$7,J13=$AK$7),AND(OR(I13=$AJ$9,I13=$AJ$10),J13=$AK$8),I13=""),TRUE,FALSE)</f>
        <v>1</v>
      </c>
      <c r="AH13" s="2528" t="b">
        <f t="shared" si="9"/>
        <v>1</v>
      </c>
      <c r="AI13" s="2528" t="b">
        <f>IF(AND(I13=$AJ$11,OR(J13=$AK$7,J13=$AK$6)),TRUE,IF(I13=$AJ$11,IF(AND(I13=$AJ$11,J13=$AK$11),IF((VLOOKUP(C13,Фин_договоры!C:AK,35,0))&gt;365,TRUE,FALSE),FALSE),TRUE))</f>
        <v>1</v>
      </c>
      <c r="AL13" s="2528"/>
      <c r="AM13" s="2528"/>
      <c r="AN13" s="2654">
        <f>SUMIFS('60,62,63,76_контр'!$P$15:$P25001,'60,62,63,76_контр'!$J$15:$J25001,$I13,'60,62,63,76_контр'!$O$15:$O25001,$K13,'60,62,63,76_контр'!$C$15:$C25001,"76",'60,62,63,76_контр'!$N$15:$N25001,"{10} Долгосрочная",'60,62,63,76_контр'!$AY$15:$AY25001,"-")</f>
        <v>0</v>
      </c>
      <c r="AO13" s="2654">
        <f>SUMIFS('60,62,63,76_контр'!$P$15:$P25001,'60,62,63,76_контр'!$J$15:$J25001,$I13,'60,62,63,76_контр'!$O$15:$O25001,$K13,'60,62,63,76_контр'!$C$15:$C25001,"76",'60,62,63,76_контр'!$N$15:$N25001,"{20} Краткосрочная",'60,62,63,76_контр'!$AY$15:$AY25001,"-")</f>
        <v>0</v>
      </c>
      <c r="AP13" s="2654">
        <f>SUMIFS('60,62,63,76_контр'!$V$15:$V25001,'60,62,63,76_контр'!$J$15:$J25001,$I13,'60,62,63,76_контр'!$O$15:$O25001,$K13,'60,62,63,76_контр'!$C$15:$C25001,"76",'60,62,63,76_контр'!$N$15:$N25001,"{10} Долгосрочная",'60,62,63,76_контр'!$AY$15:$AY25001,"-")</f>
        <v>0</v>
      </c>
      <c r="AQ13" s="2654">
        <f>SUMIFS('60,62,63,76_контр'!$V$15:$V25001,'60,62,63,76_контр'!$J$15:$J25001,$I13,'60,62,63,76_контр'!$O$15:$O25001,$K13,'60,62,63,76_контр'!$C$15:$C25001,"76",'60,62,63,76_контр'!$N$15:$N25001,"{20} Краткосрочная",'60,62,63,76_контр'!$AY$15:$AY25001,"-")</f>
        <v>0</v>
      </c>
      <c r="AR13" s="2289" t="b">
        <f t="shared" ref="AR13:AR25" si="12">IF(ABS(AN13-SUMIFS(Z:Z,I:I,I13,K:K,K13,AW:AW,"-"))&lt;5,TRUE,FALSE)</f>
        <v>1</v>
      </c>
      <c r="AS13" s="2289" t="b">
        <f t="shared" ref="AS13:AS25" si="13">IF(ABS(AO13-SUMIFS(AB:AB,I:I,I13,K:K,K13,AW:AW,"-"))&lt;5,TRUE,FALSE)</f>
        <v>1</v>
      </c>
      <c r="AT13" s="2289" t="b">
        <f t="shared" ref="AT13:AT25" si="14">IF(ABS(AP13-SUMIFS(AA:AA,I:I,I13,K:K,K13,AW:AW,"-"))&lt;5,TRUE,FALSE)</f>
        <v>1</v>
      </c>
      <c r="AU13" s="2289" t="b">
        <f t="shared" ref="AU13:AU25" si="15">IF(ABS(AQ13-SUMIFS(AC:AC,I:I,I13,K:K,K13,AW:AW,"-"))&lt;5,TRUE,FALSE)</f>
        <v>1</v>
      </c>
      <c r="AV13" s="651" t="str">
        <f t="shared" ref="AV13:AV25" si="16">IF(OR(IF(TEXT(LEFT(F13,1),"0")="0",TRUE,FALSE),ISERROR(F13*1)),F13,F13*1)</f>
        <v xml:space="preserve"> </v>
      </c>
      <c r="AW13" s="651" t="str">
        <f t="shared" si="10"/>
        <v>-</v>
      </c>
      <c r="AX13" s="2289" t="b">
        <f>IF(ABS((SUMIFS($X:$X,$I:$I,"{252002} Проценты по займам, выданным в рамках операций кэш пулинга, к получению",AW:AW,"-",G:G,G13))-SUMIFS('60,62,63,76_контр'!P:P,'60,62,63,76_контр'!J:J,"{252002} Проценты по займам, выданным в рамках операций кэш пулинга, к получению",'60,62,63,76_контр'!AY:AY,"-",'60,62,63,76_контр'!F:F,G13))&lt;2,TRUE)</f>
        <v>1</v>
      </c>
      <c r="AY13" s="2289" t="b">
        <f>IF(ABS((SUMIFS($X:$X,$I:$I,"{252005} Проценты по долгосрочным денежным займам к получению",AW:AW,"-",G:G,G13))-SUMIFS('60,62,63,76_контр'!P:P,'60,62,63,76_контр'!J:J,"{252005} Проценты по долгосрочным денежным займам к получению",'60,62,63,76_контр'!AY:AY,"-",'60,62,63,76_контр'!F:F,G13))&lt;2,TRUE)</f>
        <v>1</v>
      </c>
      <c r="AZ13" s="2289" t="b">
        <f>IF(ABS((SUMIFS($X:$X,$I:$I,"{252006} Проценты по краткосрочным займам (кроме кэш пулинга) к получению",AW:AW,"-",G:G,G13))-SUMIFS('60,62,63,76_контр'!P:P,'60,62,63,76_контр'!J:J,"{252006} Проценты по краткосрочным займам (кроме кэш пулинга) к получению",'60,62,63,76_контр'!AY:AY,"-",'60,62,63,76_контр'!F:F,G13))&lt;2,TRUE)</f>
        <v>1</v>
      </c>
      <c r="BA13" s="3318" t="b">
        <f>IF(OR(C13="",J13&lt;&gt;$AK$8),TRUE,IF(J13=$AK$8,IF(IFERROR(VLOOKUP(C13,Фин_договоры!C:AK,35,0),TRUE)&lt;=90,I13=$AJ$9,I13&lt;&gt;$AJ$9),TRUE))</f>
        <v>1</v>
      </c>
      <c r="BB13" s="3318" t="b">
        <f>IF(OR(C13="",J13&lt;&gt;$AK$8),TRUE,IF(J13=$AK$8,IF(IFERROR(VLOOKUP(C13,Фин_договоры!C:AK,35,0),TRUE)&gt;=91,OR(I13=$AJ$11,I13=$AJ$10),OR(I13&lt;&gt;$AJ$11,I13&lt;&gt;$AJ$10)),TRUE))</f>
        <v>1</v>
      </c>
    </row>
    <row r="14" spans="1:54" s="651" customFormat="1" ht="31.5" customHeight="1">
      <c r="A14" s="556" t="str">
        <f t="shared" ref="A14" si="17">"R50="&amp;C14&amp;";R32="&amp;IFERROR(MID(I14,FIND("{",I14)+1,FIND("}",I14)-FIND("{",I14)-1),"")&amp;";R36="&amp;MID(G14,1,30)&amp;";R43="&amp;MID(F14,1,30)&amp;";COM="&amp;AD14</f>
        <v>R50=;R32=;R36= ;R43= ;COM=</v>
      </c>
      <c r="B14" s="1116"/>
      <c r="C14" s="1488"/>
      <c r="D14" s="1489" t="str">
        <f>IF(ISERROR(VLOOKUP($C14,Фин_договоры!$C:$AE,4,FALSE))," ",VLOOKUP($C14,Фин_договоры!$C:$AE,4,FALSE))</f>
        <v xml:space="preserve"> </v>
      </c>
      <c r="E14" s="1489" t="str">
        <f>IF(ISERROR(VLOOKUP($C14,Фин_договоры!$C:$AE,6,FALSE))," ",VLOOKUP($C14,Фин_договоры!$C:$AE,6,FALSE))</f>
        <v xml:space="preserve"> </v>
      </c>
      <c r="F14" s="1489" t="str">
        <f>IF(ISERROR(VLOOKUP($C14,Фин_договоры!$C:$AE,7,FALSE))," ",VLOOKUP($C14,Фин_договоры!$C:$AE,7,FALSE))</f>
        <v xml:space="preserve"> </v>
      </c>
      <c r="G14" s="1489" t="str">
        <f>IF(ISERROR(VLOOKUP($C14,Фин_договоры!$C:$AE,8,FALSE))," ",VLOOKUP($C14,Фин_договоры!$C:$AE,8,FALSE))</f>
        <v xml:space="preserve"> </v>
      </c>
      <c r="H14" s="1490" t="str">
        <f>IF(ISERROR(VLOOKUP($C14,Фин_договоры!$C:$AE,5,FALSE))," ",VLOOKUP($C14,Фин_договоры!$C:$AE,5,FALSE))</f>
        <v xml:space="preserve"> </v>
      </c>
      <c r="I14" s="2977"/>
      <c r="J14" s="1549" t="str">
        <f>IF(ISERROR(VLOOKUP($C14,Фин_договоры!$C:$AE,2,FALSE))," ",VLOOKUP($C14,Фин_договоры!$C:$AE,2,FALSE))</f>
        <v xml:space="preserve"> </v>
      </c>
      <c r="K14" s="1549" t="str">
        <f>IF(ISERROR(VLOOKUP($C14,Фин_договоры!$C:$AE,16,FALSE))," ",VLOOKUP($C14,Фин_договоры!$C:$AE,16,FALSE))</f>
        <v xml:space="preserve"> </v>
      </c>
      <c r="L14" s="1491"/>
      <c r="M14" s="1491"/>
      <c r="N14" s="1491"/>
      <c r="O14" s="1491"/>
      <c r="P14" s="1775">
        <f t="shared" ref="P14" si="18">L14-N14</f>
        <v>0</v>
      </c>
      <c r="Q14" s="1775">
        <f t="shared" ref="Q14" si="19">M14-O14</f>
        <v>0</v>
      </c>
      <c r="R14" s="1491"/>
      <c r="S14" s="1491"/>
      <c r="T14" s="1491"/>
      <c r="U14" s="1491"/>
      <c r="V14" s="1491"/>
      <c r="W14" s="1491"/>
      <c r="X14" s="1344">
        <f t="shared" si="3"/>
        <v>0</v>
      </c>
      <c r="Y14" s="1491"/>
      <c r="Z14" s="2313"/>
      <c r="AA14" s="2313"/>
      <c r="AB14" s="1775">
        <f t="shared" ref="AB14" si="20">X14-Z14</f>
        <v>0</v>
      </c>
      <c r="AC14" s="1775">
        <f t="shared" ref="AC14" si="21">Y14-AA14</f>
        <v>0</v>
      </c>
      <c r="AD14" s="1492"/>
      <c r="AG14" s="2528" t="b">
        <f t="shared" si="11"/>
        <v>1</v>
      </c>
      <c r="AH14" s="2528" t="b">
        <f t="shared" si="9"/>
        <v>1</v>
      </c>
      <c r="AI14" s="2528" t="b">
        <f>IF(AND(I14=$AJ$11,OR(J14=$AK$7,J14=$AK$6)),TRUE,IF(I14=$AJ$11,IF(AND(I14=$AJ$11,J14=$AK$11),IF((VLOOKUP(C14,Фин_договоры!C:AK,35,0))&gt;365,TRUE,FALSE),FALSE),TRUE))</f>
        <v>1</v>
      </c>
      <c r="AL14" s="2528"/>
      <c r="AM14" s="2528"/>
      <c r="AN14" s="2654">
        <f>SUMIFS('60,62,63,76_контр'!$P$15:$P25002,'60,62,63,76_контр'!$J$15:$J25002,$I14,'60,62,63,76_контр'!$O$15:$O25002,$K14,'60,62,63,76_контр'!$C$15:$C25002,"76",'60,62,63,76_контр'!$N$15:$N25002,"{10} Долгосрочная",'60,62,63,76_контр'!$AY$15:$AY25002,"-")</f>
        <v>0</v>
      </c>
      <c r="AO14" s="2654">
        <f>SUMIFS('60,62,63,76_контр'!$P$15:$P25002,'60,62,63,76_контр'!$J$15:$J25002,$I14,'60,62,63,76_контр'!$O$15:$O25002,$K14,'60,62,63,76_контр'!$C$15:$C25002,"76",'60,62,63,76_контр'!$N$15:$N25002,"{20} Краткосрочная",'60,62,63,76_контр'!$AY$15:$AY25002,"-")</f>
        <v>0</v>
      </c>
      <c r="AP14" s="2654">
        <f>SUMIFS('60,62,63,76_контр'!$V$15:$V25002,'60,62,63,76_контр'!$J$15:$J25002,$I14,'60,62,63,76_контр'!$O$15:$O25002,$K14,'60,62,63,76_контр'!$C$15:$C25002,"76",'60,62,63,76_контр'!$N$15:$N25002,"{10} Долгосрочная",'60,62,63,76_контр'!$AY$15:$AY25002,"-")</f>
        <v>0</v>
      </c>
      <c r="AQ14" s="2654">
        <f>SUMIFS('60,62,63,76_контр'!$V$15:$V25002,'60,62,63,76_контр'!$J$15:$J25002,$I14,'60,62,63,76_контр'!$O$15:$O25002,$K14,'60,62,63,76_контр'!$C$15:$C25002,"76",'60,62,63,76_контр'!$N$15:$N25002,"{20} Краткосрочная",'60,62,63,76_контр'!$AY$15:$AY25002,"-")</f>
        <v>0</v>
      </c>
      <c r="AR14" s="2289" t="b">
        <f t="shared" si="12"/>
        <v>1</v>
      </c>
      <c r="AS14" s="2289" t="b">
        <f t="shared" si="13"/>
        <v>1</v>
      </c>
      <c r="AT14" s="2289" t="b">
        <f t="shared" si="14"/>
        <v>1</v>
      </c>
      <c r="AU14" s="2289" t="b">
        <f t="shared" si="15"/>
        <v>1</v>
      </c>
      <c r="AV14" s="651" t="str">
        <f t="shared" si="16"/>
        <v xml:space="preserve"> </v>
      </c>
      <c r="AW14" s="651" t="str">
        <f t="shared" si="10"/>
        <v>-</v>
      </c>
      <c r="AX14" s="2289" t="b">
        <f>IF(ABS((SUMIFS($X:$X,$I:$I,"{252002} Проценты по займам, выданным в рамках операций кэш пулинга, к получению",AW:AW,"-",G:G,G14))-SUMIFS('60,62,63,76_контр'!P:P,'60,62,63,76_контр'!J:J,"{252002} Проценты по займам, выданным в рамках операций кэш пулинга, к получению",'60,62,63,76_контр'!AY:AY,"-",'60,62,63,76_контр'!F:F,G14))&lt;2,TRUE)</f>
        <v>1</v>
      </c>
      <c r="AY14" s="2289" t="b">
        <f>IF(ABS((SUMIFS($X:$X,$I:$I,"{252005} Проценты по долгосрочным денежным займам к получению",AW:AW,"-",G:G,G14))-SUMIFS('60,62,63,76_контр'!P:P,'60,62,63,76_контр'!J:J,"{252005} Проценты по долгосрочным денежным займам к получению",'60,62,63,76_контр'!AY:AY,"-",'60,62,63,76_контр'!F:F,G14))&lt;2,TRUE)</f>
        <v>1</v>
      </c>
      <c r="AZ14" s="2289" t="b">
        <f>IF(ABS((SUMIFS($X:$X,$I:$I,"{252006} Проценты по краткосрочным займам (кроме кэш пулинга) к получению",AW:AW,"-",G:G,G14))-SUMIFS('60,62,63,76_контр'!P:P,'60,62,63,76_контр'!J:J,"{252006} Проценты по краткосрочным займам (кроме кэш пулинга) к получению",'60,62,63,76_контр'!AY:AY,"-",'60,62,63,76_контр'!F:F,G14))&lt;2,TRUE)</f>
        <v>1</v>
      </c>
      <c r="BA14" s="3318" t="b">
        <f>IF(OR(C14="",J14&lt;&gt;$AK$8),TRUE,IF(J14=$AK$8,IF(IFERROR(VLOOKUP(C14,Фин_договоры!C:AK,35,0),TRUE)&lt;=90,I14=$AJ$9,I14&lt;&gt;$AJ$9),TRUE))</f>
        <v>1</v>
      </c>
      <c r="BB14" s="3318" t="b">
        <f>IF(OR(C14="",J14&lt;&gt;$AK$8),TRUE,IF(J14=$AK$8,IF(IFERROR(VLOOKUP(C14,Фин_договоры!C:AK,35,0),TRUE)&gt;=91,OR(I14=$AJ$11,I14=$AJ$10),OR(I14&lt;&gt;$AJ$11,I14&lt;&gt;$AJ$10)),TRUE))</f>
        <v>1</v>
      </c>
    </row>
    <row r="15" spans="1:54" s="651" customFormat="1" ht="31.5" customHeight="1">
      <c r="A15" s="556" t="str">
        <f t="shared" ref="A15" si="22">"R50="&amp;C15&amp;";R32="&amp;IFERROR(MID(I15,FIND("{",I15)+1,FIND("}",I15)-FIND("{",I15)-1),"")&amp;";R36="&amp;MID(G15,1,30)&amp;";R43="&amp;MID(F15,1,30)&amp;";COM="&amp;AD15</f>
        <v>R50=;R32=;R36= ;R43= ;COM=</v>
      </c>
      <c r="B15" s="1116"/>
      <c r="C15" s="1488"/>
      <c r="D15" s="1489" t="str">
        <f>IF(ISERROR(VLOOKUP($C15,Фин_договоры!$C:$AE,4,FALSE))," ",VLOOKUP($C15,Фин_договоры!$C:$AE,4,FALSE))</f>
        <v xml:space="preserve"> </v>
      </c>
      <c r="E15" s="1489" t="str">
        <f>IF(ISERROR(VLOOKUP($C15,Фин_договоры!$C:$AE,6,FALSE))," ",VLOOKUP($C15,Фин_договоры!$C:$AE,6,FALSE))</f>
        <v xml:space="preserve"> </v>
      </c>
      <c r="F15" s="1489" t="str">
        <f>IF(ISERROR(VLOOKUP($C15,Фин_договоры!$C:$AE,7,FALSE))," ",VLOOKUP($C15,Фин_договоры!$C:$AE,7,FALSE))</f>
        <v xml:space="preserve"> </v>
      </c>
      <c r="G15" s="1489" t="str">
        <f>IF(ISERROR(VLOOKUP($C15,Фин_договоры!$C:$AE,8,FALSE))," ",VLOOKUP($C15,Фин_договоры!$C:$AE,8,FALSE))</f>
        <v xml:space="preserve"> </v>
      </c>
      <c r="H15" s="1490" t="str">
        <f>IF(ISERROR(VLOOKUP($C15,Фин_договоры!$C:$AE,5,FALSE))," ",VLOOKUP($C15,Фин_договоры!$C:$AE,5,FALSE))</f>
        <v xml:space="preserve"> </v>
      </c>
      <c r="I15" s="2977"/>
      <c r="J15" s="1549" t="str">
        <f>IF(ISERROR(VLOOKUP($C15,Фин_договоры!$C:$AE,2,FALSE))," ",VLOOKUP($C15,Фин_договоры!$C:$AE,2,FALSE))</f>
        <v xml:space="preserve"> </v>
      </c>
      <c r="K15" s="1549" t="str">
        <f>IF(ISERROR(VLOOKUP($C15,Фин_договоры!$C:$AE,16,FALSE))," ",VLOOKUP($C15,Фин_договоры!$C:$AE,16,FALSE))</f>
        <v xml:space="preserve"> </v>
      </c>
      <c r="L15" s="1491"/>
      <c r="M15" s="1491"/>
      <c r="N15" s="1491"/>
      <c r="O15" s="1491"/>
      <c r="P15" s="1775">
        <f t="shared" ref="P15" si="23">L15-N15</f>
        <v>0</v>
      </c>
      <c r="Q15" s="1775">
        <f t="shared" ref="Q15" si="24">M15-O15</f>
        <v>0</v>
      </c>
      <c r="R15" s="1491"/>
      <c r="S15" s="1491"/>
      <c r="T15" s="1491"/>
      <c r="U15" s="1491"/>
      <c r="V15" s="1491"/>
      <c r="W15" s="1491"/>
      <c r="X15" s="1344">
        <f t="shared" si="3"/>
        <v>0</v>
      </c>
      <c r="Y15" s="1491"/>
      <c r="Z15" s="2312"/>
      <c r="AA15" s="2313"/>
      <c r="AB15" s="1775">
        <f t="shared" ref="AB15" si="25">X15-Z15</f>
        <v>0</v>
      </c>
      <c r="AC15" s="1775">
        <f t="shared" ref="AC15" si="26">Y15-AA15</f>
        <v>0</v>
      </c>
      <c r="AD15" s="1492"/>
      <c r="AG15" s="2528" t="b">
        <f t="shared" si="11"/>
        <v>1</v>
      </c>
      <c r="AH15" s="2528" t="b">
        <f t="shared" si="9"/>
        <v>1</v>
      </c>
      <c r="AI15" s="2528" t="b">
        <f>IF(AND(I15=$AJ$11,OR(J15=$AK$7,J15=$AK$6)),TRUE,IF(I15=$AJ$11,IF(AND(I15=$AJ$11,J15=$AK$11),IF((VLOOKUP(C15,Фин_договоры!C:AK,35,0))&gt;365,TRUE,FALSE),FALSE),TRUE))</f>
        <v>1</v>
      </c>
      <c r="AL15" s="2528"/>
      <c r="AM15" s="2528"/>
      <c r="AN15" s="2654">
        <f>SUMIFS('60,62,63,76_контр'!$P$15:$P25003,'60,62,63,76_контр'!$J$15:$J25003,$I15,'60,62,63,76_контр'!$O$15:$O25003,$K15,'60,62,63,76_контр'!$C$15:$C25003,"76",'60,62,63,76_контр'!$N$15:$N25003,"{10} Долгосрочная",'60,62,63,76_контр'!$AY$15:$AY25003,"-")</f>
        <v>0</v>
      </c>
      <c r="AO15" s="2654">
        <f>SUMIFS('60,62,63,76_контр'!$P$15:$P25003,'60,62,63,76_контр'!$J$15:$J25003,$I15,'60,62,63,76_контр'!$O$15:$O25003,$K15,'60,62,63,76_контр'!$C$15:$C25003,"76",'60,62,63,76_контр'!$N$15:$N25003,"{20} Краткосрочная",'60,62,63,76_контр'!$AY$15:$AY25003,"-")</f>
        <v>0</v>
      </c>
      <c r="AP15" s="2654">
        <f>SUMIFS('60,62,63,76_контр'!$V$15:$V25003,'60,62,63,76_контр'!$J$15:$J25003,$I15,'60,62,63,76_контр'!$O$15:$O25003,$K15,'60,62,63,76_контр'!$C$15:$C25003,"76",'60,62,63,76_контр'!$N$15:$N25003,"{10} Долгосрочная",'60,62,63,76_контр'!$AY$15:$AY25003,"-")</f>
        <v>0</v>
      </c>
      <c r="AQ15" s="2654">
        <f>SUMIFS('60,62,63,76_контр'!$V$15:$V25003,'60,62,63,76_контр'!$J$15:$J25003,$I15,'60,62,63,76_контр'!$O$15:$O25003,$K15,'60,62,63,76_контр'!$C$15:$C25003,"76",'60,62,63,76_контр'!$N$15:$N25003,"{20} Краткосрочная",'60,62,63,76_контр'!$AY$15:$AY25003,"-")</f>
        <v>0</v>
      </c>
      <c r="AR15" s="2289" t="b">
        <f t="shared" si="12"/>
        <v>1</v>
      </c>
      <c r="AS15" s="2289" t="b">
        <f t="shared" si="13"/>
        <v>1</v>
      </c>
      <c r="AT15" s="2289" t="b">
        <f t="shared" si="14"/>
        <v>1</v>
      </c>
      <c r="AU15" s="2289" t="b">
        <f t="shared" si="15"/>
        <v>1</v>
      </c>
      <c r="AV15" s="651" t="str">
        <f t="shared" si="16"/>
        <v xml:space="preserve"> </v>
      </c>
      <c r="AW15" s="651" t="str">
        <f t="shared" si="10"/>
        <v>-</v>
      </c>
      <c r="AX15" s="2289" t="b">
        <f>IF(ABS((SUMIFS($X:$X,$I:$I,"{252002} Проценты по займам, выданным в рамках операций кэш пулинга, к получению",AW:AW,"-",G:G,G15))-SUMIFS('60,62,63,76_контр'!P:P,'60,62,63,76_контр'!J:J,"{252002} Проценты по займам, выданным в рамках операций кэш пулинга, к получению",'60,62,63,76_контр'!AY:AY,"-",'60,62,63,76_контр'!F:F,G15))&lt;2,TRUE)</f>
        <v>1</v>
      </c>
      <c r="AY15" s="2289" t="b">
        <f>IF(ABS((SUMIFS($X:$X,$I:$I,"{252005} Проценты по долгосрочным денежным займам к получению",AW:AW,"-",G:G,G15))-SUMIFS('60,62,63,76_контр'!P:P,'60,62,63,76_контр'!J:J,"{252005} Проценты по долгосрочным денежным займам к получению",'60,62,63,76_контр'!AY:AY,"-",'60,62,63,76_контр'!F:F,G15))&lt;2,TRUE)</f>
        <v>1</v>
      </c>
      <c r="AZ15" s="2289" t="b">
        <f>IF(ABS((SUMIFS($X:$X,$I:$I,"{252006} Проценты по краткосрочным займам (кроме кэш пулинга) к получению",AW:AW,"-",G:G,G15))-SUMIFS('60,62,63,76_контр'!P:P,'60,62,63,76_контр'!J:J,"{252006} Проценты по краткосрочным займам (кроме кэш пулинга) к получению",'60,62,63,76_контр'!AY:AY,"-",'60,62,63,76_контр'!F:F,G15))&lt;2,TRUE)</f>
        <v>1</v>
      </c>
      <c r="BA15" s="3318" t="b">
        <f>IF(OR(C15="",J15&lt;&gt;$AK$8),TRUE,IF(J15=$AK$8,IF(IFERROR(VLOOKUP(C15,Фин_договоры!C:AK,35,0),TRUE)&lt;=90,I15=$AJ$9,I15&lt;&gt;$AJ$9),TRUE))</f>
        <v>1</v>
      </c>
      <c r="BB15" s="3318" t="b">
        <f>IF(OR(C15="",J15&lt;&gt;$AK$8),TRUE,IF(J15=$AK$8,IF(IFERROR(VLOOKUP(C15,Фин_договоры!C:AK,35,0),TRUE)&gt;=91,OR(I15=$AJ$11,I15=$AJ$10),OR(I15&lt;&gt;$AJ$11,I15&lt;&gt;$AJ$10)),TRUE))</f>
        <v>1</v>
      </c>
    </row>
    <row r="16" spans="1:54" s="651" customFormat="1" ht="31.5" customHeight="1">
      <c r="A16" s="556" t="str">
        <f t="shared" ref="A16" si="27">"R50="&amp;C16&amp;";R32="&amp;IFERROR(MID(I16,FIND("{",I16)+1,FIND("}",I16)-FIND("{",I16)-1),"")&amp;";R36="&amp;MID(G16,1,30)&amp;";R43="&amp;MID(F16,1,30)&amp;";COM="&amp;AD16</f>
        <v>R50=;R32=;R36= ;R43= ;COM=</v>
      </c>
      <c r="B16" s="1116"/>
      <c r="C16" s="1488"/>
      <c r="D16" s="1489" t="str">
        <f>IF(ISERROR(VLOOKUP($C16,Фин_договоры!$C:$AE,4,FALSE))," ",VLOOKUP($C16,Фин_договоры!$C:$AE,4,FALSE))</f>
        <v xml:space="preserve"> </v>
      </c>
      <c r="E16" s="1489" t="str">
        <f>IF(ISERROR(VLOOKUP($C16,Фин_договоры!$C:$AE,6,FALSE))," ",VLOOKUP($C16,Фин_договоры!$C:$AE,6,FALSE))</f>
        <v xml:space="preserve"> </v>
      </c>
      <c r="F16" s="1489" t="str">
        <f>IF(ISERROR(VLOOKUP($C16,Фин_договоры!$C:$AE,7,FALSE))," ",VLOOKUP($C16,Фин_договоры!$C:$AE,7,FALSE))</f>
        <v xml:space="preserve"> </v>
      </c>
      <c r="G16" s="1489" t="str">
        <f>IF(ISERROR(VLOOKUP($C16,Фин_договоры!$C:$AE,8,FALSE))," ",VLOOKUP($C16,Фин_договоры!$C:$AE,8,FALSE))</f>
        <v xml:space="preserve"> </v>
      </c>
      <c r="H16" s="1490" t="str">
        <f>IF(ISERROR(VLOOKUP($C16,Фин_договоры!$C:$AE,5,FALSE))," ",VLOOKUP($C16,Фин_договоры!$C:$AE,5,FALSE))</f>
        <v xml:space="preserve"> </v>
      </c>
      <c r="I16" s="2977"/>
      <c r="J16" s="1549" t="str">
        <f>IF(ISERROR(VLOOKUP($C16,Фин_договоры!$C:$AE,2,FALSE))," ",VLOOKUP($C16,Фин_договоры!$C:$AE,2,FALSE))</f>
        <v xml:space="preserve"> </v>
      </c>
      <c r="K16" s="1549" t="str">
        <f>IF(ISERROR(VLOOKUP($C16,Фин_договоры!$C:$AE,16,FALSE))," ",VLOOKUP($C16,Фин_договоры!$C:$AE,16,FALSE))</f>
        <v xml:space="preserve"> </v>
      </c>
      <c r="L16" s="1491"/>
      <c r="M16" s="1491"/>
      <c r="N16" s="1491"/>
      <c r="O16" s="1491"/>
      <c r="P16" s="1775">
        <f t="shared" ref="P16" si="28">L16-N16</f>
        <v>0</v>
      </c>
      <c r="Q16" s="1775">
        <f t="shared" ref="Q16" si="29">M16-O16</f>
        <v>0</v>
      </c>
      <c r="R16" s="1491"/>
      <c r="S16" s="1491"/>
      <c r="T16" s="1491"/>
      <c r="U16" s="1491"/>
      <c r="V16" s="1491"/>
      <c r="W16" s="1491"/>
      <c r="X16" s="1344">
        <f t="shared" si="3"/>
        <v>0</v>
      </c>
      <c r="Y16" s="1491"/>
      <c r="Z16" s="2313"/>
      <c r="AA16" s="2313"/>
      <c r="AB16" s="1775">
        <f t="shared" ref="AB16" si="30">X16-Z16</f>
        <v>0</v>
      </c>
      <c r="AC16" s="1775">
        <f t="shared" ref="AC16" si="31">Y16-AA16</f>
        <v>0</v>
      </c>
      <c r="AD16" s="1492"/>
      <c r="AG16" s="2528" t="b">
        <f t="shared" si="11"/>
        <v>1</v>
      </c>
      <c r="AH16" s="2528" t="b">
        <f t="shared" si="9"/>
        <v>1</v>
      </c>
      <c r="AI16" s="2528" t="b">
        <f>IF(AND(I16=$AJ$11,OR(J16=$AK$7,J16=$AK$6)),TRUE,IF(I16=$AJ$11,IF(AND(I16=$AJ$11,J16=$AK$11),IF((VLOOKUP(C16,Фин_договоры!C:AK,35,0))&gt;365,TRUE,FALSE),FALSE),TRUE))</f>
        <v>1</v>
      </c>
      <c r="AL16" s="2528"/>
      <c r="AM16" s="2528"/>
      <c r="AN16" s="2654">
        <f>SUMIFS('60,62,63,76_контр'!$P$15:$P25004,'60,62,63,76_контр'!$J$15:$J25004,$I16,'60,62,63,76_контр'!$O$15:$O25004,$K16,'60,62,63,76_контр'!$C$15:$C25004,"76",'60,62,63,76_контр'!$N$15:$N25004,"{10} Долгосрочная",'60,62,63,76_контр'!$AY$15:$AY25004,"-")</f>
        <v>0</v>
      </c>
      <c r="AO16" s="2654">
        <f>SUMIFS('60,62,63,76_контр'!$P$15:$P25004,'60,62,63,76_контр'!$J$15:$J25004,$I16,'60,62,63,76_контр'!$O$15:$O25004,$K16,'60,62,63,76_контр'!$C$15:$C25004,"76",'60,62,63,76_контр'!$N$15:$N25004,"{20} Краткосрочная",'60,62,63,76_контр'!$AY$15:$AY25004,"-")</f>
        <v>0</v>
      </c>
      <c r="AP16" s="2654">
        <f>SUMIFS('60,62,63,76_контр'!$V$15:$V25004,'60,62,63,76_контр'!$J$15:$J25004,$I16,'60,62,63,76_контр'!$O$15:$O25004,$K16,'60,62,63,76_контр'!$C$15:$C25004,"76",'60,62,63,76_контр'!$N$15:$N25004,"{10} Долгосрочная",'60,62,63,76_контр'!$AY$15:$AY25004,"-")</f>
        <v>0</v>
      </c>
      <c r="AQ16" s="2654">
        <f>SUMIFS('60,62,63,76_контр'!$V$15:$V25004,'60,62,63,76_контр'!$J$15:$J25004,$I16,'60,62,63,76_контр'!$O$15:$O25004,$K16,'60,62,63,76_контр'!$C$15:$C25004,"76",'60,62,63,76_контр'!$N$15:$N25004,"{20} Краткосрочная",'60,62,63,76_контр'!$AY$15:$AY25004,"-")</f>
        <v>0</v>
      </c>
      <c r="AR16" s="2289" t="b">
        <f t="shared" si="12"/>
        <v>1</v>
      </c>
      <c r="AS16" s="2289" t="b">
        <f t="shared" si="13"/>
        <v>1</v>
      </c>
      <c r="AT16" s="2289" t="b">
        <f t="shared" si="14"/>
        <v>1</v>
      </c>
      <c r="AU16" s="2289" t="b">
        <f t="shared" si="15"/>
        <v>1</v>
      </c>
      <c r="AV16" s="651" t="str">
        <f t="shared" si="16"/>
        <v xml:space="preserve"> </v>
      </c>
      <c r="AW16" s="651" t="str">
        <f t="shared" si="10"/>
        <v>-</v>
      </c>
      <c r="AX16" s="2289" t="b">
        <f>IF(ABS((SUMIFS($X:$X,$I:$I,"{252002} Проценты по займам, выданным в рамках операций кэш пулинга, к получению",AW:AW,"-",G:G,G16))-SUMIFS('60,62,63,76_контр'!P:P,'60,62,63,76_контр'!J:J,"{252002} Проценты по займам, выданным в рамках операций кэш пулинга, к получению",'60,62,63,76_контр'!AY:AY,"-",'60,62,63,76_контр'!F:F,G16))&lt;2,TRUE)</f>
        <v>1</v>
      </c>
      <c r="AY16" s="2289" t="b">
        <f>IF(ABS((SUMIFS($X:$X,$I:$I,"{252005} Проценты по долгосрочным денежным займам к получению",AW:AW,"-",G:G,G16))-SUMIFS('60,62,63,76_контр'!P:P,'60,62,63,76_контр'!J:J,"{252005} Проценты по долгосрочным денежным займам к получению",'60,62,63,76_контр'!AY:AY,"-",'60,62,63,76_контр'!F:F,G16))&lt;2,TRUE)</f>
        <v>1</v>
      </c>
      <c r="AZ16" s="2289" t="b">
        <f>IF(ABS((SUMIFS($X:$X,$I:$I,"{252006} Проценты по краткосрочным займам (кроме кэш пулинга) к получению",AW:AW,"-",G:G,G16))-SUMIFS('60,62,63,76_контр'!P:P,'60,62,63,76_контр'!J:J,"{252006} Проценты по краткосрочным займам (кроме кэш пулинга) к получению",'60,62,63,76_контр'!AY:AY,"-",'60,62,63,76_контр'!F:F,G16))&lt;2,TRUE)</f>
        <v>1</v>
      </c>
      <c r="BA16" s="3318" t="b">
        <f>IF(OR(C16="",J16&lt;&gt;$AK$8),TRUE,IF(J16=$AK$8,IF(IFERROR(VLOOKUP(C16,Фин_договоры!C:AK,35,0),TRUE)&lt;=90,I16=$AJ$9,I16&lt;&gt;$AJ$9),TRUE))</f>
        <v>1</v>
      </c>
      <c r="BB16" s="3318" t="b">
        <f>IF(OR(C16="",J16&lt;&gt;$AK$8),TRUE,IF(J16=$AK$8,IF(IFERROR(VLOOKUP(C16,Фин_договоры!C:AK,35,0),TRUE)&gt;=91,OR(I16=$AJ$11,I16=$AJ$10),OR(I16&lt;&gt;$AJ$11,I16&lt;&gt;$AJ$10)),TRUE))</f>
        <v>1</v>
      </c>
    </row>
    <row r="17" spans="1:54" s="651" customFormat="1" ht="31.5" customHeight="1">
      <c r="A17" s="556" t="str">
        <f t="shared" ref="A17" si="32">"R50="&amp;C17&amp;";R32="&amp;IFERROR(MID(I17,FIND("{",I17)+1,FIND("}",I17)-FIND("{",I17)-1),"")&amp;";R36="&amp;MID(G17,1,30)&amp;";R43="&amp;MID(F17,1,30)&amp;";COM="&amp;AD17</f>
        <v>R50=;R32=;R36= ;R43= ;COM=</v>
      </c>
      <c r="B17" s="1116"/>
      <c r="C17" s="1488"/>
      <c r="D17" s="1489" t="str">
        <f>IF(ISERROR(VLOOKUP($C17,Фин_договоры!$C:$AE,4,FALSE))," ",VLOOKUP($C17,Фин_договоры!$C:$AE,4,FALSE))</f>
        <v xml:space="preserve"> </v>
      </c>
      <c r="E17" s="1489" t="str">
        <f>IF(ISERROR(VLOOKUP($C17,Фин_договоры!$C:$AE,6,FALSE))," ",VLOOKUP($C17,Фин_договоры!$C:$AE,6,FALSE))</f>
        <v xml:space="preserve"> </v>
      </c>
      <c r="F17" s="1489" t="str">
        <f>IF(ISERROR(VLOOKUP($C17,Фин_договоры!$C:$AE,7,FALSE))," ",VLOOKUP($C17,Фин_договоры!$C:$AE,7,FALSE))</f>
        <v xml:space="preserve"> </v>
      </c>
      <c r="G17" s="1489" t="str">
        <f>IF(ISERROR(VLOOKUP($C17,Фин_договоры!$C:$AE,8,FALSE))," ",VLOOKUP($C17,Фин_договоры!$C:$AE,8,FALSE))</f>
        <v xml:space="preserve"> </v>
      </c>
      <c r="H17" s="1490" t="str">
        <f>IF(ISERROR(VLOOKUP($C17,Фин_договоры!$C:$AE,5,FALSE))," ",VLOOKUP($C17,Фин_договоры!$C:$AE,5,FALSE))</f>
        <v xml:space="preserve"> </v>
      </c>
      <c r="I17" s="2977"/>
      <c r="J17" s="1549" t="str">
        <f>IF(ISERROR(VLOOKUP($C17,Фин_договоры!$C:$AE,2,FALSE))," ",VLOOKUP($C17,Фин_договоры!$C:$AE,2,FALSE))</f>
        <v xml:space="preserve"> </v>
      </c>
      <c r="K17" s="1549" t="str">
        <f>IF(ISERROR(VLOOKUP($C17,Фин_договоры!$C:$AE,16,FALSE))," ",VLOOKUP($C17,Фин_договоры!$C:$AE,16,FALSE))</f>
        <v xml:space="preserve"> </v>
      </c>
      <c r="L17" s="1491"/>
      <c r="M17" s="1491"/>
      <c r="N17" s="1491"/>
      <c r="O17" s="1491"/>
      <c r="P17" s="1775">
        <f t="shared" ref="P17" si="33">L17-N17</f>
        <v>0</v>
      </c>
      <c r="Q17" s="1775">
        <f t="shared" ref="Q17" si="34">M17-O17</f>
        <v>0</v>
      </c>
      <c r="R17" s="1491"/>
      <c r="S17" s="1491"/>
      <c r="T17" s="1491"/>
      <c r="U17" s="1491"/>
      <c r="V17" s="1491"/>
      <c r="W17" s="1491"/>
      <c r="X17" s="1344">
        <f t="shared" si="3"/>
        <v>0</v>
      </c>
      <c r="Y17" s="1491"/>
      <c r="Z17" s="2313"/>
      <c r="AA17" s="2313"/>
      <c r="AB17" s="1775">
        <f t="shared" ref="AB17" si="35">X17-Z17</f>
        <v>0</v>
      </c>
      <c r="AC17" s="1775">
        <f t="shared" ref="AC17" si="36">Y17-AA17</f>
        <v>0</v>
      </c>
      <c r="AD17" s="1492"/>
      <c r="AG17" s="2528" t="b">
        <f t="shared" si="11"/>
        <v>1</v>
      </c>
      <c r="AH17" s="2528" t="b">
        <f t="shared" si="9"/>
        <v>1</v>
      </c>
      <c r="AI17" s="2528" t="b">
        <f>IF(AND(I17=$AJ$11,OR(J17=$AK$7,J17=$AK$6)),TRUE,IF(I17=$AJ$11,IF(AND(I17=$AJ$11,J17=$AK$11),IF((VLOOKUP(C17,Фин_договоры!C:AK,35,0))&gt;365,TRUE,FALSE),FALSE),TRUE))</f>
        <v>1</v>
      </c>
      <c r="AL17" s="2528"/>
      <c r="AM17" s="2528"/>
      <c r="AN17" s="2654">
        <f>SUMIFS('60,62,63,76_контр'!$P$15:$P25005,'60,62,63,76_контр'!$J$15:$J25005,$I17,'60,62,63,76_контр'!$O$15:$O25005,$K17,'60,62,63,76_контр'!$C$15:$C25005,"76",'60,62,63,76_контр'!$N$15:$N25005,"{10} Долгосрочная",'60,62,63,76_контр'!$AY$15:$AY25005,"-")</f>
        <v>0</v>
      </c>
      <c r="AO17" s="2654">
        <f>SUMIFS('60,62,63,76_контр'!$P$15:$P25005,'60,62,63,76_контр'!$J$15:$J25005,$I17,'60,62,63,76_контр'!$O$15:$O25005,$K17,'60,62,63,76_контр'!$C$15:$C25005,"76",'60,62,63,76_контр'!$N$15:$N25005,"{20} Краткосрочная",'60,62,63,76_контр'!$AY$15:$AY25005,"-")</f>
        <v>0</v>
      </c>
      <c r="AP17" s="2654">
        <f>SUMIFS('60,62,63,76_контр'!$V$15:$V25005,'60,62,63,76_контр'!$J$15:$J25005,$I17,'60,62,63,76_контр'!$O$15:$O25005,$K17,'60,62,63,76_контр'!$C$15:$C25005,"76",'60,62,63,76_контр'!$N$15:$N25005,"{10} Долгосрочная",'60,62,63,76_контр'!$AY$15:$AY25005,"-")</f>
        <v>0</v>
      </c>
      <c r="AQ17" s="2654">
        <f>SUMIFS('60,62,63,76_контр'!$V$15:$V25005,'60,62,63,76_контр'!$J$15:$J25005,$I17,'60,62,63,76_контр'!$O$15:$O25005,$K17,'60,62,63,76_контр'!$C$15:$C25005,"76",'60,62,63,76_контр'!$N$15:$N25005,"{20} Краткосрочная",'60,62,63,76_контр'!$AY$15:$AY25005,"-")</f>
        <v>0</v>
      </c>
      <c r="AR17" s="2289" t="b">
        <f t="shared" si="12"/>
        <v>1</v>
      </c>
      <c r="AS17" s="2289" t="b">
        <f t="shared" si="13"/>
        <v>1</v>
      </c>
      <c r="AT17" s="2289" t="b">
        <f t="shared" si="14"/>
        <v>1</v>
      </c>
      <c r="AU17" s="2289" t="b">
        <f t="shared" si="15"/>
        <v>1</v>
      </c>
      <c r="AV17" s="651" t="str">
        <f t="shared" si="16"/>
        <v xml:space="preserve"> </v>
      </c>
      <c r="AW17" s="651" t="str">
        <f t="shared" si="10"/>
        <v>-</v>
      </c>
      <c r="AX17" s="2289" t="b">
        <f>IF(ABS((SUMIFS($X:$X,$I:$I,"{252002} Проценты по займам, выданным в рамках операций кэш пулинга, к получению",AW:AW,"-",G:G,G17))-SUMIFS('60,62,63,76_контр'!P:P,'60,62,63,76_контр'!J:J,"{252002} Проценты по займам, выданным в рамках операций кэш пулинга, к получению",'60,62,63,76_контр'!AY:AY,"-",'60,62,63,76_контр'!F:F,G17))&lt;2,TRUE)</f>
        <v>1</v>
      </c>
      <c r="AY17" s="2289" t="b">
        <f>IF(ABS((SUMIFS($X:$X,$I:$I,"{252005} Проценты по долгосрочным денежным займам к получению",AW:AW,"-",G:G,G17))-SUMIFS('60,62,63,76_контр'!P:P,'60,62,63,76_контр'!J:J,"{252005} Проценты по долгосрочным денежным займам к получению",'60,62,63,76_контр'!AY:AY,"-",'60,62,63,76_контр'!F:F,G17))&lt;2,TRUE)</f>
        <v>1</v>
      </c>
      <c r="AZ17" s="2289" t="b">
        <f>IF(ABS((SUMIFS($X:$X,$I:$I,"{252006} Проценты по краткосрочным займам (кроме кэш пулинга) к получению",AW:AW,"-",G:G,G17))-SUMIFS('60,62,63,76_контр'!P:P,'60,62,63,76_контр'!J:J,"{252006} Проценты по краткосрочным займам (кроме кэш пулинга) к получению",'60,62,63,76_контр'!AY:AY,"-",'60,62,63,76_контр'!F:F,G17))&lt;2,TRUE)</f>
        <v>1</v>
      </c>
      <c r="BA17" s="3318" t="b">
        <f>IF(OR(C17="",J17&lt;&gt;$AK$8),TRUE,IF(J17=$AK$8,IF(IFERROR(VLOOKUP(C17,Фин_договоры!C:AK,35,0),TRUE)&lt;=90,I17=$AJ$9,I17&lt;&gt;$AJ$9),TRUE))</f>
        <v>1</v>
      </c>
      <c r="BB17" s="3318" t="b">
        <f>IF(OR(C17="",J17&lt;&gt;$AK$8),TRUE,IF(J17=$AK$8,IF(IFERROR(VLOOKUP(C17,Фин_договоры!C:AK,35,0),TRUE)&gt;=91,OR(I17=$AJ$11,I17=$AJ$10),OR(I17&lt;&gt;$AJ$11,I17&lt;&gt;$AJ$10)),TRUE))</f>
        <v>1</v>
      </c>
    </row>
    <row r="18" spans="1:54" s="651" customFormat="1" ht="31.5" customHeight="1">
      <c r="A18" s="556" t="str">
        <f t="shared" ref="A18" si="37">"R50="&amp;C18&amp;";R32="&amp;IFERROR(MID(I18,FIND("{",I18)+1,FIND("}",I18)-FIND("{",I18)-1),"")&amp;";R36="&amp;MID(G18,1,30)&amp;";R43="&amp;MID(F18,1,30)&amp;";COM="&amp;AD18</f>
        <v>R50=;R32=;R36= ;R43= ;COM=</v>
      </c>
      <c r="B18" s="1116"/>
      <c r="C18" s="1488"/>
      <c r="D18" s="1489" t="str">
        <f>IF(ISERROR(VLOOKUP($C18,Фин_договоры!$C:$AE,4,FALSE))," ",VLOOKUP($C18,Фин_договоры!$C:$AE,4,FALSE))</f>
        <v xml:space="preserve"> </v>
      </c>
      <c r="E18" s="1489" t="str">
        <f>IF(ISERROR(VLOOKUP($C18,Фин_договоры!$C:$AE,6,FALSE))," ",VLOOKUP($C18,Фин_договоры!$C:$AE,6,FALSE))</f>
        <v xml:space="preserve"> </v>
      </c>
      <c r="F18" s="1489" t="str">
        <f>IF(ISERROR(VLOOKUP($C18,Фин_договоры!$C:$AE,7,FALSE))," ",VLOOKUP($C18,Фин_договоры!$C:$AE,7,FALSE))</f>
        <v xml:space="preserve"> </v>
      </c>
      <c r="G18" s="1489" t="str">
        <f>IF(ISERROR(VLOOKUP($C18,Фин_договоры!$C:$AE,8,FALSE))," ",VLOOKUP($C18,Фин_договоры!$C:$AE,8,FALSE))</f>
        <v xml:space="preserve"> </v>
      </c>
      <c r="H18" s="1490" t="str">
        <f>IF(ISERROR(VLOOKUP($C18,Фин_договоры!$C:$AE,5,FALSE))," ",VLOOKUP($C18,Фин_договоры!$C:$AE,5,FALSE))</f>
        <v xml:space="preserve"> </v>
      </c>
      <c r="I18" s="2977"/>
      <c r="J18" s="1549" t="str">
        <f>IF(ISERROR(VLOOKUP($C18,Фин_договоры!$C:$AE,2,FALSE))," ",VLOOKUP($C18,Фин_договоры!$C:$AE,2,FALSE))</f>
        <v xml:space="preserve"> </v>
      </c>
      <c r="K18" s="1549" t="str">
        <f>IF(ISERROR(VLOOKUP($C18,Фин_договоры!$C:$AE,16,FALSE))," ",VLOOKUP($C18,Фин_договоры!$C:$AE,16,FALSE))</f>
        <v xml:space="preserve"> </v>
      </c>
      <c r="L18" s="1491"/>
      <c r="M18" s="1491"/>
      <c r="N18" s="1491"/>
      <c r="O18" s="1491"/>
      <c r="P18" s="1775">
        <f t="shared" ref="P18" si="38">L18-N18</f>
        <v>0</v>
      </c>
      <c r="Q18" s="1775">
        <f t="shared" ref="Q18" si="39">M18-O18</f>
        <v>0</v>
      </c>
      <c r="R18" s="1491"/>
      <c r="S18" s="1491"/>
      <c r="T18" s="1491"/>
      <c r="U18" s="1491"/>
      <c r="V18" s="1491"/>
      <c r="W18" s="1491"/>
      <c r="X18" s="1344">
        <f t="shared" si="3"/>
        <v>0</v>
      </c>
      <c r="Y18" s="1491"/>
      <c r="Z18" s="2313"/>
      <c r="AA18" s="2313"/>
      <c r="AB18" s="1775">
        <f t="shared" ref="AB18" si="40">X18-Z18</f>
        <v>0</v>
      </c>
      <c r="AC18" s="1775">
        <f t="shared" ref="AC18" si="41">Y18-AA18</f>
        <v>0</v>
      </c>
      <c r="AD18" s="1492"/>
      <c r="AG18" s="2528" t="b">
        <f t="shared" si="11"/>
        <v>1</v>
      </c>
      <c r="AH18" s="2528" t="b">
        <f t="shared" si="9"/>
        <v>1</v>
      </c>
      <c r="AI18" s="2528" t="b">
        <f>IF(AND(I18=$AJ$11,OR(J18=$AK$7,J18=$AK$6)),TRUE,IF(I18=$AJ$11,IF(AND(I18=$AJ$11,J18=$AK$11),IF((VLOOKUP(C18,Фин_договоры!C:AK,35,0))&gt;365,TRUE,FALSE),FALSE),TRUE))</f>
        <v>1</v>
      </c>
      <c r="AL18" s="2528"/>
      <c r="AM18" s="2528"/>
      <c r="AN18" s="2654">
        <f>SUMIFS('60,62,63,76_контр'!$P$15:$P25006,'60,62,63,76_контр'!$J$15:$J25006,$I18,'60,62,63,76_контр'!$O$15:$O25006,$K18,'60,62,63,76_контр'!$C$15:$C25006,"76",'60,62,63,76_контр'!$N$15:$N25006,"{10} Долгосрочная",'60,62,63,76_контр'!$AY$15:$AY25006,"-")</f>
        <v>0</v>
      </c>
      <c r="AO18" s="2654">
        <f>SUMIFS('60,62,63,76_контр'!$P$15:$P25006,'60,62,63,76_контр'!$J$15:$J25006,$I18,'60,62,63,76_контр'!$O$15:$O25006,$K18,'60,62,63,76_контр'!$C$15:$C25006,"76",'60,62,63,76_контр'!$N$15:$N25006,"{20} Краткосрочная",'60,62,63,76_контр'!$AY$15:$AY25006,"-")</f>
        <v>0</v>
      </c>
      <c r="AP18" s="2654">
        <f>SUMIFS('60,62,63,76_контр'!$V$15:$V25006,'60,62,63,76_контр'!$J$15:$J25006,$I18,'60,62,63,76_контр'!$O$15:$O25006,$K18,'60,62,63,76_контр'!$C$15:$C25006,"76",'60,62,63,76_контр'!$N$15:$N25006,"{10} Долгосрочная",'60,62,63,76_контр'!$AY$15:$AY25006,"-")</f>
        <v>0</v>
      </c>
      <c r="AQ18" s="2654">
        <f>SUMIFS('60,62,63,76_контр'!$V$15:$V25006,'60,62,63,76_контр'!$J$15:$J25006,$I18,'60,62,63,76_контр'!$O$15:$O25006,$K18,'60,62,63,76_контр'!$C$15:$C25006,"76",'60,62,63,76_контр'!$N$15:$N25006,"{20} Краткосрочная",'60,62,63,76_контр'!$AY$15:$AY25006,"-")</f>
        <v>0</v>
      </c>
      <c r="AR18" s="2289" t="b">
        <f t="shared" si="12"/>
        <v>1</v>
      </c>
      <c r="AS18" s="2289" t="b">
        <f t="shared" si="13"/>
        <v>1</v>
      </c>
      <c r="AT18" s="2289" t="b">
        <f t="shared" si="14"/>
        <v>1</v>
      </c>
      <c r="AU18" s="2289" t="b">
        <f t="shared" si="15"/>
        <v>1</v>
      </c>
      <c r="AV18" s="651" t="str">
        <f t="shared" si="16"/>
        <v xml:space="preserve"> </v>
      </c>
      <c r="AW18" s="651" t="str">
        <f t="shared" si="10"/>
        <v>-</v>
      </c>
      <c r="AX18" s="2289" t="b">
        <f>IF(ABS((SUMIFS($X:$X,$I:$I,"{252002} Проценты по займам, выданным в рамках операций кэш пулинга, к получению",AW:AW,"-",G:G,G18))-SUMIFS('60,62,63,76_контр'!P:P,'60,62,63,76_контр'!J:J,"{252002} Проценты по займам, выданным в рамках операций кэш пулинга, к получению",'60,62,63,76_контр'!AY:AY,"-",'60,62,63,76_контр'!F:F,G18))&lt;2,TRUE)</f>
        <v>1</v>
      </c>
      <c r="AY18" s="2289" t="b">
        <f>IF(ABS((SUMIFS($X:$X,$I:$I,"{252005} Проценты по долгосрочным денежным займам к получению",AW:AW,"-",G:G,G18))-SUMIFS('60,62,63,76_контр'!P:P,'60,62,63,76_контр'!J:J,"{252005} Проценты по долгосрочным денежным займам к получению",'60,62,63,76_контр'!AY:AY,"-",'60,62,63,76_контр'!F:F,G18))&lt;2,TRUE)</f>
        <v>1</v>
      </c>
      <c r="AZ18" s="2289" t="b">
        <f>IF(ABS((SUMIFS($X:$X,$I:$I,"{252006} Проценты по краткосрочным займам (кроме кэш пулинга) к получению",AW:AW,"-",G:G,G18))-SUMIFS('60,62,63,76_контр'!P:P,'60,62,63,76_контр'!J:J,"{252006} Проценты по краткосрочным займам (кроме кэш пулинга) к получению",'60,62,63,76_контр'!AY:AY,"-",'60,62,63,76_контр'!F:F,G18))&lt;2,TRUE)</f>
        <v>1</v>
      </c>
      <c r="BA18" s="3318" t="b">
        <f>IF(OR(C18="",J18&lt;&gt;$AK$8),TRUE,IF(J18=$AK$8,IF(IFERROR(VLOOKUP(C18,Фин_договоры!C:AK,35,0),TRUE)&lt;=90,I18=$AJ$9,I18&lt;&gt;$AJ$9),TRUE))</f>
        <v>1</v>
      </c>
      <c r="BB18" s="3318" t="b">
        <f>IF(OR(C18="",J18&lt;&gt;$AK$8),TRUE,IF(J18=$AK$8,IF(IFERROR(VLOOKUP(C18,Фин_договоры!C:AK,35,0),TRUE)&gt;=91,OR(I18=$AJ$11,I18=$AJ$10),OR(I18&lt;&gt;$AJ$11,I18&lt;&gt;$AJ$10)),TRUE))</f>
        <v>1</v>
      </c>
    </row>
    <row r="19" spans="1:54" s="651" customFormat="1" ht="31.5" customHeight="1">
      <c r="A19" s="556" t="str">
        <f t="shared" ref="A19" si="42">"R50="&amp;C19&amp;";R32="&amp;IFERROR(MID(I19,FIND("{",I19)+1,FIND("}",I19)-FIND("{",I19)-1),"")&amp;";R36="&amp;MID(G19,1,30)&amp;";R43="&amp;MID(F19,1,30)&amp;";COM="&amp;AD19</f>
        <v>R50=;R32=;R36= ;R43= ;COM=</v>
      </c>
      <c r="B19" s="1116"/>
      <c r="C19" s="1488"/>
      <c r="D19" s="1489" t="str">
        <f>IF(ISERROR(VLOOKUP($C19,Фин_договоры!$C:$AE,4,FALSE))," ",VLOOKUP($C19,Фин_договоры!$C:$AE,4,FALSE))</f>
        <v xml:space="preserve"> </v>
      </c>
      <c r="E19" s="1489" t="str">
        <f>IF(ISERROR(VLOOKUP($C19,Фин_договоры!$C:$AE,6,FALSE))," ",VLOOKUP($C19,Фин_договоры!$C:$AE,6,FALSE))</f>
        <v xml:space="preserve"> </v>
      </c>
      <c r="F19" s="1489" t="str">
        <f>IF(ISERROR(VLOOKUP($C19,Фин_договоры!$C:$AE,7,FALSE))," ",VLOOKUP($C19,Фин_договоры!$C:$AE,7,FALSE))</f>
        <v xml:space="preserve"> </v>
      </c>
      <c r="G19" s="1489" t="str">
        <f>IF(ISERROR(VLOOKUP($C19,Фин_договоры!$C:$AE,8,FALSE))," ",VLOOKUP($C19,Фин_договоры!$C:$AE,8,FALSE))</f>
        <v xml:space="preserve"> </v>
      </c>
      <c r="H19" s="1490" t="str">
        <f>IF(ISERROR(VLOOKUP($C19,Фин_договоры!$C:$AE,5,FALSE))," ",VLOOKUP($C19,Фин_договоры!$C:$AE,5,FALSE))</f>
        <v xml:space="preserve"> </v>
      </c>
      <c r="I19" s="2977"/>
      <c r="J19" s="1549" t="str">
        <f>IF(ISERROR(VLOOKUP($C19,Фин_договоры!$C:$AE,2,FALSE))," ",VLOOKUP($C19,Фин_договоры!$C:$AE,2,FALSE))</f>
        <v xml:space="preserve"> </v>
      </c>
      <c r="K19" s="1549" t="str">
        <f>IF(ISERROR(VLOOKUP($C19,Фин_договоры!$C:$AE,16,FALSE))," ",VLOOKUP($C19,Фин_договоры!$C:$AE,16,FALSE))</f>
        <v xml:space="preserve"> </v>
      </c>
      <c r="L19" s="1491"/>
      <c r="M19" s="1491"/>
      <c r="N19" s="1491"/>
      <c r="O19" s="1491"/>
      <c r="P19" s="1775">
        <f t="shared" ref="P19" si="43">L19-N19</f>
        <v>0</v>
      </c>
      <c r="Q19" s="1775">
        <f t="shared" ref="Q19" si="44">M19-O19</f>
        <v>0</v>
      </c>
      <c r="R19" s="1491"/>
      <c r="S19" s="1491"/>
      <c r="T19" s="1491"/>
      <c r="U19" s="1491"/>
      <c r="V19" s="1491"/>
      <c r="W19" s="1491"/>
      <c r="X19" s="1344">
        <f t="shared" si="3"/>
        <v>0</v>
      </c>
      <c r="Y19" s="1491"/>
      <c r="Z19" s="2313"/>
      <c r="AA19" s="2313"/>
      <c r="AB19" s="1775">
        <f t="shared" ref="AB19" si="45">X19-Z19</f>
        <v>0</v>
      </c>
      <c r="AC19" s="1775">
        <f t="shared" ref="AC19" si="46">Y19-AA19</f>
        <v>0</v>
      </c>
      <c r="AD19" s="1492"/>
      <c r="AG19" s="2528" t="b">
        <f t="shared" si="11"/>
        <v>1</v>
      </c>
      <c r="AH19" s="2528" t="b">
        <f t="shared" si="9"/>
        <v>1</v>
      </c>
      <c r="AI19" s="2528" t="b">
        <f>IF(AND(I19=$AJ$11,OR(J19=$AK$7,J19=$AK$6)),TRUE,IF(I19=$AJ$11,IF(AND(I19=$AJ$11,J19=$AK$11),IF((VLOOKUP(C19,Фин_договоры!C:AK,35,0))&gt;365,TRUE,FALSE),FALSE),TRUE))</f>
        <v>1</v>
      </c>
      <c r="AL19" s="2528"/>
      <c r="AM19" s="2528"/>
      <c r="AN19" s="2654">
        <f>SUMIFS('60,62,63,76_контр'!$P$15:$P25007,'60,62,63,76_контр'!$J$15:$J25007,$I19,'60,62,63,76_контр'!$O$15:$O25007,$K19,'60,62,63,76_контр'!$C$15:$C25007,"76",'60,62,63,76_контр'!$N$15:$N25007,"{10} Долгосрочная",'60,62,63,76_контр'!$AY$15:$AY25007,"-")</f>
        <v>0</v>
      </c>
      <c r="AO19" s="2654">
        <f>SUMIFS('60,62,63,76_контр'!$P$15:$P25007,'60,62,63,76_контр'!$J$15:$J25007,$I19,'60,62,63,76_контр'!$O$15:$O25007,$K19,'60,62,63,76_контр'!$C$15:$C25007,"76",'60,62,63,76_контр'!$N$15:$N25007,"{20} Краткосрочная",'60,62,63,76_контр'!$AY$15:$AY25007,"-")</f>
        <v>0</v>
      </c>
      <c r="AP19" s="2654">
        <f>SUMIFS('60,62,63,76_контр'!$V$15:$V25007,'60,62,63,76_контр'!$J$15:$J25007,$I19,'60,62,63,76_контр'!$O$15:$O25007,$K19,'60,62,63,76_контр'!$C$15:$C25007,"76",'60,62,63,76_контр'!$N$15:$N25007,"{10} Долгосрочная",'60,62,63,76_контр'!$AY$15:$AY25007,"-")</f>
        <v>0</v>
      </c>
      <c r="AQ19" s="2654">
        <f>SUMIFS('60,62,63,76_контр'!$V$15:$V25007,'60,62,63,76_контр'!$J$15:$J25007,$I19,'60,62,63,76_контр'!$O$15:$O25007,$K19,'60,62,63,76_контр'!$C$15:$C25007,"76",'60,62,63,76_контр'!$N$15:$N25007,"{20} Краткосрочная",'60,62,63,76_контр'!$AY$15:$AY25007,"-")</f>
        <v>0</v>
      </c>
      <c r="AR19" s="2289" t="b">
        <f t="shared" si="12"/>
        <v>1</v>
      </c>
      <c r="AS19" s="2289" t="b">
        <f t="shared" si="13"/>
        <v>1</v>
      </c>
      <c r="AT19" s="2289" t="b">
        <f t="shared" si="14"/>
        <v>1</v>
      </c>
      <c r="AU19" s="2289" t="b">
        <f t="shared" si="15"/>
        <v>1</v>
      </c>
      <c r="AV19" s="651" t="str">
        <f t="shared" si="16"/>
        <v xml:space="preserve"> </v>
      </c>
      <c r="AW19" s="651" t="str">
        <f t="shared" si="10"/>
        <v>-</v>
      </c>
      <c r="AX19" s="2289" t="b">
        <f>IF(ABS((SUMIFS($X:$X,$I:$I,"{252002} Проценты по займам, выданным в рамках операций кэш пулинга, к получению",AW:AW,"-",G:G,G19))-SUMIFS('60,62,63,76_контр'!P:P,'60,62,63,76_контр'!J:J,"{252002} Проценты по займам, выданным в рамках операций кэш пулинга, к получению",'60,62,63,76_контр'!AY:AY,"-",'60,62,63,76_контр'!F:F,G19))&lt;2,TRUE)</f>
        <v>1</v>
      </c>
      <c r="AY19" s="2289" t="b">
        <f>IF(ABS((SUMIFS($X:$X,$I:$I,"{252005} Проценты по долгосрочным денежным займам к получению",AW:AW,"-",G:G,G19))-SUMIFS('60,62,63,76_контр'!P:P,'60,62,63,76_контр'!J:J,"{252005} Проценты по долгосрочным денежным займам к получению",'60,62,63,76_контр'!AY:AY,"-",'60,62,63,76_контр'!F:F,G19))&lt;2,TRUE)</f>
        <v>1</v>
      </c>
      <c r="AZ19" s="2289" t="b">
        <f>IF(ABS((SUMIFS($X:$X,$I:$I,"{252006} Проценты по краткосрочным займам (кроме кэш пулинга) к получению",AW:AW,"-",G:G,G19))-SUMIFS('60,62,63,76_контр'!P:P,'60,62,63,76_контр'!J:J,"{252006} Проценты по краткосрочным займам (кроме кэш пулинга) к получению",'60,62,63,76_контр'!AY:AY,"-",'60,62,63,76_контр'!F:F,G19))&lt;2,TRUE)</f>
        <v>1</v>
      </c>
      <c r="BA19" s="3318" t="b">
        <f>IF(OR(C19="",J19&lt;&gt;$AK$8),TRUE,IF(J19=$AK$8,IF(IFERROR(VLOOKUP(C19,Фин_договоры!C:AK,35,0),TRUE)&lt;=90,I19=$AJ$9,I19&lt;&gt;$AJ$9),TRUE))</f>
        <v>1</v>
      </c>
      <c r="BB19" s="3318" t="b">
        <f>IF(OR(C19="",J19&lt;&gt;$AK$8),TRUE,IF(J19=$AK$8,IF(IFERROR(VLOOKUP(C19,Фин_договоры!C:AK,35,0),TRUE)&gt;=91,OR(I19=$AJ$11,I19=$AJ$10),OR(I19&lt;&gt;$AJ$11,I19&lt;&gt;$AJ$10)),TRUE))</f>
        <v>1</v>
      </c>
    </row>
    <row r="20" spans="1:54" s="651" customFormat="1" ht="31.5" customHeight="1">
      <c r="A20" s="556" t="str">
        <f t="shared" ref="A20" si="47">"R50="&amp;C20&amp;";R32="&amp;IFERROR(MID(I20,FIND("{",I20)+1,FIND("}",I20)-FIND("{",I20)-1),"")&amp;";R36="&amp;MID(G20,1,30)&amp;";R43="&amp;MID(F20,1,30)&amp;";COM="&amp;AD20</f>
        <v>R50=;R32=;R36= ;R43= ;COM=</v>
      </c>
      <c r="B20" s="1116"/>
      <c r="C20" s="1488"/>
      <c r="D20" s="1489" t="str">
        <f>IF(ISERROR(VLOOKUP($C20,Фин_договоры!$C:$AE,4,FALSE))," ",VLOOKUP($C20,Фин_договоры!$C:$AE,4,FALSE))</f>
        <v xml:space="preserve"> </v>
      </c>
      <c r="E20" s="1489" t="str">
        <f>IF(ISERROR(VLOOKUP($C20,Фин_договоры!$C:$AE,6,FALSE))," ",VLOOKUP($C20,Фин_договоры!$C:$AE,6,FALSE))</f>
        <v xml:space="preserve"> </v>
      </c>
      <c r="F20" s="1489" t="str">
        <f>IF(ISERROR(VLOOKUP($C20,Фин_договоры!$C:$AE,7,FALSE))," ",VLOOKUP($C20,Фин_договоры!$C:$AE,7,FALSE))</f>
        <v xml:space="preserve"> </v>
      </c>
      <c r="G20" s="1489" t="str">
        <f>IF(ISERROR(VLOOKUP($C20,Фин_договоры!$C:$AE,8,FALSE))," ",VLOOKUP($C20,Фин_договоры!$C:$AE,8,FALSE))</f>
        <v xml:space="preserve"> </v>
      </c>
      <c r="H20" s="1490" t="str">
        <f>IF(ISERROR(VLOOKUP($C20,Фин_договоры!$C:$AE,5,FALSE))," ",VLOOKUP($C20,Фин_договоры!$C:$AE,5,FALSE))</f>
        <v xml:space="preserve"> </v>
      </c>
      <c r="I20" s="2977"/>
      <c r="J20" s="1549" t="str">
        <f>IF(ISERROR(VLOOKUP($C20,Фин_договоры!$C:$AE,2,FALSE))," ",VLOOKUP($C20,Фин_договоры!$C:$AE,2,FALSE))</f>
        <v xml:space="preserve"> </v>
      </c>
      <c r="K20" s="1549" t="str">
        <f>IF(ISERROR(VLOOKUP($C20,Фин_договоры!$C:$AE,16,FALSE))," ",VLOOKUP($C20,Фин_договоры!$C:$AE,16,FALSE))</f>
        <v xml:space="preserve"> </v>
      </c>
      <c r="L20" s="1491"/>
      <c r="M20" s="1491"/>
      <c r="N20" s="1491"/>
      <c r="O20" s="1491"/>
      <c r="P20" s="1775">
        <f t="shared" ref="P20" si="48">L20-N20</f>
        <v>0</v>
      </c>
      <c r="Q20" s="1775">
        <f t="shared" ref="Q20" si="49">M20-O20</f>
        <v>0</v>
      </c>
      <c r="R20" s="1491"/>
      <c r="S20" s="1491"/>
      <c r="T20" s="1491"/>
      <c r="U20" s="1491"/>
      <c r="V20" s="1491"/>
      <c r="W20" s="1491"/>
      <c r="X20" s="1344">
        <f t="shared" si="3"/>
        <v>0</v>
      </c>
      <c r="Y20" s="1491"/>
      <c r="Z20" s="2313"/>
      <c r="AA20" s="2313"/>
      <c r="AB20" s="1775">
        <f t="shared" ref="AB20" si="50">X20-Z20</f>
        <v>0</v>
      </c>
      <c r="AC20" s="1775">
        <f t="shared" ref="AC20" si="51">Y20-AA20</f>
        <v>0</v>
      </c>
      <c r="AD20" s="1492"/>
      <c r="AG20" s="2528" t="b">
        <f t="shared" si="11"/>
        <v>1</v>
      </c>
      <c r="AH20" s="2528" t="b">
        <f t="shared" si="9"/>
        <v>1</v>
      </c>
      <c r="AI20" s="2528" t="b">
        <f>IF(AND(I20=$AJ$11,OR(J20=$AK$7,J20=$AK$6)),TRUE,IF(I20=$AJ$11,IF(AND(I20=$AJ$11,J20=$AK$11),IF((VLOOKUP(C20,Фин_договоры!C:AK,35,0))&gt;365,TRUE,FALSE),FALSE),TRUE))</f>
        <v>1</v>
      </c>
      <c r="AL20" s="2528"/>
      <c r="AM20" s="2528"/>
      <c r="AN20" s="2654">
        <f>SUMIFS('60,62,63,76_контр'!$P$15:$P25008,'60,62,63,76_контр'!$J$15:$J25008,$I20,'60,62,63,76_контр'!$O$15:$O25008,$K20,'60,62,63,76_контр'!$C$15:$C25008,"76",'60,62,63,76_контр'!$N$15:$N25008,"{10} Долгосрочная",'60,62,63,76_контр'!$AY$15:$AY25008,"-")</f>
        <v>0</v>
      </c>
      <c r="AO20" s="2654">
        <f>SUMIFS('60,62,63,76_контр'!$P$15:$P25008,'60,62,63,76_контр'!$J$15:$J25008,$I20,'60,62,63,76_контр'!$O$15:$O25008,$K20,'60,62,63,76_контр'!$C$15:$C25008,"76",'60,62,63,76_контр'!$N$15:$N25008,"{20} Краткосрочная",'60,62,63,76_контр'!$AY$15:$AY25008,"-")</f>
        <v>0</v>
      </c>
      <c r="AP20" s="2654">
        <f>SUMIFS('60,62,63,76_контр'!$V$15:$V25008,'60,62,63,76_контр'!$J$15:$J25008,$I20,'60,62,63,76_контр'!$O$15:$O25008,$K20,'60,62,63,76_контр'!$C$15:$C25008,"76",'60,62,63,76_контр'!$N$15:$N25008,"{10} Долгосрочная",'60,62,63,76_контр'!$AY$15:$AY25008,"-")</f>
        <v>0</v>
      </c>
      <c r="AQ20" s="2654">
        <f>SUMIFS('60,62,63,76_контр'!$V$15:$V25008,'60,62,63,76_контр'!$J$15:$J25008,$I20,'60,62,63,76_контр'!$O$15:$O25008,$K20,'60,62,63,76_контр'!$C$15:$C25008,"76",'60,62,63,76_контр'!$N$15:$N25008,"{20} Краткосрочная",'60,62,63,76_контр'!$AY$15:$AY25008,"-")</f>
        <v>0</v>
      </c>
      <c r="AR20" s="2289" t="b">
        <f t="shared" si="12"/>
        <v>1</v>
      </c>
      <c r="AS20" s="2289" t="b">
        <f t="shared" si="13"/>
        <v>1</v>
      </c>
      <c r="AT20" s="2289" t="b">
        <f t="shared" si="14"/>
        <v>1</v>
      </c>
      <c r="AU20" s="2289" t="b">
        <f t="shared" si="15"/>
        <v>1</v>
      </c>
      <c r="AV20" s="651" t="str">
        <f t="shared" si="16"/>
        <v xml:space="preserve"> </v>
      </c>
      <c r="AW20" s="651" t="str">
        <f t="shared" si="10"/>
        <v>-</v>
      </c>
      <c r="AX20" s="2289" t="b">
        <f>IF(ABS((SUMIFS($X:$X,$I:$I,"{252002} Проценты по займам, выданным в рамках операций кэш пулинга, к получению",AW:AW,"-",G:G,G20))-SUMIFS('60,62,63,76_контр'!P:P,'60,62,63,76_контр'!J:J,"{252002} Проценты по займам, выданным в рамках операций кэш пулинга, к получению",'60,62,63,76_контр'!AY:AY,"-",'60,62,63,76_контр'!F:F,G20))&lt;2,TRUE)</f>
        <v>1</v>
      </c>
      <c r="AY20" s="2289" t="b">
        <f>IF(ABS((SUMIFS($X:$X,$I:$I,"{252005} Проценты по долгосрочным денежным займам к получению",AW:AW,"-",G:G,G20))-SUMIFS('60,62,63,76_контр'!P:P,'60,62,63,76_контр'!J:J,"{252005} Проценты по долгосрочным денежным займам к получению",'60,62,63,76_контр'!AY:AY,"-",'60,62,63,76_контр'!F:F,G20))&lt;2,TRUE)</f>
        <v>1</v>
      </c>
      <c r="AZ20" s="2289" t="b">
        <f>IF(ABS((SUMIFS($X:$X,$I:$I,"{252006} Проценты по краткосрочным займам (кроме кэш пулинга) к получению",AW:AW,"-",G:G,G20))-SUMIFS('60,62,63,76_контр'!P:P,'60,62,63,76_контр'!J:J,"{252006} Проценты по краткосрочным займам (кроме кэш пулинга) к получению",'60,62,63,76_контр'!AY:AY,"-",'60,62,63,76_контр'!F:F,G20))&lt;2,TRUE)</f>
        <v>1</v>
      </c>
      <c r="BA20" s="3318" t="b">
        <f>IF(OR(C20="",J20&lt;&gt;$AK$8),TRUE,IF(J20=$AK$8,IF(IFERROR(VLOOKUP(C20,Фин_договоры!C:AK,35,0),TRUE)&lt;=90,I20=$AJ$9,I20&lt;&gt;$AJ$9),TRUE))</f>
        <v>1</v>
      </c>
      <c r="BB20" s="3318" t="b">
        <f>IF(OR(C20="",J20&lt;&gt;$AK$8),TRUE,IF(J20=$AK$8,IF(IFERROR(VLOOKUP(C20,Фин_договоры!C:AK,35,0),TRUE)&gt;=91,OR(I20=$AJ$11,I20=$AJ$10),OR(I20&lt;&gt;$AJ$11,I20&lt;&gt;$AJ$10)),TRUE))</f>
        <v>1</v>
      </c>
    </row>
    <row r="21" spans="1:54" s="651" customFormat="1" ht="31.5" customHeight="1">
      <c r="A21" s="556" t="str">
        <f t="shared" ref="A21" si="52">"R50="&amp;C21&amp;";R32="&amp;IFERROR(MID(I21,FIND("{",I21)+1,FIND("}",I21)-FIND("{",I21)-1),"")&amp;";R36="&amp;MID(G21,1,30)&amp;";R43="&amp;MID(F21,1,30)&amp;";COM="&amp;AD21</f>
        <v>R50=;R32=;R36= ;R43= ;COM=</v>
      </c>
      <c r="B21" s="1116"/>
      <c r="C21" s="1488"/>
      <c r="D21" s="1489" t="str">
        <f>IF(ISERROR(VLOOKUP($C21,Фин_договоры!$C:$AE,4,FALSE))," ",VLOOKUP($C21,Фин_договоры!$C:$AE,4,FALSE))</f>
        <v xml:space="preserve"> </v>
      </c>
      <c r="E21" s="1489" t="str">
        <f>IF(ISERROR(VLOOKUP($C21,Фин_договоры!$C:$AE,6,FALSE))," ",VLOOKUP($C21,Фин_договоры!$C:$AE,6,FALSE))</f>
        <v xml:space="preserve"> </v>
      </c>
      <c r="F21" s="1489" t="str">
        <f>IF(ISERROR(VLOOKUP($C21,Фин_договоры!$C:$AE,7,FALSE))," ",VLOOKUP($C21,Фин_договоры!$C:$AE,7,FALSE))</f>
        <v xml:space="preserve"> </v>
      </c>
      <c r="G21" s="1489" t="str">
        <f>IF(ISERROR(VLOOKUP($C21,Фин_договоры!$C:$AE,8,FALSE))," ",VLOOKUP($C21,Фин_договоры!$C:$AE,8,FALSE))</f>
        <v xml:space="preserve"> </v>
      </c>
      <c r="H21" s="1490" t="str">
        <f>IF(ISERROR(VLOOKUP($C21,Фин_договоры!$C:$AE,5,FALSE))," ",VLOOKUP($C21,Фин_договоры!$C:$AE,5,FALSE))</f>
        <v xml:space="preserve"> </v>
      </c>
      <c r="I21" s="2977"/>
      <c r="J21" s="1549" t="str">
        <f>IF(ISERROR(VLOOKUP($C21,Фин_договоры!$C:$AE,2,FALSE))," ",VLOOKUP($C21,Фин_договоры!$C:$AE,2,FALSE))</f>
        <v xml:space="preserve"> </v>
      </c>
      <c r="K21" s="1549" t="str">
        <f>IF(ISERROR(VLOOKUP($C21,Фин_договоры!$C:$AE,16,FALSE))," ",VLOOKUP($C21,Фин_договоры!$C:$AE,16,FALSE))</f>
        <v xml:space="preserve"> </v>
      </c>
      <c r="L21" s="1491"/>
      <c r="M21" s="1491"/>
      <c r="N21" s="1491"/>
      <c r="O21" s="1491"/>
      <c r="P21" s="1775">
        <f t="shared" ref="P21" si="53">L21-N21</f>
        <v>0</v>
      </c>
      <c r="Q21" s="1775">
        <f t="shared" ref="Q21" si="54">M21-O21</f>
        <v>0</v>
      </c>
      <c r="R21" s="1491"/>
      <c r="S21" s="1491"/>
      <c r="T21" s="1491"/>
      <c r="U21" s="1491"/>
      <c r="V21" s="1491"/>
      <c r="W21" s="1491"/>
      <c r="X21" s="1344">
        <f t="shared" si="3"/>
        <v>0</v>
      </c>
      <c r="Y21" s="1491"/>
      <c r="Z21" s="2313"/>
      <c r="AA21" s="2313"/>
      <c r="AB21" s="1775">
        <f t="shared" ref="AB21" si="55">X21-Z21</f>
        <v>0</v>
      </c>
      <c r="AC21" s="1775">
        <f t="shared" ref="AC21" si="56">Y21-AA21</f>
        <v>0</v>
      </c>
      <c r="AD21" s="1492"/>
      <c r="AG21" s="2528" t="b">
        <f t="shared" si="11"/>
        <v>1</v>
      </c>
      <c r="AH21" s="2528" t="b">
        <f t="shared" si="9"/>
        <v>1</v>
      </c>
      <c r="AI21" s="2528" t="b">
        <f>IF(AND(I21=$AJ$11,OR(J21=$AK$7,J21=$AK$6)),TRUE,IF(I21=$AJ$11,IF(AND(I21=$AJ$11,J21=$AK$11),IF((VLOOKUP(C21,Фин_договоры!C:AK,35,0))&gt;365,TRUE,FALSE),FALSE),TRUE))</f>
        <v>1</v>
      </c>
      <c r="AL21" s="2528"/>
      <c r="AM21" s="2528"/>
      <c r="AN21" s="2654">
        <f>SUMIFS('60,62,63,76_контр'!$P$15:$P25009,'60,62,63,76_контр'!$J$15:$J25009,$I21,'60,62,63,76_контр'!$O$15:$O25009,$K21,'60,62,63,76_контр'!$C$15:$C25009,"76",'60,62,63,76_контр'!$N$15:$N25009,"{10} Долгосрочная",'60,62,63,76_контр'!$AY$15:$AY25009,"-")</f>
        <v>0</v>
      </c>
      <c r="AO21" s="2654">
        <f>SUMIFS('60,62,63,76_контр'!$P$15:$P25009,'60,62,63,76_контр'!$J$15:$J25009,$I21,'60,62,63,76_контр'!$O$15:$O25009,$K21,'60,62,63,76_контр'!$C$15:$C25009,"76",'60,62,63,76_контр'!$N$15:$N25009,"{20} Краткосрочная",'60,62,63,76_контр'!$AY$15:$AY25009,"-")</f>
        <v>0</v>
      </c>
      <c r="AP21" s="2654">
        <f>SUMIFS('60,62,63,76_контр'!$V$15:$V25009,'60,62,63,76_контр'!$J$15:$J25009,$I21,'60,62,63,76_контр'!$O$15:$O25009,$K21,'60,62,63,76_контр'!$C$15:$C25009,"76",'60,62,63,76_контр'!$N$15:$N25009,"{10} Долгосрочная",'60,62,63,76_контр'!$AY$15:$AY25009,"-")</f>
        <v>0</v>
      </c>
      <c r="AQ21" s="2654">
        <f>SUMIFS('60,62,63,76_контр'!$V$15:$V25009,'60,62,63,76_контр'!$J$15:$J25009,$I21,'60,62,63,76_контр'!$O$15:$O25009,$K21,'60,62,63,76_контр'!$C$15:$C25009,"76",'60,62,63,76_контр'!$N$15:$N25009,"{20} Краткосрочная",'60,62,63,76_контр'!$AY$15:$AY25009,"-")</f>
        <v>0</v>
      </c>
      <c r="AR21" s="2289" t="b">
        <f t="shared" si="12"/>
        <v>1</v>
      </c>
      <c r="AS21" s="2289" t="b">
        <f t="shared" si="13"/>
        <v>1</v>
      </c>
      <c r="AT21" s="2289" t="b">
        <f t="shared" si="14"/>
        <v>1</v>
      </c>
      <c r="AU21" s="2289" t="b">
        <f t="shared" si="15"/>
        <v>1</v>
      </c>
      <c r="AV21" s="651" t="str">
        <f t="shared" si="16"/>
        <v xml:space="preserve"> </v>
      </c>
      <c r="AW21" s="651" t="str">
        <f t="shared" si="10"/>
        <v>-</v>
      </c>
      <c r="AX21" s="2289" t="b">
        <f>IF(ABS((SUMIFS($X:$X,$I:$I,"{252002} Проценты по займам, выданным в рамках операций кэш пулинга, к получению",AW:AW,"-",G:G,G21))-SUMIFS('60,62,63,76_контр'!P:P,'60,62,63,76_контр'!J:J,"{252002} Проценты по займам, выданным в рамках операций кэш пулинга, к получению",'60,62,63,76_контр'!AY:AY,"-",'60,62,63,76_контр'!F:F,G21))&lt;2,TRUE)</f>
        <v>1</v>
      </c>
      <c r="AY21" s="2289" t="b">
        <f>IF(ABS((SUMIFS($X:$X,$I:$I,"{252005} Проценты по долгосрочным денежным займам к получению",AW:AW,"-",G:G,G21))-SUMIFS('60,62,63,76_контр'!P:P,'60,62,63,76_контр'!J:J,"{252005} Проценты по долгосрочным денежным займам к получению",'60,62,63,76_контр'!AY:AY,"-",'60,62,63,76_контр'!F:F,G21))&lt;2,TRUE)</f>
        <v>1</v>
      </c>
      <c r="AZ21" s="2289" t="b">
        <f>IF(ABS((SUMIFS($X:$X,$I:$I,"{252006} Проценты по краткосрочным займам (кроме кэш пулинга) к получению",AW:AW,"-",G:G,G21))-SUMIFS('60,62,63,76_контр'!P:P,'60,62,63,76_контр'!J:J,"{252006} Проценты по краткосрочным займам (кроме кэш пулинга) к получению",'60,62,63,76_контр'!AY:AY,"-",'60,62,63,76_контр'!F:F,G21))&lt;2,TRUE)</f>
        <v>1</v>
      </c>
      <c r="BA21" s="3318" t="b">
        <f>IF(OR(C21="",J21&lt;&gt;$AK$8),TRUE,IF(J21=$AK$8,IF(IFERROR(VLOOKUP(C21,Фин_договоры!C:AK,35,0),TRUE)&lt;=90,I21=$AJ$9,I21&lt;&gt;$AJ$9),TRUE))</f>
        <v>1</v>
      </c>
      <c r="BB21" s="3318" t="b">
        <f>IF(OR(C21="",J21&lt;&gt;$AK$8),TRUE,IF(J21=$AK$8,IF(IFERROR(VLOOKUP(C21,Фин_договоры!C:AK,35,0),TRUE)&gt;=91,OR(I21=$AJ$11,I21=$AJ$10),OR(I21&lt;&gt;$AJ$11,I21&lt;&gt;$AJ$10)),TRUE))</f>
        <v>1</v>
      </c>
    </row>
    <row r="22" spans="1:54" s="651" customFormat="1" ht="31.5" customHeight="1">
      <c r="A22" s="556" t="str">
        <f t="shared" ref="A22" si="57">"R50="&amp;C22&amp;";R32="&amp;IFERROR(MID(I22,FIND("{",I22)+1,FIND("}",I22)-FIND("{",I22)-1),"")&amp;";R36="&amp;MID(G22,1,30)&amp;";R43="&amp;MID(F22,1,30)&amp;";COM="&amp;AD22</f>
        <v>R50=;R32=;R36= ;R43= ;COM=</v>
      </c>
      <c r="B22" s="1116"/>
      <c r="C22" s="1488"/>
      <c r="D22" s="1489" t="str">
        <f>IF(ISERROR(VLOOKUP($C22,Фин_договоры!$C:$AE,4,FALSE))," ",VLOOKUP($C22,Фин_договоры!$C:$AE,4,FALSE))</f>
        <v xml:space="preserve"> </v>
      </c>
      <c r="E22" s="1489" t="str">
        <f>IF(ISERROR(VLOOKUP($C22,Фин_договоры!$C:$AE,6,FALSE))," ",VLOOKUP($C22,Фин_договоры!$C:$AE,6,FALSE))</f>
        <v xml:space="preserve"> </v>
      </c>
      <c r="F22" s="1489" t="str">
        <f>IF(ISERROR(VLOOKUP($C22,Фин_договоры!$C:$AE,7,FALSE))," ",VLOOKUP($C22,Фин_договоры!$C:$AE,7,FALSE))</f>
        <v xml:space="preserve"> </v>
      </c>
      <c r="G22" s="1489" t="str">
        <f>IF(ISERROR(VLOOKUP($C22,Фин_договоры!$C:$AE,8,FALSE))," ",VLOOKUP($C22,Фин_договоры!$C:$AE,8,FALSE))</f>
        <v xml:space="preserve"> </v>
      </c>
      <c r="H22" s="1490" t="str">
        <f>IF(ISERROR(VLOOKUP($C22,Фин_договоры!$C:$AE,5,FALSE))," ",VLOOKUP($C22,Фин_договоры!$C:$AE,5,FALSE))</f>
        <v xml:space="preserve"> </v>
      </c>
      <c r="I22" s="2977"/>
      <c r="J22" s="1549" t="str">
        <f>IF(ISERROR(VLOOKUP($C22,Фин_договоры!$C:$AE,2,FALSE))," ",VLOOKUP($C22,Фин_договоры!$C:$AE,2,FALSE))</f>
        <v xml:space="preserve"> </v>
      </c>
      <c r="K22" s="1549" t="str">
        <f>IF(ISERROR(VLOOKUP($C22,Фин_договоры!$C:$AE,16,FALSE))," ",VLOOKUP($C22,Фин_договоры!$C:$AE,16,FALSE))</f>
        <v xml:space="preserve"> </v>
      </c>
      <c r="L22" s="1491"/>
      <c r="M22" s="1491"/>
      <c r="N22" s="1491"/>
      <c r="O22" s="1491"/>
      <c r="P22" s="1775">
        <f t="shared" ref="P22" si="58">L22-N22</f>
        <v>0</v>
      </c>
      <c r="Q22" s="1775">
        <f t="shared" ref="Q22" si="59">M22-O22</f>
        <v>0</v>
      </c>
      <c r="R22" s="1491"/>
      <c r="S22" s="1491"/>
      <c r="T22" s="1491"/>
      <c r="U22" s="1491"/>
      <c r="V22" s="1491"/>
      <c r="W22" s="1491"/>
      <c r="X22" s="1344">
        <f t="shared" si="3"/>
        <v>0</v>
      </c>
      <c r="Y22" s="1491"/>
      <c r="Z22" s="2313"/>
      <c r="AA22" s="2313"/>
      <c r="AB22" s="1775">
        <f t="shared" ref="AB22" si="60">X22-Z22</f>
        <v>0</v>
      </c>
      <c r="AC22" s="1775">
        <f t="shared" ref="AC22" si="61">Y22-AA22</f>
        <v>0</v>
      </c>
      <c r="AD22" s="1492"/>
      <c r="AG22" s="2528" t="b">
        <f t="shared" si="11"/>
        <v>1</v>
      </c>
      <c r="AH22" s="2528" t="b">
        <f t="shared" si="9"/>
        <v>1</v>
      </c>
      <c r="AI22" s="2528" t="b">
        <f>IF(AND(I22=$AJ$11,OR(J22=$AK$7,J22=$AK$6)),TRUE,IF(I22=$AJ$11,IF(AND(I22=$AJ$11,J22=$AK$11),IF((VLOOKUP(C22,Фин_договоры!C:AK,35,0))&gt;365,TRUE,FALSE),FALSE),TRUE))</f>
        <v>1</v>
      </c>
      <c r="AL22" s="2528"/>
      <c r="AM22" s="2528"/>
      <c r="AN22" s="2654">
        <f>SUMIFS('60,62,63,76_контр'!$P$15:$P25010,'60,62,63,76_контр'!$J$15:$J25010,$I22,'60,62,63,76_контр'!$O$15:$O25010,$K22,'60,62,63,76_контр'!$C$15:$C25010,"76",'60,62,63,76_контр'!$N$15:$N25010,"{10} Долгосрочная",'60,62,63,76_контр'!$AY$15:$AY25010,"-")</f>
        <v>0</v>
      </c>
      <c r="AO22" s="2654">
        <f>SUMIFS('60,62,63,76_контр'!$P$15:$P25010,'60,62,63,76_контр'!$J$15:$J25010,$I22,'60,62,63,76_контр'!$O$15:$O25010,$K22,'60,62,63,76_контр'!$C$15:$C25010,"76",'60,62,63,76_контр'!$N$15:$N25010,"{20} Краткосрочная",'60,62,63,76_контр'!$AY$15:$AY25010,"-")</f>
        <v>0</v>
      </c>
      <c r="AP22" s="2654">
        <f>SUMIFS('60,62,63,76_контр'!$V$15:$V25010,'60,62,63,76_контр'!$J$15:$J25010,$I22,'60,62,63,76_контр'!$O$15:$O25010,$K22,'60,62,63,76_контр'!$C$15:$C25010,"76",'60,62,63,76_контр'!$N$15:$N25010,"{10} Долгосрочная",'60,62,63,76_контр'!$AY$15:$AY25010,"-")</f>
        <v>0</v>
      </c>
      <c r="AQ22" s="2654">
        <f>SUMIFS('60,62,63,76_контр'!$V$15:$V25010,'60,62,63,76_контр'!$J$15:$J25010,$I22,'60,62,63,76_контр'!$O$15:$O25010,$K22,'60,62,63,76_контр'!$C$15:$C25010,"76",'60,62,63,76_контр'!$N$15:$N25010,"{20} Краткосрочная",'60,62,63,76_контр'!$AY$15:$AY25010,"-")</f>
        <v>0</v>
      </c>
      <c r="AR22" s="2289" t="b">
        <f t="shared" si="12"/>
        <v>1</v>
      </c>
      <c r="AS22" s="2289" t="b">
        <f t="shared" si="13"/>
        <v>1</v>
      </c>
      <c r="AT22" s="2289" t="b">
        <f t="shared" si="14"/>
        <v>1</v>
      </c>
      <c r="AU22" s="2289" t="b">
        <f t="shared" si="15"/>
        <v>1</v>
      </c>
      <c r="AV22" s="651" t="str">
        <f t="shared" si="16"/>
        <v xml:space="preserve"> </v>
      </c>
      <c r="AW22" s="651" t="str">
        <f t="shared" si="10"/>
        <v>-</v>
      </c>
      <c r="AX22" s="2289" t="b">
        <f>IF(ABS((SUMIFS($X:$X,$I:$I,"{252002} Проценты по займам, выданным в рамках операций кэш пулинга, к получению",AW:AW,"-",G:G,G22))-SUMIFS('60,62,63,76_контр'!P:P,'60,62,63,76_контр'!J:J,"{252002} Проценты по займам, выданным в рамках операций кэш пулинга, к получению",'60,62,63,76_контр'!AY:AY,"-",'60,62,63,76_контр'!F:F,G22))&lt;2,TRUE)</f>
        <v>1</v>
      </c>
      <c r="AY22" s="2289" t="b">
        <f>IF(ABS((SUMIFS($X:$X,$I:$I,"{252005} Проценты по долгосрочным денежным займам к получению",AW:AW,"-",G:G,G22))-SUMIFS('60,62,63,76_контр'!P:P,'60,62,63,76_контр'!J:J,"{252005} Проценты по долгосрочным денежным займам к получению",'60,62,63,76_контр'!AY:AY,"-",'60,62,63,76_контр'!F:F,G22))&lt;2,TRUE)</f>
        <v>1</v>
      </c>
      <c r="AZ22" s="2289" t="b">
        <f>IF(ABS((SUMIFS($X:$X,$I:$I,"{252006} Проценты по краткосрочным займам (кроме кэш пулинга) к получению",AW:AW,"-",G:G,G22))-SUMIFS('60,62,63,76_контр'!P:P,'60,62,63,76_контр'!J:J,"{252006} Проценты по краткосрочным займам (кроме кэш пулинга) к получению",'60,62,63,76_контр'!AY:AY,"-",'60,62,63,76_контр'!F:F,G22))&lt;2,TRUE)</f>
        <v>1</v>
      </c>
      <c r="BA22" s="3318" t="b">
        <f>IF(OR(C22="",J22&lt;&gt;$AK$8),TRUE,IF(J22=$AK$8,IF(IFERROR(VLOOKUP(C22,Фин_договоры!C:AK,35,0),TRUE)&lt;=90,I22=$AJ$9,I22&lt;&gt;$AJ$9),TRUE))</f>
        <v>1</v>
      </c>
      <c r="BB22" s="3318" t="b">
        <f>IF(OR(C22="",J22&lt;&gt;$AK$8),TRUE,IF(J22=$AK$8,IF(IFERROR(VLOOKUP(C22,Фин_договоры!C:AK,35,0),TRUE)&gt;=91,OR(I22=$AJ$11,I22=$AJ$10),OR(I22&lt;&gt;$AJ$11,I22&lt;&gt;$AJ$10)),TRUE))</f>
        <v>1</v>
      </c>
    </row>
    <row r="23" spans="1:54" s="651" customFormat="1" ht="31.5" customHeight="1">
      <c r="A23" s="556" t="str">
        <f t="shared" ref="A23" si="62">"R50="&amp;C23&amp;";R32="&amp;IFERROR(MID(I23,FIND("{",I23)+1,FIND("}",I23)-FIND("{",I23)-1),"")&amp;";R36="&amp;MID(G23,1,30)&amp;";R43="&amp;MID(F23,1,30)&amp;";COM="&amp;AD23</f>
        <v>R50=;R32=;R36= ;R43= ;COM=</v>
      </c>
      <c r="B23" s="1116"/>
      <c r="C23" s="1488"/>
      <c r="D23" s="1489" t="str">
        <f>IF(ISERROR(VLOOKUP($C23,Фин_договоры!$C:$AE,4,FALSE))," ",VLOOKUP($C23,Фин_договоры!$C:$AE,4,FALSE))</f>
        <v xml:space="preserve"> </v>
      </c>
      <c r="E23" s="1489" t="str">
        <f>IF(ISERROR(VLOOKUP($C23,Фин_договоры!$C:$AE,6,FALSE))," ",VLOOKUP($C23,Фин_договоры!$C:$AE,6,FALSE))</f>
        <v xml:space="preserve"> </v>
      </c>
      <c r="F23" s="1489" t="str">
        <f>IF(ISERROR(VLOOKUP($C23,Фин_договоры!$C:$AE,7,FALSE))," ",VLOOKUP($C23,Фин_договоры!$C:$AE,7,FALSE))</f>
        <v xml:space="preserve"> </v>
      </c>
      <c r="G23" s="1489" t="str">
        <f>IF(ISERROR(VLOOKUP($C23,Фин_договоры!$C:$AE,8,FALSE))," ",VLOOKUP($C23,Фин_договоры!$C:$AE,8,FALSE))</f>
        <v xml:space="preserve"> </v>
      </c>
      <c r="H23" s="1490" t="str">
        <f>IF(ISERROR(VLOOKUP($C23,Фин_договоры!$C:$AE,5,FALSE))," ",VLOOKUP($C23,Фин_договоры!$C:$AE,5,FALSE))</f>
        <v xml:space="preserve"> </v>
      </c>
      <c r="I23" s="2977"/>
      <c r="J23" s="1549" t="str">
        <f>IF(ISERROR(VLOOKUP($C23,Фин_договоры!$C:$AE,2,FALSE))," ",VLOOKUP($C23,Фин_договоры!$C:$AE,2,FALSE))</f>
        <v xml:space="preserve"> </v>
      </c>
      <c r="K23" s="1549" t="str">
        <f>IF(ISERROR(VLOOKUP($C23,Фин_договоры!$C:$AE,16,FALSE))," ",VLOOKUP($C23,Фин_договоры!$C:$AE,16,FALSE))</f>
        <v xml:space="preserve"> </v>
      </c>
      <c r="L23" s="1491"/>
      <c r="M23" s="1491"/>
      <c r="N23" s="1491"/>
      <c r="O23" s="1491"/>
      <c r="P23" s="1775">
        <f t="shared" ref="P23" si="63">L23-N23</f>
        <v>0</v>
      </c>
      <c r="Q23" s="1775">
        <f t="shared" ref="Q23" si="64">M23-O23</f>
        <v>0</v>
      </c>
      <c r="R23" s="1491"/>
      <c r="S23" s="1491"/>
      <c r="T23" s="1491"/>
      <c r="U23" s="1491"/>
      <c r="V23" s="1491"/>
      <c r="W23" s="1491"/>
      <c r="X23" s="1344">
        <f t="shared" si="3"/>
        <v>0</v>
      </c>
      <c r="Y23" s="1491"/>
      <c r="Z23" s="2313"/>
      <c r="AA23" s="2313"/>
      <c r="AB23" s="1775">
        <f t="shared" ref="AB23" si="65">X23-Z23</f>
        <v>0</v>
      </c>
      <c r="AC23" s="1775">
        <f t="shared" ref="AC23" si="66">Y23-AA23</f>
        <v>0</v>
      </c>
      <c r="AD23" s="1492"/>
      <c r="AG23" s="2528" t="b">
        <f t="shared" si="11"/>
        <v>1</v>
      </c>
      <c r="AH23" s="2528" t="b">
        <f t="shared" si="9"/>
        <v>1</v>
      </c>
      <c r="AI23" s="2528" t="b">
        <f>IF(AND(I23=$AJ$11,OR(J23=$AK$7,J23=$AK$6)),TRUE,IF(I23=$AJ$11,IF(AND(I23=$AJ$11,J23=$AK$11),IF((VLOOKUP(C23,Фин_договоры!C:AK,35,0))&gt;365,TRUE,FALSE),FALSE),TRUE))</f>
        <v>1</v>
      </c>
      <c r="AL23" s="2528"/>
      <c r="AM23" s="2528"/>
      <c r="AN23" s="2654">
        <f>SUMIFS('60,62,63,76_контр'!$P$15:$P25011,'60,62,63,76_контр'!$J$15:$J25011,$I23,'60,62,63,76_контр'!$O$15:$O25011,$K23,'60,62,63,76_контр'!$C$15:$C25011,"76",'60,62,63,76_контр'!$N$15:$N25011,"{10} Долгосрочная",'60,62,63,76_контр'!$AY$15:$AY25011,"-")</f>
        <v>0</v>
      </c>
      <c r="AO23" s="2654">
        <f>SUMIFS('60,62,63,76_контр'!$P$15:$P25011,'60,62,63,76_контр'!$J$15:$J25011,$I23,'60,62,63,76_контр'!$O$15:$O25011,$K23,'60,62,63,76_контр'!$C$15:$C25011,"76",'60,62,63,76_контр'!$N$15:$N25011,"{20} Краткосрочная",'60,62,63,76_контр'!$AY$15:$AY25011,"-")</f>
        <v>0</v>
      </c>
      <c r="AP23" s="2654">
        <f>SUMIFS('60,62,63,76_контр'!$V$15:$V25011,'60,62,63,76_контр'!$J$15:$J25011,$I23,'60,62,63,76_контр'!$O$15:$O25011,$K23,'60,62,63,76_контр'!$C$15:$C25011,"76",'60,62,63,76_контр'!$N$15:$N25011,"{10} Долгосрочная",'60,62,63,76_контр'!$AY$15:$AY25011,"-")</f>
        <v>0</v>
      </c>
      <c r="AQ23" s="2654">
        <f>SUMIFS('60,62,63,76_контр'!$V$15:$V25011,'60,62,63,76_контр'!$J$15:$J25011,$I23,'60,62,63,76_контр'!$O$15:$O25011,$K23,'60,62,63,76_контр'!$C$15:$C25011,"76",'60,62,63,76_контр'!$N$15:$N25011,"{20} Краткосрочная",'60,62,63,76_контр'!$AY$15:$AY25011,"-")</f>
        <v>0</v>
      </c>
      <c r="AR23" s="2289" t="b">
        <f t="shared" si="12"/>
        <v>1</v>
      </c>
      <c r="AS23" s="2289" t="b">
        <f t="shared" si="13"/>
        <v>1</v>
      </c>
      <c r="AT23" s="2289" t="b">
        <f t="shared" si="14"/>
        <v>1</v>
      </c>
      <c r="AU23" s="2289" t="b">
        <f t="shared" si="15"/>
        <v>1</v>
      </c>
      <c r="AV23" s="651" t="str">
        <f t="shared" si="16"/>
        <v xml:space="preserve"> </v>
      </c>
      <c r="AW23" s="651" t="str">
        <f t="shared" si="10"/>
        <v>-</v>
      </c>
      <c r="AX23" s="2289" t="b">
        <f>IF(ABS((SUMIFS($X:$X,$I:$I,"{252002} Проценты по займам, выданным в рамках операций кэш пулинга, к получению",AW:AW,"-",G:G,G23))-SUMIFS('60,62,63,76_контр'!P:P,'60,62,63,76_контр'!J:J,"{252002} Проценты по займам, выданным в рамках операций кэш пулинга, к получению",'60,62,63,76_контр'!AY:AY,"-",'60,62,63,76_контр'!F:F,G23))&lt;2,TRUE)</f>
        <v>1</v>
      </c>
      <c r="AY23" s="2289" t="b">
        <f>IF(ABS((SUMIFS($X:$X,$I:$I,"{252005} Проценты по долгосрочным денежным займам к получению",AW:AW,"-",G:G,G23))-SUMIFS('60,62,63,76_контр'!P:P,'60,62,63,76_контр'!J:J,"{252005} Проценты по долгосрочным денежным займам к получению",'60,62,63,76_контр'!AY:AY,"-",'60,62,63,76_контр'!F:F,G23))&lt;2,TRUE)</f>
        <v>1</v>
      </c>
      <c r="AZ23" s="2289" t="b">
        <f>IF(ABS((SUMIFS($X:$X,$I:$I,"{252006} Проценты по краткосрочным займам (кроме кэш пулинга) к получению",AW:AW,"-",G:G,G23))-SUMIFS('60,62,63,76_контр'!P:P,'60,62,63,76_контр'!J:J,"{252006} Проценты по краткосрочным займам (кроме кэш пулинга) к получению",'60,62,63,76_контр'!AY:AY,"-",'60,62,63,76_контр'!F:F,G23))&lt;2,TRUE)</f>
        <v>1</v>
      </c>
      <c r="BA23" s="3318" t="b">
        <f>IF(OR(C23="",J23&lt;&gt;$AK$8),TRUE,IF(J23=$AK$8,IF(IFERROR(VLOOKUP(C23,Фин_договоры!C:AK,35,0),TRUE)&lt;=90,I23=$AJ$9,I23&lt;&gt;$AJ$9),TRUE))</f>
        <v>1</v>
      </c>
      <c r="BB23" s="3318" t="b">
        <f>IF(OR(C23="",J23&lt;&gt;$AK$8),TRUE,IF(J23=$AK$8,IF(IFERROR(VLOOKUP(C23,Фин_договоры!C:AK,35,0),TRUE)&gt;=91,OR(I23=$AJ$11,I23=$AJ$10),OR(I23&lt;&gt;$AJ$11,I23&lt;&gt;$AJ$10)),TRUE))</f>
        <v>1</v>
      </c>
    </row>
    <row r="24" spans="1:54" s="651" customFormat="1" ht="31.5" customHeight="1">
      <c r="A24" s="556" t="str">
        <f t="shared" ref="A24" si="67">"R50="&amp;C24&amp;";R32="&amp;IFERROR(MID(I24,FIND("{",I24)+1,FIND("}",I24)-FIND("{",I24)-1),"")&amp;";R36="&amp;MID(G24,1,30)&amp;";R43="&amp;MID(F24,1,30)&amp;";COM="&amp;AD24</f>
        <v>R50=;R32=;R36= ;R43= ;COM=</v>
      </c>
      <c r="B24" s="1116"/>
      <c r="C24" s="1488"/>
      <c r="D24" s="1489" t="str">
        <f>IF(ISERROR(VLOOKUP($C24,Фин_договоры!$C:$AE,4,FALSE))," ",VLOOKUP($C24,Фин_договоры!$C:$AE,4,FALSE))</f>
        <v xml:space="preserve"> </v>
      </c>
      <c r="E24" s="1489" t="str">
        <f>IF(ISERROR(VLOOKUP($C24,Фин_договоры!$C:$AE,6,FALSE))," ",VLOOKUP($C24,Фин_договоры!$C:$AE,6,FALSE))</f>
        <v xml:space="preserve"> </v>
      </c>
      <c r="F24" s="1489" t="str">
        <f>IF(ISERROR(VLOOKUP($C24,Фин_договоры!$C:$AE,7,FALSE))," ",VLOOKUP($C24,Фин_договоры!$C:$AE,7,FALSE))</f>
        <v xml:space="preserve"> </v>
      </c>
      <c r="G24" s="1489" t="str">
        <f>IF(ISERROR(VLOOKUP($C24,Фин_договоры!$C:$AE,8,FALSE))," ",VLOOKUP($C24,Фин_договоры!$C:$AE,8,FALSE))</f>
        <v xml:space="preserve"> </v>
      </c>
      <c r="H24" s="1490" t="str">
        <f>IF(ISERROR(VLOOKUP($C24,Фин_договоры!$C:$AE,5,FALSE))," ",VLOOKUP($C24,Фин_договоры!$C:$AE,5,FALSE))</f>
        <v xml:space="preserve"> </v>
      </c>
      <c r="I24" s="2977"/>
      <c r="J24" s="1549" t="str">
        <f>IF(ISERROR(VLOOKUP($C24,Фин_договоры!$C:$AE,2,FALSE))," ",VLOOKUP($C24,Фин_договоры!$C:$AE,2,FALSE))</f>
        <v xml:space="preserve"> </v>
      </c>
      <c r="K24" s="1549" t="str">
        <f>IF(ISERROR(VLOOKUP($C24,Фин_договоры!$C:$AE,16,FALSE))," ",VLOOKUP($C24,Фин_договоры!$C:$AE,16,FALSE))</f>
        <v xml:space="preserve"> </v>
      </c>
      <c r="L24" s="1491"/>
      <c r="M24" s="1491"/>
      <c r="N24" s="1491"/>
      <c r="O24" s="1491"/>
      <c r="P24" s="1775">
        <f t="shared" ref="P24" si="68">L24-N24</f>
        <v>0</v>
      </c>
      <c r="Q24" s="1775">
        <f t="shared" ref="Q24" si="69">M24-O24</f>
        <v>0</v>
      </c>
      <c r="R24" s="1491"/>
      <c r="S24" s="1491"/>
      <c r="T24" s="1491"/>
      <c r="U24" s="1491"/>
      <c r="V24" s="1491"/>
      <c r="W24" s="1491"/>
      <c r="X24" s="1344">
        <f t="shared" ref="X24" si="70">SUM(L24:M24,R24:W24)-Y24</f>
        <v>0</v>
      </c>
      <c r="Y24" s="1491"/>
      <c r="Z24" s="2313"/>
      <c r="AA24" s="2313"/>
      <c r="AB24" s="1775">
        <f t="shared" ref="AB24" si="71">X24-Z24</f>
        <v>0</v>
      </c>
      <c r="AC24" s="1775">
        <f t="shared" ref="AC24" si="72">Y24-AA24</f>
        <v>0</v>
      </c>
      <c r="AD24" s="1492"/>
      <c r="AG24" s="2528" t="b">
        <f t="shared" si="11"/>
        <v>1</v>
      </c>
      <c r="AH24" s="2528" t="b">
        <f t="shared" ref="AH24" si="73">IF(C24&gt;0,I24&gt;0,TRUE)</f>
        <v>1</v>
      </c>
      <c r="AI24" s="2528" t="b">
        <f>IF(AND(I24=$AJ$11,OR(J24=$AK$7,J24=$AK$6)),TRUE,IF(I24=$AJ$11,IF(AND(I24=$AJ$11,J24=$AK$11),IF((VLOOKUP(C24,Фин_договоры!C:AK,35,0))&gt;365,TRUE,FALSE),FALSE),TRUE))</f>
        <v>1</v>
      </c>
      <c r="AL24" s="2528"/>
      <c r="AM24" s="2528"/>
      <c r="AN24" s="2654">
        <f>SUMIFS('60,62,63,76_контр'!$P$15:$P25012,'60,62,63,76_контр'!$J$15:$J25012,$I24,'60,62,63,76_контр'!$O$15:$O25012,$K24,'60,62,63,76_контр'!$C$15:$C25012,"76",'60,62,63,76_контр'!$N$15:$N25012,"{10} Долгосрочная",'60,62,63,76_контр'!$AY$15:$AY25012,"-")</f>
        <v>0</v>
      </c>
      <c r="AO24" s="2654">
        <f>SUMIFS('60,62,63,76_контр'!$P$15:$P25012,'60,62,63,76_контр'!$J$15:$J25012,$I24,'60,62,63,76_контр'!$O$15:$O25012,$K24,'60,62,63,76_контр'!$C$15:$C25012,"76",'60,62,63,76_контр'!$N$15:$N25012,"{20} Краткосрочная",'60,62,63,76_контр'!$AY$15:$AY25012,"-")</f>
        <v>0</v>
      </c>
      <c r="AP24" s="2654">
        <f>SUMIFS('60,62,63,76_контр'!$V$15:$V25012,'60,62,63,76_контр'!$J$15:$J25012,$I24,'60,62,63,76_контр'!$O$15:$O25012,$K24,'60,62,63,76_контр'!$C$15:$C25012,"76",'60,62,63,76_контр'!$N$15:$N25012,"{10} Долгосрочная",'60,62,63,76_контр'!$AY$15:$AY25012,"-")</f>
        <v>0</v>
      </c>
      <c r="AQ24" s="2654">
        <f>SUMIFS('60,62,63,76_контр'!$V$15:$V25012,'60,62,63,76_контр'!$J$15:$J25012,$I24,'60,62,63,76_контр'!$O$15:$O25012,$K24,'60,62,63,76_контр'!$C$15:$C25012,"76",'60,62,63,76_контр'!$N$15:$N25012,"{20} Краткосрочная",'60,62,63,76_контр'!$AY$15:$AY25012,"-")</f>
        <v>0</v>
      </c>
      <c r="AR24" s="2289" t="b">
        <f t="shared" si="12"/>
        <v>1</v>
      </c>
      <c r="AS24" s="2289" t="b">
        <f t="shared" si="13"/>
        <v>1</v>
      </c>
      <c r="AT24" s="2289" t="b">
        <f t="shared" si="14"/>
        <v>1</v>
      </c>
      <c r="AU24" s="2289" t="b">
        <f t="shared" si="15"/>
        <v>1</v>
      </c>
      <c r="AV24" s="651" t="str">
        <f t="shared" si="16"/>
        <v xml:space="preserve"> </v>
      </c>
      <c r="AW24" s="651" t="str">
        <f t="shared" si="10"/>
        <v>-</v>
      </c>
      <c r="AX24" s="2289" t="b">
        <f>IF(ABS((SUMIFS($X:$X,$I:$I,"{252002} Проценты по займам, выданным в рамках операций кэш пулинга, к получению",AW:AW,"-",G:G,G24))-SUMIFS('60,62,63,76_контр'!P:P,'60,62,63,76_контр'!J:J,"{252002} Проценты по займам, выданным в рамках операций кэш пулинга, к получению",'60,62,63,76_контр'!AY:AY,"-",'60,62,63,76_контр'!F:F,G24))&lt;2,TRUE)</f>
        <v>1</v>
      </c>
      <c r="AY24" s="2289" t="b">
        <f>IF(ABS((SUMIFS($X:$X,$I:$I,"{252005} Проценты по долгосрочным денежным займам к получению",AW:AW,"-",G:G,G24))-SUMIFS('60,62,63,76_контр'!P:P,'60,62,63,76_контр'!J:J,"{252005} Проценты по долгосрочным денежным займам к получению",'60,62,63,76_контр'!AY:AY,"-",'60,62,63,76_контр'!F:F,G24))&lt;2,TRUE)</f>
        <v>1</v>
      </c>
      <c r="AZ24" s="2289" t="b">
        <f>IF(ABS((SUMIFS($X:$X,$I:$I,"{252006} Проценты по краткосрочным займам (кроме кэш пулинга) к получению",AW:AW,"-",G:G,G24))-SUMIFS('60,62,63,76_контр'!P:P,'60,62,63,76_контр'!J:J,"{252006} Проценты по краткосрочным займам (кроме кэш пулинга) к получению",'60,62,63,76_контр'!AY:AY,"-",'60,62,63,76_контр'!F:F,G24))&lt;2,TRUE)</f>
        <v>1</v>
      </c>
      <c r="BA24" s="3318" t="b">
        <f>IF(OR(C24="",J24&lt;&gt;$AK$8),TRUE,IF(J24=$AK$8,IF(IFERROR(VLOOKUP(C24,Фин_договоры!C:AK,35,0),TRUE)&lt;=90,I24=$AJ$9,I24&lt;&gt;$AJ$9),TRUE))</f>
        <v>1</v>
      </c>
      <c r="BB24" s="3318" t="b">
        <f>IF(OR(C24="",J24&lt;&gt;$AK$8),TRUE,IF(J24=$AK$8,IF(IFERROR(VLOOKUP(C24,Фин_договоры!C:AK,35,0),TRUE)&gt;=91,OR(I24=$AJ$11,I24=$AJ$10),OR(I24&lt;&gt;$AJ$11,I24&lt;&gt;$AJ$10)),TRUE))</f>
        <v>1</v>
      </c>
    </row>
    <row r="25" spans="1:54" s="651" customFormat="1" ht="26.25" customHeight="1" thickBot="1">
      <c r="A25" s="556" t="str">
        <f t="shared" ref="A25" si="74">"R50="&amp;C25&amp;";R32="&amp;IFERROR(MID(I25,FIND("{",I25)+1,FIND("}",I25)-FIND("{",I25)-1),"")&amp;";R36="&amp;MID(G25,1,30)&amp;";R43="&amp;MID(F25,1,30)&amp;";COM="&amp;AD25</f>
        <v>R50=;R32=;R36= ;R43= ;COM=</v>
      </c>
      <c r="B25" s="1116"/>
      <c r="C25" s="1147"/>
      <c r="D25" s="1343" t="str">
        <f>IF(ISERROR(VLOOKUP($C25,Фин_договоры!$C:$AE,4,FALSE))," ",VLOOKUP($C25,Фин_договоры!$C:$AE,4,FALSE))</f>
        <v xml:space="preserve"> </v>
      </c>
      <c r="E25" s="1343" t="str">
        <f>IF(ISERROR(VLOOKUP($C25,Фин_договоры!$C:$AE,6,FALSE))," ",VLOOKUP($C25,Фин_договоры!$C:$AE,6,FALSE))</f>
        <v xml:space="preserve"> </v>
      </c>
      <c r="F25" s="1343" t="str">
        <f>IF(ISERROR(VLOOKUP($C25,Фин_договоры!$C:$AE,7,FALSE))," ",VLOOKUP($C25,Фин_договоры!$C:$AE,7,FALSE))</f>
        <v xml:space="preserve"> </v>
      </c>
      <c r="G25" s="1343" t="str">
        <f>IF(ISERROR(VLOOKUP($C25,Фин_договоры!$C:$AE,8,FALSE))," ",VLOOKUP($C25,Фин_договоры!$C:$AE,8,FALSE))</f>
        <v xml:space="preserve"> </v>
      </c>
      <c r="H25" s="1343" t="str">
        <f>IF(ISERROR(VLOOKUP($C25,Фин_договоры!$C:$AE,5,FALSE))," ",VLOOKUP($C25,Фин_договоры!$C:$AE,5,FALSE))</f>
        <v xml:space="preserve"> </v>
      </c>
      <c r="I25" s="2978"/>
      <c r="J25" s="1343" t="str">
        <f>IF(ISERROR(VLOOKUP($C25,Фин_договоры!$C:$AE,2,FALSE))," ",VLOOKUP($C25,Фин_договоры!$C:$AE,2,FALSE))</f>
        <v xml:space="preserve"> </v>
      </c>
      <c r="K25" s="1343" t="str">
        <f>IF(ISERROR(VLOOKUP($C25,Фин_договоры!$C:$AE,16,FALSE))," ",VLOOKUP($C25,Фин_договоры!$C:$AE,16,FALSE))</f>
        <v xml:space="preserve"> </v>
      </c>
      <c r="L25" s="1148"/>
      <c r="M25" s="1148"/>
      <c r="N25" s="1148"/>
      <c r="O25" s="1148"/>
      <c r="P25" s="1776">
        <f t="shared" ref="P25" si="75">L25-N25</f>
        <v>0</v>
      </c>
      <c r="Q25" s="1776">
        <f t="shared" ref="Q25" si="76">M25-O25</f>
        <v>0</v>
      </c>
      <c r="R25" s="1148"/>
      <c r="S25" s="1148"/>
      <c r="T25" s="1148"/>
      <c r="U25" s="1148"/>
      <c r="V25" s="1148"/>
      <c r="W25" s="1148"/>
      <c r="X25" s="1546">
        <f t="shared" ref="X25" si="77">SUM(L25:M25,R25:W25)-Y25</f>
        <v>0</v>
      </c>
      <c r="Y25" s="1148"/>
      <c r="Z25" s="2314"/>
      <c r="AA25" s="2314"/>
      <c r="AB25" s="1776">
        <f t="shared" ref="AB25" si="78">X25-Z25</f>
        <v>0</v>
      </c>
      <c r="AC25" s="1776">
        <f t="shared" ref="AC25" si="79">Y25-AA25</f>
        <v>0</v>
      </c>
      <c r="AD25" s="1149"/>
      <c r="AG25" s="2528" t="b">
        <f t="shared" si="11"/>
        <v>1</v>
      </c>
      <c r="AH25" s="2528" t="b">
        <f t="shared" ref="AH25" si="80">IF(C25&gt;0,I25&gt;0,TRUE)</f>
        <v>1</v>
      </c>
      <c r="AI25" s="2528" t="b">
        <f>IF(AND(I25=$AJ$11,OR(J25=$AK$7,J25=$AK$6)),TRUE,IF(I25=$AJ$11,IF(AND(I25=$AJ$11,J25=$AK$11),IF((VLOOKUP(C25,Фин_договоры!C:AK,35,0))&gt;365,TRUE,FALSE),FALSE),TRUE))</f>
        <v>1</v>
      </c>
      <c r="AN25" s="2654">
        <f>SUMIFS('60,62,63,76_контр'!$P$15:$P25013,'60,62,63,76_контр'!$J$15:$J25013,$I25,'60,62,63,76_контр'!$O$15:$O25013,$K25,'60,62,63,76_контр'!$C$15:$C25013,"76",'60,62,63,76_контр'!$N$15:$N25013,"{10} Долгосрочная",'60,62,63,76_контр'!$AY$15:$AY25013,"-")</f>
        <v>0</v>
      </c>
      <c r="AO25" s="2654">
        <f>SUMIFS('60,62,63,76_контр'!$P$15:$P25013,'60,62,63,76_контр'!$J$15:$J25013,$I25,'60,62,63,76_контр'!$O$15:$O25013,$K25,'60,62,63,76_контр'!$C$15:$C25013,"76",'60,62,63,76_контр'!$N$15:$N25013,"{20} Краткосрочная",'60,62,63,76_контр'!$AY$15:$AY25013,"-")</f>
        <v>0</v>
      </c>
      <c r="AP25" s="2654">
        <f>SUMIFS('60,62,63,76_контр'!$V$15:$V25013,'60,62,63,76_контр'!$J$15:$J25013,$I25,'60,62,63,76_контр'!$O$15:$O25013,$K25,'60,62,63,76_контр'!$C$15:$C25013,"76",'60,62,63,76_контр'!$N$15:$N25013,"{10} Долгосрочная",'60,62,63,76_контр'!$AY$15:$AY25013,"-")</f>
        <v>0</v>
      </c>
      <c r="AQ25" s="2654">
        <f>SUMIFS('60,62,63,76_контр'!$V$15:$V25013,'60,62,63,76_контр'!$J$15:$J25013,$I25,'60,62,63,76_контр'!$O$15:$O25013,$K25,'60,62,63,76_контр'!$C$15:$C25013,"76",'60,62,63,76_контр'!$N$15:$N25013,"{20} Краткосрочная",'60,62,63,76_контр'!$AY$15:$AY25013,"-")</f>
        <v>0</v>
      </c>
      <c r="AR25" s="2289" t="b">
        <f t="shared" si="12"/>
        <v>1</v>
      </c>
      <c r="AS25" s="2289" t="b">
        <f t="shared" si="13"/>
        <v>1</v>
      </c>
      <c r="AT25" s="2289" t="b">
        <f t="shared" si="14"/>
        <v>1</v>
      </c>
      <c r="AU25" s="2289" t="b">
        <f t="shared" si="15"/>
        <v>1</v>
      </c>
      <c r="AV25" s="651" t="str">
        <f t="shared" si="16"/>
        <v xml:space="preserve"> </v>
      </c>
      <c r="AW25" s="651" t="str">
        <f t="shared" si="10"/>
        <v>-</v>
      </c>
      <c r="AX25" s="2289" t="b">
        <f>IF(ABS((SUMIFS($X:$X,$I:$I,"{252002} Проценты по займам, выданным в рамках операций кэш пулинга, к получению",AW:AW,"-",G:G,G25))-SUMIFS('60,62,63,76_контр'!P:P,'60,62,63,76_контр'!J:J,"{252002} Проценты по займам, выданным в рамках операций кэш пулинга, к получению",'60,62,63,76_контр'!AY:AY,"-",'60,62,63,76_контр'!F:F,G25))&lt;2,TRUE)</f>
        <v>1</v>
      </c>
      <c r="AY25" s="2289" t="b">
        <f>IF(ABS((SUMIFS($X:$X,$I:$I,"{252005} Проценты по долгосрочным денежным займам к получению",AW:AW,"-",G:G,G25))-SUMIFS('60,62,63,76_контр'!P:P,'60,62,63,76_контр'!J:J,"{252005} Проценты по долгосрочным денежным займам к получению",'60,62,63,76_контр'!AY:AY,"-",'60,62,63,76_контр'!F:F,G25))&lt;2,TRUE)</f>
        <v>1</v>
      </c>
      <c r="AZ25" s="2289" t="b">
        <f>IF(ABS((SUMIFS($X:$X,$I:$I,"{252006} Проценты по краткосрочным займам (кроме кэш пулинга) к получению",AW:AW,"-",G:G,G25))-SUMIFS('60,62,63,76_контр'!P:P,'60,62,63,76_контр'!J:J,"{252006} Проценты по краткосрочным займам (кроме кэш пулинга) к получению",'60,62,63,76_контр'!AY:AY,"-",'60,62,63,76_контр'!F:F,G25))&lt;2,TRUE)</f>
        <v>1</v>
      </c>
      <c r="BA25" s="3318" t="b">
        <f>IF(OR(C25="",J25&lt;&gt;$AK$8),TRUE,IF(J25=$AK$8,IF(IFERROR(VLOOKUP(C25,Фин_договоры!C:AK,35,0),TRUE)&lt;=90,I25=$AJ$9,I25&lt;&gt;$AJ$9),TRUE))</f>
        <v>1</v>
      </c>
      <c r="BB25" s="3318" t="b">
        <f>IF(OR(C25="",J25&lt;&gt;$AK$8),TRUE,IF(J25=$AK$8,IF(IFERROR(VLOOKUP(C25,Фин_договоры!C:AK,35,0),TRUE)&gt;=91,OR(I25=$AJ$11,I25=$AJ$10),OR(I25&lt;&gt;$AJ$11,I25&lt;&gt;$AJ$10)),TRUE))</f>
        <v>1</v>
      </c>
    </row>
    <row r="29" spans="1:54">
      <c r="AE29" s="2568"/>
    </row>
    <row r="30" spans="1:54">
      <c r="AE30" s="2568"/>
    </row>
    <row r="31" spans="1:54">
      <c r="AE31" s="2568"/>
    </row>
  </sheetData>
  <sheetProtection algorithmName="SHA-512" hashValue="s+ZKFFfTWVzPVjz+UFflzm8BTOsGuuegmNxsRY70q8T6SQYDlebAJ5l3Fx6dQERg/X+T7SbO8TVPV1vmOfWNcQ==" saltValue="ukcXwV2YWsELPts+h6UFUA==" spinCount="100000" sheet="1" objects="1" scenarios="1" formatColumns="0" formatRows="0" autoFilter="0"/>
  <autoFilter ref="C9:AD9"/>
  <customSheetViews>
    <customSheetView guid="{3769259D-9653-4B34-A2F6-4FB6F9F4E533}" showGridLines="0" showAutoFilter="1" hiddenRows="1" hiddenColumns="1" topLeftCell="B2">
      <selection activeCell="H8" sqref="H8"/>
      <pageMargins left="0.7" right="0.7" top="0.75" bottom="0.75" header="0.3" footer="0.3"/>
      <pageSetup paperSize="9" orientation="portrait" r:id="rId1"/>
      <autoFilter ref="B1:T1"/>
    </customSheetView>
    <customSheetView guid="{40D7A2BB-326C-4ED3-999C-17852F56D6F4}" showGridLines="0" showAutoFilter="1" hiddenRows="1" hiddenColumns="1" topLeftCell="B2">
      <selection activeCell="H8" sqref="H8"/>
      <pageMargins left="0.7" right="0.7" top="0.75" bottom="0.75" header="0.3" footer="0.3"/>
      <pageSetup paperSize="9" orientation="portrait" r:id="rId2"/>
      <autoFilter ref="B1:T1"/>
    </customSheetView>
    <customSheetView guid="{5D121940-0CE8-4A0E-A493-67FAAA6E0FF8}" showGridLines="0" showAutoFilter="1" hiddenRows="1" hiddenColumns="1" topLeftCell="D2">
      <selection activeCell="H8" sqref="H8"/>
      <pageMargins left="0.7" right="0.7" top="0.75" bottom="0.75" header="0.3" footer="0.3"/>
      <pageSetup paperSize="9" orientation="portrait" r:id="rId3"/>
      <autoFilter ref="B1:T1"/>
    </customSheetView>
    <customSheetView guid="{47AEACC4-6EA5-412C-AF39-A6C5357B313A}" showGridLines="0" showAutoFilter="1" hiddenRows="1" hiddenColumns="1" topLeftCell="D2">
      <selection activeCell="C9" sqref="C9:K9"/>
      <pageMargins left="0.7" right="0.7" top="0.75" bottom="0.75" header="0.3" footer="0.3"/>
      <pageSetup paperSize="9" orientation="portrait" r:id="rId4"/>
      <autoFilter ref="B1:T1"/>
    </customSheetView>
    <customSheetView guid="{4D957B38-5430-481E-B791-E0A66F913B50}" scale="70">
      <selection activeCell="J17" sqref="J17"/>
      <pageMargins left="0.7" right="0.7" top="0.75" bottom="0.75" header="0.3" footer="0.3"/>
      <pageSetup paperSize="9" orientation="portrait" r:id="rId5"/>
    </customSheetView>
    <customSheetView guid="{1C36793E-2B7E-411E-AA99-985D5D59B75A}" scale="70">
      <pageMargins left="0.7" right="0.7" top="0.75" bottom="0.75" header="0.3" footer="0.3"/>
      <pageSetup paperSize="9" orientation="portrait" r:id="rId6"/>
    </customSheetView>
    <customSheetView guid="{C913A9E8-661B-40A4-A3C9-1BC5F2B2E9F0}" showGridLines="0" showAutoFilter="1" hiddenRows="1" hiddenColumns="1" topLeftCell="D2">
      <selection activeCell="H8" sqref="H8"/>
      <pageMargins left="0.7" right="0.7" top="0.75" bottom="0.75" header="0.3" footer="0.3"/>
      <pageSetup paperSize="9" orientation="portrait" r:id="rId7"/>
      <autoFilter ref="B1:T1"/>
    </customSheetView>
  </customSheetViews>
  <mergeCells count="31">
    <mergeCell ref="C6:C7"/>
    <mergeCell ref="I6:I7"/>
    <mergeCell ref="H6:H7"/>
    <mergeCell ref="D6:D7"/>
    <mergeCell ref="AA6:AA7"/>
    <mergeCell ref="E6:E7"/>
    <mergeCell ref="F6:F7"/>
    <mergeCell ref="M6:M7"/>
    <mergeCell ref="J6:J7"/>
    <mergeCell ref="K6:K7"/>
    <mergeCell ref="L6:L7"/>
    <mergeCell ref="R6:W6"/>
    <mergeCell ref="X6:X7"/>
    <mergeCell ref="N6:N7"/>
    <mergeCell ref="O6:O7"/>
    <mergeCell ref="P6:P7"/>
    <mergeCell ref="AX7:AZ8"/>
    <mergeCell ref="AV7:AW7"/>
    <mergeCell ref="Q6:Q7"/>
    <mergeCell ref="Z6:Z7"/>
    <mergeCell ref="G6:G7"/>
    <mergeCell ref="AB6:AB7"/>
    <mergeCell ref="AD6:AD7"/>
    <mergeCell ref="AC6:AC7"/>
    <mergeCell ref="AU7:AU8"/>
    <mergeCell ref="AN7:AO7"/>
    <mergeCell ref="AP7:AQ7"/>
    <mergeCell ref="AR7:AR8"/>
    <mergeCell ref="AS7:AS8"/>
    <mergeCell ref="AT7:AT8"/>
    <mergeCell ref="Y6:Y7"/>
  </mergeCells>
  <phoneticPr fontId="0" type="noConversion"/>
  <dataValidations count="2">
    <dataValidation type="list" allowBlank="1" showInputMessage="1" showErrorMessage="1" sqref="I12:I25">
      <formula1>_9022</formula1>
    </dataValidation>
    <dataValidation type="list" allowBlank="1" showInputMessage="1" showErrorMessage="1" sqref="C12:C25">
      <formula1>dogovor_fin</formula1>
    </dataValidation>
  </dataValidations>
  <hyperlinks>
    <hyperlink ref="I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29" fitToWidth="2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5" r:id="rId11" name="Button 3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12" name="Button 3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7" r:id="rId13" name="Button 6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8" r:id="rId14" name="Button 6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9" r:id="rId15" name="Button 9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0" r:id="rId16" name="Button 9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1" r:id="rId17" name="Button 12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2" r:id="rId18" name="Button 12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3" r:id="rId19" name="Button 15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4" r:id="rId20" name="Button 16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5" r:id="rId21" name="Button 19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6" r:id="rId22" name="Button 19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47" r:id="rId23" name="Button 22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48" r:id="rId24" name="Button 22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79" r:id="rId25" name="Button 25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80" r:id="rId26" name="Button 25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11" r:id="rId27" name="Button 28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12" r:id="rId28" name="Button 28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43" r:id="rId29" name="Button 31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44" r:id="rId30" name="Button 32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75" r:id="rId31" name="Button 35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76" r:id="rId32" name="Button 35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07" r:id="rId33" name="Button 38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08" r:id="rId34" name="Button 38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39" r:id="rId35" name="Button 41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40" r:id="rId36" name="Button 41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71" r:id="rId37" name="Button 44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72" r:id="rId38" name="Button 44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03" r:id="rId39" name="Button 47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04" r:id="rId40" name="Button 48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35" r:id="rId41" name="Button 51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36" r:id="rId42" name="Button 51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67" r:id="rId43" name="Button 54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68" r:id="rId44" name="Button 54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99" r:id="rId45" name="Button 57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00" r:id="rId46" name="Button 57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31" r:id="rId47" name="Button 60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32" r:id="rId48" name="Button 60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63" r:id="rId49" name="Button 63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64" r:id="rId50" name="Button 64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95" r:id="rId51" name="Button 67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96" r:id="rId52" name="Button 67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27" r:id="rId53" name="Button 70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28" r:id="rId54" name="Button 70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59" r:id="rId55" name="Button 73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60" r:id="rId56" name="Button 73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91" r:id="rId57" name="Button 76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92" r:id="rId58" name="Button 76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23" r:id="rId59" name="Button 79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24" r:id="rId60" name="Button 80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55" r:id="rId61" name="Button 83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56" r:id="rId62" name="Button 83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87" r:id="rId63" name="Button 86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88" r:id="rId64" name="Button 86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19" r:id="rId65" name="Button 89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20" r:id="rId66" name="Button 89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51" r:id="rId67" name="Button 92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52" r:id="rId68" name="Button 92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83" r:id="rId69" name="Button 95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84" r:id="rId70" name="Button 96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15" r:id="rId71" name="Button 99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16" r:id="rId72" name="Button 99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47" r:id="rId73" name="Button 102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48" r:id="rId74" name="Button 102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75" name="Button 105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76" name="Button 105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1" r:id="rId77" name="Button 108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2" r:id="rId78" name="Button 108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3" r:id="rId79" name="Button 111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4" r:id="rId80" name="Button 112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5" r:id="rId81" name="Button 115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6" r:id="rId82" name="Button 115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7" r:id="rId83" name="Button 118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8" r:id="rId84" name="Button 118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9" r:id="rId85" name="Button 121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0" r:id="rId86" name="Button 121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71" r:id="rId87" name="Button 124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72" r:id="rId88" name="Button 124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03" r:id="rId89" name="Button 127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04" r:id="rId90" name="Button 128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35" r:id="rId91" name="Button 131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36" r:id="rId92" name="Button 131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67" r:id="rId93" name="Button 134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68" r:id="rId94" name="Button 134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99" r:id="rId95" name="Button 137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00" r:id="rId96" name="Button 137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31" r:id="rId97" name="Button 140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32" r:id="rId98" name="Button 140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63" r:id="rId99" name="Button 143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64" r:id="rId100" name="Button 144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95" r:id="rId101" name="Button 147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96" r:id="rId102" name="Button 147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7" r:id="rId103" name="Button 150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8" r:id="rId104" name="Button 150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9" r:id="rId105" name="Button 153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0" r:id="rId106" name="Button 153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1" r:id="rId107" name="Button 156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2" r:id="rId108" name="Button 156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3" r:id="rId109" name="Button 159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4" r:id="rId110" name="Button 160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5" r:id="rId111" name="Button 163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6" r:id="rId112" name="Button 163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7" r:id="rId113" name="Button 166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8" r:id="rId114" name="Button 166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9" r:id="rId115" name="Button 169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0" r:id="rId116" name="Button 169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1" r:id="rId117" name="Button 172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2" r:id="rId118" name="Button 172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3" r:id="rId119" name="Button 1759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4" r:id="rId120" name="Button 1760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5" r:id="rId121" name="Button 1791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6" r:id="rId122" name="Button 1792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7" r:id="rId123" name="Button 1823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8" r:id="rId124" name="Button 1824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9" r:id="rId125" name="Button 1855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0" r:id="rId126" name="Button 1856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1" r:id="rId127" name="Button 1887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2" r:id="rId128" name="Button 1888">
              <controlPr defaultSize="0" print="0" autoFill="0" autoPict="0">
                <anchor moveWithCells="1" sizeWithCells="1">
                  <from>
                    <xdr:col>24</xdr:col>
                    <xdr:colOff>0</xdr:colOff>
                    <xdr:row>3</xdr:row>
                    <xdr:rowOff>31750</xdr:rowOff>
                  </from>
                  <to>
                    <xdr:col>24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3" r:id="rId129" name="Button 1919">
              <controlPr defaultSize="0" print="0" autoFill="0" autoPict="0" macro="[0]!AddButtonsRowAdd">
                <anchor moveWithCells="1">
                  <from>
                    <xdr:col>8</xdr:col>
                    <xdr:colOff>304800</xdr:colOff>
                    <xdr:row>1</xdr:row>
                    <xdr:rowOff>152400</xdr:rowOff>
                  </from>
                  <to>
                    <xdr:col>8</xdr:col>
                    <xdr:colOff>1714500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N28"/>
  <sheetViews>
    <sheetView topLeftCell="B11" zoomScale="60" zoomScaleNormal="60" workbookViewId="0">
      <selection activeCell="B1" sqref="A1:XFD1"/>
    </sheetView>
  </sheetViews>
  <sheetFormatPr defaultColWidth="19.453125" defaultRowHeight="14.5"/>
  <cols>
    <col min="1" max="1" width="69" style="1163" hidden="1" customWidth="1"/>
    <col min="2" max="2" width="8" style="1163" customWidth="1"/>
    <col min="3" max="3" width="38.54296875" style="1163" customWidth="1"/>
    <col min="4" max="4" width="17.453125" style="1163" customWidth="1"/>
    <col min="5" max="5" width="17.453125" style="2830" customWidth="1"/>
    <col min="6" max="8" width="17.453125" style="1163" customWidth="1"/>
    <col min="9" max="9" width="17.453125" style="2830" customWidth="1"/>
    <col min="10" max="11" width="17.453125" style="1163" customWidth="1"/>
    <col min="12" max="12" width="37.453125" style="1163" customWidth="1"/>
    <col min="13" max="13" width="19.453125" style="1163"/>
    <col min="14" max="14" width="9.54296875" style="1163" hidden="1" customWidth="1"/>
    <col min="15" max="15" width="8.54296875" style="1163" customWidth="1"/>
    <col min="16" max="16384" width="19.453125" style="1163"/>
  </cols>
  <sheetData>
    <row r="1" spans="1:14" ht="41.25" hidden="1" customHeight="1">
      <c r="A1" s="167" t="s">
        <v>4563</v>
      </c>
      <c r="B1" s="6"/>
      <c r="C1" s="6"/>
      <c r="D1" s="6" t="s">
        <v>482</v>
      </c>
      <c r="E1" s="2438" t="s">
        <v>10152</v>
      </c>
      <c r="F1" s="6" t="s">
        <v>315</v>
      </c>
      <c r="G1" s="6" t="s">
        <v>316</v>
      </c>
      <c r="H1" s="6" t="s">
        <v>317</v>
      </c>
      <c r="I1" s="2438" t="s">
        <v>10153</v>
      </c>
      <c r="J1" s="6" t="s">
        <v>318</v>
      </c>
      <c r="K1" s="6" t="s">
        <v>489</v>
      </c>
      <c r="L1" s="6"/>
    </row>
    <row r="2" spans="1:14" s="1778" customFormat="1">
      <c r="A2" s="7"/>
      <c r="B2" s="1919"/>
      <c r="C2" s="1919"/>
      <c r="D2" s="1919" t="s">
        <v>1648</v>
      </c>
      <c r="E2" s="1919"/>
      <c r="F2" s="1919" t="s">
        <v>1648</v>
      </c>
      <c r="G2" s="1919" t="s">
        <v>1648</v>
      </c>
      <c r="H2" s="1919" t="s">
        <v>1648</v>
      </c>
      <c r="I2" s="1919"/>
      <c r="J2" s="1919" t="s">
        <v>1648</v>
      </c>
      <c r="K2" s="1919" t="s">
        <v>1648</v>
      </c>
    </row>
    <row r="3" spans="1:14" ht="26">
      <c r="A3" s="9"/>
      <c r="C3" s="11" t="s">
        <v>3695</v>
      </c>
      <c r="D3" s="11"/>
      <c r="E3" s="11"/>
      <c r="F3"/>
      <c r="G3" s="1897" t="s">
        <v>2067</v>
      </c>
      <c r="H3" s="1244">
        <f>Содержание!$D$2</f>
        <v>0</v>
      </c>
      <c r="I3" s="10"/>
      <c r="J3" s="10"/>
      <c r="K3" s="10"/>
      <c r="L3" s="10"/>
      <c r="M3" s="10"/>
    </row>
    <row r="4" spans="1:14" ht="15" thickBot="1">
      <c r="A4" s="9"/>
      <c r="D4"/>
      <c r="E4" s="3268"/>
      <c r="F4" s="3044" t="s">
        <v>1436</v>
      </c>
      <c r="G4" s="1897" t="s">
        <v>2075</v>
      </c>
      <c r="H4" s="1244" t="str">
        <f>Содержание!$D$15</f>
        <v>2022 год</v>
      </c>
      <c r="I4" s="10"/>
      <c r="J4" s="10"/>
      <c r="K4" s="10"/>
      <c r="L4" s="10"/>
      <c r="M4" s="8"/>
    </row>
    <row r="5" spans="1:14" ht="26">
      <c r="A5" s="9"/>
      <c r="C5" s="85" t="s">
        <v>3694</v>
      </c>
      <c r="D5" s="28" t="s">
        <v>5225</v>
      </c>
      <c r="E5" s="3270" t="s">
        <v>10051</v>
      </c>
      <c r="F5" s="28" t="s">
        <v>2231</v>
      </c>
      <c r="G5" s="28" t="s">
        <v>867</v>
      </c>
      <c r="H5" s="28">
        <v>84</v>
      </c>
      <c r="I5" s="3270" t="s">
        <v>10055</v>
      </c>
      <c r="J5" s="28" t="s">
        <v>2232</v>
      </c>
      <c r="K5" s="28" t="s">
        <v>5233</v>
      </c>
      <c r="L5" s="82" t="s">
        <v>4183</v>
      </c>
    </row>
    <row r="6" spans="1:14">
      <c r="A6" s="9"/>
      <c r="C6" s="155" t="s">
        <v>5483</v>
      </c>
      <c r="D6" s="151" t="s">
        <v>674</v>
      </c>
      <c r="E6" s="204" t="s">
        <v>10052</v>
      </c>
      <c r="F6" s="204" t="s">
        <v>4880</v>
      </c>
      <c r="G6" s="204" t="s">
        <v>4881</v>
      </c>
      <c r="H6" s="204" t="s">
        <v>4954</v>
      </c>
      <c r="I6" s="204" t="s">
        <v>10054</v>
      </c>
      <c r="J6" s="204" t="s">
        <v>2228</v>
      </c>
      <c r="K6" s="151" t="s">
        <v>694</v>
      </c>
      <c r="L6" s="205" t="s">
        <v>865</v>
      </c>
    </row>
    <row r="7" spans="1:14" s="674" customFormat="1" ht="22.5" customHeight="1">
      <c r="A7" s="668"/>
      <c r="C7" s="681" t="s">
        <v>4164</v>
      </c>
      <c r="D7" s="3273" t="s">
        <v>4165</v>
      </c>
      <c r="E7" s="3272" t="s">
        <v>4166</v>
      </c>
      <c r="F7" s="3273" t="s">
        <v>5500</v>
      </c>
      <c r="G7" s="3272" t="s">
        <v>4169</v>
      </c>
      <c r="H7" s="3273" t="s">
        <v>4168</v>
      </c>
      <c r="I7" s="3272" t="s">
        <v>4178</v>
      </c>
      <c r="J7" s="3273" t="s">
        <v>4179</v>
      </c>
      <c r="K7" s="3272" t="s">
        <v>4167</v>
      </c>
      <c r="L7" s="1532" t="s">
        <v>5501</v>
      </c>
    </row>
    <row r="8" spans="1:14" ht="22.5" customHeight="1">
      <c r="A8" s="9"/>
      <c r="C8" s="365" t="s">
        <v>4170</v>
      </c>
      <c r="D8" s="212">
        <f t="shared" ref="D8:K8" si="0">SUM(D9:D27)</f>
        <v>0</v>
      </c>
      <c r="E8" s="212">
        <f t="shared" si="0"/>
        <v>0</v>
      </c>
      <c r="F8" s="212">
        <f t="shared" si="0"/>
        <v>0</v>
      </c>
      <c r="G8" s="212">
        <f t="shared" si="0"/>
        <v>0</v>
      </c>
      <c r="H8" s="212">
        <f t="shared" si="0"/>
        <v>0</v>
      </c>
      <c r="I8" s="212">
        <f t="shared" si="0"/>
        <v>0</v>
      </c>
      <c r="J8" s="212">
        <f t="shared" si="0"/>
        <v>0</v>
      </c>
      <c r="K8" s="212">
        <f t="shared" si="0"/>
        <v>0</v>
      </c>
      <c r="L8" s="213" t="s">
        <v>4184</v>
      </c>
      <c r="N8" s="1163" t="b">
        <f>AND(N9:N27)</f>
        <v>1</v>
      </c>
    </row>
    <row r="9" spans="1:14" ht="25">
      <c r="A9" s="9" t="str">
        <f>"R7="&amp;IFERROR(MID(C9,FIND("{",C9)+1,FIND("}",C9)-FIND("{",C9)-1),"")&amp;";"&amp;"COM="&amp;L9</f>
        <v>R7=01;COM=</v>
      </c>
      <c r="C9" s="357" t="s">
        <v>3693</v>
      </c>
      <c r="D9" s="1434"/>
      <c r="E9" s="1434"/>
      <c r="F9" s="178"/>
      <c r="G9" s="1434"/>
      <c r="H9" s="178"/>
      <c r="I9" s="1434"/>
      <c r="J9" s="178"/>
      <c r="K9" s="212">
        <f t="shared" ref="K9:K21" si="1">SUM(D9:J9)</f>
        <v>0</v>
      </c>
      <c r="L9" s="215"/>
      <c r="N9" s="1163" t="b">
        <f>IF(OR(D9&gt;2,K9&gt;2),FALSE,TRUE)</f>
        <v>1</v>
      </c>
    </row>
    <row r="10" spans="1:14" ht="37.5">
      <c r="A10" s="2427" t="str">
        <f t="shared" ref="A10:A27" si="2">"R7="&amp;IFERROR(MID(C10,FIND("{",C10)+1,FIND("}",C10)-FIND("{",C10)-1),"")&amp;";"&amp;"COM="&amp;L10</f>
        <v>R7=02;COM=</v>
      </c>
      <c r="C10" s="357" t="s">
        <v>3692</v>
      </c>
      <c r="D10" s="1434"/>
      <c r="E10" s="1434"/>
      <c r="F10" s="178"/>
      <c r="G10" s="1434"/>
      <c r="H10" s="178"/>
      <c r="I10" s="1434"/>
      <c r="J10" s="178"/>
      <c r="K10" s="212">
        <f t="shared" si="1"/>
        <v>0</v>
      </c>
      <c r="L10" s="215"/>
      <c r="N10" s="1163" t="b">
        <f t="shared" ref="N10:N27" si="3">IF(OR(D10&gt;2,K10&gt;2),FALSE,TRUE)</f>
        <v>1</v>
      </c>
    </row>
    <row r="11" spans="1:14" ht="25">
      <c r="A11" s="2427" t="str">
        <f t="shared" si="2"/>
        <v>R7=03;COM=</v>
      </c>
      <c r="C11" s="357" t="s">
        <v>3691</v>
      </c>
      <c r="D11" s="1434"/>
      <c r="E11" s="1434"/>
      <c r="F11" s="178"/>
      <c r="G11" s="1434"/>
      <c r="H11" s="178"/>
      <c r="I11" s="1434"/>
      <c r="J11" s="178"/>
      <c r="K11" s="212">
        <f t="shared" si="1"/>
        <v>0</v>
      </c>
      <c r="L11" s="215"/>
      <c r="N11" s="1163" t="b">
        <f t="shared" si="3"/>
        <v>1</v>
      </c>
    </row>
    <row r="12" spans="1:14" ht="25">
      <c r="A12" s="2427" t="str">
        <f t="shared" si="2"/>
        <v>R7=04;COM=</v>
      </c>
      <c r="C12" s="357" t="s">
        <v>3690</v>
      </c>
      <c r="D12" s="1434"/>
      <c r="E12" s="1434"/>
      <c r="F12" s="178"/>
      <c r="G12" s="1434"/>
      <c r="H12" s="178"/>
      <c r="I12" s="1434"/>
      <c r="J12" s="178"/>
      <c r="K12" s="212">
        <f>SUM(D12:J12)</f>
        <v>0</v>
      </c>
      <c r="L12" s="215"/>
      <c r="N12" s="1163" t="b">
        <f t="shared" si="3"/>
        <v>1</v>
      </c>
    </row>
    <row r="13" spans="1:14" ht="25">
      <c r="A13" s="2427" t="str">
        <f t="shared" si="2"/>
        <v>R7=05;COM=</v>
      </c>
      <c r="C13" s="357" t="s">
        <v>3689</v>
      </c>
      <c r="D13" s="1434"/>
      <c r="E13" s="1434"/>
      <c r="F13" s="178"/>
      <c r="G13" s="1434"/>
      <c r="H13" s="178"/>
      <c r="I13" s="1434"/>
      <c r="J13" s="178"/>
      <c r="K13" s="212">
        <f t="shared" si="1"/>
        <v>0</v>
      </c>
      <c r="L13" s="215"/>
      <c r="N13" s="1163" t="b">
        <f t="shared" si="3"/>
        <v>1</v>
      </c>
    </row>
    <row r="14" spans="1:14" ht="25">
      <c r="A14" s="2427" t="str">
        <f t="shared" si="2"/>
        <v>R7=06;COM=</v>
      </c>
      <c r="C14" s="357" t="s">
        <v>3688</v>
      </c>
      <c r="D14" s="1434"/>
      <c r="E14" s="1434"/>
      <c r="F14" s="178"/>
      <c r="G14" s="1434"/>
      <c r="H14" s="178"/>
      <c r="I14" s="1434"/>
      <c r="J14" s="178"/>
      <c r="K14" s="212">
        <f t="shared" si="1"/>
        <v>0</v>
      </c>
      <c r="L14" s="215"/>
      <c r="N14" s="1163" t="b">
        <f t="shared" si="3"/>
        <v>1</v>
      </c>
    </row>
    <row r="15" spans="1:14" ht="25">
      <c r="A15" s="2427" t="str">
        <f t="shared" si="2"/>
        <v>R7=07;COM=</v>
      </c>
      <c r="C15" s="357" t="s">
        <v>3687</v>
      </c>
      <c r="D15" s="1434"/>
      <c r="E15" s="1434"/>
      <c r="F15" s="178"/>
      <c r="G15" s="1434"/>
      <c r="H15" s="178"/>
      <c r="I15" s="1434"/>
      <c r="J15" s="178"/>
      <c r="K15" s="212">
        <f t="shared" si="1"/>
        <v>0</v>
      </c>
      <c r="L15" s="215"/>
      <c r="N15" s="1163" t="b">
        <f t="shared" si="3"/>
        <v>1</v>
      </c>
    </row>
    <row r="16" spans="1:14" ht="25">
      <c r="A16" s="2427" t="str">
        <f t="shared" si="2"/>
        <v>R7=08;COM=</v>
      </c>
      <c r="C16" s="357" t="s">
        <v>3686</v>
      </c>
      <c r="D16" s="1434"/>
      <c r="E16" s="1434"/>
      <c r="F16" s="178"/>
      <c r="G16" s="1434"/>
      <c r="H16" s="178"/>
      <c r="I16" s="1434"/>
      <c r="J16" s="178"/>
      <c r="K16" s="212">
        <f t="shared" si="1"/>
        <v>0</v>
      </c>
      <c r="L16" s="215"/>
      <c r="N16" s="1163" t="b">
        <f t="shared" si="3"/>
        <v>1</v>
      </c>
    </row>
    <row r="17" spans="1:14" ht="37.5">
      <c r="A17" s="2427" t="str">
        <f t="shared" si="2"/>
        <v>R7=09;COM=</v>
      </c>
      <c r="C17" s="357" t="s">
        <v>3685</v>
      </c>
      <c r="D17" s="1434"/>
      <c r="E17" s="1434"/>
      <c r="F17" s="178"/>
      <c r="G17" s="1434"/>
      <c r="H17" s="178"/>
      <c r="I17" s="1434"/>
      <c r="J17" s="178"/>
      <c r="K17" s="212">
        <f t="shared" si="1"/>
        <v>0</v>
      </c>
      <c r="L17" s="215"/>
      <c r="N17" s="1163" t="b">
        <f t="shared" si="3"/>
        <v>1</v>
      </c>
    </row>
    <row r="18" spans="1:14" ht="25">
      <c r="A18" s="2427" t="str">
        <f t="shared" si="2"/>
        <v>R7=10;COM=</v>
      </c>
      <c r="C18" s="357" t="s">
        <v>3684</v>
      </c>
      <c r="D18" s="1434"/>
      <c r="E18" s="1434"/>
      <c r="F18" s="178"/>
      <c r="G18" s="1434"/>
      <c r="H18" s="178"/>
      <c r="I18" s="1434"/>
      <c r="J18" s="178"/>
      <c r="K18" s="212">
        <f t="shared" si="1"/>
        <v>0</v>
      </c>
      <c r="L18" s="215"/>
      <c r="N18" s="1163" t="b">
        <f t="shared" si="3"/>
        <v>1</v>
      </c>
    </row>
    <row r="19" spans="1:14" ht="37.5">
      <c r="A19" s="2427" t="str">
        <f t="shared" si="2"/>
        <v>R7=11;COM=</v>
      </c>
      <c r="C19" s="357" t="s">
        <v>3683</v>
      </c>
      <c r="D19" s="1434"/>
      <c r="E19" s="1434"/>
      <c r="F19" s="178"/>
      <c r="G19" s="1434"/>
      <c r="H19" s="178"/>
      <c r="I19" s="1434"/>
      <c r="J19" s="178"/>
      <c r="K19" s="212">
        <f t="shared" si="1"/>
        <v>0</v>
      </c>
      <c r="L19" s="215"/>
      <c r="N19" s="1163" t="b">
        <f t="shared" si="3"/>
        <v>1</v>
      </c>
    </row>
    <row r="20" spans="1:14" ht="25">
      <c r="A20" s="2427" t="str">
        <f t="shared" si="2"/>
        <v>R7=12;COM=</v>
      </c>
      <c r="C20" s="357" t="s">
        <v>3682</v>
      </c>
      <c r="D20" s="1434"/>
      <c r="E20" s="1434"/>
      <c r="F20" s="178"/>
      <c r="G20" s="1434"/>
      <c r="H20" s="178"/>
      <c r="I20" s="1434"/>
      <c r="J20" s="178"/>
      <c r="K20" s="212">
        <f t="shared" si="1"/>
        <v>0</v>
      </c>
      <c r="L20" s="215"/>
      <c r="N20" s="1163" t="b">
        <f t="shared" si="3"/>
        <v>1</v>
      </c>
    </row>
    <row r="21" spans="1:14" ht="25">
      <c r="A21" s="2427" t="str">
        <f t="shared" si="2"/>
        <v>R7=13;COM=</v>
      </c>
      <c r="C21" s="357" t="s">
        <v>3681</v>
      </c>
      <c r="D21" s="1434"/>
      <c r="E21" s="1434"/>
      <c r="F21" s="178"/>
      <c r="G21" s="1434"/>
      <c r="H21" s="178"/>
      <c r="I21" s="1434"/>
      <c r="J21" s="178"/>
      <c r="K21" s="212">
        <f t="shared" si="1"/>
        <v>0</v>
      </c>
      <c r="L21" s="215"/>
      <c r="N21" s="1163" t="b">
        <f t="shared" si="3"/>
        <v>1</v>
      </c>
    </row>
    <row r="22" spans="1:14" s="2830" customFormat="1" ht="25">
      <c r="A22" s="2427" t="str">
        <f t="shared" si="2"/>
        <v>R7=14;COM=</v>
      </c>
      <c r="C22" s="357" t="s">
        <v>3680</v>
      </c>
      <c r="D22" s="1434"/>
      <c r="E22" s="1434"/>
      <c r="F22" s="1434"/>
      <c r="G22" s="1434"/>
      <c r="H22" s="1434"/>
      <c r="I22" s="1434"/>
      <c r="J22" s="1434"/>
      <c r="K22" s="212">
        <f t="shared" ref="K22:K27" si="4">SUM(D22:J22)</f>
        <v>0</v>
      </c>
      <c r="L22" s="215"/>
    </row>
    <row r="23" spans="1:14" s="2830" customFormat="1" ht="25">
      <c r="A23" s="2427" t="str">
        <f t="shared" si="2"/>
        <v>R7=24;COM=</v>
      </c>
      <c r="C23" s="357" t="s">
        <v>9640</v>
      </c>
      <c r="D23" s="1500"/>
      <c r="E23" s="1500"/>
      <c r="F23" s="1500"/>
      <c r="G23" s="1500"/>
      <c r="H23" s="1500"/>
      <c r="I23" s="1500"/>
      <c r="J23" s="1500"/>
      <c r="K23" s="212">
        <f t="shared" si="4"/>
        <v>0</v>
      </c>
      <c r="L23" s="3446"/>
    </row>
    <row r="24" spans="1:14" s="2830" customFormat="1" ht="25">
      <c r="A24" s="2427" t="str">
        <f t="shared" si="2"/>
        <v>R7=25;COM=</v>
      </c>
      <c r="C24" s="357" t="s">
        <v>14480</v>
      </c>
      <c r="D24" s="1500"/>
      <c r="E24" s="1500"/>
      <c r="F24" s="1500"/>
      <c r="G24" s="1500"/>
      <c r="H24" s="1500"/>
      <c r="I24" s="1500"/>
      <c r="J24" s="1500"/>
      <c r="K24" s="212">
        <f t="shared" si="4"/>
        <v>0</v>
      </c>
      <c r="L24" s="3446"/>
    </row>
    <row r="25" spans="1:14" s="2830" customFormat="1" ht="25">
      <c r="A25" s="2427" t="str">
        <f t="shared" si="2"/>
        <v>R7=26;COM=</v>
      </c>
      <c r="C25" s="3445" t="s">
        <v>14481</v>
      </c>
      <c r="D25" s="1500"/>
      <c r="E25" s="1500"/>
      <c r="F25" s="1500"/>
      <c r="G25" s="1500"/>
      <c r="H25" s="1500"/>
      <c r="I25" s="1500"/>
      <c r="J25" s="1500"/>
      <c r="K25" s="212">
        <f t="shared" si="4"/>
        <v>0</v>
      </c>
      <c r="L25" s="3446"/>
    </row>
    <row r="26" spans="1:14" s="2830" customFormat="1" ht="25">
      <c r="A26" s="2427" t="str">
        <f t="shared" si="2"/>
        <v>R7=27;COM=</v>
      </c>
      <c r="C26" s="3445" t="s">
        <v>14482</v>
      </c>
      <c r="D26" s="1500"/>
      <c r="E26" s="1500"/>
      <c r="F26" s="1500"/>
      <c r="G26" s="1500"/>
      <c r="H26" s="1500"/>
      <c r="I26" s="1500"/>
      <c r="J26" s="1500"/>
      <c r="K26" s="212">
        <f t="shared" ref="K26" si="5">SUM(D26:J26)</f>
        <v>0</v>
      </c>
      <c r="L26" s="3446"/>
    </row>
    <row r="27" spans="1:14" ht="44.9" customHeight="1" thickBot="1">
      <c r="A27" s="2427" t="str">
        <f t="shared" si="2"/>
        <v>R7=28;COM=</v>
      </c>
      <c r="C27" s="374" t="s">
        <v>15229</v>
      </c>
      <c r="D27" s="1483"/>
      <c r="E27" s="1483"/>
      <c r="F27" s="266"/>
      <c r="G27" s="1483"/>
      <c r="H27" s="266"/>
      <c r="I27" s="1483"/>
      <c r="J27" s="266"/>
      <c r="K27" s="212">
        <f t="shared" si="4"/>
        <v>0</v>
      </c>
      <c r="L27" s="356"/>
      <c r="N27" s="1163" t="b">
        <f t="shared" si="3"/>
        <v>1</v>
      </c>
    </row>
    <row r="28" spans="1:14">
      <c r="A28" s="2427"/>
    </row>
  </sheetData>
  <sheetProtection algorithmName="SHA-512" hashValue="KkZFbB6VN9t2qlgttvRH3FEgDGV59I9p5VuKYbUkTpwdwdyFcjppL9my4LE398gTCBZnSjDfZyF0b60cYyUxug==" saltValue="QmbZW75Cgttj0DUE+OAIsQ==" spinCount="100000" sheet="1" objects="1" scenarios="1" formatColumns="0" formatRows="0" autoFilter="0"/>
  <autoFilter ref="C6:L6"/>
  <customSheetViews>
    <customSheetView guid="{3769259D-9653-4B34-A2F6-4FB6F9F4E533}" showGridLines="0" showAutoFilter="1" hiddenRows="1" hiddenColumns="1">
      <pane xSplit="4" ySplit="8" topLeftCell="E9" activePane="bottomRight" state="frozen"/>
      <selection pane="bottomRight" activeCell="E36" sqref="E36"/>
      <pageMargins left="0.7" right="0.7" top="0.75" bottom="0.75" header="0.3" footer="0.3"/>
      <autoFilter ref="B1:I1"/>
    </customSheetView>
    <customSheetView guid="{40D7A2BB-326C-4ED3-999C-17852F56D6F4}" showGridLines="0" showAutoFilter="1" hiddenRows="1" hiddenColumns="1">
      <pane xSplit="4" ySplit="8" topLeftCell="E9" activePane="bottomRight" state="frozen"/>
      <selection pane="bottomRight" activeCell="E36" sqref="E36"/>
      <pageMargins left="0.7" right="0.7" top="0.75" bottom="0.75" header="0.3" footer="0.3"/>
      <autoFilter ref="B1:I1"/>
    </customSheetView>
    <customSheetView guid="{5D121940-0CE8-4A0E-A493-67FAAA6E0FF8}" showGridLines="0" showAutoFilter="1" hiddenRows="1" hiddenColumns="1" topLeftCell="B2">
      <pane xSplit="3" ySplit="7" topLeftCell="I9" activePane="bottomRight" state="frozen"/>
      <selection pane="bottomRight" activeCell="L2" sqref="L1:L65536"/>
      <pageMargins left="0.7" right="0.7" top="0.75" bottom="0.75" header="0.3" footer="0.3"/>
      <autoFilter ref="B1:I1"/>
    </customSheetView>
    <customSheetView guid="{47AEACC4-6EA5-412C-AF39-A6C5357B313A}" showGridLines="0" showAutoFilter="1" hiddenRows="1" hiddenColumns="1">
      <pane xSplit="3" ySplit="7" topLeftCell="E8" activePane="bottomRight" state="frozen"/>
      <selection pane="bottomRight" activeCell="C7" sqref="C7:J7"/>
      <pageMargins left="0.7" right="0.7" top="0.75" bottom="0.75" header="0.3" footer="0.3"/>
      <autoFilter ref="B1:I1"/>
    </customSheetView>
    <customSheetView guid="{4D957B38-5430-481E-B791-E0A66F913B50}" scale="70">
      <selection activeCell="A14" sqref="A14:IV14"/>
      <pageMargins left="0.7" right="0.7" top="0.75" bottom="0.75" header="0.3" footer="0.3"/>
    </customSheetView>
    <customSheetView guid="{C913A9E8-661B-40A4-A3C9-1BC5F2B2E9F0}" showGridLines="0" showAutoFilter="1" hiddenRows="1" hiddenColumns="1">
      <pane xSplit="3" ySplit="7" topLeftCell="E8" activePane="bottomRight" state="frozen"/>
      <selection pane="bottomRight" activeCell="C7" sqref="C7:J7"/>
      <pageMargins left="0.7" right="0.7" top="0.75" bottom="0.75" header="0.3" footer="0.3"/>
      <autoFilter ref="B1:I1"/>
    </customSheetView>
  </customSheetViews>
  <phoneticPr fontId="0" type="noConversion"/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71" orientation="landscape" horizontalDpi="4294967294" verticalDpi="4294967294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Q26"/>
  <sheetViews>
    <sheetView topLeftCell="B2" zoomScale="72" zoomScaleNormal="72" workbookViewId="0">
      <selection activeCell="F17" sqref="F17"/>
    </sheetView>
  </sheetViews>
  <sheetFormatPr defaultColWidth="9.453125" defaultRowHeight="12.5"/>
  <cols>
    <col min="1" max="1" width="20.54296875" style="1737" hidden="1" customWidth="1"/>
    <col min="2" max="2" width="1.54296875" style="1737" customWidth="1"/>
    <col min="3" max="3" width="63.54296875" style="1737" customWidth="1"/>
    <col min="4" max="5" width="16" style="1737" customWidth="1"/>
    <col min="6" max="6" width="38.453125" style="1737" customWidth="1"/>
    <col min="7" max="7" width="12.453125" style="1737" customWidth="1"/>
    <col min="8" max="8" width="11" style="1737" customWidth="1"/>
    <col min="9" max="9" width="10.453125" style="1737" customWidth="1"/>
    <col min="10" max="10" width="12.453125" style="1737" customWidth="1"/>
    <col min="11" max="11" width="11.54296875" style="1737" customWidth="1"/>
    <col min="12" max="12" width="19.453125" style="1737" customWidth="1"/>
    <col min="13" max="16" width="16" style="1737" customWidth="1"/>
    <col min="17" max="17" width="12.54296875" style="1737" customWidth="1"/>
    <col min="18" max="16384" width="9.453125" style="1737"/>
  </cols>
  <sheetData>
    <row r="1" spans="1:17" ht="15.75" hidden="1" customHeight="1">
      <c r="A1" s="167" t="s">
        <v>4565</v>
      </c>
      <c r="B1" s="6"/>
      <c r="C1" s="6"/>
      <c r="D1" s="6" t="s">
        <v>670</v>
      </c>
      <c r="E1" s="6" t="s">
        <v>482</v>
      </c>
      <c r="F1" s="6" t="s">
        <v>1123</v>
      </c>
      <c r="G1" s="2438" t="s">
        <v>315</v>
      </c>
      <c r="H1" s="6" t="s">
        <v>318</v>
      </c>
      <c r="I1" s="6" t="s">
        <v>1126</v>
      </c>
      <c r="J1" s="6" t="s">
        <v>514</v>
      </c>
      <c r="K1" s="6" t="s">
        <v>316</v>
      </c>
      <c r="L1" s="6" t="s">
        <v>7095</v>
      </c>
      <c r="M1" s="6"/>
      <c r="N1" s="6" t="s">
        <v>1010</v>
      </c>
      <c r="O1" s="6" t="s">
        <v>489</v>
      </c>
      <c r="P1" s="6"/>
    </row>
    <row r="2" spans="1:17" s="767" customFormat="1">
      <c r="A2" s="7"/>
      <c r="D2" s="767" t="s">
        <v>1648</v>
      </c>
      <c r="E2" s="767" t="s">
        <v>1648</v>
      </c>
      <c r="F2" s="767" t="s">
        <v>1648</v>
      </c>
      <c r="H2" s="767" t="s">
        <v>1648</v>
      </c>
      <c r="I2" s="767" t="s">
        <v>1648</v>
      </c>
      <c r="J2" s="767" t="s">
        <v>1648</v>
      </c>
      <c r="K2" s="767" t="s">
        <v>1648</v>
      </c>
      <c r="L2" s="767" t="s">
        <v>1648</v>
      </c>
      <c r="M2" s="767" t="s">
        <v>1648</v>
      </c>
    </row>
    <row r="3" spans="1:17" ht="14.5">
      <c r="A3" s="9"/>
      <c r="D3"/>
    </row>
    <row r="4" spans="1:17" ht="26">
      <c r="A4" s="9"/>
      <c r="C4" s="11" t="s">
        <v>3679</v>
      </c>
      <c r="D4" s="10"/>
      <c r="E4" s="1897" t="s">
        <v>2067</v>
      </c>
      <c r="F4" s="1244">
        <f>Содержание!$D$2</f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7" ht="26.5" thickBot="1">
      <c r="A5" s="9"/>
      <c r="C5"/>
      <c r="D5" s="3044" t="s">
        <v>1436</v>
      </c>
      <c r="E5" s="1897" t="s">
        <v>2075</v>
      </c>
      <c r="F5" s="1244" t="str">
        <f>Содержание!$D$15</f>
        <v>2022 год</v>
      </c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7" ht="50.25" customHeight="1">
      <c r="A6" s="9"/>
      <c r="C6" s="111" t="s">
        <v>1831</v>
      </c>
      <c r="D6" s="14" t="s">
        <v>3962</v>
      </c>
      <c r="E6" s="14" t="s">
        <v>3963</v>
      </c>
      <c r="F6" s="14">
        <v>51</v>
      </c>
      <c r="G6" s="2542" t="s">
        <v>2231</v>
      </c>
      <c r="H6" s="14" t="s">
        <v>2232</v>
      </c>
      <c r="I6" s="355" t="s">
        <v>3432</v>
      </c>
      <c r="J6" s="14">
        <v>77</v>
      </c>
      <c r="K6" s="14">
        <v>68</v>
      </c>
      <c r="L6" s="28" t="s">
        <v>5524</v>
      </c>
      <c r="M6" s="216" t="s">
        <v>5233</v>
      </c>
      <c r="N6" s="14" t="s">
        <v>3964</v>
      </c>
      <c r="O6" s="14" t="s">
        <v>3965</v>
      </c>
      <c r="P6" s="67" t="s">
        <v>4183</v>
      </c>
    </row>
    <row r="7" spans="1:17" ht="13">
      <c r="A7" s="9"/>
      <c r="C7" s="99" t="s">
        <v>1830</v>
      </c>
      <c r="D7" s="15" t="s">
        <v>672</v>
      </c>
      <c r="E7" s="15" t="s">
        <v>674</v>
      </c>
      <c r="F7" s="15" t="s">
        <v>4921</v>
      </c>
      <c r="G7" s="2543" t="s">
        <v>4880</v>
      </c>
      <c r="H7" s="15" t="s">
        <v>2228</v>
      </c>
      <c r="I7" s="15" t="s">
        <v>1682</v>
      </c>
      <c r="J7" s="15" t="s">
        <v>866</v>
      </c>
      <c r="K7" s="15" t="s">
        <v>4881</v>
      </c>
      <c r="L7" s="984" t="s">
        <v>4088</v>
      </c>
      <c r="M7" s="15" t="s">
        <v>4163</v>
      </c>
      <c r="N7" s="736" t="s">
        <v>673</v>
      </c>
      <c r="O7" s="736" t="s">
        <v>694</v>
      </c>
      <c r="P7" s="25" t="s">
        <v>865</v>
      </c>
    </row>
    <row r="8" spans="1:17" s="712" customFormat="1" ht="10">
      <c r="A8" s="668"/>
      <c r="C8" s="721" t="s">
        <v>4164</v>
      </c>
      <c r="D8" s="1373" t="s">
        <v>4165</v>
      </c>
      <c r="E8" s="721" t="s">
        <v>4166</v>
      </c>
      <c r="F8" s="1373" t="s">
        <v>5500</v>
      </c>
      <c r="G8" s="721" t="s">
        <v>4169</v>
      </c>
      <c r="H8" s="721" t="s">
        <v>4169</v>
      </c>
      <c r="I8" s="1373" t="s">
        <v>4168</v>
      </c>
      <c r="J8" s="721" t="s">
        <v>4178</v>
      </c>
      <c r="K8" s="1373" t="s">
        <v>4179</v>
      </c>
      <c r="L8" s="721" t="s">
        <v>4167</v>
      </c>
      <c r="M8" s="1373" t="s">
        <v>5501</v>
      </c>
      <c r="N8" s="721" t="s">
        <v>4701</v>
      </c>
      <c r="O8" s="1373" t="s">
        <v>4702</v>
      </c>
      <c r="P8" s="721" t="s">
        <v>4703</v>
      </c>
    </row>
    <row r="9" spans="1:17" ht="13">
      <c r="A9" s="9"/>
      <c r="C9" s="317" t="s">
        <v>3678</v>
      </c>
      <c r="D9" s="212">
        <f>SUM(D11,D15,D19,D23,D10)</f>
        <v>0</v>
      </c>
      <c r="E9" s="212">
        <f>SUM(E11,E15,E19,E23,E10)</f>
        <v>0</v>
      </c>
      <c r="F9" s="212">
        <f t="shared" ref="F9:L9" si="0">SUM(F11,F15,F19,F23,F10)</f>
        <v>0</v>
      </c>
      <c r="G9" s="212">
        <f t="shared" ref="G9" si="1">SUM(G11,G15,G19,G23,G10)</f>
        <v>0</v>
      </c>
      <c r="H9" s="212">
        <f t="shared" si="0"/>
        <v>0</v>
      </c>
      <c r="I9" s="212">
        <f t="shared" si="0"/>
        <v>0</v>
      </c>
      <c r="J9" s="212">
        <f t="shared" si="0"/>
        <v>0</v>
      </c>
      <c r="K9" s="212">
        <f t="shared" si="0"/>
        <v>0</v>
      </c>
      <c r="L9" s="212">
        <f t="shared" si="0"/>
        <v>0</v>
      </c>
      <c r="M9" s="212">
        <f>SUM(D9:L9)</f>
        <v>0</v>
      </c>
      <c r="N9" s="212">
        <f>SUM(N11,N15,N19,N23,N10)</f>
        <v>0</v>
      </c>
      <c r="O9" s="212">
        <f>SUM(O11,O15,O19,O23,O10)</f>
        <v>0</v>
      </c>
      <c r="P9" s="1738"/>
      <c r="Q9" s="2232"/>
    </row>
    <row r="10" spans="1:17">
      <c r="A10" s="9" t="str">
        <f>"R8=00"&amp;";"&amp;"R9=00"&amp;";"&amp;"COM="&amp;P10</f>
        <v>R8=00;R9=00;COM=</v>
      </c>
      <c r="C10" s="373" t="s">
        <v>5507</v>
      </c>
      <c r="D10" s="178"/>
      <c r="E10" s="178"/>
      <c r="F10" s="1434"/>
      <c r="G10" s="1434"/>
      <c r="H10" s="1434"/>
      <c r="I10" s="178"/>
      <c r="J10" s="178"/>
      <c r="K10" s="178"/>
      <c r="L10" s="178"/>
      <c r="M10" s="212">
        <f>SUM(D10:L10)</f>
        <v>0</v>
      </c>
      <c r="N10" s="178"/>
      <c r="O10" s="212">
        <f>M10-N10</f>
        <v>0</v>
      </c>
      <c r="P10" s="364"/>
      <c r="Q10" s="2232" t="b">
        <f>AND($G10&lt;=0,$H10&gt;=0)</f>
        <v>1</v>
      </c>
    </row>
    <row r="11" spans="1:17" ht="13">
      <c r="A11" s="9"/>
      <c r="C11" s="317" t="s">
        <v>3677</v>
      </c>
      <c r="D11" s="212">
        <f t="shared" ref="D11:K11" si="2">SUM(D12:D14)</f>
        <v>0</v>
      </c>
      <c r="E11" s="212">
        <f>SUM(E12:E14)</f>
        <v>0</v>
      </c>
      <c r="F11" s="212">
        <f t="shared" si="2"/>
        <v>0</v>
      </c>
      <c r="G11" s="212">
        <f t="shared" ref="G11" si="3">SUM(G12:G14)</f>
        <v>0</v>
      </c>
      <c r="H11" s="212">
        <f t="shared" si="2"/>
        <v>0</v>
      </c>
      <c r="I11" s="212">
        <f t="shared" si="2"/>
        <v>0</v>
      </c>
      <c r="J11" s="212">
        <f t="shared" si="2"/>
        <v>0</v>
      </c>
      <c r="K11" s="212">
        <f t="shared" si="2"/>
        <v>0</v>
      </c>
      <c r="L11" s="212">
        <f>SUM(L12:L14)</f>
        <v>0</v>
      </c>
      <c r="M11" s="212">
        <f t="shared" ref="M11:M26" si="4">SUM(D11:L11)</f>
        <v>0</v>
      </c>
      <c r="N11" s="212">
        <f>SUM(N12:N14)</f>
        <v>0</v>
      </c>
      <c r="O11" s="212">
        <f>SUM(O12:O14)</f>
        <v>0</v>
      </c>
      <c r="P11" s="364"/>
      <c r="Q11" s="2232" t="b">
        <f t="shared" ref="Q11:Q26" si="5">AND($G11&lt;=0,$H11&gt;=0)</f>
        <v>1</v>
      </c>
    </row>
    <row r="12" spans="1:17">
      <c r="A12" s="9" t="str">
        <f>"R8="&amp;IFERROR(MID(C11,FIND("{",C11)+1,FIND("}",C11)-FIND("{",C11)-1),"")&amp;";"&amp;"R9="&amp;IFERROR(MID(C12,FIND("{",C12)+1,FIND("}",C12)-FIND("{",C12)-1),"")&amp;";"&amp;"COM="&amp;P12</f>
        <v>R8=1;R9=1;COM=</v>
      </c>
      <c r="C12" s="373" t="s">
        <v>3673</v>
      </c>
      <c r="D12" s="178"/>
      <c r="E12" s="178"/>
      <c r="F12" s="178"/>
      <c r="G12" s="1434"/>
      <c r="H12" s="1434"/>
      <c r="I12" s="1434"/>
      <c r="J12" s="1434"/>
      <c r="K12" s="178"/>
      <c r="L12" s="178"/>
      <c r="M12" s="212">
        <f>SUM(D12:L12)</f>
        <v>0</v>
      </c>
      <c r="N12" s="178"/>
      <c r="O12" s="212">
        <f>M12-N12</f>
        <v>0</v>
      </c>
      <c r="P12" s="364"/>
      <c r="Q12" s="2232" t="b">
        <f t="shared" si="5"/>
        <v>1</v>
      </c>
    </row>
    <row r="13" spans="1:17">
      <c r="A13" s="2427" t="str">
        <f>"R8="&amp;IFERROR(MID(C11,FIND("{",C11)+1,FIND("}",C11)-FIND("{",C11)-1),"")&amp;";"&amp;"R9="&amp;IFERROR(MID(C13,FIND("{",C13)+1,FIND("}",C13)-FIND("{",C13)-1),"")&amp;";"&amp;"COM="&amp;P13</f>
        <v>R8=1;R9=2;COM=</v>
      </c>
      <c r="C13" s="373" t="s">
        <v>3672</v>
      </c>
      <c r="D13" s="178"/>
      <c r="E13" s="178"/>
      <c r="F13" s="178"/>
      <c r="G13" s="178"/>
      <c r="H13" s="178"/>
      <c r="I13" s="178"/>
      <c r="J13" s="178"/>
      <c r="K13" s="178"/>
      <c r="L13" s="178"/>
      <c r="M13" s="212">
        <f t="shared" si="4"/>
        <v>0</v>
      </c>
      <c r="N13" s="178"/>
      <c r="O13" s="212">
        <f t="shared" ref="O13:O26" si="6">M13-N13</f>
        <v>0</v>
      </c>
      <c r="P13" s="364"/>
      <c r="Q13" s="2232" t="b">
        <f t="shared" si="5"/>
        <v>1</v>
      </c>
    </row>
    <row r="14" spans="1:17">
      <c r="A14" s="2427" t="str">
        <f>"R8="&amp;IFERROR(MID(C11,FIND("{",C11)+1,FIND("}",C11)-FIND("{",C11)-1),"")&amp;";"&amp;"R9="&amp;IFERROR(MID(C14,FIND("{",C14)+1,FIND("}",C14)-FIND("{",C14)-1),"")&amp;";"&amp;"COM="&amp;P14</f>
        <v>R8=1;R9=3;COM=</v>
      </c>
      <c r="C14" s="373" t="s">
        <v>3671</v>
      </c>
      <c r="D14" s="178"/>
      <c r="E14" s="178"/>
      <c r="F14" s="178"/>
      <c r="G14" s="178"/>
      <c r="H14" s="178"/>
      <c r="I14" s="178"/>
      <c r="J14" s="178"/>
      <c r="K14" s="178"/>
      <c r="L14" s="178"/>
      <c r="M14" s="212">
        <f t="shared" si="4"/>
        <v>0</v>
      </c>
      <c r="N14" s="178"/>
      <c r="O14" s="212">
        <f t="shared" si="6"/>
        <v>0</v>
      </c>
      <c r="P14" s="364"/>
      <c r="Q14" s="2232" t="b">
        <f t="shared" si="5"/>
        <v>1</v>
      </c>
    </row>
    <row r="15" spans="1:17" ht="13">
      <c r="A15" s="9"/>
      <c r="C15" s="317" t="s">
        <v>3676</v>
      </c>
      <c r="D15" s="212">
        <f t="shared" ref="D15:K15" si="7">SUM(D16:D18)</f>
        <v>0</v>
      </c>
      <c r="E15" s="212">
        <f>SUM(E16:E18)</f>
        <v>0</v>
      </c>
      <c r="F15" s="212">
        <f t="shared" si="7"/>
        <v>0</v>
      </c>
      <c r="G15" s="212">
        <f t="shared" ref="G15" si="8">SUM(G16:G18)</f>
        <v>0</v>
      </c>
      <c r="H15" s="212">
        <f t="shared" si="7"/>
        <v>0</v>
      </c>
      <c r="I15" s="212">
        <f t="shared" si="7"/>
        <v>0</v>
      </c>
      <c r="J15" s="212">
        <f t="shared" si="7"/>
        <v>0</v>
      </c>
      <c r="K15" s="212">
        <f t="shared" si="7"/>
        <v>0</v>
      </c>
      <c r="L15" s="212">
        <f>SUM(L16:L18)</f>
        <v>0</v>
      </c>
      <c r="M15" s="212">
        <f t="shared" si="4"/>
        <v>0</v>
      </c>
      <c r="N15" s="212">
        <f>SUM(N16:N18)</f>
        <v>0</v>
      </c>
      <c r="O15" s="212">
        <f>SUM(O16:O18)</f>
        <v>0</v>
      </c>
      <c r="P15" s="364"/>
      <c r="Q15" s="2232" t="b">
        <f t="shared" si="5"/>
        <v>1</v>
      </c>
    </row>
    <row r="16" spans="1:17">
      <c r="A16" s="2427" t="str">
        <f>"R8="&amp;IFERROR(MID(C15,FIND("{",C15)+1,FIND("}",C15)-FIND("{",C15)-1),"")&amp;";"&amp;"R9="&amp;IFERROR(MID(C16,FIND("{",C16)+1,FIND("}",C16)-FIND("{",C16)-1),"")&amp;";"&amp;"COM="&amp;P16</f>
        <v>R8=2;R9=1;COM=</v>
      </c>
      <c r="C16" s="373" t="s">
        <v>3673</v>
      </c>
      <c r="D16" s="178"/>
      <c r="E16" s="178"/>
      <c r="F16" s="178"/>
      <c r="G16" s="178"/>
      <c r="H16" s="178"/>
      <c r="I16" s="178"/>
      <c r="J16" s="178"/>
      <c r="K16" s="178"/>
      <c r="L16" s="178"/>
      <c r="M16" s="212">
        <f t="shared" si="4"/>
        <v>0</v>
      </c>
      <c r="N16" s="178"/>
      <c r="O16" s="212">
        <f t="shared" si="6"/>
        <v>0</v>
      </c>
      <c r="P16" s="364"/>
      <c r="Q16" s="2232" t="b">
        <f t="shared" si="5"/>
        <v>1</v>
      </c>
    </row>
    <row r="17" spans="1:17">
      <c r="A17" s="2427" t="str">
        <f>"R8="&amp;IFERROR(MID(C15,FIND("{",C15)+1,FIND("}",C15)-FIND("{",C15)-1),"")&amp;";"&amp;"R9="&amp;IFERROR(MID(C17,FIND("{",C17)+1,FIND("}",C17)-FIND("{",C17)-1),"")&amp;";"&amp;"COM="&amp;P17</f>
        <v>R8=2;R9=2;COM=</v>
      </c>
      <c r="C17" s="373" t="s">
        <v>3672</v>
      </c>
      <c r="D17" s="178"/>
      <c r="E17" s="178"/>
      <c r="F17" s="178"/>
      <c r="G17" s="178"/>
      <c r="H17" s="178"/>
      <c r="I17" s="178"/>
      <c r="J17" s="178"/>
      <c r="K17" s="178"/>
      <c r="L17" s="178"/>
      <c r="M17" s="212">
        <f t="shared" si="4"/>
        <v>0</v>
      </c>
      <c r="N17" s="178"/>
      <c r="O17" s="212">
        <f t="shared" si="6"/>
        <v>0</v>
      </c>
      <c r="P17" s="364"/>
      <c r="Q17" s="2232" t="b">
        <f t="shared" si="5"/>
        <v>1</v>
      </c>
    </row>
    <row r="18" spans="1:17">
      <c r="A18" s="2427" t="str">
        <f>"R8="&amp;IFERROR(MID(C15,FIND("{",C15)+1,FIND("}",C15)-FIND("{",C15)-1),"")&amp;";"&amp;"R9="&amp;IFERROR(MID(C18,FIND("{",C18)+1,FIND("}",C18)-FIND("{",C18)-1),"")&amp;";"&amp;"COM="&amp;P18</f>
        <v>R8=2;R9=3;COM=</v>
      </c>
      <c r="C18" s="373" t="s">
        <v>3671</v>
      </c>
      <c r="D18" s="178"/>
      <c r="E18" s="178"/>
      <c r="F18" s="178"/>
      <c r="G18" s="178"/>
      <c r="H18" s="178"/>
      <c r="I18" s="178"/>
      <c r="J18" s="178"/>
      <c r="K18" s="178"/>
      <c r="L18" s="178"/>
      <c r="M18" s="212">
        <f t="shared" si="4"/>
        <v>0</v>
      </c>
      <c r="N18" s="178"/>
      <c r="O18" s="212">
        <f t="shared" si="6"/>
        <v>0</v>
      </c>
      <c r="P18" s="364"/>
      <c r="Q18" s="2232" t="b">
        <f t="shared" si="5"/>
        <v>1</v>
      </c>
    </row>
    <row r="19" spans="1:17" ht="13">
      <c r="A19" s="9"/>
      <c r="C19" s="317" t="s">
        <v>3675</v>
      </c>
      <c r="D19" s="212">
        <f t="shared" ref="D19:K19" si="9">SUM(D20:D22)</f>
        <v>0</v>
      </c>
      <c r="E19" s="212">
        <f>SUM(E20:E22)</f>
        <v>0</v>
      </c>
      <c r="F19" s="212">
        <f t="shared" si="9"/>
        <v>0</v>
      </c>
      <c r="G19" s="212">
        <f t="shared" ref="G19" si="10">SUM(G20:G22)</f>
        <v>0</v>
      </c>
      <c r="H19" s="212">
        <f t="shared" si="9"/>
        <v>0</v>
      </c>
      <c r="I19" s="212">
        <f t="shared" si="9"/>
        <v>0</v>
      </c>
      <c r="J19" s="212">
        <f t="shared" si="9"/>
        <v>0</v>
      </c>
      <c r="K19" s="212">
        <f t="shared" si="9"/>
        <v>0</v>
      </c>
      <c r="L19" s="212">
        <f>SUM(L20:L22)</f>
        <v>0</v>
      </c>
      <c r="M19" s="212">
        <f t="shared" si="4"/>
        <v>0</v>
      </c>
      <c r="N19" s="212">
        <f>SUM(N20:N22)</f>
        <v>0</v>
      </c>
      <c r="O19" s="212">
        <f>SUM(O20:O22)</f>
        <v>0</v>
      </c>
      <c r="P19" s="364"/>
      <c r="Q19" s="2232" t="b">
        <f t="shared" si="5"/>
        <v>1</v>
      </c>
    </row>
    <row r="20" spans="1:17">
      <c r="A20" s="2427" t="str">
        <f>"R8="&amp;IFERROR(MID(C19,FIND("{",C19)+1,FIND("}",C19)-FIND("{",C19)-1),"")&amp;";"&amp;"R9="&amp;IFERROR(MID(C20,FIND("{",C20)+1,FIND("}",C20)-FIND("{",C20)-1),"")&amp;";"&amp;"COM="&amp;P20</f>
        <v>R8=3;R9=1;COM=</v>
      </c>
      <c r="C20" s="373" t="s">
        <v>3673</v>
      </c>
      <c r="D20" s="178"/>
      <c r="E20" s="178"/>
      <c r="F20" s="178"/>
      <c r="G20" s="178"/>
      <c r="H20" s="178"/>
      <c r="I20" s="178"/>
      <c r="J20" s="178"/>
      <c r="K20" s="178"/>
      <c r="L20" s="178"/>
      <c r="M20" s="212">
        <f t="shared" si="4"/>
        <v>0</v>
      </c>
      <c r="N20" s="178"/>
      <c r="O20" s="212">
        <f t="shared" si="6"/>
        <v>0</v>
      </c>
      <c r="P20" s="364"/>
      <c r="Q20" s="2232" t="b">
        <f t="shared" si="5"/>
        <v>1</v>
      </c>
    </row>
    <row r="21" spans="1:17">
      <c r="A21" s="2427" t="str">
        <f>"R8="&amp;IFERROR(MID(C19,FIND("{",C19)+1,FIND("}",C19)-FIND("{",C19)-1),"")&amp;";"&amp;"R9="&amp;IFERROR(MID(C21,FIND("{",C21)+1,FIND("}",C21)-FIND("{",C21)-1),"")&amp;";"&amp;"COM="&amp;P21</f>
        <v>R8=3;R9=2;COM=</v>
      </c>
      <c r="C21" s="373" t="s">
        <v>3672</v>
      </c>
      <c r="D21" s="178"/>
      <c r="E21" s="178"/>
      <c r="F21" s="178"/>
      <c r="G21" s="178"/>
      <c r="H21" s="178"/>
      <c r="I21" s="178"/>
      <c r="J21" s="178"/>
      <c r="K21" s="178"/>
      <c r="L21" s="178"/>
      <c r="M21" s="212">
        <f t="shared" si="4"/>
        <v>0</v>
      </c>
      <c r="N21" s="178"/>
      <c r="O21" s="212">
        <f t="shared" si="6"/>
        <v>0</v>
      </c>
      <c r="P21" s="364"/>
      <c r="Q21" s="2232" t="b">
        <f t="shared" si="5"/>
        <v>1</v>
      </c>
    </row>
    <row r="22" spans="1:17">
      <c r="A22" s="2427" t="str">
        <f>"R8="&amp;IFERROR(MID(C19,FIND("{",C19)+1,FIND("}",C19)-FIND("{",C19)-1),"")&amp;";"&amp;"R9="&amp;IFERROR(MID(C22,FIND("{",C22)+1,FIND("}",C22)-FIND("{",C22)-1),"")&amp;";"&amp;"COM="&amp;P22</f>
        <v>R8=3;R9=3;COM=</v>
      </c>
      <c r="C22" s="373" t="s">
        <v>3671</v>
      </c>
      <c r="D22" s="178"/>
      <c r="E22" s="178"/>
      <c r="F22" s="178"/>
      <c r="G22" s="178"/>
      <c r="H22" s="178"/>
      <c r="I22" s="178"/>
      <c r="J22" s="178"/>
      <c r="K22" s="178"/>
      <c r="L22" s="178"/>
      <c r="M22" s="212">
        <f t="shared" si="4"/>
        <v>0</v>
      </c>
      <c r="N22" s="178"/>
      <c r="O22" s="212">
        <f t="shared" si="6"/>
        <v>0</v>
      </c>
      <c r="P22" s="364"/>
      <c r="Q22" s="2232" t="b">
        <f t="shared" si="5"/>
        <v>1</v>
      </c>
    </row>
    <row r="23" spans="1:17" ht="13">
      <c r="A23" s="9"/>
      <c r="C23" s="317" t="s">
        <v>3674</v>
      </c>
      <c r="D23" s="212">
        <f t="shared" ref="D23:K23" si="11">SUM(D24:D26)</f>
        <v>0</v>
      </c>
      <c r="E23" s="212">
        <f>SUM(E24:E26)</f>
        <v>0</v>
      </c>
      <c r="F23" s="212">
        <f t="shared" si="11"/>
        <v>0</v>
      </c>
      <c r="G23" s="212">
        <f t="shared" ref="G23" si="12">SUM(G24:G26)</f>
        <v>0</v>
      </c>
      <c r="H23" s="212">
        <f t="shared" si="11"/>
        <v>0</v>
      </c>
      <c r="I23" s="212">
        <f t="shared" si="11"/>
        <v>0</v>
      </c>
      <c r="J23" s="212">
        <f t="shared" si="11"/>
        <v>0</v>
      </c>
      <c r="K23" s="212">
        <f t="shared" si="11"/>
        <v>0</v>
      </c>
      <c r="L23" s="212">
        <f>SUM(L24:L26)</f>
        <v>0</v>
      </c>
      <c r="M23" s="212">
        <f t="shared" si="4"/>
        <v>0</v>
      </c>
      <c r="N23" s="212">
        <f>SUM(N24:N26)</f>
        <v>0</v>
      </c>
      <c r="O23" s="212">
        <f>SUM(O24:O26)</f>
        <v>0</v>
      </c>
      <c r="P23" s="364"/>
      <c r="Q23" s="2232" t="b">
        <f t="shared" si="5"/>
        <v>1</v>
      </c>
    </row>
    <row r="24" spans="1:17">
      <c r="A24" s="2427" t="str">
        <f>"R8="&amp;IFERROR(MID(C23,FIND("{",C23)+1,FIND("}",C23)-FIND("{",C23)-1),"")&amp;";"&amp;"R9="&amp;IFERROR(MID(C24,FIND("{",C24)+1,FIND("}",C24)-FIND("{",C24)-1),"")&amp;";"&amp;"COM="&amp;P24</f>
        <v>R8=4;R9=1;COM=</v>
      </c>
      <c r="C24" s="373" t="s">
        <v>3673</v>
      </c>
      <c r="D24" s="178"/>
      <c r="E24" s="178"/>
      <c r="F24" s="178"/>
      <c r="G24" s="178"/>
      <c r="H24" s="178"/>
      <c r="I24" s="178"/>
      <c r="J24" s="178"/>
      <c r="K24" s="178"/>
      <c r="L24" s="178"/>
      <c r="M24" s="212">
        <f t="shared" si="4"/>
        <v>0</v>
      </c>
      <c r="N24" s="178"/>
      <c r="O24" s="212">
        <f t="shared" si="6"/>
        <v>0</v>
      </c>
      <c r="P24" s="364"/>
      <c r="Q24" s="2232" t="b">
        <f t="shared" si="5"/>
        <v>1</v>
      </c>
    </row>
    <row r="25" spans="1:17">
      <c r="A25" s="2427" t="str">
        <f>"R8="&amp;IFERROR(MID(C23,FIND("{",C23)+1,FIND("}",C23)-FIND("{",C23)-1),"")&amp;";"&amp;"R9="&amp;IFERROR(MID(C25,FIND("{",C25)+1,FIND("}",C25)-FIND("{",C25)-1),"")&amp;";"&amp;"COM="&amp;P25</f>
        <v>R8=4;R9=2;COM=</v>
      </c>
      <c r="C25" s="373" t="s">
        <v>3672</v>
      </c>
      <c r="D25" s="178"/>
      <c r="E25" s="178"/>
      <c r="F25" s="178"/>
      <c r="G25" s="178"/>
      <c r="H25" s="178"/>
      <c r="I25" s="178"/>
      <c r="J25" s="178"/>
      <c r="K25" s="178"/>
      <c r="L25" s="178"/>
      <c r="M25" s="212">
        <f t="shared" si="4"/>
        <v>0</v>
      </c>
      <c r="N25" s="178"/>
      <c r="O25" s="212">
        <f t="shared" si="6"/>
        <v>0</v>
      </c>
      <c r="P25" s="364"/>
      <c r="Q25" s="2232" t="b">
        <f t="shared" si="5"/>
        <v>1</v>
      </c>
    </row>
    <row r="26" spans="1:17" ht="13" thickBot="1">
      <c r="A26" s="2427" t="str">
        <f>"R8="&amp;IFERROR(MID(C23,FIND("{",C23)+1,FIND("}",C23)-FIND("{",C23)-1),"")&amp;";"&amp;"R9="&amp;IFERROR(MID(C26,FIND("{",C26)+1,FIND("}",C26)-FIND("{",C26)-1),"")&amp;";"&amp;"COM="&amp;P26</f>
        <v>R8=4;R9=3;COM=</v>
      </c>
      <c r="C26" s="372" t="s">
        <v>3671</v>
      </c>
      <c r="D26" s="266"/>
      <c r="E26" s="266"/>
      <c r="F26" s="266"/>
      <c r="G26" s="266"/>
      <c r="H26" s="266"/>
      <c r="I26" s="266"/>
      <c r="J26" s="266"/>
      <c r="K26" s="266"/>
      <c r="L26" s="266"/>
      <c r="M26" s="371">
        <f t="shared" si="4"/>
        <v>0</v>
      </c>
      <c r="N26" s="266"/>
      <c r="O26" s="1916">
        <f t="shared" si="6"/>
        <v>0</v>
      </c>
      <c r="P26" s="363"/>
      <c r="Q26" s="2232" t="b">
        <f t="shared" si="5"/>
        <v>1</v>
      </c>
    </row>
  </sheetData>
  <sheetProtection algorithmName="SHA-512" hashValue="LLH23CChZdGstnNv/bGGl/0uwaywTdqfW3wKLd0zCtUkQ0FgXz5aIruh771S5phPwwrH4ptQ73bQ7aEy9ghKJg==" saltValue="zh71q/5dQ8dXL4EcxhZPuw==" spinCount="100000" sheet="1" objects="1" scenarios="1" formatColumns="0" formatRows="0" autoFilter="0"/>
  <autoFilter ref="C8:P8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autoFilter ref="B1:N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autoFilter ref="B1:N1"/>
    </customSheetView>
    <customSheetView guid="{5D121940-0CE8-4A0E-A493-67FAAA6E0FF8}" showGridLines="0" showAutoFilter="1" hiddenRows="1" hiddenColumns="1" topLeftCell="G2">
      <selection activeCell="C8" sqref="C8:O8"/>
      <pageMargins left="0.7" right="0.7" top="0.75" bottom="0.75" header="0.3" footer="0.3"/>
      <autoFilter ref="B1:N1"/>
    </customSheetView>
    <customSheetView guid="{47AEACC4-6EA5-412C-AF39-A6C5357B313A}" showGridLines="0" showAutoFilter="1" hiddenRows="1" hiddenColumns="1" topLeftCell="D4">
      <selection activeCell="C8" sqref="C8:O8"/>
      <pageMargins left="0.7" right="0.7" top="0.75" bottom="0.75" header="0.3" footer="0.3"/>
      <autoFilter ref="B1:N1"/>
    </customSheetView>
    <customSheetView guid="{4D957B38-5430-481E-B791-E0A66F913B50}" scale="70">
      <selection activeCell="D30" sqref="D30"/>
      <pageMargins left="0.7" right="0.7" top="0.75" bottom="0.75" header="0.3" footer="0.3"/>
    </customSheetView>
    <customSheetView guid="{C913A9E8-661B-40A4-A3C9-1BC5F2B2E9F0}" showGridLines="0" showAutoFilter="1" hiddenRows="1" hiddenColumns="1" topLeftCell="D4">
      <selection activeCell="C8" sqref="C8:O8"/>
      <pageMargins left="0.7" right="0.7" top="0.75" bottom="0.75" header="0.3" footer="0.3"/>
      <autoFilter ref="B1:N1"/>
    </customSheetView>
  </customSheetViews>
  <phoneticPr fontId="0" type="noConversion"/>
  <hyperlinks>
    <hyperlink ref="D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4" orientation="landscape" horizontalDpi="4294967294" verticalDpi="4294967294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4">
    <pageSetUpPr fitToPage="1"/>
  </sheetPr>
  <dimension ref="A1:AC16"/>
  <sheetViews>
    <sheetView topLeftCell="B2" zoomScale="70" zoomScaleNormal="70" workbookViewId="0">
      <selection activeCell="F17" sqref="F17"/>
    </sheetView>
  </sheetViews>
  <sheetFormatPr defaultColWidth="10.453125" defaultRowHeight="14.5"/>
  <cols>
    <col min="1" max="1" width="9.1796875" style="32" hidden="1" customWidth="1"/>
    <col min="2" max="2" width="1.54296875" style="32" customWidth="1"/>
    <col min="3" max="3" width="41" style="32" customWidth="1"/>
    <col min="4" max="5" width="11.453125" style="32" customWidth="1"/>
    <col min="6" max="6" width="9.54296875" style="32" customWidth="1"/>
    <col min="7" max="7" width="16.54296875" style="32" customWidth="1"/>
    <col min="8" max="8" width="16.453125" style="32" customWidth="1"/>
    <col min="9" max="9" width="23.453125" style="32" customWidth="1"/>
    <col min="10" max="11" width="9.54296875" style="32" customWidth="1"/>
    <col min="12" max="13" width="12.54296875" style="32" customWidth="1"/>
    <col min="14" max="25" width="9.54296875" style="32" customWidth="1"/>
    <col min="26" max="26" width="10.54296875" style="32" customWidth="1"/>
    <col min="27" max="27" width="11" style="32" customWidth="1"/>
    <col min="28" max="28" width="42.54296875" style="32" customWidth="1"/>
    <col min="29" max="29" width="29.54296875" style="32" customWidth="1"/>
    <col min="30" max="250" width="9.453125" style="32" customWidth="1"/>
    <col min="251" max="251" width="5.54296875" style="32" customWidth="1"/>
    <col min="252" max="252" width="28" style="32" customWidth="1"/>
    <col min="253" max="16384" width="10.453125" style="32"/>
  </cols>
  <sheetData>
    <row r="1" spans="1:29" s="10" customFormat="1" ht="23.25" hidden="1" customHeight="1">
      <c r="A1" s="275" t="s">
        <v>515</v>
      </c>
      <c r="B1" s="22"/>
      <c r="C1" s="22"/>
      <c r="D1" s="237" t="s">
        <v>482</v>
      </c>
      <c r="E1" s="237" t="s">
        <v>516</v>
      </c>
      <c r="F1" s="237" t="s">
        <v>517</v>
      </c>
      <c r="G1" s="237" t="s">
        <v>518</v>
      </c>
      <c r="H1" s="237" t="s">
        <v>519</v>
      </c>
      <c r="I1" s="237" t="s">
        <v>520</v>
      </c>
      <c r="J1" s="237" t="s">
        <v>521</v>
      </c>
      <c r="K1" s="237" t="s">
        <v>522</v>
      </c>
      <c r="L1" s="237" t="s">
        <v>523</v>
      </c>
      <c r="M1" s="237" t="s">
        <v>524</v>
      </c>
      <c r="N1" s="237" t="s">
        <v>525</v>
      </c>
      <c r="O1" s="237" t="s">
        <v>526</v>
      </c>
      <c r="P1" s="237" t="s">
        <v>527</v>
      </c>
      <c r="Q1" s="237" t="s">
        <v>528</v>
      </c>
      <c r="R1" s="237" t="s">
        <v>529</v>
      </c>
      <c r="S1" s="237" t="s">
        <v>530</v>
      </c>
      <c r="T1" s="237" t="s">
        <v>531</v>
      </c>
      <c r="U1" s="237" t="s">
        <v>532</v>
      </c>
      <c r="V1" s="237" t="s">
        <v>533</v>
      </c>
      <c r="W1" s="237" t="s">
        <v>534</v>
      </c>
      <c r="X1" s="237" t="s">
        <v>535</v>
      </c>
      <c r="Y1" s="237" t="s">
        <v>536</v>
      </c>
      <c r="Z1" s="237" t="s">
        <v>489</v>
      </c>
      <c r="AA1" s="237" t="s">
        <v>307</v>
      </c>
      <c r="AB1" s="237"/>
    </row>
    <row r="2" spans="1:29" s="749" customFormat="1" ht="12.5">
      <c r="A2" s="7"/>
      <c r="B2" s="1920"/>
      <c r="C2" s="1920"/>
      <c r="D2" s="749" t="s">
        <v>1648</v>
      </c>
      <c r="E2" s="749" t="s">
        <v>1648</v>
      </c>
      <c r="F2" s="749" t="s">
        <v>1648</v>
      </c>
      <c r="G2" s="749" t="s">
        <v>1648</v>
      </c>
      <c r="H2" s="749" t="s">
        <v>1648</v>
      </c>
      <c r="I2" s="749" t="s">
        <v>1648</v>
      </c>
      <c r="J2" s="749" t="s">
        <v>1648</v>
      </c>
      <c r="K2" s="749" t="s">
        <v>1648</v>
      </c>
      <c r="L2" s="749" t="s">
        <v>1648</v>
      </c>
      <c r="M2" s="749" t="s">
        <v>1648</v>
      </c>
      <c r="N2" s="749" t="s">
        <v>1648</v>
      </c>
      <c r="O2" s="749" t="s">
        <v>1648</v>
      </c>
      <c r="P2" s="749" t="s">
        <v>1648</v>
      </c>
      <c r="Q2" s="749" t="s">
        <v>1648</v>
      </c>
      <c r="R2" s="749" t="s">
        <v>1648</v>
      </c>
      <c r="S2" s="749" t="s">
        <v>1648</v>
      </c>
      <c r="T2" s="749" t="s">
        <v>1648</v>
      </c>
      <c r="U2" s="749" t="s">
        <v>1648</v>
      </c>
      <c r="V2" s="749" t="s">
        <v>1648</v>
      </c>
      <c r="W2" s="749" t="s">
        <v>1648</v>
      </c>
      <c r="X2" s="749" t="s">
        <v>1648</v>
      </c>
      <c r="Y2" s="749" t="s">
        <v>1648</v>
      </c>
      <c r="Z2" s="749" t="s">
        <v>1648</v>
      </c>
      <c r="AA2" s="749" t="s">
        <v>1648</v>
      </c>
    </row>
    <row r="3" spans="1:29" s="24" customFormat="1" ht="15" thickBot="1">
      <c r="A3" s="7"/>
      <c r="B3" s="23"/>
      <c r="D3"/>
    </row>
    <row r="4" spans="1:29" s="24" customFormat="1" ht="58.5" customHeight="1">
      <c r="A4" s="9"/>
      <c r="B4" s="113"/>
      <c r="C4" s="105" t="s">
        <v>3460</v>
      </c>
      <c r="D4"/>
      <c r="H4" s="1897" t="s">
        <v>2067</v>
      </c>
      <c r="I4" s="1244">
        <f>Содержание!$D$2</f>
        <v>0</v>
      </c>
      <c r="AC4" s="2788" t="s">
        <v>8587</v>
      </c>
    </row>
    <row r="5" spans="1:29" s="24" customFormat="1" ht="26.5" thickBot="1">
      <c r="A5" s="9"/>
      <c r="B5" s="113"/>
      <c r="G5" s="3044" t="s">
        <v>1436</v>
      </c>
      <c r="H5" s="1897" t="s">
        <v>2075</v>
      </c>
      <c r="I5" s="1244" t="str">
        <f>Содержание!$D$15</f>
        <v>2022 год</v>
      </c>
      <c r="AC5" s="2791" t="b">
        <f>AND(AC12:AC14)</f>
        <v>1</v>
      </c>
    </row>
    <row r="6" spans="1:29" s="24" customFormat="1" ht="30" customHeight="1">
      <c r="A6" s="9"/>
      <c r="B6" s="113"/>
      <c r="C6" s="3732" t="s">
        <v>5172</v>
      </c>
      <c r="D6" s="3713" t="s">
        <v>5225</v>
      </c>
      <c r="E6" s="3713"/>
      <c r="F6" s="3713" t="s">
        <v>3461</v>
      </c>
      <c r="G6" s="3713"/>
      <c r="H6" s="3713" t="s">
        <v>3462</v>
      </c>
      <c r="I6" s="3713"/>
      <c r="J6" s="3713" t="s">
        <v>5393</v>
      </c>
      <c r="K6" s="3713"/>
      <c r="L6" s="3713" t="s">
        <v>2962</v>
      </c>
      <c r="M6" s="3713"/>
      <c r="N6" s="3713" t="s">
        <v>3463</v>
      </c>
      <c r="O6" s="3713"/>
      <c r="P6" s="3713"/>
      <c r="Q6" s="3713"/>
      <c r="R6" s="3677" t="s">
        <v>3969</v>
      </c>
      <c r="S6" s="3677"/>
      <c r="T6" s="3677"/>
      <c r="U6" s="3677"/>
      <c r="V6" s="3713" t="s">
        <v>3464</v>
      </c>
      <c r="W6" s="3713"/>
      <c r="X6" s="3713" t="s">
        <v>5392</v>
      </c>
      <c r="Y6" s="3713"/>
      <c r="Z6" s="3713" t="s">
        <v>5233</v>
      </c>
      <c r="AA6" s="3713"/>
      <c r="AB6" s="3711" t="s">
        <v>4183</v>
      </c>
    </row>
    <row r="7" spans="1:29" s="24" customFormat="1" ht="24.75" customHeight="1">
      <c r="A7" s="9"/>
      <c r="B7" s="113"/>
      <c r="C7" s="3744"/>
      <c r="D7" s="3710"/>
      <c r="E7" s="3710"/>
      <c r="F7" s="3710"/>
      <c r="G7" s="3710"/>
      <c r="H7" s="3710"/>
      <c r="I7" s="3710"/>
      <c r="J7" s="3710"/>
      <c r="K7" s="3710"/>
      <c r="L7" s="3710"/>
      <c r="M7" s="3710"/>
      <c r="N7" s="3710" t="s">
        <v>3975</v>
      </c>
      <c r="O7" s="3710"/>
      <c r="P7" s="3710" t="s">
        <v>3465</v>
      </c>
      <c r="Q7" s="3710"/>
      <c r="R7" s="3710" t="s">
        <v>3975</v>
      </c>
      <c r="S7" s="3710"/>
      <c r="T7" s="3710" t="s">
        <v>3465</v>
      </c>
      <c r="U7" s="3710"/>
      <c r="V7" s="3710"/>
      <c r="W7" s="3710"/>
      <c r="X7" s="3710"/>
      <c r="Y7" s="3710"/>
      <c r="Z7" s="3710"/>
      <c r="AA7" s="3710"/>
      <c r="AB7" s="3712"/>
    </row>
    <row r="8" spans="1:29" s="24" customFormat="1" ht="42.75" customHeight="1">
      <c r="A8" s="9"/>
      <c r="B8" s="113"/>
      <c r="C8" s="3744"/>
      <c r="D8" s="16" t="s">
        <v>5243</v>
      </c>
      <c r="E8" s="16" t="s">
        <v>3466</v>
      </c>
      <c r="F8" s="16" t="s">
        <v>5243</v>
      </c>
      <c r="G8" s="16" t="s">
        <v>3466</v>
      </c>
      <c r="H8" s="16" t="s">
        <v>5243</v>
      </c>
      <c r="I8" s="16" t="s">
        <v>3466</v>
      </c>
      <c r="J8" s="16" t="s">
        <v>5243</v>
      </c>
      <c r="K8" s="16" t="s">
        <v>3466</v>
      </c>
      <c r="L8" s="16" t="s">
        <v>5243</v>
      </c>
      <c r="M8" s="16" t="s">
        <v>3466</v>
      </c>
      <c r="N8" s="16" t="s">
        <v>5243</v>
      </c>
      <c r="O8" s="16" t="s">
        <v>3466</v>
      </c>
      <c r="P8" s="16" t="s">
        <v>5243</v>
      </c>
      <c r="Q8" s="16" t="s">
        <v>3466</v>
      </c>
      <c r="R8" s="16" t="s">
        <v>5243</v>
      </c>
      <c r="S8" s="16" t="s">
        <v>3466</v>
      </c>
      <c r="T8" s="16" t="s">
        <v>5243</v>
      </c>
      <c r="U8" s="16" t="s">
        <v>3466</v>
      </c>
      <c r="V8" s="16" t="s">
        <v>5243</v>
      </c>
      <c r="W8" s="16" t="s">
        <v>3466</v>
      </c>
      <c r="X8" s="16" t="s">
        <v>5243</v>
      </c>
      <c r="Y8" s="16" t="s">
        <v>3466</v>
      </c>
      <c r="Z8" s="16" t="s">
        <v>5243</v>
      </c>
      <c r="AA8" s="16" t="s">
        <v>3466</v>
      </c>
      <c r="AB8" s="3712"/>
    </row>
    <row r="9" spans="1:29" s="24" customFormat="1" ht="13">
      <c r="A9" s="9"/>
      <c r="B9" s="113"/>
      <c r="C9" s="800">
        <v>2640</v>
      </c>
      <c r="D9" s="264" t="s">
        <v>674</v>
      </c>
      <c r="E9" s="264" t="s">
        <v>4184</v>
      </c>
      <c r="F9" s="264" t="s">
        <v>3467</v>
      </c>
      <c r="G9" s="264" t="s">
        <v>4184</v>
      </c>
      <c r="H9" s="264" t="s">
        <v>3468</v>
      </c>
      <c r="I9" s="264" t="s">
        <v>4184</v>
      </c>
      <c r="J9" s="264" t="s">
        <v>3469</v>
      </c>
      <c r="K9" s="264" t="s">
        <v>4184</v>
      </c>
      <c r="L9" s="264" t="s">
        <v>3470</v>
      </c>
      <c r="M9" s="264" t="s">
        <v>4184</v>
      </c>
      <c r="N9" s="264" t="s">
        <v>3471</v>
      </c>
      <c r="O9" s="264" t="s">
        <v>4184</v>
      </c>
      <c r="P9" s="264" t="s">
        <v>3471</v>
      </c>
      <c r="Q9" s="264" t="s">
        <v>4184</v>
      </c>
      <c r="R9" s="264" t="s">
        <v>3472</v>
      </c>
      <c r="S9" s="264" t="s">
        <v>4184</v>
      </c>
      <c r="T9" s="264" t="s">
        <v>3472</v>
      </c>
      <c r="U9" s="264" t="s">
        <v>4184</v>
      </c>
      <c r="V9" s="264" t="s">
        <v>3473</v>
      </c>
      <c r="W9" s="264" t="s">
        <v>4184</v>
      </c>
      <c r="X9" s="264" t="s">
        <v>3474</v>
      </c>
      <c r="Y9" s="264" t="s">
        <v>4184</v>
      </c>
      <c r="Z9" s="264" t="s">
        <v>4163</v>
      </c>
      <c r="AA9" s="264" t="s">
        <v>4184</v>
      </c>
      <c r="AB9" s="248"/>
    </row>
    <row r="10" spans="1:29" s="698" customFormat="1" ht="10">
      <c r="A10" s="668"/>
      <c r="B10" s="685"/>
      <c r="C10" s="722" t="s">
        <v>4164</v>
      </c>
      <c r="D10" s="1726" t="s">
        <v>4165</v>
      </c>
      <c r="E10" s="1726" t="s">
        <v>4166</v>
      </c>
      <c r="F10" s="1726" t="s">
        <v>5500</v>
      </c>
      <c r="G10" s="1726" t="s">
        <v>4169</v>
      </c>
      <c r="H10" s="1726" t="s">
        <v>4168</v>
      </c>
      <c r="I10" s="1726" t="s">
        <v>4178</v>
      </c>
      <c r="J10" s="1726" t="s">
        <v>4179</v>
      </c>
      <c r="K10" s="1726" t="s">
        <v>4167</v>
      </c>
      <c r="L10" s="1726" t="s">
        <v>5501</v>
      </c>
      <c r="M10" s="1726" t="s">
        <v>4701</v>
      </c>
      <c r="N10" s="1726" t="s">
        <v>4702</v>
      </c>
      <c r="O10" s="1726" t="s">
        <v>4703</v>
      </c>
      <c r="P10" s="1726" t="s">
        <v>5502</v>
      </c>
      <c r="Q10" s="1726" t="s">
        <v>5503</v>
      </c>
      <c r="R10" s="1726" t="s">
        <v>5504</v>
      </c>
      <c r="S10" s="1726" t="s">
        <v>4853</v>
      </c>
      <c r="T10" s="1726" t="s">
        <v>4852</v>
      </c>
      <c r="U10" s="1726" t="s">
        <v>5505</v>
      </c>
      <c r="V10" s="1726" t="s">
        <v>4851</v>
      </c>
      <c r="W10" s="1726" t="s">
        <v>5506</v>
      </c>
      <c r="X10" s="1726" t="s">
        <v>4850</v>
      </c>
      <c r="Y10" s="1726" t="s">
        <v>3303</v>
      </c>
      <c r="Z10" s="723" t="s">
        <v>3304</v>
      </c>
      <c r="AA10" s="723" t="s">
        <v>3305</v>
      </c>
      <c r="AB10" s="1727" t="s">
        <v>3306</v>
      </c>
    </row>
    <row r="11" spans="1:29" s="24" customFormat="1" ht="13">
      <c r="A11" s="9"/>
      <c r="B11" s="113"/>
      <c r="C11" s="253" t="s">
        <v>4170</v>
      </c>
      <c r="D11" s="236">
        <f t="shared" ref="D11:AA11" si="0">SUM(D12:D14)</f>
        <v>0</v>
      </c>
      <c r="E11" s="236">
        <f t="shared" si="0"/>
        <v>0</v>
      </c>
      <c r="F11" s="236">
        <f t="shared" si="0"/>
        <v>0</v>
      </c>
      <c r="G11" s="236">
        <f t="shared" si="0"/>
        <v>0</v>
      </c>
      <c r="H11" s="236">
        <f t="shared" si="0"/>
        <v>0</v>
      </c>
      <c r="I11" s="236">
        <f t="shared" si="0"/>
        <v>0</v>
      </c>
      <c r="J11" s="236">
        <f t="shared" si="0"/>
        <v>0</v>
      </c>
      <c r="K11" s="236">
        <f t="shared" si="0"/>
        <v>0</v>
      </c>
      <c r="L11" s="236">
        <f t="shared" si="0"/>
        <v>0</v>
      </c>
      <c r="M11" s="236">
        <f t="shared" si="0"/>
        <v>0</v>
      </c>
      <c r="N11" s="236">
        <f t="shared" si="0"/>
        <v>0</v>
      </c>
      <c r="O11" s="236">
        <f t="shared" si="0"/>
        <v>0</v>
      </c>
      <c r="P11" s="236">
        <f t="shared" si="0"/>
        <v>0</v>
      </c>
      <c r="Q11" s="236">
        <f t="shared" si="0"/>
        <v>0</v>
      </c>
      <c r="R11" s="236">
        <f t="shared" si="0"/>
        <v>0</v>
      </c>
      <c r="S11" s="236">
        <f t="shared" si="0"/>
        <v>0</v>
      </c>
      <c r="T11" s="236">
        <f t="shared" si="0"/>
        <v>0</v>
      </c>
      <c r="U11" s="236">
        <f t="shared" si="0"/>
        <v>0</v>
      </c>
      <c r="V11" s="236">
        <f t="shared" si="0"/>
        <v>0</v>
      </c>
      <c r="W11" s="236">
        <f t="shared" si="0"/>
        <v>0</v>
      </c>
      <c r="X11" s="236">
        <f t="shared" si="0"/>
        <v>0</v>
      </c>
      <c r="Y11" s="236">
        <f t="shared" si="0"/>
        <v>0</v>
      </c>
      <c r="Z11" s="236">
        <f t="shared" si="0"/>
        <v>0</v>
      </c>
      <c r="AA11" s="236">
        <f t="shared" si="0"/>
        <v>0</v>
      </c>
      <c r="AB11" s="300" t="s">
        <v>4184</v>
      </c>
    </row>
    <row r="12" spans="1:29" s="194" customFormat="1" ht="12.5">
      <c r="A12" s="9" t="str">
        <f>"R1=01;COM="&amp;AB12</f>
        <v>R1=01;COM=</v>
      </c>
      <c r="B12" s="113"/>
      <c r="C12" s="303" t="s">
        <v>5254</v>
      </c>
      <c r="D12" s="1431"/>
      <c r="E12" s="1431"/>
      <c r="F12" s="1431"/>
      <c r="G12" s="1431"/>
      <c r="H12" s="1431"/>
      <c r="I12" s="1431"/>
      <c r="J12" s="1431"/>
      <c r="K12" s="1431"/>
      <c r="L12" s="1431"/>
      <c r="M12" s="1431"/>
      <c r="N12" s="1431"/>
      <c r="O12" s="1431"/>
      <c r="P12" s="1431"/>
      <c r="Q12" s="1431"/>
      <c r="R12" s="1431"/>
      <c r="S12" s="1431"/>
      <c r="T12" s="1431"/>
      <c r="U12" s="1431"/>
      <c r="V12" s="1431"/>
      <c r="W12" s="1431"/>
      <c r="X12" s="1431"/>
      <c r="Y12" s="1431"/>
      <c r="Z12" s="54">
        <f t="shared" ref="Z12:AA14" si="1">D12+F12+H12+J12+L12+N12+P12+R12+T12+V12+X12</f>
        <v>0</v>
      </c>
      <c r="AA12" s="54">
        <f t="shared" si="1"/>
        <v>0</v>
      </c>
      <c r="AB12" s="26"/>
      <c r="AC12" s="2792" t="b">
        <f>AND(E15:Y15)</f>
        <v>1</v>
      </c>
    </row>
    <row r="13" spans="1:29" s="24" customFormat="1" ht="12.5">
      <c r="A13" s="2427" t="str">
        <f>"R1=02;COM="&amp;AB13</f>
        <v>R1=02;COM=</v>
      </c>
      <c r="B13" s="113"/>
      <c r="C13" s="303" t="s">
        <v>5256</v>
      </c>
      <c r="D13" s="1431"/>
      <c r="E13" s="1431"/>
      <c r="F13" s="1431"/>
      <c r="G13" s="1431"/>
      <c r="H13" s="1431"/>
      <c r="I13" s="1431"/>
      <c r="J13" s="1431"/>
      <c r="K13" s="1431"/>
      <c r="L13" s="1431"/>
      <c r="M13" s="1431"/>
      <c r="N13" s="1431"/>
      <c r="O13" s="1431"/>
      <c r="P13" s="1431"/>
      <c r="Q13" s="1431"/>
      <c r="R13" s="1431"/>
      <c r="S13" s="1431"/>
      <c r="T13" s="1431"/>
      <c r="U13" s="1431"/>
      <c r="V13" s="1431"/>
      <c r="W13" s="1431"/>
      <c r="X13" s="1431"/>
      <c r="Y13" s="1431"/>
      <c r="Z13" s="54">
        <f t="shared" si="1"/>
        <v>0</v>
      </c>
      <c r="AA13" s="54">
        <f t="shared" si="1"/>
        <v>0</v>
      </c>
      <c r="AB13" s="26"/>
      <c r="AC13" s="2792" t="b">
        <f>AND(E16:Y16)</f>
        <v>1</v>
      </c>
    </row>
    <row r="14" spans="1:29" s="24" customFormat="1" ht="13" thickBot="1">
      <c r="A14" s="9" t="str">
        <f>"R1=03;COM="&amp;AB14</f>
        <v>R1=03;COM=</v>
      </c>
      <c r="B14" s="113"/>
      <c r="C14" s="304" t="s">
        <v>10206</v>
      </c>
      <c r="D14" s="1432"/>
      <c r="E14" s="1432"/>
      <c r="F14" s="1432"/>
      <c r="G14" s="1432"/>
      <c r="H14" s="1432"/>
      <c r="I14" s="1432"/>
      <c r="J14" s="1432"/>
      <c r="K14" s="1432"/>
      <c r="L14" s="1432"/>
      <c r="M14" s="1432"/>
      <c r="N14" s="1432"/>
      <c r="O14" s="1432"/>
      <c r="P14" s="1432"/>
      <c r="Q14" s="1432"/>
      <c r="R14" s="1432"/>
      <c r="S14" s="1432"/>
      <c r="T14" s="1432"/>
      <c r="U14" s="1432"/>
      <c r="V14" s="1432"/>
      <c r="W14" s="1432"/>
      <c r="X14" s="1432"/>
      <c r="Y14" s="1432"/>
      <c r="Z14" s="345">
        <f t="shared" si="1"/>
        <v>0</v>
      </c>
      <c r="AA14" s="345">
        <f t="shared" si="1"/>
        <v>0</v>
      </c>
      <c r="AB14" s="344"/>
      <c r="AC14" s="2792"/>
    </row>
    <row r="15" spans="1:29">
      <c r="E15" s="32" t="b">
        <f>IF(AND(LEFT(D12,1)="",LEFT(E12,1)=""),TRUE,IF(LEFT(D12,1)&lt;&gt;"-",FALSE,IF(LEFT(D12,1)="-",OR(LEFT(E12,1)="-",LEFT(E12,1)=""),TRUE)))</f>
        <v>1</v>
      </c>
      <c r="G15" s="2856" t="b">
        <f>IF(AND(LEFT(F12,1)="",LEFT(G12,1)=""),TRUE,IF(LEFT(F12,1)="-",FALSE,IF(LEFT(F12,1)&lt;&gt;"-",OR(LEFT(G12,1)&lt;&gt;"-",LEFT(G12,1)=""),FALSE)))</f>
        <v>1</v>
      </c>
      <c r="H15" s="2795"/>
      <c r="I15" s="2856" t="b">
        <f>IF(AND(LEFT(H12,1)="",LEFT(I12,1)=""),TRUE,IF(LEFT(H12,1)="-",FALSE,IF(LEFT(H12,1)&lt;&gt;"-",OR(LEFT(I12,1)&lt;&gt;"-",LEFT(I12,1)=""),FALSE)))</f>
        <v>1</v>
      </c>
      <c r="J15" s="2795"/>
      <c r="K15" s="2856" t="b">
        <f>IF(AND(LEFT(J12,1)="",LEFT(K12,1)=""),TRUE,IF(LEFT(J12,1)="-",FALSE,IF(LEFT(J12,1)&lt;&gt;"-",OR(LEFT(K12,1)&lt;&gt;"-",LEFT(K12,1)=""),FALSE)))</f>
        <v>1</v>
      </c>
      <c r="M15" s="2856" t="b">
        <f>IF(AND(LEFT(L12,1)="",LEFT(M12,1)=""),TRUE,IF(LEFT(L12,1)&lt;&gt;"-",FALSE,IF(LEFT(L12,1)="-",OR(LEFT(M12,1)="-",LEFT(M12,1)=""),TRUE)))</f>
        <v>1</v>
      </c>
      <c r="N15" s="2795"/>
      <c r="O15" s="2856" t="b">
        <f>IF(AND(LEFT(N12,1)="",LEFT(O12,1)=""),TRUE,IF(LEFT(N12,1)&lt;&gt;"-",FALSE,IF(LEFT(N12,1)="-",OR(LEFT(O12,1)="-",LEFT(O12,1)=""),TRUE)))</f>
        <v>1</v>
      </c>
      <c r="P15" s="2795"/>
      <c r="Q15" s="2856" t="b">
        <f>IF(AND(LEFT(P12,1)="",LEFT(Q12,1)=""),TRUE,IF(LEFT(P12,1)&lt;&gt;"-",FALSE,IF(LEFT(P12,1)="-",OR(LEFT(Q12,1)="-",LEFT(Q12,1)=""),TRUE)))</f>
        <v>1</v>
      </c>
      <c r="R15" s="2795"/>
      <c r="S15" s="2856" t="b">
        <f>IF(AND(LEFT(R12,1)="",LEFT(S12,1)=""),TRUE,IF(LEFT(R12,1)&lt;&gt;"-",FALSE,IF(LEFT(R12,1)="-",OR(LEFT(S12,1)="-",LEFT(S12,1)=""),TRUE)))</f>
        <v>1</v>
      </c>
      <c r="T15" s="2795"/>
      <c r="U15" s="2856" t="b">
        <f>IF(AND(LEFT(T12,1)="",LEFT(U12,1)=""),TRUE,IF(LEFT(T12,1)&lt;&gt;"-",FALSE,IF(LEFT(T12,1)="-",OR(LEFT(U12,1)="-",LEFT(U12,1)=""),TRUE)))</f>
        <v>1</v>
      </c>
      <c r="V15" s="2795"/>
      <c r="W15" s="2856" t="b">
        <f>IF(AND(LEFT(V12,1)="",LEFT(W12,1)=""),TRUE,IF(LEFT(V12,1)&lt;&gt;"-",FALSE,IF(LEFT(V12,1)="-",OR(LEFT(W12,1)="-",LEFT(W12,1)=""),TRUE)))</f>
        <v>1</v>
      </c>
      <c r="X15" s="2795"/>
      <c r="Y15" s="2856" t="b">
        <f>IF(AND(LEFT(X12,1)="",LEFT(Y12,1)=""),TRUE,IF(LEFT(X12,1)&lt;&gt;"-",FALSE,IF(LEFT(X12,1)="-",OR(LEFT(Y12,1)="-",LEFT(Y12,1)=""),TRUE)))</f>
        <v>1</v>
      </c>
    </row>
    <row r="16" spans="1:29">
      <c r="E16" s="32" t="b">
        <f>IF(AND(LEFT(D13,1)="",LEFT(E13,1)=""),TRUE,IF(LEFT(D13,1)&lt;&gt;"-",FALSE,IF(LEFT(D13,1)="-",OR(LEFT(E13,1)="-",LEFT(E13,1)=""),TRUE)))</f>
        <v>1</v>
      </c>
      <c r="G16" s="2856" t="b">
        <f>IF(AND(LEFT(F13,1)="",LEFT(G13,1)=""),TRUE,IF(LEFT(F13,1)="-",FALSE,IF(LEFT(F13,1)&lt;&gt;"-",OR(LEFT(G13,1)&lt;&gt;"-",LEFT(G13,1)=""),FALSE)))</f>
        <v>1</v>
      </c>
      <c r="I16" s="2856" t="b">
        <f>IF(AND(LEFT(H13,1)="",LEFT(I13,1)=""),TRUE,IF(LEFT(H13,1)="-",FALSE,IF(LEFT(H13,1)&lt;&gt;"-",OR(LEFT(I13,1)&lt;&gt;"-",LEFT(I13,1)=""),FALSE)))</f>
        <v>1</v>
      </c>
      <c r="K16" s="2856" t="b">
        <f>IF(AND(LEFT(J13,1)="",LEFT(K13,1)=""),TRUE,IF(LEFT(J13,1)="-",FALSE,IF(LEFT(J13,1)&lt;&gt;"-",OR(LEFT(K13,1)&lt;&gt;"-",LEFT(K13,1)=""),FALSE)))</f>
        <v>1</v>
      </c>
      <c r="M16" s="2856" t="b">
        <f>IF(AND(LEFT(L13,1)="",LEFT(M13,1)=""),TRUE,IF(LEFT(L13,1)&lt;&gt;"-",FALSE,IF(LEFT(L13,1)="-",OR(LEFT(M13,1)="-",LEFT(M13,1)=""),TRUE)))</f>
        <v>1</v>
      </c>
      <c r="N16" s="2795"/>
      <c r="O16" s="2856" t="b">
        <f>IF(AND(LEFT(N13,1)="",LEFT(O13,1)=""),TRUE,IF(LEFT(N13,1)&lt;&gt;"-",FALSE,IF(LEFT(N13,1)="-",OR(LEFT(O13,1)="-",LEFT(O13,1)=""),TRUE)))</f>
        <v>1</v>
      </c>
      <c r="P16" s="2795"/>
      <c r="Q16" s="2856" t="b">
        <f>IF(AND(LEFT(P13,1)="",LEFT(Q13,1)=""),TRUE,IF(LEFT(P13,1)&lt;&gt;"-",FALSE,IF(LEFT(P13,1)="-",OR(LEFT(Q13,1)="-",LEFT(Q13,1)=""),TRUE)))</f>
        <v>1</v>
      </c>
      <c r="R16" s="2795"/>
      <c r="S16" s="2856" t="b">
        <f>IF(AND(LEFT(R13,1)="",LEFT(S13,1)=""),TRUE,IF(LEFT(R13,1)&lt;&gt;"-",FALSE,IF(LEFT(R13,1)="-",OR(LEFT(S13,1)="-",LEFT(S13,1)=""),TRUE)))</f>
        <v>1</v>
      </c>
      <c r="T16" s="2795"/>
      <c r="U16" s="2856" t="b">
        <f>IF(AND(LEFT(T13,1)="",LEFT(U13,1)=""),TRUE,IF(LEFT(T13,1)&lt;&gt;"-",FALSE,IF(LEFT(T13,1)="-",OR(LEFT(U13,1)="-",LEFT(U13,1)=""),TRUE)))</f>
        <v>1</v>
      </c>
      <c r="V16" s="2795"/>
      <c r="W16" s="2856" t="b">
        <f>IF(AND(LEFT(V13,1)="",LEFT(W13,1)=""),TRUE,IF(LEFT(V13,1)&lt;&gt;"-",FALSE,IF(LEFT(V13,1)="-",OR(LEFT(W13,1)="-",LEFT(W13,1)=""),TRUE)))</f>
        <v>1</v>
      </c>
      <c r="X16" s="2795"/>
      <c r="Y16" s="2856" t="b">
        <f>IF(AND(LEFT(X13,1)="",LEFT(Y13,1)=""),TRUE,IF(LEFT(X13,1)&lt;&gt;"-",FALSE,IF(LEFT(X13,1)="-",OR(LEFT(Y13,1)="-",LEFT(Y13,1)=""),TRUE)))</f>
        <v>1</v>
      </c>
    </row>
  </sheetData>
  <sheetProtection algorithmName="SHA-512" hashValue="SxHcVBk12xr+aiqRJKGvxV6e6qvTT3t1+8qFrn8AdDTbi6qyecH/NcCxirrGa3vWxgGNbWyrhHj+cWfjgBzimQ==" saltValue="7WT2RUsHfzoPMm86F0hkGw==" spinCount="100000" sheet="1" objects="1" scenarios="1" formatColumns="0" formatRows="0" autoFilter="0"/>
  <autoFilter ref="C10:AB10"/>
  <customSheetViews>
    <customSheetView guid="{3769259D-9653-4B34-A2F6-4FB6F9F4E533}" scale="85" showGridLines="0" showAutoFilter="1" hiddenRows="1" hiddenColumns="1">
      <pane xSplit="5" ySplit="10" topLeftCell="M11" activePane="bottomRight" state="frozen"/>
      <selection pane="bottomRight" activeCell="E36" sqref="E36"/>
      <pageMargins left="0.7" right="0.7" top="0.75" bottom="0.75" header="0.3" footer="0.3"/>
      <pageSetup paperSize="9" orientation="portrait" r:id="rId1"/>
      <autoFilter ref="B1:AA1"/>
    </customSheetView>
    <customSheetView guid="{40D7A2BB-326C-4ED3-999C-17852F56D6F4}" scale="85" showGridLines="0" showAutoFilter="1" hiddenRows="1" hiddenColumns="1">
      <pane xSplit="5" ySplit="10" topLeftCell="M11" activePane="bottomRight" state="frozen"/>
      <selection pane="bottomRight" activeCell="E36" sqref="E36"/>
      <pageMargins left="0.7" right="0.7" top="0.75" bottom="0.75" header="0.3" footer="0.3"/>
      <pageSetup paperSize="9" orientation="portrait" r:id="rId2"/>
      <autoFilter ref="B1:AA1"/>
    </customSheetView>
    <customSheetView guid="{5D121940-0CE8-4A0E-A493-67FAAA6E0FF8}" scale="85" showGridLines="0" showAutoFilter="1" hiddenRows="1" hiddenColumns="1" topLeftCell="B2">
      <pane xSplit="4" ySplit="9" topLeftCell="Q11" activePane="bottomRight" state="frozen"/>
      <selection pane="bottomRight" activeCell="C10" sqref="C10:AB10"/>
      <pageMargins left="0.7" right="0.7" top="0.75" bottom="0.75" header="0.3" footer="0.3"/>
      <pageSetup paperSize="9" orientation="portrait" r:id="rId3"/>
      <autoFilter ref="B1:AA1"/>
    </customSheetView>
    <customSheetView guid="{47AEACC4-6EA5-412C-AF39-A6C5357B313A}" scale="85" showGridLines="0" showAutoFilter="1" hiddenRows="1" hiddenColumns="1" topLeftCell="B2">
      <pane xSplit="4" ySplit="9" topLeftCell="Q11" activePane="bottomRight" state="frozen"/>
      <selection pane="bottomRight" activeCell="C10" sqref="C10:AB10"/>
      <pageMargins left="0.7" right="0.7" top="0.75" bottom="0.75" header="0.3" footer="0.3"/>
      <pageSetup paperSize="9" orientation="portrait" r:id="rId4"/>
      <autoFilter ref="B1:AA1"/>
    </customSheetView>
    <customSheetView guid="{4D957B38-5430-481E-B791-E0A66F913B50}" scale="70" topLeftCell="B1">
      <selection activeCell="D1" sqref="D1"/>
      <pageMargins left="0.7" right="0.7" top="0.75" bottom="0.75" header="0.3" footer="0.3"/>
      <pageSetup paperSize="9" orientation="portrait" r:id="rId5"/>
    </customSheetView>
    <customSheetView guid="{1C36793E-2B7E-411E-AA99-985D5D59B75A}" scale="70">
      <selection activeCell="D40" sqref="D40"/>
      <pageMargins left="0.7" right="0.7" top="0.75" bottom="0.75" header="0.3" footer="0.3"/>
      <pageSetup paperSize="9" orientation="portrait" r:id="rId6"/>
    </customSheetView>
    <customSheetView guid="{C913A9E8-661B-40A4-A3C9-1BC5F2B2E9F0}" scale="85" showGridLines="0" showAutoFilter="1" hiddenRows="1" hiddenColumns="1" topLeftCell="B2">
      <pane xSplit="4" ySplit="9" topLeftCell="Q11" activePane="bottomRight" state="frozen"/>
      <selection pane="bottomRight" activeCell="C10" sqref="C10:AB10"/>
      <pageMargins left="0.7" right="0.7" top="0.75" bottom="0.75" header="0.3" footer="0.3"/>
      <pageSetup paperSize="9" orientation="portrait" r:id="rId7"/>
      <autoFilter ref="B1:AA1"/>
    </customSheetView>
  </customSheetViews>
  <mergeCells count="16">
    <mergeCell ref="AB6:AB8"/>
    <mergeCell ref="N7:O7"/>
    <mergeCell ref="P7:Q7"/>
    <mergeCell ref="R7:S7"/>
    <mergeCell ref="T7:U7"/>
    <mergeCell ref="N6:Q6"/>
    <mergeCell ref="R6:U6"/>
    <mergeCell ref="V6:W7"/>
    <mergeCell ref="X6:Y7"/>
    <mergeCell ref="Z6:AA7"/>
    <mergeCell ref="L6:M7"/>
    <mergeCell ref="C6:C8"/>
    <mergeCell ref="D6:E7"/>
    <mergeCell ref="F6:G7"/>
    <mergeCell ref="H6:I7"/>
    <mergeCell ref="J6:K7"/>
  </mergeCells>
  <phoneticPr fontId="0" type="noConversion"/>
  <hyperlinks>
    <hyperlink ref="G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71" fitToWidth="2" orientation="landscape" r:id="rId8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>
    <pageSetUpPr fitToPage="1"/>
  </sheetPr>
  <dimension ref="A1:Q34"/>
  <sheetViews>
    <sheetView topLeftCell="B2" zoomScale="70" zoomScaleNormal="70" workbookViewId="0">
      <selection activeCell="F17" sqref="F17"/>
    </sheetView>
  </sheetViews>
  <sheetFormatPr defaultColWidth="9.453125" defaultRowHeight="14.5"/>
  <cols>
    <col min="1" max="1" width="19.81640625" style="307" hidden="1" customWidth="1"/>
    <col min="2" max="2" width="2.453125" style="32" customWidth="1"/>
    <col min="3" max="3" width="56" style="32" customWidth="1"/>
    <col min="4" max="4" width="15" style="32" customWidth="1"/>
    <col min="5" max="5" width="16.54296875" style="32" customWidth="1"/>
    <col min="6" max="10" width="21.453125" style="32" customWidth="1"/>
    <col min="11" max="13" width="24" style="32" customWidth="1"/>
    <col min="14" max="14" width="21.453125" style="32" customWidth="1"/>
    <col min="15" max="15" width="15.453125" style="32" customWidth="1"/>
    <col min="16" max="16" width="16.453125" style="32" customWidth="1"/>
    <col min="17" max="17" width="14" style="32" bestFit="1" customWidth="1"/>
    <col min="18" max="20" width="11.453125" style="32" customWidth="1"/>
    <col min="21" max="16384" width="9.453125" style="32"/>
  </cols>
  <sheetData>
    <row r="1" spans="1:17" s="24" customFormat="1" ht="24.75" hidden="1" customHeight="1">
      <c r="A1" s="275" t="s">
        <v>537</v>
      </c>
      <c r="B1" s="22"/>
      <c r="C1" s="237"/>
      <c r="D1" s="237" t="s">
        <v>482</v>
      </c>
      <c r="E1" s="237" t="s">
        <v>538</v>
      </c>
      <c r="F1" s="237" t="s">
        <v>539</v>
      </c>
      <c r="G1" s="237" t="s">
        <v>540</v>
      </c>
      <c r="H1" s="237" t="s">
        <v>541</v>
      </c>
      <c r="I1" s="237" t="s">
        <v>542</v>
      </c>
      <c r="J1" s="237" t="s">
        <v>543</v>
      </c>
      <c r="K1" s="237" t="s">
        <v>544</v>
      </c>
      <c r="L1" s="237" t="s">
        <v>545</v>
      </c>
      <c r="M1" s="237" t="s">
        <v>546</v>
      </c>
      <c r="N1" s="237" t="s">
        <v>547</v>
      </c>
      <c r="O1" s="237" t="s">
        <v>548</v>
      </c>
      <c r="P1" s="237" t="s">
        <v>489</v>
      </c>
    </row>
    <row r="2" spans="1:17" s="749" customFormat="1" ht="13" thickBot="1">
      <c r="A2" s="7"/>
      <c r="D2" s="749" t="s">
        <v>1648</v>
      </c>
      <c r="E2" s="749" t="s">
        <v>1648</v>
      </c>
      <c r="F2" s="749" t="s">
        <v>1648</v>
      </c>
      <c r="G2" s="749" t="s">
        <v>1648</v>
      </c>
      <c r="H2" s="749" t="s">
        <v>1648</v>
      </c>
      <c r="I2" s="749" t="s">
        <v>1648</v>
      </c>
      <c r="J2" s="749" t="s">
        <v>1648</v>
      </c>
      <c r="K2" s="749" t="s">
        <v>1648</v>
      </c>
      <c r="L2" s="749" t="s">
        <v>1648</v>
      </c>
      <c r="M2" s="749" t="s">
        <v>1648</v>
      </c>
      <c r="N2" s="749" t="s">
        <v>1648</v>
      </c>
      <c r="O2" s="749" t="s">
        <v>1648</v>
      </c>
      <c r="P2" s="749" t="s">
        <v>1648</v>
      </c>
    </row>
    <row r="3" spans="1:17" s="24" customFormat="1" ht="30.75" customHeight="1">
      <c r="A3" s="7"/>
      <c r="D3"/>
      <c r="P3" s="453" t="s">
        <v>3524</v>
      </c>
    </row>
    <row r="4" spans="1:17" s="24" customFormat="1" ht="26.5" thickBot="1">
      <c r="A4" s="7"/>
      <c r="E4" s="1897" t="s">
        <v>2067</v>
      </c>
      <c r="F4" s="1244">
        <f>Содержание!$D$2</f>
        <v>0</v>
      </c>
      <c r="P4" s="325" t="b">
        <f>ABS(P12-'83_расш'!G8)&lt;1</f>
        <v>1</v>
      </c>
    </row>
    <row r="5" spans="1:17" s="24" customFormat="1" ht="26">
      <c r="A5" s="7"/>
      <c r="C5" s="105" t="s">
        <v>3475</v>
      </c>
      <c r="D5" s="3044" t="s">
        <v>1436</v>
      </c>
      <c r="E5" s="1897" t="s">
        <v>2075</v>
      </c>
      <c r="F5" s="1244" t="str">
        <f>Содержание!$D$15</f>
        <v>2022 год</v>
      </c>
    </row>
    <row r="6" spans="1:17" s="24" customFormat="1" ht="15" thickBot="1">
      <c r="A6" s="7"/>
      <c r="C6" s="1202"/>
    </row>
    <row r="7" spans="1:17" s="24" customFormat="1" ht="84.75" customHeight="1">
      <c r="A7" s="7"/>
      <c r="B7" s="192"/>
      <c r="C7" s="111" t="s">
        <v>745</v>
      </c>
      <c r="D7" s="14" t="s">
        <v>5225</v>
      </c>
      <c r="E7" s="14" t="s">
        <v>3476</v>
      </c>
      <c r="F7" s="14" t="s">
        <v>3477</v>
      </c>
      <c r="G7" s="14" t="s">
        <v>2218</v>
      </c>
      <c r="H7" s="14" t="s">
        <v>8588</v>
      </c>
      <c r="I7" s="14" t="s">
        <v>3478</v>
      </c>
      <c r="J7" s="14" t="s">
        <v>2963</v>
      </c>
      <c r="K7" s="14" t="s">
        <v>2965</v>
      </c>
      <c r="L7" s="14" t="s">
        <v>2777</v>
      </c>
      <c r="M7" s="14" t="s">
        <v>8589</v>
      </c>
      <c r="N7" s="14" t="s">
        <v>3479</v>
      </c>
      <c r="O7" s="14" t="s">
        <v>3480</v>
      </c>
      <c r="P7" s="14" t="s">
        <v>5233</v>
      </c>
      <c r="Q7" s="67" t="s">
        <v>4183</v>
      </c>
    </row>
    <row r="8" spans="1:17" s="24" customFormat="1" ht="13">
      <c r="A8" s="7"/>
      <c r="B8" s="192"/>
      <c r="C8" s="68" t="s">
        <v>237</v>
      </c>
      <c r="D8" s="62" t="s">
        <v>674</v>
      </c>
      <c r="E8" s="62" t="s">
        <v>3481</v>
      </c>
      <c r="F8" s="62" t="s">
        <v>3482</v>
      </c>
      <c r="G8" s="62" t="s">
        <v>3483</v>
      </c>
      <c r="H8" s="62" t="s">
        <v>3484</v>
      </c>
      <c r="I8" s="62" t="s">
        <v>3485</v>
      </c>
      <c r="J8" s="62" t="s">
        <v>2964</v>
      </c>
      <c r="K8" s="62" t="s">
        <v>2966</v>
      </c>
      <c r="L8" s="62" t="s">
        <v>1709</v>
      </c>
      <c r="M8" s="62" t="s">
        <v>2793</v>
      </c>
      <c r="N8" s="62" t="s">
        <v>3486</v>
      </c>
      <c r="O8" s="62" t="s">
        <v>3487</v>
      </c>
      <c r="P8" s="62" t="s">
        <v>4163</v>
      </c>
      <c r="Q8" s="308"/>
    </row>
    <row r="9" spans="1:17" s="673" customFormat="1" ht="10">
      <c r="A9" s="694"/>
      <c r="B9" s="718"/>
      <c r="C9" s="706" t="s">
        <v>4164</v>
      </c>
      <c r="D9" s="677" t="s">
        <v>4165</v>
      </c>
      <c r="E9" s="677" t="s">
        <v>4166</v>
      </c>
      <c r="F9" s="677" t="s">
        <v>5500</v>
      </c>
      <c r="G9" s="677" t="s">
        <v>4169</v>
      </c>
      <c r="H9" s="677" t="s">
        <v>4168</v>
      </c>
      <c r="I9" s="677" t="s">
        <v>4178</v>
      </c>
      <c r="J9" s="677" t="s">
        <v>4179</v>
      </c>
      <c r="K9" s="677" t="s">
        <v>4167</v>
      </c>
      <c r="L9" s="677" t="s">
        <v>5501</v>
      </c>
      <c r="M9" s="677" t="s">
        <v>4701</v>
      </c>
      <c r="N9" s="677" t="s">
        <v>4702</v>
      </c>
      <c r="O9" s="677" t="s">
        <v>4703</v>
      </c>
      <c r="P9" s="677" t="s">
        <v>5502</v>
      </c>
      <c r="Q9" s="725" t="s">
        <v>5503</v>
      </c>
    </row>
    <row r="10" spans="1:17" s="24" customFormat="1" ht="13">
      <c r="A10" s="96"/>
      <c r="B10" s="192"/>
      <c r="C10" s="550" t="s">
        <v>4170</v>
      </c>
      <c r="D10" s="236">
        <f>SUM(D11,D12,D15,D26:D31)</f>
        <v>0</v>
      </c>
      <c r="E10" s="236">
        <f t="shared" ref="E10:P10" si="0">SUM(E11,E12,E15,E26:E31)</f>
        <v>0</v>
      </c>
      <c r="F10" s="236">
        <f t="shared" si="0"/>
        <v>0</v>
      </c>
      <c r="G10" s="236">
        <f t="shared" si="0"/>
        <v>0</v>
      </c>
      <c r="H10" s="236">
        <f t="shared" si="0"/>
        <v>0</v>
      </c>
      <c r="I10" s="236">
        <f t="shared" si="0"/>
        <v>0</v>
      </c>
      <c r="J10" s="236">
        <f t="shared" si="0"/>
        <v>0</v>
      </c>
      <c r="K10" s="236">
        <f t="shared" si="0"/>
        <v>0</v>
      </c>
      <c r="L10" s="236">
        <f t="shared" si="0"/>
        <v>0</v>
      </c>
      <c r="M10" s="236">
        <f t="shared" si="0"/>
        <v>0</v>
      </c>
      <c r="N10" s="236">
        <f t="shared" si="0"/>
        <v>0</v>
      </c>
      <c r="O10" s="236">
        <f t="shared" si="0"/>
        <v>0</v>
      </c>
      <c r="P10" s="236">
        <f t="shared" si="0"/>
        <v>0</v>
      </c>
      <c r="Q10" s="309" t="s">
        <v>3389</v>
      </c>
    </row>
    <row r="11" spans="1:17" s="24" customFormat="1" ht="12.5">
      <c r="A11" s="96" t="str">
        <f>IF(ISERROR("R3="&amp;IF(MID(C11,2,1)="~","",MID(C11,2,3))&amp;";R1="&amp;IF(MID(C11,SEARCH("}",C11)-1,1)="~","",MID(C11,SEARCH("}",C11)-2,2))),"R1="&amp;";R3=","R3="&amp;IF(MID(C11,2,1)="~","",MID(C11,2,3))&amp;";R1="&amp;IF(MID(C11,SEARCH("}",C11)-1,1)="~","",MID(C11,SEARCH("}",C11)-2,2)))&amp;";"&amp;"COM="&amp;Q11</f>
        <v>R3=100;R1=;COM=</v>
      </c>
      <c r="B11" s="114"/>
      <c r="C11" s="551" t="s">
        <v>3488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36">
        <f>SUM(D11:O11)</f>
        <v>0</v>
      </c>
      <c r="Q11" s="90"/>
    </row>
    <row r="12" spans="1:17" s="24" customFormat="1" ht="13">
      <c r="A12" s="96"/>
      <c r="B12" s="190"/>
      <c r="C12" s="551" t="s">
        <v>3489</v>
      </c>
      <c r="D12" s="236">
        <f>SUM(D13:D14)</f>
        <v>0</v>
      </c>
      <c r="E12" s="236">
        <f>SUM(E13:E14)</f>
        <v>0</v>
      </c>
      <c r="F12" s="310" t="s">
        <v>3389</v>
      </c>
      <c r="G12" s="236">
        <f>SUM(G13:G14)</f>
        <v>0</v>
      </c>
      <c r="H12" s="236">
        <f>SUM(H13:H14)</f>
        <v>0</v>
      </c>
      <c r="I12" s="310" t="s">
        <v>3389</v>
      </c>
      <c r="J12" s="310" t="s">
        <v>3389</v>
      </c>
      <c r="K12" s="236">
        <f t="shared" ref="K12:P12" si="1">SUM(K13:K14)</f>
        <v>0</v>
      </c>
      <c r="L12" s="236">
        <f t="shared" si="1"/>
        <v>0</v>
      </c>
      <c r="M12" s="236">
        <f t="shared" si="1"/>
        <v>0</v>
      </c>
      <c r="N12" s="236">
        <f t="shared" si="1"/>
        <v>0</v>
      </c>
      <c r="O12" s="236">
        <f t="shared" si="1"/>
        <v>0</v>
      </c>
      <c r="P12" s="236">
        <f t="shared" si="1"/>
        <v>0</v>
      </c>
      <c r="Q12" s="90"/>
    </row>
    <row r="13" spans="1:17" s="24" customFormat="1" ht="12.5">
      <c r="A13" s="96" t="str">
        <f>IF(ISERROR("R3="&amp;IF(MID(C13,2,1)="~","",MID(C13,2,3))&amp;";R1="&amp;IF(MID(C13,SEARCH("}",C13)-1,1)="~","",MID(C13,SEARCH("}",C13)-2,2))),"R1="&amp;";R3=","R3="&amp;IF(MID(C13,2,1)="~","",MID(C13,2,3))&amp;";R1="&amp;IF(MID(C13,SEARCH("}",C13)-1,1)="~","",MID(C13,SEARCH("}",C13)-2,2)))&amp;";"&amp;"COM="&amp;Q13</f>
        <v>R3=200;R1=01;COM=</v>
      </c>
      <c r="B13" s="114"/>
      <c r="C13" s="551" t="s">
        <v>3490</v>
      </c>
      <c r="D13" s="1431"/>
      <c r="E13" s="19"/>
      <c r="F13" s="310" t="s">
        <v>3389</v>
      </c>
      <c r="G13" s="19"/>
      <c r="H13" s="19"/>
      <c r="I13" s="310" t="s">
        <v>3389</v>
      </c>
      <c r="J13" s="310" t="s">
        <v>3389</v>
      </c>
      <c r="K13" s="19"/>
      <c r="L13" s="19"/>
      <c r="M13" s="19"/>
      <c r="N13" s="19"/>
      <c r="O13" s="19"/>
      <c r="P13" s="236">
        <f t="shared" ref="P13:P34" si="2">SUM(D13:O13)</f>
        <v>0</v>
      </c>
      <c r="Q13" s="90"/>
    </row>
    <row r="14" spans="1:17" s="24" customFormat="1" ht="12.5">
      <c r="A14" s="96" t="str">
        <f>IF(ISERROR("R3="&amp;IF(MID(C14,2,1)="~","",MID(C14,2,3))&amp;";R1="&amp;IF(MID(C14,SEARCH("}",C14)-1,1)="~","",MID(C14,SEARCH("}",C14)-2,2))),"R1="&amp;";R3=","R3="&amp;IF(MID(C14,2,1)="~","",MID(C14,2,3))&amp;";R1="&amp;IF(MID(C14,SEARCH("}",C14)-1,1)="~","",MID(C14,SEARCH("}",C14)-2,2)))&amp;";"&amp;"COM="&amp;Q14</f>
        <v>R3=200;R1=02;COM=</v>
      </c>
      <c r="B14" s="114"/>
      <c r="C14" s="551" t="s">
        <v>3491</v>
      </c>
      <c r="D14" s="19"/>
      <c r="E14" s="19"/>
      <c r="F14" s="310" t="s">
        <v>3389</v>
      </c>
      <c r="G14" s="19"/>
      <c r="H14" s="19"/>
      <c r="I14" s="310" t="s">
        <v>3389</v>
      </c>
      <c r="J14" s="310" t="s">
        <v>3389</v>
      </c>
      <c r="K14" s="19"/>
      <c r="L14" s="19"/>
      <c r="M14" s="19"/>
      <c r="N14" s="19"/>
      <c r="O14" s="19"/>
      <c r="P14" s="236">
        <f t="shared" si="2"/>
        <v>0</v>
      </c>
      <c r="Q14" s="90"/>
    </row>
    <row r="15" spans="1:17" s="24" customFormat="1" ht="13">
      <c r="A15" s="96"/>
      <c r="B15" s="190"/>
      <c r="C15" s="551" t="s">
        <v>3492</v>
      </c>
      <c r="D15" s="236">
        <f>SUM(D16,D21)</f>
        <v>0</v>
      </c>
      <c r="E15" s="236">
        <f>SUM(E16,E21)</f>
        <v>0</v>
      </c>
      <c r="F15" s="310" t="s">
        <v>3389</v>
      </c>
      <c r="G15" s="236">
        <f>SUM(G16,G21)</f>
        <v>0</v>
      </c>
      <c r="H15" s="236">
        <f>SUM(H16,H21)</f>
        <v>0</v>
      </c>
      <c r="I15" s="310" t="s">
        <v>3389</v>
      </c>
      <c r="J15" s="310" t="s">
        <v>3389</v>
      </c>
      <c r="K15" s="236">
        <f>SUM(K16,K21)</f>
        <v>0</v>
      </c>
      <c r="L15" s="236">
        <f>SUM(L16,L21)</f>
        <v>0</v>
      </c>
      <c r="M15" s="236">
        <f>SUM(M16,M21)</f>
        <v>0</v>
      </c>
      <c r="N15" s="236">
        <f>SUM(N16,N21)</f>
        <v>0</v>
      </c>
      <c r="O15" s="236">
        <f>SUM(O16,O21)</f>
        <v>0</v>
      </c>
      <c r="P15" s="236">
        <f t="shared" si="2"/>
        <v>0</v>
      </c>
      <c r="Q15" s="90"/>
    </row>
    <row r="16" spans="1:17" s="24" customFormat="1" ht="25">
      <c r="A16" s="96"/>
      <c r="C16" s="551" t="s">
        <v>3493</v>
      </c>
      <c r="D16" s="236">
        <f>SUM(D17:D20)</f>
        <v>0</v>
      </c>
      <c r="E16" s="236">
        <f>SUM(E17:E20)</f>
        <v>0</v>
      </c>
      <c r="F16" s="310" t="s">
        <v>3389</v>
      </c>
      <c r="G16" s="236">
        <f>SUM(G17:G20)</f>
        <v>0</v>
      </c>
      <c r="H16" s="236">
        <f>SUM(H17:H20)</f>
        <v>0</v>
      </c>
      <c r="I16" s="310" t="s">
        <v>3389</v>
      </c>
      <c r="J16" s="310" t="s">
        <v>3389</v>
      </c>
      <c r="K16" s="236">
        <f>SUM(K17:K20)</f>
        <v>0</v>
      </c>
      <c r="L16" s="236">
        <f>SUM(L17:L20)</f>
        <v>0</v>
      </c>
      <c r="M16" s="236">
        <f>SUM(M17:M20)</f>
        <v>0</v>
      </c>
      <c r="N16" s="236">
        <f>SUM(N17:N20)</f>
        <v>0</v>
      </c>
      <c r="O16" s="236">
        <f>SUM(O17:O20)</f>
        <v>0</v>
      </c>
      <c r="P16" s="236">
        <f t="shared" si="2"/>
        <v>0</v>
      </c>
      <c r="Q16" s="90"/>
    </row>
    <row r="17" spans="1:17" s="24" customFormat="1" ht="12.5">
      <c r="A17" s="96" t="str">
        <f>IF(ISERROR("R3="&amp;IF(MID(C17,2,1)="~","",MID(C17,2,3))&amp;";R1="&amp;IF(MID(C17,SEARCH("}",C17)-1,1)="~","",MID(C17,SEARCH("}",C17)-2,2))),"R1="&amp;";R3=","R3="&amp;IF(MID(C17,2,1)="~","",MID(C17,2,3))&amp;";R1="&amp;IF(MID(C17,SEARCH("}",C17)-1,1)="~","",MID(C17,SEARCH("}",C17)-2,2)))&amp;";"&amp;"COM="&amp;Q17</f>
        <v>R3=311;R1=;COM=</v>
      </c>
      <c r="B17" s="114"/>
      <c r="C17" s="551" t="s">
        <v>3494</v>
      </c>
      <c r="D17" s="19"/>
      <c r="E17" s="19"/>
      <c r="F17" s="310" t="s">
        <v>3389</v>
      </c>
      <c r="G17" s="19"/>
      <c r="H17" s="19"/>
      <c r="I17" s="310" t="s">
        <v>3389</v>
      </c>
      <c r="J17" s="310" t="s">
        <v>3389</v>
      </c>
      <c r="K17" s="19"/>
      <c r="L17" s="19"/>
      <c r="M17" s="19"/>
      <c r="N17" s="19"/>
      <c r="O17" s="19"/>
      <c r="P17" s="236">
        <f t="shared" si="2"/>
        <v>0</v>
      </c>
      <c r="Q17" s="90"/>
    </row>
    <row r="18" spans="1:17" s="24" customFormat="1" ht="12.5">
      <c r="A18" s="96" t="str">
        <f t="shared" ref="A18:A33" si="3">IF(ISERROR("R3="&amp;IF(MID(C18,2,1)="~","",MID(C18,2,3))&amp;";R1="&amp;IF(MID(C18,SEARCH("}",C18)-1,1)="~","",MID(C18,SEARCH("}",C18)-2,2))),"R1="&amp;";R3=","R3="&amp;IF(MID(C18,2,1)="~","",MID(C18,2,3))&amp;";R1="&amp;IF(MID(C18,SEARCH("}",C18)-1,1)="~","",MID(C18,SEARCH("}",C18)-2,2)))&amp;";"&amp;"COM="&amp;Q18</f>
        <v>R3=312;R1=;COM=</v>
      </c>
      <c r="B18" s="114"/>
      <c r="C18" s="551" t="s">
        <v>3495</v>
      </c>
      <c r="D18" s="19"/>
      <c r="E18" s="19"/>
      <c r="F18" s="310" t="s">
        <v>3389</v>
      </c>
      <c r="G18" s="19"/>
      <c r="H18" s="19"/>
      <c r="I18" s="310" t="s">
        <v>3389</v>
      </c>
      <c r="J18" s="310" t="s">
        <v>3389</v>
      </c>
      <c r="K18" s="19"/>
      <c r="L18" s="19"/>
      <c r="M18" s="19"/>
      <c r="N18" s="19"/>
      <c r="O18" s="19"/>
      <c r="P18" s="236">
        <f t="shared" si="2"/>
        <v>0</v>
      </c>
      <c r="Q18" s="90"/>
    </row>
    <row r="19" spans="1:17" s="24" customFormat="1" ht="12.5">
      <c r="A19" s="96" t="str">
        <f t="shared" si="3"/>
        <v>R3=313;R1=;COM=</v>
      </c>
      <c r="B19" s="114"/>
      <c r="C19" s="551" t="s">
        <v>3496</v>
      </c>
      <c r="D19" s="19"/>
      <c r="E19" s="19"/>
      <c r="F19" s="310" t="s">
        <v>3389</v>
      </c>
      <c r="G19" s="19"/>
      <c r="H19" s="19"/>
      <c r="I19" s="310" t="s">
        <v>3389</v>
      </c>
      <c r="J19" s="310" t="s">
        <v>3389</v>
      </c>
      <c r="K19" s="19"/>
      <c r="L19" s="19"/>
      <c r="M19" s="19"/>
      <c r="N19" s="19"/>
      <c r="O19" s="19"/>
      <c r="P19" s="236">
        <f t="shared" si="2"/>
        <v>0</v>
      </c>
      <c r="Q19" s="90"/>
    </row>
    <row r="20" spans="1:17" s="24" customFormat="1" ht="12.5">
      <c r="A20" s="96" t="str">
        <f t="shared" si="3"/>
        <v>R3=314;R1=;COM=</v>
      </c>
      <c r="B20" s="114"/>
      <c r="C20" s="551" t="s">
        <v>3497</v>
      </c>
      <c r="D20" s="19"/>
      <c r="E20" s="19"/>
      <c r="F20" s="310" t="s">
        <v>3389</v>
      </c>
      <c r="G20" s="19"/>
      <c r="H20" s="19"/>
      <c r="I20" s="310" t="s">
        <v>3389</v>
      </c>
      <c r="J20" s="310" t="s">
        <v>3389</v>
      </c>
      <c r="K20" s="19"/>
      <c r="L20" s="19"/>
      <c r="M20" s="19"/>
      <c r="N20" s="19"/>
      <c r="O20" s="19"/>
      <c r="P20" s="236">
        <f t="shared" si="2"/>
        <v>0</v>
      </c>
      <c r="Q20" s="90"/>
    </row>
    <row r="21" spans="1:17" s="24" customFormat="1" ht="25">
      <c r="A21" s="96"/>
      <c r="B21" s="114"/>
      <c r="C21" s="551" t="s">
        <v>3498</v>
      </c>
      <c r="D21" s="236">
        <f>SUM(D22:D25)</f>
        <v>0</v>
      </c>
      <c r="E21" s="236">
        <f>SUM(E22:E25)</f>
        <v>0</v>
      </c>
      <c r="F21" s="310" t="s">
        <v>3389</v>
      </c>
      <c r="G21" s="236">
        <f>SUM(G22:G25)</f>
        <v>0</v>
      </c>
      <c r="H21" s="236">
        <f>SUM(H22:H25)</f>
        <v>0</v>
      </c>
      <c r="I21" s="310" t="s">
        <v>3389</v>
      </c>
      <c r="J21" s="310" t="s">
        <v>3389</v>
      </c>
      <c r="K21" s="236">
        <f>SUM(K22:K25)</f>
        <v>0</v>
      </c>
      <c r="L21" s="236">
        <f>SUM(L22:L25)</f>
        <v>0</v>
      </c>
      <c r="M21" s="236">
        <f>SUM(M22:M25)</f>
        <v>0</v>
      </c>
      <c r="N21" s="236">
        <f>SUM(N22:N25)</f>
        <v>0</v>
      </c>
      <c r="O21" s="236">
        <f>SUM(O22:O25)</f>
        <v>0</v>
      </c>
      <c r="P21" s="236">
        <f t="shared" si="2"/>
        <v>0</v>
      </c>
      <c r="Q21" s="90"/>
    </row>
    <row r="22" spans="1:17" s="24" customFormat="1" ht="12.5">
      <c r="A22" s="96" t="str">
        <f t="shared" si="3"/>
        <v>R3=321;R1=;COM=</v>
      </c>
      <c r="B22" s="114"/>
      <c r="C22" s="551" t="s">
        <v>3499</v>
      </c>
      <c r="D22" s="19"/>
      <c r="E22" s="19"/>
      <c r="F22" s="310" t="s">
        <v>3389</v>
      </c>
      <c r="G22" s="19"/>
      <c r="H22" s="19"/>
      <c r="I22" s="310" t="s">
        <v>3389</v>
      </c>
      <c r="J22" s="310" t="s">
        <v>3389</v>
      </c>
      <c r="K22" s="19"/>
      <c r="L22" s="19"/>
      <c r="M22" s="19"/>
      <c r="N22" s="19"/>
      <c r="O22" s="19"/>
      <c r="P22" s="236">
        <f t="shared" si="2"/>
        <v>0</v>
      </c>
      <c r="Q22" s="90"/>
    </row>
    <row r="23" spans="1:17" s="24" customFormat="1" ht="12.5">
      <c r="A23" s="96" t="str">
        <f t="shared" si="3"/>
        <v>R3=322;R1=;COM=</v>
      </c>
      <c r="B23" s="114"/>
      <c r="C23" s="551" t="s">
        <v>3500</v>
      </c>
      <c r="D23" s="19"/>
      <c r="E23" s="19"/>
      <c r="F23" s="310" t="s">
        <v>3389</v>
      </c>
      <c r="G23" s="19"/>
      <c r="H23" s="19"/>
      <c r="I23" s="310" t="s">
        <v>3389</v>
      </c>
      <c r="J23" s="310" t="s">
        <v>3389</v>
      </c>
      <c r="K23" s="19"/>
      <c r="L23" s="19"/>
      <c r="M23" s="19"/>
      <c r="N23" s="19"/>
      <c r="O23" s="19"/>
      <c r="P23" s="236">
        <f t="shared" si="2"/>
        <v>0</v>
      </c>
      <c r="Q23" s="90"/>
    </row>
    <row r="24" spans="1:17" s="24" customFormat="1" ht="12.5">
      <c r="A24" s="96" t="str">
        <f t="shared" si="3"/>
        <v>R3=323;R1=;COM=</v>
      </c>
      <c r="B24" s="114"/>
      <c r="C24" s="551" t="s">
        <v>3501</v>
      </c>
      <c r="D24" s="19"/>
      <c r="E24" s="19"/>
      <c r="F24" s="310" t="s">
        <v>3389</v>
      </c>
      <c r="G24" s="19"/>
      <c r="H24" s="19"/>
      <c r="I24" s="310" t="s">
        <v>3389</v>
      </c>
      <c r="J24" s="310" t="s">
        <v>3389</v>
      </c>
      <c r="K24" s="19"/>
      <c r="L24" s="19"/>
      <c r="M24" s="19"/>
      <c r="N24" s="19"/>
      <c r="O24" s="19"/>
      <c r="P24" s="236">
        <f t="shared" si="2"/>
        <v>0</v>
      </c>
      <c r="Q24" s="90"/>
    </row>
    <row r="25" spans="1:17" s="24" customFormat="1" ht="12.5">
      <c r="A25" s="96" t="str">
        <f t="shared" si="3"/>
        <v>R3=324;R1=;COM=</v>
      </c>
      <c r="B25" s="114"/>
      <c r="C25" s="551" t="s">
        <v>3502</v>
      </c>
      <c r="D25" s="19"/>
      <c r="E25" s="19"/>
      <c r="F25" s="310" t="s">
        <v>3389</v>
      </c>
      <c r="G25" s="19"/>
      <c r="H25" s="19"/>
      <c r="I25" s="310" t="s">
        <v>3389</v>
      </c>
      <c r="J25" s="310" t="s">
        <v>3389</v>
      </c>
      <c r="K25" s="19"/>
      <c r="L25" s="19"/>
      <c r="M25" s="19"/>
      <c r="N25" s="19"/>
      <c r="O25" s="19"/>
      <c r="P25" s="236">
        <f t="shared" si="2"/>
        <v>0</v>
      </c>
      <c r="Q25" s="90"/>
    </row>
    <row r="26" spans="1:17" s="24" customFormat="1" ht="25">
      <c r="A26" s="96" t="str">
        <f t="shared" si="3"/>
        <v>R3=400;R1=;COM=</v>
      </c>
      <c r="B26" s="114"/>
      <c r="C26" s="551" t="s">
        <v>3503</v>
      </c>
      <c r="D26" s="19"/>
      <c r="E26" s="19"/>
      <c r="F26" s="310" t="s">
        <v>3389</v>
      </c>
      <c r="G26" s="19"/>
      <c r="H26" s="19"/>
      <c r="I26" s="310" t="s">
        <v>3389</v>
      </c>
      <c r="J26" s="310" t="s">
        <v>3389</v>
      </c>
      <c r="K26" s="19"/>
      <c r="L26" s="19"/>
      <c r="M26" s="19"/>
      <c r="N26" s="19"/>
      <c r="O26" s="19"/>
      <c r="P26" s="236">
        <f t="shared" si="2"/>
        <v>0</v>
      </c>
      <c r="Q26" s="90"/>
    </row>
    <row r="27" spans="1:17" s="24" customFormat="1" ht="25">
      <c r="A27" s="96" t="str">
        <f t="shared" si="3"/>
        <v>R3=500;R1=;COM=</v>
      </c>
      <c r="B27" s="190"/>
      <c r="C27" s="551" t="s">
        <v>3504</v>
      </c>
      <c r="D27" s="19"/>
      <c r="E27" s="19"/>
      <c r="F27" s="310" t="s">
        <v>3389</v>
      </c>
      <c r="G27" s="19"/>
      <c r="H27" s="19"/>
      <c r="I27" s="310" t="s">
        <v>3389</v>
      </c>
      <c r="J27" s="310" t="s">
        <v>3389</v>
      </c>
      <c r="K27" s="19"/>
      <c r="L27" s="19"/>
      <c r="M27" s="19"/>
      <c r="N27" s="19"/>
      <c r="O27" s="19"/>
      <c r="P27" s="236">
        <f t="shared" si="2"/>
        <v>0</v>
      </c>
      <c r="Q27" s="90"/>
    </row>
    <row r="28" spans="1:17" s="24" customFormat="1" ht="50">
      <c r="A28" s="96" t="str">
        <f t="shared" si="3"/>
        <v>R3=501;R1=;COM=</v>
      </c>
      <c r="C28" s="551" t="s">
        <v>3505</v>
      </c>
      <c r="D28" s="1431"/>
      <c r="E28" s="19"/>
      <c r="F28" s="310" t="s">
        <v>3389</v>
      </c>
      <c r="G28" s="19"/>
      <c r="H28" s="19"/>
      <c r="I28" s="310" t="s">
        <v>3389</v>
      </c>
      <c r="J28" s="310" t="s">
        <v>3389</v>
      </c>
      <c r="K28" s="19"/>
      <c r="L28" s="19"/>
      <c r="M28" s="19"/>
      <c r="N28" s="19"/>
      <c r="O28" s="1431"/>
      <c r="P28" s="236">
        <f t="shared" si="2"/>
        <v>0</v>
      </c>
      <c r="Q28" s="90"/>
    </row>
    <row r="29" spans="1:17" s="24" customFormat="1" ht="25">
      <c r="A29" s="96" t="str">
        <f t="shared" si="3"/>
        <v>R3=600;R1=;COM=</v>
      </c>
      <c r="B29" s="114"/>
      <c r="C29" s="551" t="s">
        <v>3506</v>
      </c>
      <c r="D29" s="19"/>
      <c r="E29" s="19"/>
      <c r="F29" s="310" t="s">
        <v>3389</v>
      </c>
      <c r="G29" s="19"/>
      <c r="H29" s="19"/>
      <c r="I29" s="310" t="s">
        <v>3389</v>
      </c>
      <c r="J29" s="310" t="s">
        <v>3389</v>
      </c>
      <c r="K29" s="19"/>
      <c r="L29" s="19"/>
      <c r="M29" s="19"/>
      <c r="N29" s="19"/>
      <c r="O29" s="19"/>
      <c r="P29" s="236">
        <f t="shared" si="2"/>
        <v>0</v>
      </c>
      <c r="Q29" s="90"/>
    </row>
    <row r="30" spans="1:17" s="24" customFormat="1" ht="13">
      <c r="A30" s="96" t="str">
        <f t="shared" si="3"/>
        <v>R3=700;R1=;COM=</v>
      </c>
      <c r="B30" s="190"/>
      <c r="C30" s="551" t="s">
        <v>3507</v>
      </c>
      <c r="D30" s="19"/>
      <c r="E30" s="19"/>
      <c r="F30" s="310" t="s">
        <v>3389</v>
      </c>
      <c r="G30" s="19"/>
      <c r="H30" s="19"/>
      <c r="I30" s="310" t="s">
        <v>3389</v>
      </c>
      <c r="J30" s="310" t="s">
        <v>3389</v>
      </c>
      <c r="K30" s="19"/>
      <c r="L30" s="19"/>
      <c r="M30" s="19"/>
      <c r="N30" s="19"/>
      <c r="O30" s="19"/>
      <c r="P30" s="236">
        <f t="shared" si="2"/>
        <v>0</v>
      </c>
      <c r="Q30" s="90"/>
    </row>
    <row r="31" spans="1:17" s="24" customFormat="1" ht="25">
      <c r="A31" s="96"/>
      <c r="B31" s="190"/>
      <c r="C31" s="551" t="s">
        <v>3508</v>
      </c>
      <c r="D31" s="311">
        <f>SUM(D32:D34)</f>
        <v>0</v>
      </c>
      <c r="E31" s="311">
        <f>SUM(E32:E34)</f>
        <v>0</v>
      </c>
      <c r="F31" s="310" t="s">
        <v>3389</v>
      </c>
      <c r="G31" s="311">
        <f>SUM(G32:G34)</f>
        <v>0</v>
      </c>
      <c r="H31" s="311">
        <f>SUM(H32:H34)</f>
        <v>0</v>
      </c>
      <c r="I31" s="310" t="s">
        <v>3389</v>
      </c>
      <c r="J31" s="310" t="s">
        <v>3389</v>
      </c>
      <c r="K31" s="311">
        <f>SUM(K32:K34)</f>
        <v>0</v>
      </c>
      <c r="L31" s="311">
        <f>SUM(L32:L34)</f>
        <v>0</v>
      </c>
      <c r="M31" s="311">
        <f>SUM(M32:M34)</f>
        <v>0</v>
      </c>
      <c r="N31" s="311">
        <f>SUM(N32:N34)</f>
        <v>0</v>
      </c>
      <c r="O31" s="311">
        <f>SUM(O32:O34)</f>
        <v>0</v>
      </c>
      <c r="P31" s="17">
        <f t="shared" si="2"/>
        <v>0</v>
      </c>
      <c r="Q31" s="90"/>
    </row>
    <row r="32" spans="1:17" s="24" customFormat="1" ht="13">
      <c r="A32" s="96" t="str">
        <f t="shared" si="3"/>
        <v>R3=810;R1=;COM=</v>
      </c>
      <c r="B32" s="190"/>
      <c r="C32" s="551" t="s">
        <v>3509</v>
      </c>
      <c r="D32" s="19"/>
      <c r="E32" s="19"/>
      <c r="F32" s="310" t="s">
        <v>3389</v>
      </c>
      <c r="G32" s="19"/>
      <c r="H32" s="19"/>
      <c r="I32" s="310" t="s">
        <v>3389</v>
      </c>
      <c r="J32" s="310" t="s">
        <v>3389</v>
      </c>
      <c r="K32" s="19"/>
      <c r="L32" s="19"/>
      <c r="M32" s="19"/>
      <c r="N32" s="19"/>
      <c r="O32" s="1431"/>
      <c r="P32" s="236">
        <f t="shared" si="2"/>
        <v>0</v>
      </c>
      <c r="Q32" s="90" t="s">
        <v>5536</v>
      </c>
    </row>
    <row r="33" spans="1:17" s="24" customFormat="1" ht="13">
      <c r="A33" s="96" t="str">
        <f t="shared" si="3"/>
        <v>R3=820;R1=;COM=</v>
      </c>
      <c r="B33" s="190"/>
      <c r="C33" s="551" t="s">
        <v>3510</v>
      </c>
      <c r="D33" s="1431"/>
      <c r="E33" s="1431"/>
      <c r="F33" s="3286"/>
      <c r="G33" s="1431"/>
      <c r="H33" s="1431"/>
      <c r="I33" s="3286"/>
      <c r="J33" s="3286"/>
      <c r="K33" s="1431"/>
      <c r="L33" s="1431"/>
      <c r="M33" s="1431"/>
      <c r="N33" s="1431"/>
      <c r="O33" s="1431"/>
      <c r="P33" s="236"/>
      <c r="Q33" s="90"/>
    </row>
    <row r="34" spans="1:17" ht="25.5" thickBot="1">
      <c r="A34" s="307" t="str">
        <f>IF(ISERROR("R3="&amp;IF(MID(C34,2,1)="~","",MID(C34,2,3))&amp;";R1="&amp;IF(MID(C34,SEARCH("}",C34)-1,1)="~","",MID(C34,SEARCH("}",C34)-2,2))),"R1="&amp;";R3=","R3="&amp;IF(MID(C34,2,1)="~","",MID(C34,2,3))&amp;";R1="&amp;IF(MID(C34,SEARCH("}",C34)-1,1)="~","",MID(C34,SEARCH("}",C34)-2,2)))&amp;";"&amp;"COM="&amp;Q34</f>
        <v>R3=900;R1=;COM=</v>
      </c>
      <c r="C34" s="552" t="s">
        <v>10098</v>
      </c>
      <c r="D34" s="1432"/>
      <c r="E34" s="1432"/>
      <c r="F34" s="312" t="s">
        <v>3389</v>
      </c>
      <c r="G34" s="1432"/>
      <c r="H34" s="1432"/>
      <c r="I34" s="312" t="s">
        <v>3389</v>
      </c>
      <c r="J34" s="312" t="s">
        <v>3389</v>
      </c>
      <c r="K34" s="1432"/>
      <c r="L34" s="1432"/>
      <c r="M34" s="1432"/>
      <c r="N34" s="1432"/>
      <c r="O34" s="1432"/>
      <c r="P34" s="255">
        <f t="shared" si="2"/>
        <v>0</v>
      </c>
      <c r="Q34" s="313" t="s">
        <v>5536</v>
      </c>
    </row>
  </sheetData>
  <sheetProtection algorithmName="SHA-512" hashValue="okdr1aS5kpXYTiiHf5P4nPqqQs16ceXyMPjGMzl6wvyESzhCHkM+CBaGT/LyDqO6ZAzdIXqecLn6QKL9HjNQkA==" saltValue="T9EWvgXR6uKMZ/466eimFA==" spinCount="100000" sheet="1" objects="1" scenarios="1" formatColumns="0" formatRows="0" autoFilter="0"/>
  <autoFilter ref="C9:Q9"/>
  <customSheetViews>
    <customSheetView guid="{3769259D-9653-4B34-A2F6-4FB6F9F4E533}" scale="90" showGridLines="0" showAutoFilter="1" hiddenRows="1" hiddenColumns="1">
      <pane xSplit="3" ySplit="9" topLeftCell="D25" activePane="bottomRight" state="frozen"/>
      <selection pane="bottomRight" activeCell="F49" sqref="F49"/>
      <pageMargins left="0.7" right="0.7" top="0.75" bottom="0.75" header="0.3" footer="0.3"/>
      <autoFilter ref="B1:P1"/>
    </customSheetView>
    <customSheetView guid="{40D7A2BB-326C-4ED3-999C-17852F56D6F4}" scale="90" showGridLines="0" showAutoFilter="1" hiddenRows="1" hiddenColumns="1">
      <pane xSplit="3" ySplit="9" topLeftCell="D25" activePane="bottomRight" state="frozen"/>
      <selection pane="bottomRight" activeCell="F49" sqref="F49"/>
      <pageMargins left="0.7" right="0.7" top="0.75" bottom="0.75" header="0.3" footer="0.3"/>
      <autoFilter ref="B1:P1"/>
    </customSheetView>
    <customSheetView guid="{5D121940-0CE8-4A0E-A493-67FAAA6E0FF8}" scale="90" showGridLines="0" showAutoFilter="1" hiddenRows="1" hiddenColumns="1" topLeftCell="B2">
      <pane xSplit="2" ySplit="8" topLeftCell="L10" activePane="bottomRight" state="frozen"/>
      <selection pane="bottomRight" activeCell="C9" sqref="C9:Q9"/>
      <pageMargins left="0.7" right="0.7" top="0.75" bottom="0.75" header="0.3" footer="0.3"/>
      <autoFilter ref="B1:P1"/>
    </customSheetView>
    <customSheetView guid="{47AEACC4-6EA5-412C-AF39-A6C5357B313A}" scale="90" showGridLines="0" showAutoFilter="1" hiddenRows="1" hiddenColumns="1" topLeftCell="B2">
      <pane xSplit="2" ySplit="8" topLeftCell="L10" activePane="bottomRight" state="frozen"/>
      <selection pane="bottomRight" activeCell="C9" sqref="C9:Q9"/>
      <pageMargins left="0.7" right="0.7" top="0.75" bottom="0.75" header="0.3" footer="0.3"/>
      <autoFilter ref="B1:P1"/>
    </customSheetView>
    <customSheetView guid="{4D957B38-5430-481E-B791-E0A66F913B50}" scale="70">
      <selection activeCell="L4" sqref="L4"/>
      <pageMargins left="0.7" right="0.7" top="0.75" bottom="0.75" header="0.3" footer="0.3"/>
    </customSheetView>
    <customSheetView guid="{1C36793E-2B7E-411E-AA99-985D5D59B75A}" scale="70">
      <selection activeCell="D40" sqref="D40"/>
      <pageMargins left="0.7" right="0.7" top="0.75" bottom="0.75" header="0.3" footer="0.3"/>
    </customSheetView>
    <customSheetView guid="{C913A9E8-661B-40A4-A3C9-1BC5F2B2E9F0}" scale="90" showGridLines="0" showAutoFilter="1" hiddenRows="1" hiddenColumns="1" topLeftCell="B2">
      <pane xSplit="2" ySplit="8" topLeftCell="L10" activePane="bottomRight" state="frozen"/>
      <selection pane="bottomRight" activeCell="C9" sqref="C9:Q9"/>
      <pageMargins left="0.7" right="0.7" top="0.75" bottom="0.75" header="0.3" footer="0.3"/>
      <autoFilter ref="B1:P1"/>
    </customSheetView>
  </customSheetViews>
  <phoneticPr fontId="0" type="noConversion"/>
  <hyperlinks>
    <hyperlink ref="D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73" fitToWidth="2" orientation="landscape" horizontalDpi="4294967294" verticalDpi="4294967294"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8">
    <pageSetUpPr fitToPage="1"/>
  </sheetPr>
  <dimension ref="A1:I13"/>
  <sheetViews>
    <sheetView topLeftCell="B2" zoomScale="80" zoomScaleNormal="80" workbookViewId="0">
      <selection activeCell="F17" sqref="F17"/>
    </sheetView>
  </sheetViews>
  <sheetFormatPr defaultColWidth="11" defaultRowHeight="14.5"/>
  <cols>
    <col min="1" max="1" width="40.453125" style="32" hidden="1" customWidth="1"/>
    <col min="2" max="2" width="1.54296875" style="32" customWidth="1"/>
    <col min="3" max="3" width="39.54296875" style="346" customWidth="1"/>
    <col min="4" max="5" width="28.453125" style="346" customWidth="1"/>
    <col min="6" max="6" width="29.453125" style="346" customWidth="1"/>
    <col min="7" max="7" width="28.54296875" style="346" customWidth="1"/>
    <col min="8" max="8" width="17.54296875" style="346" customWidth="1"/>
    <col min="9" max="9" width="14.453125" style="32" customWidth="1"/>
    <col min="10" max="241" width="11" style="32"/>
    <col min="242" max="242" width="5.54296875" style="32" customWidth="1"/>
    <col min="243" max="243" width="39.54296875" style="32" customWidth="1"/>
    <col min="244" max="244" width="19.54296875" style="32" customWidth="1"/>
    <col min="245" max="246" width="20.453125" style="32" customWidth="1"/>
    <col min="247" max="247" width="21.54296875" style="32" customWidth="1"/>
    <col min="248" max="248" width="19.453125" style="32" customWidth="1"/>
    <col min="249" max="249" width="26.453125" style="32" customWidth="1"/>
    <col min="250" max="250" width="11.54296875" style="32" customWidth="1"/>
    <col min="251" max="16384" width="11" style="32"/>
  </cols>
  <sheetData>
    <row r="1" spans="1:9" s="24" customFormat="1" ht="26.25" hidden="1" customHeight="1">
      <c r="A1" s="275" t="s">
        <v>2842</v>
      </c>
      <c r="B1" s="22"/>
      <c r="C1" s="237"/>
      <c r="D1" s="237"/>
      <c r="E1" s="237"/>
      <c r="F1" s="237" t="s">
        <v>549</v>
      </c>
      <c r="G1" s="237" t="s">
        <v>550</v>
      </c>
      <c r="H1" s="237"/>
    </row>
    <row r="2" spans="1:9" s="24" customFormat="1" ht="12.5">
      <c r="A2" s="7"/>
      <c r="F2" s="1925" t="s">
        <v>1648</v>
      </c>
      <c r="G2" s="1925" t="s">
        <v>1648</v>
      </c>
    </row>
    <row r="3" spans="1:9" ht="26">
      <c r="A3" s="7"/>
      <c r="B3" s="192"/>
      <c r="C3" s="314" t="s">
        <v>3511</v>
      </c>
      <c r="D3" s="10"/>
      <c r="E3" s="10"/>
      <c r="F3"/>
      <c r="G3" s="10"/>
      <c r="H3" s="1897" t="s">
        <v>2067</v>
      </c>
      <c r="I3" s="1244">
        <f>Содержание!$D$2</f>
        <v>0</v>
      </c>
    </row>
    <row r="4" spans="1:9" ht="15" thickBot="1">
      <c r="A4" s="96"/>
      <c r="B4" s="192"/>
      <c r="C4" s="272"/>
      <c r="D4"/>
      <c r="E4" s="2358"/>
      <c r="F4" s="10"/>
      <c r="G4" s="3044" t="s">
        <v>1436</v>
      </c>
      <c r="H4" s="1897" t="s">
        <v>2075</v>
      </c>
      <c r="I4" s="1244" t="str">
        <f>Содержание!$D$15</f>
        <v>2022 год</v>
      </c>
    </row>
    <row r="5" spans="1:9" ht="52">
      <c r="A5" s="96"/>
      <c r="B5" s="193"/>
      <c r="C5" s="794" t="s">
        <v>5167</v>
      </c>
      <c r="D5" s="470" t="s">
        <v>3512</v>
      </c>
      <c r="E5" s="2359" t="s">
        <v>8394</v>
      </c>
      <c r="F5" s="14" t="s">
        <v>3513</v>
      </c>
      <c r="G5" s="14" t="s">
        <v>3514</v>
      </c>
      <c r="H5" s="793" t="s">
        <v>3401</v>
      </c>
    </row>
    <row r="6" spans="1:9">
      <c r="A6" s="96"/>
      <c r="B6" s="190"/>
      <c r="C6" s="99" t="s">
        <v>5247</v>
      </c>
      <c r="D6" s="15" t="s">
        <v>5247</v>
      </c>
      <c r="E6" s="2361" t="s">
        <v>5247</v>
      </c>
      <c r="F6" s="15" t="s">
        <v>674</v>
      </c>
      <c r="G6" s="15" t="s">
        <v>694</v>
      </c>
      <c r="H6" s="25"/>
    </row>
    <row r="7" spans="1:9" s="674" customFormat="1" ht="10.5">
      <c r="A7" s="694"/>
      <c r="B7" s="724"/>
      <c r="C7" s="1739" t="s">
        <v>4164</v>
      </c>
      <c r="D7" s="726" t="s">
        <v>4165</v>
      </c>
      <c r="E7" s="726" t="s">
        <v>4166</v>
      </c>
      <c r="F7" s="726" t="s">
        <v>5500</v>
      </c>
      <c r="G7" s="726" t="s">
        <v>4169</v>
      </c>
      <c r="H7" s="726" t="s">
        <v>4168</v>
      </c>
    </row>
    <row r="8" spans="1:9" s="646" customFormat="1">
      <c r="A8" s="645"/>
      <c r="B8" s="641"/>
      <c r="C8" s="1740" t="s">
        <v>4170</v>
      </c>
      <c r="D8" s="493" t="s">
        <v>3389</v>
      </c>
      <c r="E8" s="493" t="s">
        <v>3389</v>
      </c>
      <c r="F8" s="483">
        <f>SUM(F9:F9999)</f>
        <v>0</v>
      </c>
      <c r="G8" s="483">
        <f>SUM(G9:G9999)</f>
        <v>0</v>
      </c>
      <c r="H8" s="495" t="s">
        <v>4184</v>
      </c>
    </row>
    <row r="9" spans="1:9" ht="25">
      <c r="A9" s="9" t="str">
        <f>"R42=999999100;"&amp;"COM="&amp;H9</f>
        <v>R42=999999100;COM=</v>
      </c>
      <c r="B9" s="24"/>
      <c r="C9" s="1740" t="s">
        <v>4845</v>
      </c>
      <c r="D9" s="493" t="s">
        <v>3389</v>
      </c>
      <c r="E9" s="493" t="s">
        <v>3389</v>
      </c>
      <c r="F9" s="1439"/>
      <c r="G9" s="1439"/>
      <c r="H9" s="494"/>
    </row>
    <row r="10" spans="1:9">
      <c r="A10" s="9" t="str">
        <f t="shared" ref="A10:A12" si="0">"R42="&amp;MID(IF(E10&lt;&gt;"",E10,D10),1,30)&amp;";R36="&amp;MID(E10,1,30)&amp;";R43="&amp;MID(D10,1,30)&amp;";COM="&amp;H10</f>
        <v>R42= ;R36= ;R43= ;COM=</v>
      </c>
      <c r="B10" s="114"/>
      <c r="C10" s="1459"/>
      <c r="D10" s="492" t="str">
        <f>IF(ISERROR(VLOOKUP(C10,Список_компаний!$A$4:$B$65180,2,0))," ",VLOOKUP(C10,Список_компаний!$A$4:$B$65180,2,0))</f>
        <v xml:space="preserve"> </v>
      </c>
      <c r="E10" s="492" t="str">
        <f>IF(ISERROR(VLOOKUP(C10,Список_компаний!$A$4:$D$65180,3,0))," ",VLOOKUP(C10,Список_компаний!$A$4:$D$65180,3,0))</f>
        <v xml:space="preserve"> </v>
      </c>
      <c r="F10" s="1439"/>
      <c r="G10" s="1439"/>
      <c r="H10" s="494"/>
    </row>
    <row r="11" spans="1:9">
      <c r="A11" s="2427" t="str">
        <f t="shared" si="0"/>
        <v>R42= ;R36= ;R43= ;COM=</v>
      </c>
      <c r="B11" s="114"/>
      <c r="C11" s="1459"/>
      <c r="D11" s="492" t="str">
        <f>IF(ISERROR(VLOOKUP(C11,Список_компаний!$A$4:$B$65180,2,0))," ",VLOOKUP(C11,Список_компаний!$A$4:$B$65180,2,0))</f>
        <v xml:space="preserve"> </v>
      </c>
      <c r="E11" s="492" t="str">
        <f>IF(ISERROR(VLOOKUP(C11,Список_компаний!$A$4:$D$65180,3,0))," ",VLOOKUP(C11,Список_компаний!$A$4:$D$65180,3,0))</f>
        <v xml:space="preserve"> </v>
      </c>
      <c r="F11" s="1439"/>
      <c r="G11" s="1439"/>
      <c r="H11" s="494"/>
    </row>
    <row r="12" spans="1:9" ht="15" thickBot="1">
      <c r="A12" s="2427" t="str">
        <f t="shared" si="0"/>
        <v>R42= ;R36= ;R43= ;COM=</v>
      </c>
      <c r="B12" s="114"/>
      <c r="C12" s="2114"/>
      <c r="D12" s="785" t="str">
        <f>IF(ISERROR(VLOOKUP(C12,Список_компаний!$A$4:$B$65180,2,0))," ",VLOOKUP(C12,Список_компаний!$A$4:$B$65180,2,0))</f>
        <v xml:space="preserve"> </v>
      </c>
      <c r="E12" s="2418" t="str">
        <f>IF(ISERROR(VLOOKUP(C12,Список_компаний!$A$4:$D$65180,3,0))," ",VLOOKUP(C12,Список_компаний!$A$4:$D$65180,3,0))</f>
        <v xml:space="preserve"> </v>
      </c>
      <c r="F12" s="2184"/>
      <c r="G12" s="2184"/>
      <c r="H12" s="2185"/>
    </row>
    <row r="13" spans="1:9">
      <c r="B13" s="346"/>
      <c r="H13" s="32"/>
    </row>
  </sheetData>
  <sheetProtection algorithmName="SHA-512" hashValue="GF45Cxvm8kZhteaPggAGD4knNREnOmmYrWSH661YQHiyVdWoDbzZdQQMLLHNxKWK2VlTgooYMzjDW+H2RJQ7Ug==" saltValue="KEtFePBYGHHkdz0jVsae5g==" spinCount="100000" sheet="1" objects="1" scenarios="1" formatColumns="0" formatRows="0" autoFilter="0"/>
  <autoFilter ref="C7:H7"/>
  <customSheetViews>
    <customSheetView guid="{3769259D-9653-4B34-A2F6-4FB6F9F4E533}" showGridLines="0" showAutoFilter="1" hiddenRows="1" hiddenColumns="1">
      <pane xSplit="4" ySplit="7" topLeftCell="E8" activePane="bottomRight" state="frozen"/>
      <selection pane="bottomRight" activeCell="E36" sqref="E36"/>
      <pageMargins left="0.7" right="0.7" top="0.75" bottom="0.75" header="0.3" footer="0.3"/>
      <pageSetup paperSize="9" orientation="portrait" r:id="rId1"/>
      <autoFilter ref="B1:F1"/>
    </customSheetView>
    <customSheetView guid="{40D7A2BB-326C-4ED3-999C-17852F56D6F4}" showGridLines="0" showAutoFilter="1" hiddenRows="1" hiddenColumns="1">
      <pane xSplit="4" ySplit="7" topLeftCell="E8" activePane="bottomRight" state="frozen"/>
      <selection pane="bottomRight" activeCell="E36" sqref="E36"/>
      <pageMargins left="0.7" right="0.7" top="0.75" bottom="0.75" header="0.3" footer="0.3"/>
      <pageSetup paperSize="9" orientation="portrait" r:id="rId2"/>
      <autoFilter ref="B1:F1"/>
    </customSheetView>
    <customSheetView guid="{5D121940-0CE8-4A0E-A493-67FAAA6E0FF8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pageSetup paperSize="9" orientation="portrait" r:id="rId3"/>
      <autoFilter ref="B1:F1"/>
    </customSheetView>
    <customSheetView guid="{47AEACC4-6EA5-412C-AF39-A6C5357B313A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pageSetup paperSize="9" orientation="portrait" r:id="rId4"/>
      <autoFilter ref="B1:F1"/>
    </customSheetView>
    <customSheetView guid="{4D957B38-5430-481E-B791-E0A66F913B50}" scale="70">
      <selection activeCell="F9" sqref="F9"/>
      <pageMargins left="0.7" right="0.7" top="0.75" bottom="0.75" header="0.3" footer="0.3"/>
      <pageSetup paperSize="9" orientation="portrait" r:id="rId5"/>
    </customSheetView>
    <customSheetView guid="{1C36793E-2B7E-411E-AA99-985D5D59B75A}" scale="70">
      <selection activeCell="D40" sqref="D40"/>
      <pageMargins left="0.7" right="0.7" top="0.75" bottom="0.75" header="0.3" footer="0.3"/>
      <pageSetup paperSize="9" orientation="portrait" r:id="rId6"/>
    </customSheetView>
    <customSheetView guid="{C913A9E8-661B-40A4-A3C9-1BC5F2B2E9F0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pageSetup paperSize="9" orientation="portrait" r:id="rId7"/>
      <autoFilter ref="B1:F1"/>
    </customSheetView>
  </customSheetView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II64919:II64934">
      <formula1>_спис_комп_</formula1>
    </dataValidation>
    <dataValidation type="list" operator="equal" allowBlank="1" showErrorMessage="1" errorTitle="Выбор элемента списка" error="Данного элемента нет в списке" sqref="C10:C12">
      <formula1>_comp</formula1>
    </dataValidation>
  </dataValidations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9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11" name="Button 1">
              <controlPr defaultSize="0" print="0" autoFill="0" autoPict="0" macro="[0]!AddButtonsRowAdd">
                <anchor moveWithCells="1">
                  <from>
                    <xdr:col>6</xdr:col>
                    <xdr:colOff>228600</xdr:colOff>
                    <xdr:row>1</xdr:row>
                    <xdr:rowOff>146050</xdr:rowOff>
                  </from>
                  <to>
                    <xdr:col>6</xdr:col>
                    <xdr:colOff>1670050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>
    <pageSetUpPr fitToPage="1"/>
  </sheetPr>
  <dimension ref="A1:W14"/>
  <sheetViews>
    <sheetView topLeftCell="B2" zoomScale="85" zoomScaleNormal="85" workbookViewId="0">
      <selection activeCell="F17" sqref="F17"/>
    </sheetView>
  </sheetViews>
  <sheetFormatPr defaultColWidth="15" defaultRowHeight="14.5"/>
  <cols>
    <col min="1" max="1" width="6.453125" style="32" hidden="1" customWidth="1"/>
    <col min="2" max="2" width="1.81640625" style="32" customWidth="1"/>
    <col min="3" max="3" width="40.453125" style="32" customWidth="1"/>
    <col min="4" max="4" width="15.453125" style="32" customWidth="1"/>
    <col min="5" max="5" width="17.54296875" style="32" customWidth="1"/>
    <col min="6" max="8" width="15.453125" style="32" customWidth="1"/>
    <col min="9" max="9" width="26" style="32" customWidth="1"/>
    <col min="10" max="13" width="15.453125" style="32" customWidth="1"/>
    <col min="14" max="15" width="17.453125" style="32" customWidth="1"/>
    <col min="16" max="16" width="17" style="32" customWidth="1"/>
    <col min="17" max="17" width="16.54296875" style="32" customWidth="1"/>
    <col min="18" max="18" width="26.54296875" style="32" customWidth="1"/>
    <col min="19" max="19" width="24.1796875" style="32" customWidth="1"/>
    <col min="20" max="21" width="37.453125" style="32" customWidth="1"/>
    <col min="22" max="31" width="15.453125" style="32" customWidth="1"/>
    <col min="32" max="252" width="9.453125" style="32" customWidth="1"/>
    <col min="253" max="253" width="5.54296875" style="32" customWidth="1"/>
    <col min="254" max="254" width="30.54296875" style="32" customWidth="1"/>
    <col min="255" max="16384" width="15" style="32"/>
  </cols>
  <sheetData>
    <row r="1" spans="1:23" s="24" customFormat="1" ht="18" hidden="1" customHeight="1">
      <c r="A1" s="275" t="s">
        <v>4579</v>
      </c>
      <c r="B1" s="22"/>
      <c r="C1" s="22"/>
      <c r="D1" s="237" t="s">
        <v>5282</v>
      </c>
      <c r="E1" s="237"/>
      <c r="F1" s="237" t="s">
        <v>226</v>
      </c>
      <c r="G1" s="237"/>
      <c r="H1" s="237"/>
      <c r="I1" s="237" t="s">
        <v>9691</v>
      </c>
      <c r="J1" s="237" t="s">
        <v>227</v>
      </c>
      <c r="K1" s="237" t="s">
        <v>228</v>
      </c>
      <c r="L1" s="237"/>
      <c r="M1" s="237" t="s">
        <v>229</v>
      </c>
      <c r="N1" s="237" t="s">
        <v>230</v>
      </c>
      <c r="O1" s="237" t="s">
        <v>231</v>
      </c>
      <c r="P1" s="237" t="s">
        <v>232</v>
      </c>
      <c r="Q1" s="237" t="s">
        <v>233</v>
      </c>
      <c r="R1" s="237" t="s">
        <v>234</v>
      </c>
      <c r="S1" s="237" t="s">
        <v>235</v>
      </c>
      <c r="T1" s="237" t="s">
        <v>8469</v>
      </c>
      <c r="U1" s="237" t="s">
        <v>10220</v>
      </c>
      <c r="V1" s="237" t="s">
        <v>308</v>
      </c>
      <c r="W1" s="237"/>
    </row>
    <row r="2" spans="1:23" s="749" customFormat="1" ht="12.5">
      <c r="A2" s="7"/>
      <c r="B2" s="1920"/>
      <c r="D2" s="749" t="s">
        <v>1648</v>
      </c>
      <c r="E2" s="749" t="s">
        <v>1648</v>
      </c>
      <c r="F2" s="749" t="s">
        <v>1648</v>
      </c>
      <c r="G2" s="749" t="s">
        <v>1648</v>
      </c>
      <c r="H2" s="749" t="s">
        <v>1648</v>
      </c>
      <c r="I2" s="749" t="s">
        <v>1648</v>
      </c>
      <c r="J2" s="749" t="s">
        <v>1648</v>
      </c>
      <c r="K2" s="749" t="s">
        <v>1648</v>
      </c>
      <c r="L2" s="749" t="s">
        <v>1648</v>
      </c>
      <c r="R2" s="749" t="s">
        <v>1648</v>
      </c>
      <c r="S2" s="749" t="s">
        <v>1648</v>
      </c>
      <c r="V2" s="749" t="s">
        <v>1648</v>
      </c>
    </row>
    <row r="3" spans="1:23" s="315" customFormat="1" ht="26">
      <c r="A3" s="7"/>
      <c r="D3"/>
      <c r="E3" s="1897" t="s">
        <v>2067</v>
      </c>
      <c r="F3" s="1244">
        <f>Содержание!$D$2</f>
        <v>0</v>
      </c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</row>
    <row r="4" spans="1:23" s="24" customFormat="1">
      <c r="A4" s="7"/>
      <c r="C4" s="105" t="s">
        <v>3515</v>
      </c>
      <c r="D4" s="12"/>
      <c r="E4" s="1897" t="s">
        <v>2075</v>
      </c>
      <c r="F4" s="1244" t="str">
        <f>Содержание!$D$15</f>
        <v>2022 год</v>
      </c>
      <c r="G4" s="3044" t="s">
        <v>1436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</row>
    <row r="5" spans="1:23" s="24" customFormat="1" ht="15" thickBot="1">
      <c r="A5" s="7"/>
      <c r="C5" s="12"/>
      <c r="D5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</row>
    <row r="6" spans="1:23" s="24" customFormat="1" ht="39" customHeight="1">
      <c r="A6" s="7"/>
      <c r="C6" s="3963" t="s">
        <v>3516</v>
      </c>
      <c r="D6" s="3851" t="s">
        <v>3517</v>
      </c>
      <c r="E6" s="3851" t="s">
        <v>284</v>
      </c>
      <c r="F6" s="3735" t="s">
        <v>5586</v>
      </c>
      <c r="G6" s="3736"/>
      <c r="H6" s="3736"/>
      <c r="I6" s="3736"/>
      <c r="J6" s="3736"/>
      <c r="K6" s="3940"/>
      <c r="L6" s="3851" t="s">
        <v>285</v>
      </c>
      <c r="M6" s="3851" t="s">
        <v>5587</v>
      </c>
      <c r="N6" s="3851" t="s">
        <v>5588</v>
      </c>
      <c r="O6" s="3740" t="s">
        <v>2961</v>
      </c>
      <c r="P6" s="3961"/>
      <c r="Q6" s="3961"/>
      <c r="R6" s="3851" t="s">
        <v>892</v>
      </c>
      <c r="S6" s="3851" t="s">
        <v>10233</v>
      </c>
      <c r="T6" s="3851" t="s">
        <v>257</v>
      </c>
      <c r="U6" s="3851" t="s">
        <v>10218</v>
      </c>
      <c r="V6" s="3851" t="s">
        <v>3518</v>
      </c>
      <c r="W6" s="3832" t="s">
        <v>4183</v>
      </c>
    </row>
    <row r="7" spans="1:23" s="24" customFormat="1" ht="39" customHeight="1">
      <c r="A7" s="7"/>
      <c r="C7" s="3964"/>
      <c r="D7" s="3939"/>
      <c r="E7" s="3939"/>
      <c r="F7" s="3705" t="s">
        <v>5589</v>
      </c>
      <c r="G7" s="3942" t="s">
        <v>286</v>
      </c>
      <c r="H7" s="3944"/>
      <c r="I7" s="3705" t="s">
        <v>9680</v>
      </c>
      <c r="J7" s="3705" t="s">
        <v>5590</v>
      </c>
      <c r="K7" s="3705" t="s">
        <v>5591</v>
      </c>
      <c r="L7" s="3939"/>
      <c r="M7" s="3939"/>
      <c r="N7" s="3939"/>
      <c r="O7" s="3705" t="s">
        <v>5592</v>
      </c>
      <c r="P7" s="3705" t="s">
        <v>5593</v>
      </c>
      <c r="Q7" s="3705" t="s">
        <v>5594</v>
      </c>
      <c r="R7" s="3939"/>
      <c r="S7" s="3939"/>
      <c r="T7" s="3939"/>
      <c r="U7" s="3939"/>
      <c r="V7" s="3939"/>
      <c r="W7" s="3962"/>
    </row>
    <row r="8" spans="1:23" s="24" customFormat="1" ht="59.15" customHeight="1">
      <c r="A8" s="7"/>
      <c r="C8" s="3965"/>
      <c r="D8" s="3717"/>
      <c r="E8" s="3717"/>
      <c r="F8" s="3717"/>
      <c r="G8" s="368" t="s">
        <v>287</v>
      </c>
      <c r="H8" s="368" t="s">
        <v>1690</v>
      </c>
      <c r="I8" s="3717"/>
      <c r="J8" s="3717"/>
      <c r="K8" s="3717"/>
      <c r="L8" s="3717"/>
      <c r="M8" s="3717"/>
      <c r="N8" s="3717"/>
      <c r="O8" s="3717"/>
      <c r="P8" s="3717"/>
      <c r="Q8" s="3717"/>
      <c r="R8" s="3717"/>
      <c r="S8" s="3717"/>
      <c r="T8" s="3717"/>
      <c r="U8" s="3717"/>
      <c r="V8" s="3717"/>
      <c r="W8" s="3833"/>
    </row>
    <row r="9" spans="1:23" s="24" customFormat="1" ht="54.75" customHeight="1">
      <c r="A9" s="7"/>
      <c r="C9" s="99" t="s">
        <v>2219</v>
      </c>
      <c r="D9" s="15" t="s">
        <v>668</v>
      </c>
      <c r="E9" s="16">
        <v>1110</v>
      </c>
      <c r="F9" s="16">
        <v>1210</v>
      </c>
      <c r="G9" s="16">
        <v>1221</v>
      </c>
      <c r="H9" s="16">
        <v>1222</v>
      </c>
      <c r="I9" s="16">
        <v>1240</v>
      </c>
      <c r="J9" s="16">
        <v>1250</v>
      </c>
      <c r="K9" s="16">
        <v>1290</v>
      </c>
      <c r="L9" s="16">
        <v>2100</v>
      </c>
      <c r="M9" s="16">
        <v>2200</v>
      </c>
      <c r="N9" s="16">
        <v>2300</v>
      </c>
      <c r="O9" s="16">
        <v>2410</v>
      </c>
      <c r="P9" s="16">
        <v>2420</v>
      </c>
      <c r="Q9" s="16">
        <v>2430</v>
      </c>
      <c r="R9" s="16">
        <v>2500</v>
      </c>
      <c r="S9" s="16">
        <v>2600</v>
      </c>
      <c r="T9" s="16" t="s">
        <v>3519</v>
      </c>
      <c r="U9" s="3326">
        <v>4000</v>
      </c>
      <c r="V9" s="15" t="s">
        <v>4163</v>
      </c>
      <c r="W9" s="25"/>
    </row>
    <row r="10" spans="1:23" s="698" customFormat="1" ht="10">
      <c r="A10" s="668"/>
      <c r="B10" s="712"/>
      <c r="C10" s="1060" t="s">
        <v>4164</v>
      </c>
      <c r="D10" s="1061" t="s">
        <v>4165</v>
      </c>
      <c r="E10" s="1061" t="s">
        <v>4166</v>
      </c>
      <c r="F10" s="1061" t="s">
        <v>5500</v>
      </c>
      <c r="G10" s="1061" t="s">
        <v>4169</v>
      </c>
      <c r="H10" s="1061" t="s">
        <v>4168</v>
      </c>
      <c r="I10" s="1061" t="s">
        <v>4178</v>
      </c>
      <c r="J10" s="1061" t="s">
        <v>4179</v>
      </c>
      <c r="K10" s="1061" t="s">
        <v>4167</v>
      </c>
      <c r="L10" s="1061" t="s">
        <v>5501</v>
      </c>
      <c r="M10" s="1061" t="s">
        <v>4701</v>
      </c>
      <c r="N10" s="1061" t="s">
        <v>4702</v>
      </c>
      <c r="O10" s="1061" t="s">
        <v>4703</v>
      </c>
      <c r="P10" s="1061" t="s">
        <v>5502</v>
      </c>
      <c r="Q10" s="1061" t="s">
        <v>5503</v>
      </c>
      <c r="R10" s="1061" t="s">
        <v>5504</v>
      </c>
      <c r="S10" s="1061" t="s">
        <v>4853</v>
      </c>
      <c r="T10" s="1061" t="s">
        <v>4852</v>
      </c>
      <c r="U10" s="1061" t="s">
        <v>5505</v>
      </c>
      <c r="V10" s="1061" t="s">
        <v>4851</v>
      </c>
      <c r="W10" s="1061" t="s">
        <v>5506</v>
      </c>
    </row>
    <row r="11" spans="1:23" s="24" customFormat="1" ht="13">
      <c r="A11" s="7"/>
      <c r="C11" s="1062" t="s">
        <v>4170</v>
      </c>
      <c r="D11" s="1876">
        <f t="shared" ref="D11:T11" si="0">SUM(D12:D13)</f>
        <v>0</v>
      </c>
      <c r="E11" s="1876">
        <f t="shared" si="0"/>
        <v>0</v>
      </c>
      <c r="F11" s="1876">
        <f t="shared" si="0"/>
        <v>0</v>
      </c>
      <c r="G11" s="1876">
        <f t="shared" si="0"/>
        <v>0</v>
      </c>
      <c r="H11" s="1876">
        <f t="shared" si="0"/>
        <v>0</v>
      </c>
      <c r="I11" s="1876">
        <f>SUM(I12:I13)</f>
        <v>0</v>
      </c>
      <c r="J11" s="1876">
        <f t="shared" si="0"/>
        <v>0</v>
      </c>
      <c r="K11" s="1876">
        <f t="shared" si="0"/>
        <v>0</v>
      </c>
      <c r="L11" s="1876">
        <f t="shared" si="0"/>
        <v>0</v>
      </c>
      <c r="M11" s="1876">
        <f t="shared" si="0"/>
        <v>0</v>
      </c>
      <c r="N11" s="1876">
        <f t="shared" si="0"/>
        <v>0</v>
      </c>
      <c r="O11" s="1876">
        <f t="shared" si="0"/>
        <v>0</v>
      </c>
      <c r="P11" s="1876">
        <f t="shared" si="0"/>
        <v>0</v>
      </c>
      <c r="Q11" s="1876">
        <f t="shared" si="0"/>
        <v>0</v>
      </c>
      <c r="R11" s="1876">
        <f t="shared" si="0"/>
        <v>0</v>
      </c>
      <c r="S11" s="1876">
        <f t="shared" si="0"/>
        <v>0</v>
      </c>
      <c r="T11" s="1876">
        <f t="shared" si="0"/>
        <v>0</v>
      </c>
      <c r="U11" s="1876">
        <f>SUM(U12:U13)</f>
        <v>0</v>
      </c>
      <c r="V11" s="1876">
        <f>SUM(V12:V13)</f>
        <v>0</v>
      </c>
      <c r="W11" s="1063" t="s">
        <v>4184</v>
      </c>
    </row>
    <row r="12" spans="1:23" s="194" customFormat="1" ht="25">
      <c r="A12" s="9" t="str">
        <f>"R5="&amp;IF(ISERROR(MID(C12,FIND("{",C12)+1,FIND("}",C12)-FIND("{",C12)-1)),"",MID(C12,FIND("{",C12)+1,FIND("}",C12)-FIND("{",C12)-1))&amp;";"&amp;"COM="&amp;W12</f>
        <v>R5=2000;COM=</v>
      </c>
      <c r="B12" s="114"/>
      <c r="C12" s="2059" t="s">
        <v>255</v>
      </c>
      <c r="D12" s="1876">
        <v>0</v>
      </c>
      <c r="E12" s="2060" t="s">
        <v>4184</v>
      </c>
      <c r="F12" s="1065" t="s">
        <v>4184</v>
      </c>
      <c r="G12" s="1065" t="s">
        <v>4184</v>
      </c>
      <c r="H12" s="1065" t="s">
        <v>4184</v>
      </c>
      <c r="I12" s="1065" t="s">
        <v>4184</v>
      </c>
      <c r="J12" s="1065" t="s">
        <v>4184</v>
      </c>
      <c r="K12" s="1065" t="s">
        <v>4184</v>
      </c>
      <c r="L12" s="1065" t="s">
        <v>4184</v>
      </c>
      <c r="M12" s="2054">
        <f>'84_расш'!D8</f>
        <v>0</v>
      </c>
      <c r="N12" s="2053"/>
      <c r="O12" s="2054">
        <f>'84_расш'!E8</f>
        <v>0</v>
      </c>
      <c r="P12" s="2054">
        <f>'84_расш'!F8</f>
        <v>0</v>
      </c>
      <c r="Q12" s="2054">
        <f>'84_расш'!G8</f>
        <v>0</v>
      </c>
      <c r="R12" s="2054"/>
      <c r="S12" s="2054">
        <f>-'83'!I10</f>
        <v>0</v>
      </c>
      <c r="T12" s="2054">
        <f>-'96'!L49</f>
        <v>0</v>
      </c>
      <c r="U12" s="2053"/>
      <c r="V12" s="2054">
        <f>SUM(D12:U12)</f>
        <v>0</v>
      </c>
      <c r="W12" s="877"/>
    </row>
    <row r="13" spans="1:23" s="24" customFormat="1" ht="25.5" thickBot="1">
      <c r="A13" s="9" t="str">
        <f>"R5="&amp;IF(ISERROR(MID(C13,FIND("{",C13)+1,FIND("}",C13)-FIND("{",C13)-1)),"",MID(C13,FIND("{",C13)+1,FIND("}",C13)-FIND("{",C13)-1))&amp;";"&amp;"COM="&amp;W13</f>
        <v>R5=1000;COM=</v>
      </c>
      <c r="B13" s="114"/>
      <c r="C13" s="1066" t="s">
        <v>5688</v>
      </c>
      <c r="D13" s="1015"/>
      <c r="E13" s="2061" t="s">
        <v>3389</v>
      </c>
      <c r="F13" s="1015"/>
      <c r="G13" s="2061" t="s">
        <v>3389</v>
      </c>
      <c r="H13" s="2061" t="s">
        <v>3389</v>
      </c>
      <c r="I13" s="1015"/>
      <c r="J13" s="1015"/>
      <c r="K13" s="1708">
        <f>'84_расш'!C8</f>
        <v>0</v>
      </c>
      <c r="L13" s="2032" t="s">
        <v>4184</v>
      </c>
      <c r="M13" s="2032" t="s">
        <v>4184</v>
      </c>
      <c r="N13" s="2032" t="s">
        <v>4184</v>
      </c>
      <c r="O13" s="2032" t="s">
        <v>4184</v>
      </c>
      <c r="P13" s="2032" t="s">
        <v>4184</v>
      </c>
      <c r="Q13" s="2913" t="s">
        <v>4184</v>
      </c>
      <c r="R13" s="2032" t="s">
        <v>4184</v>
      </c>
      <c r="S13" s="2032" t="s">
        <v>4184</v>
      </c>
      <c r="T13" s="2032" t="s">
        <v>4184</v>
      </c>
      <c r="U13" s="2032" t="s">
        <v>4184</v>
      </c>
      <c r="V13" s="1708">
        <f>SUM(D13:U13)</f>
        <v>0</v>
      </c>
      <c r="W13" s="2033"/>
    </row>
    <row r="14" spans="1:23">
      <c r="A14" s="9"/>
    </row>
  </sheetData>
  <sheetProtection algorithmName="SHA-512" hashValue="uUIbtFrqfPK7G/tP625DEAMIJeX6TUGQ11xDXTbT7Axcil8Lfpxq579KKYZ7KzvTNm4VcnBn5bPRMEHzCLH+jQ==" saltValue="F7QKqlSrtJ0Cs+HBtw8KXw==" spinCount="100000" sheet="1" objects="1" scenarios="1" formatColumns="0" formatRows="0" autoFilter="0"/>
  <autoFilter ref="C10:W10"/>
  <customSheetViews>
    <customSheetView guid="{3769259D-9653-4B34-A2F6-4FB6F9F4E533}" showGridLines="0" showAutoFilter="1" hiddenRows="1" hiddenColumns="1">
      <pane xSplit="4" ySplit="8" topLeftCell="K9" activePane="bottomRight" state="frozen"/>
      <selection pane="bottomRight" activeCell="E36" sqref="E36"/>
      <pageMargins left="0.7" right="0.7" top="0.75" bottom="0.75" header="0.3" footer="0.3"/>
      <autoFilter ref="B1:O1"/>
    </customSheetView>
    <customSheetView guid="{40D7A2BB-326C-4ED3-999C-17852F56D6F4}" showGridLines="0" showAutoFilter="1" hiddenRows="1" hiddenColumns="1">
      <pane xSplit="4" ySplit="8" topLeftCell="K9" activePane="bottomRight" state="frozen"/>
      <selection pane="bottomRight" activeCell="E36" sqref="E36"/>
      <pageMargins left="0.7" right="0.7" top="0.75" bottom="0.75" header="0.3" footer="0.3"/>
      <autoFilter ref="B1:O1"/>
    </customSheetView>
    <customSheetView guid="{5D121940-0CE8-4A0E-A493-67FAAA6E0FF8}" showGridLines="0" showAutoFilter="1" hiddenRows="1" hiddenColumns="1" topLeftCell="B2">
      <pane xSplit="3" ySplit="7" topLeftCell="M9" activePane="bottomRight" state="frozen"/>
      <selection pane="bottomRight" activeCell="C8" sqref="C8:P8"/>
      <pageMargins left="0.7" right="0.7" top="0.75" bottom="0.75" header="0.3" footer="0.3"/>
      <autoFilter ref="B1:O1"/>
    </customSheetView>
    <customSheetView guid="{47AEACC4-6EA5-412C-AF39-A6C5357B313A}" showGridLines="0" showAutoFilter="1" hiddenRows="1" hiddenColumns="1" topLeftCell="B2">
      <pane xSplit="3" ySplit="7" topLeftCell="M9" activePane="bottomRight" state="frozen"/>
      <selection pane="bottomRight" activeCell="C8" sqref="C8:P8"/>
      <pageMargins left="0.7" right="0.7" top="0.75" bottom="0.75" header="0.3" footer="0.3"/>
      <autoFilter ref="B1:O1"/>
    </customSheetView>
    <customSheetView guid="{4D957B38-5430-481E-B791-E0A66F913B50}" scale="70">
      <pageMargins left="0.7" right="0.7" top="0.75" bottom="0.75" header="0.3" footer="0.3"/>
    </customSheetView>
    <customSheetView guid="{1C36793E-2B7E-411E-AA99-985D5D59B75A}" scale="70">
      <selection activeCell="D40" sqref="D40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7" topLeftCell="M9" activePane="bottomRight" state="frozen"/>
      <selection pane="bottomRight" activeCell="C8" sqref="C8:P8"/>
      <pageMargins left="0.7" right="0.7" top="0.75" bottom="0.75" header="0.3" footer="0.3"/>
      <autoFilter ref="B1:O1"/>
    </customSheetView>
  </customSheetViews>
  <mergeCells count="22">
    <mergeCell ref="D6:D8"/>
    <mergeCell ref="O7:O8"/>
    <mergeCell ref="E6:E8"/>
    <mergeCell ref="N6:N8"/>
    <mergeCell ref="C6:C8"/>
    <mergeCell ref="F6:K6"/>
    <mergeCell ref="L6:L8"/>
    <mergeCell ref="F7:F8"/>
    <mergeCell ref="K7:K8"/>
    <mergeCell ref="I7:I8"/>
    <mergeCell ref="G7:H7"/>
    <mergeCell ref="J7:J8"/>
    <mergeCell ref="M6:M8"/>
    <mergeCell ref="P7:P8"/>
    <mergeCell ref="O6:Q6"/>
    <mergeCell ref="W6:W8"/>
    <mergeCell ref="T6:T8"/>
    <mergeCell ref="S6:S8"/>
    <mergeCell ref="Q7:Q8"/>
    <mergeCell ref="V6:V8"/>
    <mergeCell ref="R6:R8"/>
    <mergeCell ref="U6:U8"/>
  </mergeCells>
  <phoneticPr fontId="0" type="noConversion"/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9" orientation="landscape"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pageSetUpPr fitToPage="1"/>
  </sheetPr>
  <dimension ref="A1:S14"/>
  <sheetViews>
    <sheetView topLeftCell="B2" zoomScale="54" zoomScaleNormal="54" workbookViewId="0">
      <selection activeCell="L10" sqref="L10"/>
    </sheetView>
  </sheetViews>
  <sheetFormatPr defaultColWidth="23.54296875" defaultRowHeight="14.5"/>
  <cols>
    <col min="1" max="1" width="11.1796875" style="32" hidden="1" customWidth="1"/>
    <col min="2" max="2" width="6.453125" style="32" customWidth="1"/>
    <col min="3" max="3" width="33.54296875" style="32" customWidth="1"/>
    <col min="4" max="4" width="47.54296875" style="32" bestFit="1" customWidth="1"/>
    <col min="5" max="5" width="13.54296875" style="32" bestFit="1" customWidth="1"/>
    <col min="6" max="6" width="18.453125" style="32" customWidth="1"/>
    <col min="7" max="7" width="15.453125" style="32" customWidth="1"/>
    <col min="8" max="8" width="43.54296875" style="32" customWidth="1"/>
    <col min="9" max="9" width="20.453125" style="32" customWidth="1"/>
    <col min="10" max="10" width="6" style="32" customWidth="1"/>
    <col min="11" max="11" width="18.453125" style="32" customWidth="1"/>
    <col min="12" max="12" width="23.453125" style="32" customWidth="1"/>
    <col min="13" max="18" width="9.453125" style="32" customWidth="1"/>
    <col min="19" max="19" width="11.453125" style="32" customWidth="1"/>
    <col min="20" max="234" width="9.453125" style="32" customWidth="1"/>
    <col min="235" max="235" width="5.54296875" style="32" customWidth="1"/>
    <col min="236" max="236" width="30.54296875" style="32" customWidth="1"/>
    <col min="237" max="254" width="15" style="32" customWidth="1"/>
    <col min="255" max="16384" width="23.54296875" style="32"/>
  </cols>
  <sheetData>
    <row r="1" spans="1:19" s="24" customFormat="1" ht="15" hidden="1" customHeight="1">
      <c r="A1" s="275" t="s">
        <v>2843</v>
      </c>
      <c r="B1" s="22"/>
      <c r="C1" s="237" t="s">
        <v>264</v>
      </c>
      <c r="D1" s="237" t="s">
        <v>265</v>
      </c>
      <c r="E1" s="237" t="s">
        <v>266</v>
      </c>
      <c r="F1" s="237" t="s">
        <v>267</v>
      </c>
      <c r="G1" s="237" t="s">
        <v>268</v>
      </c>
      <c r="H1" s="2934"/>
    </row>
    <row r="2" spans="1:19" s="24" customFormat="1" ht="12.5">
      <c r="A2" s="7"/>
      <c r="B2" s="23"/>
      <c r="D2" s="1925" t="s">
        <v>1648</v>
      </c>
    </row>
    <row r="3" spans="1:19" s="24" customFormat="1" ht="26">
      <c r="A3" s="7"/>
      <c r="C3" s="105" t="s">
        <v>1644</v>
      </c>
      <c r="D3"/>
      <c r="E3" s="12"/>
      <c r="F3" s="1897" t="s">
        <v>2067</v>
      </c>
      <c r="G3" s="1244">
        <f>Содержание!$D$2</f>
        <v>0</v>
      </c>
    </row>
    <row r="4" spans="1:19" s="24" customFormat="1" ht="15" thickBot="1">
      <c r="A4" s="7"/>
      <c r="C4"/>
      <c r="D4" s="12"/>
      <c r="F4" s="1897" t="s">
        <v>2075</v>
      </c>
      <c r="G4" s="1244" t="str">
        <f>Содержание!$D$15</f>
        <v>2022 год</v>
      </c>
      <c r="H4" s="3044" t="s">
        <v>1436</v>
      </c>
      <c r="I4" s="1202"/>
    </row>
    <row r="5" spans="1:19" s="24" customFormat="1" ht="39">
      <c r="A5" s="7"/>
      <c r="C5" s="85" t="s">
        <v>5689</v>
      </c>
      <c r="D5" s="3713" t="s">
        <v>5587</v>
      </c>
      <c r="E5" s="3735" t="s">
        <v>2961</v>
      </c>
      <c r="F5" s="3736"/>
      <c r="G5" s="3736"/>
      <c r="H5" s="3713" t="s">
        <v>6189</v>
      </c>
      <c r="I5" s="3967" t="s">
        <v>3401</v>
      </c>
    </row>
    <row r="6" spans="1:19" s="24" customFormat="1" ht="65">
      <c r="A6" s="7"/>
      <c r="C6" s="2049" t="s">
        <v>5591</v>
      </c>
      <c r="D6" s="3966"/>
      <c r="E6" s="2050" t="s">
        <v>5592</v>
      </c>
      <c r="F6" s="2050" t="s">
        <v>5593</v>
      </c>
      <c r="G6" s="2050" t="s">
        <v>5594</v>
      </c>
      <c r="H6" s="3966"/>
      <c r="I6" s="3968"/>
      <c r="K6" s="2749" t="s">
        <v>8707</v>
      </c>
      <c r="L6" s="2749" t="s">
        <v>8708</v>
      </c>
      <c r="N6" s="3122" t="s">
        <v>9797</v>
      </c>
      <c r="O6" s="3122"/>
    </row>
    <row r="7" spans="1:19" s="698" customFormat="1" ht="11.25" customHeight="1">
      <c r="A7" s="668"/>
      <c r="B7" s="712"/>
      <c r="C7" s="1742" t="s">
        <v>4164</v>
      </c>
      <c r="D7" s="1743" t="s">
        <v>4165</v>
      </c>
      <c r="E7" s="1743" t="s">
        <v>4166</v>
      </c>
      <c r="F7" s="1743" t="s">
        <v>5500</v>
      </c>
      <c r="G7" s="1743" t="s">
        <v>4169</v>
      </c>
      <c r="H7" s="1743" t="s">
        <v>4168</v>
      </c>
      <c r="I7" s="1743" t="s">
        <v>4178</v>
      </c>
      <c r="S7" s="2953" t="s">
        <v>8720</v>
      </c>
    </row>
    <row r="8" spans="1:19" s="698" customFormat="1" ht="14">
      <c r="A8" s="9"/>
      <c r="B8" s="712"/>
      <c r="C8" s="2045">
        <f>SUM($C$9:$C$100)</f>
        <v>0</v>
      </c>
      <c r="D8" s="2046">
        <f>SUM($D$9:$D$100)</f>
        <v>0</v>
      </c>
      <c r="E8" s="2046">
        <f>SUM($E$9:$E$100)</f>
        <v>0</v>
      </c>
      <c r="F8" s="2046">
        <f>SUM($F$9:$F$100)</f>
        <v>0</v>
      </c>
      <c r="G8" s="2046">
        <f>SUM($G$9:$G$100)</f>
        <v>0</v>
      </c>
      <c r="H8" s="2935"/>
      <c r="I8" s="1741"/>
      <c r="M8" s="2939">
        <f>SUM(M9:M5000)</f>
        <v>0</v>
      </c>
      <c r="N8" s="2939">
        <f t="shared" ref="N8:O8" si="0">SUM(N9:N5000)</f>
        <v>0</v>
      </c>
      <c r="O8" s="2939">
        <f t="shared" si="0"/>
        <v>0</v>
      </c>
      <c r="R8" s="2716"/>
      <c r="S8" s="2716" t="b">
        <f>IF(OR(Содержание!$D$2='84_расш'!$R$8,Содержание!$D$2='84_расш'!$R$9,),TRUE,FALSE)</f>
        <v>1</v>
      </c>
    </row>
    <row r="9" spans="1:19" s="194" customFormat="1" ht="14">
      <c r="A9" s="9" t="str">
        <f>"R31="&amp;H9&amp;";R11="&amp;";R17="&amp;";COM="&amp;I9</f>
        <v>R31=;R11=;R17=;COM=</v>
      </c>
      <c r="B9" s="114"/>
      <c r="C9" s="2047"/>
      <c r="D9" s="1064"/>
      <c r="E9" s="1064"/>
      <c r="F9" s="1064"/>
      <c r="G9" s="1064"/>
      <c r="H9" s="2199"/>
      <c r="I9" s="877"/>
      <c r="K9" s="2109" t="b">
        <f t="shared" ref="K9:K14" si="1">IF(OR(C9&lt;&gt;0,D9&lt;&gt;0,E9&lt;&gt;0,F9&lt;&gt;0,G9&lt;&gt;0),IF(I9&lt;&gt;"",TRUE,FALSE),TRUE)</f>
        <v>1</v>
      </c>
      <c r="L9" s="2109" t="b">
        <f>IF(OR(C9&lt;&gt;0,D9&lt;&gt;0,E9&lt;&gt;0,F9&lt;&gt;0,G9&lt;&gt;0),IF(H9&lt;&gt;"",TRUE,FALSE),TRUE)</f>
        <v>1</v>
      </c>
      <c r="M9" s="2939">
        <f>IF(H9=63,C9+D9+E9+F9+G9,0)</f>
        <v>0</v>
      </c>
      <c r="N9" s="2939" t="str">
        <f>IF(M9&lt;0,M9,"")</f>
        <v/>
      </c>
      <c r="O9" s="2939" t="str">
        <f>IF(M9&gt;0,M9,"")</f>
        <v/>
      </c>
      <c r="R9" s="2716"/>
      <c r="S9" s="2716"/>
    </row>
    <row r="10" spans="1:19" s="194" customFormat="1" ht="12.5">
      <c r="A10" s="2427" t="str">
        <f t="shared" ref="A10:A14" si="2">"R31="&amp;H10&amp;";R11="&amp;";R17="&amp;";COM="&amp;I10</f>
        <v>R31=;R11=;R17=;COM=</v>
      </c>
      <c r="B10" s="114"/>
      <c r="C10" s="2047"/>
      <c r="D10" s="1064"/>
      <c r="E10" s="1064"/>
      <c r="F10" s="1064"/>
      <c r="G10" s="1064"/>
      <c r="H10" s="2199"/>
      <c r="I10" s="877"/>
      <c r="K10" s="2109" t="b">
        <f t="shared" si="1"/>
        <v>1</v>
      </c>
      <c r="L10" s="2109" t="b">
        <f t="shared" ref="L10:L14" si="3">IF(OR(C10&lt;&gt;0,D10&lt;&gt;0,E10&lt;&gt;0,F10&lt;&gt;0,G10&lt;&gt;0),IF(H10&lt;&gt;"",TRUE,FALSE),TRUE)</f>
        <v>1</v>
      </c>
      <c r="M10" s="2939">
        <f t="shared" ref="M10:M14" si="4">IF(H10=63,C10+D10+E10+F10+G10,0)</f>
        <v>0</v>
      </c>
      <c r="N10" s="2939" t="str">
        <f t="shared" ref="N10:N14" si="5">IF(M10&lt;0,M10,"")</f>
        <v/>
      </c>
      <c r="O10" s="2939" t="str">
        <f t="shared" ref="O10:O14" si="6">IF(M10&gt;0,M10,"")</f>
        <v/>
      </c>
    </row>
    <row r="11" spans="1:19" s="194" customFormat="1" ht="12.5">
      <c r="A11" s="2427" t="str">
        <f t="shared" si="2"/>
        <v>R31=;R11=;R17=;COM=</v>
      </c>
      <c r="B11" s="114"/>
      <c r="C11" s="2047"/>
      <c r="D11" s="1064"/>
      <c r="E11" s="1064"/>
      <c r="F11" s="1064"/>
      <c r="G11" s="1064"/>
      <c r="H11" s="2199"/>
      <c r="I11" s="877"/>
      <c r="K11" s="2109" t="b">
        <f t="shared" si="1"/>
        <v>1</v>
      </c>
      <c r="L11" s="2109" t="b">
        <f t="shared" si="3"/>
        <v>1</v>
      </c>
      <c r="M11" s="2939">
        <f t="shared" si="4"/>
        <v>0</v>
      </c>
      <c r="N11" s="2939" t="str">
        <f t="shared" si="5"/>
        <v/>
      </c>
      <c r="O11" s="2939" t="str">
        <f t="shared" si="6"/>
        <v/>
      </c>
    </row>
    <row r="12" spans="1:19" s="194" customFormat="1" ht="12.5">
      <c r="A12" s="2427" t="str">
        <f t="shared" si="2"/>
        <v>R31=;R11=;R17=;COM=</v>
      </c>
      <c r="B12" s="114"/>
      <c r="C12" s="2047"/>
      <c r="D12" s="1064"/>
      <c r="E12" s="1064"/>
      <c r="F12" s="1064"/>
      <c r="G12" s="1064"/>
      <c r="H12" s="2199"/>
      <c r="I12" s="877"/>
      <c r="K12" s="2109" t="b">
        <f t="shared" si="1"/>
        <v>1</v>
      </c>
      <c r="L12" s="2109" t="b">
        <f t="shared" si="3"/>
        <v>1</v>
      </c>
      <c r="M12" s="2939">
        <f t="shared" si="4"/>
        <v>0</v>
      </c>
      <c r="N12" s="2939" t="str">
        <f t="shared" si="5"/>
        <v/>
      </c>
      <c r="O12" s="2939" t="str">
        <f t="shared" si="6"/>
        <v/>
      </c>
    </row>
    <row r="13" spans="1:19" s="194" customFormat="1" ht="12.5">
      <c r="A13" s="2427" t="str">
        <f t="shared" si="2"/>
        <v>R31=;R11=;R17=;COM=</v>
      </c>
      <c r="B13" s="114"/>
      <c r="C13" s="2047"/>
      <c r="D13" s="1064"/>
      <c r="E13" s="1064"/>
      <c r="F13" s="1064"/>
      <c r="G13" s="1064"/>
      <c r="H13" s="2199"/>
      <c r="I13" s="877"/>
      <c r="K13" s="2109" t="b">
        <f t="shared" si="1"/>
        <v>1</v>
      </c>
      <c r="L13" s="2109" t="b">
        <f t="shared" si="3"/>
        <v>1</v>
      </c>
      <c r="M13" s="2939">
        <f t="shared" si="4"/>
        <v>0</v>
      </c>
      <c r="N13" s="2939" t="str">
        <f t="shared" si="5"/>
        <v/>
      </c>
      <c r="O13" s="2939" t="str">
        <f t="shared" si="6"/>
        <v/>
      </c>
    </row>
    <row r="14" spans="1:19" s="24" customFormat="1" ht="13" thickBot="1">
      <c r="A14" s="2427" t="str">
        <f t="shared" si="2"/>
        <v>R31=;R11=;R17=;COM=</v>
      </c>
      <c r="B14" s="114"/>
      <c r="C14" s="2048"/>
      <c r="D14" s="2965"/>
      <c r="E14" s="1067"/>
      <c r="F14" s="1067"/>
      <c r="G14" s="1067"/>
      <c r="H14" s="2199"/>
      <c r="I14" s="879"/>
      <c r="K14" s="2109" t="b">
        <f t="shared" si="1"/>
        <v>1</v>
      </c>
      <c r="L14" s="2109" t="b">
        <f t="shared" si="3"/>
        <v>1</v>
      </c>
      <c r="M14" s="2939">
        <f t="shared" si="4"/>
        <v>0</v>
      </c>
      <c r="N14" s="2939" t="str">
        <f t="shared" si="5"/>
        <v/>
      </c>
      <c r="O14" s="2939" t="str">
        <f t="shared" si="6"/>
        <v/>
      </c>
    </row>
  </sheetData>
  <sheetProtection algorithmName="SHA-512" hashValue="hST1FVed9n9KOsHiqiR8YJX6cCiW8FhgIJKl/T1ccIu0PcahA418Gpc3hBMu7De3pCjyvWuRWVfwBD+Q+otADg==" saltValue="rkfGa47ET7Cb4e5M1WPySw==" spinCount="100000" sheet="1" objects="1" scenarios="1" formatColumns="0" formatRows="0" autoFilter="0"/>
  <autoFilter ref="C7:M7"/>
  <customSheetViews>
    <customSheetView guid="{3769259D-9653-4B34-A2F6-4FB6F9F4E533}" showGridLines="0" showAutoFilter="1" hiddenRows="1" hiddenColumns="1">
      <pane xSplit="3" ySplit="7" topLeftCell="D8" activePane="bottomRight" state="frozen"/>
      <selection pane="bottomRight" activeCell="E36" sqref="E36"/>
      <pageMargins left="0.7" right="0.7" top="0.75" bottom="0.75" header="0.3" footer="0.3"/>
      <autoFilter ref="B1:D1"/>
    </customSheetView>
    <customSheetView guid="{40D7A2BB-326C-4ED3-999C-17852F56D6F4}" showGridLines="0" showAutoFilter="1" hiddenRows="1" hiddenColumns="1">
      <pane xSplit="3" ySplit="7" topLeftCell="D8" activePane="bottomRight" state="frozen"/>
      <selection pane="bottomRight" activeCell="E36" sqref="E36"/>
      <pageMargins left="0.7" right="0.7" top="0.75" bottom="0.75" header="0.3" footer="0.3"/>
      <autoFilter ref="B1:D1"/>
    </customSheetView>
    <customSheetView guid="{5D121940-0CE8-4A0E-A493-67FAAA6E0FF8}" showGridLines="0" showAutoFilter="1" hiddenRows="1" hiddenColumns="1" topLeftCell="B2">
      <pane xSplit="2" ySplit="6" topLeftCell="D8" activePane="bottomRight" state="frozen"/>
      <selection pane="bottomRight" activeCell="C7" sqref="C7:E7"/>
      <pageMargins left="0.7" right="0.7" top="0.75" bottom="0.75" header="0.3" footer="0.3"/>
      <autoFilter ref="B1:D1"/>
    </customSheetView>
    <customSheetView guid="{47AEACC4-6EA5-412C-AF39-A6C5357B313A}" showGridLines="0" showAutoFilter="1" hiddenRows="1" hiddenColumns="1" topLeftCell="B2">
      <pane xSplit="2" ySplit="6" topLeftCell="D8" activePane="bottomRight" state="frozen"/>
      <selection pane="bottomRight" activeCell="C7" sqref="C7:E7"/>
      <pageMargins left="0.7" right="0.7" top="0.75" bottom="0.75" header="0.3" footer="0.3"/>
      <autoFilter ref="B1:D1"/>
    </customSheetView>
    <customSheetView guid="{C913A9E8-661B-40A4-A3C9-1BC5F2B2E9F0}" showGridLines="0" showAutoFilter="1" hiddenRows="1" hiddenColumns="1" topLeftCell="B2">
      <pane xSplit="2" ySplit="6" topLeftCell="D8" activePane="bottomRight" state="frozen"/>
      <selection pane="bottomRight" activeCell="C7" sqref="C7:E7"/>
      <pageMargins left="0.7" right="0.7" top="0.75" bottom="0.75" header="0.3" footer="0.3"/>
      <autoFilter ref="B1:D1"/>
    </customSheetView>
  </customSheetViews>
  <mergeCells count="4">
    <mergeCell ref="D5:D6"/>
    <mergeCell ref="I5:I6"/>
    <mergeCell ref="E5:G5"/>
    <mergeCell ref="H5:H6"/>
  </mergeCells>
  <phoneticPr fontId="0" type="noConversion"/>
  <dataValidations count="2">
    <dataValidation type="custom" showInputMessage="1" error="Заполнение данных только по согласованию с отделом ОКО_x000a_" sqref="D9:D14">
      <formula1>$S$8</formula1>
    </dataValidation>
    <dataValidation allowBlank="1" showInputMessage="1" sqref="C9:C14 E9:E14 F9:F14 G9:G14"/>
  </dataValidations>
  <hyperlinks>
    <hyperlink ref="H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6" r:id="rId4" name="Button 4">
              <controlPr defaultSize="0" print="0" autoFill="0" autoPict="0" macro="[0]!AddButtonsRowAdd">
                <anchor moveWithCells="1">
                  <from>
                    <xdr:col>3</xdr:col>
                    <xdr:colOff>1905000</xdr:colOff>
                    <xdr:row>1</xdr:row>
                    <xdr:rowOff>69850</xdr:rowOff>
                  </from>
                  <to>
                    <xdr:col>4</xdr:col>
                    <xdr:colOff>152400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ErrorMessage="1" errorTitle="Выбор элемента списка" error="Данного элемента нет в списке">
          <x14:formula1>
            <xm:f>Справочник!$DW$4:$DW$116</xm:f>
          </x14:formula1>
          <xm:sqref>H9:H14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1">
    <pageSetUpPr fitToPage="1"/>
  </sheetPr>
  <dimension ref="A1:AN42"/>
  <sheetViews>
    <sheetView topLeftCell="B14" zoomScale="68" zoomScaleNormal="68" workbookViewId="0">
      <selection activeCell="F17" sqref="F17"/>
    </sheetView>
  </sheetViews>
  <sheetFormatPr defaultColWidth="9.453125" defaultRowHeight="14.5"/>
  <cols>
    <col min="1" max="1" width="29.453125" style="271" hidden="1" customWidth="1"/>
    <col min="2" max="2" width="5.453125" style="32" customWidth="1"/>
    <col min="3" max="3" width="35.453125" style="32" bestFit="1" customWidth="1"/>
    <col min="4" max="4" width="17" style="32" bestFit="1" customWidth="1"/>
    <col min="5" max="5" width="25.453125" style="32" customWidth="1"/>
    <col min="6" max="6" width="16.453125" style="32" bestFit="1" customWidth="1"/>
    <col min="7" max="7" width="17.54296875" style="32" bestFit="1" customWidth="1"/>
    <col min="8" max="8" width="26" style="32" customWidth="1"/>
    <col min="9" max="9" width="55" style="32" customWidth="1"/>
    <col min="10" max="10" width="15.453125" style="32" bestFit="1" customWidth="1"/>
    <col min="11" max="11" width="8.453125" style="32" bestFit="1" customWidth="1"/>
    <col min="12" max="12" width="8" style="32" bestFit="1" customWidth="1"/>
    <col min="13" max="13" width="16.453125" style="32" bestFit="1" customWidth="1"/>
    <col min="14" max="14" width="37.453125" style="32" bestFit="1" customWidth="1"/>
    <col min="15" max="15" width="43.54296875" style="32" bestFit="1" customWidth="1"/>
    <col min="16" max="16" width="28.453125" style="32" bestFit="1" customWidth="1"/>
    <col min="17" max="17" width="51.453125" style="32" bestFit="1" customWidth="1"/>
    <col min="18" max="18" width="35.54296875" style="32" customWidth="1"/>
    <col min="19" max="19" width="34.453125" style="32" customWidth="1"/>
    <col min="20" max="20" width="20.54296875" style="32" bestFit="1" customWidth="1"/>
    <col min="21" max="21" width="28.453125" style="32" bestFit="1" customWidth="1"/>
    <col min="22" max="22" width="33.54296875" style="32" bestFit="1" customWidth="1"/>
    <col min="23" max="23" width="39" style="32" bestFit="1" customWidth="1"/>
    <col min="24" max="24" width="15.54296875" style="32" bestFit="1" customWidth="1"/>
    <col min="25" max="25" width="43.453125" style="32" bestFit="1" customWidth="1"/>
    <col min="26" max="26" width="15" style="32" bestFit="1" customWidth="1"/>
    <col min="27" max="27" width="21.453125" style="32" bestFit="1" customWidth="1"/>
    <col min="28" max="28" width="12.453125" style="32" bestFit="1" customWidth="1"/>
    <col min="29" max="29" width="8.54296875" style="32" bestFit="1" customWidth="1"/>
    <col min="30" max="31" width="16.453125" style="32" bestFit="1" customWidth="1"/>
    <col min="32" max="32" width="28.54296875" style="32" customWidth="1"/>
    <col min="33" max="34" width="13.453125" style="32" customWidth="1"/>
    <col min="35" max="35" width="10.54296875" style="32" customWidth="1"/>
    <col min="36" max="36" width="13.453125" style="32" customWidth="1"/>
    <col min="37" max="37" width="26" style="32" customWidth="1"/>
    <col min="38" max="38" width="12.54296875" style="32" customWidth="1"/>
    <col min="39" max="39" width="15.54296875" style="32" customWidth="1"/>
    <col min="40" max="40" width="15.81640625" style="32" customWidth="1"/>
    <col min="41" max="16384" width="9.453125" style="32"/>
  </cols>
  <sheetData>
    <row r="1" spans="1:40" ht="21" hidden="1" customHeight="1">
      <c r="A1" s="537" t="s">
        <v>4585</v>
      </c>
      <c r="B1" s="6"/>
      <c r="C1" s="6"/>
      <c r="D1" s="6"/>
      <c r="E1" s="6"/>
      <c r="F1" s="6"/>
      <c r="G1" s="6"/>
      <c r="H1" s="6"/>
      <c r="I1" s="6"/>
      <c r="J1" s="6"/>
      <c r="K1" s="6"/>
      <c r="L1" s="6" t="s">
        <v>1051</v>
      </c>
      <c r="M1" s="6" t="s">
        <v>551</v>
      </c>
      <c r="N1" s="6" t="s">
        <v>552</v>
      </c>
      <c r="O1" s="6" t="s">
        <v>553</v>
      </c>
      <c r="P1" s="6" t="s">
        <v>554</v>
      </c>
      <c r="Q1" s="6" t="s">
        <v>555</v>
      </c>
      <c r="R1" s="6" t="s">
        <v>556</v>
      </c>
      <c r="S1" s="6" t="s">
        <v>557</v>
      </c>
      <c r="T1" s="6" t="s">
        <v>558</v>
      </c>
      <c r="U1" s="6" t="s">
        <v>559</v>
      </c>
      <c r="V1" s="6" t="s">
        <v>560</v>
      </c>
      <c r="W1" s="6" t="s">
        <v>561</v>
      </c>
      <c r="X1" s="6" t="s">
        <v>562</v>
      </c>
      <c r="Y1" s="6" t="s">
        <v>563</v>
      </c>
      <c r="Z1" s="6" t="s">
        <v>564</v>
      </c>
      <c r="AA1" s="6" t="s">
        <v>565</v>
      </c>
      <c r="AB1" s="6" t="s">
        <v>566</v>
      </c>
      <c r="AC1" s="6"/>
      <c r="AD1" s="6" t="s">
        <v>1057</v>
      </c>
      <c r="AE1" s="6" t="s">
        <v>1058</v>
      </c>
      <c r="AF1" s="6"/>
    </row>
    <row r="2" spans="1:40" s="749" customFormat="1" ht="12.5">
      <c r="A2" s="538"/>
      <c r="L2" s="749" t="s">
        <v>1648</v>
      </c>
      <c r="M2" s="749" t="s">
        <v>1648</v>
      </c>
      <c r="N2" s="749" t="s">
        <v>1648</v>
      </c>
      <c r="O2" s="749" t="s">
        <v>1648</v>
      </c>
      <c r="P2" s="749" t="s">
        <v>1648</v>
      </c>
      <c r="Q2" s="749" t="s">
        <v>1648</v>
      </c>
      <c r="R2" s="749" t="s">
        <v>1648</v>
      </c>
      <c r="S2" s="749" t="s">
        <v>1648</v>
      </c>
      <c r="T2" s="749" t="s">
        <v>1648</v>
      </c>
      <c r="U2" s="749" t="s">
        <v>1648</v>
      </c>
      <c r="V2" s="749" t="s">
        <v>1648</v>
      </c>
      <c r="W2" s="749" t="s">
        <v>1648</v>
      </c>
      <c r="X2" s="749" t="s">
        <v>1648</v>
      </c>
      <c r="Y2" s="749" t="s">
        <v>1648</v>
      </c>
      <c r="Z2" s="749" t="s">
        <v>1648</v>
      </c>
      <c r="AA2" s="749" t="s">
        <v>1648</v>
      </c>
      <c r="AB2" s="749" t="s">
        <v>1648</v>
      </c>
      <c r="AC2" s="749" t="s">
        <v>1648</v>
      </c>
      <c r="AD2" s="749" t="s">
        <v>1648</v>
      </c>
      <c r="AE2" s="749" t="s">
        <v>1648</v>
      </c>
    </row>
    <row r="3" spans="1:40" s="10" customFormat="1">
      <c r="A3" s="538"/>
      <c r="D3"/>
      <c r="E3" s="2358"/>
      <c r="H3" s="1897" t="s">
        <v>2067</v>
      </c>
      <c r="I3" s="1244">
        <f>Содержание!$D$2</f>
        <v>0</v>
      </c>
    </row>
    <row r="4" spans="1:40" s="10" customFormat="1">
      <c r="A4" s="538"/>
      <c r="C4" s="11" t="s">
        <v>5538</v>
      </c>
      <c r="D4"/>
      <c r="E4" s="2358"/>
      <c r="G4" s="3044" t="s">
        <v>1436</v>
      </c>
      <c r="H4" s="1897" t="s">
        <v>2075</v>
      </c>
      <c r="I4" s="1244" t="str">
        <f>Содержание!$D$15</f>
        <v>2022 год</v>
      </c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</row>
    <row r="5" spans="1:40" s="10" customFormat="1" ht="13.5" thickBot="1">
      <c r="A5" s="538"/>
      <c r="D5" s="10" t="b">
        <f t="array" ref="D5">IF(SMALL(IF(""=C15:C2700,ROW(C15:C2700),2700),1)&gt;LARGE(IF(""&lt;&gt;C15:C2700,ROW(C15:C2700),0),1),TRUE,FALSE)</f>
        <v>1</v>
      </c>
      <c r="J5" s="209"/>
      <c r="O5" s="210"/>
    </row>
    <row r="6" spans="1:40" s="10" customFormat="1" ht="38.25" customHeight="1" thickBot="1">
      <c r="A6" s="538"/>
      <c r="C6" s="3732" t="s">
        <v>5539</v>
      </c>
      <c r="D6" s="3713" t="s">
        <v>5540</v>
      </c>
      <c r="E6" s="3970" t="s">
        <v>8394</v>
      </c>
      <c r="F6" s="3713" t="s">
        <v>5382</v>
      </c>
      <c r="G6" s="3713" t="s">
        <v>5383</v>
      </c>
      <c r="H6" s="3713" t="s">
        <v>1832</v>
      </c>
      <c r="I6" s="3713" t="s">
        <v>5541</v>
      </c>
      <c r="J6" s="3713" t="s">
        <v>3395</v>
      </c>
      <c r="K6" s="3713" t="s">
        <v>4664</v>
      </c>
      <c r="L6" s="3735" t="s">
        <v>5225</v>
      </c>
      <c r="M6" s="3940"/>
      <c r="N6" s="3713" t="s">
        <v>5542</v>
      </c>
      <c r="O6" s="3713" t="s">
        <v>5543</v>
      </c>
      <c r="P6" s="3713" t="s">
        <v>5544</v>
      </c>
      <c r="Q6" s="3713" t="s">
        <v>5545</v>
      </c>
      <c r="R6" s="3705" t="s">
        <v>998</v>
      </c>
      <c r="S6" s="3705" t="s">
        <v>999</v>
      </c>
      <c r="T6" s="3713" t="s">
        <v>10140</v>
      </c>
      <c r="U6" s="3713" t="s">
        <v>5546</v>
      </c>
      <c r="V6" s="3713" t="s">
        <v>2779</v>
      </c>
      <c r="W6" s="3713" t="s">
        <v>8590</v>
      </c>
      <c r="X6" s="3713" t="s">
        <v>5547</v>
      </c>
      <c r="Y6" s="3713" t="s">
        <v>5548</v>
      </c>
      <c r="Z6" s="3713" t="s">
        <v>5549</v>
      </c>
      <c r="AA6" s="3713" t="s">
        <v>3970</v>
      </c>
      <c r="AB6" s="3713" t="s">
        <v>5550</v>
      </c>
      <c r="AC6" s="3713" t="s">
        <v>5233</v>
      </c>
      <c r="AD6" s="3713"/>
      <c r="AE6" s="3713"/>
      <c r="AF6" s="3711" t="s">
        <v>3401</v>
      </c>
    </row>
    <row r="7" spans="1:40" s="10" customFormat="1" ht="78">
      <c r="A7" s="538"/>
      <c r="C7" s="3732"/>
      <c r="D7" s="3713"/>
      <c r="E7" s="3971"/>
      <c r="F7" s="3713"/>
      <c r="G7" s="3710"/>
      <c r="H7" s="3710"/>
      <c r="I7" s="3710"/>
      <c r="J7" s="3710"/>
      <c r="K7" s="3710"/>
      <c r="L7" s="16" t="s">
        <v>4170</v>
      </c>
      <c r="M7" s="16" t="s">
        <v>1650</v>
      </c>
      <c r="N7" s="3710"/>
      <c r="O7" s="3710"/>
      <c r="P7" s="3710"/>
      <c r="Q7" s="3710"/>
      <c r="R7" s="3939"/>
      <c r="S7" s="3939"/>
      <c r="T7" s="3710"/>
      <c r="U7" s="3710"/>
      <c r="V7" s="3710"/>
      <c r="W7" s="3710"/>
      <c r="X7" s="3710"/>
      <c r="Y7" s="3710"/>
      <c r="Z7" s="3710"/>
      <c r="AA7" s="3710"/>
      <c r="AB7" s="3710"/>
      <c r="AC7" s="16" t="s">
        <v>4170</v>
      </c>
      <c r="AD7" s="16" t="s">
        <v>5551</v>
      </c>
      <c r="AE7" s="16" t="s">
        <v>5552</v>
      </c>
      <c r="AF7" s="3711"/>
    </row>
    <row r="8" spans="1:40" s="10" customFormat="1" ht="12.75" customHeight="1">
      <c r="A8" s="538"/>
      <c r="C8" s="71">
        <v>6004</v>
      </c>
      <c r="D8" s="16">
        <v>6004</v>
      </c>
      <c r="E8" s="2361" t="s">
        <v>5247</v>
      </c>
      <c r="F8" s="16">
        <v>4006</v>
      </c>
      <c r="G8" s="16">
        <v>4006</v>
      </c>
      <c r="H8" s="16">
        <v>1009</v>
      </c>
      <c r="I8" s="16" t="s">
        <v>3397</v>
      </c>
      <c r="J8" s="16">
        <v>1010</v>
      </c>
      <c r="K8" s="16">
        <v>6003</v>
      </c>
      <c r="L8" s="16" t="s">
        <v>674</v>
      </c>
      <c r="M8" s="16" t="s">
        <v>674</v>
      </c>
      <c r="N8" s="16" t="s">
        <v>2794</v>
      </c>
      <c r="O8" s="16" t="s">
        <v>2795</v>
      </c>
      <c r="P8" s="16" t="s">
        <v>2796</v>
      </c>
      <c r="Q8" s="16" t="s">
        <v>2797</v>
      </c>
      <c r="R8" s="16" t="s">
        <v>701</v>
      </c>
      <c r="S8" s="16" t="s">
        <v>702</v>
      </c>
      <c r="T8" s="16" t="s">
        <v>2798</v>
      </c>
      <c r="U8" s="16" t="s">
        <v>2799</v>
      </c>
      <c r="V8" s="16" t="s">
        <v>2800</v>
      </c>
      <c r="W8" s="16" t="s">
        <v>2801</v>
      </c>
      <c r="X8" s="16" t="s">
        <v>2802</v>
      </c>
      <c r="Y8" s="16" t="s">
        <v>2803</v>
      </c>
      <c r="Z8" s="16" t="s">
        <v>2804</v>
      </c>
      <c r="AA8" s="16" t="s">
        <v>2805</v>
      </c>
      <c r="AB8" s="16" t="s">
        <v>2806</v>
      </c>
      <c r="AC8" s="16" t="s">
        <v>694</v>
      </c>
      <c r="AD8" s="16">
        <v>10</v>
      </c>
      <c r="AE8" s="16">
        <v>20</v>
      </c>
      <c r="AF8" s="27"/>
    </row>
    <row r="9" spans="1:40" s="680" customFormat="1" ht="11.25" customHeight="1">
      <c r="A9" s="700"/>
      <c r="C9" s="1364" t="s">
        <v>4164</v>
      </c>
      <c r="D9" s="1364" t="s">
        <v>4165</v>
      </c>
      <c r="E9" s="1364" t="s">
        <v>4166</v>
      </c>
      <c r="F9" s="1364" t="s">
        <v>5500</v>
      </c>
      <c r="G9" s="1364" t="s">
        <v>4169</v>
      </c>
      <c r="H9" s="1364" t="s">
        <v>4168</v>
      </c>
      <c r="I9" s="1364" t="s">
        <v>4178</v>
      </c>
      <c r="J9" s="1364" t="s">
        <v>4179</v>
      </c>
      <c r="K9" s="1364" t="s">
        <v>4167</v>
      </c>
      <c r="L9" s="1364" t="s">
        <v>5501</v>
      </c>
      <c r="M9" s="1364" t="s">
        <v>4701</v>
      </c>
      <c r="N9" s="1364" t="s">
        <v>4702</v>
      </c>
      <c r="O9" s="1364" t="s">
        <v>4703</v>
      </c>
      <c r="P9" s="1364" t="s">
        <v>5502</v>
      </c>
      <c r="Q9" s="1364" t="s">
        <v>5503</v>
      </c>
      <c r="R9" s="1364" t="s">
        <v>5504</v>
      </c>
      <c r="S9" s="1364" t="s">
        <v>4853</v>
      </c>
      <c r="T9" s="1364" t="s">
        <v>4852</v>
      </c>
      <c r="U9" s="1364" t="s">
        <v>5505</v>
      </c>
      <c r="V9" s="1364" t="s">
        <v>4851</v>
      </c>
      <c r="W9" s="1364" t="s">
        <v>5506</v>
      </c>
      <c r="X9" s="1364" t="s">
        <v>4850</v>
      </c>
      <c r="Y9" s="1364" t="s">
        <v>3303</v>
      </c>
      <c r="Z9" s="1364" t="s">
        <v>3304</v>
      </c>
      <c r="AA9" s="1364" t="s">
        <v>3305</v>
      </c>
      <c r="AB9" s="1364" t="s">
        <v>3306</v>
      </c>
      <c r="AC9" s="1364" t="s">
        <v>3307</v>
      </c>
      <c r="AD9" s="1364" t="s">
        <v>3308</v>
      </c>
      <c r="AE9" s="1364" t="s">
        <v>3309</v>
      </c>
      <c r="AF9" s="1364" t="s">
        <v>3310</v>
      </c>
    </row>
    <row r="10" spans="1:40" s="10" customFormat="1" ht="13">
      <c r="A10" s="538"/>
      <c r="C10" s="1356" t="s">
        <v>4170</v>
      </c>
      <c r="D10" s="1357" t="s">
        <v>3389</v>
      </c>
      <c r="E10" s="1357" t="s">
        <v>3389</v>
      </c>
      <c r="F10" s="1357" t="s">
        <v>3389</v>
      </c>
      <c r="G10" s="1357" t="s">
        <v>3389</v>
      </c>
      <c r="H10" s="1357" t="s">
        <v>3389</v>
      </c>
      <c r="I10" s="1357" t="s">
        <v>3389</v>
      </c>
      <c r="J10" s="1357" t="s">
        <v>3389</v>
      </c>
      <c r="K10" s="1357" t="s">
        <v>3389</v>
      </c>
      <c r="L10" s="1332">
        <f>SUM(L15:L19986)</f>
        <v>0</v>
      </c>
      <c r="M10" s="1332">
        <f t="shared" ref="M10:AE10" si="0">SUM(M15:M19986)</f>
        <v>0</v>
      </c>
      <c r="N10" s="1332">
        <f t="shared" si="0"/>
        <v>0</v>
      </c>
      <c r="O10" s="1332">
        <f t="shared" si="0"/>
        <v>0</v>
      </c>
      <c r="P10" s="1332">
        <f t="shared" si="0"/>
        <v>0</v>
      </c>
      <c r="Q10" s="1332">
        <f>SUM(Q15:Q19986)</f>
        <v>0</v>
      </c>
      <c r="R10" s="1332">
        <f>SUM(R15:R19986)</f>
        <v>0</v>
      </c>
      <c r="S10" s="1332">
        <f>SUM(S15:S19986)</f>
        <v>0</v>
      </c>
      <c r="T10" s="1332">
        <f t="shared" si="0"/>
        <v>0</v>
      </c>
      <c r="U10" s="1332">
        <f t="shared" si="0"/>
        <v>0</v>
      </c>
      <c r="V10" s="1332">
        <f t="shared" si="0"/>
        <v>0</v>
      </c>
      <c r="W10" s="1332">
        <f t="shared" si="0"/>
        <v>0</v>
      </c>
      <c r="X10" s="1332">
        <f t="shared" si="0"/>
        <v>0</v>
      </c>
      <c r="Y10" s="1332">
        <f t="shared" si="0"/>
        <v>0</v>
      </c>
      <c r="Z10" s="1332">
        <f t="shared" si="0"/>
        <v>0</v>
      </c>
      <c r="AA10" s="1332">
        <f t="shared" si="0"/>
        <v>0</v>
      </c>
      <c r="AB10" s="1332">
        <f t="shared" si="0"/>
        <v>0</v>
      </c>
      <c r="AC10" s="1332">
        <f t="shared" si="0"/>
        <v>0</v>
      </c>
      <c r="AD10" s="1332">
        <f>SUM(AD15:AD19986)</f>
        <v>0</v>
      </c>
      <c r="AE10" s="1332">
        <f t="shared" si="0"/>
        <v>0</v>
      </c>
      <c r="AF10" s="1358" t="s">
        <v>3389</v>
      </c>
    </row>
    <row r="11" spans="1:40" s="10" customFormat="1" ht="13.5" thickBot="1">
      <c r="A11" s="538"/>
      <c r="C11" s="1350" t="s">
        <v>4849</v>
      </c>
      <c r="D11" s="1357" t="s">
        <v>3389</v>
      </c>
      <c r="E11" s="1357" t="s">
        <v>3389</v>
      </c>
      <c r="F11" s="1357" t="s">
        <v>3389</v>
      </c>
      <c r="G11" s="1357" t="s">
        <v>3389</v>
      </c>
      <c r="H11" s="1357" t="s">
        <v>3389</v>
      </c>
      <c r="I11" s="1357" t="s">
        <v>3389</v>
      </c>
      <c r="J11" s="1357" t="s">
        <v>3389</v>
      </c>
      <c r="K11" s="1357" t="s">
        <v>3389</v>
      </c>
      <c r="L11" s="1332">
        <f t="shared" ref="L11:V11" si="1">SUMIF($I:$I,"{121100} Федеральный бюджет",L:L)+SUMIF($I:$I,"{121200} Бюджет субъектов РФ",L:L)+SUMIF($I:$I,"{121300} Местный бюджет",L:L)</f>
        <v>0</v>
      </c>
      <c r="M11" s="1332">
        <f t="shared" si="1"/>
        <v>0</v>
      </c>
      <c r="N11" s="1332">
        <f t="shared" si="1"/>
        <v>0</v>
      </c>
      <c r="O11" s="1332">
        <f t="shared" si="1"/>
        <v>0</v>
      </c>
      <c r="P11" s="1332">
        <f t="shared" si="1"/>
        <v>0</v>
      </c>
      <c r="Q11" s="1332">
        <f t="shared" si="1"/>
        <v>0</v>
      </c>
      <c r="R11" s="1332">
        <f t="shared" si="1"/>
        <v>0</v>
      </c>
      <c r="S11" s="1332">
        <f t="shared" si="1"/>
        <v>0</v>
      </c>
      <c r="T11" s="1332">
        <f t="shared" si="1"/>
        <v>0</v>
      </c>
      <c r="U11" s="1332">
        <f t="shared" si="1"/>
        <v>0</v>
      </c>
      <c r="V11" s="1332">
        <f t="shared" si="1"/>
        <v>0</v>
      </c>
      <c r="W11" s="1332">
        <f t="shared" ref="W11:AE11" si="2">SUMIF($I:$I,"{121100} Федеральный бюджет",W:W)+SUMIF($I:$I,"{121200} Бюджет субъектов РФ",W:W)+SUMIF($I:$I,"{121300} Местный бюджет",W:W)</f>
        <v>0</v>
      </c>
      <c r="X11" s="1332">
        <f t="shared" si="2"/>
        <v>0</v>
      </c>
      <c r="Y11" s="1332">
        <f t="shared" si="2"/>
        <v>0</v>
      </c>
      <c r="Z11" s="1332">
        <f t="shared" si="2"/>
        <v>0</v>
      </c>
      <c r="AA11" s="1332">
        <f t="shared" si="2"/>
        <v>0</v>
      </c>
      <c r="AB11" s="1332">
        <f t="shared" si="2"/>
        <v>0</v>
      </c>
      <c r="AC11" s="1332">
        <f t="shared" si="2"/>
        <v>0</v>
      </c>
      <c r="AD11" s="1332">
        <f t="shared" si="2"/>
        <v>0</v>
      </c>
      <c r="AE11" s="1332">
        <f t="shared" si="2"/>
        <v>0</v>
      </c>
      <c r="AF11" s="1358" t="s">
        <v>3389</v>
      </c>
      <c r="AK11" s="2038" t="b">
        <f>AND(AK15:AK1000)</f>
        <v>1</v>
      </c>
      <c r="AL11" s="2038" t="b">
        <f>AND(AL15:AL1000)</f>
        <v>1</v>
      </c>
      <c r="AM11" s="2038" t="b">
        <f ca="1">AND(AM15:AM1000)</f>
        <v>1</v>
      </c>
      <c r="AN11" s="2038" t="b">
        <f>AND(AN15:AN1000)</f>
        <v>1</v>
      </c>
    </row>
    <row r="12" spans="1:40" s="10" customFormat="1" ht="15" customHeight="1">
      <c r="A12" s="538"/>
      <c r="C12" s="1350" t="s">
        <v>4848</v>
      </c>
      <c r="D12" s="1357" t="s">
        <v>3389</v>
      </c>
      <c r="E12" s="1357" t="s">
        <v>3389</v>
      </c>
      <c r="F12" s="1357" t="s">
        <v>3389</v>
      </c>
      <c r="G12" s="1357" t="s">
        <v>3389</v>
      </c>
      <c r="H12" s="1357" t="s">
        <v>3389</v>
      </c>
      <c r="I12" s="1357" t="s">
        <v>3389</v>
      </c>
      <c r="J12" s="1357" t="s">
        <v>3389</v>
      </c>
      <c r="K12" s="1357" t="s">
        <v>3389</v>
      </c>
      <c r="L12" s="1332">
        <f t="shared" ref="L12:V12" si="3">SUMIF($I:$I,"{124100} Международная техническая помощь",L:L)</f>
        <v>0</v>
      </c>
      <c r="M12" s="1332">
        <f t="shared" si="3"/>
        <v>0</v>
      </c>
      <c r="N12" s="1332">
        <f t="shared" si="3"/>
        <v>0</v>
      </c>
      <c r="O12" s="1332">
        <f t="shared" si="3"/>
        <v>0</v>
      </c>
      <c r="P12" s="1332">
        <f t="shared" si="3"/>
        <v>0</v>
      </c>
      <c r="Q12" s="1332">
        <f t="shared" si="3"/>
        <v>0</v>
      </c>
      <c r="R12" s="1332">
        <f t="shared" si="3"/>
        <v>0</v>
      </c>
      <c r="S12" s="1332">
        <f t="shared" si="3"/>
        <v>0</v>
      </c>
      <c r="T12" s="1332">
        <f t="shared" si="3"/>
        <v>0</v>
      </c>
      <c r="U12" s="1332">
        <f t="shared" si="3"/>
        <v>0</v>
      </c>
      <c r="V12" s="1332">
        <f t="shared" si="3"/>
        <v>0</v>
      </c>
      <c r="W12" s="1332">
        <f t="shared" ref="W12:AE12" si="4">SUMIF($I:$I,"{124100} Международная техническая помощь",W:W)</f>
        <v>0</v>
      </c>
      <c r="X12" s="1332">
        <f t="shared" si="4"/>
        <v>0</v>
      </c>
      <c r="Y12" s="1332">
        <f t="shared" si="4"/>
        <v>0</v>
      </c>
      <c r="Z12" s="1332">
        <f t="shared" si="4"/>
        <v>0</v>
      </c>
      <c r="AA12" s="1332">
        <f t="shared" si="4"/>
        <v>0</v>
      </c>
      <c r="AB12" s="1332">
        <f t="shared" si="4"/>
        <v>0</v>
      </c>
      <c r="AC12" s="1332">
        <f t="shared" si="4"/>
        <v>0</v>
      </c>
      <c r="AD12" s="1332">
        <f t="shared" si="4"/>
        <v>0</v>
      </c>
      <c r="AE12" s="1332">
        <f t="shared" si="4"/>
        <v>0</v>
      </c>
      <c r="AF12" s="1358" t="s">
        <v>3389</v>
      </c>
      <c r="AG12" s="3789" t="s">
        <v>8591</v>
      </c>
      <c r="AH12" s="3789" t="s">
        <v>8592</v>
      </c>
      <c r="AI12" s="3789" t="s">
        <v>8566</v>
      </c>
      <c r="AJ12" s="3789" t="s">
        <v>8593</v>
      </c>
      <c r="AK12" s="3789" t="s">
        <v>7531</v>
      </c>
      <c r="AL12" s="3789" t="s">
        <v>9638</v>
      </c>
      <c r="AM12" s="3916" t="s">
        <v>14240</v>
      </c>
      <c r="AN12" s="3789" t="s">
        <v>14295</v>
      </c>
    </row>
    <row r="13" spans="1:40" s="10" customFormat="1" ht="15" customHeight="1">
      <c r="A13" s="538"/>
      <c r="C13" s="1350" t="s">
        <v>4847</v>
      </c>
      <c r="D13" s="1357" t="s">
        <v>3389</v>
      </c>
      <c r="E13" s="1357" t="s">
        <v>3389</v>
      </c>
      <c r="F13" s="1357" t="s">
        <v>3389</v>
      </c>
      <c r="G13" s="1357" t="s">
        <v>3389</v>
      </c>
      <c r="H13" s="1357" t="s">
        <v>3389</v>
      </c>
      <c r="I13" s="1357" t="s">
        <v>3389</v>
      </c>
      <c r="J13" s="1357" t="s">
        <v>3389</v>
      </c>
      <c r="K13" s="1357" t="s">
        <v>3389</v>
      </c>
      <c r="L13" s="1332">
        <f>SUMIF($I:$I,"{125*",L:L)+SUMIF($I:$I,"{126*",L:L)</f>
        <v>0</v>
      </c>
      <c r="M13" s="1332">
        <f>SUMIF($I:$I,"{125*",M:M)+SUMIF($I:$I,"{126*",M:M)</f>
        <v>0</v>
      </c>
      <c r="N13" s="1332">
        <f t="shared" ref="N13:V13" si="5">SUMIF($I:$I,"{125*",N:N)+SUMIF($I:$I,"{126*",N:N)</f>
        <v>0</v>
      </c>
      <c r="O13" s="1332">
        <f t="shared" si="5"/>
        <v>0</v>
      </c>
      <c r="P13" s="1332">
        <f t="shared" si="5"/>
        <v>0</v>
      </c>
      <c r="Q13" s="1332">
        <f t="shared" si="5"/>
        <v>0</v>
      </c>
      <c r="R13" s="1332">
        <f t="shared" si="5"/>
        <v>0</v>
      </c>
      <c r="S13" s="1332">
        <f t="shared" si="5"/>
        <v>0</v>
      </c>
      <c r="T13" s="1332">
        <f t="shared" si="5"/>
        <v>0</v>
      </c>
      <c r="U13" s="1332">
        <f t="shared" si="5"/>
        <v>0</v>
      </c>
      <c r="V13" s="1332">
        <f t="shared" si="5"/>
        <v>0</v>
      </c>
      <c r="W13" s="1332">
        <f t="shared" ref="W13:AE13" si="6">SUMIF($I:$I,"{125*",W:W)+SUMIF($I:$I,"{126*",W:W)</f>
        <v>0</v>
      </c>
      <c r="X13" s="1332">
        <f t="shared" si="6"/>
        <v>0</v>
      </c>
      <c r="Y13" s="1332">
        <f t="shared" si="6"/>
        <v>0</v>
      </c>
      <c r="Z13" s="1332">
        <f t="shared" si="6"/>
        <v>0</v>
      </c>
      <c r="AA13" s="1332">
        <f t="shared" si="6"/>
        <v>0</v>
      </c>
      <c r="AB13" s="1332">
        <f t="shared" si="6"/>
        <v>0</v>
      </c>
      <c r="AC13" s="1332">
        <f t="shared" si="6"/>
        <v>0</v>
      </c>
      <c r="AD13" s="1332">
        <f t="shared" si="6"/>
        <v>0</v>
      </c>
      <c r="AE13" s="1332">
        <f t="shared" si="6"/>
        <v>0</v>
      </c>
      <c r="AF13" s="1358" t="s">
        <v>3389</v>
      </c>
      <c r="AG13" s="3789"/>
      <c r="AH13" s="3789"/>
      <c r="AI13" s="3789"/>
      <c r="AJ13" s="3789"/>
      <c r="AK13" s="3789"/>
      <c r="AL13" s="3789" t="s">
        <v>9637</v>
      </c>
      <c r="AM13" s="3969"/>
      <c r="AN13" s="3789" t="s">
        <v>9637</v>
      </c>
    </row>
    <row r="14" spans="1:40" s="10" customFormat="1" ht="36.75" customHeight="1">
      <c r="A14" s="538"/>
      <c r="C14" s="1350" t="s">
        <v>4846</v>
      </c>
      <c r="D14" s="1357" t="s">
        <v>3389</v>
      </c>
      <c r="E14" s="1357" t="s">
        <v>3389</v>
      </c>
      <c r="F14" s="1357" t="s">
        <v>3389</v>
      </c>
      <c r="G14" s="1357" t="s">
        <v>3389</v>
      </c>
      <c r="H14" s="1357" t="s">
        <v>3389</v>
      </c>
      <c r="I14" s="1357" t="s">
        <v>3389</v>
      </c>
      <c r="J14" s="1357" t="s">
        <v>3389</v>
      </c>
      <c r="K14" s="1357" t="s">
        <v>3389</v>
      </c>
      <c r="L14" s="1332">
        <f>L10-L11-L12-L13</f>
        <v>0</v>
      </c>
      <c r="M14" s="1332">
        <f t="shared" ref="M14:AE14" si="7">M10-M11-M12-M13</f>
        <v>0</v>
      </c>
      <c r="N14" s="1332">
        <f t="shared" si="7"/>
        <v>0</v>
      </c>
      <c r="O14" s="1332">
        <f t="shared" si="7"/>
        <v>0</v>
      </c>
      <c r="P14" s="1332">
        <f t="shared" si="7"/>
        <v>0</v>
      </c>
      <c r="Q14" s="1332">
        <f t="shared" si="7"/>
        <v>0</v>
      </c>
      <c r="R14" s="1332">
        <f>R10-R11-R12-R13</f>
        <v>0</v>
      </c>
      <c r="S14" s="1332">
        <f>S10-S11-S12-S13</f>
        <v>0</v>
      </c>
      <c r="T14" s="1332">
        <f t="shared" si="7"/>
        <v>0</v>
      </c>
      <c r="U14" s="1332">
        <f t="shared" si="7"/>
        <v>0</v>
      </c>
      <c r="V14" s="1332">
        <f t="shared" si="7"/>
        <v>0</v>
      </c>
      <c r="W14" s="1332">
        <f t="shared" si="7"/>
        <v>0</v>
      </c>
      <c r="X14" s="1332">
        <f t="shared" si="7"/>
        <v>0</v>
      </c>
      <c r="Y14" s="1332">
        <f t="shared" si="7"/>
        <v>0</v>
      </c>
      <c r="Z14" s="1332">
        <f t="shared" si="7"/>
        <v>0</v>
      </c>
      <c r="AA14" s="1332">
        <f t="shared" si="7"/>
        <v>0</v>
      </c>
      <c r="AB14" s="1332">
        <f t="shared" si="7"/>
        <v>0</v>
      </c>
      <c r="AC14" s="1332">
        <f t="shared" si="7"/>
        <v>0</v>
      </c>
      <c r="AD14" s="1332">
        <f t="shared" si="7"/>
        <v>0</v>
      </c>
      <c r="AE14" s="1332">
        <f t="shared" si="7"/>
        <v>0</v>
      </c>
      <c r="AF14" s="1358" t="s">
        <v>3389</v>
      </c>
      <c r="AG14" s="3789"/>
      <c r="AH14" s="3789"/>
      <c r="AI14" s="3789"/>
      <c r="AJ14" s="3789"/>
      <c r="AK14" s="3789"/>
      <c r="AL14" s="3789"/>
      <c r="AM14" s="3415" t="s">
        <v>14252</v>
      </c>
      <c r="AN14" s="3789"/>
    </row>
    <row r="15" spans="1:40" s="10" customFormat="1" ht="37.5">
      <c r="A15" s="556" t="str">
        <f>"R42="&amp;MID(IF(E15&lt;&gt;"",E15,D15),1,30)&amp;";R57="&amp;MID(C15,1,60)&amp;";R10="&amp;IFERROR(MID(K15,FIND("{",K15)+1,FIND("}",K15)-FIND("{",K15)-1),"")&amp;";R16="&amp;IFERROR(MID(H15,FIND("{",H15)+1,FIND("}",H15)-FIND("{",H15)-1),"")&amp;";R55="&amp;MID(F15,1,100)&amp;";R33="&amp;G15&amp;";R24="&amp;IFERROR(MID(I15,FIND("{",I15)+1,FIND("}",I15)-FIND("{",I15)-3),"")&amp;";R25="&amp;IFERROR(MID(I15,FIND("{",I15)+5,FIND("}",I15)-FIND("{",I15)-5),"")&amp;";R26="&amp;IFERROR(MID(J15,FIND("{",J15)+1,FIND("}",J15)-FIND("{",J15)-1),"")&amp;";R36="&amp;MID(E15,1,30)&amp;";R43="&amp;MID(D15,1,30)&amp;";COM="&amp;AF15</f>
        <v>R42=;R57=;R10=;R16=;R55=;R33=;R24=;R25=;R26=;R36=;R43=;COM=</v>
      </c>
      <c r="C15" s="1493"/>
      <c r="D15" s="885"/>
      <c r="E15" s="1001"/>
      <c r="F15" s="1433"/>
      <c r="G15" s="1494"/>
      <c r="H15" s="1495"/>
      <c r="I15" s="1495"/>
      <c r="J15" s="1495"/>
      <c r="K15" s="1495"/>
      <c r="L15" s="1496"/>
      <c r="M15" s="1496"/>
      <c r="N15" s="1351"/>
      <c r="O15" s="1351"/>
      <c r="P15" s="1351"/>
      <c r="Q15" s="1351"/>
      <c r="R15" s="1351"/>
      <c r="S15" s="1351"/>
      <c r="T15" s="1351"/>
      <c r="U15" s="1351"/>
      <c r="V15" s="1351"/>
      <c r="W15" s="1351"/>
      <c r="X15" s="1351"/>
      <c r="Y15" s="1351"/>
      <c r="Z15" s="1351"/>
      <c r="AA15" s="1351"/>
      <c r="AB15" s="1351"/>
      <c r="AC15" s="1359">
        <f t="shared" ref="AC15:AC23" si="8">SUM(L15,N15:AB15)</f>
        <v>0</v>
      </c>
      <c r="AD15" s="1359">
        <f t="shared" ref="AD15:AD20" si="9">AC15-AE15</f>
        <v>0</v>
      </c>
      <c r="AE15" s="1351"/>
      <c r="AF15" s="1352"/>
      <c r="AG15" s="2039" t="b">
        <f>AND(L15&lt;=0,M15&lt;=0,ROUND(AC15,0)&lt;=0,ROUND(AD15,0)&lt;=0,AE15&lt;=0,Y15&lt;=0,Z15&lt;=0,AA15&lt;=0,AB15&lt;=0)</f>
        <v>1</v>
      </c>
      <c r="AH15" s="2039" t="b">
        <f>AND(N15&gt;=0,O15&gt;=0,P15&gt;=0,Q15&gt;=0,R15&gt;=0,S15&gt;=0,T15&gt;=0,U15&gt;=0,V15&gt;=0,W15&gt;=0,X15&gt;=0)</f>
        <v>1</v>
      </c>
      <c r="AI15" s="2038" t="b">
        <f>IF(C15&gt;0,OR(AND($D15&lt;&gt;"",$E15=""),AND($D15="",$E15&lt;&gt;""),AND($D15&lt;&gt;"",$E15&lt;&gt;"")),TRUE)</f>
        <v>1</v>
      </c>
      <c r="AJ15" s="2038" t="b">
        <f>NOT(OR(TEXT(E15,"#")="10015",TEXT(E15,"#")="10000",D15="Внешние контрагенты"))</f>
        <v>1</v>
      </c>
      <c r="AK15" s="2038" t="b">
        <f>IF(OR(X15&lt;&gt;0,AB15&lt;&gt;0),IF(LEN(AF15)&gt;5,TRUE,FALSE),TRUE)</f>
        <v>1</v>
      </c>
      <c r="AL15" s="2038" t="b">
        <f>IF(F15="",TRUE,G15&lt;&gt;"")</f>
        <v>1</v>
      </c>
      <c r="AM15" s="2102" t="b">
        <f ca="1">IF(ISBLANK(G15),TRUE,IF(CELL("формат",G15)="D1",AND(LEN(TEXT(G15,"ДД.мм.ГГГГ"))=10,NOT(ISERR(SEARCH("??.??.????",TEXT(G15,"ДД.мм.ГГГГ"))))),AND(NOT(ISERROR(DATEVALUE(G15))),LEN(G15)=10,NOT(ISERR(SEARCH("??.??.????",TEXT(G15,"ДД.мм.ГГГГ")))))))</f>
        <v>1</v>
      </c>
      <c r="AN15" s="2102" t="b">
        <f>IF(COUNTIF(F15,"*№*")=1,FALSE,IF(COUNTIF(F15,"*договор*")=1,FALSE,IF(COUNTIF(F15,"*контракт*")=1,FALSE,TRUE)))</f>
        <v>1</v>
      </c>
    </row>
    <row r="16" spans="1:40" s="10" customFormat="1" ht="37.5">
      <c r="A16" s="556" t="str">
        <f t="shared" ref="A16:A23" si="10">"R42="&amp;MID(IF(E16&lt;&gt;"",E16,D16),1,30)&amp;";R57="&amp;MID(C16,1,60)&amp;";R10="&amp;IFERROR(MID(K16,FIND("{",K16)+1,FIND("}",K16)-FIND("{",K16)-1),"")&amp;";R16="&amp;IFERROR(MID(H16,FIND("{",H16)+1,FIND("}",H16)-FIND("{",H16)-1),"")&amp;";R18="&amp;MID(F16,1,60)&amp;";R33="&amp;G16&amp;";R24="&amp;IFERROR(MID(I16,FIND("{",I16)+1,FIND("}",I16)-FIND("{",I16)-3),"")&amp;";R25="&amp;IFERROR(MID(I16,FIND("{",I16)+5,FIND("}",I16)-FIND("{",I16)-5),"")&amp;";R26="&amp;IFERROR(MID(J16,FIND("{",J16)+1,FIND("}",J16)-FIND("{",J16)-1),"")&amp;";R36="&amp;MID(E16,1,30)&amp;";R43="&amp;MID(D16,1,30)&amp;";COM="&amp;AF16</f>
        <v>R42=;R57=;R10=;R16=;R18=;R33=;R24=;R25=;R26=;R36=;R43=;COM=</v>
      </c>
      <c r="C16" s="1493"/>
      <c r="D16" s="1433"/>
      <c r="E16" s="1433"/>
      <c r="F16" s="1433"/>
      <c r="G16" s="1494"/>
      <c r="H16" s="1495"/>
      <c r="I16" s="1495"/>
      <c r="J16" s="1495"/>
      <c r="K16" s="1495"/>
      <c r="L16" s="1496"/>
      <c r="M16" s="1496"/>
      <c r="N16" s="1351"/>
      <c r="O16" s="1351"/>
      <c r="P16" s="1351"/>
      <c r="Q16" s="1351"/>
      <c r="R16" s="1351"/>
      <c r="S16" s="1351"/>
      <c r="T16" s="1351"/>
      <c r="U16" s="1351"/>
      <c r="V16" s="1351"/>
      <c r="W16" s="1351"/>
      <c r="X16" s="1351"/>
      <c r="Y16" s="1351"/>
      <c r="Z16" s="1351"/>
      <c r="AA16" s="1351"/>
      <c r="AB16" s="1351"/>
      <c r="AC16" s="1359">
        <f t="shared" si="8"/>
        <v>0</v>
      </c>
      <c r="AD16" s="1359">
        <f t="shared" si="9"/>
        <v>0</v>
      </c>
      <c r="AE16" s="1351"/>
      <c r="AF16" s="1352"/>
      <c r="AG16" s="2039" t="b">
        <f t="shared" ref="AG16:AG23" si="11">AND(L16&lt;=0,M16&lt;=0,ROUND(AC16,0)&lt;=0,ROUND(AD16,0)&lt;=0,AE16&lt;=0,Y16&lt;=0,Z16&lt;=0,AA16&lt;=0,AB16&lt;=0)</f>
        <v>1</v>
      </c>
      <c r="AH16" s="2039" t="b">
        <f t="shared" ref="AH16:AH23" si="12">AND(N16&gt;=0,O16&gt;=0,P16&gt;=0,Q16&gt;=0,R16&gt;=0,S16&gt;=0,T16&gt;=0,U16&gt;=0,V16&gt;=0,W16&gt;=0,X16&gt;=0)</f>
        <v>1</v>
      </c>
      <c r="AI16" s="2038" t="b">
        <f t="shared" ref="AI16:AI23" si="13">IF(C16&gt;0,OR(AND($D16&lt;&gt;"",$E16=""),AND($D16="",$E16&lt;&gt;""),AND($D16&lt;&gt;"",$E16&lt;&gt;"")),TRUE)</f>
        <v>1</v>
      </c>
      <c r="AJ16" s="2038" t="b">
        <f t="shared" ref="AJ16:AJ23" si="14">NOT(OR(TEXT(E16,"#")="10015",TEXT(E16,"#")="10000",D16="Внешние контрагенты"))</f>
        <v>1</v>
      </c>
      <c r="AK16" s="2038" t="b">
        <f t="shared" ref="AK16:AK22" si="15">IF(OR(X16&lt;&gt;0,AB16&lt;&gt;0),IF(LEN(AF16)&gt;5,TRUE,FALSE),TRUE)</f>
        <v>1</v>
      </c>
      <c r="AL16" s="2038" t="b">
        <f t="shared" ref="AL16:AL23" si="16">IF(F16="",TRUE,G16&lt;&gt;"")</f>
        <v>1</v>
      </c>
      <c r="AM16" s="2102" t="b">
        <f t="shared" ref="AM16:AM24" ca="1" si="17">IF(ISBLANK(G16),TRUE,IF(CELL("формат",G16)="D1",AND(LEN(TEXT(G16,"ДД.мм.ГГГГ"))=10,NOT(ISERR(SEARCH("??.??.????",TEXT(G16,"ДД.мм.ГГГГ"))))),AND(NOT(ISERROR(DATEVALUE(G16))),LEN(G16)=10,NOT(ISERR(SEARCH("??.??.????",TEXT(G16,"ДД.мм.ГГГГ")))))))</f>
        <v>1</v>
      </c>
      <c r="AN16" s="2102" t="b">
        <f t="shared" ref="AN16:AN24" si="18">IF(COUNTIF(F16,"*№*")=1,FALSE,IF(COUNTIF(F16,"*договор*")=1,FALSE,IF(COUNTIF(F16,"*контракт*")=1,FALSE,TRUE)))</f>
        <v>1</v>
      </c>
    </row>
    <row r="17" spans="1:40" s="10" customFormat="1" ht="37.5">
      <c r="A17" s="556" t="str">
        <f t="shared" si="10"/>
        <v>R42=;R57=;R10=;R16=;R18=;R33=;R24=;R25=;R26=;R36=;R43=;COM=</v>
      </c>
      <c r="C17" s="1493"/>
      <c r="D17" s="1433"/>
      <c r="E17" s="1433"/>
      <c r="F17" s="1433"/>
      <c r="G17" s="1494"/>
      <c r="H17" s="1495"/>
      <c r="I17" s="1495"/>
      <c r="J17" s="1495"/>
      <c r="K17" s="1495"/>
      <c r="L17" s="1496"/>
      <c r="M17" s="1496"/>
      <c r="N17" s="1351"/>
      <c r="O17" s="1351"/>
      <c r="P17" s="1351"/>
      <c r="Q17" s="1351"/>
      <c r="R17" s="1351"/>
      <c r="S17" s="1351"/>
      <c r="T17" s="1351"/>
      <c r="U17" s="1351"/>
      <c r="V17" s="1351"/>
      <c r="W17" s="1351"/>
      <c r="X17" s="1351"/>
      <c r="Y17" s="1351"/>
      <c r="Z17" s="1351"/>
      <c r="AA17" s="1351"/>
      <c r="AB17" s="1351"/>
      <c r="AC17" s="1359">
        <f t="shared" si="8"/>
        <v>0</v>
      </c>
      <c r="AD17" s="1359">
        <f t="shared" si="9"/>
        <v>0</v>
      </c>
      <c r="AE17" s="1351"/>
      <c r="AF17" s="1352"/>
      <c r="AG17" s="2039" t="b">
        <f t="shared" si="11"/>
        <v>1</v>
      </c>
      <c r="AH17" s="2039" t="b">
        <f t="shared" si="12"/>
        <v>1</v>
      </c>
      <c r="AI17" s="2038" t="b">
        <f t="shared" si="13"/>
        <v>1</v>
      </c>
      <c r="AJ17" s="2038" t="b">
        <f t="shared" si="14"/>
        <v>1</v>
      </c>
      <c r="AK17" s="2038" t="b">
        <f t="shared" si="15"/>
        <v>1</v>
      </c>
      <c r="AL17" s="2038" t="b">
        <f t="shared" si="16"/>
        <v>1</v>
      </c>
      <c r="AM17" s="2102" t="b">
        <f t="shared" ca="1" si="17"/>
        <v>1</v>
      </c>
      <c r="AN17" s="2102" t="b">
        <f t="shared" si="18"/>
        <v>1</v>
      </c>
    </row>
    <row r="18" spans="1:40" s="10" customFormat="1" ht="37.5">
      <c r="A18" s="556" t="str">
        <f t="shared" si="10"/>
        <v>R42=;R57=;R10=;R16=;R18=;R33=;R24=;R25=;R26=;R36=;R43=;COM=</v>
      </c>
      <c r="C18" s="1493"/>
      <c r="D18" s="1433"/>
      <c r="E18" s="1433"/>
      <c r="F18" s="1433"/>
      <c r="G18" s="1494"/>
      <c r="H18" s="1495"/>
      <c r="I18" s="1495"/>
      <c r="J18" s="1495"/>
      <c r="K18" s="1495"/>
      <c r="L18" s="1496"/>
      <c r="M18" s="1496"/>
      <c r="N18" s="1351"/>
      <c r="O18" s="1351"/>
      <c r="P18" s="1351"/>
      <c r="Q18" s="1351"/>
      <c r="R18" s="1351"/>
      <c r="S18" s="1351"/>
      <c r="T18" s="1351"/>
      <c r="U18" s="1351"/>
      <c r="V18" s="1351"/>
      <c r="W18" s="1351"/>
      <c r="X18" s="1351"/>
      <c r="Y18" s="1351"/>
      <c r="Z18" s="1351"/>
      <c r="AA18" s="1351"/>
      <c r="AB18" s="1351"/>
      <c r="AC18" s="1359">
        <f t="shared" si="8"/>
        <v>0</v>
      </c>
      <c r="AD18" s="1359">
        <f t="shared" si="9"/>
        <v>0</v>
      </c>
      <c r="AE18" s="1351"/>
      <c r="AF18" s="1352"/>
      <c r="AG18" s="2039" t="b">
        <f t="shared" si="11"/>
        <v>1</v>
      </c>
      <c r="AH18" s="2039" t="b">
        <f t="shared" si="12"/>
        <v>1</v>
      </c>
      <c r="AI18" s="2038" t="b">
        <f t="shared" si="13"/>
        <v>1</v>
      </c>
      <c r="AJ18" s="2038" t="b">
        <f t="shared" si="14"/>
        <v>1</v>
      </c>
      <c r="AK18" s="2038" t="b">
        <f t="shared" si="15"/>
        <v>1</v>
      </c>
      <c r="AL18" s="2038" t="b">
        <f t="shared" si="16"/>
        <v>1</v>
      </c>
      <c r="AM18" s="2102" t="b">
        <f t="shared" ca="1" si="17"/>
        <v>1</v>
      </c>
      <c r="AN18" s="2102" t="b">
        <f t="shared" si="18"/>
        <v>1</v>
      </c>
    </row>
    <row r="19" spans="1:40" s="10" customFormat="1" ht="37.5">
      <c r="A19" s="556" t="str">
        <f t="shared" si="10"/>
        <v>R42=;R57=;R10=;R16=;R18=;R33=;R24=;R25=;R26=;R36=;R43=;COM=</v>
      </c>
      <c r="C19" s="1493"/>
      <c r="D19" s="1433"/>
      <c r="E19" s="1433"/>
      <c r="F19" s="1433"/>
      <c r="G19" s="1494"/>
      <c r="H19" s="1495"/>
      <c r="I19" s="1495"/>
      <c r="J19" s="1495"/>
      <c r="K19" s="1495"/>
      <c r="L19" s="1496"/>
      <c r="M19" s="1496"/>
      <c r="N19" s="1351"/>
      <c r="O19" s="1351"/>
      <c r="P19" s="1351"/>
      <c r="Q19" s="1351"/>
      <c r="R19" s="1351"/>
      <c r="S19" s="1351"/>
      <c r="T19" s="1351"/>
      <c r="U19" s="1351"/>
      <c r="V19" s="1351"/>
      <c r="W19" s="1351"/>
      <c r="X19" s="1351"/>
      <c r="Y19" s="1351"/>
      <c r="Z19" s="1351"/>
      <c r="AA19" s="1351"/>
      <c r="AB19" s="1351"/>
      <c r="AC19" s="1359">
        <f t="shared" si="8"/>
        <v>0</v>
      </c>
      <c r="AD19" s="1359">
        <f t="shared" si="9"/>
        <v>0</v>
      </c>
      <c r="AE19" s="1351"/>
      <c r="AF19" s="1352"/>
      <c r="AG19" s="2039" t="b">
        <f t="shared" si="11"/>
        <v>1</v>
      </c>
      <c r="AH19" s="2039" t="b">
        <f t="shared" si="12"/>
        <v>1</v>
      </c>
      <c r="AI19" s="2038" t="b">
        <f t="shared" si="13"/>
        <v>1</v>
      </c>
      <c r="AJ19" s="2038" t="b">
        <f t="shared" si="14"/>
        <v>1</v>
      </c>
      <c r="AK19" s="2038" t="b">
        <f t="shared" si="15"/>
        <v>1</v>
      </c>
      <c r="AL19" s="2038" t="b">
        <f t="shared" si="16"/>
        <v>1</v>
      </c>
      <c r="AM19" s="2102" t="b">
        <f t="shared" ca="1" si="17"/>
        <v>1</v>
      </c>
      <c r="AN19" s="2102" t="b">
        <f t="shared" si="18"/>
        <v>1</v>
      </c>
    </row>
    <row r="20" spans="1:40" s="10" customFormat="1" ht="37.5">
      <c r="A20" s="556" t="str">
        <f t="shared" si="10"/>
        <v>R42=;R57=;R10=;R16=;R18=;R33=;R24=;R25=;R26=;R36=;R43=;COM=</v>
      </c>
      <c r="C20" s="1493"/>
      <c r="D20" s="1433"/>
      <c r="E20" s="1433"/>
      <c r="F20" s="1433"/>
      <c r="G20" s="1494"/>
      <c r="H20" s="1495"/>
      <c r="I20" s="1495"/>
      <c r="J20" s="1495"/>
      <c r="K20" s="1495"/>
      <c r="L20" s="1496"/>
      <c r="M20" s="1496"/>
      <c r="N20" s="1351"/>
      <c r="O20" s="1351"/>
      <c r="P20" s="1351"/>
      <c r="Q20" s="1351"/>
      <c r="R20" s="1351"/>
      <c r="S20" s="1351"/>
      <c r="T20" s="1351"/>
      <c r="U20" s="1351"/>
      <c r="V20" s="1351"/>
      <c r="W20" s="1351"/>
      <c r="X20" s="1351"/>
      <c r="Y20" s="1351"/>
      <c r="Z20" s="1351"/>
      <c r="AA20" s="1351"/>
      <c r="AB20" s="1351"/>
      <c r="AC20" s="1359">
        <f t="shared" si="8"/>
        <v>0</v>
      </c>
      <c r="AD20" s="1359">
        <f t="shared" si="9"/>
        <v>0</v>
      </c>
      <c r="AE20" s="1351"/>
      <c r="AF20" s="1352"/>
      <c r="AG20" s="2039" t="b">
        <f t="shared" si="11"/>
        <v>1</v>
      </c>
      <c r="AH20" s="2039" t="b">
        <f t="shared" si="12"/>
        <v>1</v>
      </c>
      <c r="AI20" s="2038" t="b">
        <f t="shared" si="13"/>
        <v>1</v>
      </c>
      <c r="AJ20" s="2038" t="b">
        <f t="shared" si="14"/>
        <v>1</v>
      </c>
      <c r="AK20" s="2038" t="b">
        <f t="shared" si="15"/>
        <v>1</v>
      </c>
      <c r="AL20" s="2038" t="b">
        <f t="shared" si="16"/>
        <v>1</v>
      </c>
      <c r="AM20" s="2102" t="b">
        <f t="shared" ca="1" si="17"/>
        <v>1</v>
      </c>
      <c r="AN20" s="2102" t="b">
        <f t="shared" si="18"/>
        <v>1</v>
      </c>
    </row>
    <row r="21" spans="1:40" s="10" customFormat="1" ht="37.5">
      <c r="A21" s="556" t="str">
        <f t="shared" si="10"/>
        <v>R42=;R57=;R10=;R16=;R18=;R33=;R24=;R25=;R26=;R36=;R43=;COM=</v>
      </c>
      <c r="C21" s="1493"/>
      <c r="D21" s="1433"/>
      <c r="E21" s="1433"/>
      <c r="F21" s="1433"/>
      <c r="G21" s="1494"/>
      <c r="H21" s="1495"/>
      <c r="I21" s="1495"/>
      <c r="J21" s="1495"/>
      <c r="K21" s="1495"/>
      <c r="L21" s="1496"/>
      <c r="M21" s="1496"/>
      <c r="N21" s="1351"/>
      <c r="O21" s="1351"/>
      <c r="P21" s="1351"/>
      <c r="Q21" s="1351"/>
      <c r="R21" s="1351"/>
      <c r="S21" s="1351"/>
      <c r="T21" s="1351"/>
      <c r="U21" s="1351"/>
      <c r="V21" s="1351"/>
      <c r="W21" s="1351"/>
      <c r="X21" s="1351"/>
      <c r="Y21" s="1351"/>
      <c r="Z21" s="1351"/>
      <c r="AA21" s="1351"/>
      <c r="AB21" s="1351"/>
      <c r="AC21" s="1359">
        <f t="shared" si="8"/>
        <v>0</v>
      </c>
      <c r="AD21" s="1359">
        <f>AC21-AE21</f>
        <v>0</v>
      </c>
      <c r="AE21" s="1351"/>
      <c r="AF21" s="1352"/>
      <c r="AG21" s="2039" t="b">
        <f t="shared" si="11"/>
        <v>1</v>
      </c>
      <c r="AH21" s="2039" t="b">
        <f t="shared" si="12"/>
        <v>1</v>
      </c>
      <c r="AI21" s="2038" t="b">
        <f t="shared" si="13"/>
        <v>1</v>
      </c>
      <c r="AJ21" s="2038" t="b">
        <f t="shared" si="14"/>
        <v>1</v>
      </c>
      <c r="AK21" s="2038" t="b">
        <f t="shared" si="15"/>
        <v>1</v>
      </c>
      <c r="AL21" s="2038" t="b">
        <f t="shared" si="16"/>
        <v>1</v>
      </c>
      <c r="AM21" s="2102" t="b">
        <f t="shared" ca="1" si="17"/>
        <v>1</v>
      </c>
      <c r="AN21" s="2102" t="b">
        <f t="shared" si="18"/>
        <v>1</v>
      </c>
    </row>
    <row r="22" spans="1:40" s="10" customFormat="1" ht="37.5">
      <c r="A22" s="556" t="str">
        <f t="shared" si="10"/>
        <v>R42=;R57=;R10=;R16=;R18=;R33=;R24=;R25=;R26=;R36=;R43=;COM=</v>
      </c>
      <c r="C22" s="1493"/>
      <c r="D22" s="1433"/>
      <c r="E22" s="1433"/>
      <c r="F22" s="1433"/>
      <c r="G22" s="1494"/>
      <c r="H22" s="1495"/>
      <c r="I22" s="1495"/>
      <c r="J22" s="1495"/>
      <c r="K22" s="1495"/>
      <c r="L22" s="1496"/>
      <c r="M22" s="1496"/>
      <c r="N22" s="1351"/>
      <c r="O22" s="1351"/>
      <c r="P22" s="1351"/>
      <c r="Q22" s="1351"/>
      <c r="R22" s="1351"/>
      <c r="S22" s="1351"/>
      <c r="T22" s="1351"/>
      <c r="U22" s="1351"/>
      <c r="V22" s="1351"/>
      <c r="W22" s="1351"/>
      <c r="X22" s="1351"/>
      <c r="Y22" s="1351"/>
      <c r="Z22" s="1351"/>
      <c r="AA22" s="1351"/>
      <c r="AB22" s="1351"/>
      <c r="AC22" s="1359">
        <f t="shared" si="8"/>
        <v>0</v>
      </c>
      <c r="AD22" s="1359">
        <f>AC22-AE22</f>
        <v>0</v>
      </c>
      <c r="AE22" s="1351"/>
      <c r="AF22" s="1352"/>
      <c r="AG22" s="2039" t="b">
        <f t="shared" si="11"/>
        <v>1</v>
      </c>
      <c r="AH22" s="2039" t="b">
        <f t="shared" si="12"/>
        <v>1</v>
      </c>
      <c r="AI22" s="2038" t="b">
        <f t="shared" si="13"/>
        <v>1</v>
      </c>
      <c r="AJ22" s="2038" t="b">
        <f t="shared" si="14"/>
        <v>1</v>
      </c>
      <c r="AK22" s="2038" t="b">
        <f t="shared" si="15"/>
        <v>1</v>
      </c>
      <c r="AL22" s="2038" t="b">
        <f t="shared" si="16"/>
        <v>1</v>
      </c>
      <c r="AM22" s="2102" t="b">
        <f t="shared" ca="1" si="17"/>
        <v>1</v>
      </c>
      <c r="AN22" s="2102" t="b">
        <f t="shared" si="18"/>
        <v>1</v>
      </c>
    </row>
    <row r="23" spans="1:40" s="10" customFormat="1" ht="37.5">
      <c r="A23" s="556" t="str">
        <f t="shared" si="10"/>
        <v>R42=;R57=;R10=;R16=;R18=;R33=;R24=;R25=;R26=;R36=;R43=;COM=</v>
      </c>
      <c r="C23" s="1493"/>
      <c r="D23" s="1433"/>
      <c r="E23" s="1433"/>
      <c r="F23" s="1433"/>
      <c r="G23" s="1494"/>
      <c r="H23" s="1495"/>
      <c r="I23" s="1495"/>
      <c r="J23" s="1495"/>
      <c r="K23" s="1495"/>
      <c r="L23" s="1496"/>
      <c r="M23" s="1496"/>
      <c r="N23" s="1351"/>
      <c r="O23" s="1351"/>
      <c r="P23" s="1351"/>
      <c r="Q23" s="1351"/>
      <c r="R23" s="1351"/>
      <c r="S23" s="1351"/>
      <c r="T23" s="1351"/>
      <c r="U23" s="1351"/>
      <c r="V23" s="1351"/>
      <c r="W23" s="1351"/>
      <c r="X23" s="1351"/>
      <c r="Y23" s="1351"/>
      <c r="Z23" s="1351"/>
      <c r="AA23" s="1351"/>
      <c r="AB23" s="1351"/>
      <c r="AC23" s="1359">
        <f t="shared" si="8"/>
        <v>0</v>
      </c>
      <c r="AD23" s="1359">
        <f>AC23-AE23</f>
        <v>0</v>
      </c>
      <c r="AE23" s="1351"/>
      <c r="AF23" s="1352"/>
      <c r="AG23" s="2039" t="b">
        <f t="shared" si="11"/>
        <v>1</v>
      </c>
      <c r="AH23" s="2039" t="b">
        <f t="shared" si="12"/>
        <v>1</v>
      </c>
      <c r="AI23" s="2038" t="b">
        <f t="shared" si="13"/>
        <v>1</v>
      </c>
      <c r="AJ23" s="2038" t="b">
        <f t="shared" si="14"/>
        <v>1</v>
      </c>
      <c r="AK23" s="2038" t="b">
        <f>IF(OR(X23&lt;&gt;0,AB23&lt;&gt;0),IF(LEN(AF23)&gt;5,TRUE,FALSE),TRUE)</f>
        <v>1</v>
      </c>
      <c r="AL23" s="2038" t="b">
        <f t="shared" si="16"/>
        <v>1</v>
      </c>
      <c r="AM23" s="2102" t="b">
        <f t="shared" ca="1" si="17"/>
        <v>1</v>
      </c>
      <c r="AN23" s="2102" t="b">
        <f t="shared" si="18"/>
        <v>1</v>
      </c>
    </row>
    <row r="24" spans="1:40" s="10" customFormat="1" ht="38" thickBot="1">
      <c r="A24" s="556" t="str">
        <f t="shared" ref="A24" si="19">"R42="&amp;MID(IF(E24&lt;&gt;"",E24,D24),1,30)&amp;";R57="&amp;MID(C24,1,60)&amp;";R10="&amp;IFERROR(MID(K24,FIND("{",K24)+1,FIND("}",K24)-FIND("{",K24)-1),"")&amp;";R16="&amp;IFERROR(MID(H24,FIND("{",H24)+1,FIND("}",H24)-FIND("{",H24)-1),"")&amp;";R18="&amp;MID(F24,1,60)&amp;";R33="&amp;G24&amp;";R24="&amp;IFERROR(MID(I24,FIND("{",I24)+1,FIND("}",I24)-FIND("{",I24)-3),"")&amp;";R25="&amp;IFERROR(MID(I24,FIND("{",I24)+5,FIND("}",I24)-FIND("{",I24)-5),"")&amp;";R26="&amp;IFERROR(MID(J24,FIND("{",J24)+1,FIND("}",J24)-FIND("{",J24)-1),"")&amp;";R36="&amp;MID(E24,1,30)&amp;";R43="&amp;MID(D24,1,30)&amp;";COM="&amp;AF24</f>
        <v>R42=;R57=;R10=;R16=;R18=;R33=;R24=;R25=;R26=;R36=;R43=;COM=</v>
      </c>
      <c r="B24" s="84"/>
      <c r="C24" s="1360"/>
      <c r="D24" s="1361"/>
      <c r="E24" s="1361"/>
      <c r="F24" s="1361"/>
      <c r="G24" s="1362"/>
      <c r="H24" s="1353"/>
      <c r="I24" s="2911"/>
      <c r="J24" s="1353"/>
      <c r="K24" s="1353"/>
      <c r="L24" s="1354"/>
      <c r="M24" s="1354"/>
      <c r="N24" s="1354"/>
      <c r="O24" s="1354"/>
      <c r="P24" s="1354"/>
      <c r="Q24" s="1354"/>
      <c r="R24" s="1354"/>
      <c r="S24" s="1354"/>
      <c r="T24" s="1354"/>
      <c r="U24" s="1354"/>
      <c r="V24" s="1354"/>
      <c r="W24" s="1354"/>
      <c r="X24" s="1354"/>
      <c r="Y24" s="1354"/>
      <c r="Z24" s="1354"/>
      <c r="AA24" s="1354"/>
      <c r="AB24" s="1354"/>
      <c r="AC24" s="1363">
        <f t="shared" ref="AC24" si="20">SUM(L24,N24:AB24)</f>
        <v>0</v>
      </c>
      <c r="AD24" s="1363">
        <f>AC24-AE24</f>
        <v>0</v>
      </c>
      <c r="AE24" s="1354"/>
      <c r="AF24" s="1355"/>
      <c r="AG24" s="2039" t="b">
        <f t="shared" ref="AG24" si="21">AND(L24&lt;=0,M24&lt;=0,ROUND(AC24,0)&lt;=0,ROUND(AD24,0)&lt;=0,AE24&lt;=0,Y24&lt;=0,Z24&lt;=0,AA24&lt;=0,AB24&lt;=0)</f>
        <v>1</v>
      </c>
      <c r="AH24" s="2039" t="b">
        <f t="shared" ref="AH24" si="22">AND(N24&gt;=0,O24&gt;=0,P24&gt;=0,Q24&gt;=0,R24&gt;=0,S24&gt;=0,T24&gt;=0,U24&gt;=0,V24&gt;=0,W24&gt;=0,X24&gt;=0)</f>
        <v>1</v>
      </c>
      <c r="AI24" s="2038" t="b">
        <f t="shared" ref="AI24" si="23">IF(C24&gt;0,OR(AND($D24&lt;&gt;"",$E24=""),AND($D24="",$E24&lt;&gt;""),AND($D24&lt;&gt;"",$E24&lt;&gt;"")),TRUE)</f>
        <v>1</v>
      </c>
      <c r="AJ24" s="2038" t="b">
        <f t="shared" ref="AJ24" si="24">NOT(OR(TEXT(E24,"#")="10015",TEXT(E24,"#")="10000",D24="Внешние контрагенты"))</f>
        <v>1</v>
      </c>
      <c r="AK24" s="2038" t="b">
        <f>IF(OR(X24&lt;&gt;0,AB24&lt;&gt;0),IF(LEN(AF24)&gt;5,TRUE,FALSE),TRUE)</f>
        <v>1</v>
      </c>
      <c r="AL24" s="2038" t="b">
        <f t="shared" ref="AL24" si="25">IF(F24="",TRUE,G24&lt;&gt;"")</f>
        <v>1</v>
      </c>
      <c r="AM24" s="2102" t="b">
        <f t="shared" ca="1" si="17"/>
        <v>1</v>
      </c>
      <c r="AN24" s="2102" t="b">
        <f t="shared" si="18"/>
        <v>1</v>
      </c>
    </row>
    <row r="25" spans="1:40">
      <c r="A25" s="556"/>
    </row>
    <row r="26" spans="1:40">
      <c r="A26" s="556"/>
    </row>
    <row r="27" spans="1:40">
      <c r="A27" s="556"/>
    </row>
    <row r="28" spans="1:40">
      <c r="A28" s="556"/>
    </row>
    <row r="29" spans="1:40">
      <c r="A29" s="556"/>
    </row>
    <row r="30" spans="1:40">
      <c r="A30" s="556"/>
    </row>
    <row r="31" spans="1:40">
      <c r="A31" s="556"/>
    </row>
    <row r="32" spans="1:40">
      <c r="A32" s="556"/>
    </row>
    <row r="33" spans="1:1">
      <c r="A33" s="556"/>
    </row>
    <row r="34" spans="1:1">
      <c r="A34" s="556"/>
    </row>
    <row r="35" spans="1:1">
      <c r="A35" s="556"/>
    </row>
    <row r="36" spans="1:1">
      <c r="A36" s="556"/>
    </row>
    <row r="37" spans="1:1">
      <c r="A37" s="556"/>
    </row>
    <row r="38" spans="1:1">
      <c r="A38" s="556"/>
    </row>
    <row r="39" spans="1:1">
      <c r="A39" s="556"/>
    </row>
    <row r="40" spans="1:1">
      <c r="A40" s="556"/>
    </row>
    <row r="41" spans="1:1">
      <c r="A41" s="556"/>
    </row>
    <row r="42" spans="1:1">
      <c r="A42" s="556"/>
    </row>
  </sheetData>
  <sheetProtection algorithmName="SHA-512" hashValue="Fzpt3OT6SuOYpJLnfPg024gL7dfsuQMxqMPBUtEvcBxj0QzWor4nanfqcNgc9fTXq9qUDwvcK16Hyv4CMEJnbw==" saltValue="2dsF+vwuBhHA4xoFmtf27g==" spinCount="100000" sheet="1" objects="1" scenarios="1" formatColumns="0" formatRows="0" autoFilter="0"/>
  <autoFilter ref="C9:AF9"/>
  <dataConsolidate/>
  <mergeCells count="35">
    <mergeCell ref="V6:V7"/>
    <mergeCell ref="AB6:AB7"/>
    <mergeCell ref="H6:H7"/>
    <mergeCell ref="I6:I7"/>
    <mergeCell ref="J6:J7"/>
    <mergeCell ref="K6:K7"/>
    <mergeCell ref="S6:S7"/>
    <mergeCell ref="N6:N7"/>
    <mergeCell ref="O6:O7"/>
    <mergeCell ref="L6:M6"/>
    <mergeCell ref="W6:W7"/>
    <mergeCell ref="X6:X7"/>
    <mergeCell ref="C6:C7"/>
    <mergeCell ref="D6:D7"/>
    <mergeCell ref="F6:F7"/>
    <mergeCell ref="G6:G7"/>
    <mergeCell ref="U6:U7"/>
    <mergeCell ref="Q6:Q7"/>
    <mergeCell ref="T6:T7"/>
    <mergeCell ref="P6:P7"/>
    <mergeCell ref="R6:R7"/>
    <mergeCell ref="E6:E7"/>
    <mergeCell ref="AN12:AN14"/>
    <mergeCell ref="AM12:AM13"/>
    <mergeCell ref="AI12:AI14"/>
    <mergeCell ref="AJ12:AJ14"/>
    <mergeCell ref="Y6:Y7"/>
    <mergeCell ref="Z6:Z7"/>
    <mergeCell ref="AA6:AA7"/>
    <mergeCell ref="AG12:AG14"/>
    <mergeCell ref="AH12:AH14"/>
    <mergeCell ref="AL12:AL14"/>
    <mergeCell ref="AK12:AK14"/>
    <mergeCell ref="AC6:AE6"/>
    <mergeCell ref="AF6:AF7"/>
  </mergeCells>
  <phoneticPr fontId="0" type="noConversion"/>
  <dataValidations count="6">
    <dataValidation operator="equal" allowBlank="1" showInputMessage="1" prompt="Дата в формате ДД.ММ.ГГГГ (01.01.2010)" sqref="G15:G24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H15:H24">
      <formula1>_1009</formula1>
    </dataValidation>
    <dataValidation type="list" operator="equal" allowBlank="1" showErrorMessage="1" errorTitle="Выбор элемента списка" error="Данного элемента нет в списке" sqref="J15:J24">
      <formula1>_1010</formula1>
    </dataValidation>
    <dataValidation type="list" operator="equal" allowBlank="1" showErrorMessage="1" errorTitle="Выбор элемента списка" error="Данного элемента нет в списке" sqref="K15:K24">
      <formula1>_6003</formula1>
    </dataValidation>
    <dataValidation operator="equal" allowBlank="1" showErrorMessage="1" errorTitle="Выбор элемента списка" error="Данного элемента нет в списке" sqref="L15:M15"/>
    <dataValidation type="list" allowBlank="1" showInputMessage="1" showErrorMessage="1" sqref="I15:I24">
      <formula1>IF($I$3="Госкорпорация Росатом",_1015_86_ГК,_1015_86)</formula1>
    </dataValidation>
  </dataValidations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2" fitToWidth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64" r:id="rId4" name="Button 28">
              <controlPr defaultSize="0" print="0" autoFill="0" autoPict="0" macro="[0]!AddButtonsRowAdd">
                <anchor moveWithCells="1">
                  <from>
                    <xdr:col>3</xdr:col>
                    <xdr:colOff>1136650</xdr:colOff>
                    <xdr:row>2</xdr:row>
                    <xdr:rowOff>38100</xdr:rowOff>
                  </from>
                  <to>
                    <xdr:col>4</xdr:col>
                    <xdr:colOff>1174750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pageSetUpPr fitToPage="1"/>
  </sheetPr>
  <dimension ref="A1:P32"/>
  <sheetViews>
    <sheetView topLeftCell="B2" zoomScale="64" zoomScaleNormal="64" workbookViewId="0">
      <selection activeCell="H29" sqref="H29"/>
    </sheetView>
  </sheetViews>
  <sheetFormatPr defaultColWidth="11.453125" defaultRowHeight="14.5"/>
  <cols>
    <col min="1" max="1" width="25.81640625" style="1564" hidden="1" customWidth="1"/>
    <col min="2" max="2" width="7" style="24" customWidth="1"/>
    <col min="3" max="3" width="44.54296875" style="24" customWidth="1"/>
    <col min="4" max="4" width="20.54296875" style="485" customWidth="1"/>
    <col min="5" max="5" width="24.453125" style="24" customWidth="1"/>
    <col min="6" max="6" width="20.54296875" style="24" customWidth="1"/>
    <col min="7" max="7" width="25.453125" style="24" customWidth="1"/>
    <col min="8" max="8" width="30.54296875" style="24" customWidth="1"/>
    <col min="9" max="9" width="20.54296875" style="24" customWidth="1"/>
    <col min="10" max="10" width="19.453125" style="24" customWidth="1"/>
    <col min="11" max="11" width="20.54296875" style="24" customWidth="1"/>
    <col min="12" max="12" width="25.453125" style="24" customWidth="1"/>
    <col min="13" max="13" width="25" style="24" customWidth="1"/>
    <col min="14" max="14" width="11.453125" style="24"/>
    <col min="15" max="15" width="20.453125" style="24" customWidth="1"/>
    <col min="16" max="16" width="21.54296875" style="24" customWidth="1"/>
    <col min="17" max="16384" width="11.453125" style="24"/>
  </cols>
  <sheetData>
    <row r="1" spans="1:16" s="1163" customFormat="1" ht="12" hidden="1" customHeight="1">
      <c r="A1" s="2470" t="s">
        <v>4595</v>
      </c>
      <c r="B1" s="6"/>
      <c r="C1" s="37"/>
      <c r="D1" s="37"/>
      <c r="E1" s="37"/>
      <c r="F1" s="37"/>
      <c r="G1" s="37"/>
      <c r="H1" s="37"/>
      <c r="I1" s="237" t="s">
        <v>567</v>
      </c>
      <c r="J1" s="237" t="s">
        <v>568</v>
      </c>
      <c r="K1" s="2438" t="s">
        <v>6727</v>
      </c>
      <c r="L1" s="2438" t="s">
        <v>7654</v>
      </c>
      <c r="M1" s="37"/>
    </row>
    <row r="2" spans="1:16" s="749" customFormat="1" ht="12.5">
      <c r="A2" s="534"/>
      <c r="C2" s="1926" t="e">
        <f>IF(VLOOKUP(Содержание!D2,Список_компаний!$A:$I,9,FALSE)="да","+","-")</f>
        <v>#N/A</v>
      </c>
      <c r="I2" s="749" t="s">
        <v>1648</v>
      </c>
      <c r="J2" s="749" t="s">
        <v>1648</v>
      </c>
    </row>
    <row r="3" spans="1:16">
      <c r="A3" s="544"/>
      <c r="C3" s="281"/>
      <c r="D3" s="281"/>
      <c r="E3" s="281"/>
      <c r="F3"/>
      <c r="G3" s="1897" t="s">
        <v>2067</v>
      </c>
      <c r="H3" s="1244">
        <f>Содержание!$D$2</f>
        <v>0</v>
      </c>
      <c r="I3" s="10"/>
      <c r="J3" s="10"/>
      <c r="K3" s="10"/>
      <c r="L3" s="10"/>
      <c r="M3" s="10"/>
    </row>
    <row r="4" spans="1:16">
      <c r="A4" s="544"/>
      <c r="C4" s="105" t="s">
        <v>6312</v>
      </c>
      <c r="D4" s="24"/>
      <c r="F4" s="3044" t="s">
        <v>1436</v>
      </c>
      <c r="G4" s="1897" t="s">
        <v>2075</v>
      </c>
      <c r="H4" s="1244" t="str">
        <f>Содержание!$D$15</f>
        <v>2022 год</v>
      </c>
      <c r="I4" s="10"/>
      <c r="J4" s="10"/>
      <c r="K4" s="10"/>
      <c r="L4" s="10"/>
      <c r="M4" s="10"/>
    </row>
    <row r="5" spans="1:16" ht="15" thickBot="1">
      <c r="A5" s="544"/>
      <c r="C5"/>
      <c r="D5" s="281" t="b">
        <f t="array" ref="D5">IF(SMALL(IF(""=C11:C2700,ROW(C11:C2700),2700),1)&gt;LARGE(IF(""&lt;&gt;C11:C2700,ROW(C11:C2700),0),1),TRUE,FALSE)</f>
        <v>1</v>
      </c>
      <c r="E5" s="281"/>
      <c r="F5" s="281"/>
      <c r="G5" s="282"/>
      <c r="H5" s="282"/>
      <c r="I5" s="10"/>
      <c r="J5" s="10"/>
      <c r="K5" s="10"/>
      <c r="L5" s="10"/>
      <c r="M5" s="10"/>
    </row>
    <row r="6" spans="1:16" ht="52">
      <c r="A6" s="544"/>
      <c r="C6" s="111" t="s">
        <v>6112</v>
      </c>
      <c r="D6" s="14" t="s">
        <v>5274</v>
      </c>
      <c r="E6" s="14" t="s">
        <v>3194</v>
      </c>
      <c r="F6" s="14" t="s">
        <v>3195</v>
      </c>
      <c r="G6" s="14" t="s">
        <v>3395</v>
      </c>
      <c r="H6" s="14" t="s">
        <v>4664</v>
      </c>
      <c r="I6" s="14" t="s">
        <v>8594</v>
      </c>
      <c r="J6" s="21" t="s">
        <v>2200</v>
      </c>
      <c r="K6" s="2380" t="s">
        <v>2201</v>
      </c>
      <c r="L6" s="2560" t="s">
        <v>7475</v>
      </c>
      <c r="M6" s="82" t="s">
        <v>4183</v>
      </c>
    </row>
    <row r="7" spans="1:16" ht="13">
      <c r="A7" s="538"/>
      <c r="C7" s="99">
        <v>2145</v>
      </c>
      <c r="D7" s="15" t="s">
        <v>1837</v>
      </c>
      <c r="E7" s="15" t="s">
        <v>1838</v>
      </c>
      <c r="F7" s="15" t="s">
        <v>1839</v>
      </c>
      <c r="G7" s="15" t="s">
        <v>4097</v>
      </c>
      <c r="H7" s="15" t="s">
        <v>5250</v>
      </c>
      <c r="I7" s="15" t="s">
        <v>4597</v>
      </c>
      <c r="J7" s="15" t="s">
        <v>4613</v>
      </c>
      <c r="K7" s="2381" t="s">
        <v>4605</v>
      </c>
      <c r="L7" s="2561" t="s">
        <v>4597</v>
      </c>
      <c r="M7" s="112"/>
    </row>
    <row r="8" spans="1:16" s="698" customFormat="1" ht="10">
      <c r="A8" s="700"/>
      <c r="B8" s="680"/>
      <c r="C8" s="1744" t="s">
        <v>4164</v>
      </c>
      <c r="D8" s="1745" t="s">
        <v>4165</v>
      </c>
      <c r="E8" s="1745" t="s">
        <v>4166</v>
      </c>
      <c r="F8" s="1745" t="s">
        <v>5500</v>
      </c>
      <c r="G8" s="1745" t="s">
        <v>4169</v>
      </c>
      <c r="H8" s="1745" t="s">
        <v>4168</v>
      </c>
      <c r="I8" s="1746" t="s">
        <v>4178</v>
      </c>
      <c r="J8" s="1746" t="s">
        <v>4179</v>
      </c>
      <c r="K8" s="1746" t="s">
        <v>4167</v>
      </c>
      <c r="L8" s="1746" t="s">
        <v>5501</v>
      </c>
      <c r="M8" s="1746" t="s">
        <v>4701</v>
      </c>
    </row>
    <row r="9" spans="1:16" ht="13.5" thickBot="1">
      <c r="A9" s="538"/>
      <c r="B9" s="207"/>
      <c r="C9" s="1051" t="s">
        <v>4170</v>
      </c>
      <c r="D9" s="893" t="s">
        <v>4184</v>
      </c>
      <c r="E9" s="893" t="s">
        <v>4184</v>
      </c>
      <c r="F9" s="893" t="s">
        <v>4184</v>
      </c>
      <c r="G9" s="893" t="s">
        <v>4184</v>
      </c>
      <c r="H9" s="893" t="s">
        <v>4184</v>
      </c>
      <c r="I9" s="908">
        <f>SUM(I10:I9970)</f>
        <v>0</v>
      </c>
      <c r="J9" s="908">
        <f>SUM(J10:J9970)</f>
        <v>0</v>
      </c>
      <c r="K9" s="908">
        <f>SUM(K10:K9970)</f>
        <v>0</v>
      </c>
      <c r="L9" s="908">
        <f>SUM(L10:L9970)</f>
        <v>0</v>
      </c>
      <c r="M9" s="1052" t="s">
        <v>4184</v>
      </c>
    </row>
    <row r="10" spans="1:16" ht="39">
      <c r="A10" s="538"/>
      <c r="B10" s="207"/>
      <c r="C10" s="1053" t="s">
        <v>9988</v>
      </c>
      <c r="D10" s="946" t="s">
        <v>3389</v>
      </c>
      <c r="E10" s="946" t="s">
        <v>3389</v>
      </c>
      <c r="F10" s="946" t="s">
        <v>3389</v>
      </c>
      <c r="G10" s="946" t="s">
        <v>3389</v>
      </c>
      <c r="H10" s="946" t="s">
        <v>3389</v>
      </c>
      <c r="I10" s="908">
        <f>'90_ОРВГ'!K9</f>
        <v>0</v>
      </c>
      <c r="J10" s="908">
        <f>'90_ОРВГ'!M9</f>
        <v>0</v>
      </c>
      <c r="K10" s="2385">
        <f>'90_ОРВГ'!L9</f>
        <v>0</v>
      </c>
      <c r="L10" s="2385">
        <f>'90_ОРВГ'!N9</f>
        <v>0</v>
      </c>
      <c r="M10" s="1054"/>
      <c r="O10" s="3612" t="s">
        <v>15206</v>
      </c>
      <c r="P10" s="3612" t="s">
        <v>15207</v>
      </c>
    </row>
    <row r="11" spans="1:16" ht="25">
      <c r="A11" s="538" t="str">
        <f>"R1="&amp;IFERROR(MID(C11,FIND("{",C11)+1,FIND("}",C11)-FIND("{",C11)-1),"")&amp;";R3="&amp;IFERROR(MID(D11,FIND("{",D11)+1,FIND("}",D11)-FIND("{",D11)-1),"")&amp;";R4="&amp;IFERROR(MID(E11,FIND("{",E11)+1,FIND("}",E11)-FIND("{",E11)-1),"")&amp;";R5="&amp;IFERROR(MID(F11,FIND("{",F11)+1,FIND("}",F11)-FIND("{",F11)-1),"")&amp;";R6="&amp;IFERROR(MID(G11,FIND("{",G11)+1,FIND("}",G11)-FIND("{",G11)-1),"")&amp;";R7="&amp;IFERROR(MID(H11,FIND("{",H11)+1,FIND("}",H11)-FIND("{",H11)-1),"")&amp;";COM="&amp;M11</f>
        <v>R1=;R3=;R4=;R5=;R6=;R7=;COM=</v>
      </c>
      <c r="B11" s="207"/>
      <c r="C11" s="1499"/>
      <c r="D11" s="1056"/>
      <c r="E11" s="1056"/>
      <c r="F11" s="1497"/>
      <c r="G11" s="1497"/>
      <c r="H11" s="1497"/>
      <c r="I11" s="1057"/>
      <c r="J11" s="1057"/>
      <c r="K11" s="2386"/>
      <c r="L11" s="2386"/>
      <c r="M11" s="1054"/>
      <c r="O11" s="24" t="b">
        <f>IF(I11&lt;&gt;"",F11&lt;&gt;"",TRUE)</f>
        <v>1</v>
      </c>
      <c r="P11" s="24" t="b">
        <f>IF(I11&lt;&gt;"",G11&lt;&gt;"",TRUE)</f>
        <v>1</v>
      </c>
    </row>
    <row r="12" spans="1:16" ht="25">
      <c r="A12" s="538" t="str">
        <f>"R1="&amp;IFERROR(MID(C12,FIND("{",C12)+1,FIND("}",C12)-FIND("{",C12)-1),"")&amp;";R3="&amp;IFERROR(MID(D12,FIND("{",D12)+1,FIND("}",D12)-FIND("{",D12)-1),"")&amp;";R4="&amp;IFERROR(MID(E12,FIND("{",E12)+1,FIND("}",E12)-FIND("{",E12)-1),"")&amp;";R5="&amp;IFERROR(MID(F12,FIND("{",F12)+1,FIND("}",F12)-FIND("{",F12)-1),"")&amp;";R6="&amp;IFERROR(MID(G12,FIND("{",G12)+1,FIND("}",G12)-FIND("{",G12)-1),"")&amp;";R7="&amp;IFERROR(MID(H12,FIND("{",H12)+1,FIND("}",H12)-FIND("{",H12)-1),"")&amp;";COM="&amp;M12</f>
        <v>R1=;R3=;R4=;R5=;R6=;R7=;COM=</v>
      </c>
      <c r="B12" s="207"/>
      <c r="C12" s="1499"/>
      <c r="D12" s="1056"/>
      <c r="E12" s="1056"/>
      <c r="F12" s="1497"/>
      <c r="G12" s="1497"/>
      <c r="H12" s="1497"/>
      <c r="I12" s="1057"/>
      <c r="J12" s="1057"/>
      <c r="K12" s="2386"/>
      <c r="L12" s="2386"/>
      <c r="M12" s="1054"/>
      <c r="O12" s="24" t="b">
        <f t="shared" ref="O12:O14" si="0">IF(I12&lt;&gt;"",F12&lt;&gt;"",TRUE)</f>
        <v>1</v>
      </c>
      <c r="P12" s="24" t="b">
        <f t="shared" ref="P12:P14" si="1">IF(I12&lt;&gt;"",G12&lt;&gt;"",TRUE)</f>
        <v>1</v>
      </c>
    </row>
    <row r="13" spans="1:16" ht="25">
      <c r="A13" s="538" t="str">
        <f>"R1="&amp;IFERROR(MID(C13,FIND("{",C13)+1,FIND("}",C13)-FIND("{",C13)-1),"")&amp;";R3="&amp;IFERROR(MID(D13,FIND("{",D13)+1,FIND("}",D13)-FIND("{",D13)-1),"")&amp;";R4="&amp;IFERROR(MID(E13,FIND("{",E13)+1,FIND("}",E13)-FIND("{",E13)-1),"")&amp;";R5="&amp;IFERROR(MID(F13,FIND("{",F13)+1,FIND("}",F13)-FIND("{",F13)-1),"")&amp;";R6="&amp;IFERROR(MID(G13,FIND("{",G13)+1,FIND("}",G13)-FIND("{",G13)-1),"")&amp;";R7="&amp;IFERROR(MID(H13,FIND("{",H13)+1,FIND("}",H13)-FIND("{",H13)-1),"")&amp;";COM="&amp;M13</f>
        <v>R1=;R3=;R4=;R5=;R6=;R7=;COM=</v>
      </c>
      <c r="B13" s="207"/>
      <c r="C13" s="1499"/>
      <c r="D13" s="1056"/>
      <c r="E13" s="1056"/>
      <c r="F13" s="1497"/>
      <c r="G13" s="1497"/>
      <c r="H13" s="1497"/>
      <c r="I13" s="1057"/>
      <c r="J13" s="1057"/>
      <c r="K13" s="2386"/>
      <c r="L13" s="2386"/>
      <c r="M13" s="1054"/>
      <c r="O13" s="24" t="b">
        <f t="shared" si="0"/>
        <v>1</v>
      </c>
      <c r="P13" s="24" t="b">
        <f t="shared" si="1"/>
        <v>1</v>
      </c>
    </row>
    <row r="14" spans="1:16" ht="25">
      <c r="A14" s="538" t="str">
        <f>"R1="&amp;IFERROR(MID(C14,FIND("{",C14)+1,FIND("}",C14)-FIND("{",C14)-1),"")&amp;";R3="&amp;IFERROR(MID(D14,FIND("{",D14)+1,FIND("}",D14)-FIND("{",D14)-1),"")&amp;";R4="&amp;IFERROR(MID(E14,FIND("{",E14)+1,FIND("}",E14)-FIND("{",E14)-1),"")&amp;";R5="&amp;IFERROR(MID(F14,FIND("{",F14)+1,FIND("}",F14)-FIND("{",F14)-1),"")&amp;";R6="&amp;IFERROR(MID(G14,FIND("{",G14)+1,FIND("}",G14)-FIND("{",G14)-1),"")&amp;";R7="&amp;IFERROR(MID(H14,FIND("{",H14)+1,FIND("}",H14)-FIND("{",H14)-1),"")&amp;";COM="&amp;M14</f>
        <v>R1=;R3=;R4=;R5=;R6=;R7=;COM=</v>
      </c>
      <c r="B14" s="207"/>
      <c r="C14" s="1499"/>
      <c r="D14" s="1056"/>
      <c r="E14" s="1056"/>
      <c r="F14" s="1497"/>
      <c r="G14" s="1497"/>
      <c r="H14" s="1497"/>
      <c r="I14" s="1057"/>
      <c r="J14" s="1057"/>
      <c r="K14" s="2386"/>
      <c r="L14" s="2386"/>
      <c r="M14" s="1054"/>
      <c r="O14" s="24" t="b">
        <f t="shared" si="0"/>
        <v>1</v>
      </c>
      <c r="P14" s="24" t="b">
        <f t="shared" si="1"/>
        <v>1</v>
      </c>
    </row>
    <row r="15" spans="1:16" ht="25.5" thickBot="1">
      <c r="A15" s="538" t="str">
        <f>"R1="&amp;IFERROR(MID(C15,FIND("{",C15)+1,FIND("}",C15)-FIND("{",C15)-1),"")&amp;";R3="&amp;IFERROR(MID(D15,FIND("{",D15)+1,FIND("}",D15)-FIND("{",D15)-1),"")&amp;";R4="&amp;IFERROR(MID(E15,FIND("{",E15)+1,FIND("}",E15)-FIND("{",E15)-1),"")&amp;";R5="&amp;IFERROR(MID(F15,FIND("{",F15)+1,FIND("}",F15)-FIND("{",F15)-1),"")&amp;";R6="&amp;IFERROR(MID(G15,FIND("{",G15)+1,FIND("}",G15)-FIND("{",G15)-1),"")&amp;";R7="&amp;IFERROR(MID(H15,FIND("{",H15)+1,FIND("}",H15)-FIND("{",H15)-1),"")&amp;";COM="&amp;M15</f>
        <v>R1=;R3=;R4=;R5=;R6=;R7=;COM=</v>
      </c>
      <c r="C15" s="1550"/>
      <c r="D15" s="2387"/>
      <c r="E15" s="1058"/>
      <c r="F15" s="1551"/>
      <c r="G15" s="1551"/>
      <c r="H15" s="1551"/>
      <c r="I15" s="1552"/>
      <c r="J15" s="1515"/>
      <c r="K15" s="2564"/>
      <c r="L15" s="2565"/>
      <c r="M15" s="1059"/>
      <c r="O15" s="24" t="b">
        <f>IF(I15&lt;&gt;"",F15&lt;&gt;"",TRUE)</f>
        <v>1</v>
      </c>
      <c r="P15" s="24" t="b">
        <f>IF(I15&lt;&gt;"",G15&lt;&gt;"",TRUE)</f>
        <v>1</v>
      </c>
    </row>
    <row r="16" spans="1:16" ht="12.5">
      <c r="A16" s="24"/>
      <c r="C16" s="485"/>
      <c r="D16" s="24"/>
    </row>
    <row r="17" spans="1:4" ht="12.5">
      <c r="A17" s="24"/>
      <c r="C17" s="485"/>
      <c r="D17" s="24"/>
    </row>
    <row r="18" spans="1:4" ht="12.5">
      <c r="A18" s="24"/>
      <c r="C18" s="485"/>
      <c r="D18" s="24"/>
    </row>
    <row r="19" spans="1:4" ht="12.5">
      <c r="A19" s="24"/>
      <c r="C19" s="485"/>
      <c r="D19" s="24"/>
    </row>
    <row r="20" spans="1:4" ht="12.5">
      <c r="A20" s="24"/>
      <c r="C20" s="485"/>
      <c r="D20" s="24"/>
    </row>
    <row r="21" spans="1:4" ht="12.5">
      <c r="A21" s="24"/>
      <c r="C21" s="485"/>
      <c r="D21" s="24"/>
    </row>
    <row r="22" spans="1:4" ht="12.5">
      <c r="A22" s="24"/>
      <c r="C22" s="485"/>
      <c r="D22" s="24"/>
    </row>
    <row r="23" spans="1:4" ht="12.5">
      <c r="A23" s="24"/>
      <c r="C23" s="485"/>
      <c r="D23" s="24"/>
    </row>
    <row r="24" spans="1:4" ht="12.5">
      <c r="A24" s="24"/>
      <c r="C24" s="485"/>
      <c r="D24" s="24"/>
    </row>
    <row r="25" spans="1:4" ht="12.5">
      <c r="A25" s="24"/>
      <c r="C25" s="485"/>
      <c r="D25" s="24"/>
    </row>
    <row r="26" spans="1:4" ht="12.5">
      <c r="A26" s="24"/>
      <c r="C26" s="485"/>
      <c r="D26" s="24"/>
    </row>
    <row r="27" spans="1:4" ht="12.5">
      <c r="A27" s="24"/>
      <c r="C27" s="485"/>
      <c r="D27" s="24"/>
    </row>
    <row r="28" spans="1:4" ht="12.5">
      <c r="A28" s="24"/>
      <c r="C28" s="485"/>
      <c r="D28" s="24"/>
    </row>
    <row r="29" spans="1:4" ht="12.5">
      <c r="A29" s="24"/>
      <c r="C29" s="485"/>
      <c r="D29" s="24"/>
    </row>
    <row r="30" spans="1:4" ht="12.5">
      <c r="A30" s="24"/>
      <c r="C30" s="485"/>
      <c r="D30" s="24"/>
    </row>
    <row r="31" spans="1:4" ht="12.5">
      <c r="A31" s="24"/>
      <c r="C31" s="485"/>
      <c r="D31" s="24"/>
    </row>
    <row r="32" spans="1:4" ht="12.5">
      <c r="A32" s="24"/>
      <c r="C32" s="485"/>
      <c r="D32" s="24"/>
    </row>
  </sheetData>
  <sheetProtection algorithmName="SHA-512" hashValue="j+XUmyHb7rcx1IFLh4nlJC6Z6s7Lj8KQmf9aL/2uUz4FOSAX8LIaQ2anLlUHzU2iMmXnmP7ABONPGjDLug1KVA==" saltValue="ckBew0SpgVfabgUP/5aL2A==" spinCount="100000" sheet="1" objects="1" scenarios="1" formatColumns="0" formatRows="0" autoFilter="0"/>
  <autoFilter ref="C8:M8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autoFilter ref="B1:J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autoFilter ref="B1:J1"/>
    </customSheetView>
    <customSheetView guid="{5D121940-0CE8-4A0E-A493-67FAAA6E0FF8}" showGridLines="0" showAutoFilter="1" hiddenRows="1" hiddenColumns="1" topLeftCell="B3">
      <selection activeCell="C7" sqref="C7"/>
      <pageMargins left="0.7" right="0.7" top="0.75" bottom="0.75" header="0.3" footer="0.3"/>
      <autoFilter ref="B1:J1"/>
    </customSheetView>
    <customSheetView guid="{47AEACC4-6EA5-412C-AF39-A6C5357B313A}" showGridLines="0" showAutoFilter="1" hiddenRows="1" hiddenColumns="1" topLeftCell="D2">
      <selection activeCell="C8" sqref="C8:K8"/>
      <pageMargins left="0.7" right="0.7" top="0.75" bottom="0.75" header="0.3" footer="0.3"/>
      <autoFilter ref="B1:J1"/>
    </customSheetView>
    <customSheetView guid="{C913A9E8-661B-40A4-A3C9-1BC5F2B2E9F0}" showGridLines="0" showAutoFilter="1" hiddenRows="1" hiddenColumns="1" topLeftCell="B2">
      <selection activeCell="C7" sqref="C7"/>
      <pageMargins left="0.7" right="0.7" top="0.75" bottom="0.75" header="0.3" footer="0.3"/>
      <autoFilter ref="B1:J1"/>
    </customSheetView>
  </customSheetViews>
  <phoneticPr fontId="0" type="noConversion"/>
  <dataValidations count="10">
    <dataValidation type="list" operator="equal" allowBlank="1" showErrorMessage="1" errorTitle="Выбор элемента списка" error="Данного элемента нет в списке" sqref="C65371:F65373">
      <formula1>_1006_</formula1>
    </dataValidation>
    <dataValidation type="list" operator="equal" allowBlank="1" showErrorMessage="1" errorTitle="Выбор элемента списка" error="Данного элемента нет в списке" sqref="G65371:H65373">
      <formula1>_2140_</formula1>
    </dataValidation>
    <dataValidation type="list" operator="equal" allowBlank="1" showErrorMessage="1" errorTitle="Выбор элемента списка" error="Данного элемента нет в списке" sqref="J65371:L65373">
      <formula1>_1003_</formula1>
    </dataValidation>
    <dataValidation type="list" operator="equal" allowBlank="1" showErrorMessage="1" errorTitle="Выбор элемента списка" error="Данного элемента нет в списке" sqref="I65371:I65373">
      <formula1>_2311_</formula1>
    </dataValidation>
    <dataValidation type="list" operator="equal" allowBlank="1" showErrorMessage="1" errorTitle="Выбор элемента списка" error="Данного элемента нет в списке" sqref="F11:F15">
      <formula1>_1003</formula1>
    </dataValidation>
    <dataValidation type="list" operator="equal" allowBlank="1" showErrorMessage="1" errorTitle="Выбор элемента списка" error="Данного элемента нет в списке" sqref="G11:G15">
      <formula1>_1010</formula1>
    </dataValidation>
    <dataValidation type="list" operator="equal" allowBlank="1" showErrorMessage="1" errorTitle="Выбор элемента списка" error="Данного элемента нет в списке" sqref="H11:H15">
      <formula1>_6003</formula1>
    </dataValidation>
    <dataValidation type="list" operator="equal" allowBlank="1" showErrorMessage="1" errorTitle="Выбор элемента списка" error="Данного элемента нет в списке" sqref="E11:E15">
      <formula1>_2311</formula1>
    </dataValidation>
    <dataValidation type="list" operator="equal" allowBlank="1" showErrorMessage="1" errorTitle="Выбор элемента списка" error="Данного элемента нет в списке" sqref="D11:D15">
      <formula1>IF(ISNUMBER(SEARCH("{??01",C11,1)),_2142,_X)</formula1>
    </dataValidation>
    <dataValidation type="list" allowBlank="1" showInputMessage="1" showErrorMessage="1" sqref="C11:C15">
      <formula1>_2145</formula1>
    </dataValidation>
  </dataValidations>
  <hyperlinks>
    <hyperlink ref="F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0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0" r:id="rId4" name="Button 10">
              <controlPr defaultSize="0" print="0" autoFill="0" autoPict="0" macro="[0]!AddButtonsRowAdd">
                <anchor moveWithCells="1">
                  <from>
                    <xdr:col>2</xdr:col>
                    <xdr:colOff>1403350</xdr:colOff>
                    <xdr:row>2</xdr:row>
                    <xdr:rowOff>69850</xdr:rowOff>
                  </from>
                  <to>
                    <xdr:col>2</xdr:col>
                    <xdr:colOff>2851150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pageSetUpPr fitToPage="1"/>
  </sheetPr>
  <dimension ref="A1:Z102"/>
  <sheetViews>
    <sheetView topLeftCell="I4" zoomScale="52" zoomScaleNormal="52" workbookViewId="0">
      <selection activeCell="Z9" sqref="Z9"/>
    </sheetView>
  </sheetViews>
  <sheetFormatPr defaultColWidth="9.453125" defaultRowHeight="14.5"/>
  <cols>
    <col min="1" max="1" width="79.81640625" style="1564" hidden="1" customWidth="1"/>
    <col min="2" max="2" width="2.54296875" style="1163" customWidth="1"/>
    <col min="3" max="3" width="14.54296875" style="1163" customWidth="1"/>
    <col min="4" max="4" width="15.453125" style="1163" customWidth="1"/>
    <col min="5" max="5" width="22.54296875" style="1163" customWidth="1"/>
    <col min="6" max="7" width="20.453125" style="1163" customWidth="1"/>
    <col min="8" max="8" width="23.54296875" style="1163" customWidth="1"/>
    <col min="9" max="9" width="68" style="1163" customWidth="1"/>
    <col min="10" max="10" width="25.453125" style="1163" customWidth="1"/>
    <col min="11" max="11" width="22.453125" style="1163" customWidth="1"/>
    <col min="12" max="12" width="16.453125" style="1163" customWidth="1"/>
    <col min="13" max="13" width="15.453125" style="1163" customWidth="1"/>
    <col min="14" max="14" width="15.453125" style="2422" customWidth="1"/>
    <col min="15" max="17" width="15.453125" style="1163" customWidth="1"/>
    <col min="18" max="18" width="20.453125" style="1163" customWidth="1"/>
    <col min="19" max="19" width="21" style="1163" customWidth="1"/>
    <col min="20" max="20" width="16" style="1163" customWidth="1"/>
    <col min="21" max="21" width="6.54296875" style="1163" customWidth="1"/>
    <col min="22" max="22" width="9.453125" style="1163" hidden="1" customWidth="1"/>
    <col min="23" max="23" width="32.54296875" style="1163" customWidth="1"/>
    <col min="24" max="24" width="24.1796875" style="1163" bestFit="1" customWidth="1"/>
    <col min="25" max="25" width="23.81640625" style="1163" customWidth="1"/>
    <col min="26" max="26" width="23.54296875" style="1163" customWidth="1"/>
    <col min="27" max="16384" width="9.453125" style="1163"/>
  </cols>
  <sheetData>
    <row r="1" spans="1:26" ht="47.25" hidden="1" customHeight="1">
      <c r="A1" s="553" t="s">
        <v>951</v>
      </c>
      <c r="B1" s="6"/>
      <c r="C1" s="37"/>
      <c r="D1" s="37"/>
      <c r="E1" s="37"/>
      <c r="F1" s="37"/>
      <c r="G1" s="37"/>
      <c r="H1" s="37"/>
      <c r="I1" s="6"/>
      <c r="J1" s="6"/>
      <c r="K1" s="6" t="s">
        <v>569</v>
      </c>
      <c r="L1" s="6" t="s">
        <v>570</v>
      </c>
      <c r="M1" s="6" t="s">
        <v>571</v>
      </c>
      <c r="N1" s="2438" t="s">
        <v>7655</v>
      </c>
      <c r="O1" s="6"/>
      <c r="P1" s="6"/>
      <c r="Q1" s="6"/>
      <c r="R1" s="6"/>
      <c r="S1" s="6"/>
      <c r="T1" s="6"/>
    </row>
    <row r="2" spans="1:26" s="749" customFormat="1" ht="12.5">
      <c r="A2" s="534"/>
      <c r="C2" s="1926" t="e">
        <f>IF(VLOOKUP(Содержание!D2,Список_компаний!$A:$I,9,FALSE)="да","+","-")</f>
        <v>#N/A</v>
      </c>
      <c r="K2" s="749" t="s">
        <v>1648</v>
      </c>
      <c r="L2" s="749" t="s">
        <v>1648</v>
      </c>
      <c r="M2" s="749" t="s">
        <v>1648</v>
      </c>
      <c r="O2" s="749" t="s">
        <v>1648</v>
      </c>
    </row>
    <row r="3" spans="1:26" s="24" customFormat="1" ht="13">
      <c r="A3" s="538"/>
      <c r="B3" s="245"/>
      <c r="C3" s="281"/>
      <c r="D3" s="281"/>
      <c r="E3" s="281"/>
      <c r="F3" s="281"/>
    </row>
    <row r="4" spans="1:26">
      <c r="A4" s="538"/>
      <c r="C4" s="105" t="s">
        <v>3197</v>
      </c>
      <c r="H4" s="3044" t="s">
        <v>1436</v>
      </c>
      <c r="I4" s="1897" t="s">
        <v>2067</v>
      </c>
      <c r="J4" s="1244">
        <f>Содержание!$D$2</f>
        <v>0</v>
      </c>
    </row>
    <row r="5" spans="1:26" ht="15" thickBot="1">
      <c r="A5" s="538"/>
      <c r="D5" t="b">
        <f t="array" ref="D5">IF(SMALL(IF(""=C10:C2700,ROW(C10:C2700),2700),1)&gt;LARGE(IF(""&lt;&gt;C10:C2700,ROW(C10:C2700),0),1),TRUE,FALSE)</f>
        <v>1</v>
      </c>
      <c r="E5" s="2358"/>
      <c r="H5"/>
      <c r="I5" s="1897" t="s">
        <v>2075</v>
      </c>
      <c r="J5" s="1244" t="str">
        <f>Содержание!$D$15</f>
        <v>2022 год</v>
      </c>
    </row>
    <row r="6" spans="1:26" ht="65">
      <c r="A6" s="538"/>
      <c r="C6" s="85" t="s">
        <v>5381</v>
      </c>
      <c r="D6" s="28" t="s">
        <v>3198</v>
      </c>
      <c r="E6" s="3165" t="s">
        <v>8394</v>
      </c>
      <c r="F6" s="21" t="s">
        <v>3195</v>
      </c>
      <c r="G6" s="28" t="s">
        <v>3395</v>
      </c>
      <c r="H6" s="28" t="s">
        <v>4664</v>
      </c>
      <c r="I6" s="14" t="s">
        <v>6112</v>
      </c>
      <c r="J6" s="2337" t="s">
        <v>5274</v>
      </c>
      <c r="K6" s="28" t="s">
        <v>8594</v>
      </c>
      <c r="L6" s="28" t="s">
        <v>2201</v>
      </c>
      <c r="M6" s="28" t="s">
        <v>2200</v>
      </c>
      <c r="N6" s="2560" t="s">
        <v>7475</v>
      </c>
      <c r="O6" s="28" t="s">
        <v>3199</v>
      </c>
      <c r="P6" s="28" t="s">
        <v>3200</v>
      </c>
      <c r="Q6" s="28" t="s">
        <v>3201</v>
      </c>
      <c r="R6" s="3165" t="s">
        <v>8394</v>
      </c>
      <c r="S6" s="3338" t="s">
        <v>1846</v>
      </c>
      <c r="T6" s="793" t="s">
        <v>3401</v>
      </c>
    </row>
    <row r="7" spans="1:26">
      <c r="A7" s="538"/>
      <c r="C7" s="99" t="s">
        <v>5247</v>
      </c>
      <c r="D7" s="15" t="s">
        <v>5247</v>
      </c>
      <c r="E7" s="2361" t="s">
        <v>5247</v>
      </c>
      <c r="F7" s="15" t="s">
        <v>1839</v>
      </c>
      <c r="G7" s="15" t="s">
        <v>4097</v>
      </c>
      <c r="H7" s="15" t="s">
        <v>5250</v>
      </c>
      <c r="I7" s="15">
        <v>2145</v>
      </c>
      <c r="J7" s="15" t="s">
        <v>1837</v>
      </c>
      <c r="K7" s="15" t="s">
        <v>4597</v>
      </c>
      <c r="L7" s="15" t="s">
        <v>4605</v>
      </c>
      <c r="M7" s="15" t="s">
        <v>4613</v>
      </c>
      <c r="N7" s="2561" t="s">
        <v>4597</v>
      </c>
      <c r="O7" s="15" t="s">
        <v>4620</v>
      </c>
      <c r="P7" s="491" t="s">
        <v>5247</v>
      </c>
      <c r="Q7" s="491" t="s">
        <v>5247</v>
      </c>
      <c r="R7" s="2395" t="s">
        <v>5247</v>
      </c>
      <c r="S7" s="3340">
        <v>2310</v>
      </c>
      <c r="T7" s="3341"/>
    </row>
    <row r="8" spans="1:26" s="674" customFormat="1" ht="11" thickBot="1">
      <c r="A8" s="700"/>
      <c r="C8" s="730" t="s">
        <v>4164</v>
      </c>
      <c r="D8" s="726" t="s">
        <v>4165</v>
      </c>
      <c r="E8" s="726" t="s">
        <v>4166</v>
      </c>
      <c r="F8" s="726" t="s">
        <v>5500</v>
      </c>
      <c r="G8" s="726" t="s">
        <v>4169</v>
      </c>
      <c r="H8" s="726" t="s">
        <v>4168</v>
      </c>
      <c r="I8" s="726" t="s">
        <v>4178</v>
      </c>
      <c r="J8" s="726" t="s">
        <v>4179</v>
      </c>
      <c r="K8" s="726" t="s">
        <v>4167</v>
      </c>
      <c r="L8" s="726" t="s">
        <v>5501</v>
      </c>
      <c r="M8" s="726" t="s">
        <v>4701</v>
      </c>
      <c r="N8" s="726" t="s">
        <v>4702</v>
      </c>
      <c r="O8" s="726" t="s">
        <v>4703</v>
      </c>
      <c r="P8" s="726" t="s">
        <v>5502</v>
      </c>
      <c r="Q8" s="726" t="s">
        <v>5503</v>
      </c>
      <c r="R8" s="726" t="s">
        <v>5504</v>
      </c>
      <c r="S8" s="3350" t="s">
        <v>4853</v>
      </c>
      <c r="T8" s="726" t="s">
        <v>4852</v>
      </c>
    </row>
    <row r="9" spans="1:26" ht="33" customHeight="1">
      <c r="A9" s="538"/>
      <c r="C9" s="283" t="s">
        <v>4170</v>
      </c>
      <c r="D9" s="284" t="s">
        <v>3389</v>
      </c>
      <c r="E9" s="284" t="s">
        <v>3389</v>
      </c>
      <c r="F9" s="284" t="s">
        <v>3389</v>
      </c>
      <c r="G9" s="284" t="s">
        <v>3389</v>
      </c>
      <c r="H9" s="284" t="s">
        <v>3389</v>
      </c>
      <c r="I9" s="284" t="s">
        <v>3389</v>
      </c>
      <c r="J9" s="284" t="s">
        <v>3389</v>
      </c>
      <c r="K9" s="184">
        <f>SUM(K10:K49975)</f>
        <v>0</v>
      </c>
      <c r="L9" s="184">
        <f>SUM(L10:L49975)</f>
        <v>0</v>
      </c>
      <c r="M9" s="184">
        <f>SUM(M10:M49975)</f>
        <v>0</v>
      </c>
      <c r="N9" s="184">
        <f>SUM(N10:N49975)</f>
        <v>0</v>
      </c>
      <c r="O9" s="184">
        <f>SUM(O10:O49975)</f>
        <v>0</v>
      </c>
      <c r="P9" s="284" t="s">
        <v>3389</v>
      </c>
      <c r="Q9" s="284" t="s">
        <v>3389</v>
      </c>
      <c r="R9" s="284" t="s">
        <v>3389</v>
      </c>
      <c r="S9" s="3351" t="s">
        <v>3389</v>
      </c>
      <c r="T9" s="1750" t="s">
        <v>3389</v>
      </c>
      <c r="W9" s="2892" t="s">
        <v>8595</v>
      </c>
      <c r="X9" s="3339" t="s">
        <v>10272</v>
      </c>
      <c r="Y9" s="3612" t="s">
        <v>15206</v>
      </c>
      <c r="Z9" s="3612" t="s">
        <v>15207</v>
      </c>
    </row>
    <row r="10" spans="1:26" ht="20.25" customHeight="1">
      <c r="A10" s="538" t="str">
        <f>"R42="&amp;MID(IF(E10&lt;&gt;"",E10,D10),1,30)&amp;";R5="&amp;IFERROR(MID(F10,FIND("{",F10)+1,FIND("}",F10)-FIND("{",F10)-1),"")&amp;";R6="&amp;IFERROR(MID(G10,FIND("{",G10)+1,FIND("}",G10)-FIND("{",G10)-1),"")&amp;";R7="&amp;IFERROR(MID(H10,FIND("{",H10)+1,FIND("}",H10)-FIND("{",H10)-1),"")&amp;";R1="&amp;IFERROR(MID(I10,FIND("{",I10)+1,FIND("}",I10)-FIND("{",I10)-1),"")&amp;";R3="&amp;IFERROR(MID(J10,FIND("{",J10)+1,FIND("}",J10)-FIND("{",J10)-1),"")&amp;";R10="&amp;";R45="&amp;MID(IF(Q10="-","",Q10),1,30)&amp;";R9="&amp;IFERROR(MID(S10,FIND("{",S10)+1,FIND("}",S10)-FIND("{",S10)-1),"")&amp;";R36="&amp;MID(E10,1,30)&amp;";R43="&amp;MID(D10,1,30)&amp;";R48="&amp;MID(R10,1,30)&amp;";R51="&amp;MID(Q10,1,30)&amp;";COM="&amp;T10</f>
        <v>R42= ;R5=;R6=;R7=;R1=;R3=;R10=;R45=;R9=;R36= ;R43= ;R48=-;R51=-;COM=</v>
      </c>
      <c r="C10" s="1499"/>
      <c r="D10" s="786" t="str">
        <f>IF(ISERROR(VLOOKUP(C10,Список_компаний!$A$8:$B$65180,2,0))," ",VLOOKUP(C10,Список_компаний!$A$8:$B$65180,2,0))</f>
        <v xml:space="preserve"> </v>
      </c>
      <c r="E10" s="786" t="str">
        <f>IF(ISERROR(VLOOKUP(C10,Список_компаний!$A$8:$C$65180,3,0))," ",VLOOKUP(C10,Список_компаний!$A$8:$C$65180,3,0))</f>
        <v xml:space="preserve"> </v>
      </c>
      <c r="F10" s="1497"/>
      <c r="G10" s="1497"/>
      <c r="H10" s="1497"/>
      <c r="I10" s="1497"/>
      <c r="J10" s="1497"/>
      <c r="K10" s="1498"/>
      <c r="L10" s="1498"/>
      <c r="M10" s="1498"/>
      <c r="N10" s="1498"/>
      <c r="O10" s="184">
        <f>SUM(K10:N10)</f>
        <v>0</v>
      </c>
      <c r="P10" s="1497"/>
      <c r="Q10" s="492" t="str">
        <f>IF(ISERROR(VLOOKUP(P10,Список_компаний!$A$4:$B$65180,2,0)),"-",VLOOKUP(P10,Список_компаний!$A$4:$B$65180,2,0))</f>
        <v>-</v>
      </c>
      <c r="R10" s="2400" t="str">
        <f>IF(ISERROR(VLOOKUP(P10,Список_компаний!$A$4:$C$65180,3,0)),"-",VLOOKUP(P10,Список_компаний!$A$4:$C$65180,3,0))</f>
        <v>-</v>
      </c>
      <c r="S10" s="3352"/>
      <c r="T10" s="285"/>
      <c r="U10" s="2830"/>
      <c r="V10" s="2035">
        <f t="shared" ref="V10:V24" si="0">IF(I10="{21412601} Сдача внаем собственного недвижимого имущества",1,IF(I10= "{21412603} Услуги по аренде машин и оборудования (без оператора), бытовых изделий и предметов личного пользования",1,0))</f>
        <v>0</v>
      </c>
      <c r="W10" s="2035" t="b">
        <f>OR(V10=0,IF((ROUND(L10,0))&gt;=1,TRUE,FALSE),LEN(T10)&gt;5)</f>
        <v>1</v>
      </c>
      <c r="X10" s="2035" t="b">
        <f t="shared" ref="X10:X24" si="1">IF(C10="",S10="",AND(NOT(ISERROR(VLOOKUP(S10,_2310_,1,0))),IF(LEFT(S10,3)="{12",LEFT(J10,1)="{",TRUE)))</f>
        <v>1</v>
      </c>
      <c r="Y10" s="2036" t="b">
        <f>IF(K10&lt;&gt;"",F10&lt;&gt;"",TRUE)</f>
        <v>1</v>
      </c>
      <c r="Z10" s="2036" t="b">
        <f>IF(K10&lt;&gt;"",G10&lt;&gt;"",TRUE)</f>
        <v>1</v>
      </c>
    </row>
    <row r="11" spans="1:26" ht="20.25" customHeight="1">
      <c r="A11" s="2425" t="str">
        <f t="shared" ref="A11:A24" si="2">"R42="&amp;MID(IF(E11&lt;&gt;"",E11,D11),1,30)&amp;";R5="&amp;IFERROR(MID(F11,FIND("{",F11)+1,FIND("}",F11)-FIND("{",F11)-1),"")&amp;";R6="&amp;IFERROR(MID(G11,FIND("{",G11)+1,FIND("}",G11)-FIND("{",G11)-1),"")&amp;";R7="&amp;IFERROR(MID(H11,FIND("{",H11)+1,FIND("}",H11)-FIND("{",H11)-1),"")&amp;";R1="&amp;IFERROR(MID(I11,FIND("{",I11)+1,FIND("}",I11)-FIND("{",I11)-1),"")&amp;";R3="&amp;IFERROR(MID(J11,FIND("{",J11)+1,FIND("}",J11)-FIND("{",J11)-1),"")&amp;";R10="&amp;";R45="&amp;MID(IF(Q11="-","",Q11),1,30)&amp;";R9="&amp;IFERROR(MID(S11,FIND("{",S11)+1,FIND("}",S11)-FIND("{",S11)-1),"")&amp;";R36="&amp;MID(E11,1,30)&amp;";R43="&amp;MID(D11,1,30)&amp;";R48="&amp;MID(R11,1,30)&amp;";R51="&amp;MID(Q11,1,30)&amp;";COM="&amp;T11</f>
        <v>R42= ;R5=;R6=;R7=;R1=;R3=;R10=;R45=;R9=;R36= ;R43= ;R48=-;R51=-;COM=</v>
      </c>
      <c r="C11" s="1499"/>
      <c r="D11" s="786" t="str">
        <f>IF(ISERROR(VLOOKUP(C11,Список_компаний!$A$8:$B$65180,2,0))," ",VLOOKUP(C11,Список_компаний!$A$8:$B$65180,2,0))</f>
        <v xml:space="preserve"> </v>
      </c>
      <c r="E11" s="786" t="str">
        <f>IF(ISERROR(VLOOKUP(C11,Список_компаний!$A$8:$C$65180,3,0))," ",VLOOKUP(C11,Список_компаний!$A$8:$C$65180,3,0))</f>
        <v xml:space="preserve"> </v>
      </c>
      <c r="F11" s="1497"/>
      <c r="G11" s="1497"/>
      <c r="H11" s="1497"/>
      <c r="I11" s="1497"/>
      <c r="J11" s="1497"/>
      <c r="K11" s="1498"/>
      <c r="L11" s="1498"/>
      <c r="M11" s="1498"/>
      <c r="N11" s="1498"/>
      <c r="O11" s="184">
        <f t="shared" ref="O11:O14" si="3">SUM(K11:N11)</f>
        <v>0</v>
      </c>
      <c r="P11" s="1497"/>
      <c r="Q11" s="492" t="str">
        <f>IF(ISERROR(VLOOKUP(P11,Список_компаний!$A$4:$B$65180,2,0)),"-",VLOOKUP(P11,Список_компаний!$A$4:$B$65180,2,0))</f>
        <v>-</v>
      </c>
      <c r="R11" s="2400" t="str">
        <f>IF(ISERROR(VLOOKUP(P11,Список_компаний!$A$4:$C$65180,3,0)),"-",VLOOKUP(P11,Список_компаний!$A$4:$C$65180,3,0))</f>
        <v>-</v>
      </c>
      <c r="S11" s="3352"/>
      <c r="T11" s="285"/>
      <c r="U11" s="2830"/>
      <c r="V11" s="2035">
        <f t="shared" si="0"/>
        <v>0</v>
      </c>
      <c r="W11" s="2035" t="b">
        <f t="shared" ref="W11:W24" si="4">OR(V11=0,IF((ROUND(L11,0))&gt;=1,TRUE,FALSE),LEN(T11)&gt;5)</f>
        <v>1</v>
      </c>
      <c r="X11" s="2035" t="b">
        <f t="shared" si="1"/>
        <v>1</v>
      </c>
      <c r="Y11" s="2036" t="b">
        <f>IF(K11&lt;&gt;"",F11&lt;&gt;"",TRUE)</f>
        <v>1</v>
      </c>
      <c r="Z11" s="2036" t="b">
        <f t="shared" ref="Z11:Z24" si="5">IF(K11&lt;&gt;"",G11&lt;&gt;"",TRUE)</f>
        <v>1</v>
      </c>
    </row>
    <row r="12" spans="1:26" ht="20.25" customHeight="1">
      <c r="A12" s="2425" t="str">
        <f t="shared" si="2"/>
        <v>R42= ;R5=;R6=;R7=;R1=;R3=;R10=;R45=;R9=;R36= ;R43= ;R48=-;R51=-;COM=</v>
      </c>
      <c r="C12" s="1499"/>
      <c r="D12" s="786" t="str">
        <f>IF(ISERROR(VLOOKUP(C12,Список_компаний!$A$8:$B$65180,2,0))," ",VLOOKUP(C12,Список_компаний!$A$8:$B$65180,2,0))</f>
        <v xml:space="preserve"> </v>
      </c>
      <c r="E12" s="786" t="str">
        <f>IF(ISERROR(VLOOKUP(C12,Список_компаний!$A$8:$C$65180,3,0))," ",VLOOKUP(C12,Список_компаний!$A$8:$C$65180,3,0))</f>
        <v xml:space="preserve"> </v>
      </c>
      <c r="F12" s="1497"/>
      <c r="G12" s="1497"/>
      <c r="H12" s="1497"/>
      <c r="I12" s="1497"/>
      <c r="J12" s="1497"/>
      <c r="K12" s="1498"/>
      <c r="L12" s="1498"/>
      <c r="M12" s="1498"/>
      <c r="N12" s="1498"/>
      <c r="O12" s="184">
        <f t="shared" si="3"/>
        <v>0</v>
      </c>
      <c r="P12" s="1497"/>
      <c r="Q12" s="492" t="str">
        <f>IF(ISERROR(VLOOKUP(P12,Список_компаний!$A$4:$B$65180,2,0)),"-",VLOOKUP(P12,Список_компаний!$A$4:$B$65180,2,0))</f>
        <v>-</v>
      </c>
      <c r="R12" s="2400" t="str">
        <f>IF(ISERROR(VLOOKUP(P12,Список_компаний!$A$4:$C$65180,3,0)),"-",VLOOKUP(P12,Список_компаний!$A$4:$C$65180,3,0))</f>
        <v>-</v>
      </c>
      <c r="S12" s="3352"/>
      <c r="T12" s="285"/>
      <c r="V12" s="2035">
        <f t="shared" si="0"/>
        <v>0</v>
      </c>
      <c r="W12" s="2035" t="b">
        <f t="shared" si="4"/>
        <v>1</v>
      </c>
      <c r="X12" s="2035" t="b">
        <f t="shared" si="1"/>
        <v>1</v>
      </c>
      <c r="Y12" s="2036" t="b">
        <f t="shared" ref="Y12:Y24" si="6">IF(K12&lt;&gt;"",F12&lt;&gt;"",TRUE)</f>
        <v>1</v>
      </c>
      <c r="Z12" s="2036" t="b">
        <f t="shared" si="5"/>
        <v>1</v>
      </c>
    </row>
    <row r="13" spans="1:26" ht="20.25" customHeight="1">
      <c r="A13" s="2425" t="str">
        <f t="shared" si="2"/>
        <v>R42= ;R5=;R6=;R7=;R1=;R3=;R10=;R45=;R9=;R36= ;R43= ;R48=-;R51=-;COM=</v>
      </c>
      <c r="C13" s="1499"/>
      <c r="D13" s="786" t="str">
        <f>IF(ISERROR(VLOOKUP(C13,Список_компаний!$A$8:$B$65180,2,0))," ",VLOOKUP(C13,Список_компаний!$A$8:$B$65180,2,0))</f>
        <v xml:space="preserve"> </v>
      </c>
      <c r="E13" s="786" t="str">
        <f>IF(ISERROR(VLOOKUP(C13,Список_компаний!$A$8:$C$65180,3,0))," ",VLOOKUP(C13,Список_компаний!$A$8:$C$65180,3,0))</f>
        <v xml:space="preserve"> </v>
      </c>
      <c r="F13" s="1497"/>
      <c r="G13" s="1497"/>
      <c r="H13" s="1497"/>
      <c r="I13" s="1497"/>
      <c r="J13" s="1497"/>
      <c r="K13" s="1498"/>
      <c r="L13" s="1498"/>
      <c r="M13" s="1498"/>
      <c r="N13" s="1498"/>
      <c r="O13" s="184">
        <f t="shared" si="3"/>
        <v>0</v>
      </c>
      <c r="P13" s="1497"/>
      <c r="Q13" s="492" t="str">
        <f>IF(ISERROR(VLOOKUP(P13,Список_компаний!$A$4:$B$65180,2,0)),"-",VLOOKUP(P13,Список_компаний!$A$4:$B$65180,2,0))</f>
        <v>-</v>
      </c>
      <c r="R13" s="2400" t="str">
        <f>IF(ISERROR(VLOOKUP(P13,Список_компаний!$A$4:$C$65180,3,0)),"-",VLOOKUP(P13,Список_компаний!$A$4:$C$65180,3,0))</f>
        <v>-</v>
      </c>
      <c r="S13" s="3352"/>
      <c r="T13" s="285"/>
      <c r="V13" s="2035">
        <f t="shared" si="0"/>
        <v>0</v>
      </c>
      <c r="W13" s="2035" t="b">
        <f t="shared" si="4"/>
        <v>1</v>
      </c>
      <c r="X13" s="2035" t="b">
        <f t="shared" si="1"/>
        <v>1</v>
      </c>
      <c r="Y13" s="2036" t="b">
        <f t="shared" si="6"/>
        <v>1</v>
      </c>
      <c r="Z13" s="2036" t="b">
        <f t="shared" si="5"/>
        <v>1</v>
      </c>
    </row>
    <row r="14" spans="1:26" s="2732" customFormat="1" ht="20.25" customHeight="1">
      <c r="A14" s="2425" t="str">
        <f t="shared" si="2"/>
        <v>R42= ;R5=;R6=;R7=;R1=;R3=;R10=;R45=;R9=;R36= ;R43= ;R48=-;R51=-;COM=</v>
      </c>
      <c r="C14" s="1499"/>
      <c r="D14" s="786" t="str">
        <f>IF(ISERROR(VLOOKUP(C14,Список_компаний!$A$8:$B$65180,2,0))," ",VLOOKUP(C14,Список_компаний!$A$8:$B$65180,2,0))</f>
        <v xml:space="preserve"> </v>
      </c>
      <c r="E14" s="786" t="str">
        <f>IF(ISERROR(VLOOKUP(C14,Список_компаний!$A$8:$C$65180,3,0))," ",VLOOKUP(C14,Список_компаний!$A$8:$C$65180,3,0))</f>
        <v xml:space="preserve"> </v>
      </c>
      <c r="F14" s="1497"/>
      <c r="G14" s="1497"/>
      <c r="H14" s="1497"/>
      <c r="I14" s="1497"/>
      <c r="J14" s="1497"/>
      <c r="K14" s="1498"/>
      <c r="L14" s="1498"/>
      <c r="M14" s="1498"/>
      <c r="N14" s="1498"/>
      <c r="O14" s="184">
        <f t="shared" si="3"/>
        <v>0</v>
      </c>
      <c r="P14" s="1497"/>
      <c r="Q14" s="492" t="str">
        <f>IF(ISERROR(VLOOKUP(P14,Список_компаний!$A$4:$B$65180,2,0)),"-",VLOOKUP(P14,Список_компаний!$A$4:$B$65180,2,0))</f>
        <v>-</v>
      </c>
      <c r="R14" s="2400" t="str">
        <f>IF(ISERROR(VLOOKUP(P14,Список_компаний!$A$4:$C$65180,3,0)),"-",VLOOKUP(P14,Список_компаний!$A$4:$C$65180,3,0))</f>
        <v>-</v>
      </c>
      <c r="S14" s="3352"/>
      <c r="T14" s="285"/>
      <c r="V14" s="2035">
        <f t="shared" si="0"/>
        <v>0</v>
      </c>
      <c r="W14" s="2035" t="b">
        <f t="shared" si="4"/>
        <v>1</v>
      </c>
      <c r="X14" s="2035" t="b">
        <f t="shared" si="1"/>
        <v>1</v>
      </c>
      <c r="Y14" s="2036" t="b">
        <f t="shared" si="6"/>
        <v>1</v>
      </c>
      <c r="Z14" s="2036" t="b">
        <f t="shared" si="5"/>
        <v>1</v>
      </c>
    </row>
    <row r="15" spans="1:26" s="2732" customFormat="1" ht="20.25" customHeight="1">
      <c r="A15" s="2425" t="str">
        <f t="shared" si="2"/>
        <v>R42= ;R5=;R6=;R7=;R1=;R3=;R10=;R45=;R9=;R36= ;R43= ;R48=-;R51=-;COM=</v>
      </c>
      <c r="C15" s="1499"/>
      <c r="D15" s="786" t="str">
        <f>IF(ISERROR(VLOOKUP(C15,Список_компаний!$A$8:$B$65180,2,0))," ",VLOOKUP(C15,Список_компаний!$A$8:$B$65180,2,0))</f>
        <v xml:space="preserve"> </v>
      </c>
      <c r="E15" s="786" t="str">
        <f>IF(ISERROR(VLOOKUP(C15,Список_компаний!$A$8:$C$65180,3,0))," ",VLOOKUP(C15,Список_компаний!$A$8:$C$65180,3,0))</f>
        <v xml:space="preserve"> </v>
      </c>
      <c r="F15" s="1497"/>
      <c r="G15" s="1497"/>
      <c r="H15" s="1497"/>
      <c r="I15" s="1497"/>
      <c r="J15" s="1497"/>
      <c r="K15" s="1498"/>
      <c r="L15" s="1498"/>
      <c r="M15" s="1498"/>
      <c r="N15" s="1498"/>
      <c r="O15" s="184">
        <f t="shared" ref="O15" si="7">SUM(K15:N15)</f>
        <v>0</v>
      </c>
      <c r="P15" s="1497"/>
      <c r="Q15" s="492" t="str">
        <f>IF(ISERROR(VLOOKUP(P15,Список_компаний!$A$4:$B$65180,2,0)),"-",VLOOKUP(P15,Список_компаний!$A$4:$B$65180,2,0))</f>
        <v>-</v>
      </c>
      <c r="R15" s="2400" t="str">
        <f>IF(ISERROR(VLOOKUP(P15,Список_компаний!$A$4:$C$65180,3,0)),"-",VLOOKUP(P15,Список_компаний!$A$4:$C$65180,3,0))</f>
        <v>-</v>
      </c>
      <c r="S15" s="3352"/>
      <c r="T15" s="285"/>
      <c r="V15" s="2035">
        <f t="shared" si="0"/>
        <v>0</v>
      </c>
      <c r="W15" s="2035" t="b">
        <f t="shared" si="4"/>
        <v>1</v>
      </c>
      <c r="X15" s="2035" t="b">
        <f t="shared" si="1"/>
        <v>1</v>
      </c>
      <c r="Y15" s="2036" t="b">
        <f t="shared" si="6"/>
        <v>1</v>
      </c>
      <c r="Z15" s="2036" t="b">
        <f t="shared" si="5"/>
        <v>1</v>
      </c>
    </row>
    <row r="16" spans="1:26" s="2732" customFormat="1" ht="20.25" customHeight="1">
      <c r="A16" s="2425" t="str">
        <f t="shared" si="2"/>
        <v>R42= ;R5=;R6=;R7=;R1=;R3=;R10=;R45=;R9=;R36= ;R43= ;R48=-;R51=-;COM=</v>
      </c>
      <c r="C16" s="1499"/>
      <c r="D16" s="786" t="str">
        <f>IF(ISERROR(VLOOKUP(C16,Список_компаний!$A$8:$B$65180,2,0))," ",VLOOKUP(C16,Список_компаний!$A$8:$B$65180,2,0))</f>
        <v xml:space="preserve"> </v>
      </c>
      <c r="E16" s="786" t="str">
        <f>IF(ISERROR(VLOOKUP(C16,Список_компаний!$A$8:$C$65180,3,0))," ",VLOOKUP(C16,Список_компаний!$A$8:$C$65180,3,0))</f>
        <v xml:space="preserve"> </v>
      </c>
      <c r="F16" s="1497"/>
      <c r="G16" s="1497"/>
      <c r="H16" s="1497"/>
      <c r="I16" s="1497"/>
      <c r="J16" s="1497"/>
      <c r="K16" s="1498"/>
      <c r="L16" s="1498"/>
      <c r="M16" s="1498"/>
      <c r="N16" s="1498"/>
      <c r="O16" s="184">
        <f t="shared" ref="O16" si="8">SUM(K16:N16)</f>
        <v>0</v>
      </c>
      <c r="P16" s="1497"/>
      <c r="Q16" s="492" t="str">
        <f>IF(ISERROR(VLOOKUP(P16,Список_компаний!$A$4:$B$65180,2,0)),"-",VLOOKUP(P16,Список_компаний!$A$4:$B$65180,2,0))</f>
        <v>-</v>
      </c>
      <c r="R16" s="2400" t="str">
        <f>IF(ISERROR(VLOOKUP(P16,Список_компаний!$A$4:$C$65180,3,0)),"-",VLOOKUP(P16,Список_компаний!$A$4:$C$65180,3,0))</f>
        <v>-</v>
      </c>
      <c r="S16" s="3352"/>
      <c r="T16" s="285"/>
      <c r="V16" s="2035">
        <f t="shared" si="0"/>
        <v>0</v>
      </c>
      <c r="W16" s="2035" t="b">
        <f t="shared" si="4"/>
        <v>1</v>
      </c>
      <c r="X16" s="2035" t="b">
        <f t="shared" si="1"/>
        <v>1</v>
      </c>
      <c r="Y16" s="2036" t="b">
        <f t="shared" si="6"/>
        <v>1</v>
      </c>
      <c r="Z16" s="2036" t="b">
        <f t="shared" si="5"/>
        <v>1</v>
      </c>
    </row>
    <row r="17" spans="1:26" s="2732" customFormat="1" ht="20.25" customHeight="1">
      <c r="A17" s="2425" t="str">
        <f t="shared" si="2"/>
        <v>R42= ;R5=;R6=;R7=;R1=;R3=;R10=;R45=;R9=;R36= ;R43= ;R48=-;R51=-;COM=</v>
      </c>
      <c r="C17" s="1499"/>
      <c r="D17" s="786" t="str">
        <f>IF(ISERROR(VLOOKUP(C17,Список_компаний!$A$8:$B$65180,2,0))," ",VLOOKUP(C17,Список_компаний!$A$8:$B$65180,2,0))</f>
        <v xml:space="preserve"> </v>
      </c>
      <c r="E17" s="786" t="str">
        <f>IF(ISERROR(VLOOKUP(C17,Список_компаний!$A$8:$C$65180,3,0))," ",VLOOKUP(C17,Список_компаний!$A$8:$C$65180,3,0))</f>
        <v xml:space="preserve"> </v>
      </c>
      <c r="F17" s="1497"/>
      <c r="G17" s="1497"/>
      <c r="H17" s="1497"/>
      <c r="I17" s="1497"/>
      <c r="J17" s="1497"/>
      <c r="K17" s="1498"/>
      <c r="L17" s="1498"/>
      <c r="M17" s="1498"/>
      <c r="N17" s="1498"/>
      <c r="O17" s="184">
        <f t="shared" ref="O17" si="9">SUM(K17:N17)</f>
        <v>0</v>
      </c>
      <c r="P17" s="1497"/>
      <c r="Q17" s="492" t="str">
        <f>IF(ISERROR(VLOOKUP(P17,Список_компаний!$A$4:$B$65180,2,0)),"-",VLOOKUP(P17,Список_компаний!$A$4:$B$65180,2,0))</f>
        <v>-</v>
      </c>
      <c r="R17" s="2400" t="str">
        <f>IF(ISERROR(VLOOKUP(P17,Список_компаний!$A$4:$C$65180,3,0)),"-",VLOOKUP(P17,Список_компаний!$A$4:$C$65180,3,0))</f>
        <v>-</v>
      </c>
      <c r="S17" s="3352"/>
      <c r="T17" s="285"/>
      <c r="V17" s="2035">
        <f t="shared" si="0"/>
        <v>0</v>
      </c>
      <c r="W17" s="2035" t="b">
        <f t="shared" si="4"/>
        <v>1</v>
      </c>
      <c r="X17" s="2035" t="b">
        <f t="shared" si="1"/>
        <v>1</v>
      </c>
      <c r="Y17" s="2036" t="b">
        <f t="shared" si="6"/>
        <v>1</v>
      </c>
      <c r="Z17" s="2036" t="b">
        <f t="shared" si="5"/>
        <v>1</v>
      </c>
    </row>
    <row r="18" spans="1:26" s="2732" customFormat="1" ht="20.25" customHeight="1">
      <c r="A18" s="2425" t="str">
        <f t="shared" si="2"/>
        <v>R42= ;R5=;R6=;R7=;R1=;R3=;R10=;R45=;R9=;R36= ;R43= ;R48=-;R51=-;COM=</v>
      </c>
      <c r="C18" s="1499"/>
      <c r="D18" s="786" t="str">
        <f>IF(ISERROR(VLOOKUP(C18,Список_компаний!$A$8:$B$65180,2,0))," ",VLOOKUP(C18,Список_компаний!$A$8:$B$65180,2,0))</f>
        <v xml:space="preserve"> </v>
      </c>
      <c r="E18" s="786" t="str">
        <f>IF(ISERROR(VLOOKUP(C18,Список_компаний!$A$8:$C$65180,3,0))," ",VLOOKUP(C18,Список_компаний!$A$8:$C$65180,3,0))</f>
        <v xml:space="preserve"> </v>
      </c>
      <c r="F18" s="1497"/>
      <c r="G18" s="1497"/>
      <c r="H18" s="1497"/>
      <c r="I18" s="1497"/>
      <c r="J18" s="1497"/>
      <c r="K18" s="1498"/>
      <c r="L18" s="1498"/>
      <c r="M18" s="1498"/>
      <c r="N18" s="1498"/>
      <c r="O18" s="184">
        <f t="shared" ref="O18" si="10">SUM(K18:N18)</f>
        <v>0</v>
      </c>
      <c r="P18" s="1497"/>
      <c r="Q18" s="492" t="str">
        <f>IF(ISERROR(VLOOKUP(P18,Список_компаний!$A$4:$B$65180,2,0)),"-",VLOOKUP(P18,Список_компаний!$A$4:$B$65180,2,0))</f>
        <v>-</v>
      </c>
      <c r="R18" s="2400" t="str">
        <f>IF(ISERROR(VLOOKUP(P18,Список_компаний!$A$4:$C$65180,3,0)),"-",VLOOKUP(P18,Список_компаний!$A$4:$C$65180,3,0))</f>
        <v>-</v>
      </c>
      <c r="S18" s="3352"/>
      <c r="T18" s="285"/>
      <c r="V18" s="2035">
        <f t="shared" si="0"/>
        <v>0</v>
      </c>
      <c r="W18" s="2035" t="b">
        <f t="shared" si="4"/>
        <v>1</v>
      </c>
      <c r="X18" s="2035" t="b">
        <f t="shared" si="1"/>
        <v>1</v>
      </c>
      <c r="Y18" s="2036" t="b">
        <f t="shared" si="6"/>
        <v>1</v>
      </c>
      <c r="Z18" s="2036" t="b">
        <f t="shared" si="5"/>
        <v>1</v>
      </c>
    </row>
    <row r="19" spans="1:26" s="2732" customFormat="1" ht="20.25" customHeight="1">
      <c r="A19" s="2425" t="str">
        <f t="shared" si="2"/>
        <v>R42= ;R5=;R6=;R7=;R1=;R3=;R10=;R45=;R9=;R36= ;R43= ;R48=-;R51=-;COM=</v>
      </c>
      <c r="C19" s="1499"/>
      <c r="D19" s="786" t="str">
        <f>IF(ISERROR(VLOOKUP(C19,Список_компаний!$A$8:$B$65180,2,0))," ",VLOOKUP(C19,Список_компаний!$A$8:$B$65180,2,0))</f>
        <v xml:space="preserve"> </v>
      </c>
      <c r="E19" s="786" t="str">
        <f>IF(ISERROR(VLOOKUP(C19,Список_компаний!$A$8:$C$65180,3,0))," ",VLOOKUP(C19,Список_компаний!$A$8:$C$65180,3,0))</f>
        <v xml:space="preserve"> </v>
      </c>
      <c r="F19" s="1497"/>
      <c r="G19" s="1497"/>
      <c r="H19" s="1497"/>
      <c r="I19" s="1497"/>
      <c r="J19" s="1497"/>
      <c r="K19" s="1498"/>
      <c r="L19" s="1498"/>
      <c r="M19" s="1498"/>
      <c r="N19" s="1498"/>
      <c r="O19" s="184">
        <f t="shared" ref="O19" si="11">SUM(K19:N19)</f>
        <v>0</v>
      </c>
      <c r="P19" s="1497"/>
      <c r="Q19" s="492" t="str">
        <f>IF(ISERROR(VLOOKUP(P19,Список_компаний!$A$4:$B$65180,2,0)),"-",VLOOKUP(P19,Список_компаний!$A$4:$B$65180,2,0))</f>
        <v>-</v>
      </c>
      <c r="R19" s="2400" t="str">
        <f>IF(ISERROR(VLOOKUP(P19,Список_компаний!$A$4:$C$65180,3,0)),"-",VLOOKUP(P19,Список_компаний!$A$4:$C$65180,3,0))</f>
        <v>-</v>
      </c>
      <c r="S19" s="3352"/>
      <c r="T19" s="285"/>
      <c r="V19" s="2035">
        <f t="shared" si="0"/>
        <v>0</v>
      </c>
      <c r="W19" s="2035" t="b">
        <f t="shared" si="4"/>
        <v>1</v>
      </c>
      <c r="X19" s="2035" t="b">
        <f t="shared" si="1"/>
        <v>1</v>
      </c>
      <c r="Y19" s="2036" t="b">
        <f t="shared" si="6"/>
        <v>1</v>
      </c>
      <c r="Z19" s="2036" t="b">
        <f t="shared" si="5"/>
        <v>1</v>
      </c>
    </row>
    <row r="20" spans="1:26" s="2732" customFormat="1" ht="20.25" customHeight="1">
      <c r="A20" s="2425" t="str">
        <f t="shared" si="2"/>
        <v>R42= ;R5=;R6=;R7=;R1=;R3=;R10=;R45=;R9=;R36= ;R43= ;R48=-;R51=-;COM=</v>
      </c>
      <c r="C20" s="1499"/>
      <c r="D20" s="786" t="str">
        <f>IF(ISERROR(VLOOKUP(C20,Список_компаний!$A$8:$B$65180,2,0))," ",VLOOKUP(C20,Список_компаний!$A$8:$B$65180,2,0))</f>
        <v xml:space="preserve"> </v>
      </c>
      <c r="E20" s="786" t="str">
        <f>IF(ISERROR(VLOOKUP(C20,Список_компаний!$A$8:$C$65180,3,0))," ",VLOOKUP(C20,Список_компаний!$A$8:$C$65180,3,0))</f>
        <v xml:space="preserve"> </v>
      </c>
      <c r="F20" s="1497"/>
      <c r="G20" s="1497"/>
      <c r="H20" s="1497"/>
      <c r="I20" s="1497"/>
      <c r="J20" s="1497"/>
      <c r="K20" s="1498"/>
      <c r="L20" s="1498"/>
      <c r="M20" s="1498"/>
      <c r="N20" s="1498"/>
      <c r="O20" s="184">
        <f t="shared" ref="O20" si="12">SUM(K20:N20)</f>
        <v>0</v>
      </c>
      <c r="P20" s="1497"/>
      <c r="Q20" s="492" t="str">
        <f>IF(ISERROR(VLOOKUP(P20,Список_компаний!$A$4:$B$65180,2,0)),"-",VLOOKUP(P20,Список_компаний!$A$4:$B$65180,2,0))</f>
        <v>-</v>
      </c>
      <c r="R20" s="2400" t="str">
        <f>IF(ISERROR(VLOOKUP(P20,Список_компаний!$A$4:$C$65180,3,0)),"-",VLOOKUP(P20,Список_компаний!$A$4:$C$65180,3,0))</f>
        <v>-</v>
      </c>
      <c r="S20" s="3352"/>
      <c r="T20" s="285"/>
      <c r="V20" s="2035">
        <f t="shared" si="0"/>
        <v>0</v>
      </c>
      <c r="W20" s="2035" t="b">
        <f t="shared" si="4"/>
        <v>1</v>
      </c>
      <c r="X20" s="2035" t="b">
        <f t="shared" si="1"/>
        <v>1</v>
      </c>
      <c r="Y20" s="2036" t="b">
        <f t="shared" si="6"/>
        <v>1</v>
      </c>
      <c r="Z20" s="2036" t="b">
        <f t="shared" si="5"/>
        <v>1</v>
      </c>
    </row>
    <row r="21" spans="1:26" s="2732" customFormat="1" ht="20.25" customHeight="1">
      <c r="A21" s="2425" t="str">
        <f t="shared" si="2"/>
        <v>R42= ;R5=;R6=;R7=;R1=;R3=;R10=;R45=;R9=;R36= ;R43= ;R48=-;R51=-;COM=</v>
      </c>
      <c r="C21" s="1499"/>
      <c r="D21" s="786" t="str">
        <f>IF(ISERROR(VLOOKUP(C21,Список_компаний!$A$8:$B$65180,2,0))," ",VLOOKUP(C21,Список_компаний!$A$8:$B$65180,2,0))</f>
        <v xml:space="preserve"> </v>
      </c>
      <c r="E21" s="786" t="str">
        <f>IF(ISERROR(VLOOKUP(C21,Список_компаний!$A$8:$C$65180,3,0))," ",VLOOKUP(C21,Список_компаний!$A$8:$C$65180,3,0))</f>
        <v xml:space="preserve"> </v>
      </c>
      <c r="F21" s="1497"/>
      <c r="G21" s="1497"/>
      <c r="H21" s="1497"/>
      <c r="I21" s="1497"/>
      <c r="J21" s="1497"/>
      <c r="K21" s="1498"/>
      <c r="L21" s="1498"/>
      <c r="M21" s="1498"/>
      <c r="N21" s="1498"/>
      <c r="O21" s="184">
        <f t="shared" ref="O21" si="13">SUM(K21:N21)</f>
        <v>0</v>
      </c>
      <c r="P21" s="1497"/>
      <c r="Q21" s="492" t="str">
        <f>IF(ISERROR(VLOOKUP(P21,Список_компаний!$A$4:$B$65180,2,0)),"-",VLOOKUP(P21,Список_компаний!$A$4:$B$65180,2,0))</f>
        <v>-</v>
      </c>
      <c r="R21" s="2400" t="str">
        <f>IF(ISERROR(VLOOKUP(P21,Список_компаний!$A$4:$C$65180,3,0)),"-",VLOOKUP(P21,Список_компаний!$A$4:$C$65180,3,0))</f>
        <v>-</v>
      </c>
      <c r="S21" s="3352"/>
      <c r="T21" s="285"/>
      <c r="V21" s="2035">
        <f t="shared" si="0"/>
        <v>0</v>
      </c>
      <c r="W21" s="2035" t="b">
        <f t="shared" si="4"/>
        <v>1</v>
      </c>
      <c r="X21" s="2035" t="b">
        <f t="shared" si="1"/>
        <v>1</v>
      </c>
      <c r="Y21" s="2036" t="b">
        <f t="shared" si="6"/>
        <v>1</v>
      </c>
      <c r="Z21" s="2036" t="b">
        <f t="shared" si="5"/>
        <v>1</v>
      </c>
    </row>
    <row r="22" spans="1:26" s="2732" customFormat="1" ht="20.25" customHeight="1">
      <c r="A22" s="2425" t="str">
        <f t="shared" si="2"/>
        <v>R42= ;R5=;R6=;R7=;R1=;R3=;R10=;R45=;R9=;R36= ;R43= ;R48=-;R51=-;COM=</v>
      </c>
      <c r="C22" s="1499"/>
      <c r="D22" s="786" t="str">
        <f>IF(ISERROR(VLOOKUP(C22,Список_компаний!$A$8:$B$65180,2,0))," ",VLOOKUP(C22,Список_компаний!$A$8:$B$65180,2,0))</f>
        <v xml:space="preserve"> </v>
      </c>
      <c r="E22" s="786" t="str">
        <f>IF(ISERROR(VLOOKUP(C22,Список_компаний!$A$8:$C$65180,3,0))," ",VLOOKUP(C22,Список_компаний!$A$8:$C$65180,3,0))</f>
        <v xml:space="preserve"> </v>
      </c>
      <c r="F22" s="1497"/>
      <c r="G22" s="1497"/>
      <c r="H22" s="1497"/>
      <c r="I22" s="1497"/>
      <c r="J22" s="1497"/>
      <c r="K22" s="1498"/>
      <c r="L22" s="1498"/>
      <c r="M22" s="1498"/>
      <c r="N22" s="1498"/>
      <c r="O22" s="184">
        <f t="shared" ref="O22" si="14">SUM(K22:N22)</f>
        <v>0</v>
      </c>
      <c r="P22" s="1497"/>
      <c r="Q22" s="492" t="str">
        <f>IF(ISERROR(VLOOKUP(P22,Список_компаний!$A$4:$B$65180,2,0)),"-",VLOOKUP(P22,Список_компаний!$A$4:$B$65180,2,0))</f>
        <v>-</v>
      </c>
      <c r="R22" s="2400" t="str">
        <f>IF(ISERROR(VLOOKUP(P22,Список_компаний!$A$4:$C$65180,3,0)),"-",VLOOKUP(P22,Список_компаний!$A$4:$C$65180,3,0))</f>
        <v>-</v>
      </c>
      <c r="S22" s="3352"/>
      <c r="T22" s="285"/>
      <c r="V22" s="2035">
        <f t="shared" si="0"/>
        <v>0</v>
      </c>
      <c r="W22" s="2035" t="b">
        <f t="shared" si="4"/>
        <v>1</v>
      </c>
      <c r="X22" s="2035" t="b">
        <f t="shared" si="1"/>
        <v>1</v>
      </c>
      <c r="Y22" s="2036" t="b">
        <f t="shared" si="6"/>
        <v>1</v>
      </c>
      <c r="Z22" s="2036" t="b">
        <f t="shared" si="5"/>
        <v>1</v>
      </c>
    </row>
    <row r="23" spans="1:26" s="2732" customFormat="1" ht="20.25" customHeight="1">
      <c r="A23" s="2425" t="str">
        <f t="shared" si="2"/>
        <v>R42= ;R5=;R6=;R7=;R1=;R3=;R10=;R45=;R9=;R36= ;R43= ;R48=-;R51=-;COM=</v>
      </c>
      <c r="C23" s="1499"/>
      <c r="D23" s="786" t="str">
        <f>IF(ISERROR(VLOOKUP(C23,Список_компаний!$A$8:$B$65180,2,0))," ",VLOOKUP(C23,Список_компаний!$A$8:$B$65180,2,0))</f>
        <v xml:space="preserve"> </v>
      </c>
      <c r="E23" s="786" t="str">
        <f>IF(ISERROR(VLOOKUP(C23,Список_компаний!$A$8:$C$65180,3,0))," ",VLOOKUP(C23,Список_компаний!$A$8:$C$65180,3,0))</f>
        <v xml:space="preserve"> </v>
      </c>
      <c r="F23" s="1497"/>
      <c r="G23" s="1497"/>
      <c r="H23" s="1497"/>
      <c r="I23" s="1497"/>
      <c r="J23" s="1497"/>
      <c r="K23" s="1498"/>
      <c r="L23" s="1498"/>
      <c r="M23" s="1498"/>
      <c r="N23" s="1498"/>
      <c r="O23" s="184">
        <f t="shared" ref="O23" si="15">SUM(K23:N23)</f>
        <v>0</v>
      </c>
      <c r="P23" s="1497"/>
      <c r="Q23" s="492" t="str">
        <f>IF(ISERROR(VLOOKUP(P23,Список_компаний!$A$4:$B$65180,2,0)),"-",VLOOKUP(P23,Список_компаний!$A$4:$B$65180,2,0))</f>
        <v>-</v>
      </c>
      <c r="R23" s="2400" t="str">
        <f>IF(ISERROR(VLOOKUP(P23,Список_компаний!$A$4:$C$65180,3,0)),"-",VLOOKUP(P23,Список_компаний!$A$4:$C$65180,3,0))</f>
        <v>-</v>
      </c>
      <c r="S23" s="3352"/>
      <c r="T23" s="285"/>
      <c r="V23" s="2035">
        <f t="shared" si="0"/>
        <v>0</v>
      </c>
      <c r="W23" s="2035" t="b">
        <f t="shared" si="4"/>
        <v>1</v>
      </c>
      <c r="X23" s="2035" t="b">
        <f t="shared" si="1"/>
        <v>1</v>
      </c>
      <c r="Y23" s="2036" t="b">
        <f t="shared" si="6"/>
        <v>1</v>
      </c>
      <c r="Z23" s="2036" t="b">
        <f t="shared" si="5"/>
        <v>1</v>
      </c>
    </row>
    <row r="24" spans="1:26" s="2732" customFormat="1" ht="20.25" customHeight="1" thickBot="1">
      <c r="A24" s="2425" t="str">
        <f t="shared" si="2"/>
        <v>R42= ;R5=;R6=;R7=;R1=;R3=;R10=;R45=;R9=;R36= ;R43= ;R48=-;R51=-;COM=</v>
      </c>
      <c r="C24" s="1550"/>
      <c r="D24" s="2912" t="str">
        <f>IF(ISERROR(VLOOKUP(C24,Список_компаний!$A$8:$B$65180,2,0))," ",VLOOKUP(C24,Список_компаний!$A$8:$B$65180,2,0))</f>
        <v xml:space="preserve"> </v>
      </c>
      <c r="E24" s="2912" t="str">
        <f>IF(ISERROR(VLOOKUP(C24,Список_компаний!$A$8:$C$65180,3,0))," ",VLOOKUP(C24,Список_компаний!$A$8:$C$65180,3,0))</f>
        <v xml:space="preserve"> </v>
      </c>
      <c r="F24" s="1551"/>
      <c r="G24" s="1551"/>
      <c r="H24" s="1551"/>
      <c r="I24" s="2402"/>
      <c r="J24" s="1553"/>
      <c r="K24" s="1553"/>
      <c r="L24" s="1553"/>
      <c r="M24" s="1553"/>
      <c r="N24" s="1553"/>
      <c r="O24" s="2563">
        <f t="shared" ref="O24" si="16">SUM(K24:N24)</f>
        <v>0</v>
      </c>
      <c r="P24" s="1551"/>
      <c r="Q24" s="785" t="str">
        <f>IF(ISERROR(VLOOKUP(P24,Список_компаний!$A$4:$B$65180,2,0)),"-",VLOOKUP(P24,Список_компаний!$A$4:$B$65180,2,0))</f>
        <v>-</v>
      </c>
      <c r="R24" s="2401" t="str">
        <f>IF(ISERROR(VLOOKUP(P24,Список_компаний!$A$4:$C$65180,3,0)),"-",VLOOKUP(P24,Список_компаний!$A$4:$C$65180,3,0))</f>
        <v>-</v>
      </c>
      <c r="S24" s="3353"/>
      <c r="T24" s="3344"/>
      <c r="V24" s="2035">
        <f t="shared" si="0"/>
        <v>0</v>
      </c>
      <c r="W24" s="2035" t="b">
        <f t="shared" si="4"/>
        <v>1</v>
      </c>
      <c r="X24" s="2035" t="b">
        <f t="shared" si="1"/>
        <v>1</v>
      </c>
      <c r="Y24" s="2036" t="b">
        <f t="shared" si="6"/>
        <v>1</v>
      </c>
      <c r="Z24" s="2036" t="b">
        <f t="shared" si="5"/>
        <v>1</v>
      </c>
    </row>
    <row r="25" spans="1:26">
      <c r="A25" s="1163"/>
    </row>
    <row r="26" spans="1:26">
      <c r="A26" s="1163"/>
    </row>
    <row r="27" spans="1:26">
      <c r="A27" s="1163"/>
    </row>
    <row r="28" spans="1:26">
      <c r="A28" s="1163"/>
    </row>
    <row r="29" spans="1:26">
      <c r="A29" s="1163"/>
    </row>
    <row r="30" spans="1:26">
      <c r="A30" s="1163"/>
    </row>
    <row r="31" spans="1:26">
      <c r="A31" s="1163"/>
    </row>
    <row r="32" spans="1:26">
      <c r="A32" s="1163"/>
    </row>
    <row r="33" spans="1:1">
      <c r="A33" s="1163"/>
    </row>
    <row r="34" spans="1:1">
      <c r="A34" s="1163"/>
    </row>
    <row r="35" spans="1:1">
      <c r="A35" s="1163"/>
    </row>
    <row r="36" spans="1:1">
      <c r="A36" s="1163"/>
    </row>
    <row r="37" spans="1:1">
      <c r="A37" s="1163"/>
    </row>
    <row r="38" spans="1:1">
      <c r="A38" s="1163"/>
    </row>
    <row r="39" spans="1:1">
      <c r="A39" s="1163"/>
    </row>
    <row r="40" spans="1:1">
      <c r="A40" s="1163"/>
    </row>
    <row r="41" spans="1:1">
      <c r="A41" s="1163"/>
    </row>
    <row r="42" spans="1:1">
      <c r="A42" s="1163"/>
    </row>
    <row r="43" spans="1:1">
      <c r="A43" s="1163"/>
    </row>
    <row r="44" spans="1:1">
      <c r="A44" s="1163"/>
    </row>
    <row r="45" spans="1:1">
      <c r="A45" s="1163"/>
    </row>
    <row r="46" spans="1:1">
      <c r="A46" s="1163"/>
    </row>
    <row r="47" spans="1:1">
      <c r="A47" s="1163"/>
    </row>
    <row r="48" spans="1:1">
      <c r="A48" s="1163"/>
    </row>
    <row r="49" spans="1:1">
      <c r="A49" s="1163"/>
    </row>
    <row r="50" spans="1:1">
      <c r="A50" s="1163"/>
    </row>
    <row r="51" spans="1:1">
      <c r="A51" s="1163"/>
    </row>
    <row r="52" spans="1:1">
      <c r="A52" s="1163"/>
    </row>
    <row r="53" spans="1:1">
      <c r="A53" s="1163"/>
    </row>
    <row r="54" spans="1:1">
      <c r="A54" s="1163"/>
    </row>
    <row r="55" spans="1:1">
      <c r="A55" s="1163"/>
    </row>
    <row r="56" spans="1:1">
      <c r="A56" s="1163"/>
    </row>
    <row r="57" spans="1:1">
      <c r="A57" s="1163"/>
    </row>
    <row r="58" spans="1:1">
      <c r="A58" s="1163"/>
    </row>
    <row r="59" spans="1:1">
      <c r="A59" s="1163"/>
    </row>
    <row r="60" spans="1:1">
      <c r="A60" s="1163"/>
    </row>
    <row r="61" spans="1:1">
      <c r="A61" s="1163"/>
    </row>
    <row r="62" spans="1:1">
      <c r="A62" s="1163"/>
    </row>
    <row r="63" spans="1:1">
      <c r="A63" s="1163"/>
    </row>
    <row r="64" spans="1:1">
      <c r="A64" s="1163"/>
    </row>
    <row r="65" spans="1:1">
      <c r="A65" s="1163"/>
    </row>
    <row r="66" spans="1:1">
      <c r="A66" s="1163"/>
    </row>
    <row r="67" spans="1:1">
      <c r="A67" s="1163"/>
    </row>
    <row r="68" spans="1:1">
      <c r="A68" s="1163"/>
    </row>
    <row r="69" spans="1:1">
      <c r="A69" s="1163"/>
    </row>
    <row r="70" spans="1:1">
      <c r="A70" s="1163"/>
    </row>
    <row r="71" spans="1:1">
      <c r="A71" s="1163"/>
    </row>
    <row r="72" spans="1:1">
      <c r="A72" s="1163"/>
    </row>
    <row r="73" spans="1:1">
      <c r="A73" s="1163"/>
    </row>
    <row r="74" spans="1:1">
      <c r="A74" s="1163"/>
    </row>
    <row r="75" spans="1:1">
      <c r="A75" s="1163"/>
    </row>
    <row r="76" spans="1:1">
      <c r="A76" s="1163"/>
    </row>
    <row r="77" spans="1:1">
      <c r="A77" s="1163"/>
    </row>
    <row r="78" spans="1:1">
      <c r="A78" s="1163"/>
    </row>
    <row r="79" spans="1:1">
      <c r="A79" s="1163"/>
    </row>
    <row r="80" spans="1:1">
      <c r="A80" s="1163"/>
    </row>
    <row r="81" spans="1:1">
      <c r="A81" s="1163"/>
    </row>
    <row r="82" spans="1:1">
      <c r="A82" s="1163"/>
    </row>
    <row r="83" spans="1:1">
      <c r="A83" s="1163"/>
    </row>
    <row r="84" spans="1:1">
      <c r="A84" s="1163"/>
    </row>
    <row r="85" spans="1:1">
      <c r="A85" s="1163"/>
    </row>
    <row r="86" spans="1:1">
      <c r="A86" s="1163"/>
    </row>
    <row r="87" spans="1:1">
      <c r="A87" s="1163"/>
    </row>
    <row r="88" spans="1:1">
      <c r="A88" s="1163"/>
    </row>
    <row r="89" spans="1:1">
      <c r="A89" s="1163"/>
    </row>
    <row r="90" spans="1:1">
      <c r="A90" s="1163"/>
    </row>
    <row r="91" spans="1:1">
      <c r="A91" s="1163"/>
    </row>
    <row r="92" spans="1:1">
      <c r="A92" s="1163"/>
    </row>
    <row r="93" spans="1:1">
      <c r="A93" s="1163"/>
    </row>
    <row r="94" spans="1:1">
      <c r="A94" s="1163"/>
    </row>
    <row r="95" spans="1:1">
      <c r="A95" s="1163"/>
    </row>
    <row r="96" spans="1:1">
      <c r="A96" s="1163"/>
    </row>
    <row r="97" spans="1:1">
      <c r="A97" s="1163"/>
    </row>
    <row r="98" spans="1:1">
      <c r="A98" s="1163"/>
    </row>
    <row r="99" spans="1:1">
      <c r="A99" s="1163"/>
    </row>
    <row r="100" spans="1:1">
      <c r="A100" s="1163"/>
    </row>
    <row r="101" spans="1:1">
      <c r="A101" s="1163"/>
    </row>
    <row r="102" spans="1:1">
      <c r="A102" s="1163"/>
    </row>
  </sheetData>
  <sheetProtection algorithmName="SHA-512" hashValue="0YoDIBWJfpvJ/tD0oU+lNzr+JpjOp1b2BCCnLx1HXBMtJW9xG1wXTaPnT8cAFK4n5zZBcrMB32UBEV+R183bVg==" saltValue="KQKaJuj9fSI/eqCtBXLz2w==" spinCount="100000" sheet="1" objects="1" scenarios="1" formatColumns="0" formatRows="0" autoFilter="0"/>
  <autoFilter ref="C8:S8"/>
  <customSheetViews>
    <customSheetView guid="{3769259D-9653-4B34-A2F6-4FB6F9F4E533}" showGridLines="0" showAutoFilter="1" hiddenRows="1" hiddenColumns="1">
      <pane xSplit="7" ySplit="8" topLeftCell="K9" activePane="bottomRight" state="frozen"/>
      <selection pane="bottomRight" sqref="A1:IV65536"/>
      <pageMargins left="0.7" right="0.7" top="0.75" bottom="0.75" header="0.3" footer="0.3"/>
      <autoFilter ref="B1:T1"/>
    </customSheetView>
    <customSheetView guid="{40D7A2BB-326C-4ED3-999C-17852F56D6F4}" showGridLines="0" showAutoFilter="1" hiddenRows="1" hiddenColumns="1">
      <pane xSplit="7" ySplit="8" topLeftCell="K9" activePane="bottomRight" state="frozen"/>
      <selection pane="bottomRight" sqref="A1:IV65536"/>
      <pageMargins left="0.7" right="0.7" top="0.75" bottom="0.75" header="0.3" footer="0.3"/>
      <autoFilter ref="B1:T1"/>
    </customSheetView>
    <customSheetView guid="{5D121940-0CE8-4A0E-A493-67FAAA6E0FF8}" showGridLines="0" showAutoFilter="1" hiddenRows="1" hiddenColumns="1" topLeftCell="B2">
      <pane xSplit="6" ySplit="7" topLeftCell="H9" activePane="bottomRight" state="frozen"/>
      <selection pane="bottomRight" activeCell="H7" sqref="H7"/>
      <pageMargins left="0.7" right="0.7" top="0.75" bottom="0.75" header="0.3" footer="0.3"/>
      <autoFilter ref="B1:T1"/>
    </customSheetView>
    <customSheetView guid="{47AEACC4-6EA5-412C-AF39-A6C5357B313A}" showGridLines="0" showAutoFilter="1" hiddenRows="1" hiddenColumns="1" topLeftCell="A2">
      <pane xSplit="6" ySplit="7" topLeftCell="U9" activePane="bottomRight" state="frozen"/>
      <selection pane="bottomRight" activeCell="C8" sqref="C8:U8"/>
      <pageMargins left="0.7" right="0.7" top="0.75" bottom="0.75" header="0.3" footer="0.3"/>
      <autoFilter ref="B1:T1"/>
    </customSheetView>
    <customSheetView guid="{C913A9E8-661B-40A4-A3C9-1BC5F2B2E9F0}" showGridLines="0" showAutoFilter="1" hiddenRows="1" hiddenColumns="1" topLeftCell="A2">
      <pane xSplit="6" ySplit="7" topLeftCell="G9" activePane="bottomRight" state="frozen"/>
      <selection pane="bottomRight" activeCell="H7" sqref="H7"/>
      <pageMargins left="0.7" right="0.7" top="0.75" bottom="0.75" header="0.3" footer="0.3"/>
      <autoFilter ref="B1:T1"/>
    </customSheetView>
  </customSheetViews>
  <phoneticPr fontId="0" type="noConversion"/>
  <dataValidations count="8">
    <dataValidation type="list" operator="equal" allowBlank="1" showErrorMessage="1" errorTitle="Выбор элемента списка" error="Данного элемента нет в списке" sqref="P10:P24">
      <formula1>_comp</formula1>
    </dataValidation>
    <dataValidation type="list" operator="equal" allowBlank="1" showErrorMessage="1" errorTitle="Выбор элемента списка" error="Данного элемента нет в списке" sqref="H10:H24">
      <formula1>_6003</formula1>
    </dataValidation>
    <dataValidation type="list" operator="equal" allowBlank="1" showErrorMessage="1" errorTitle="Выбор элемента списка" error="Данного элемента нет в списке" sqref="G10:G24">
      <formula1>_1010</formula1>
    </dataValidation>
    <dataValidation type="list" operator="equal" allowBlank="1" showErrorMessage="1" errorTitle="Выбор элемента списка" error="Данного элемента нет в списке" sqref="F10:F24">
      <formula1>_1003</formula1>
    </dataValidation>
    <dataValidation type="list" operator="equal" allowBlank="1" showErrorMessage="1" errorTitle="Выбор элемента списка" error="Данного элемента нет в списке" sqref="C10:C24">
      <formula1>_icomp</formula1>
    </dataValidation>
    <dataValidation type="list" operator="equal" allowBlank="1" showErrorMessage="1" errorTitle="Выбор элемента списка" error="Данного элемента нет в списке" sqref="J10:J24">
      <formula1>IF(ISNUMBER(SEARCH("{??01",I10,1)),_2142,_X)</formula1>
    </dataValidation>
    <dataValidation type="list" allowBlank="1" showInputMessage="1" showErrorMessage="1" sqref="I10:I24">
      <formula1>_2145</formula1>
    </dataValidation>
    <dataValidation type="list" allowBlank="1" showInputMessage="1" showErrorMessage="1" sqref="S10:S24">
      <formula1>IF(RIGHT(LEFT(I10,5),1)="1",_2310_товары,_2310_услуги)</formula1>
    </dataValidation>
  </dataValidations>
  <hyperlinks>
    <hyperlink ref="H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68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52" r:id="rId4" name="Button 20">
              <controlPr defaultSize="0" print="0" autoFill="0" autoPict="0" macro="[0]!AddButtonsRowAdd">
                <anchor moveWithCells="1">
                  <from>
                    <xdr:col>5</xdr:col>
                    <xdr:colOff>1066800</xdr:colOff>
                    <xdr:row>2</xdr:row>
                    <xdr:rowOff>107950</xdr:rowOff>
                  </from>
                  <to>
                    <xdr:col>6</xdr:col>
                    <xdr:colOff>1136650</xdr:colOff>
                    <xdr:row>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pageSetUpPr fitToPage="1"/>
  </sheetPr>
  <dimension ref="A1:AG46"/>
  <sheetViews>
    <sheetView topLeftCell="I2" zoomScale="70" zoomScaleNormal="70" workbookViewId="0">
      <selection activeCell="V6" sqref="V6"/>
    </sheetView>
  </sheetViews>
  <sheetFormatPr defaultColWidth="4.453125" defaultRowHeight="14.5"/>
  <cols>
    <col min="1" max="1" width="53.81640625" style="1163" hidden="1" customWidth="1"/>
    <col min="2" max="2" width="5.54296875" style="12" customWidth="1"/>
    <col min="3" max="3" width="44" style="12" customWidth="1"/>
    <col min="4" max="5" width="25.453125" style="12" customWidth="1"/>
    <col min="6" max="7" width="20.453125" style="12" customWidth="1"/>
    <col min="8" max="8" width="22.453125" style="12" customWidth="1"/>
    <col min="9" max="10" width="20.453125" style="12" customWidth="1"/>
    <col min="11" max="11" width="16" style="12" customWidth="1"/>
    <col min="12" max="12" width="15.453125" style="12" customWidth="1"/>
    <col min="13" max="13" width="21.1796875" style="12" bestFit="1" customWidth="1"/>
    <col min="14" max="14" width="11.453125" style="12" hidden="1" customWidth="1"/>
    <col min="15" max="15" width="16.54296875" style="12" customWidth="1"/>
    <col min="16" max="17" width="11.453125" style="12" customWidth="1"/>
    <col min="18" max="22" width="15" style="12" customWidth="1"/>
    <col min="23" max="23" width="21" style="12" bestFit="1" customWidth="1"/>
    <col min="24" max="24" width="13.54296875" style="12" customWidth="1"/>
    <col min="25" max="25" width="8.453125" style="12" bestFit="1" customWidth="1"/>
    <col min="26" max="26" width="12.54296875" style="12" customWidth="1"/>
    <col min="27" max="16384" width="4.453125" style="12"/>
  </cols>
  <sheetData>
    <row r="1" spans="1:33" s="1163" customFormat="1" ht="15" hidden="1" customHeight="1">
      <c r="A1" s="70" t="s">
        <v>5266</v>
      </c>
      <c r="B1" s="22"/>
      <c r="C1" s="6"/>
      <c r="D1" s="2438"/>
      <c r="E1" s="2438"/>
      <c r="F1" s="37"/>
      <c r="G1" s="37"/>
      <c r="H1" s="37"/>
      <c r="I1" s="6" t="s">
        <v>572</v>
      </c>
      <c r="J1" s="6"/>
      <c r="M1" s="2830"/>
      <c r="O1" s="2422"/>
      <c r="Q1" s="2422"/>
      <c r="T1" s="2830"/>
      <c r="U1" s="2830"/>
      <c r="V1" s="2830"/>
      <c r="AF1" s="2830"/>
    </row>
    <row r="2" spans="1:33" s="763" customFormat="1" ht="12.5">
      <c r="A2" s="9"/>
      <c r="C2" s="1926" t="e">
        <f>IF(VLOOKUP(Содержание!D2,Список_компаний!$A:$I,9,FALSE)="да","+","-")</f>
        <v>#N/A</v>
      </c>
      <c r="D2" s="1926"/>
      <c r="E2" s="1926"/>
      <c r="I2" s="763" t="s">
        <v>1648</v>
      </c>
    </row>
    <row r="3" spans="1:33" ht="13">
      <c r="A3" s="9"/>
      <c r="C3" s="38"/>
      <c r="D3" s="38"/>
      <c r="E3" s="38"/>
      <c r="F3" s="440"/>
      <c r="G3" s="440"/>
      <c r="H3" s="440"/>
      <c r="I3" s="38"/>
      <c r="J3" s="440"/>
    </row>
    <row r="4" spans="1:33" ht="26">
      <c r="A4" s="9"/>
      <c r="C4" s="38" t="s">
        <v>5265</v>
      </c>
      <c r="D4" s="38"/>
      <c r="E4" s="38"/>
      <c r="F4" s="440"/>
      <c r="G4" s="440"/>
      <c r="H4" s="440"/>
      <c r="I4" s="38"/>
      <c r="J4" s="440"/>
      <c r="K4" s="1897" t="s">
        <v>2067</v>
      </c>
      <c r="L4" s="1244">
        <f>Содержание!$D$2</f>
        <v>0</v>
      </c>
    </row>
    <row r="5" spans="1:33" ht="26.5" thickBot="1">
      <c r="A5" s="9"/>
      <c r="C5" s="441"/>
      <c r="D5" s="3195"/>
      <c r="E5" s="3195"/>
      <c r="F5" t="b">
        <f t="array" ref="F5">IF(SMALL(IF(""=C12:C5701,ROW(C12:C5701),2700),1)&gt;LARGE(IF(""&lt;&gt;C12:C5701,ROW(C12:C5701),0),1),TRUE,FALSE)</f>
        <v>1</v>
      </c>
      <c r="I5" s="3044" t="s">
        <v>1436</v>
      </c>
      <c r="J5" t="s">
        <v>10297</v>
      </c>
      <c r="K5" s="1897" t="s">
        <v>2075</v>
      </c>
      <c r="L5" s="1244" t="str">
        <f>Содержание!$D$15</f>
        <v>2022 год</v>
      </c>
      <c r="X5" s="2298"/>
      <c r="Y5" s="2298"/>
      <c r="Z5" s="2298"/>
      <c r="AA5" s="2298"/>
      <c r="AB5" s="2298"/>
      <c r="AC5" s="2298"/>
      <c r="AD5" s="2298"/>
      <c r="AE5" s="2298"/>
      <c r="AF5" s="2876"/>
      <c r="AG5" s="2298"/>
    </row>
    <row r="6" spans="1:33" ht="78.5" thickBot="1">
      <c r="A6" s="9"/>
      <c r="C6" s="3196" t="s">
        <v>6112</v>
      </c>
      <c r="D6" s="3193" t="s">
        <v>3395</v>
      </c>
      <c r="E6" s="3312" t="s">
        <v>4664</v>
      </c>
      <c r="F6" s="3192" t="s">
        <v>5167</v>
      </c>
      <c r="G6" s="3192" t="s">
        <v>3198</v>
      </c>
      <c r="H6" s="3194" t="s">
        <v>8394</v>
      </c>
      <c r="I6" s="3192" t="s">
        <v>4119</v>
      </c>
      <c r="J6" s="434" t="s">
        <v>6167</v>
      </c>
      <c r="K6" s="3337" t="s">
        <v>1846</v>
      </c>
      <c r="M6" s="3387" t="s">
        <v>10298</v>
      </c>
      <c r="N6" s="3972"/>
      <c r="O6" s="3339" t="s">
        <v>7875</v>
      </c>
      <c r="P6" s="3339" t="s">
        <v>5855</v>
      </c>
      <c r="Q6" s="3339" t="s">
        <v>7431</v>
      </c>
      <c r="R6" s="3339" t="s">
        <v>6168</v>
      </c>
      <c r="S6" s="3339" t="s">
        <v>6169</v>
      </c>
      <c r="T6" s="3339" t="s">
        <v>9897</v>
      </c>
      <c r="U6" s="3339" t="s">
        <v>10273</v>
      </c>
      <c r="V6" s="3612" t="s">
        <v>15208</v>
      </c>
      <c r="Z6" s="3972" t="s">
        <v>6169</v>
      </c>
    </row>
    <row r="7" spans="1:33" ht="15.75" customHeight="1">
      <c r="A7" s="9"/>
      <c r="C7" s="437">
        <v>2145</v>
      </c>
      <c r="D7" s="3176" t="s">
        <v>4097</v>
      </c>
      <c r="E7" s="3176" t="s">
        <v>5250</v>
      </c>
      <c r="F7" s="3197" t="s">
        <v>5247</v>
      </c>
      <c r="G7" s="3197" t="s">
        <v>5247</v>
      </c>
      <c r="H7" s="3176" t="s">
        <v>5247</v>
      </c>
      <c r="I7" s="3198" t="s">
        <v>4597</v>
      </c>
      <c r="J7" s="433">
        <v>6001</v>
      </c>
      <c r="K7" s="3340">
        <v>2310</v>
      </c>
      <c r="M7" s="3387"/>
      <c r="N7" s="3972"/>
      <c r="O7" s="2892"/>
      <c r="P7" s="2892"/>
      <c r="Q7" s="2892"/>
      <c r="R7" s="2892"/>
      <c r="S7" s="2892"/>
      <c r="T7" s="3339"/>
      <c r="U7" s="3339"/>
      <c r="V7" s="3612"/>
      <c r="Z7" s="3972"/>
    </row>
    <row r="8" spans="1:33" s="698" customFormat="1" ht="10">
      <c r="A8" s="668"/>
      <c r="B8" s="703"/>
      <c r="C8" s="1751" t="s">
        <v>4164</v>
      </c>
      <c r="D8" s="1752" t="s">
        <v>4165</v>
      </c>
      <c r="E8" s="1752" t="s">
        <v>4166</v>
      </c>
      <c r="F8" s="1752" t="s">
        <v>5500</v>
      </c>
      <c r="G8" s="1752" t="s">
        <v>4169</v>
      </c>
      <c r="H8" s="1752" t="s">
        <v>4168</v>
      </c>
      <c r="I8" s="1752" t="s">
        <v>4178</v>
      </c>
      <c r="J8" s="1752" t="s">
        <v>4179</v>
      </c>
      <c r="K8" s="1752" t="s">
        <v>4167</v>
      </c>
    </row>
    <row r="9" spans="1:33" ht="13">
      <c r="A9" s="9"/>
      <c r="C9" s="1068" t="s">
        <v>4170</v>
      </c>
      <c r="D9" s="1069" t="s">
        <v>4184</v>
      </c>
      <c r="E9" s="1069" t="s">
        <v>4184</v>
      </c>
      <c r="F9" s="1069" t="s">
        <v>4184</v>
      </c>
      <c r="G9" s="1069" t="s">
        <v>4184</v>
      </c>
      <c r="H9" s="1069" t="s">
        <v>4184</v>
      </c>
      <c r="I9" s="1010">
        <f>SUM(I10:I10004)</f>
        <v>0</v>
      </c>
      <c r="J9" s="3347" t="s">
        <v>4184</v>
      </c>
      <c r="K9" s="3348" t="s">
        <v>4184</v>
      </c>
    </row>
    <row r="10" spans="1:33" ht="26">
      <c r="A10" s="9"/>
      <c r="C10" s="1070" t="s">
        <v>9987</v>
      </c>
      <c r="D10" s="1069" t="s">
        <v>4184</v>
      </c>
      <c r="E10" s="1069" t="s">
        <v>4184</v>
      </c>
      <c r="F10" s="1069" t="s">
        <v>4184</v>
      </c>
      <c r="G10" s="1069" t="s">
        <v>4184</v>
      </c>
      <c r="H10" s="1069" t="s">
        <v>4184</v>
      </c>
      <c r="I10" s="1628">
        <f>'90_ОРВГ'!K9+'90_ОРВГ'!M9</f>
        <v>0</v>
      </c>
      <c r="J10" s="3347" t="s">
        <v>4184</v>
      </c>
      <c r="K10" s="3348" t="s">
        <v>4184</v>
      </c>
      <c r="W10" s="2300"/>
      <c r="X10" s="2300" t="s">
        <v>2844</v>
      </c>
      <c r="Y10" s="2300" t="s">
        <v>5266</v>
      </c>
    </row>
    <row r="11" spans="1:33" ht="39">
      <c r="A11" s="2804"/>
      <c r="C11" s="1070" t="s">
        <v>10296</v>
      </c>
      <c r="D11" s="1069" t="s">
        <v>4184</v>
      </c>
      <c r="E11" s="1069" t="s">
        <v>4184</v>
      </c>
      <c r="F11" s="1069" t="s">
        <v>4184</v>
      </c>
      <c r="G11" s="1069" t="s">
        <v>4184</v>
      </c>
      <c r="H11" s="1069" t="s">
        <v>4184</v>
      </c>
      <c r="I11" s="1628">
        <f>SUM(Зарубежная_выручка!C12:C3000)-SUMIF(Зарубежная_выручка!I:I,261459,Зарубежная_выручка!C:C)</f>
        <v>0</v>
      </c>
      <c r="J11" s="3347" t="s">
        <v>4184</v>
      </c>
      <c r="K11" s="3348" t="s">
        <v>4184</v>
      </c>
      <c r="M11" s="3389" t="b">
        <v>1</v>
      </c>
      <c r="W11" s="2300"/>
      <c r="X11" s="2300"/>
      <c r="Y11" s="2300"/>
    </row>
    <row r="12" spans="1:33" ht="12.75" customHeight="1">
      <c r="A12" s="538" t="str">
        <f>"R1="&amp;IFERROR(MID(C12,FIND("{",C12)+1,FIND("}",C12)-FIND("{",C12)-1),"")&amp;";R6="&amp;IFERROR(MID(D12,FIND("{",D12)+1,FIND("}",D12)-FIND("{",D12)-1),"")&amp;";R7="&amp;IFERROR(MID(E12,FIND("{",E12)+1,FIND("}",E12)-FIND("{",E12)-1),"")&amp;";R42="&amp;MID(IF(H12&lt;&gt;"",H12,G12),1,30)&amp;";R30="&amp;IFERROR(MID(J12,FIND("{",J12)+1,FIND("}",J12)-FIND("{",J12)-1),"")&amp;";R9="&amp;IFERROR(MID(K12,FIND("{",K12)+1,FIND("}",K12)-FIND("{",K12)-1),"")&amp;";R57="&amp;MID(F12,1,60)&amp;";R36="&amp;MID(H12,1,30)&amp;";R43="&amp;MID(G12,1,16)</f>
        <v>R1=;R6=;R7=;R42=;R30=;R9=;R57=;R36=;R43=</v>
      </c>
      <c r="B12" s="439"/>
      <c r="C12" s="1071"/>
      <c r="D12" s="1497"/>
      <c r="E12" s="2269"/>
      <c r="F12" s="2269"/>
      <c r="G12" s="2269"/>
      <c r="H12" s="1001"/>
      <c r="I12" s="863"/>
      <c r="J12" s="3345"/>
      <c r="K12" s="3346"/>
      <c r="M12" s="2300" t="str">
        <f ca="1">IF(IFERROR(VLOOKUP(J12,INDIRECT($J$5),1,FALSE),FALSE)=FALSE,IF(J12="","",FALSE),"")</f>
        <v/>
      </c>
      <c r="N12" s="2489">
        <f>IF(OR(G12="Внешние контрагенты",TEXT(H12,"#")="10015"),1,0)</f>
        <v>0</v>
      </c>
      <c r="O12" s="196">
        <f>IF(OR(IF(TEXT(LEFT(G12,1),"0")="0",TRUE,FALSE),ISERROR(G12*1)),G12,G12*1)</f>
        <v>0</v>
      </c>
      <c r="P12" s="2302" t="b">
        <f xml:space="preserve"> IF(OR(O12=7704765961,O12=5256065824,O12=7703197508,IFERROR(VLOOKUP(G12*1,Список_компаний!B:N,11,0),TRUE)="Да"),TRUE,ISNA(VLOOKUP(O12,_icompindex,1,FALSE)))</f>
        <v>1</v>
      </c>
      <c r="Q12" s="2302" t="b">
        <f>IF(AND(IFERROR(VLOOKUP(H12*1,Список_компаний!C:F,4,0),TRUE)="Да",IFERROR(VLOOKUP(H12*1,Список_компаний!C:N,10,0),TRUE)=""),FALSE,TRUE)</f>
        <v>1</v>
      </c>
      <c r="R12" s="2300" t="b">
        <f t="shared" ref="R12:R22" si="0">IF(C12&gt;"",IF(ISNA(MATCH(J12,_6001,0)),FALSE,TRUE),TRUE)</f>
        <v>1</v>
      </c>
      <c r="S12" s="2300" t="b">
        <f>ABS(SUMIFS(I:I,C:C,LEFT(C12,12) &amp; "*",D:D,D12,E:E,E12)-SUMIFS('90'!I:I,'90'!C:C,LEFT(C12,12) &amp; "*",'90'!G:G,D12,'90'!H:H,E12,'90'!F:F,"{1} Внутренний рынок")-SUMIFS('90'!J:J,'90'!C:C,LEFT(C12,12) &amp; "*",'90'!G:G,D12,'90'!H:H,E12,'90'!F:F,"{1} Внутренний рынок"))&lt;=5</f>
        <v>1</v>
      </c>
      <c r="T12" s="2300" t="b">
        <f>IF(AND(G12&lt;&gt;"",H12&lt;&gt;""),IF(ISNA(VLOOKUP(G12,Список_компаний!$B$3:$C$6,1,0)),TRUE,VLOOKUP(G12,Список_компаний!$B$3:$C$6,2,0)=VALUE(H12)),TRUE)</f>
        <v>1</v>
      </c>
      <c r="U12" s="2300" t="b">
        <f t="shared" ref="U12:U22" si="1">IF(C12="",K12="",NOT(ISERROR(VLOOKUP(K12,_2310_,1,0))))</f>
        <v>1</v>
      </c>
      <c r="V12" s="2300" t="b">
        <f>IF(I12&lt;&gt;"",D12&lt;&gt;"",TRUE)</f>
        <v>1</v>
      </c>
      <c r="W12" s="2300" t="s">
        <v>3521</v>
      </c>
      <c r="X12" s="2300">
        <f>SUMIF('90'!F:F,'90_контр'!W12,'90'!I:I)+SUMIF('90'!F:F,'90_контр'!W12,'90'!J:J)</f>
        <v>0</v>
      </c>
      <c r="Y12" s="2300">
        <f>SUMIF(J:J,"{RU} Россия",I:I)</f>
        <v>0</v>
      </c>
      <c r="Z12" s="2300" t="b">
        <f>ABS(X12-Y12)&lt;5</f>
        <v>1</v>
      </c>
    </row>
    <row r="13" spans="1:33" ht="12.75" customHeight="1">
      <c r="A13" s="2425" t="str">
        <f t="shared" ref="A13:A25" si="2">"R1="&amp;IFERROR(MID(C13,FIND("{",C13)+1,FIND("}",C13)-FIND("{",C13)-1),"")&amp;";R6="&amp;IFERROR(MID(D13,FIND("{",D13)+1,FIND("}",D13)-FIND("{",D13)-1),"")&amp;";R7="&amp;IFERROR(MID(E13,FIND("{",E13)+1,FIND("}",E13)-FIND("{",E13)-1),"")&amp;";R42="&amp;MID(IF(H13&lt;&gt;"",H13,G13),1,30)&amp;";R30="&amp;IFERROR(MID(J13,FIND("{",J13)+1,FIND("}",J13)-FIND("{",J13)-1),"")&amp;";R9="&amp;IFERROR(MID(K13,FIND("{",K13)+1,FIND("}",K13)-FIND("{",K13)-1),"")&amp;";R57="&amp;MID(F13,1,60)&amp;";R36="&amp;MID(H13,1,30)&amp;";R43="&amp;MID(G13,1,16)</f>
        <v>R1=;R6=;R7=;R42=;R30=;R9=;R57=;R36=;R43=</v>
      </c>
      <c r="B13" s="439"/>
      <c r="C13" s="1071"/>
      <c r="D13" s="1497"/>
      <c r="E13" s="2269"/>
      <c r="F13" s="2269"/>
      <c r="G13" s="2269"/>
      <c r="H13" s="1001"/>
      <c r="I13" s="863"/>
      <c r="J13" s="3345"/>
      <c r="K13" s="3346"/>
      <c r="M13" s="2300" t="str">
        <f t="shared" ref="M13:M23" ca="1" si="3">IF(IFERROR(VLOOKUP(J13,INDIRECT($J$5),1,FALSE),FALSE)=FALSE,IF(J13="","",FALSE),"")</f>
        <v/>
      </c>
      <c r="N13" s="2489">
        <f t="shared" ref="N13:N22" si="4">IF(OR(G13="Внешние контрагенты",TEXT(H13,"#")="10015"),1,0)</f>
        <v>0</v>
      </c>
      <c r="O13" s="196">
        <f t="shared" ref="O13:O22" si="5">IF(OR(IF(TEXT(LEFT(G13,1),"0")="0",TRUE,FALSE),ISERROR(G13*1)),G13,G13*1)</f>
        <v>0</v>
      </c>
      <c r="P13" s="2302" t="b">
        <f xml:space="preserve"> IF(OR(O13=7704765961,O13=5256065824,O13=7703197508,IFERROR(VLOOKUP(G13*1,Список_компаний!B:N,11,0),TRUE)="Да"),TRUE,ISNA(VLOOKUP(O13,_icompindex,1,FALSE)))</f>
        <v>1</v>
      </c>
      <c r="Q13" s="2302" t="b">
        <f>IF(AND(IFERROR(VLOOKUP(H13*1,Список_компаний!C:F,4,0),TRUE)="Да",IFERROR(VLOOKUP(H13*1,Список_компаний!C:N,10,0),TRUE)=""),FALSE,TRUE)</f>
        <v>1</v>
      </c>
      <c r="R13" s="2300" t="b">
        <f t="shared" si="0"/>
        <v>1</v>
      </c>
      <c r="S13" s="2300" t="b">
        <f>ABS(SUMIFS(I:I,C:C,LEFT(C13,12) &amp; "*",D:D,D13,E:E,E13)-SUMIFS('90'!I:I,'90'!C:C,LEFT(C13,12) &amp; "*",'90'!G:G,D13,'90'!H:H,E13,'90'!F:F,"{1} Внутренний рынок")-SUMIFS('90'!J:J,'90'!C:C,LEFT(C13,12) &amp; "*",'90'!G:G,D13,'90'!H:H,E13,'90'!F:F,"{1} Внутренний рынок"))&lt;=5</f>
        <v>1</v>
      </c>
      <c r="T13" s="2300" t="b">
        <f>IF(AND(G13&lt;&gt;"",H13&lt;&gt;""),IF(ISNA(VLOOKUP(G13,Список_компаний!$B$3:$C$6,1,0)),TRUE,VLOOKUP(G13,Список_компаний!$B$3:$C$6,2,0)=VALUE(H13)),TRUE)</f>
        <v>1</v>
      </c>
      <c r="U13" s="2300" t="b">
        <f t="shared" si="1"/>
        <v>1</v>
      </c>
      <c r="V13" s="2300" t="b">
        <f t="shared" ref="V13:V24" si="6">IF(I13&lt;&gt;"",D13&lt;&gt;"",TRUE)</f>
        <v>1</v>
      </c>
      <c r="W13" s="2300" t="s">
        <v>1349</v>
      </c>
      <c r="X13" s="2300">
        <f>SUMIF('90'!F:F,'90_контр'!W13,'90'!I:I)+SUMIF('90'!F:F,'90_контр'!W13,'90'!J:J)</f>
        <v>0</v>
      </c>
      <c r="Y13" s="2300">
        <f>SUMIF(Зарубежная_выручка!K:K,"{AM} Армения",Зарубежная_выручка!C:C)+SUMIF(Зарубежная_выручка!K:K,"{BY} Беларусь",Зарубежная_выручка!C:C)+SUMIF(Зарубежная_выручка!K:K,"{KZ} Казахстан",Зарубежная_выручка!C:C)+SUMIF(Зарубежная_выручка!K:K,"{UZ} Узбекистан",Зарубежная_выручка!C:C)+SUMIF(Зарубежная_выручка!K:K,"{UA} Украина",Зарубежная_выручка!C:C)+SUMIF(Зарубежная_выручка!K:K,"{AZ} Азербайджан",Зарубежная_выручка!C:C)+SUMIF(Зарубежная_выручка!K:K,"{417} Киргизия",Зарубежная_выручка!C:C)+SUMIF(Зарубежная_выручка!K:K,"{KG} Киргизия",Зарубежная_выручка!C:C)+SUMIF(Зарубежная_выручка!K:K,"{TJ} Таджикистан",Зарубежная_выручка!C:C)</f>
        <v>0</v>
      </c>
      <c r="Z13" s="2300" t="b">
        <f t="shared" ref="Z13:Z14" si="7">ABS(X13-Y13)&lt;5</f>
        <v>1</v>
      </c>
    </row>
    <row r="14" spans="1:33" ht="12.75" customHeight="1">
      <c r="A14" s="2425" t="str">
        <f t="shared" si="2"/>
        <v>R1=;R6=;R7=;R42=;R30=;R9=;R57=;R36=;R43=</v>
      </c>
      <c r="B14" s="439"/>
      <c r="C14" s="1071"/>
      <c r="D14" s="1497"/>
      <c r="E14" s="2269"/>
      <c r="F14" s="2269"/>
      <c r="G14" s="2444"/>
      <c r="H14" s="2285"/>
      <c r="I14" s="863"/>
      <c r="J14" s="3345"/>
      <c r="K14" s="3346"/>
      <c r="M14" s="2300" t="str">
        <f t="shared" ca="1" si="3"/>
        <v/>
      </c>
      <c r="N14" s="2489">
        <f t="shared" si="4"/>
        <v>0</v>
      </c>
      <c r="O14" s="196">
        <f t="shared" si="5"/>
        <v>0</v>
      </c>
      <c r="P14" s="2302" t="b">
        <f xml:space="preserve"> IF(OR(O14=7704765961,O14=5256065824,O14=7703197508,IFERROR(VLOOKUP(G14*1,Список_компаний!B:N,11,0),TRUE)="Да"),TRUE,ISNA(VLOOKUP(O14,_icompindex,1,FALSE)))</f>
        <v>1</v>
      </c>
      <c r="Q14" s="2302" t="b">
        <f>IF(AND(IFERROR(VLOOKUP(H14*1,Список_компаний!C:F,4,0),TRUE)="Да",IFERROR(VLOOKUP(H14*1,Список_компаний!C:N,10,0),TRUE)=""),FALSE,TRUE)</f>
        <v>1</v>
      </c>
      <c r="R14" s="2300" t="b">
        <f t="shared" si="0"/>
        <v>1</v>
      </c>
      <c r="S14" s="2300" t="b">
        <f>ABS(SUMIFS(I:I,C:C,LEFT(C14,12) &amp; "*",D:D,D14,E:E,E14)-SUMIFS('90'!I:I,'90'!C:C,LEFT(C14,12) &amp; "*",'90'!G:G,D14,'90'!H:H,E14,'90'!F:F,"{1} Внутренний рынок")-SUMIFS('90'!J:J,'90'!C:C,LEFT(C14,12) &amp; "*",'90'!G:G,D14,'90'!H:H,E14,'90'!F:F,"{1} Внутренний рынок"))&lt;=5</f>
        <v>1</v>
      </c>
      <c r="T14" s="2300" t="b">
        <f>IF(AND(G14&lt;&gt;"",H14&lt;&gt;""),IF(ISNA(VLOOKUP(G14,Список_компаний!$B$3:$C$6,1,0)),TRUE,VLOOKUP(G14,Список_компаний!$B$3:$C$6,2,0)=VALUE(H14)),TRUE)</f>
        <v>1</v>
      </c>
      <c r="U14" s="2300" t="b">
        <f t="shared" si="1"/>
        <v>1</v>
      </c>
      <c r="V14" s="2300" t="b">
        <f t="shared" si="6"/>
        <v>1</v>
      </c>
      <c r="W14" s="2300" t="s">
        <v>1350</v>
      </c>
      <c r="X14" s="2300">
        <f>SUMIF('90'!F:F,'90_контр'!W14,'90'!I:I)+SUMIF('90'!F:F,'90_контр'!W14,'90'!J:J)</f>
        <v>0</v>
      </c>
      <c r="Y14" s="2301">
        <f>I9-Y12-Y13-I10</f>
        <v>0</v>
      </c>
      <c r="Z14" s="2300" t="b">
        <f t="shared" si="7"/>
        <v>1</v>
      </c>
    </row>
    <row r="15" spans="1:33" ht="12.75" customHeight="1">
      <c r="A15" s="2425" t="str">
        <f t="shared" si="2"/>
        <v>R1=;R6=;R7=;R42=;R30=;R9=;R57=;R36=;R43=</v>
      </c>
      <c r="B15" s="439"/>
      <c r="C15" s="1071"/>
      <c r="D15" s="1497"/>
      <c r="E15" s="2269"/>
      <c r="F15" s="2269"/>
      <c r="G15" s="2444"/>
      <c r="H15" s="2285"/>
      <c r="I15" s="863"/>
      <c r="J15" s="3345"/>
      <c r="K15" s="3346"/>
      <c r="M15" s="2300" t="str">
        <f t="shared" ca="1" si="3"/>
        <v/>
      </c>
      <c r="N15" s="2489">
        <f t="shared" si="4"/>
        <v>0</v>
      </c>
      <c r="O15" s="196">
        <f t="shared" si="5"/>
        <v>0</v>
      </c>
      <c r="P15" s="2302" t="b">
        <f xml:space="preserve"> IF(OR(O15=7704765961,O15=5256065824,O15=7703197508,IFERROR(VLOOKUP(G15*1,Список_компаний!B:N,11,0),TRUE)="Да"),TRUE,ISNA(VLOOKUP(O15,_icompindex,1,FALSE)))</f>
        <v>1</v>
      </c>
      <c r="Q15" s="2302" t="b">
        <f>IF(AND(IFERROR(VLOOKUP(H15*1,Список_компаний!C:F,4,0),TRUE)="Да",IFERROR(VLOOKUP(H15*1,Список_компаний!C:N,10,0),TRUE)=""),FALSE,TRUE)</f>
        <v>1</v>
      </c>
      <c r="R15" s="2300" t="b">
        <f t="shared" si="0"/>
        <v>1</v>
      </c>
      <c r="S15" s="2300" t="b">
        <f>ABS(SUMIFS(I:I,C:C,LEFT(C15,12) &amp; "*",D:D,D15,E:E,E15)-SUMIFS('90'!I:I,'90'!C:C,LEFT(C15,12) &amp; "*",'90'!G:G,D15,'90'!H:H,E15,'90'!F:F,"{1} Внутренний рынок")-SUMIFS('90'!J:J,'90'!C:C,LEFT(C15,12) &amp; "*",'90'!G:G,D15,'90'!H:H,E15,'90'!F:F,"{1} Внутренний рынок"))&lt;=5</f>
        <v>1</v>
      </c>
      <c r="T15" s="2300" t="b">
        <f>IF(AND(G15&lt;&gt;"",H15&lt;&gt;""),IF(ISNA(VLOOKUP(G15,Список_компаний!$B$3:$C$6,1,0)),TRUE,VLOOKUP(G15,Список_компаний!$B$3:$C$6,2,0)=VALUE(H15)),TRUE)</f>
        <v>1</v>
      </c>
      <c r="U15" s="2300" t="b">
        <f t="shared" si="1"/>
        <v>1</v>
      </c>
      <c r="V15" s="2300" t="b">
        <f t="shared" si="6"/>
        <v>1</v>
      </c>
      <c r="W15" s="2300" t="s">
        <v>4765</v>
      </c>
      <c r="Y15" s="2300">
        <f>SUMIF(N:N,1,I:I)</f>
        <v>0</v>
      </c>
      <c r="Z15" s="2300" t="b">
        <f>IF(IF((I9-I10)=0,0,Y15/(I9-I10))&lt;0.05,TRUE, FALSE)</f>
        <v>1</v>
      </c>
    </row>
    <row r="16" spans="1:33" ht="12.75" customHeight="1">
      <c r="A16" s="2425" t="str">
        <f t="shared" si="2"/>
        <v>R1=;R6=;R7=;R42=;R30=;R9=;R57=;R36=;R43=</v>
      </c>
      <c r="B16" s="439"/>
      <c r="C16" s="1071"/>
      <c r="D16" s="1497"/>
      <c r="E16" s="2269"/>
      <c r="F16" s="2269"/>
      <c r="G16" s="2722"/>
      <c r="H16" s="2285"/>
      <c r="I16" s="863"/>
      <c r="J16" s="3345"/>
      <c r="K16" s="3346"/>
      <c r="M16" s="2300" t="str">
        <f t="shared" ca="1" si="3"/>
        <v/>
      </c>
      <c r="N16" s="2489">
        <f t="shared" si="4"/>
        <v>0</v>
      </c>
      <c r="O16" s="196">
        <f t="shared" si="5"/>
        <v>0</v>
      </c>
      <c r="P16" s="2302" t="b">
        <f xml:space="preserve"> IF(OR(O16=7704765961,O16=5256065824,O16=7703197508,IFERROR(VLOOKUP(G16*1,Список_компаний!B:N,11,0),TRUE)="Да"),TRUE,ISNA(VLOOKUP(O16,_icompindex,1,FALSE)))</f>
        <v>1</v>
      </c>
      <c r="Q16" s="2302" t="b">
        <f>IF(AND(IFERROR(VLOOKUP(H16*1,Список_компаний!C:F,4,0),TRUE)="Да",IFERROR(VLOOKUP(H16*1,Список_компаний!C:N,10,0),TRUE)=""),FALSE,TRUE)</f>
        <v>1</v>
      </c>
      <c r="R16" s="2300" t="b">
        <f t="shared" si="0"/>
        <v>1</v>
      </c>
      <c r="S16" s="2300" t="b">
        <f>ABS(SUMIFS(I:I,C:C,LEFT(C16,12) &amp; "*",D:D,D16,E:E,E16)-SUMIFS('90'!I:I,'90'!C:C,LEFT(C16,12) &amp; "*",'90'!G:G,D16,'90'!H:H,E16,'90'!F:F,"{1} Внутренний рынок")-SUMIFS('90'!J:J,'90'!C:C,LEFT(C16,12) &amp; "*",'90'!G:G,D16,'90'!H:H,E16,'90'!F:F,"{1} Внутренний рынок"))&lt;=5</f>
        <v>1</v>
      </c>
      <c r="T16" s="2300" t="b">
        <f>IF(AND(G16&lt;&gt;"",H16&lt;&gt;""),IF(ISNA(VLOOKUP(G16,Список_компаний!$B$3:$C$6,1,0)),TRUE,VLOOKUP(G16,Список_компаний!$B$3:$C$6,2,0)=VALUE(H16)),TRUE)</f>
        <v>1</v>
      </c>
      <c r="U16" s="2300" t="b">
        <f t="shared" si="1"/>
        <v>1</v>
      </c>
      <c r="V16" s="2300" t="b">
        <f t="shared" si="6"/>
        <v>1</v>
      </c>
    </row>
    <row r="17" spans="1:22" ht="12.75" customHeight="1">
      <c r="A17" s="2425" t="str">
        <f t="shared" si="2"/>
        <v>R1=;R6=;R7=;R42=;R30=;R9=;R57=;R36=;R43=</v>
      </c>
      <c r="B17" s="439"/>
      <c r="C17" s="1071"/>
      <c r="D17" s="1497"/>
      <c r="E17" s="2269"/>
      <c r="F17" s="2269"/>
      <c r="G17" s="2269"/>
      <c r="H17" s="2285"/>
      <c r="I17" s="863"/>
      <c r="J17" s="3345"/>
      <c r="K17" s="3346"/>
      <c r="M17" s="2300" t="str">
        <f t="shared" ca="1" si="3"/>
        <v/>
      </c>
      <c r="N17" s="2489">
        <f t="shared" si="4"/>
        <v>0</v>
      </c>
      <c r="O17" s="196">
        <f t="shared" si="5"/>
        <v>0</v>
      </c>
      <c r="P17" s="2302" t="b">
        <f xml:space="preserve"> IF(OR(O17=7704765961,O17=5256065824,O17=7703197508,IFERROR(VLOOKUP(G17*1,Список_компаний!B:N,11,0),TRUE)="Да"),TRUE,ISNA(VLOOKUP(O17,_icompindex,1,FALSE)))</f>
        <v>1</v>
      </c>
      <c r="Q17" s="2302" t="b">
        <f>IF(AND(IFERROR(VLOOKUP(H17*1,Список_компаний!C:F,4,0),TRUE)="Да",IFERROR(VLOOKUP(H17*1,Список_компаний!C:N,10,0),TRUE)=""),FALSE,TRUE)</f>
        <v>1</v>
      </c>
      <c r="R17" s="2300" t="b">
        <f t="shared" si="0"/>
        <v>1</v>
      </c>
      <c r="S17" s="2300" t="b">
        <f>ABS(SUMIFS(I:I,C:C,LEFT(C17,12) &amp; "*",D:D,D17,E:E,E17)-SUMIFS('90'!I:I,'90'!C:C,LEFT(C17,12) &amp; "*",'90'!G:G,D17,'90'!H:H,E17,'90'!F:F,"{1} Внутренний рынок")-SUMIFS('90'!J:J,'90'!C:C,LEFT(C17,12) &amp; "*",'90'!G:G,D17,'90'!H:H,E17,'90'!F:F,"{1} Внутренний рынок"))&lt;=5</f>
        <v>1</v>
      </c>
      <c r="T17" s="2300" t="b">
        <f>IF(AND(G17&lt;&gt;"",H17&lt;&gt;""),IF(ISNA(VLOOKUP(G17,Список_компаний!$B$3:$C$6,1,0)),TRUE,VLOOKUP(G17,Список_компаний!$B$3:$C$6,2,0)=VALUE(H17)),TRUE)</f>
        <v>1</v>
      </c>
      <c r="U17" s="2300" t="b">
        <f t="shared" si="1"/>
        <v>1</v>
      </c>
      <c r="V17" s="2300" t="b">
        <f t="shared" si="6"/>
        <v>1</v>
      </c>
    </row>
    <row r="18" spans="1:22" ht="12.75" customHeight="1">
      <c r="A18" s="2425" t="str">
        <f t="shared" si="2"/>
        <v>R1=;R6=;R7=;R42=;R30=;R9=;R57=;R36=;R43=</v>
      </c>
      <c r="B18" s="439"/>
      <c r="C18" s="1071"/>
      <c r="D18" s="1497"/>
      <c r="E18" s="2269"/>
      <c r="F18" s="2269"/>
      <c r="G18" s="2269"/>
      <c r="H18" s="2285"/>
      <c r="I18" s="863"/>
      <c r="J18" s="3345"/>
      <c r="K18" s="3346"/>
      <c r="M18" s="2300" t="str">
        <f t="shared" ca="1" si="3"/>
        <v/>
      </c>
      <c r="N18" s="2489">
        <f t="shared" si="4"/>
        <v>0</v>
      </c>
      <c r="O18" s="196">
        <f t="shared" si="5"/>
        <v>0</v>
      </c>
      <c r="P18" s="2302" t="b">
        <f xml:space="preserve"> IF(OR(O18=7704765961,O18=5256065824,O18=7703197508,IFERROR(VLOOKUP(G18*1,Список_компаний!B:N,11,0),TRUE)="Да"),TRUE,ISNA(VLOOKUP(O18,_icompindex,1,FALSE)))</f>
        <v>1</v>
      </c>
      <c r="Q18" s="2302" t="b">
        <f>IF(AND(IFERROR(VLOOKUP(H18*1,Список_компаний!C:F,4,0),TRUE)="Да",IFERROR(VLOOKUP(H18*1,Список_компаний!C:N,10,0),TRUE)=""),FALSE,TRUE)</f>
        <v>1</v>
      </c>
      <c r="R18" s="2300" t="b">
        <f t="shared" si="0"/>
        <v>1</v>
      </c>
      <c r="S18" s="2300" t="b">
        <f>ABS(SUMIFS(I:I,C:C,LEFT(C18,12) &amp; "*",D:D,D18,E:E,E18)-SUMIFS('90'!I:I,'90'!C:C,LEFT(C18,12) &amp; "*",'90'!G:G,D18,'90'!H:H,E18,'90'!F:F,"{1} Внутренний рынок")-SUMIFS('90'!J:J,'90'!C:C,LEFT(C18,12) &amp; "*",'90'!G:G,D18,'90'!H:H,E18,'90'!F:F,"{1} Внутренний рынок"))&lt;=5</f>
        <v>1</v>
      </c>
      <c r="T18" s="2300" t="b">
        <f>IF(AND(G18&lt;&gt;"",H18&lt;&gt;""),IF(ISNA(VLOOKUP(G18,Список_компаний!$B$3:$C$6,1,0)),TRUE,VLOOKUP(G18,Список_компаний!$B$3:$C$6,2,0)=VALUE(H18)),TRUE)</f>
        <v>1</v>
      </c>
      <c r="U18" s="2300" t="b">
        <f t="shared" si="1"/>
        <v>1</v>
      </c>
      <c r="V18" s="2300" t="b">
        <f t="shared" si="6"/>
        <v>1</v>
      </c>
    </row>
    <row r="19" spans="1:22" ht="12.75" customHeight="1">
      <c r="A19" s="2425" t="str">
        <f t="shared" si="2"/>
        <v>R1=;R6=;R7=;R42=;R30=;R9=;R57=;R36=;R43=</v>
      </c>
      <c r="B19" s="439"/>
      <c r="C19" s="1071"/>
      <c r="D19" s="1497"/>
      <c r="E19" s="2269"/>
      <c r="F19" s="2269"/>
      <c r="G19" s="2269"/>
      <c r="H19" s="2285"/>
      <c r="I19" s="863"/>
      <c r="J19" s="3345"/>
      <c r="K19" s="3346"/>
      <c r="M19" s="2300" t="str">
        <f t="shared" ca="1" si="3"/>
        <v/>
      </c>
      <c r="N19" s="2489">
        <f t="shared" si="4"/>
        <v>0</v>
      </c>
      <c r="O19" s="196">
        <f t="shared" si="5"/>
        <v>0</v>
      </c>
      <c r="P19" s="2302" t="b">
        <f xml:space="preserve"> IF(OR(O19=7704765961,O19=5256065824,O19=7703197508,IFERROR(VLOOKUP(G19*1,Список_компаний!B:N,11,0),TRUE)="Да"),TRUE,ISNA(VLOOKUP(O19,_icompindex,1,FALSE)))</f>
        <v>1</v>
      </c>
      <c r="Q19" s="2302" t="b">
        <f>IF(AND(IFERROR(VLOOKUP(H19*1,Список_компаний!C:F,4,0),TRUE)="Да",IFERROR(VLOOKUP(H19*1,Список_компаний!C:N,10,0),TRUE)=""),FALSE,TRUE)</f>
        <v>1</v>
      </c>
      <c r="R19" s="2300" t="b">
        <f t="shared" si="0"/>
        <v>1</v>
      </c>
      <c r="S19" s="2300" t="b">
        <f>ABS(SUMIFS(I:I,C:C,LEFT(C19,12) &amp; "*",D:D,D19,E:E,E19)-SUMIFS('90'!I:I,'90'!C:C,LEFT(C19,12) &amp; "*",'90'!G:G,D19,'90'!H:H,E19,'90'!F:F,"{1} Внутренний рынок")-SUMIFS('90'!J:J,'90'!C:C,LEFT(C19,12) &amp; "*",'90'!G:G,D19,'90'!H:H,E19,'90'!F:F,"{1} Внутренний рынок"))&lt;=5</f>
        <v>1</v>
      </c>
      <c r="T19" s="2300" t="b">
        <f>IF(AND(G19&lt;&gt;"",H19&lt;&gt;""),IF(ISNA(VLOOKUP(G19,Список_компаний!$B$3:$C$6,1,0)),TRUE,VLOOKUP(G19,Список_компаний!$B$3:$C$6,2,0)=VALUE(H19)),TRUE)</f>
        <v>1</v>
      </c>
      <c r="U19" s="2300" t="b">
        <f t="shared" si="1"/>
        <v>1</v>
      </c>
      <c r="V19" s="2300" t="b">
        <f t="shared" si="6"/>
        <v>1</v>
      </c>
    </row>
    <row r="20" spans="1:22" ht="12.75" customHeight="1">
      <c r="A20" s="2425" t="str">
        <f t="shared" si="2"/>
        <v>R1=;R6=;R7=;R42=;R30=;R9=;R57=;R36=;R43=</v>
      </c>
      <c r="B20" s="439"/>
      <c r="C20" s="1071"/>
      <c r="D20" s="1497"/>
      <c r="E20" s="2269"/>
      <c r="F20" s="2269"/>
      <c r="G20" s="2269"/>
      <c r="H20" s="2285"/>
      <c r="I20" s="863"/>
      <c r="J20" s="3345"/>
      <c r="K20" s="3346"/>
      <c r="M20" s="2300" t="str">
        <f t="shared" ca="1" si="3"/>
        <v/>
      </c>
      <c r="N20" s="2489">
        <f t="shared" si="4"/>
        <v>0</v>
      </c>
      <c r="O20" s="196">
        <f t="shared" si="5"/>
        <v>0</v>
      </c>
      <c r="P20" s="2302" t="b">
        <f xml:space="preserve"> IF(OR(O20=7704765961,O20=5256065824,O20=7703197508,IFERROR(VLOOKUP(G20*1,Список_компаний!B:N,11,0),TRUE)="Да"),TRUE,ISNA(VLOOKUP(O20,_icompindex,1,FALSE)))</f>
        <v>1</v>
      </c>
      <c r="Q20" s="2302" t="b">
        <f>IF(AND(IFERROR(VLOOKUP(H20*1,Список_компаний!C:F,4,0),TRUE)="Да",IFERROR(VLOOKUP(H20*1,Список_компаний!C:N,10,0),TRUE)=""),FALSE,TRUE)</f>
        <v>1</v>
      </c>
      <c r="R20" s="2300" t="b">
        <f t="shared" si="0"/>
        <v>1</v>
      </c>
      <c r="S20" s="2300" t="b">
        <f>ABS(SUMIFS(I:I,C:C,LEFT(C20,12) &amp; "*",D:D,D20,E:E,E20)-SUMIFS('90'!I:I,'90'!C:C,LEFT(C20,12) &amp; "*",'90'!G:G,D20,'90'!H:H,E20,'90'!F:F,"{1} Внутренний рынок")-SUMIFS('90'!J:J,'90'!C:C,LEFT(C20,12) &amp; "*",'90'!G:G,D20,'90'!H:H,E20,'90'!F:F,"{1} Внутренний рынок"))&lt;=5</f>
        <v>1</v>
      </c>
      <c r="T20" s="2300" t="b">
        <f>IF(AND(G20&lt;&gt;"",H20&lt;&gt;""),IF(ISNA(VLOOKUP(G20,Список_компаний!$B$3:$C$6,1,0)),TRUE,VLOOKUP(G20,Список_компаний!$B$3:$C$6,2,0)=VALUE(H20)),TRUE)</f>
        <v>1</v>
      </c>
      <c r="U20" s="2300" t="b">
        <f t="shared" si="1"/>
        <v>1</v>
      </c>
      <c r="V20" s="2300" t="b">
        <f t="shared" si="6"/>
        <v>1</v>
      </c>
    </row>
    <row r="21" spans="1:22" ht="12.75" customHeight="1">
      <c r="A21" s="2425" t="str">
        <f t="shared" si="2"/>
        <v>R1=;R6=;R7=;R42=;R30=;R9=;R57=;R36=;R43=</v>
      </c>
      <c r="B21" s="439"/>
      <c r="C21" s="1071"/>
      <c r="D21" s="1497"/>
      <c r="E21" s="2269"/>
      <c r="F21" s="2269"/>
      <c r="G21" s="2269"/>
      <c r="H21" s="2285"/>
      <c r="I21" s="863"/>
      <c r="J21" s="3345"/>
      <c r="K21" s="3346"/>
      <c r="M21" s="2300" t="str">
        <f t="shared" ca="1" si="3"/>
        <v/>
      </c>
      <c r="N21" s="2489">
        <f t="shared" si="4"/>
        <v>0</v>
      </c>
      <c r="O21" s="196">
        <f t="shared" si="5"/>
        <v>0</v>
      </c>
      <c r="P21" s="2302" t="b">
        <f xml:space="preserve"> IF(OR(O21=7704765961,O21=5256065824,O21=7703197508,IFERROR(VLOOKUP(G21*1,Список_компаний!B:N,11,0),TRUE)="Да"),TRUE,ISNA(VLOOKUP(O21,_icompindex,1,FALSE)))</f>
        <v>1</v>
      </c>
      <c r="Q21" s="2302" t="b">
        <f>IF(AND(IFERROR(VLOOKUP(H21*1,Список_компаний!C:F,4,0),TRUE)="Да",IFERROR(VLOOKUP(H21*1,Список_компаний!C:N,10,0),TRUE)=""),FALSE,TRUE)</f>
        <v>1</v>
      </c>
      <c r="R21" s="2300" t="b">
        <f t="shared" si="0"/>
        <v>1</v>
      </c>
      <c r="S21" s="2300" t="b">
        <f>ABS(SUMIFS(I:I,C:C,LEFT(C21,12) &amp; "*",D:D,D21,E:E,E21)-SUMIFS('90'!I:I,'90'!C:C,LEFT(C21,12) &amp; "*",'90'!G:G,D21,'90'!H:H,E21,'90'!F:F,"{1} Внутренний рынок")-SUMIFS('90'!J:J,'90'!C:C,LEFT(C21,12) &amp; "*",'90'!G:G,D21,'90'!H:H,E21,'90'!F:F,"{1} Внутренний рынок"))&lt;=5</f>
        <v>1</v>
      </c>
      <c r="T21" s="2300" t="b">
        <f>IF(AND(G21&lt;&gt;"",H21&lt;&gt;""),IF(ISNA(VLOOKUP(G21,Список_компаний!$B$3:$C$6,1,0)),TRUE,VLOOKUP(G21,Список_компаний!$B$3:$C$6,2,0)=VALUE(H21)),TRUE)</f>
        <v>1</v>
      </c>
      <c r="U21" s="2300" t="b">
        <f t="shared" si="1"/>
        <v>1</v>
      </c>
      <c r="V21" s="2300" t="b">
        <f t="shared" si="6"/>
        <v>1</v>
      </c>
    </row>
    <row r="22" spans="1:22" ht="12.75" customHeight="1">
      <c r="A22" s="2425" t="str">
        <f t="shared" si="2"/>
        <v>R1=;R6=;R7=;R42=;R30=;R9=;R57=;R36=;R43=</v>
      </c>
      <c r="B22" s="439"/>
      <c r="C22" s="1071"/>
      <c r="D22" s="1497"/>
      <c r="E22" s="2269"/>
      <c r="F22" s="2269"/>
      <c r="G22" s="2269"/>
      <c r="H22" s="2285"/>
      <c r="I22" s="863"/>
      <c r="J22" s="3345"/>
      <c r="K22" s="3346"/>
      <c r="M22" s="2300" t="str">
        <f t="shared" ca="1" si="3"/>
        <v/>
      </c>
      <c r="N22" s="2489">
        <f t="shared" si="4"/>
        <v>0</v>
      </c>
      <c r="O22" s="196">
        <f t="shared" si="5"/>
        <v>0</v>
      </c>
      <c r="P22" s="2302" t="b">
        <f xml:space="preserve"> IF(OR(O22=7704765961,O22=5256065824,O22=7703197508,IFERROR(VLOOKUP(G22*1,Список_компаний!B:N,11,0),TRUE)="Да"),TRUE,ISNA(VLOOKUP(O22,_icompindex,1,FALSE)))</f>
        <v>1</v>
      </c>
      <c r="Q22" s="2302" t="b">
        <f>IF(AND(IFERROR(VLOOKUP(H22*1,Список_компаний!C:F,4,0),TRUE)="Да",IFERROR(VLOOKUP(H22*1,Список_компаний!C:N,10,0),TRUE)=""),FALSE,TRUE)</f>
        <v>1</v>
      </c>
      <c r="R22" s="2300" t="b">
        <f t="shared" si="0"/>
        <v>1</v>
      </c>
      <c r="S22" s="2300" t="b">
        <f>ABS(SUMIFS(I:I,C:C,LEFT(C22,12) &amp; "*",D:D,D22,E:E,E22)-SUMIFS('90'!I:I,'90'!C:C,LEFT(C22,12) &amp; "*",'90'!G:G,D22,'90'!H:H,E22,'90'!F:F,"{1} Внутренний рынок")-SUMIFS('90'!J:J,'90'!C:C,LEFT(C22,12) &amp; "*",'90'!G:G,D22,'90'!H:H,E22,'90'!F:F,"{1} Внутренний рынок"))&lt;=5</f>
        <v>1</v>
      </c>
      <c r="T22" s="2300" t="b">
        <f>IF(AND(G22&lt;&gt;"",H22&lt;&gt;""),IF(ISNA(VLOOKUP(G22,Список_компаний!$B$3:$C$6,1,0)),TRUE,VLOOKUP(G22,Список_компаний!$B$3:$C$6,2,0)=VALUE(H22)),TRUE)</f>
        <v>1</v>
      </c>
      <c r="U22" s="2300" t="b">
        <f t="shared" si="1"/>
        <v>1</v>
      </c>
      <c r="V22" s="2300" t="b">
        <f t="shared" si="6"/>
        <v>1</v>
      </c>
    </row>
    <row r="23" spans="1:22" ht="12.75" customHeight="1">
      <c r="A23" s="2425" t="str">
        <f t="shared" si="2"/>
        <v>R1=;R6=;R7=;R42=;R30=;R9=;R57=;R36=;R43=</v>
      </c>
      <c r="B23" s="439"/>
      <c r="C23" s="1071"/>
      <c r="D23" s="1497"/>
      <c r="E23" s="2269"/>
      <c r="F23" s="2269"/>
      <c r="G23" s="2269"/>
      <c r="H23" s="2285"/>
      <c r="I23" s="863"/>
      <c r="J23" s="3345"/>
      <c r="K23" s="3346"/>
      <c r="M23" s="2300" t="str">
        <f t="shared" ca="1" si="3"/>
        <v/>
      </c>
      <c r="N23" s="2489">
        <f t="shared" ref="N23" si="8">IF(OR(G23="Внешние контрагенты",TEXT(H23,"#")="10015"),1,0)</f>
        <v>0</v>
      </c>
      <c r="O23" s="196">
        <f t="shared" ref="O23" si="9">IF(OR(IF(TEXT(LEFT(G23,1),"0")="0",TRUE,FALSE),ISERROR(G23*1)),G23,G23*1)</f>
        <v>0</v>
      </c>
      <c r="P23" s="2302" t="b">
        <f xml:space="preserve"> IF(OR(O23=7704765961,O23=5256065824,O23=7703197508,IFERROR(VLOOKUP(G23*1,Список_компаний!B:N,11,0),TRUE)="Да"),TRUE,ISNA(VLOOKUP(O23,_icompindex,1,FALSE)))</f>
        <v>1</v>
      </c>
      <c r="Q23" s="2302" t="b">
        <f>IF(AND(IFERROR(VLOOKUP(H23*1,Список_компаний!C:F,4,0),TRUE)="Да",IFERROR(VLOOKUP(H23*1,Список_компаний!C:N,10,0),TRUE)=""),FALSE,TRUE)</f>
        <v>1</v>
      </c>
      <c r="R23" s="2300" t="b">
        <f t="shared" ref="R23" si="10">IF(C23&gt;"",IF(ISNA(MATCH(J23,_6001,0)),FALSE,TRUE),TRUE)</f>
        <v>1</v>
      </c>
      <c r="S23" s="2300" t="b">
        <f>ABS(SUMIFS(I:I,C:C,LEFT(C23,12) &amp; "*",D:D,D23,E:E,E23)-SUMIFS('90'!I:I,'90'!C:C,LEFT(C23,12) &amp; "*",'90'!G:G,D23,'90'!H:H,E23,'90'!F:F,"{1} Внутренний рынок")-SUMIFS('90'!J:J,'90'!C:C,LEFT(C23,12) &amp; "*",'90'!G:G,D23,'90'!H:H,E23,'90'!F:F,"{1} Внутренний рынок"))&lt;=5</f>
        <v>1</v>
      </c>
      <c r="T23" s="2300" t="b">
        <f>IF(AND(G23&lt;&gt;"",H23&lt;&gt;""),IF(ISNA(VLOOKUP(G23,Список_компаний!$B$3:$C$6,1,0)),TRUE,VLOOKUP(G23,Список_компаний!$B$3:$C$6,2,0)=VALUE(H23)),TRUE)</f>
        <v>1</v>
      </c>
      <c r="U23" s="2300" t="b">
        <f t="shared" ref="U23" si="11">IF(C23="",K23="",NOT(ISERROR(VLOOKUP(K23,_2310_,1,0))))</f>
        <v>1</v>
      </c>
      <c r="V23" s="2300" t="b">
        <f t="shared" si="6"/>
        <v>1</v>
      </c>
    </row>
    <row r="24" spans="1:22" ht="12.75" customHeight="1">
      <c r="A24" s="2425" t="str">
        <f t="shared" si="2"/>
        <v>R1=;R6=;R7=;R42=;R30=;R9=;R57=;R36=;R43=</v>
      </c>
      <c r="B24" s="439"/>
      <c r="C24" s="1071"/>
      <c r="D24" s="1497"/>
      <c r="E24" s="2269"/>
      <c r="F24" s="2269"/>
      <c r="G24" s="2269"/>
      <c r="H24" s="2285"/>
      <c r="I24" s="863"/>
      <c r="J24" s="3345"/>
      <c r="K24" s="3346"/>
      <c r="M24" s="2300" t="str">
        <f t="shared" ref="M24" ca="1" si="12">IF(IFERROR(VLOOKUP(J24,INDIRECT($J$5),1,FALSE),FALSE)=FALSE,IF(J24="","",FALSE),"")</f>
        <v/>
      </c>
      <c r="N24" s="2489">
        <f t="shared" ref="N24" si="13">IF(OR(G24="Внешние контрагенты",TEXT(H24,"#")="10015"),1,0)</f>
        <v>0</v>
      </c>
      <c r="O24" s="196">
        <f t="shared" ref="O24" si="14">IF(OR(IF(TEXT(LEFT(G24,1),"0")="0",TRUE,FALSE),ISERROR(G24*1)),G24,G24*1)</f>
        <v>0</v>
      </c>
      <c r="P24" s="2302" t="b">
        <f xml:space="preserve"> IF(OR(O24=7704765961,O24=5256065824,O24=7703197508,IFERROR(VLOOKUP(G24*1,Список_компаний!B:N,11,0),TRUE)="Да"),TRUE,ISNA(VLOOKUP(O24,_icompindex,1,FALSE)))</f>
        <v>1</v>
      </c>
      <c r="Q24" s="2302" t="b">
        <f>IF(AND(IFERROR(VLOOKUP(H24*1,Список_компаний!C:F,4,0),TRUE)="Да",IFERROR(VLOOKUP(H24*1,Список_компаний!C:N,10,0),TRUE)=""),FALSE,TRUE)</f>
        <v>1</v>
      </c>
      <c r="R24" s="2300" t="b">
        <f t="shared" ref="R24" si="15">IF(C24&gt;"",IF(ISNA(MATCH(J24,_6001,0)),FALSE,TRUE),TRUE)</f>
        <v>1</v>
      </c>
      <c r="S24" s="2300" t="b">
        <f>ABS(SUMIFS(I:I,C:C,LEFT(C24,12) &amp; "*",D:D,D24,E:E,E24)-SUMIFS('90'!I:I,'90'!C:C,LEFT(C24,12) &amp; "*",'90'!G:G,D24,'90'!H:H,E24,'90'!F:F,"{1} Внутренний рынок")-SUMIFS('90'!J:J,'90'!C:C,LEFT(C24,12) &amp; "*",'90'!G:G,D24,'90'!H:H,E24,'90'!F:F,"{1} Внутренний рынок"))&lt;=5</f>
        <v>1</v>
      </c>
      <c r="T24" s="2300" t="b">
        <f>IF(AND(G24&lt;&gt;"",H24&lt;&gt;""),IF(ISNA(VLOOKUP(G24,Список_компаний!$B$3:$C$6,1,0)),TRUE,VLOOKUP(G24,Список_компаний!$B$3:$C$6,2,0)=VALUE(H24)),TRUE)</f>
        <v>1</v>
      </c>
      <c r="U24" s="2300" t="b">
        <f t="shared" ref="U24" si="16">IF(C24="",K24="",NOT(ISERROR(VLOOKUP(K24,_2310_,1,0))))</f>
        <v>1</v>
      </c>
      <c r="V24" s="2300" t="b">
        <f t="shared" si="6"/>
        <v>1</v>
      </c>
    </row>
    <row r="25" spans="1:22" ht="12.75" customHeight="1" thickBot="1">
      <c r="A25" s="2425" t="str">
        <f t="shared" si="2"/>
        <v>R1=;R6=;R7=;R42=;R30=;R9=;R57=;R36=;R43=</v>
      </c>
      <c r="B25" s="439"/>
      <c r="C25" s="1287"/>
      <c r="D25" s="1551"/>
      <c r="E25" s="3199"/>
      <c r="F25" s="3199"/>
      <c r="G25" s="3200"/>
      <c r="H25" s="3201"/>
      <c r="I25" s="3202"/>
      <c r="J25" s="3388"/>
      <c r="K25" s="3349"/>
      <c r="M25" s="2300" t="str">
        <f t="shared" ref="M25" ca="1" si="17">IF(IFERROR(VLOOKUP(J25,INDIRECT($J$5),1,FALSE),FALSE)=FALSE,IF(J25="","",FALSE),"")</f>
        <v/>
      </c>
      <c r="N25" s="2489">
        <f t="shared" ref="N25" si="18">IF(OR(G25="Внешние контрагенты",TEXT(H25,"#")="10015"),1,0)</f>
        <v>0</v>
      </c>
      <c r="O25" s="196">
        <f t="shared" ref="O25" si="19">IF(OR(IF(TEXT(LEFT(G25,1),"0")="0",TRUE,FALSE),ISERROR(G25*1)),G25,G25*1)</f>
        <v>0</v>
      </c>
      <c r="P25" s="2302" t="b">
        <f xml:space="preserve"> IF(OR(O25=7704765961,O25=5256065824,O25=7703197508,IFERROR(VLOOKUP(G25*1,Список_компаний!B:N,11,0),TRUE)="Да"),TRUE,ISNA(VLOOKUP(O25,_icompindex,1,FALSE)))</f>
        <v>1</v>
      </c>
      <c r="Q25" s="2302" t="b">
        <f>IF(AND(IFERROR(VLOOKUP(H25*1,Список_компаний!C:F,4,0),TRUE)="Да",IFERROR(VLOOKUP(H25*1,Список_компаний!C:N,10,0),TRUE)=""),FALSE,TRUE)</f>
        <v>1</v>
      </c>
      <c r="R25" s="2300" t="b">
        <f t="shared" ref="R25" si="20">IF(C25&gt;"",IF(ISNA(MATCH(J25,_6001,0)),FALSE,TRUE),TRUE)</f>
        <v>1</v>
      </c>
      <c r="S25" s="2300" t="b">
        <f>ABS(SUMIFS(I:I,C:C,LEFT(C25,12) &amp; "*",D:D,D25,E:E,E25)-SUMIFS('90'!I:I,'90'!C:C,LEFT(C25,12) &amp; "*",'90'!G:G,D25,'90'!H:H,E25,'90'!F:F,"{1} Внутренний рынок")-SUMIFS('90'!J:J,'90'!C:C,LEFT(C25,12) &amp; "*",'90'!G:G,D25,'90'!H:H,E25,'90'!F:F,"{1} Внутренний рынок"))&lt;=5</f>
        <v>1</v>
      </c>
      <c r="T25" s="2300" t="b">
        <f>IF(AND(G25&lt;&gt;"",H25&lt;&gt;""),IF(ISNA(VLOOKUP(G25,Список_компаний!$B$3:$C$6,1,0)),TRUE,VLOOKUP(G25,Список_компаний!$B$3:$C$6,2,0)=VALUE(H25)),TRUE)</f>
        <v>1</v>
      </c>
      <c r="U25" s="2300" t="b">
        <f t="shared" ref="U25" si="21">IF(C25="",K25="",NOT(ISERROR(VLOOKUP(K25,_2310_,1,0))))</f>
        <v>1</v>
      </c>
      <c r="V25" s="2300" t="b">
        <f>IF(I25&lt;&gt;"",D25&lt;&gt;"",TRUE)</f>
        <v>1</v>
      </c>
    </row>
    <row r="26" spans="1:22" ht="12.5">
      <c r="A26" s="538"/>
    </row>
    <row r="27" spans="1:22" ht="12.5">
      <c r="A27" s="538"/>
    </row>
    <row r="28" spans="1:22" ht="12.5">
      <c r="A28" s="538"/>
    </row>
    <row r="29" spans="1:22" ht="12.5">
      <c r="A29" s="538"/>
    </row>
    <row r="30" spans="1:22" ht="12.5">
      <c r="A30" s="538"/>
    </row>
    <row r="31" spans="1:22" ht="12.5">
      <c r="A31" s="538"/>
    </row>
    <row r="32" spans="1:22" ht="12.5">
      <c r="A32" s="538"/>
    </row>
    <row r="33" spans="1:1" ht="12.5">
      <c r="A33" s="538"/>
    </row>
    <row r="34" spans="1:1" ht="12.5">
      <c r="A34" s="538"/>
    </row>
    <row r="35" spans="1:1" ht="12.5">
      <c r="A35" s="538"/>
    </row>
    <row r="36" spans="1:1" ht="12.5">
      <c r="A36" s="538"/>
    </row>
    <row r="37" spans="1:1" ht="12.5">
      <c r="A37" s="538"/>
    </row>
    <row r="38" spans="1:1" ht="12.5">
      <c r="A38" s="538"/>
    </row>
    <row r="39" spans="1:1" ht="12.5">
      <c r="A39" s="538"/>
    </row>
    <row r="40" spans="1:1" ht="12.5">
      <c r="A40" s="538"/>
    </row>
    <row r="41" spans="1:1" ht="12.5">
      <c r="A41" s="538"/>
    </row>
    <row r="42" spans="1:1" ht="12.5">
      <c r="A42" s="538"/>
    </row>
    <row r="43" spans="1:1" ht="12.5">
      <c r="A43" s="538"/>
    </row>
    <row r="44" spans="1:1" ht="12.5">
      <c r="A44" s="538"/>
    </row>
    <row r="45" spans="1:1" ht="12.5">
      <c r="A45" s="538"/>
    </row>
    <row r="46" spans="1:1" ht="12.5">
      <c r="A46" s="538"/>
    </row>
  </sheetData>
  <sheetProtection algorithmName="SHA-512" hashValue="fI1errpmQFEPIl7PsBtOPPGVkFFU9iFm2lFCAG9GgaW+D3nAoOePOBWRyBQXOaZdR9c9cZJL5ofoxqvuoYGR3Q==" saltValue="SjTIlLer8KN8GUODwV2o4Q==" spinCount="100000" sheet="1" objects="1" scenarios="1" formatColumns="0" formatRows="0" autoFilter="0"/>
  <autoFilter ref="C8:K25"/>
  <customSheetViews>
    <customSheetView guid="{3769259D-9653-4B34-A2F6-4FB6F9F4E533}" showGridLines="0" showAutoFilter="1" hiddenRows="1" hiddenColumns="1">
      <pane xSplit="4" ySplit="8" topLeftCell="E10" activePane="bottomRight" state="frozen"/>
      <selection pane="bottomRight" activeCell="D39" sqref="D39"/>
      <pageMargins left="0.7" right="0.7" top="0.75" bottom="0.75" header="0.3" footer="0.3"/>
      <pageSetup paperSize="9" orientation="portrait" r:id="rId1"/>
      <autoFilter ref="B1:F1"/>
    </customSheetView>
    <customSheetView guid="{40D7A2BB-326C-4ED3-999C-17852F56D6F4}" showGridLines="0" showAutoFilter="1" hiddenRows="1" hiddenColumns="1">
      <pane xSplit="4" ySplit="8" topLeftCell="E10" activePane="bottomRight" state="frozen"/>
      <selection pane="bottomRight" activeCell="D39" sqref="D39"/>
      <pageMargins left="0.7" right="0.7" top="0.75" bottom="0.75" header="0.3" footer="0.3"/>
      <pageSetup paperSize="9" orientation="portrait" r:id="rId2"/>
      <autoFilter ref="B1:F1"/>
    </customSheetView>
    <customSheetView guid="{5D121940-0CE8-4A0E-A493-67FAAA6E0FF8}" showGridLines="0" showAutoFilter="1" hiddenRows="1" hiddenColumns="1" topLeftCell="B2">
      <pane xSplit="3" ySplit="7" topLeftCell="E9" activePane="bottomRight" state="frozen"/>
      <selection pane="bottomRight" activeCell="C7" sqref="C7"/>
      <pageMargins left="0.7" right="0.7" top="0.75" bottom="0.75" header="0.3" footer="0.3"/>
      <pageSetup paperSize="9" orientation="portrait" r:id="rId3"/>
      <autoFilter ref="B1:F1"/>
    </customSheetView>
    <customSheetView guid="{47AEACC4-6EA5-412C-AF39-A6C5357B313A}" showGridLines="0" showAutoFilter="1" hiddenRows="1" hiddenColumns="1" topLeftCell="B2">
      <pane xSplit="3" ySplit="7" topLeftCell="E9" activePane="bottomRight" state="frozen"/>
      <selection pane="bottomRight" activeCell="C8" sqref="C8:G8"/>
      <pageMargins left="0.7" right="0.7" top="0.75" bottom="0.75" header="0.3" footer="0.3"/>
      <pageSetup paperSize="9" orientation="portrait" r:id="rId4"/>
      <autoFilter ref="B1:F1"/>
    </customSheetView>
    <customSheetView guid="{C913A9E8-661B-40A4-A3C9-1BC5F2B2E9F0}" showGridLines="0" showAutoFilter="1" hiddenRows="1" hiddenColumns="1" topLeftCell="B2">
      <pane xSplit="3" ySplit="7" topLeftCell="E9" activePane="bottomRight" state="frozen"/>
      <selection pane="bottomRight" activeCell="C7" sqref="C7"/>
      <pageMargins left="0.7" right="0.7" top="0.75" bottom="0.75" header="0.3" footer="0.3"/>
      <pageSetup paperSize="9" orientation="portrait" r:id="rId5"/>
      <autoFilter ref="B1:F1"/>
    </customSheetView>
  </customSheetViews>
  <mergeCells count="2">
    <mergeCell ref="N6:N7"/>
    <mergeCell ref="Z6:Z7"/>
  </mergeCells>
  <phoneticPr fontId="0" type="noConversion"/>
  <dataValidations count="7">
    <dataValidation type="list" operator="equal" allowBlank="1" showErrorMessage="1" errorTitle="Выбор элемента списка" error="Данного элемента нет в списке" sqref="C65046:E65506">
      <formula1>_2140_2141_</formula1>
    </dataValidation>
    <dataValidation operator="equal" allowBlank="1" showErrorMessage="1" errorTitle="Ошибка" error="Вы должны ввести целое число" sqref="B65029:I65029">
      <formula1>0</formula1>
      <formula2>0</formula2>
    </dataValidation>
    <dataValidation type="list" operator="equal" allowBlank="1" showErrorMessage="1" errorTitle="Выбор элемента списка" error="Данного элемента нет в списке" sqref="C12:C25">
      <formula1>_2145</formula1>
    </dataValidation>
    <dataValidation type="list" operator="equal" allowBlank="1" showErrorMessage="1" errorTitle="Выбор элемента списка" error="Данного элемента нет в списке" sqref="D12:D25">
      <formula1>_1010</formula1>
    </dataValidation>
    <dataValidation type="list" operator="equal" allowBlank="1" showErrorMessage="1" errorTitle="Выбор элемента списка" error="Данного элемента нет в списке" sqref="E12:E25">
      <formula1>_6003</formula1>
    </dataValidation>
    <dataValidation type="list" allowBlank="1" showInputMessage="1" showErrorMessage="1" sqref="K12:K25">
      <formula1>IF(RIGHT(LEFT(C12,5),1)="1",_2310_товары,_2310_услуги)</formula1>
    </dataValidation>
    <dataValidation type="list" allowBlank="1" showInputMessage="1" showErrorMessage="1" sqref="J12:J25">
      <formula1>_6001_</formula1>
    </dataValidation>
  </dataValidations>
  <hyperlinks>
    <hyperlink ref="I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7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9" name="Button 1">
              <controlPr defaultSize="0" print="0" autoFill="0" autoPict="0" macro="[0]!AddButtonsRowAdd">
                <anchor moveWithCells="1">
                  <from>
                    <xdr:col>8</xdr:col>
                    <xdr:colOff>298450</xdr:colOff>
                    <xdr:row>2</xdr:row>
                    <xdr:rowOff>0</xdr:rowOff>
                  </from>
                  <to>
                    <xdr:col>9</xdr:col>
                    <xdr:colOff>336550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pageSetUpPr fitToPage="1"/>
  </sheetPr>
  <dimension ref="A1:BX66"/>
  <sheetViews>
    <sheetView topLeftCell="E8" zoomScale="85" zoomScaleNormal="85" workbookViewId="0">
      <selection activeCell="K35" sqref="K35"/>
    </sheetView>
  </sheetViews>
  <sheetFormatPr defaultColWidth="9.453125" defaultRowHeight="14.5"/>
  <cols>
    <col min="1" max="1" width="12.81640625" style="1163" hidden="1" customWidth="1"/>
    <col min="2" max="2" width="4.1796875" style="24" customWidth="1"/>
    <col min="3" max="3" width="78.453125" style="24" customWidth="1"/>
    <col min="4" max="4" width="43.453125" style="24" customWidth="1"/>
    <col min="5" max="5" width="31" style="24" customWidth="1"/>
    <col min="6" max="6" width="24.453125" style="24" customWidth="1"/>
    <col min="7" max="7" width="28.453125" style="24" customWidth="1"/>
    <col min="8" max="9" width="20.453125" style="24" customWidth="1"/>
    <col min="10" max="10" width="20.453125" style="24" hidden="1" customWidth="1"/>
    <col min="11" max="11" width="32.54296875" style="24" customWidth="1"/>
    <col min="12" max="12" width="12.54296875" style="24" customWidth="1"/>
    <col min="13" max="13" width="12.453125" style="24" customWidth="1"/>
    <col min="14" max="14" width="15.453125" style="24" customWidth="1"/>
    <col min="15" max="15" width="19.54296875" style="24" customWidth="1"/>
    <col min="16" max="16" width="12.453125" style="24" customWidth="1"/>
    <col min="17" max="17" width="54.453125" style="24" customWidth="1"/>
    <col min="18" max="19" width="12.54296875" style="24" customWidth="1"/>
    <col min="20" max="20" width="18.453125" style="24" customWidth="1"/>
    <col min="21" max="27" width="9.453125" style="24"/>
    <col min="28" max="28" width="19.54296875" style="24" customWidth="1"/>
    <col min="29" max="36" width="9.453125" style="24"/>
    <col min="37" max="37" width="8.54296875" style="24" customWidth="1"/>
    <col min="38" max="58" width="9.453125" style="24"/>
    <col min="59" max="59" width="14.453125" style="24" bestFit="1" customWidth="1"/>
    <col min="60" max="61" width="9.453125" style="24"/>
    <col min="62" max="62" width="15.81640625" style="24" customWidth="1"/>
    <col min="63" max="63" width="13.1796875" style="24" bestFit="1" customWidth="1"/>
    <col min="64" max="72" width="9.453125" style="24"/>
    <col min="73" max="73" width="9.453125" style="24" customWidth="1"/>
    <col min="75" max="75" width="9.453125" style="24"/>
    <col min="77" max="16384" width="9.453125" style="24"/>
  </cols>
  <sheetData>
    <row r="1" spans="1:76" s="1163" customFormat="1" ht="32.25" hidden="1" customHeight="1">
      <c r="A1" s="23" t="s">
        <v>3525</v>
      </c>
      <c r="B1" s="6"/>
      <c r="C1" s="37"/>
      <c r="D1" s="37"/>
      <c r="E1" s="37"/>
      <c r="F1" s="37"/>
      <c r="G1" s="37"/>
      <c r="H1" s="6" t="s">
        <v>574</v>
      </c>
      <c r="I1" s="37"/>
      <c r="J1" s="37"/>
      <c r="K1" s="37"/>
      <c r="L1" s="6"/>
      <c r="M1" s="6"/>
      <c r="N1" s="6"/>
      <c r="O1" s="2438"/>
      <c r="R1" s="6"/>
      <c r="Y1" s="2830"/>
      <c r="AK1" s="2422"/>
      <c r="BG1" s="2830"/>
      <c r="BH1" s="2830"/>
      <c r="BI1" s="2830"/>
      <c r="BJ1" s="2830"/>
      <c r="BK1" s="2830"/>
      <c r="BL1" s="2830"/>
      <c r="BM1" s="2830"/>
      <c r="BN1" s="2830"/>
      <c r="BO1" s="2830"/>
      <c r="BP1" s="2830"/>
      <c r="BS1" s="2830"/>
    </row>
    <row r="2" spans="1:76" s="749" customFormat="1" ht="12.5">
      <c r="A2" s="7"/>
      <c r="H2" s="749" t="s">
        <v>1648</v>
      </c>
    </row>
    <row r="3" spans="1:76" s="749" customFormat="1">
      <c r="A3" s="7"/>
      <c r="L3" s="3044" t="s">
        <v>1436</v>
      </c>
    </row>
    <row r="4" spans="1:76" s="749" customFormat="1" ht="12.5">
      <c r="A4" s="7"/>
    </row>
    <row r="5" spans="1:76" s="749" customFormat="1" ht="12.5">
      <c r="A5" s="7"/>
      <c r="I5" s="749" t="str">
        <f>IF(OR(I6="Атомфонд",I6="Атомгарант",),_2240_9220_Д,_2240_Доходы)</f>
        <v>{1020000} Доходы от совместной деятельности</v>
      </c>
    </row>
    <row r="6" spans="1:76" ht="26">
      <c r="A6" s="9"/>
      <c r="H6" s="1897" t="s">
        <v>2067</v>
      </c>
      <c r="I6" s="2219">
        <f>Содержание!$D$2</f>
        <v>0</v>
      </c>
      <c r="J6" s="749"/>
      <c r="K6" s="749"/>
    </row>
    <row r="7" spans="1:76">
      <c r="A7" s="9"/>
      <c r="B7" s="105"/>
      <c r="C7" s="105" t="s">
        <v>3202</v>
      </c>
      <c r="D7"/>
      <c r="E7" s="2379"/>
      <c r="F7" s="2379"/>
      <c r="G7" s="2379"/>
      <c r="H7" s="1897" t="s">
        <v>2075</v>
      </c>
      <c r="I7" s="2219" t="str">
        <f>Содержание!$D$15</f>
        <v>2022 год</v>
      </c>
      <c r="J7" s="749"/>
      <c r="K7" s="749"/>
      <c r="L7" s="286"/>
      <c r="AB7" s="2109" t="s">
        <v>7708</v>
      </c>
    </row>
    <row r="8" spans="1:76" ht="33.75" customHeight="1" thickBot="1">
      <c r="A8" s="9"/>
      <c r="C8"/>
      <c r="D8" s="2830" t="b">
        <f t="array" ref="D8">IF(SMALL(IF(""=C36:C2702,ROW(C36:C2702),2700),1)&gt;LARGE(IF(""&lt;&gt;C36:C2702,ROW(C36:C2702),0),1),TRUE,FALSE)</f>
        <v>1</v>
      </c>
      <c r="E8" s="1202"/>
      <c r="F8" s="1202"/>
      <c r="G8" s="1202"/>
      <c r="H8" s="173"/>
      <c r="I8" s="173"/>
      <c r="J8" s="749"/>
      <c r="K8" s="749"/>
      <c r="L8" s="173"/>
      <c r="M8" s="173"/>
      <c r="AA8" s="2109" t="s">
        <v>7709</v>
      </c>
      <c r="AB8" s="2687" t="b">
        <f>ABS('60,62,63,76_контр'!$AE$10+SUM(AB31:AB32)+'84_расш'!N8)&lt;5</f>
        <v>1</v>
      </c>
    </row>
    <row r="9" spans="1:76" ht="48.75" customHeight="1">
      <c r="A9" s="9"/>
      <c r="C9" s="2678" t="s">
        <v>3203</v>
      </c>
      <c r="D9" s="2677" t="s">
        <v>3204</v>
      </c>
      <c r="E9" s="2685" t="s">
        <v>5167</v>
      </c>
      <c r="F9" s="2685" t="s">
        <v>3198</v>
      </c>
      <c r="G9" s="2679" t="s">
        <v>8394</v>
      </c>
      <c r="H9" s="2677" t="s">
        <v>3205</v>
      </c>
      <c r="I9" s="3832" t="s">
        <v>4183</v>
      </c>
      <c r="J9" s="749"/>
      <c r="K9" s="749"/>
      <c r="T9" s="2893" t="s">
        <v>8596</v>
      </c>
      <c r="AA9" s="2109" t="s">
        <v>7710</v>
      </c>
      <c r="AB9" s="2687" t="b">
        <f>ABS('60,62,63,76_контр'!$AG$10+SUM(AB33:AB34)+'84_расш'!O8)-SUMIF(Прочие_расш!$H$34:$H$29555,"{2220100} Расходы на резервы по сомнительной задолженности",Прочие_расш!$J$34:$J$29555)&lt;=5</f>
        <v>1</v>
      </c>
    </row>
    <row r="10" spans="1:76">
      <c r="A10" s="9"/>
      <c r="C10" s="99" t="s">
        <v>4120</v>
      </c>
      <c r="D10" s="15" t="s">
        <v>1843</v>
      </c>
      <c r="E10" s="594" t="s">
        <v>5247</v>
      </c>
      <c r="F10" s="594" t="s">
        <v>5247</v>
      </c>
      <c r="G10" s="594" t="s">
        <v>5247</v>
      </c>
      <c r="H10" s="15" t="s">
        <v>4624</v>
      </c>
      <c r="I10" s="3833"/>
      <c r="J10" s="749"/>
      <c r="K10" s="749"/>
    </row>
    <row r="11" spans="1:76" hidden="1">
      <c r="A11" s="2427"/>
      <c r="C11" s="294" t="s">
        <v>14535</v>
      </c>
      <c r="D11" s="198"/>
      <c r="E11" s="2382"/>
      <c r="F11" s="2382"/>
      <c r="G11" s="2382"/>
      <c r="H11" s="184">
        <f>SUMIF($C$36:$C$30988,C11,$H$36:$H$30988)</f>
        <v>0</v>
      </c>
      <c r="I11" s="199"/>
      <c r="J11" s="749"/>
      <c r="K11" s="749"/>
      <c r="BV11" s="3459"/>
      <c r="BX11" s="3459"/>
    </row>
    <row r="12" spans="1:76" hidden="1">
      <c r="A12" s="2427"/>
      <c r="C12" s="294" t="s">
        <v>14536</v>
      </c>
      <c r="D12" s="198"/>
      <c r="E12" s="2382"/>
      <c r="F12" s="2382"/>
      <c r="G12" s="2382"/>
      <c r="H12" s="184">
        <f>SUMIF($C$36:$C$30988,C12,$H$36:$H$30988)</f>
        <v>0</v>
      </c>
      <c r="I12" s="199"/>
      <c r="J12" s="749"/>
      <c r="K12" s="749"/>
      <c r="BV12" s="3459"/>
      <c r="BX12" s="3459"/>
    </row>
    <row r="13" spans="1:76" hidden="1">
      <c r="A13" s="9"/>
      <c r="C13" s="294" t="s">
        <v>5480</v>
      </c>
      <c r="D13" s="198"/>
      <c r="E13" s="2382"/>
      <c r="F13" s="2382"/>
      <c r="G13" s="2382"/>
      <c r="H13" s="184">
        <f>SUMIF($C$36:$C$30988,C13,$H$36:$H$30988)</f>
        <v>0</v>
      </c>
      <c r="I13" s="199"/>
      <c r="J13" s="749"/>
      <c r="K13" s="749"/>
    </row>
    <row r="14" spans="1:76" hidden="1">
      <c r="A14" s="9"/>
      <c r="C14" s="294" t="s">
        <v>4686</v>
      </c>
      <c r="D14" s="198"/>
      <c r="E14" s="2382"/>
      <c r="F14" s="2382"/>
      <c r="G14" s="2382"/>
      <c r="H14" s="184">
        <f t="shared" ref="H14:H28" si="0">SUMIF($C$36:$C$30988,C14,$H$36:$H$30988)</f>
        <v>0</v>
      </c>
      <c r="I14" s="199"/>
      <c r="J14" s="749"/>
      <c r="K14" s="749"/>
    </row>
    <row r="15" spans="1:76" hidden="1">
      <c r="A15" s="9"/>
      <c r="C15" s="294" t="s">
        <v>4687</v>
      </c>
      <c r="D15" s="198"/>
      <c r="E15" s="2382"/>
      <c r="F15" s="2382"/>
      <c r="G15" s="2382"/>
      <c r="H15" s="184">
        <f t="shared" si="0"/>
        <v>0</v>
      </c>
      <c r="I15" s="199"/>
      <c r="J15" s="749"/>
      <c r="K15" s="749"/>
    </row>
    <row r="16" spans="1:76" hidden="1">
      <c r="A16" s="9"/>
      <c r="C16" s="294" t="s">
        <v>4688</v>
      </c>
      <c r="D16" s="198"/>
      <c r="E16" s="2382"/>
      <c r="F16" s="2382"/>
      <c r="G16" s="2382"/>
      <c r="H16" s="184">
        <f t="shared" si="0"/>
        <v>0</v>
      </c>
      <c r="I16" s="199"/>
      <c r="J16" s="749"/>
      <c r="K16" s="749"/>
    </row>
    <row r="17" spans="1:76" hidden="1">
      <c r="A17" s="9"/>
      <c r="C17" s="294" t="s">
        <v>4689</v>
      </c>
      <c r="D17" s="198"/>
      <c r="E17" s="2382"/>
      <c r="F17" s="2382"/>
      <c r="G17" s="2382"/>
      <c r="H17" s="184">
        <f t="shared" si="0"/>
        <v>0</v>
      </c>
      <c r="I17" s="199"/>
      <c r="J17" s="749"/>
      <c r="K17" s="749"/>
    </row>
    <row r="18" spans="1:76" hidden="1">
      <c r="A18" s="9"/>
      <c r="C18" s="294" t="s">
        <v>4690</v>
      </c>
      <c r="D18" s="198"/>
      <c r="E18" s="2382"/>
      <c r="F18" s="2382"/>
      <c r="G18" s="2382"/>
      <c r="H18" s="184">
        <f t="shared" si="0"/>
        <v>0</v>
      </c>
      <c r="I18" s="199"/>
      <c r="J18" s="749"/>
      <c r="K18" s="749"/>
    </row>
    <row r="19" spans="1:76" hidden="1">
      <c r="A19" s="9"/>
      <c r="C19" s="294" t="s">
        <v>4691</v>
      </c>
      <c r="D19" s="198"/>
      <c r="E19" s="2382"/>
      <c r="F19" s="2382"/>
      <c r="G19" s="2382"/>
      <c r="H19" s="184">
        <f t="shared" si="0"/>
        <v>0</v>
      </c>
      <c r="I19" s="199"/>
      <c r="J19" s="749"/>
      <c r="K19" s="749"/>
    </row>
    <row r="20" spans="1:76" hidden="1">
      <c r="A20" s="9"/>
      <c r="C20" s="294" t="s">
        <v>4692</v>
      </c>
      <c r="D20" s="198"/>
      <c r="E20" s="2382"/>
      <c r="F20" s="2382"/>
      <c r="G20" s="2382"/>
      <c r="H20" s="184">
        <f t="shared" si="0"/>
        <v>0</v>
      </c>
      <c r="I20" s="199"/>
      <c r="J20" s="749"/>
      <c r="K20" s="749"/>
    </row>
    <row r="21" spans="1:76" hidden="1">
      <c r="A21" s="9"/>
      <c r="C21" s="294" t="s">
        <v>4693</v>
      </c>
      <c r="D21" s="198"/>
      <c r="E21" s="2382"/>
      <c r="F21" s="2382"/>
      <c r="G21" s="2382"/>
      <c r="H21" s="184">
        <f t="shared" si="0"/>
        <v>0</v>
      </c>
      <c r="I21" s="199"/>
      <c r="J21" s="749"/>
      <c r="K21" s="749"/>
    </row>
    <row r="22" spans="1:76" hidden="1">
      <c r="A22" s="9"/>
      <c r="C22" s="294" t="s">
        <v>4694</v>
      </c>
      <c r="D22" s="198"/>
      <c r="E22" s="2382"/>
      <c r="F22" s="2382"/>
      <c r="G22" s="2382"/>
      <c r="H22" s="184">
        <f t="shared" si="0"/>
        <v>0</v>
      </c>
      <c r="I22" s="199"/>
      <c r="J22" s="749"/>
      <c r="K22" s="749"/>
    </row>
    <row r="23" spans="1:76" hidden="1">
      <c r="A23" s="9"/>
      <c r="C23" s="294" t="s">
        <v>4695</v>
      </c>
      <c r="D23" s="198"/>
      <c r="E23" s="2382"/>
      <c r="F23" s="2382"/>
      <c r="G23" s="2382"/>
      <c r="H23" s="184">
        <f t="shared" si="0"/>
        <v>0</v>
      </c>
      <c r="I23" s="199"/>
      <c r="J23" s="749"/>
      <c r="K23" s="749"/>
    </row>
    <row r="24" spans="1:76" hidden="1">
      <c r="A24" s="9"/>
      <c r="C24" s="294" t="s">
        <v>4696</v>
      </c>
      <c r="D24" s="198"/>
      <c r="E24" s="2382"/>
      <c r="F24" s="2382"/>
      <c r="G24" s="2382"/>
      <c r="H24" s="184">
        <f t="shared" si="0"/>
        <v>0</v>
      </c>
      <c r="I24" s="199"/>
      <c r="J24" s="749"/>
      <c r="K24" s="749"/>
    </row>
    <row r="25" spans="1:76" hidden="1">
      <c r="A25" s="9"/>
      <c r="C25" s="294" t="s">
        <v>4697</v>
      </c>
      <c r="D25" s="198"/>
      <c r="E25" s="2382"/>
      <c r="F25" s="2382"/>
      <c r="G25" s="2382"/>
      <c r="H25" s="184">
        <f t="shared" si="0"/>
        <v>0</v>
      </c>
      <c r="I25" s="199"/>
      <c r="J25" s="749"/>
      <c r="K25" s="749"/>
    </row>
    <row r="26" spans="1:76" hidden="1">
      <c r="A26" s="9"/>
      <c r="C26" s="294" t="s">
        <v>4698</v>
      </c>
      <c r="D26" s="198"/>
      <c r="E26" s="2382"/>
      <c r="F26" s="2382"/>
      <c r="G26" s="2382"/>
      <c r="H26" s="184">
        <f t="shared" si="0"/>
        <v>0</v>
      </c>
      <c r="I26" s="199"/>
      <c r="J26" s="749"/>
      <c r="K26" s="749"/>
    </row>
    <row r="27" spans="1:76" hidden="1">
      <c r="A27" s="9"/>
      <c r="C27" s="294" t="s">
        <v>4699</v>
      </c>
      <c r="D27" s="198"/>
      <c r="E27" s="2382"/>
      <c r="F27" s="2382"/>
      <c r="G27" s="2382"/>
      <c r="H27" s="184">
        <f t="shared" si="0"/>
        <v>0</v>
      </c>
      <c r="I27" s="199"/>
      <c r="J27" s="749"/>
      <c r="K27" s="749"/>
    </row>
    <row r="28" spans="1:76" hidden="1">
      <c r="A28" s="9"/>
      <c r="C28" s="297" t="s">
        <v>4700</v>
      </c>
      <c r="D28" s="198"/>
      <c r="E28" s="2382"/>
      <c r="F28" s="2382"/>
      <c r="G28" s="2382"/>
      <c r="H28" s="184">
        <f t="shared" si="0"/>
        <v>0</v>
      </c>
      <c r="I28" s="199"/>
      <c r="J28" s="749"/>
      <c r="K28" s="749"/>
    </row>
    <row r="29" spans="1:76" s="698" customFormat="1" ht="12.5">
      <c r="A29" s="668"/>
      <c r="C29" s="1753" t="s">
        <v>4164</v>
      </c>
      <c r="D29" s="1753" t="s">
        <v>4165</v>
      </c>
      <c r="E29" s="1753" t="s">
        <v>4166</v>
      </c>
      <c r="F29" s="1753" t="s">
        <v>5500</v>
      </c>
      <c r="G29" s="1753" t="s">
        <v>4169</v>
      </c>
      <c r="H29" s="1753" t="s">
        <v>4168</v>
      </c>
      <c r="I29" s="1753" t="s">
        <v>4178</v>
      </c>
      <c r="J29" s="749"/>
      <c r="K29" s="749"/>
      <c r="N29" s="680"/>
      <c r="O29" s="680"/>
      <c r="R29" s="2007"/>
      <c r="S29" s="2007"/>
      <c r="T29" s="2008" t="s">
        <v>5085</v>
      </c>
      <c r="U29" s="2008">
        <v>1200</v>
      </c>
      <c r="V29" s="2008">
        <v>1231000</v>
      </c>
      <c r="W29" s="2008">
        <v>1231100</v>
      </c>
      <c r="X29" s="2008">
        <v>1231200</v>
      </c>
      <c r="Y29" s="2008">
        <v>1232000</v>
      </c>
      <c r="Z29" s="2008">
        <v>1239900</v>
      </c>
      <c r="AA29" s="2008">
        <v>1210000</v>
      </c>
      <c r="AB29" s="2008">
        <v>1220100</v>
      </c>
      <c r="AC29" s="2008">
        <v>1220500</v>
      </c>
      <c r="AD29" s="2008">
        <v>1220600</v>
      </c>
      <c r="AE29" s="2008">
        <v>1220700</v>
      </c>
      <c r="AF29" s="2008">
        <v>1220800</v>
      </c>
      <c r="AG29" s="2008">
        <v>1220900</v>
      </c>
      <c r="AH29" s="2008">
        <v>1221000</v>
      </c>
      <c r="AI29" s="2008">
        <v>1230100</v>
      </c>
      <c r="AJ29" s="2008">
        <v>1230200</v>
      </c>
      <c r="AK29" s="2008">
        <v>1230300</v>
      </c>
      <c r="AL29" s="2008">
        <v>1230400</v>
      </c>
      <c r="AM29" s="2008">
        <v>1230500</v>
      </c>
      <c r="AN29" s="2008">
        <v>1230600</v>
      </c>
      <c r="AO29" s="2008">
        <v>1230700</v>
      </c>
      <c r="AP29" s="2008">
        <v>1230800</v>
      </c>
      <c r="AQ29" s="2008">
        <v>1230900</v>
      </c>
      <c r="AR29" s="2008">
        <v>1250004</v>
      </c>
      <c r="AS29" s="2008">
        <v>1250005</v>
      </c>
      <c r="AT29" s="2008">
        <v>1280</v>
      </c>
      <c r="AU29" s="2008">
        <v>1290000</v>
      </c>
      <c r="AV29" s="2008">
        <v>1080100</v>
      </c>
      <c r="AW29" s="2008">
        <v>1080200</v>
      </c>
      <c r="AX29" s="2008">
        <v>1080300</v>
      </c>
      <c r="AY29" s="2008">
        <v>1080400</v>
      </c>
      <c r="AZ29" s="2008">
        <v>1080500</v>
      </c>
      <c r="BA29" s="2008">
        <v>1080600</v>
      </c>
      <c r="BB29" s="2008">
        <v>1090</v>
      </c>
      <c r="BC29" s="2008">
        <v>1860000</v>
      </c>
      <c r="BD29" s="2008">
        <v>1070700</v>
      </c>
      <c r="BE29" s="2008">
        <v>1920000</v>
      </c>
      <c r="BF29" s="2008">
        <v>1950000</v>
      </c>
      <c r="BG29" s="3465">
        <v>1030100</v>
      </c>
      <c r="BH29" s="3465">
        <v>1030300</v>
      </c>
      <c r="BI29" s="3465">
        <v>1030400</v>
      </c>
      <c r="BJ29" s="3465">
        <v>1050100</v>
      </c>
      <c r="BK29" s="3465">
        <v>1110200</v>
      </c>
      <c r="BL29" s="3465">
        <v>1130218</v>
      </c>
      <c r="BM29" s="3465">
        <v>1130219</v>
      </c>
      <c r="BN29" s="3465">
        <v>1970000</v>
      </c>
      <c r="BO29" s="3465">
        <v>1221200</v>
      </c>
      <c r="BP29" s="3465">
        <v>1221300</v>
      </c>
      <c r="BQ29" s="2008">
        <v>1231400</v>
      </c>
    </row>
    <row r="30" spans="1:76">
      <c r="A30" s="9"/>
      <c r="C30" s="288" t="s">
        <v>3206</v>
      </c>
      <c r="D30" s="200" t="s">
        <v>4184</v>
      </c>
      <c r="E30" s="200" t="s">
        <v>4184</v>
      </c>
      <c r="F30" s="200" t="s">
        <v>4184</v>
      </c>
      <c r="G30" s="200" t="s">
        <v>4184</v>
      </c>
      <c r="H30" s="184">
        <f>SUM(H11:H28)+'91_01_ВГО'!K28</f>
        <v>0</v>
      </c>
      <c r="I30" s="289" t="s">
        <v>4184</v>
      </c>
      <c r="J30" s="749"/>
      <c r="K30" s="749"/>
      <c r="M30" s="2007"/>
      <c r="N30" s="2009"/>
      <c r="O30" s="2009"/>
      <c r="R30" s="2007"/>
      <c r="S30" s="2007"/>
      <c r="T30" s="2010" t="s">
        <v>5086</v>
      </c>
      <c r="U30" s="2010">
        <v>2200</v>
      </c>
      <c r="V30" s="2010">
        <v>2231000</v>
      </c>
      <c r="W30" s="2010">
        <v>2231100</v>
      </c>
      <c r="X30" s="2010">
        <v>2231200</v>
      </c>
      <c r="Y30" s="2010">
        <v>2232000</v>
      </c>
      <c r="Z30" s="2010">
        <v>2239900</v>
      </c>
      <c r="AA30" s="2010">
        <v>2210000</v>
      </c>
      <c r="AB30" s="2010">
        <v>2220100</v>
      </c>
      <c r="AC30" s="2010">
        <v>2220500</v>
      </c>
      <c r="AD30" s="2010">
        <v>2220600</v>
      </c>
      <c r="AE30" s="2010">
        <v>2220700</v>
      </c>
      <c r="AF30" s="2010">
        <v>2220800</v>
      </c>
      <c r="AG30" s="2010">
        <v>2220900</v>
      </c>
      <c r="AH30" s="2010">
        <v>2221000</v>
      </c>
      <c r="AI30" s="2010">
        <v>2230100</v>
      </c>
      <c r="AJ30" s="2010">
        <v>2230200</v>
      </c>
      <c r="AK30" s="2010">
        <v>2230300</v>
      </c>
      <c r="AL30" s="2010">
        <v>2230400</v>
      </c>
      <c r="AM30" s="2010">
        <v>2230500</v>
      </c>
      <c r="AN30" s="2010">
        <v>2230600</v>
      </c>
      <c r="AO30" s="2010">
        <v>2230700</v>
      </c>
      <c r="AP30" s="2010">
        <v>2230800</v>
      </c>
      <c r="AQ30" s="2010">
        <v>2230900</v>
      </c>
      <c r="AR30" s="2010">
        <v>2250004</v>
      </c>
      <c r="AS30" s="2010">
        <v>2250005</v>
      </c>
      <c r="AT30" s="2010" t="s">
        <v>6073</v>
      </c>
      <c r="AU30" s="2010" t="s">
        <v>6074</v>
      </c>
      <c r="AV30" s="2010">
        <v>2080110</v>
      </c>
      <c r="AW30" s="2010">
        <v>2080120</v>
      </c>
      <c r="AX30" s="2010">
        <v>2080130</v>
      </c>
      <c r="AY30" s="2010">
        <v>2080140</v>
      </c>
      <c r="AZ30" s="2010">
        <v>2080150</v>
      </c>
      <c r="BA30" s="2010" t="s">
        <v>9655</v>
      </c>
      <c r="BB30" s="2010">
        <v>2090</v>
      </c>
      <c r="BC30" s="2010">
        <v>2860000</v>
      </c>
      <c r="BD30" s="2010">
        <v>2070700</v>
      </c>
      <c r="BE30" s="2010">
        <v>2920000</v>
      </c>
      <c r="BF30" s="2010">
        <v>2950000</v>
      </c>
      <c r="BG30" s="3466" t="s">
        <v>14539</v>
      </c>
      <c r="BH30" s="3466">
        <v>2030300</v>
      </c>
      <c r="BI30" s="3466">
        <v>2030400</v>
      </c>
      <c r="BJ30" s="3466" t="s">
        <v>14540</v>
      </c>
      <c r="BK30" s="3466" t="s">
        <v>14541</v>
      </c>
      <c r="BL30" s="3466">
        <v>2130260</v>
      </c>
      <c r="BM30" s="3466">
        <v>2130270</v>
      </c>
      <c r="BN30" s="3466">
        <v>2970000</v>
      </c>
      <c r="BO30" s="3466">
        <v>2221200</v>
      </c>
      <c r="BP30" s="3466">
        <v>2221300</v>
      </c>
      <c r="BQ30" s="2010">
        <v>2231400</v>
      </c>
      <c r="BS30"/>
      <c r="BU30"/>
      <c r="BV30" s="24"/>
      <c r="BX30" s="24"/>
    </row>
    <row r="31" spans="1:76" ht="15" thickBot="1">
      <c r="A31" s="9"/>
      <c r="C31" s="288" t="s">
        <v>3207</v>
      </c>
      <c r="D31" s="200" t="s">
        <v>4184</v>
      </c>
      <c r="E31" s="200" t="s">
        <v>4184</v>
      </c>
      <c r="F31" s="200" t="s">
        <v>4184</v>
      </c>
      <c r="G31" s="200" t="s">
        <v>4184</v>
      </c>
      <c r="H31" s="184">
        <f>SUMIF($C$36:$C30988,"{1010000} Доходы от долевого участия в других организациях",$H$36:$H30988)+'91_01_ВГО'!K29</f>
        <v>0</v>
      </c>
      <c r="I31" s="289" t="s">
        <v>4184</v>
      </c>
      <c r="J31" s="749"/>
      <c r="K31" s="749"/>
      <c r="M31" s="2012"/>
      <c r="N31" s="2011"/>
      <c r="O31" s="2011"/>
      <c r="R31" s="2012"/>
      <c r="S31" s="2012"/>
      <c r="T31" s="2013" t="s">
        <v>3525</v>
      </c>
      <c r="U31" s="2014">
        <f>SUMIF($C$36:$C$9980,"*1200100*",$H$36:$H$9980)+SUMIF($C$36:$C$9980,"*1200200*",$H$36:$H$9980)</f>
        <v>0</v>
      </c>
      <c r="V31" s="2014">
        <f>SUMIF($C$36:$C$9980,"*1231000*",$H$36:$H$9980)</f>
        <v>0</v>
      </c>
      <c r="W31" s="2014">
        <f>SUMIF($C$36:$C$9980,"*1231100*",$H$36:$H$9980)</f>
        <v>0</v>
      </c>
      <c r="X31" s="2014">
        <f>SUMIF($C$36:$C$9980,"*1231200*",$H$36:$H$9980)</f>
        <v>0</v>
      </c>
      <c r="Y31" s="2014">
        <f>SUMIF($C$36:$C$9980,"*1232000*",$H$36:$H$9980)</f>
        <v>0</v>
      </c>
      <c r="Z31" s="2014">
        <f>SUMIF($C$36:$C$9980,"*1239900*",$H$36:$H$9980)</f>
        <v>0</v>
      </c>
      <c r="AA31" s="2014">
        <f>SUMIF($C$36:$C$9980,"*1210000*",$H$36:$H$9980)</f>
        <v>0</v>
      </c>
      <c r="AB31" s="2014">
        <f>SUMIF($C$36:$C$9980,"*1220100*",$H$36:$H$9980)</f>
        <v>0</v>
      </c>
      <c r="AC31" s="2014">
        <f>SUMIF($C$36:$C$9980,"*1220500*",$H$36:$H$9980)</f>
        <v>0</v>
      </c>
      <c r="AD31" s="2014">
        <f>SUMIF($C$36:$C$9980,"*1220600*",$H$36:$H$9980)</f>
        <v>0</v>
      </c>
      <c r="AE31" s="2014">
        <f>SUMIF($C$36:$C$9980,"*1220700*",$H$36:$H$9980)</f>
        <v>0</v>
      </c>
      <c r="AF31" s="2014">
        <f>SUMIF($C$36:$C$9980,"*1220800*",$H$36:$H$9980)</f>
        <v>0</v>
      </c>
      <c r="AG31" s="2014">
        <f>SUMIF($C$36:$C$9980,"*1220900*",$H$36:$H$9980)</f>
        <v>0</v>
      </c>
      <c r="AH31" s="2014">
        <f>SUMIF($C$36:$C$9980,"*1221000*",$H$36:$H$9980)+SUMIF($C$36:$C$9980,"*1221100*",$H$36:$H$9980)</f>
        <v>0</v>
      </c>
      <c r="AI31" s="2014">
        <f>SUMIF($C$36:$C$9980,"*1230100*",$H$36:$H$9980)</f>
        <v>0</v>
      </c>
      <c r="AJ31" s="2014">
        <f>SUMIF($C$36:$C$9980,"*1230200*",$H$36:$H$9980)</f>
        <v>0</v>
      </c>
      <c r="AK31" s="2014">
        <f>SUMIF($C$36:$C$9980,"*1230300*",$H$36:$H$9980)</f>
        <v>0</v>
      </c>
      <c r="AL31" s="2014">
        <f>SUMIF($C$36:$C$9980,"*1230400*",$H$36:$H$9980)</f>
        <v>0</v>
      </c>
      <c r="AM31" s="2014">
        <f>SUMIF($C$36:$C$9980,"*1230500*",$H$36:$H$9980)</f>
        <v>0</v>
      </c>
      <c r="AN31" s="2014">
        <f>SUMIF($C$36:$C$9980,"*1230600*",$H$36:$H$9980)</f>
        <v>0</v>
      </c>
      <c r="AO31" s="2014">
        <f>SUMIF($C$36:$C$9980,"*1230700*",$H$36:$H$9980)</f>
        <v>0</v>
      </c>
      <c r="AP31" s="2014">
        <f>SUMIF($C$36:$C$9980,"*1230800*",$H$36:$H$9980)</f>
        <v>0</v>
      </c>
      <c r="AQ31" s="2014">
        <f>SUMIF($C$36:$C$9980,"*1230900*",$H$36:$H$9980)</f>
        <v>0</v>
      </c>
      <c r="AR31" s="2014">
        <f>SUMIF($C$36:$C$9980,"*1250004*",$H$36:$H$9980)</f>
        <v>0</v>
      </c>
      <c r="AS31" s="2014">
        <f>SUMIF($C$36:$C$9980,"*1250005*",$H$36:$H$9980)</f>
        <v>0</v>
      </c>
      <c r="AT31" s="2014">
        <f>SUMIF($C$36:$C$9980,"*1280*",$H$36:$H$9980)</f>
        <v>0</v>
      </c>
      <c r="AU31" s="2014">
        <f>SUMIF($C$36:$C$9980,"*1290000*",$H$36:$H$9980)</f>
        <v>0</v>
      </c>
      <c r="AV31" s="2014">
        <f>SUMIF($C$36:$C$9980,"*1080100*",$H$36:$H$9980)</f>
        <v>0</v>
      </c>
      <c r="AW31" s="2014">
        <f>SUMIF($C$36:$C$9980,"*1080200*",$H$36:$H$9980)</f>
        <v>0</v>
      </c>
      <c r="AX31" s="2014">
        <f>SUMIF($C$36:$C$9980,"*1080300*",$H$36:$H$9980)</f>
        <v>0</v>
      </c>
      <c r="AY31" s="2014">
        <f>SUMIF($C$36:$C$9980,"*1080400*",$H$36:$H$9980)</f>
        <v>0</v>
      </c>
      <c r="AZ31" s="2014">
        <f>SUMIF($C$36:$C$9980,"*1080500*",$H$36:$H$9980)</f>
        <v>0</v>
      </c>
      <c r="BA31" s="2014">
        <f>SUMIF($C$36:$C$9980,"*1080600*",$H$36:$H$9980)</f>
        <v>0</v>
      </c>
      <c r="BB31" s="2014">
        <f>SUMIF($C$36:$C$9980,"*1090*",$H$36:$H$9980)-SUMIF($C$36:$C$9980,"*1310900*",$H$36:$H$9980)</f>
        <v>0</v>
      </c>
      <c r="BC31" s="2014">
        <f>SUMIF($C$36:$C$9980,"*1860*",$H$36:$H$9980)</f>
        <v>0</v>
      </c>
      <c r="BD31" s="2014">
        <f>SUMIF($C$36:$C$9980,"*1070700*",$H$36:$H$9980)</f>
        <v>0</v>
      </c>
      <c r="BE31" s="2014">
        <f>SUMIF($C$36:$C$9980,"*1920000*",$H$36:$H$9980)</f>
        <v>0</v>
      </c>
      <c r="BF31" s="2014">
        <f>SUMIF($C$36:$C$9980,"*1950000*",$H$36:$H$9980)</f>
        <v>0</v>
      </c>
      <c r="BG31" s="2014">
        <f>SUMIF($C$36:$C$9980,"*1030100*",$H$36:$H$9980)</f>
        <v>0</v>
      </c>
      <c r="BH31" s="2014">
        <f>SUMIF($C$36:$C$9980,"*1030300*",$H$36:$H$9980)</f>
        <v>0</v>
      </c>
      <c r="BI31" s="2014">
        <f>SUMIF($C$36:$C$9980,"*1030400*",$H$36:$H$9980)</f>
        <v>0</v>
      </c>
      <c r="BJ31" s="2014">
        <f>SUMIF($C$36:$C$9980,"*1050100*",$H$36:$H$9980)</f>
        <v>0</v>
      </c>
      <c r="BK31" s="2014">
        <f>SUMIF($C$36:$C$9980,"*1110200*",$H$36:$H$9980)</f>
        <v>0</v>
      </c>
      <c r="BL31" s="2014">
        <f>SUMIF($C$36:$C$9980,"*1130218*",$H$36:$H$9980)</f>
        <v>0</v>
      </c>
      <c r="BM31" s="2014">
        <f>SUMIF($C$36:$C$9980,"*1130219*",$H$36:$H$9980)</f>
        <v>0</v>
      </c>
      <c r="BN31" s="2014">
        <f>SUMIF($C$36:$C$9980,"*1970000*",$H$36:$H$9980)</f>
        <v>0</v>
      </c>
      <c r="BO31" s="2014">
        <f>SUMIF($C$36:$C$9980,"*1221200*",$H$36:$H$9980)</f>
        <v>0</v>
      </c>
      <c r="BP31" s="2014">
        <f>SUMIF($C$36:$C$9980,"*1221300*",$H$36:$H$9980)</f>
        <v>0</v>
      </c>
      <c r="BQ31" s="2014">
        <f>SUMIF($C$36:$C$9980,"*1231400*",$H$36:$H$9980)</f>
        <v>0</v>
      </c>
      <c r="BS31"/>
      <c r="BU31"/>
      <c r="BV31" s="24"/>
      <c r="BX31" s="24"/>
    </row>
    <row r="32" spans="1:76" ht="64.400000000000006" customHeight="1">
      <c r="A32" s="9"/>
      <c r="C32" s="288" t="s">
        <v>3208</v>
      </c>
      <c r="D32" s="200" t="s">
        <v>4184</v>
      </c>
      <c r="E32" s="200" t="s">
        <v>4184</v>
      </c>
      <c r="F32" s="200" t="s">
        <v>4184</v>
      </c>
      <c r="G32" s="200" t="s">
        <v>4184</v>
      </c>
      <c r="H32" s="184">
        <f>SUMIF($C$36:$C$30988,"*(НДС)*",$H$36:$H$30988)+'91_01_ВГО'!K30</f>
        <v>0</v>
      </c>
      <c r="I32" s="2591" t="s">
        <v>4184</v>
      </c>
      <c r="J32" s="2721" t="s">
        <v>7874</v>
      </c>
      <c r="K32" s="3217" t="s">
        <v>10000</v>
      </c>
      <c r="L32" s="2589" t="s">
        <v>9605</v>
      </c>
      <c r="M32" s="2589" t="s">
        <v>9606</v>
      </c>
      <c r="N32" s="2589" t="s">
        <v>7525</v>
      </c>
      <c r="O32" s="2692" t="s">
        <v>7737</v>
      </c>
      <c r="P32" s="3014" t="s">
        <v>9609</v>
      </c>
      <c r="Q32" s="3013" t="s">
        <v>9607</v>
      </c>
      <c r="S32" s="2012"/>
      <c r="T32" s="2013" t="s">
        <v>5436</v>
      </c>
      <c r="U32" s="2014">
        <f>SUMIF('91_01_ВГО'!$C$33:$C$7313,"*1200100*",'91_01_ВГО'!$K$33:$K$10398)+SUMIF('91_01_ВГО'!$C$33:$C$7313,"*1200200*",'91_01_ВГО'!$K$33:$K$10398)</f>
        <v>0</v>
      </c>
      <c r="V32" s="2014">
        <f>SUMIF('91_01_ВГО'!$C$33:$C$7313,"*1231000*",'91_01_ВГО'!$K$33:$K$10398)</f>
        <v>0</v>
      </c>
      <c r="W32" s="2014">
        <f>SUMIF('91_01_ВГО'!$C$33:$C$7313,"*1231100*",'91_01_ВГО'!$K$33:$K$10398)</f>
        <v>0</v>
      </c>
      <c r="X32" s="2014">
        <f>SUMIF('91_01_ВГО'!$C$33:$C$7313,"*1231200*",'91_01_ВГО'!$K$33:$K$10398)</f>
        <v>0</v>
      </c>
      <c r="Y32" s="2014">
        <f>SUMIF('91_01_ВГО'!$C$33:$C$7313,"*1232000*",'91_01_ВГО'!$K$33:$K$10398)</f>
        <v>0</v>
      </c>
      <c r="Z32" s="2014">
        <f>SUMIF('91_01_ВГО'!$C$33:$C$7313,"*1239900*",'91_01_ВГО'!$K$33:$K$10398)</f>
        <v>0</v>
      </c>
      <c r="AA32" s="2014">
        <f>SUMIF('91_01_ВГО'!$C$33:$C$7313,"*1210000*",'91_01_ВГО'!$K$33:$K$10398)</f>
        <v>0</v>
      </c>
      <c r="AB32" s="2014">
        <f>SUMIF('91_01_ВГО'!$C$33:$C$7313,"*1220100*",'91_01_ВГО'!$K$33:$K$10398)</f>
        <v>0</v>
      </c>
      <c r="AC32" s="2014">
        <f>SUMIF('91_01_ВГО'!$C$33:$C$7313,"*1220500*",'91_01_ВГО'!$K$33:$K$10398)</f>
        <v>0</v>
      </c>
      <c r="AD32" s="2014">
        <f>SUMIF('91_01_ВГО'!$C$33:$C$7313,"*1220600*",'91_01_ВГО'!$K$33:$K$10398)</f>
        <v>0</v>
      </c>
      <c r="AE32" s="2014">
        <f>SUMIF('91_01_ВГО'!$C$33:$C$7313,"*1220700*",'91_01_ВГО'!$K$33:$K$10398)</f>
        <v>0</v>
      </c>
      <c r="AF32" s="2014">
        <f>SUMIF('91_01_ВГО'!$C$33:$C$7313,"*1220800*",'91_01_ВГО'!$K$33:$K$10398)</f>
        <v>0</v>
      </c>
      <c r="AG32" s="2014">
        <f>SUMIF('91_01_ВГО'!$C$33:$C$7313,"*1220900*",'91_01_ВГО'!$K$33:$K$10398)</f>
        <v>0</v>
      </c>
      <c r="AH32" s="2014">
        <f>SUMIF('91_01_ВГО'!$C$33:$C$7313,"*1221000*",'91_01_ВГО'!$K$33:$K$10398)+SUMIF('91_01_ВГО'!$C$33:$C$7313,"*1221100*",'91_01_ВГО'!$K$33:$K$10398)</f>
        <v>0</v>
      </c>
      <c r="AI32" s="2014">
        <f>SUMIF('91_01_ВГО'!$C$33:$C$7313,"*1230100*",'91_01_ВГО'!$K$33:$K$10398)</f>
        <v>0</v>
      </c>
      <c r="AJ32" s="2014">
        <f>SUMIF('91_01_ВГО'!$C$33:$C$7313,"*1230200*",'91_01_ВГО'!$K$33:$K$10398)</f>
        <v>0</v>
      </c>
      <c r="AK32" s="2014">
        <f>SUMIF('91_01_ВГО'!$C$33:$C$7313,"*1230300*",'91_01_ВГО'!$K$33:$K$10398)</f>
        <v>0</v>
      </c>
      <c r="AL32" s="2014">
        <f>SUMIF('91_01_ВГО'!$C$33:$C$7313,"*1230400*",'91_01_ВГО'!$K$33:$K$10398)</f>
        <v>0</v>
      </c>
      <c r="AM32" s="2014">
        <f>SUMIF('91_01_ВГО'!$C$33:$C$7313,"*1230500*",'91_01_ВГО'!$K$33:$K$10398)</f>
        <v>0</v>
      </c>
      <c r="AN32" s="2014">
        <f>SUMIF('91_01_ВГО'!$C$33:$C$7313,"*1230600*",'91_01_ВГО'!$K$33:$K$10398)</f>
        <v>0</v>
      </c>
      <c r="AO32" s="2014">
        <f>SUMIF('91_01_ВГО'!$C$33:$C$7313,"*1230700*",'91_01_ВГО'!$K$33:$K$10398)</f>
        <v>0</v>
      </c>
      <c r="AP32" s="2014">
        <f>SUMIF('91_01_ВГО'!$C$33:$C$7313,"*1230800*",'91_01_ВГО'!$K$33:$K$10398)</f>
        <v>0</v>
      </c>
      <c r="AQ32" s="2014">
        <f>SUMIF('91_01_ВГО'!$C$33:$C$7313,"*1230900*",'91_01_ВГО'!$K$33:$K$10398)</f>
        <v>0</v>
      </c>
      <c r="AR32" s="2014">
        <f>SUMIF('91_01_ВГО'!$C$33:$C$7313,"*1250004*",'91_01_ВГО'!$K$33:$K$10398)</f>
        <v>0</v>
      </c>
      <c r="AS32" s="2014">
        <f>SUMIF('91_01_ВГО'!$C$33:$C$7313,"*1250005*",'91_01_ВГО'!$K$33:$K$10398)</f>
        <v>0</v>
      </c>
      <c r="AT32" s="2014">
        <f>SUMIF('91_01_ВГО'!$C$33:$C$7313,"*1280*",'91_01_ВГО'!$K$33:$K$10398)</f>
        <v>0</v>
      </c>
      <c r="AU32" s="2014">
        <f>SUMIF('91_01_ВГО'!$C$33:$C$7313,"*1290000*",'91_01_ВГО'!$K$33:$K$10398)</f>
        <v>0</v>
      </c>
      <c r="AV32" s="2014">
        <f>SUMIF('91_01_ВГО'!$C$33:$C$7313,"*1080100*",'91_01_ВГО'!$K$33:$K$10398)</f>
        <v>0</v>
      </c>
      <c r="AW32" s="2014">
        <f>SUMIF('91_01_ВГО'!$C$33:$C$7313,"*1080200*",'91_01_ВГО'!$K$33:$K$10398)</f>
        <v>0</v>
      </c>
      <c r="AX32" s="2014">
        <f>SUMIF('91_01_ВГО'!$C$33:$C$7313,"*1080300*",'91_01_ВГО'!$K$33:$K$10398)</f>
        <v>0</v>
      </c>
      <c r="AY32" s="2014">
        <f>SUMIF('91_01_ВГО'!$C$33:$C$7313,"*1080400*",'91_01_ВГО'!$K$33:$K$10398)</f>
        <v>0</v>
      </c>
      <c r="AZ32" s="2014">
        <f>SUMIF('91_01_ВГО'!$C$33:$C$7313,"*1080500*",'91_01_ВГО'!$K$33:$K$10398)</f>
        <v>0</v>
      </c>
      <c r="BA32" s="2014">
        <f>SUMIF('91_01_ВГО'!$C$33:$C$7313,"*1080600*",'91_01_ВГО'!$K$33:$K$10398)</f>
        <v>0</v>
      </c>
      <c r="BB32" s="2014">
        <f>SUMIF('91_01_ВГО'!$C$33:$C$7313,"*1090*",'91_01_ВГО'!$K$33:$K$10398)-SUMIF('91_01_ВГО'!$C$33:$C$7313,"*1310900*",'91_01_ВГО'!$K$33:$K$10398)</f>
        <v>0</v>
      </c>
      <c r="BC32" s="2014">
        <f>SUMIF('91_01_ВГО'!$C$33:$C$7313,"*1860*",'91_01_ВГО'!$K$33:$K$10398)</f>
        <v>0</v>
      </c>
      <c r="BD32" s="2014">
        <f>SUMIF('91_01_ВГО'!$C$33:$C$7313,"*1070700*",'91_01_ВГО'!$K$33:$K$10398)</f>
        <v>0</v>
      </c>
      <c r="BE32" s="2014">
        <f>SUMIF('91_01_ВГО'!$C$33:$C$7313,"*1920000*",'91_01_ВГО'!$K$33:$K$10398)</f>
        <v>0</v>
      </c>
      <c r="BF32" s="2014">
        <f>SUMIF('91_01_ВГО'!$C$33:$C$7313,"*1950000*",'91_01_ВГО'!$K$33:$K$10398)</f>
        <v>0</v>
      </c>
      <c r="BG32" s="2014">
        <f>SUMIF('91_01_ВГО'!$C$33:$C$7313,"*1030100*",'91_01_ВГО'!$K$33:$K$10398)</f>
        <v>0</v>
      </c>
      <c r="BH32" s="2014">
        <f>SUMIF('91_01_ВГО'!$C$33:$C$7313,"*1030300*",'91_01_ВГО'!$K$33:$K$10398)</f>
        <v>0</v>
      </c>
      <c r="BI32" s="2014">
        <f>SUMIF('91_01_ВГО'!$C$33:$C$7313,"*1030400*",'91_01_ВГО'!$K$33:$K$10398)</f>
        <v>0</v>
      </c>
      <c r="BJ32" s="2014">
        <f>SUMIF('91_01_ВГО'!$C$33:$C$7313,"*1050100*",'91_01_ВГО'!$K$33:$K$10398)</f>
        <v>0</v>
      </c>
      <c r="BK32" s="2014">
        <f>SUMIF('91_01_ВГО'!$C$33:$C$7313,"*1110200*",'91_01_ВГО'!$K$33:$K$10398)</f>
        <v>0</v>
      </c>
      <c r="BL32" s="2014">
        <f>SUMIF('91_01_ВГО'!$C$33:$C$7313,"*1130218*",'91_01_ВГО'!$K$33:$K$10398)</f>
        <v>0</v>
      </c>
      <c r="BM32" s="2014">
        <f>SUMIF('91_01_ВГО'!$C$33:$C$7313,"*1130219*",'91_01_ВГО'!$K$33:$K$10398)</f>
        <v>0</v>
      </c>
      <c r="BN32" s="2014">
        <f>SUMIF('91_01_ВГО'!$C$33:$C$7313,"*1970000*",'91_01_ВГО'!$K$33:$K$10398)</f>
        <v>0</v>
      </c>
      <c r="BO32" s="2014">
        <f>SUMIF('91_01_ВГО'!$C$33:$C$7313,"*1221200*",'91_01_ВГО'!$K$33:$K$10398)</f>
        <v>0</v>
      </c>
      <c r="BP32" s="2014">
        <f>SUMIF('91_01_ВГО'!$C$33:$C$7313,"*1221300*",'91_01_ВГО'!$K$33:$K$10398)</f>
        <v>0</v>
      </c>
      <c r="BQ32" s="2014">
        <f>SUMIF('91_01_ВГО'!$C$33:$C$7313,"*1231400*",'91_01_ВГО'!$K$33:$K$10398)</f>
        <v>0</v>
      </c>
      <c r="BS32"/>
      <c r="BU32"/>
      <c r="BV32" s="24"/>
      <c r="BX32" s="24"/>
    </row>
    <row r="33" spans="1:76">
      <c r="A33" s="9"/>
      <c r="B33" s="207"/>
      <c r="C33" s="288" t="s">
        <v>3209</v>
      </c>
      <c r="D33" s="200" t="s">
        <v>4184</v>
      </c>
      <c r="E33" s="200" t="s">
        <v>4184</v>
      </c>
      <c r="F33" s="200" t="s">
        <v>4184</v>
      </c>
      <c r="G33" s="200" t="s">
        <v>4184</v>
      </c>
      <c r="H33" s="184">
        <f>H34-SUM(H30:H32)</f>
        <v>0</v>
      </c>
      <c r="I33" s="289" t="s">
        <v>4184</v>
      </c>
      <c r="J33" s="2723"/>
      <c r="K33" s="2723"/>
      <c r="M33" s="2012"/>
      <c r="N33" s="2593"/>
      <c r="O33" s="2593"/>
      <c r="R33" s="2015"/>
      <c r="S33" s="2012"/>
      <c r="T33" s="2016" t="s">
        <v>3526</v>
      </c>
      <c r="U33" s="2017">
        <f>SUMIF('91_02'!$C$46:$C$10368,"*2200*",'91_02'!$F$46:$F$10368)</f>
        <v>0</v>
      </c>
      <c r="V33" s="2017">
        <f>SUMIF('91_02'!$C$46:$C$10368,"*2231010*",'91_02'!$F$46:$F$10368)+SUMIF('91_02'!$C$46:$C$10368,"*2231020*",'91_02'!$F$46:$F$10368)</f>
        <v>0</v>
      </c>
      <c r="W33" s="2017">
        <f>SUMIF('91_02'!$C$46:$C$10368,"*2231100*",'91_02'!$F$46:$F$10368)</f>
        <v>0</v>
      </c>
      <c r="X33" s="2017">
        <f>SUMIF('91_02'!$C$46:$C$10368,"*2231200*",'91_02'!$F$46:$F$10368)</f>
        <v>0</v>
      </c>
      <c r="Y33" s="2017">
        <f>SUMIF('91_02'!$C$46:$C$10368,"*2232000*",'91_02'!$F$46:$F$10368)</f>
        <v>0</v>
      </c>
      <c r="Z33" s="2017">
        <f>SUMIF('91_02'!$C$46:$C$10368,"*2239900*",'91_02'!$F$46:$F$10368)</f>
        <v>0</v>
      </c>
      <c r="AA33" s="2017">
        <f>SUMIF('91_02'!$C$46:$C$10368,"*2210000*",'91_02'!$F$46:$F$10368)</f>
        <v>0</v>
      </c>
      <c r="AB33" s="2017">
        <f>SUMIF('91_02'!$C$46:$C$10368,"*2220100*",'91_02'!$F$46:$F$10368)</f>
        <v>0</v>
      </c>
      <c r="AC33" s="2017">
        <f>SUMIF('91_02'!$C$46:$C$10368,"*2220500*",'91_02'!$F$46:$F$10368)</f>
        <v>0</v>
      </c>
      <c r="AD33" s="2017">
        <f>SUMIF('91_02'!$C$46:$C$10368,"*2220600*",'91_02'!$F$46:$F$10368)</f>
        <v>0</v>
      </c>
      <c r="AE33" s="2017">
        <f>SUMIF('91_02'!$C$46:$C$10368,"*2220700*",'91_02'!$F$46:$F$10368)</f>
        <v>0</v>
      </c>
      <c r="AF33" s="2017">
        <f>SUMIF('91_02'!$C$46:$C$10368,"*2220800*",'91_02'!$F$46:$F$10368)</f>
        <v>0</v>
      </c>
      <c r="AG33" s="2017">
        <f>SUMIF('91_02'!$C$46:$C$10368,"*2220900*",'91_02'!$F$46:$F$10368)</f>
        <v>0</v>
      </c>
      <c r="AH33" s="2017">
        <f>SUMIF('91_02'!$C$46:$C$10368,"*2221000*",'91_02'!$F$46:$F$10368)+SUMIF('91_02'!$C$46:$C$10368,"*2221100*",'91_02'!$F$46:$F$10368)</f>
        <v>0</v>
      </c>
      <c r="AI33" s="2017">
        <f>SUMIF('91_02'!$C$46:$C$10368,"*2230100*",'91_02'!$F$46:$F$10368)</f>
        <v>0</v>
      </c>
      <c r="AJ33" s="2017">
        <f>SUMIF('91_02'!$C$46:$C$10368,"*2230200*",'91_02'!$F$46:$F$10368)</f>
        <v>0</v>
      </c>
      <c r="AK33" s="2017">
        <f>SUMIF('91_02'!$C$46:$C$10368,"*2230300*",'91_02'!$F$46:$F$10368)</f>
        <v>0</v>
      </c>
      <c r="AL33" s="2017">
        <f>SUMIF('91_02'!$C$46:$C$10368,"*2230400*",'91_02'!$F$46:$F$10368)</f>
        <v>0</v>
      </c>
      <c r="AM33" s="2017">
        <f>SUMIF('91_02'!$C$46:$C$10368,"*2230500*",'91_02'!$F$46:$F$10368)</f>
        <v>0</v>
      </c>
      <c r="AN33" s="2017">
        <f>SUMIF('91_02'!$C$46:$C$10368,"*2230600*",'91_02'!$F$46:$F$10368)</f>
        <v>0</v>
      </c>
      <c r="AO33" s="2017">
        <f>SUMIF('91_02'!$C$46:$C$10368,"*2230700*",'91_02'!$F$46:$F$10368)</f>
        <v>0</v>
      </c>
      <c r="AP33" s="2017">
        <f>SUMIF('91_02'!$C$46:$C$10368,"*2230800*",'91_02'!$F$46:$F$10368)</f>
        <v>0</v>
      </c>
      <c r="AQ33" s="2017">
        <f>SUMIF('91_02'!$C$46:$C$10368,"*2230900*",'91_02'!$F$46:$F$10368)</f>
        <v>0</v>
      </c>
      <c r="AR33" s="2017">
        <f>SUMIF('91_02'!$C$46:$C$10368,"*2250004*",'91_02'!$F$46:$F$10368)</f>
        <v>0</v>
      </c>
      <c r="AS33" s="2017">
        <f>SUMIF('91_02'!$C$46:$C$10368,"*2250005*",'91_02'!$F$46:$F$10368)</f>
        <v>0</v>
      </c>
      <c r="AT33" s="2017">
        <f>SUMIF('91_02'!$C$46:$C$10368,"*2280100*",'91_02'!$F$46:$F$10368)+SUMIF('91_02'!$C$46:$C$10368,"*2280200*",'91_02'!$F$46:$F$10368)+SUMIF('91_02'!$C$46:$C$10368,"*2280300*",'91_02'!$F$46:$F$10368)+SUMIF('91_02'!$C$46:$C$10368,"*2280400*",'91_02'!$F$46:$F$10368)</f>
        <v>0</v>
      </c>
      <c r="AU33" s="2017">
        <f>SUMIF('91_02'!$C$46:$C$10368,"*2281000*",'91_02'!$F$46:$F$10368)+SUMIF('91_02'!$C$46:$C$10368,"*2281100*",'91_02'!$F$46:$F$10368)</f>
        <v>0</v>
      </c>
      <c r="AV33" s="2017">
        <f>SUMIF('91_02'!$C$46:$C$10368,"*2080110*",'91_02'!$F$46:$F$10368)+SUMIF('91_02'!$C$46:$C$10368,"*2080210*",'91_02'!$F$46:$F$10368)</f>
        <v>0</v>
      </c>
      <c r="AW33" s="2017">
        <f>SUMIF('91_02'!$C$46:$C$10368,"*2080120*",'91_02'!$F$46:$F$10368)+SUMIF('91_02'!$C$46:$C$10368,"*2080220*",'91_02'!$F$46:$F$10368)</f>
        <v>0</v>
      </c>
      <c r="AX33" s="2017">
        <f>SUMIF('91_02'!$C$46:$C$10368,"*2080130*",'91_02'!$F$46:$F$10368)+SUMIF('91_02'!$C$46:$C$10368,"*2080230*",'91_02'!$F$46:$F$10368)</f>
        <v>0</v>
      </c>
      <c r="AY33" s="2017">
        <f>SUMIF('91_02'!$C$46:$C$10368,"*2080140*",'91_02'!$F$46:$F$10368)+SUMIF('91_02'!$C$46:$C$10368,"*2080240*",'91_02'!$F$46:$F$10368)</f>
        <v>0</v>
      </c>
      <c r="AZ33" s="2017">
        <f>SUMIF('91_02'!$C$46:$C$10368,"*2080150*",'91_02'!$F$46:$F$10368)+SUMIF('91_02'!$C$46:$C$10368,"*2080250*",'91_02'!$F$46:$F$10368)</f>
        <v>0</v>
      </c>
      <c r="BA33" s="2017">
        <f>SUMIF('91_02'!$C$46:$C$10368,"*2080160*",'91_02'!$F$46:$F$10368)+SUMIF('91_02'!$C$46:$C$10368,"*2080170*",'91_02'!$F$46:$F$10368)+SUMIF('91_02'!$C$46:$C$10368,"*2080710*",'91_02'!$F$46:$F$10368)+SUMIF('91_02'!$C$46:$C$10368,"*2080720*",'91_02'!$F$46:$F$10368)</f>
        <v>0</v>
      </c>
      <c r="BB33" s="2017">
        <f>SUMIF('91_02'!$C$46:$C$10368,"*2090*",'91_02'!$F$46:$F$10368)-AG33</f>
        <v>0</v>
      </c>
      <c r="BC33" s="2017">
        <f>SUMIF('91_02'!$C$46:$C$10368,"*2860000*",'91_02'!$F$46:$F$10368)</f>
        <v>0</v>
      </c>
      <c r="BD33" s="2017">
        <f>SUMIF('91_02'!$C$46:$C$10368,"*2070700*",'91_02'!$F$46:$F$10368)</f>
        <v>0</v>
      </c>
      <c r="BE33" s="2017">
        <f>SUMIF('91_02'!$C$46:$C$10368,"*2920000*",'91_02'!$F$46:$F$10368)</f>
        <v>0</v>
      </c>
      <c r="BF33" s="2017">
        <f>SUMIF('91_02'!$C$46:$C$10368,"*2950000*",'91_02'!$F$46:$F$10368)</f>
        <v>0</v>
      </c>
      <c r="BG33" s="2017">
        <f>SUMIF('91_02'!$C$46:$C$10368,"*2030100*",'91_02'!$F$46:$F$10368)+SUMIF('91_02'!$C$46:$C$10368,"*2030200*",'91_02'!$F$46:$F$10368)</f>
        <v>0</v>
      </c>
      <c r="BH33" s="2017">
        <f>SUMIF('91_02'!$C$46:$C$10368,"*2030300*",'91_02'!$F$46:$F$10368)</f>
        <v>0</v>
      </c>
      <c r="BI33" s="2017">
        <f>SUMIF('91_02'!$C$46:$C$10368,"*2030400*",'91_02'!$F$46:$F$10368)</f>
        <v>0</v>
      </c>
      <c r="BJ33" s="2017">
        <f>SUMIF('91_02'!$C$46:$C$10368,"*2050100*",'91_02'!$F$46:$F$10368)+SUMIF('91_02'!$C$46:$C$10368,"*2050200*",'91_02'!$F$46:$F$10368)</f>
        <v>0</v>
      </c>
      <c r="BK33" s="2017">
        <f>SUMIF('91_02'!$C$46:$C$10368,"*2110300*",'91_02'!$F$46:$F$10368)+SUMIF('91_02'!$C$46:$C$10368,"*2110400*",'91_02'!$F$46:$F$10368)</f>
        <v>0</v>
      </c>
      <c r="BL33" s="2017">
        <f>SUMIF('91_02'!$C$46:$C$10368,"*2130260*",'91_02'!$F$46:$F$10368)</f>
        <v>0</v>
      </c>
      <c r="BM33" s="2017">
        <f>SUMIF('91_02'!$C$46:$C$10368,"*2130270*",'91_02'!$F$46:$F$10368)</f>
        <v>0</v>
      </c>
      <c r="BN33" s="2017">
        <f>SUMIF('91_02'!$C$46:$C$10368,"*2970000*",'91_02'!$F$46:$F$10368)</f>
        <v>0</v>
      </c>
      <c r="BO33" s="2017">
        <f>SUMIF('91_02'!$C$46:$C$10368,"*2221200*",'91_02'!$F$46:$F$10368)</f>
        <v>0</v>
      </c>
      <c r="BP33" s="2017">
        <f>SUMIF('91_02'!$C$46:$C$10368,"*2221300*",'91_02'!$F$46:$F$10368)</f>
        <v>0</v>
      </c>
      <c r="BQ33" s="2017">
        <f>SUMIF('91_02'!$C$46:$C$10368,"*2231400*",'91_02'!$F$46:$F$10368)</f>
        <v>0</v>
      </c>
      <c r="BS33"/>
      <c r="BU33"/>
      <c r="BV33" s="24"/>
      <c r="BX33" s="24"/>
    </row>
    <row r="34" spans="1:76">
      <c r="A34" s="9"/>
      <c r="B34" s="207"/>
      <c r="C34" s="290" t="s">
        <v>4170</v>
      </c>
      <c r="D34" s="200" t="s">
        <v>4184</v>
      </c>
      <c r="E34" s="200" t="s">
        <v>4184</v>
      </c>
      <c r="F34" s="200" t="s">
        <v>4184</v>
      </c>
      <c r="G34" s="200" t="s">
        <v>4184</v>
      </c>
      <c r="H34" s="184">
        <f>SUM(H35:H30988)</f>
        <v>0</v>
      </c>
      <c r="I34" s="289" t="s">
        <v>4184</v>
      </c>
      <c r="J34" s="2723"/>
      <c r="K34" s="2723"/>
      <c r="M34" s="2012"/>
      <c r="N34" s="1571"/>
      <c r="O34" s="1571"/>
      <c r="R34" s="2012"/>
      <c r="S34" s="2012"/>
      <c r="T34" s="2016" t="s">
        <v>5437</v>
      </c>
      <c r="U34" s="2017">
        <f>SUMIF('91_02_ВГО'!$C$43:$C$10357,"*2200*",'91_02_ВГО'!$I$43:$I$10357)</f>
        <v>0</v>
      </c>
      <c r="V34" s="2017">
        <f>SUMIF('91_02_ВГО'!$C$43:$C$10357,"*2231010*",'91_02_ВГО'!$I$43:$I$10357)+SUMIF('91_02_ВГО'!$C$43:$C$10357,"*2231020*",'91_02_ВГО'!$I$43:$I$10357)</f>
        <v>0</v>
      </c>
      <c r="W34" s="2017">
        <f>SUMIF('91_02_ВГО'!$C$43:$C$10357,"*2231100*",'91_02_ВГО'!$I$43:$I$10357)</f>
        <v>0</v>
      </c>
      <c r="X34" s="2017">
        <f>SUMIF('91_02_ВГО'!$C$43:$C$10357,"*2231200*",'91_02_ВГО'!$I$43:$I$10357)</f>
        <v>0</v>
      </c>
      <c r="Y34" s="2017">
        <f>SUMIF('91_02_ВГО'!$C$43:$C$10357,"*2232000*",'91_02_ВГО'!$I$43:$I$10357)</f>
        <v>0</v>
      </c>
      <c r="Z34" s="2017">
        <f>SUMIF('91_02_ВГО'!$C$43:$C$10357,"*2239900*",'91_02_ВГО'!$I$43:$I$10357)</f>
        <v>0</v>
      </c>
      <c r="AA34" s="2017">
        <f>SUMIF('91_02_ВГО'!$C$43:$C$10357,"*2210000*",'91_02_ВГО'!$I$43:$I$10357)</f>
        <v>0</v>
      </c>
      <c r="AB34" s="2017">
        <f>SUMIF('91_02_ВГО'!$C$43:$C$10357,"*2220100*",'91_02_ВГО'!$I$43:$I$10357)</f>
        <v>0</v>
      </c>
      <c r="AC34" s="2017">
        <f>SUMIF('91_02_ВГО'!$C$43:$C$10357,"*2220500*",'91_02_ВГО'!$I$43:$I$10357)</f>
        <v>0</v>
      </c>
      <c r="AD34" s="2017">
        <f>SUMIF('91_02_ВГО'!$C$43:$C$10357,"*2220600*",'91_02_ВГО'!$I$43:$I$10357)</f>
        <v>0</v>
      </c>
      <c r="AE34" s="2017">
        <f>SUMIF('91_02_ВГО'!$C$43:$C$10357,"*2220700*",'91_02_ВГО'!$I$43:$I$10357)</f>
        <v>0</v>
      </c>
      <c r="AF34" s="2017">
        <f>SUMIF('91_02_ВГО'!$C$43:$C$10357,"*2220800*",'91_02_ВГО'!$I$43:$I$10357)</f>
        <v>0</v>
      </c>
      <c r="AG34" s="2017">
        <f>SUMIF('91_02_ВГО'!$C$43:$C$10357,"*2220900*",'91_02_ВГО'!$I$43:$I$10357)</f>
        <v>0</v>
      </c>
      <c r="AH34" s="2017">
        <f>SUMIF('91_02_ВГО'!$C$43:$C$10357,"*2221000*",'91_02_ВГО'!$I$43:$I$10357)+SUMIF('91_02_ВГО'!$C$43:$C$10357,"*2221100*",'91_02_ВГО'!$I$43:$I$10357)</f>
        <v>0</v>
      </c>
      <c r="AI34" s="2017">
        <f>SUMIF('91_02_ВГО'!$C$43:$C$10357,"*2230100*",'91_02_ВГО'!$I$43:$I$10357)</f>
        <v>0</v>
      </c>
      <c r="AJ34" s="2017">
        <f>SUMIF('91_02_ВГО'!$C$43:$C$10357,"*2230200*",'91_02_ВГО'!$I$43:$I$10357)</f>
        <v>0</v>
      </c>
      <c r="AK34" s="2017">
        <f>SUMIF('91_02_ВГО'!$C$43:$C$10357,"*2230300*",'91_02_ВГО'!$I$43:$I$10357)</f>
        <v>0</v>
      </c>
      <c r="AL34" s="2017">
        <f>SUMIF('91_02_ВГО'!$C$43:$C$10357,"*2230400*",'91_02_ВГО'!$I$43:$I$10357)</f>
        <v>0</v>
      </c>
      <c r="AM34" s="2017">
        <f>SUMIF('91_02_ВГО'!$C$43:$C$10357,"*2230500*",'91_02_ВГО'!$I$43:$I$10357)</f>
        <v>0</v>
      </c>
      <c r="AN34" s="2017">
        <f>SUMIF('91_02_ВГО'!$C$43:$C$10357,"*2230600*",'91_02_ВГО'!$I$43:$I$10357)</f>
        <v>0</v>
      </c>
      <c r="AO34" s="2017">
        <f>SUMIF('91_02_ВГО'!$C$43:$C$10357,"*2230700*",'91_02_ВГО'!$I$43:$I$10357)</f>
        <v>0</v>
      </c>
      <c r="AP34" s="2017">
        <f>SUMIF('91_02_ВГО'!$C$43:$C$10357,"*2230800*",'91_02_ВГО'!$I$43:$I$10357)</f>
        <v>0</v>
      </c>
      <c r="AQ34" s="2017">
        <f>SUMIF('91_02_ВГО'!$C$43:$C$10357,"*2230900*",'91_02_ВГО'!$I$43:$I$10357)</f>
        <v>0</v>
      </c>
      <c r="AR34" s="2017">
        <f>SUMIF('91_02_ВГО'!$C$43:$C$10357,"*2250004*",'91_02_ВГО'!$I$43:$I$10357)</f>
        <v>0</v>
      </c>
      <c r="AS34" s="2017">
        <f>SUMIF('91_02_ВГО'!$C$43:$C$10357,"*2250005*",'91_02_ВГО'!$I$43:$I$10357)</f>
        <v>0</v>
      </c>
      <c r="AT34" s="2017">
        <f>SUMIF('91_02_ВГО'!$C$43:$C$10357,"*2280100*",'91_02_ВГО'!$I$43:$I$10357)+SUMIF('91_02_ВГО'!$C$43:$C$10357,"*2280200*",'91_02_ВГО'!$I$43:$I$10357)+SUMIF('91_02_ВГО'!$C$43:$C$10357,"*2280300*",'91_02_ВГО'!$I$43:$I$10357)+SUMIF('91_02_ВГО'!$C$43:$C$10357,"*2280400*",'91_02_ВГО'!$I$43:$I$10357)</f>
        <v>0</v>
      </c>
      <c r="AU34" s="2017">
        <f>SUMIF('91_02_ВГО'!$C$43:$C$10357,"*2281000*",'91_02_ВГО'!$I$43:$I$10357)+SUMIF('91_02_ВГО'!$C$43:$C$10357,"*2281100*",'91_02_ВГО'!$I$43:$I$10357)</f>
        <v>0</v>
      </c>
      <c r="AV34" s="2017">
        <f>SUMIF('91_02_ВГО'!$C$43:$C$10357,"*2080110*",'91_02_ВГО'!$I$43:$I$10357)+SUMIF('91_02_ВГО'!$C$43:$C$10357,"*2080210*",'91_02_ВГО'!$I$43:$I$10357)</f>
        <v>0</v>
      </c>
      <c r="AW34" s="2017">
        <f>SUMIF('91_02_ВГО'!$C$43:$C$10357,"*2080120*",'91_02_ВГО'!$I$43:$I$10357)+SUMIF('91_02_ВГО'!$C$43:$C$10357,"*2080220*",'91_02_ВГО'!$I$43:$I$10357)</f>
        <v>0</v>
      </c>
      <c r="AX34" s="2017">
        <f>SUMIF('91_02_ВГО'!$C$43:$C$10357,"*2080130*",'91_02_ВГО'!$I$43:$I$10357)+SUMIF('91_02_ВГО'!$C$43:$C$10357,"*2080230*",'91_02_ВГО'!$I$43:$I$10357)</f>
        <v>0</v>
      </c>
      <c r="AY34" s="2017">
        <f>SUMIF('91_02_ВГО'!$C$43:$C$10357,"*2080140*",'91_02_ВГО'!$I$43:$I$10357)+SUMIF('91_02_ВГО'!$C$43:$C$10357,"*2080240*",'91_02_ВГО'!$I$43:$I$10357)</f>
        <v>0</v>
      </c>
      <c r="AZ34" s="2017">
        <f>SUMIF('91_02_ВГО'!$C$43:$C$10357,"*2080150*",'91_02_ВГО'!$I$43:$I$10357)+SUMIF('91_02_ВГО'!$C$43:$C$10357,"*2080250*",'91_02_ВГО'!$I$43:$I$10357)</f>
        <v>0</v>
      </c>
      <c r="BA34" s="2017">
        <f>SUMIF('91_02_ВГО'!$C$43:$C$10357,"*2080160*",'91_02_ВГО'!$I$43:$I$10357)+SUMIF('91_02_ВГО'!$C$43:$C$10357,"*2080170*",'91_02_ВГО'!$I$43:$I$10357)+SUMIF('91_02_ВГО'!$C$43:$C$10357,"*2080710*",'91_02_ВГО'!$I$43:$I$10357)+SUMIF('91_02_ВГО'!$C$43:$C$10357,"*2080720*",'91_02_ВГО'!$I$43:$I$10357)</f>
        <v>0</v>
      </c>
      <c r="BB34" s="2017">
        <f>SUMIF('91_02_ВГО'!$C$43:$C$10357,"*2090*",'91_02_ВГО'!$I$43:$I$10357)-AG34</f>
        <v>0</v>
      </c>
      <c r="BC34" s="2017">
        <f>SUMIF('91_02_ВГО'!$C$43:$C$10357,"*2860000*",'91_02_ВГО'!$I$43:$I$10357)</f>
        <v>0</v>
      </c>
      <c r="BD34" s="2017">
        <f>SUMIF('91_02_ВГО'!$C$43:$C$10357,"*2070700*",'91_02_ВГО'!$I$43:$I$10357)</f>
        <v>0</v>
      </c>
      <c r="BE34" s="2017">
        <f>SUMIF('91_02_ВГО'!$C$43:$C$10357,"*2920000*",'91_02_ВГО'!$I$43:$I$10357)</f>
        <v>0</v>
      </c>
      <c r="BF34" s="2017">
        <f>SUMIF('91_02_ВГО'!$C$43:$C$10357,"*2950000*",'91_02_ВГО'!$I$43:$I$10357)</f>
        <v>0</v>
      </c>
      <c r="BG34" s="2017">
        <f>SUMIF('91_02_ВГО'!$C$43:$C$10357,"*2030100*",'91_02_ВГО'!$I$43:$I$10357)+SUMIF('91_02_ВГО'!$C$43:$C$10357,"*2030200*",'91_02_ВГО'!$I$43:$I$10357)</f>
        <v>0</v>
      </c>
      <c r="BH34" s="2017">
        <f>SUMIF('91_02_ВГО'!$C$43:$C$10357,"*2030300*",'91_02_ВГО'!$I$43:$I$10357)</f>
        <v>0</v>
      </c>
      <c r="BI34" s="2017">
        <f>SUMIF('91_02_ВГО'!$C$43:$C$10357,"*2030400*",'91_02_ВГО'!$I$43:$I$10357)</f>
        <v>0</v>
      </c>
      <c r="BJ34" s="2017">
        <f>SUMIF('91_02_ВГО'!$C$43:$C$10357,"*2050100*",'91_02_ВГО'!$I$43:$I$10357)+SUMIF('91_02_ВГО'!$C$43:$C$10357,"*2050200*",'91_02_ВГО'!$I$43:$I$10357)</f>
        <v>0</v>
      </c>
      <c r="BK34" s="2017">
        <f>SUMIF('91_02_ВГО'!$C$43:$C$10357,"*2110300*",'91_02_ВГО'!$I$43:$I$10357)+SUMIF('91_02_ВГО'!$C$43:$C$10357,"*2110400*",'91_02_ВГО'!$I$43:$I$10357)</f>
        <v>0</v>
      </c>
      <c r="BL34" s="2017">
        <f>SUMIF('91_02_ВГО'!$C$43:$C$10357,"*2130260*",'91_02_ВГО'!$I$43:$I$10357)</f>
        <v>0</v>
      </c>
      <c r="BM34" s="2017">
        <f>SUMIF('91_02_ВГО'!$C$43:$C$10357,"*2130270*",'91_02_ВГО'!$I$43:$I$10357)</f>
        <v>0</v>
      </c>
      <c r="BN34" s="2017">
        <f>SUMIF('91_02_ВГО'!$C$43:$C$10357,"*2970000*",'91_02_ВГО'!$I$43:$I$10357)</f>
        <v>0</v>
      </c>
      <c r="BO34" s="2017">
        <f>SUMIF('91_02_ВГО'!$C$43:$C$10357,"*2221200*",'91_02_ВГО'!$I$43:$I$10357)</f>
        <v>0</v>
      </c>
      <c r="BP34" s="2017">
        <f>SUMIF('91_02_ВГО'!$C$43:$C$10357,"*2221300*",'91_02_ВГО'!$I$43:$I$10357)</f>
        <v>0</v>
      </c>
      <c r="BQ34" s="2017">
        <f>SUMIF('91_02_ВГО'!$C$43:$C$10357,"*2231400*",'91_02_ВГО'!$I$43:$I$10357)</f>
        <v>0</v>
      </c>
      <c r="BS34"/>
      <c r="BU34"/>
      <c r="BV34" s="24"/>
      <c r="BX34" s="24"/>
    </row>
    <row r="35" spans="1:76">
      <c r="A35" s="9"/>
      <c r="B35" s="207"/>
      <c r="C35" s="202" t="s">
        <v>9986</v>
      </c>
      <c r="D35" s="200" t="s">
        <v>4184</v>
      </c>
      <c r="E35" s="200" t="s">
        <v>4184</v>
      </c>
      <c r="F35" s="200" t="s">
        <v>4184</v>
      </c>
      <c r="G35" s="200" t="s">
        <v>4184</v>
      </c>
      <c r="H35" s="184">
        <f>'91_01_ВГО'!K32</f>
        <v>0</v>
      </c>
      <c r="I35" s="246"/>
      <c r="J35" s="2723"/>
      <c r="K35" s="2592" t="b">
        <f>AND($K$36:$K$5002)</f>
        <v>1</v>
      </c>
      <c r="L35" s="2592" t="b">
        <f>AND($L$36:$L$5002)</f>
        <v>1</v>
      </c>
      <c r="M35" s="2592" t="b">
        <f>AND($M$36:$M$5002)</f>
        <v>1</v>
      </c>
      <c r="N35" s="2590" t="b">
        <f>AND($N$36:$N$5002)</f>
        <v>1</v>
      </c>
      <c r="O35" s="2590" t="b">
        <f>AND($O$36:$O$5002)</f>
        <v>1</v>
      </c>
      <c r="P35" s="24" t="b">
        <f>AND(P36:P3002)</f>
        <v>1</v>
      </c>
      <c r="Q35" s="105" t="b">
        <f>AND(Q36:Q3002)</f>
        <v>1</v>
      </c>
      <c r="R35" s="2012"/>
      <c r="S35" s="2013" t="s">
        <v>5244</v>
      </c>
      <c r="T35" s="2013" t="s">
        <v>3527</v>
      </c>
      <c r="U35" s="2014">
        <f t="shared" ref="U35:BC35" si="1">SUM(U31:U34)</f>
        <v>0</v>
      </c>
      <c r="V35" s="2014">
        <f>SUM(V31:V34)</f>
        <v>0</v>
      </c>
      <c r="W35" s="2014">
        <f>SUM(W31:W34)</f>
        <v>0</v>
      </c>
      <c r="X35" s="2014">
        <f>SUM(X31:X34)</f>
        <v>0</v>
      </c>
      <c r="Y35" s="2014">
        <f>SUM(Y31:Y34)</f>
        <v>0</v>
      </c>
      <c r="Z35" s="2014">
        <f>SUM(Z31:Z34)</f>
        <v>0</v>
      </c>
      <c r="AA35" s="2014">
        <f t="shared" si="1"/>
        <v>0</v>
      </c>
      <c r="AB35" s="2014">
        <f t="shared" ref="AB35:AH35" si="2">SUM(AB31:AB34)</f>
        <v>0</v>
      </c>
      <c r="AC35" s="2014">
        <f t="shared" si="2"/>
        <v>0</v>
      </c>
      <c r="AD35" s="2014">
        <f t="shared" si="2"/>
        <v>0</v>
      </c>
      <c r="AE35" s="2014">
        <f t="shared" si="2"/>
        <v>0</v>
      </c>
      <c r="AF35" s="2014">
        <f t="shared" si="2"/>
        <v>0</v>
      </c>
      <c r="AG35" s="2014">
        <f t="shared" si="2"/>
        <v>0</v>
      </c>
      <c r="AH35" s="2014">
        <f t="shared" si="2"/>
        <v>0</v>
      </c>
      <c r="AI35" s="2014">
        <f t="shared" si="1"/>
        <v>0</v>
      </c>
      <c r="AJ35" s="2014">
        <f t="shared" si="1"/>
        <v>0</v>
      </c>
      <c r="AK35" s="2014">
        <f t="shared" si="1"/>
        <v>0</v>
      </c>
      <c r="AL35" s="2014">
        <f t="shared" si="1"/>
        <v>0</v>
      </c>
      <c r="AM35" s="2014">
        <f t="shared" si="1"/>
        <v>0</v>
      </c>
      <c r="AN35" s="2014">
        <f t="shared" si="1"/>
        <v>0</v>
      </c>
      <c r="AO35" s="2014">
        <f t="shared" si="1"/>
        <v>0</v>
      </c>
      <c r="AP35" s="2014">
        <f t="shared" si="1"/>
        <v>0</v>
      </c>
      <c r="AQ35" s="2014">
        <f t="shared" si="1"/>
        <v>0</v>
      </c>
      <c r="AR35" s="2014">
        <f t="shared" si="1"/>
        <v>0</v>
      </c>
      <c r="AS35" s="2014">
        <f t="shared" si="1"/>
        <v>0</v>
      </c>
      <c r="AT35" s="2014">
        <f t="shared" si="1"/>
        <v>0</v>
      </c>
      <c r="AU35" s="2014">
        <f t="shared" si="1"/>
        <v>0</v>
      </c>
      <c r="AV35" s="2014">
        <f t="shared" ref="AV35:BB35" si="3">SUM(AV31:AV34)</f>
        <v>0</v>
      </c>
      <c r="AW35" s="2014">
        <f t="shared" si="3"/>
        <v>0</v>
      </c>
      <c r="AX35" s="2014">
        <f t="shared" si="3"/>
        <v>0</v>
      </c>
      <c r="AY35" s="2014">
        <f t="shared" si="3"/>
        <v>0</v>
      </c>
      <c r="AZ35" s="2014">
        <f t="shared" si="3"/>
        <v>0</v>
      </c>
      <c r="BA35" s="2014">
        <f t="shared" si="3"/>
        <v>0</v>
      </c>
      <c r="BB35" s="2014">
        <f t="shared" si="3"/>
        <v>0</v>
      </c>
      <c r="BC35" s="2014">
        <f t="shared" si="1"/>
        <v>0</v>
      </c>
      <c r="BD35" s="2014">
        <f t="shared" ref="BD35:BQ35" si="4">SUM(BD31:BD34)</f>
        <v>0</v>
      </c>
      <c r="BE35" s="2014">
        <f t="shared" si="4"/>
        <v>0</v>
      </c>
      <c r="BF35" s="2014">
        <f t="shared" si="4"/>
        <v>0</v>
      </c>
      <c r="BG35" s="2014">
        <f t="shared" si="4"/>
        <v>0</v>
      </c>
      <c r="BH35" s="2014">
        <f t="shared" si="4"/>
        <v>0</v>
      </c>
      <c r="BI35" s="2014">
        <f t="shared" si="4"/>
        <v>0</v>
      </c>
      <c r="BJ35" s="2014">
        <f t="shared" si="4"/>
        <v>0</v>
      </c>
      <c r="BK35" s="2014">
        <f t="shared" si="4"/>
        <v>0</v>
      </c>
      <c r="BL35" s="2014">
        <f t="shared" si="4"/>
        <v>0</v>
      </c>
      <c r="BM35" s="2014">
        <f t="shared" si="4"/>
        <v>0</v>
      </c>
      <c r="BN35" s="2014">
        <f t="shared" si="4"/>
        <v>0</v>
      </c>
      <c r="BO35" s="2014">
        <f t="shared" ref="BO35:BP35" si="5">SUM(BO31:BO34)</f>
        <v>0</v>
      </c>
      <c r="BP35" s="2014">
        <f t="shared" si="5"/>
        <v>0</v>
      </c>
      <c r="BQ35" s="2014">
        <f t="shared" si="4"/>
        <v>0</v>
      </c>
      <c r="BS35"/>
      <c r="BU35"/>
      <c r="BV35" s="24"/>
      <c r="BX35" s="24"/>
    </row>
    <row r="36" spans="1:76">
      <c r="A36" s="9" t="str">
        <f>"R11="&amp;IFERROR(MID(C36,FIND("{",C36)+1,FIND("}",C36)-FIND("{",C36)-1),"")&amp;";R12="&amp;IFERROR(MID(D36,FIND("{",D36)+1,FIND("}",D36)-FIND("{",D36)-1),"")&amp;";R36="&amp;MID(G36,1,30)&amp;";R43="&amp;MID(F36,1,30)&amp;";COM="&amp;I36</f>
        <v>R11=;R12=;R36=;R43=;COM=</v>
      </c>
      <c r="B36" s="207"/>
      <c r="C36" s="1499"/>
      <c r="D36" s="554" t="str">
        <f>IF(ISNA(VLOOKUP(C36,Справочник!$H$4:$I$537,2,0)),"-",VLOOKUP(C36,Справочник!$H$4:$I$537,2,0))</f>
        <v>-</v>
      </c>
      <c r="E36" s="1754"/>
      <c r="F36" s="885"/>
      <c r="G36" s="1001"/>
      <c r="H36" s="1754"/>
      <c r="I36" s="246"/>
      <c r="J36" s="196">
        <f>IF(OR(IF(TEXT(LEFT(F36,1),"0")="0",TRUE,FALSE),ISERROR(F36*1)),F36,F36*1)</f>
        <v>0</v>
      </c>
      <c r="K36" s="196" t="b">
        <f>IF(H36&lt;&gt;"",AND(E36&lt;&gt;"",G36&lt;&gt;""),TRUE)</f>
        <v>1</v>
      </c>
      <c r="L36" s="196" t="b">
        <f xml:space="preserve"> IF(OR(J36=7704765961,J36=5256065824,J36=7703197508,C36="{1230400} Доходы в виде сумм восстановленных оценочных обязательств по судебным искам",IFERROR(VLOOKUP(J36*1,Список_компаний!B:N,11,0),TRUE)="Да"),TRUE,ISNA(VLOOKUP(J36,_icompindex,1,FALSE)))</f>
        <v>1</v>
      </c>
      <c r="M36" s="196" t="b">
        <f>IF(C36="{1230400} Доходы в виде сумм восстановленных оценочных обязательств по судебным искам",TRUE,IF(AND(IFERROR(VLOOKUP(G36*1,Список_компаний!C:F,4,0),TRUE)="Да",IFERROR(VLOOKUP(G36*1,Список_компаний!C:N,10,0),TRUE)=""),FALSE,TRUE))</f>
        <v>1</v>
      </c>
      <c r="N36" s="1569" t="b">
        <f t="shared" ref="N36:N58" si="6">IF(OR($I$6="Атомфонд",$I$6="Атомгарант"),IF(C36&lt;&gt;"",IF(ISNA(VLOOKUP(C36,_2240_9220_Д,1,0)),FALSE,TRUE),TRUE),IF(C36&lt;&gt;"",IF(ISNA(VLOOKUP(C36,_2240_Доходы,1,0)),FALSE,TRUE),TRUE))</f>
        <v>1</v>
      </c>
      <c r="O36" s="1569" t="b">
        <f t="shared" ref="O36:O44" si="7">H36&lt;=0</f>
        <v>1</v>
      </c>
      <c r="P36" s="24" t="b">
        <f t="shared" ref="P36:P57" si="8">IF(C36="{1999900} Другие доходы (нетто)",IF(H36&lt;-1000,IF(LEN(I36)&gt;5,TRUE,FALSE),TRUE),TRUE)</f>
        <v>1</v>
      </c>
      <c r="Q36" s="173" t="b">
        <f t="shared" ref="Q36:Q57" si="9">IF(AND(C36="{1230400} Доходы в виде сумм восстановленных оценочных обязательств по судебным искам",OR(F36="Внешние контрагенты",E36="Внешние контрагенты",G36=10015,G36="10015")),FALSE,TRUE)</f>
        <v>1</v>
      </c>
      <c r="R36" s="2018" t="s">
        <v>4625</v>
      </c>
      <c r="S36" s="2019">
        <f>SUM($U$31:$BQ$32)</f>
        <v>0</v>
      </c>
      <c r="T36" s="2020">
        <f>SUM(U36:BQ36)</f>
        <v>0</v>
      </c>
      <c r="U36" s="2021">
        <f>IF(ABS(SUM(U$31:U$32))&lt;ABS(SUM(U$33:U$34)),0,U$35)</f>
        <v>0</v>
      </c>
      <c r="V36" s="2021">
        <f t="shared" ref="V36:BC36" si="10">IF(ABS(SUM(V$31:V$32))&lt;ABS(SUM(V$33:V$34)),0,V$35)</f>
        <v>0</v>
      </c>
      <c r="W36" s="2021">
        <f t="shared" si="10"/>
        <v>0</v>
      </c>
      <c r="X36" s="2021">
        <f t="shared" si="10"/>
        <v>0</v>
      </c>
      <c r="Y36" s="2021">
        <f>IF(ABS(SUM(Y$31:Y$32))&lt;ABS(SUM(Y$33:Y$34)),0,Y$35)</f>
        <v>0</v>
      </c>
      <c r="Z36" s="2021">
        <f t="shared" si="10"/>
        <v>0</v>
      </c>
      <c r="AA36" s="2021">
        <f t="shared" si="10"/>
        <v>0</v>
      </c>
      <c r="AB36" s="2021">
        <f t="shared" si="10"/>
        <v>0</v>
      </c>
      <c r="AC36" s="3973">
        <f>IF(ABS(SUM(AC$31:AG$32))&lt;ABS(SUM(AC$33:AG$34)),0,SUM($AC$35:$AG$35))</f>
        <v>0</v>
      </c>
      <c r="AD36" s="3974"/>
      <c r="AE36" s="3974"/>
      <c r="AF36" s="3974"/>
      <c r="AG36" s="3975"/>
      <c r="AH36" s="2021">
        <f t="shared" ref="AH36" si="11">IF(ABS(SUM(AH$31:AH$32))&lt;ABS(SUM(AH$33:AH$34)),0,AH$35)</f>
        <v>0</v>
      </c>
      <c r="AI36" s="2021">
        <f t="shared" si="10"/>
        <v>0</v>
      </c>
      <c r="AJ36" s="2021">
        <f t="shared" si="10"/>
        <v>0</v>
      </c>
      <c r="AK36" s="2021">
        <f t="shared" si="10"/>
        <v>0</v>
      </c>
      <c r="AL36" s="2021">
        <f t="shared" si="10"/>
        <v>0</v>
      </c>
      <c r="AM36" s="2021">
        <f t="shared" si="10"/>
        <v>0</v>
      </c>
      <c r="AN36" s="2021">
        <f t="shared" si="10"/>
        <v>0</v>
      </c>
      <c r="AO36" s="2021">
        <f t="shared" si="10"/>
        <v>0</v>
      </c>
      <c r="AP36" s="2021">
        <f t="shared" si="10"/>
        <v>0</v>
      </c>
      <c r="AQ36" s="2021">
        <f t="shared" si="10"/>
        <v>0</v>
      </c>
      <c r="AR36" s="2021">
        <f t="shared" si="10"/>
        <v>0</v>
      </c>
      <c r="AS36" s="2021">
        <f t="shared" si="10"/>
        <v>0</v>
      </c>
      <c r="AT36" s="2021">
        <f t="shared" si="10"/>
        <v>0</v>
      </c>
      <c r="AU36" s="2021">
        <f t="shared" si="10"/>
        <v>0</v>
      </c>
      <c r="AV36" s="2021">
        <f t="shared" si="10"/>
        <v>0</v>
      </c>
      <c r="AW36" s="2021">
        <f t="shared" si="10"/>
        <v>0</v>
      </c>
      <c r="AX36" s="2021">
        <f t="shared" si="10"/>
        <v>0</v>
      </c>
      <c r="AY36" s="2021">
        <f t="shared" si="10"/>
        <v>0</v>
      </c>
      <c r="AZ36" s="2021">
        <f t="shared" si="10"/>
        <v>0</v>
      </c>
      <c r="BA36" s="2021">
        <f t="shared" si="10"/>
        <v>0</v>
      </c>
      <c r="BB36" s="2021">
        <f t="shared" si="10"/>
        <v>0</v>
      </c>
      <c r="BC36" s="2021">
        <f t="shared" si="10"/>
        <v>0</v>
      </c>
      <c r="BD36" s="2021">
        <f t="shared" ref="BD36:BQ36" si="12">IF(ABS(SUM(BD$31:BD$32))&lt;ABS(SUM(BD$33:BD$34)),0,BD$35)</f>
        <v>0</v>
      </c>
      <c r="BE36" s="2021">
        <f t="shared" si="12"/>
        <v>0</v>
      </c>
      <c r="BF36" s="2021">
        <f t="shared" si="12"/>
        <v>0</v>
      </c>
      <c r="BG36" s="2021">
        <f t="shared" si="12"/>
        <v>0</v>
      </c>
      <c r="BH36" s="2021">
        <f t="shared" si="12"/>
        <v>0</v>
      </c>
      <c r="BI36" s="2021">
        <f t="shared" si="12"/>
        <v>0</v>
      </c>
      <c r="BJ36" s="2021">
        <f t="shared" si="12"/>
        <v>0</v>
      </c>
      <c r="BK36" s="2021">
        <f t="shared" si="12"/>
        <v>0</v>
      </c>
      <c r="BL36" s="2021">
        <f t="shared" si="12"/>
        <v>0</v>
      </c>
      <c r="BM36" s="2021">
        <f t="shared" si="12"/>
        <v>0</v>
      </c>
      <c r="BN36" s="2021">
        <f t="shared" si="12"/>
        <v>0</v>
      </c>
      <c r="BO36" s="2021">
        <f t="shared" si="12"/>
        <v>0</v>
      </c>
      <c r="BP36" s="2021">
        <f t="shared" si="12"/>
        <v>0</v>
      </c>
      <c r="BQ36" s="2021">
        <f t="shared" si="12"/>
        <v>0</v>
      </c>
      <c r="BS36"/>
      <c r="BU36"/>
      <c r="BV36" s="24"/>
      <c r="BX36" s="24"/>
    </row>
    <row r="37" spans="1:76">
      <c r="A37" s="9" t="str">
        <f t="shared" ref="A37:A44" si="13">"R11="&amp;IFERROR(MID(C37,FIND("{",C37)+1,FIND("}",C37)-FIND("{",C37)-1),"")&amp;";R12="&amp;IFERROR(MID(D37,FIND("{",D37)+1,FIND("}",D37)-FIND("{",D37)-1),"")&amp;";R36="&amp;MID(G37,1,30)&amp;";R43="&amp;MID(F37,1,30)&amp;";COM="&amp;I37</f>
        <v>R11=;R12=;R36=;R43=;COM=</v>
      </c>
      <c r="C37" s="1499"/>
      <c r="D37" s="554" t="str">
        <f>IF(ISNA(VLOOKUP(C37,Справочник!$H$4:$I$537,2,0)),"-",VLOOKUP(C37,Справочник!$H$4:$I$537,2,0))</f>
        <v>-</v>
      </c>
      <c r="E37" s="1754"/>
      <c r="F37" s="2444"/>
      <c r="G37" s="1001"/>
      <c r="H37" s="1754"/>
      <c r="I37" s="246"/>
      <c r="J37" s="196">
        <f t="shared" ref="J37:J44" si="14">IF(OR(IF(TEXT(LEFT(F37,1),"0")="0",TRUE,FALSE),ISERROR(F37*1)),F37,F37*1)</f>
        <v>0</v>
      </c>
      <c r="K37" s="196" t="b">
        <f t="shared" ref="K37:K58" si="15">IF(H37&lt;&gt;"",AND(E37&lt;&gt;"",G37&lt;&gt;""),TRUE)</f>
        <v>1</v>
      </c>
      <c r="L37" s="196" t="b">
        <f xml:space="preserve"> IF(OR(J37=7704765961,J37=5256065824,J37=7703197508,C37="{1230400} Доходы в виде сумм восстановленных оценочных обязательств по судебным искам",IFERROR(VLOOKUP(J37*1,Список_компаний!B:N,11,0),TRUE)="Да"),TRUE,ISNA(VLOOKUP(J37,_icompindex,1,FALSE)))</f>
        <v>1</v>
      </c>
      <c r="M37" s="196" t="b">
        <f>IF(C37="{1230400} Доходы в виде сумм восстановленных оценочных обязательств по судебным искам",TRUE,IF(AND(IFERROR(VLOOKUP(G37*1,Список_компаний!C:F,4,0),TRUE)="Да",IFERROR(VLOOKUP(G37*1,Список_компаний!C:N,10,0),TRUE)=""),FALSE,TRUE))</f>
        <v>1</v>
      </c>
      <c r="N37" s="1569" t="b">
        <f t="shared" si="6"/>
        <v>1</v>
      </c>
      <c r="O37" s="1569" t="b">
        <f t="shared" si="7"/>
        <v>1</v>
      </c>
      <c r="P37" s="24" t="b">
        <f t="shared" si="8"/>
        <v>1</v>
      </c>
      <c r="Q37" s="173" t="b">
        <f t="shared" si="9"/>
        <v>1</v>
      </c>
      <c r="R37" s="2018" t="s">
        <v>4627</v>
      </c>
      <c r="S37" s="2019">
        <f>SUM($U$33:$BQ$34)</f>
        <v>0</v>
      </c>
      <c r="T37" s="2020">
        <f>SUM(U37:BQ37)</f>
        <v>0</v>
      </c>
      <c r="U37" s="2021">
        <f>IF(ABS(SUM(U$31:U$32))&lt;ABS(SUM(U$33:U$34)),U$35,0)</f>
        <v>0</v>
      </c>
      <c r="V37" s="2021">
        <f t="shared" ref="V37:BC37" si="16">IF(ABS(SUM(V$31:V$32))&lt;ABS(SUM(V$33:V$34)),V$35,0)</f>
        <v>0</v>
      </c>
      <c r="W37" s="2021">
        <f t="shared" si="16"/>
        <v>0</v>
      </c>
      <c r="X37" s="2021">
        <f t="shared" si="16"/>
        <v>0</v>
      </c>
      <c r="Y37" s="2021">
        <f>IF(ABS(SUM(Y$31:Y$32))&lt;ABS(SUM(Y$33:Y$34)),Y$35,0)</f>
        <v>0</v>
      </c>
      <c r="Z37" s="2021">
        <f t="shared" si="16"/>
        <v>0</v>
      </c>
      <c r="AA37" s="2021">
        <f t="shared" si="16"/>
        <v>0</v>
      </c>
      <c r="AB37" s="2021">
        <f t="shared" si="16"/>
        <v>0</v>
      </c>
      <c r="AC37" s="3973">
        <f>IF(ABS(SUM(AC$31:AG$32))&lt;ABS(SUM(AC$33:AG$34)),SUM($AC$35:$AG$35),0)</f>
        <v>0</v>
      </c>
      <c r="AD37" s="3974"/>
      <c r="AE37" s="3974"/>
      <c r="AF37" s="3974"/>
      <c r="AG37" s="3975"/>
      <c r="AH37" s="2021">
        <f t="shared" ref="AH37" si="17">IF(ABS(SUM(AH$31:AH$32))&lt;ABS(SUM(AH$33:AH$34)),AH$35,0)</f>
        <v>0</v>
      </c>
      <c r="AI37" s="2021">
        <f t="shared" si="16"/>
        <v>0</v>
      </c>
      <c r="AJ37" s="2021">
        <f t="shared" si="16"/>
        <v>0</v>
      </c>
      <c r="AK37" s="2021">
        <f t="shared" si="16"/>
        <v>0</v>
      </c>
      <c r="AL37" s="2021">
        <f t="shared" si="16"/>
        <v>0</v>
      </c>
      <c r="AM37" s="2021">
        <f t="shared" si="16"/>
        <v>0</v>
      </c>
      <c r="AN37" s="2021">
        <f t="shared" si="16"/>
        <v>0</v>
      </c>
      <c r="AO37" s="2021">
        <f t="shared" si="16"/>
        <v>0</v>
      </c>
      <c r="AP37" s="2021">
        <f t="shared" si="16"/>
        <v>0</v>
      </c>
      <c r="AQ37" s="2021">
        <f t="shared" si="16"/>
        <v>0</v>
      </c>
      <c r="AR37" s="2021">
        <f t="shared" si="16"/>
        <v>0</v>
      </c>
      <c r="AS37" s="2021">
        <f t="shared" si="16"/>
        <v>0</v>
      </c>
      <c r="AT37" s="2021">
        <f t="shared" si="16"/>
        <v>0</v>
      </c>
      <c r="AU37" s="2021">
        <f t="shared" si="16"/>
        <v>0</v>
      </c>
      <c r="AV37" s="2021">
        <f t="shared" si="16"/>
        <v>0</v>
      </c>
      <c r="AW37" s="2021">
        <f t="shared" si="16"/>
        <v>0</v>
      </c>
      <c r="AX37" s="2021">
        <f t="shared" si="16"/>
        <v>0</v>
      </c>
      <c r="AY37" s="2021">
        <f t="shared" si="16"/>
        <v>0</v>
      </c>
      <c r="AZ37" s="2021">
        <f t="shared" si="16"/>
        <v>0</v>
      </c>
      <c r="BA37" s="2021">
        <f t="shared" si="16"/>
        <v>0</v>
      </c>
      <c r="BB37" s="2021">
        <f t="shared" si="16"/>
        <v>0</v>
      </c>
      <c r="BC37" s="2021">
        <f t="shared" si="16"/>
        <v>0</v>
      </c>
      <c r="BD37" s="2021">
        <f t="shared" ref="BD37:BQ37" si="18">IF(ABS(SUM(BD$31:BD$32))&lt;ABS(SUM(BD$33:BD$34)),BD$35,0)</f>
        <v>0</v>
      </c>
      <c r="BE37" s="2021">
        <f t="shared" si="18"/>
        <v>0</v>
      </c>
      <c r="BF37" s="2021">
        <f t="shared" si="18"/>
        <v>0</v>
      </c>
      <c r="BG37" s="2021">
        <f t="shared" si="18"/>
        <v>0</v>
      </c>
      <c r="BH37" s="2021">
        <f t="shared" si="18"/>
        <v>0</v>
      </c>
      <c r="BI37" s="2021">
        <f t="shared" si="18"/>
        <v>0</v>
      </c>
      <c r="BJ37" s="2021">
        <f t="shared" si="18"/>
        <v>0</v>
      </c>
      <c r="BK37" s="2021">
        <f t="shared" si="18"/>
        <v>0</v>
      </c>
      <c r="BL37" s="2021">
        <f t="shared" si="18"/>
        <v>0</v>
      </c>
      <c r="BM37" s="2021">
        <f t="shared" si="18"/>
        <v>0</v>
      </c>
      <c r="BN37" s="2021">
        <f t="shared" si="18"/>
        <v>0</v>
      </c>
      <c r="BO37" s="2021">
        <f t="shared" si="18"/>
        <v>0</v>
      </c>
      <c r="BP37" s="2021">
        <f t="shared" si="18"/>
        <v>0</v>
      </c>
      <c r="BQ37" s="2021">
        <f t="shared" si="18"/>
        <v>0</v>
      </c>
      <c r="BS37"/>
      <c r="BU37"/>
      <c r="BV37" s="24"/>
      <c r="BX37" s="24"/>
    </row>
    <row r="38" spans="1:76">
      <c r="A38" s="9" t="str">
        <f t="shared" si="13"/>
        <v>R11=;R12=;R36=;R43=;COM=</v>
      </c>
      <c r="C38" s="1499"/>
      <c r="D38" s="554" t="str">
        <f>IF(ISNA(VLOOKUP(C38,Справочник!$H$4:$I$537,2,0)),"-",VLOOKUP(C38,Справочник!$H$4:$I$537,2,0))</f>
        <v>-</v>
      </c>
      <c r="E38" s="1754"/>
      <c r="F38" s="2444"/>
      <c r="G38" s="2444"/>
      <c r="H38" s="1754"/>
      <c r="I38" s="246"/>
      <c r="J38" s="196">
        <f t="shared" si="14"/>
        <v>0</v>
      </c>
      <c r="K38" s="196" t="b">
        <f t="shared" si="15"/>
        <v>1</v>
      </c>
      <c r="L38" s="196" t="b">
        <f xml:space="preserve"> IF(OR(J38=7704765961,J38=5256065824,J38=7703197508,C38="{1230400} Доходы в виде сумм восстановленных оценочных обязательств по судебным искам",IFERROR(VLOOKUP(J38*1,Список_компаний!B:N,11,0),TRUE)="Да"),TRUE,ISNA(VLOOKUP(J38,_icompindex,1,FALSE)))</f>
        <v>1</v>
      </c>
      <c r="M38" s="196" t="b">
        <f>IF(C38="{1230400} Доходы в виде сумм восстановленных оценочных обязательств по судебным искам",TRUE,IF(AND(IFERROR(VLOOKUP(G38*1,Список_компаний!C:F,4,0),TRUE)="Да",IFERROR(VLOOKUP(G38*1,Список_компаний!C:N,10,0),TRUE)=""),FALSE,TRUE))</f>
        <v>1</v>
      </c>
      <c r="N38" s="1569" t="b">
        <f t="shared" si="6"/>
        <v>1</v>
      </c>
      <c r="O38" s="1569" t="b">
        <f t="shared" si="7"/>
        <v>1</v>
      </c>
      <c r="P38" s="24" t="b">
        <f t="shared" si="8"/>
        <v>1</v>
      </c>
      <c r="Q38" s="173" t="b">
        <f t="shared" si="9"/>
        <v>1</v>
      </c>
      <c r="R38" s="698"/>
      <c r="S38" s="698"/>
      <c r="T38" s="698"/>
      <c r="U38" s="698"/>
      <c r="V38" s="698"/>
      <c r="W38" s="698"/>
      <c r="X38" s="698"/>
      <c r="Y38" s="698"/>
      <c r="Z38" s="698"/>
      <c r="AA38" s="698"/>
      <c r="AB38" s="698"/>
      <c r="AC38" s="698"/>
      <c r="AD38" s="698"/>
      <c r="AE38" s="698"/>
      <c r="AF38" s="698"/>
      <c r="AG38" s="698"/>
      <c r="AH38" s="698"/>
      <c r="AI38" s="698"/>
      <c r="AJ38" s="698"/>
      <c r="AK38" s="698"/>
      <c r="AL38" s="698"/>
      <c r="AM38" s="698"/>
      <c r="AN38" s="698"/>
      <c r="AO38" s="698"/>
      <c r="AP38" s="698"/>
      <c r="AQ38" s="698"/>
      <c r="AR38" s="698"/>
      <c r="AS38" s="698"/>
      <c r="AT38" s="698"/>
      <c r="AU38" s="698"/>
      <c r="AV38" s="698"/>
      <c r="AW38" s="698"/>
      <c r="AX38" s="698"/>
      <c r="AY38" s="698"/>
      <c r="AZ38" s="698"/>
      <c r="BA38" s="698"/>
      <c r="BB38" s="698"/>
      <c r="BC38" s="698"/>
      <c r="BD38" s="698"/>
      <c r="BE38" s="698"/>
      <c r="BF38" s="698"/>
      <c r="BG38" s="698"/>
      <c r="BH38" s="698"/>
      <c r="BI38" s="698"/>
      <c r="BJ38" s="698"/>
      <c r="BK38" s="698"/>
      <c r="BL38" s="698"/>
      <c r="BM38" s="698"/>
      <c r="BN38" s="698"/>
      <c r="BO38" s="698"/>
      <c r="BP38" s="698"/>
    </row>
    <row r="39" spans="1:76">
      <c r="A39" s="9" t="str">
        <f t="shared" si="13"/>
        <v>R11=;R12=;R36=;R43=;COM=</v>
      </c>
      <c r="C39" s="1499"/>
      <c r="D39" s="554" t="str">
        <f>IF(ISNA(VLOOKUP(C39,Справочник!$H$4:$I$537,2,0)),"-",VLOOKUP(C39,Справочник!$H$4:$I$537,2,0))</f>
        <v>-</v>
      </c>
      <c r="E39" s="1754"/>
      <c r="F39" s="2444"/>
      <c r="G39" s="2444"/>
      <c r="H39" s="1754"/>
      <c r="I39" s="246"/>
      <c r="J39" s="196">
        <f t="shared" si="14"/>
        <v>0</v>
      </c>
      <c r="K39" s="196" t="b">
        <f t="shared" si="15"/>
        <v>1</v>
      </c>
      <c r="L39" s="196" t="b">
        <f xml:space="preserve"> IF(OR(J39=7704765961,J39=5256065824,J39=7703197508,C39="{1230400} Доходы в виде сумм восстановленных оценочных обязательств по судебным искам",IFERROR(VLOOKUP(J39*1,Список_компаний!B:N,11,0),TRUE)="Да"),TRUE,ISNA(VLOOKUP(J39,_icompindex,1,FALSE)))</f>
        <v>1</v>
      </c>
      <c r="M39" s="196" t="b">
        <f>IF(C39="{1230400} Доходы в виде сумм восстановленных оценочных обязательств по судебным искам",TRUE,IF(AND(IFERROR(VLOOKUP(G39*1,Список_компаний!C:F,4,0),TRUE)="Да",IFERROR(VLOOKUP(G39*1,Список_компаний!C:N,10,0),TRUE)=""),FALSE,TRUE))</f>
        <v>1</v>
      </c>
      <c r="N39" s="1569" t="b">
        <f t="shared" si="6"/>
        <v>1</v>
      </c>
      <c r="O39" s="1569" t="b">
        <f t="shared" si="7"/>
        <v>1</v>
      </c>
      <c r="P39" s="24" t="b">
        <f t="shared" si="8"/>
        <v>1</v>
      </c>
      <c r="Q39" s="173" t="b">
        <f t="shared" si="9"/>
        <v>1</v>
      </c>
    </row>
    <row r="40" spans="1:76">
      <c r="A40" s="9" t="str">
        <f>"R11="&amp;IFERROR(MID(C40,FIND("{",C40)+1,FIND("}",C40)-FIND("{",C40)-1),"")&amp;";R12="&amp;IFERROR(MID(D40,FIND("{",D40)+1,FIND("}",D40)-FIND("{",D40)-1),"")&amp;";R36="&amp;MID(G40,1,30)&amp;";R43="&amp;MID(F40,1,30)&amp;";COM="&amp;I40</f>
        <v>R11=;R12=;R36=;R43=;COM=</v>
      </c>
      <c r="C40" s="1499"/>
      <c r="D40" s="554" t="str">
        <f>IF(ISNA(VLOOKUP(C40,Справочник!$H$4:$I$537,2,0)),"-",VLOOKUP(C40,Справочник!$H$4:$I$537,2,0))</f>
        <v>-</v>
      </c>
      <c r="E40" s="1754"/>
      <c r="F40" s="2444"/>
      <c r="G40" s="2444"/>
      <c r="H40" s="1754"/>
      <c r="I40" s="246"/>
      <c r="J40" s="196">
        <f t="shared" si="14"/>
        <v>0</v>
      </c>
      <c r="K40" s="196" t="b">
        <f t="shared" si="15"/>
        <v>1</v>
      </c>
      <c r="L40" s="196" t="b">
        <f xml:space="preserve"> IF(OR(J40=7704765961,J40=5256065824,J40=7703197508,C40="{1230400} Доходы в виде сумм восстановленных оценочных обязательств по судебным искам",IFERROR(VLOOKUP(J40*1,Список_компаний!B:N,11,0),TRUE)="Да"),TRUE,ISNA(VLOOKUP(J40,_icompindex,1,FALSE)))</f>
        <v>1</v>
      </c>
      <c r="M40" s="196" t="b">
        <f>IF(C40="{1230400} Доходы в виде сумм восстановленных оценочных обязательств по судебным искам",TRUE,IF(AND(IFERROR(VLOOKUP(G40*1,Список_компаний!C:F,4,0),TRUE)="Да",IFERROR(VLOOKUP(G40*1,Список_компаний!C:N,10,0),TRUE)=""),FALSE,TRUE))</f>
        <v>1</v>
      </c>
      <c r="N40" s="1569" t="b">
        <f t="shared" si="6"/>
        <v>1</v>
      </c>
      <c r="O40" s="1569" t="b">
        <f t="shared" si="7"/>
        <v>1</v>
      </c>
      <c r="P40" s="24" t="b">
        <f t="shared" si="8"/>
        <v>1</v>
      </c>
      <c r="Q40" s="173" t="b">
        <f t="shared" si="9"/>
        <v>1</v>
      </c>
      <c r="BK40" s="3467"/>
    </row>
    <row r="41" spans="1:76">
      <c r="A41" s="9" t="str">
        <f t="shared" si="13"/>
        <v>R11=;R12=;R36=;R43=;COM=</v>
      </c>
      <c r="C41" s="1499"/>
      <c r="D41" s="554" t="str">
        <f>IF(ISNA(VLOOKUP(C41,Справочник!$H$4:$I$537,2,0)),"-",VLOOKUP(C41,Справочник!$H$4:$I$537,2,0))</f>
        <v>-</v>
      </c>
      <c r="E41" s="1754"/>
      <c r="F41" s="2444"/>
      <c r="G41" s="2444"/>
      <c r="H41" s="1754"/>
      <c r="I41" s="246"/>
      <c r="J41" s="196">
        <f t="shared" si="14"/>
        <v>0</v>
      </c>
      <c r="K41" s="196" t="b">
        <f t="shared" si="15"/>
        <v>1</v>
      </c>
      <c r="L41" s="196" t="b">
        <f xml:space="preserve"> IF(OR(J41=7704765961,J41=5256065824,J41=7703197508,C41="{1230400} Доходы в виде сумм восстановленных оценочных обязательств по судебным искам",IFERROR(VLOOKUP(J41*1,Список_компаний!B:N,11,0),TRUE)="Да"),TRUE,ISNA(VLOOKUP(J41,_icompindex,1,FALSE)))</f>
        <v>1</v>
      </c>
      <c r="M41" s="196" t="b">
        <f>IF(C41="{1230400} Доходы в виде сумм восстановленных оценочных обязательств по судебным искам",TRUE,IF(AND(IFERROR(VLOOKUP(G41*1,Список_компаний!C:F,4,0),TRUE)="Да",IFERROR(VLOOKUP(G41*1,Список_компаний!C:N,10,0),TRUE)=""),FALSE,TRUE))</f>
        <v>1</v>
      </c>
      <c r="N41" s="1569" t="b">
        <f t="shared" si="6"/>
        <v>1</v>
      </c>
      <c r="O41" s="1569" t="b">
        <f t="shared" si="7"/>
        <v>1</v>
      </c>
      <c r="P41" s="24" t="b">
        <f t="shared" si="8"/>
        <v>1</v>
      </c>
      <c r="Q41" s="173" t="b">
        <f t="shared" si="9"/>
        <v>1</v>
      </c>
      <c r="BJ41" s="3467"/>
    </row>
    <row r="42" spans="1:76">
      <c r="A42" s="9" t="str">
        <f t="shared" si="13"/>
        <v>R11=;R12=;R36=;R43=;COM=</v>
      </c>
      <c r="C42" s="1499"/>
      <c r="D42" s="554" t="str">
        <f>IF(ISNA(VLOOKUP(C42,Справочник!$H$4:$I$537,2,0)),"-",VLOOKUP(C42,Справочник!$H$4:$I$537,2,0))</f>
        <v>-</v>
      </c>
      <c r="E42" s="1754"/>
      <c r="F42" s="2444"/>
      <c r="G42" s="2444"/>
      <c r="H42" s="1754"/>
      <c r="I42" s="246"/>
      <c r="J42" s="196">
        <f t="shared" si="14"/>
        <v>0</v>
      </c>
      <c r="K42" s="196" t="b">
        <f t="shared" si="15"/>
        <v>1</v>
      </c>
      <c r="L42" s="196" t="b">
        <f xml:space="preserve"> IF(OR(J42=7704765961,J42=5256065824,J42=7703197508,C42="{1230400} Доходы в виде сумм восстановленных оценочных обязательств по судебным искам",IFERROR(VLOOKUP(J42*1,Список_компаний!B:N,11,0),TRUE)="Да"),TRUE,ISNA(VLOOKUP(J42,_icompindex,1,FALSE)))</f>
        <v>1</v>
      </c>
      <c r="M42" s="196" t="b">
        <f>IF(C42="{1230400} Доходы в виде сумм восстановленных оценочных обязательств по судебным искам",TRUE,IF(AND(IFERROR(VLOOKUP(G42*1,Список_компаний!C:F,4,0),TRUE)="Да",IFERROR(VLOOKUP(G42*1,Список_компаний!C:N,10,0),TRUE)=""),FALSE,TRUE))</f>
        <v>1</v>
      </c>
      <c r="N42" s="1569" t="b">
        <f t="shared" si="6"/>
        <v>1</v>
      </c>
      <c r="O42" s="1569" t="b">
        <f t="shared" si="7"/>
        <v>1</v>
      </c>
      <c r="P42" s="24" t="b">
        <f t="shared" si="8"/>
        <v>1</v>
      </c>
      <c r="Q42" s="173" t="b">
        <f t="shared" si="9"/>
        <v>1</v>
      </c>
    </row>
    <row r="43" spans="1:76">
      <c r="A43" s="9" t="str">
        <f t="shared" si="13"/>
        <v>R11=;R12=;R36=;R43=;COM=</v>
      </c>
      <c r="C43" s="1499"/>
      <c r="D43" s="554" t="str">
        <f>IF(ISNA(VLOOKUP(C43,Справочник!$H$4:$I$537,2,0)),"-",VLOOKUP(C43,Справочник!$H$4:$I$537,2,0))</f>
        <v>-</v>
      </c>
      <c r="E43" s="1754"/>
      <c r="F43" s="2444"/>
      <c r="G43" s="2444"/>
      <c r="H43" s="1754"/>
      <c r="I43" s="246"/>
      <c r="J43" s="196">
        <f t="shared" si="14"/>
        <v>0</v>
      </c>
      <c r="K43" s="196" t="b">
        <f t="shared" si="15"/>
        <v>1</v>
      </c>
      <c r="L43" s="196" t="b">
        <f xml:space="preserve"> IF(OR(J43=7704765961,J43=5256065824,J43=7703197508,C43="{1230400} Доходы в виде сумм восстановленных оценочных обязательств по судебным искам",IFERROR(VLOOKUP(J43*1,Список_компаний!B:N,11,0),TRUE)="Да"),TRUE,ISNA(VLOOKUP(J43,_icompindex,1,FALSE)))</f>
        <v>1</v>
      </c>
      <c r="M43" s="196" t="b">
        <f>IF(C43="{1230400} Доходы в виде сумм восстановленных оценочных обязательств по судебным искам",TRUE,IF(AND(IFERROR(VLOOKUP(G43*1,Список_компаний!C:F,4,0),TRUE)="Да",IFERROR(VLOOKUP(G43*1,Список_компаний!C:N,10,0),TRUE)=""),FALSE,TRUE))</f>
        <v>1</v>
      </c>
      <c r="N43" s="1569" t="b">
        <f t="shared" si="6"/>
        <v>1</v>
      </c>
      <c r="O43" s="1569" t="b">
        <f t="shared" si="7"/>
        <v>1</v>
      </c>
      <c r="P43" s="24" t="b">
        <f t="shared" si="8"/>
        <v>1</v>
      </c>
      <c r="Q43" s="173" t="b">
        <f t="shared" si="9"/>
        <v>1</v>
      </c>
    </row>
    <row r="44" spans="1:76">
      <c r="A44" s="2427" t="str">
        <f t="shared" si="13"/>
        <v>R11=;R12=;R36=;R43=;COM=</v>
      </c>
      <c r="C44" s="1499"/>
      <c r="D44" s="554" t="str">
        <f>IF(ISNA(VLOOKUP(C44,Справочник!$H$4:$I$537,2,0)),"-",VLOOKUP(C44,Справочник!$H$4:$I$537,2,0))</f>
        <v>-</v>
      </c>
      <c r="E44" s="1754"/>
      <c r="F44" s="2444"/>
      <c r="G44" s="2444"/>
      <c r="H44" s="1754"/>
      <c r="I44" s="246"/>
      <c r="J44" s="196">
        <f t="shared" si="14"/>
        <v>0</v>
      </c>
      <c r="K44" s="196" t="b">
        <f t="shared" si="15"/>
        <v>1</v>
      </c>
      <c r="L44" s="196" t="b">
        <f xml:space="preserve"> IF(OR(J44=7704765961,J44=5256065824,J44=7703197508,C44="{1230400} Доходы в виде сумм восстановленных оценочных обязательств по судебным искам",IFERROR(VLOOKUP(J44*1,Список_компаний!B:N,11,0),TRUE)="Да"),TRUE,ISNA(VLOOKUP(J44,_icompindex,1,FALSE)))</f>
        <v>1</v>
      </c>
      <c r="M44" s="196" t="b">
        <f>IF(C44="{1230400} Доходы в виде сумм восстановленных оценочных обязательств по судебным искам",TRUE,IF(AND(IFERROR(VLOOKUP(G44*1,Список_компаний!C:F,4,0),TRUE)="Да",IFERROR(VLOOKUP(G44*1,Список_компаний!C:N,10,0),TRUE)=""),FALSE,TRUE))</f>
        <v>1</v>
      </c>
      <c r="N44" s="1569" t="b">
        <f t="shared" si="6"/>
        <v>1</v>
      </c>
      <c r="O44" s="1569" t="b">
        <f t="shared" si="7"/>
        <v>1</v>
      </c>
      <c r="P44" s="24" t="b">
        <f t="shared" si="8"/>
        <v>1</v>
      </c>
      <c r="Q44" s="173" t="b">
        <f t="shared" si="9"/>
        <v>1</v>
      </c>
    </row>
    <row r="45" spans="1:76">
      <c r="A45" s="2427" t="str">
        <f t="shared" ref="A45" si="19">"R11="&amp;IFERROR(MID(C45,FIND("{",C45)+1,FIND("}",C45)-FIND("{",C45)-1),"")&amp;";R12="&amp;IFERROR(MID(D45,FIND("{",D45)+1,FIND("}",D45)-FIND("{",D45)-1),"")&amp;";R36="&amp;MID(G45,1,30)&amp;";R43="&amp;MID(F45,1,30)&amp;";COM="&amp;I45</f>
        <v>R11=;R12=;R36=;R43=;COM=</v>
      </c>
      <c r="C45" s="1499"/>
      <c r="D45" s="554" t="str">
        <f>IF(ISNA(VLOOKUP(C45,Справочник!$H$4:$I$537,2,0)),"-",VLOOKUP(C45,Справочник!$H$4:$I$537,2,0))</f>
        <v>-</v>
      </c>
      <c r="E45" s="1754"/>
      <c r="F45" s="2444"/>
      <c r="G45" s="2444"/>
      <c r="H45" s="1754"/>
      <c r="I45" s="246"/>
      <c r="J45" s="196">
        <f t="shared" ref="J45" si="20">IF(OR(IF(TEXT(LEFT(F45,1),"0")="0",TRUE,FALSE),ISERROR(F45*1)),F45,F45*1)</f>
        <v>0</v>
      </c>
      <c r="K45" s="196" t="b">
        <f t="shared" si="15"/>
        <v>1</v>
      </c>
      <c r="L45" s="196" t="b">
        <f xml:space="preserve"> IF(OR(J45=7704765961,J45=5256065824,J45=7703197508,C45="{1230400} Доходы в виде сумм восстановленных оценочных обязательств по судебным искам",IFERROR(VLOOKUP(J45*1,Список_компаний!B:N,11,0),TRUE)="Да"),TRUE,ISNA(VLOOKUP(J45,_icompindex,1,FALSE)))</f>
        <v>1</v>
      </c>
      <c r="M45" s="196" t="b">
        <f>IF(C45="{1230400} Доходы в виде сумм восстановленных оценочных обязательств по судебным искам",TRUE,IF(AND(IFERROR(VLOOKUP(G45*1,Список_компаний!C:F,4,0),TRUE)="Да",IFERROR(VLOOKUP(G45*1,Список_компаний!C:N,10,0),TRUE)=""),FALSE,TRUE))</f>
        <v>1</v>
      </c>
      <c r="N45" s="1569" t="b">
        <f t="shared" si="6"/>
        <v>1</v>
      </c>
      <c r="O45" s="1569" t="b">
        <f t="shared" ref="O45" si="21">H45&lt;=0</f>
        <v>1</v>
      </c>
      <c r="P45" s="24" t="b">
        <f t="shared" si="8"/>
        <v>1</v>
      </c>
      <c r="Q45" s="173" t="b">
        <f t="shared" si="9"/>
        <v>1</v>
      </c>
    </row>
    <row r="46" spans="1:76">
      <c r="A46" s="2427" t="str">
        <f t="shared" ref="A46" si="22">"R11="&amp;IFERROR(MID(C46,FIND("{",C46)+1,FIND("}",C46)-FIND("{",C46)-1),"")&amp;";R12="&amp;IFERROR(MID(D46,FIND("{",D46)+1,FIND("}",D46)-FIND("{",D46)-1),"")&amp;";R36="&amp;MID(G46,1,30)&amp;";R43="&amp;MID(F46,1,30)&amp;";COM="&amp;I46</f>
        <v>R11=;R12=;R36=;R43=;COM=</v>
      </c>
      <c r="C46" s="1499"/>
      <c r="D46" s="554" t="str">
        <f>IF(ISNA(VLOOKUP(C46,Справочник!$H$4:$I$537,2,0)),"-",VLOOKUP(C46,Справочник!$H$4:$I$537,2,0))</f>
        <v>-</v>
      </c>
      <c r="E46" s="1754"/>
      <c r="F46" s="2444"/>
      <c r="G46" s="2444"/>
      <c r="H46" s="1754"/>
      <c r="I46" s="246"/>
      <c r="J46" s="196">
        <f t="shared" ref="J46" si="23">IF(OR(IF(TEXT(LEFT(F46,1),"0")="0",TRUE,FALSE),ISERROR(F46*1)),F46,F46*1)</f>
        <v>0</v>
      </c>
      <c r="K46" s="196" t="b">
        <f t="shared" si="15"/>
        <v>1</v>
      </c>
      <c r="L46" s="196" t="b">
        <f xml:space="preserve"> IF(OR(J46=7704765961,J46=5256065824,J46=7703197508,C46="{1230400} Доходы в виде сумм восстановленных оценочных обязательств по судебным искам",IFERROR(VLOOKUP(J46*1,Список_компаний!B:N,11,0),TRUE)="Да"),TRUE,ISNA(VLOOKUP(J46,_icompindex,1,FALSE)))</f>
        <v>1</v>
      </c>
      <c r="M46" s="196" t="b">
        <f>IF(C46="{1230400} Доходы в виде сумм восстановленных оценочных обязательств по судебным искам",TRUE,IF(AND(IFERROR(VLOOKUP(G46*1,Список_компаний!C:F,4,0),TRUE)="Да",IFERROR(VLOOKUP(G46*1,Список_компаний!C:N,10,0),TRUE)=""),FALSE,TRUE))</f>
        <v>1</v>
      </c>
      <c r="N46" s="1569" t="b">
        <f t="shared" si="6"/>
        <v>1</v>
      </c>
      <c r="O46" s="1569" t="b">
        <f t="shared" ref="O46" si="24">H46&lt;=0</f>
        <v>1</v>
      </c>
      <c r="P46" s="24" t="b">
        <f t="shared" si="8"/>
        <v>1</v>
      </c>
      <c r="Q46" s="173" t="b">
        <f t="shared" si="9"/>
        <v>1</v>
      </c>
    </row>
    <row r="47" spans="1:76">
      <c r="A47" s="2427" t="str">
        <f t="shared" ref="A47" si="25">"R11="&amp;IFERROR(MID(C47,FIND("{",C47)+1,FIND("}",C47)-FIND("{",C47)-1),"")&amp;";R12="&amp;IFERROR(MID(D47,FIND("{",D47)+1,FIND("}",D47)-FIND("{",D47)-1),"")&amp;";R36="&amp;MID(G47,1,30)&amp;";R43="&amp;MID(F47,1,30)&amp;";COM="&amp;I47</f>
        <v>R11=;R12=;R36=;R43=;COM=</v>
      </c>
      <c r="C47" s="1499"/>
      <c r="D47" s="554" t="str">
        <f>IF(ISNA(VLOOKUP(C47,Справочник!$H$4:$I$537,2,0)),"-",VLOOKUP(C47,Справочник!$H$4:$I$537,2,0))</f>
        <v>-</v>
      </c>
      <c r="E47" s="1754"/>
      <c r="F47" s="2444"/>
      <c r="G47" s="2444"/>
      <c r="H47" s="1754"/>
      <c r="I47" s="246"/>
      <c r="J47" s="196">
        <f t="shared" ref="J47" si="26">IF(OR(IF(TEXT(LEFT(F47,1),"0")="0",TRUE,FALSE),ISERROR(F47*1)),F47,F47*1)</f>
        <v>0</v>
      </c>
      <c r="K47" s="196" t="b">
        <f t="shared" si="15"/>
        <v>1</v>
      </c>
      <c r="L47" s="196" t="b">
        <f xml:space="preserve"> IF(OR(J47=7704765961,J47=5256065824,J47=7703197508,C47="{1230400} Доходы в виде сумм восстановленных оценочных обязательств по судебным искам",IFERROR(VLOOKUP(J47*1,Список_компаний!B:N,11,0),TRUE)="Да"),TRUE,ISNA(VLOOKUP(J47,_icompindex,1,FALSE)))</f>
        <v>1</v>
      </c>
      <c r="M47" s="196" t="b">
        <f>IF(C47="{1230400} Доходы в виде сумм восстановленных оценочных обязательств по судебным искам",TRUE,IF(AND(IFERROR(VLOOKUP(G47*1,Список_компаний!C:F,4,0),TRUE)="Да",IFERROR(VLOOKUP(G47*1,Список_компаний!C:N,10,0),TRUE)=""),FALSE,TRUE))</f>
        <v>1</v>
      </c>
      <c r="N47" s="1569" t="b">
        <f t="shared" si="6"/>
        <v>1</v>
      </c>
      <c r="O47" s="1569" t="b">
        <f t="shared" ref="O47" si="27">H47&lt;=0</f>
        <v>1</v>
      </c>
      <c r="P47" s="24" t="b">
        <f t="shared" si="8"/>
        <v>1</v>
      </c>
      <c r="Q47" s="173" t="b">
        <f t="shared" si="9"/>
        <v>1</v>
      </c>
    </row>
    <row r="48" spans="1:76">
      <c r="A48" s="2427" t="str">
        <f t="shared" ref="A48" si="28">"R11="&amp;IFERROR(MID(C48,FIND("{",C48)+1,FIND("}",C48)-FIND("{",C48)-1),"")&amp;";R12="&amp;IFERROR(MID(D48,FIND("{",D48)+1,FIND("}",D48)-FIND("{",D48)-1),"")&amp;";R36="&amp;MID(G48,1,30)&amp;";R43="&amp;MID(F48,1,30)&amp;";COM="&amp;I48</f>
        <v>R11=;R12=;R36=;R43=;COM=</v>
      </c>
      <c r="C48" s="1499"/>
      <c r="D48" s="554" t="str">
        <f>IF(ISNA(VLOOKUP(C48,Справочник!$H$4:$I$537,2,0)),"-",VLOOKUP(C48,Справочник!$H$4:$I$537,2,0))</f>
        <v>-</v>
      </c>
      <c r="E48" s="1754"/>
      <c r="F48" s="2444"/>
      <c r="G48" s="2444"/>
      <c r="H48" s="1754"/>
      <c r="I48" s="246"/>
      <c r="J48" s="196">
        <f t="shared" ref="J48" si="29">IF(OR(IF(TEXT(LEFT(F48,1),"0")="0",TRUE,FALSE),ISERROR(F48*1)),F48,F48*1)</f>
        <v>0</v>
      </c>
      <c r="K48" s="196" t="b">
        <f t="shared" si="15"/>
        <v>1</v>
      </c>
      <c r="L48" s="196" t="b">
        <f xml:space="preserve"> IF(OR(J48=7704765961,J48=5256065824,J48=7703197508,C48="{1230400} Доходы в виде сумм восстановленных оценочных обязательств по судебным искам",IFERROR(VLOOKUP(J48*1,Список_компаний!B:N,11,0),TRUE)="Да"),TRUE,ISNA(VLOOKUP(J48,_icompindex,1,FALSE)))</f>
        <v>1</v>
      </c>
      <c r="M48" s="196" t="b">
        <f>IF(C48="{1230400} Доходы в виде сумм восстановленных оценочных обязательств по судебным искам",TRUE,IF(AND(IFERROR(VLOOKUP(G48*1,Список_компаний!C:F,4,0),TRUE)="Да",IFERROR(VLOOKUP(G48*1,Список_компаний!C:N,10,0),TRUE)=""),FALSE,TRUE))</f>
        <v>1</v>
      </c>
      <c r="N48" s="1569" t="b">
        <f t="shared" si="6"/>
        <v>1</v>
      </c>
      <c r="O48" s="1569" t="b">
        <f t="shared" ref="O48" si="30">H48&lt;=0</f>
        <v>1</v>
      </c>
      <c r="P48" s="24" t="b">
        <f t="shared" si="8"/>
        <v>1</v>
      </c>
      <c r="Q48" s="173" t="b">
        <f t="shared" si="9"/>
        <v>1</v>
      </c>
    </row>
    <row r="49" spans="1:76">
      <c r="A49" s="2427" t="str">
        <f t="shared" ref="A49" si="31">"R11="&amp;IFERROR(MID(C49,FIND("{",C49)+1,FIND("}",C49)-FIND("{",C49)-1),"")&amp;";R12="&amp;IFERROR(MID(D49,FIND("{",D49)+1,FIND("}",D49)-FIND("{",D49)-1),"")&amp;";R36="&amp;MID(G49,1,30)&amp;";R43="&amp;MID(F49,1,30)&amp;";COM="&amp;I49</f>
        <v>R11=;R12=;R36=;R43=;COM=</v>
      </c>
      <c r="C49" s="1499"/>
      <c r="D49" s="554" t="str">
        <f>IF(ISNA(VLOOKUP(C49,Справочник!$H$4:$I$537,2,0)),"-",VLOOKUP(C49,Справочник!$H$4:$I$537,2,0))</f>
        <v>-</v>
      </c>
      <c r="E49" s="1754"/>
      <c r="F49" s="2444"/>
      <c r="G49" s="2444"/>
      <c r="H49" s="1754"/>
      <c r="I49" s="246"/>
      <c r="J49" s="196">
        <f t="shared" ref="J49" si="32">IF(OR(IF(TEXT(LEFT(F49,1),"0")="0",TRUE,FALSE),ISERROR(F49*1)),F49,F49*1)</f>
        <v>0</v>
      </c>
      <c r="K49" s="196" t="b">
        <f t="shared" si="15"/>
        <v>1</v>
      </c>
      <c r="L49" s="196" t="b">
        <f xml:space="preserve"> IF(OR(J49=7704765961,J49=5256065824,J49=7703197508,C49="{1230400} Доходы в виде сумм восстановленных оценочных обязательств по судебным искам",IFERROR(VLOOKUP(J49*1,Список_компаний!B:N,11,0),TRUE)="Да"),TRUE,ISNA(VLOOKUP(J49,_icompindex,1,FALSE)))</f>
        <v>1</v>
      </c>
      <c r="M49" s="196" t="b">
        <f>IF(C49="{1230400} Доходы в виде сумм восстановленных оценочных обязательств по судебным искам",TRUE,IF(AND(IFERROR(VLOOKUP(G49*1,Список_компаний!C:F,4,0),TRUE)="Да",IFERROR(VLOOKUP(G49*1,Список_компаний!C:N,10,0),TRUE)=""),FALSE,TRUE))</f>
        <v>1</v>
      </c>
      <c r="N49" s="1569" t="b">
        <f t="shared" si="6"/>
        <v>1</v>
      </c>
      <c r="O49" s="1569" t="b">
        <f t="shared" ref="O49" si="33">H49&lt;=0</f>
        <v>1</v>
      </c>
      <c r="P49" s="24" t="b">
        <f t="shared" si="8"/>
        <v>1</v>
      </c>
      <c r="Q49" s="173" t="b">
        <f t="shared" si="9"/>
        <v>1</v>
      </c>
    </row>
    <row r="50" spans="1:76">
      <c r="A50" s="2427" t="str">
        <f t="shared" ref="A50" si="34">"R11="&amp;IFERROR(MID(C50,FIND("{",C50)+1,FIND("}",C50)-FIND("{",C50)-1),"")&amp;";R12="&amp;IFERROR(MID(D50,FIND("{",D50)+1,FIND("}",D50)-FIND("{",D50)-1),"")&amp;";R36="&amp;MID(G50,1,30)&amp;";R43="&amp;MID(F50,1,30)&amp;";COM="&amp;I50</f>
        <v>R11=;R12=;R36=;R43=;COM=</v>
      </c>
      <c r="C50" s="1499"/>
      <c r="D50" s="554" t="str">
        <f>IF(ISNA(VLOOKUP(C50,Справочник!$H$4:$I$537,2,0)),"-",VLOOKUP(C50,Справочник!$H$4:$I$537,2,0))</f>
        <v>-</v>
      </c>
      <c r="E50" s="1754"/>
      <c r="F50" s="2444"/>
      <c r="G50" s="2444"/>
      <c r="H50" s="1754"/>
      <c r="I50" s="246"/>
      <c r="J50" s="196">
        <f t="shared" ref="J50" si="35">IF(OR(IF(TEXT(LEFT(F50,1),"0")="0",TRUE,FALSE),ISERROR(F50*1)),F50,F50*1)</f>
        <v>0</v>
      </c>
      <c r="K50" s="196" t="b">
        <f t="shared" si="15"/>
        <v>1</v>
      </c>
      <c r="L50" s="196" t="b">
        <f xml:space="preserve"> IF(OR(J50=7704765961,J50=5256065824,J50=7703197508,C50="{1230400} Доходы в виде сумм восстановленных оценочных обязательств по судебным искам",IFERROR(VLOOKUP(J50*1,Список_компаний!B:N,11,0),TRUE)="Да"),TRUE,ISNA(VLOOKUP(J50,_icompindex,1,FALSE)))</f>
        <v>1</v>
      </c>
      <c r="M50" s="196" t="b">
        <f>IF(C50="{1230400} Доходы в виде сумм восстановленных оценочных обязательств по судебным искам",TRUE,IF(AND(IFERROR(VLOOKUP(G50*1,Список_компаний!C:F,4,0),TRUE)="Да",IFERROR(VLOOKUP(G50*1,Список_компаний!C:N,10,0),TRUE)=""),FALSE,TRUE))</f>
        <v>1</v>
      </c>
      <c r="N50" s="1569" t="b">
        <f t="shared" si="6"/>
        <v>1</v>
      </c>
      <c r="O50" s="1569" t="b">
        <f t="shared" ref="O50" si="36">H50&lt;=0</f>
        <v>1</v>
      </c>
      <c r="P50" s="24" t="b">
        <f t="shared" si="8"/>
        <v>1</v>
      </c>
      <c r="Q50" s="173" t="b">
        <f t="shared" si="9"/>
        <v>1</v>
      </c>
    </row>
    <row r="51" spans="1:76">
      <c r="A51" s="2427" t="str">
        <f t="shared" ref="A51" si="37">"R11="&amp;IFERROR(MID(C51,FIND("{",C51)+1,FIND("}",C51)-FIND("{",C51)-1),"")&amp;";R12="&amp;IFERROR(MID(D51,FIND("{",D51)+1,FIND("}",D51)-FIND("{",D51)-1),"")&amp;";R36="&amp;MID(G51,1,30)&amp;";R43="&amp;MID(F51,1,30)&amp;";COM="&amp;I51</f>
        <v>R11=;R12=;R36=;R43=;COM=</v>
      </c>
      <c r="C51" s="1499"/>
      <c r="D51" s="554" t="str">
        <f>IF(ISNA(VLOOKUP(C51,Справочник!$H$4:$I$537,2,0)),"-",VLOOKUP(C51,Справочник!$H$4:$I$537,2,0))</f>
        <v>-</v>
      </c>
      <c r="E51" s="1754"/>
      <c r="F51" s="2444"/>
      <c r="G51" s="2444"/>
      <c r="H51" s="1754"/>
      <c r="I51" s="246"/>
      <c r="J51" s="196">
        <f t="shared" ref="J51" si="38">IF(OR(IF(TEXT(LEFT(F51,1),"0")="0",TRUE,FALSE),ISERROR(F51*1)),F51,F51*1)</f>
        <v>0</v>
      </c>
      <c r="K51" s="196" t="b">
        <f t="shared" si="15"/>
        <v>1</v>
      </c>
      <c r="L51" s="196" t="b">
        <f xml:space="preserve"> IF(OR(J51=7704765961,J51=5256065824,J51=7703197508,C51="{1230400} Доходы в виде сумм восстановленных оценочных обязательств по судебным искам",IFERROR(VLOOKUP(J51*1,Список_компаний!B:N,11,0),TRUE)="Да"),TRUE,ISNA(VLOOKUP(J51,_icompindex,1,FALSE)))</f>
        <v>1</v>
      </c>
      <c r="M51" s="196" t="b">
        <f>IF(C51="{1230400} Доходы в виде сумм восстановленных оценочных обязательств по судебным искам",TRUE,IF(AND(IFERROR(VLOOKUP(G51*1,Список_компаний!C:F,4,0),TRUE)="Да",IFERROR(VLOOKUP(G51*1,Список_компаний!C:N,10,0),TRUE)=""),FALSE,TRUE))</f>
        <v>1</v>
      </c>
      <c r="N51" s="1569" t="b">
        <f t="shared" si="6"/>
        <v>1</v>
      </c>
      <c r="O51" s="1569" t="b">
        <f t="shared" ref="O51" si="39">H51&lt;=0</f>
        <v>1</v>
      </c>
      <c r="P51" s="24" t="b">
        <f t="shared" si="8"/>
        <v>1</v>
      </c>
      <c r="Q51" s="173" t="b">
        <f t="shared" si="9"/>
        <v>1</v>
      </c>
    </row>
    <row r="52" spans="1:76">
      <c r="A52" s="2427" t="str">
        <f t="shared" ref="A52" si="40">"R11="&amp;IFERROR(MID(C52,FIND("{",C52)+1,FIND("}",C52)-FIND("{",C52)-1),"")&amp;";R12="&amp;IFERROR(MID(D52,FIND("{",D52)+1,FIND("}",D52)-FIND("{",D52)-1),"")&amp;";R36="&amp;MID(G52,1,30)&amp;";R43="&amp;MID(F52,1,30)&amp;";COM="&amp;I52</f>
        <v>R11=;R12=;R36=;R43=;COM=</v>
      </c>
      <c r="C52" s="1499"/>
      <c r="D52" s="554" t="str">
        <f>IF(ISNA(VLOOKUP(C52,Справочник!$H$4:$I$537,2,0)),"-",VLOOKUP(C52,Справочник!$H$4:$I$537,2,0))</f>
        <v>-</v>
      </c>
      <c r="E52" s="1754"/>
      <c r="F52" s="2444"/>
      <c r="G52" s="2444"/>
      <c r="H52" s="1754"/>
      <c r="I52" s="246"/>
      <c r="J52" s="196">
        <f t="shared" ref="J52" si="41">IF(OR(IF(TEXT(LEFT(F52,1),"0")="0",TRUE,FALSE),ISERROR(F52*1)),F52,F52*1)</f>
        <v>0</v>
      </c>
      <c r="K52" s="196" t="b">
        <f t="shared" si="15"/>
        <v>1</v>
      </c>
      <c r="L52" s="196" t="b">
        <f xml:space="preserve"> IF(OR(J52=7704765961,J52=5256065824,J52=7703197508,C52="{1230400} Доходы в виде сумм восстановленных оценочных обязательств по судебным искам",IFERROR(VLOOKUP(J52*1,Список_компаний!B:N,11,0),TRUE)="Да"),TRUE,ISNA(VLOOKUP(J52,_icompindex,1,FALSE)))</f>
        <v>1</v>
      </c>
      <c r="M52" s="196" t="b">
        <f>IF(C52="{1230400} Доходы в виде сумм восстановленных оценочных обязательств по судебным искам",TRUE,IF(AND(IFERROR(VLOOKUP(G52*1,Список_компаний!C:F,4,0),TRUE)="Да",IFERROR(VLOOKUP(G52*1,Список_компаний!C:N,10,0),TRUE)=""),FALSE,TRUE))</f>
        <v>1</v>
      </c>
      <c r="N52" s="1569" t="b">
        <f t="shared" si="6"/>
        <v>1</v>
      </c>
      <c r="O52" s="1569" t="b">
        <f t="shared" ref="O52" si="42">H52&lt;=0</f>
        <v>1</v>
      </c>
      <c r="P52" s="24" t="b">
        <f t="shared" si="8"/>
        <v>1</v>
      </c>
      <c r="Q52" s="173" t="b">
        <f t="shared" si="9"/>
        <v>1</v>
      </c>
    </row>
    <row r="53" spans="1:76">
      <c r="A53" s="2427" t="str">
        <f t="shared" ref="A53" si="43">"R11="&amp;IFERROR(MID(C53,FIND("{",C53)+1,FIND("}",C53)-FIND("{",C53)-1),"")&amp;";R12="&amp;IFERROR(MID(D53,FIND("{",D53)+1,FIND("}",D53)-FIND("{",D53)-1),"")&amp;";R36="&amp;MID(G53,1,30)&amp;";R43="&amp;MID(F53,1,30)&amp;";COM="&amp;I53</f>
        <v>R11=;R12=;R36=;R43=;COM=</v>
      </c>
      <c r="C53" s="1499"/>
      <c r="D53" s="554" t="str">
        <f>IF(ISNA(VLOOKUP(C53,Справочник!$H$4:$I$537,2,0)),"-",VLOOKUP(C53,Справочник!$H$4:$I$537,2,0))</f>
        <v>-</v>
      </c>
      <c r="E53" s="1754"/>
      <c r="F53" s="2444"/>
      <c r="G53" s="2444"/>
      <c r="H53" s="1754"/>
      <c r="I53" s="246"/>
      <c r="J53" s="196">
        <f t="shared" ref="J53" si="44">IF(OR(IF(TEXT(LEFT(F53,1),"0")="0",TRUE,FALSE),ISERROR(F53*1)),F53,F53*1)</f>
        <v>0</v>
      </c>
      <c r="K53" s="196" t="b">
        <f t="shared" si="15"/>
        <v>1</v>
      </c>
      <c r="L53" s="196" t="b">
        <f xml:space="preserve"> IF(OR(J53=7704765961,J53=5256065824,J53=7703197508,C53="{1230400} Доходы в виде сумм восстановленных оценочных обязательств по судебным искам",IFERROR(VLOOKUP(J53*1,Список_компаний!B:N,11,0),TRUE)="Да"),TRUE,ISNA(VLOOKUP(J53,_icompindex,1,FALSE)))</f>
        <v>1</v>
      </c>
      <c r="M53" s="196" t="b">
        <f>IF(C53="{1230400} Доходы в виде сумм восстановленных оценочных обязательств по судебным искам",TRUE,IF(AND(IFERROR(VLOOKUP(G53*1,Список_компаний!C:F,4,0),TRUE)="Да",IFERROR(VLOOKUP(G53*1,Список_компаний!C:N,10,0),TRUE)=""),FALSE,TRUE))</f>
        <v>1</v>
      </c>
      <c r="N53" s="1569" t="b">
        <f t="shared" si="6"/>
        <v>1</v>
      </c>
      <c r="O53" s="1569" t="b">
        <f t="shared" ref="O53" si="45">H53&lt;=0</f>
        <v>1</v>
      </c>
      <c r="P53" s="24" t="b">
        <f t="shared" si="8"/>
        <v>1</v>
      </c>
      <c r="Q53" s="173" t="b">
        <f t="shared" si="9"/>
        <v>1</v>
      </c>
    </row>
    <row r="54" spans="1:76">
      <c r="A54" s="2427" t="str">
        <f t="shared" ref="A54" si="46">"R11="&amp;IFERROR(MID(C54,FIND("{",C54)+1,FIND("}",C54)-FIND("{",C54)-1),"")&amp;";R12="&amp;IFERROR(MID(D54,FIND("{",D54)+1,FIND("}",D54)-FIND("{",D54)-1),"")&amp;";R36="&amp;MID(G54,1,30)&amp;";R43="&amp;MID(F54,1,30)&amp;";COM="&amp;I54</f>
        <v>R11=;R12=;R36=;R43=;COM=</v>
      </c>
      <c r="C54" s="1499"/>
      <c r="D54" s="554" t="str">
        <f>IF(ISNA(VLOOKUP(C54,Справочник!$H$4:$I$537,2,0)),"-",VLOOKUP(C54,Справочник!$H$4:$I$537,2,0))</f>
        <v>-</v>
      </c>
      <c r="E54" s="1754"/>
      <c r="F54" s="2444"/>
      <c r="G54" s="2444"/>
      <c r="H54" s="1754"/>
      <c r="I54" s="246"/>
      <c r="J54" s="196">
        <f t="shared" ref="J54" si="47">IF(OR(IF(TEXT(LEFT(F54,1),"0")="0",TRUE,FALSE),ISERROR(F54*1)),F54,F54*1)</f>
        <v>0</v>
      </c>
      <c r="K54" s="196" t="b">
        <f t="shared" si="15"/>
        <v>1</v>
      </c>
      <c r="L54" s="196" t="b">
        <f xml:space="preserve"> IF(OR(J54=7704765961,J54=5256065824,J54=7703197508,C54="{1230400} Доходы в виде сумм восстановленных оценочных обязательств по судебным искам",IFERROR(VLOOKUP(J54*1,Список_компаний!B:N,11,0),TRUE)="Да"),TRUE,ISNA(VLOOKUP(J54,_icompindex,1,FALSE)))</f>
        <v>1</v>
      </c>
      <c r="M54" s="196" t="b">
        <f>IF(C54="{1230400} Доходы в виде сумм восстановленных оценочных обязательств по судебным искам",TRUE,IF(AND(IFERROR(VLOOKUP(G54*1,Список_компаний!C:F,4,0),TRUE)="Да",IFERROR(VLOOKUP(G54*1,Список_компаний!C:N,10,0),TRUE)=""),FALSE,TRUE))</f>
        <v>1</v>
      </c>
      <c r="N54" s="1569" t="b">
        <f t="shared" si="6"/>
        <v>1</v>
      </c>
      <c r="O54" s="1569" t="b">
        <f t="shared" ref="O54" si="48">H54&lt;=0</f>
        <v>1</v>
      </c>
      <c r="P54" s="24" t="b">
        <f t="shared" si="8"/>
        <v>1</v>
      </c>
      <c r="Q54" s="173" t="b">
        <f t="shared" si="9"/>
        <v>1</v>
      </c>
    </row>
    <row r="55" spans="1:76">
      <c r="A55" s="2427" t="str">
        <f t="shared" ref="A55" si="49">"R11="&amp;IFERROR(MID(C55,FIND("{",C55)+1,FIND("}",C55)-FIND("{",C55)-1),"")&amp;";R12="&amp;IFERROR(MID(D55,FIND("{",D55)+1,FIND("}",D55)-FIND("{",D55)-1),"")&amp;";R36="&amp;MID(G55,1,30)&amp;";R43="&amp;MID(F55,1,30)&amp;";COM="&amp;I55</f>
        <v>R11=;R12=;R36=;R43=;COM=</v>
      </c>
      <c r="C55" s="1499"/>
      <c r="D55" s="554" t="str">
        <f>IF(ISNA(VLOOKUP(C55,Справочник!$H$4:$I$537,2,0)),"-",VLOOKUP(C55,Справочник!$H$4:$I$537,2,0))</f>
        <v>-</v>
      </c>
      <c r="E55" s="1754"/>
      <c r="F55" s="2444"/>
      <c r="G55" s="2444"/>
      <c r="H55" s="1754"/>
      <c r="I55" s="246"/>
      <c r="J55" s="196">
        <f t="shared" ref="J55" si="50">IF(OR(IF(TEXT(LEFT(F55,1),"0")="0",TRUE,FALSE),ISERROR(F55*1)),F55,F55*1)</f>
        <v>0</v>
      </c>
      <c r="K55" s="196" t="b">
        <f t="shared" si="15"/>
        <v>1</v>
      </c>
      <c r="L55" s="196" t="b">
        <f xml:space="preserve"> IF(OR(J55=7704765961,J55=5256065824,J55=7703197508,C55="{1230400} Доходы в виде сумм восстановленных оценочных обязательств по судебным искам",IFERROR(VLOOKUP(J55*1,Список_компаний!B:N,11,0),TRUE)="Да"),TRUE,ISNA(VLOOKUP(J55,_icompindex,1,FALSE)))</f>
        <v>1</v>
      </c>
      <c r="M55" s="196" t="b">
        <f>IF(C55="{1230400} Доходы в виде сумм восстановленных оценочных обязательств по судебным искам",TRUE,IF(AND(IFERROR(VLOOKUP(G55*1,Список_компаний!C:F,4,0),TRUE)="Да",IFERROR(VLOOKUP(G55*1,Список_компаний!C:N,10,0),TRUE)=""),FALSE,TRUE))</f>
        <v>1</v>
      </c>
      <c r="N55" s="1569" t="b">
        <f t="shared" si="6"/>
        <v>1</v>
      </c>
      <c r="O55" s="1569" t="b">
        <f t="shared" ref="O55" si="51">H55&lt;=0</f>
        <v>1</v>
      </c>
      <c r="P55" s="24" t="b">
        <f t="shared" si="8"/>
        <v>1</v>
      </c>
      <c r="Q55" s="173" t="b">
        <f t="shared" si="9"/>
        <v>1</v>
      </c>
    </row>
    <row r="56" spans="1:76">
      <c r="A56" s="2427" t="str">
        <f t="shared" ref="A56" si="52">"R11="&amp;IFERROR(MID(C56,FIND("{",C56)+1,FIND("}",C56)-FIND("{",C56)-1),"")&amp;";R12="&amp;IFERROR(MID(D56,FIND("{",D56)+1,FIND("}",D56)-FIND("{",D56)-1),"")&amp;";R36="&amp;MID(G56,1,30)&amp;";R43="&amp;MID(F56,1,30)&amp;";COM="&amp;I56</f>
        <v>R11=;R12=;R36=;R43=;COM=</v>
      </c>
      <c r="C56" s="1499"/>
      <c r="D56" s="554" t="str">
        <f>IF(ISNA(VLOOKUP(C56,Справочник!$H$4:$I$537,2,0)),"-",VLOOKUP(C56,Справочник!$H$4:$I$537,2,0))</f>
        <v>-</v>
      </c>
      <c r="E56" s="1754"/>
      <c r="F56" s="2444"/>
      <c r="G56" s="2444"/>
      <c r="H56" s="1754"/>
      <c r="I56" s="246"/>
      <c r="J56" s="196">
        <f t="shared" ref="J56" si="53">IF(OR(IF(TEXT(LEFT(F56,1),"0")="0",TRUE,FALSE),ISERROR(F56*1)),F56,F56*1)</f>
        <v>0</v>
      </c>
      <c r="K56" s="196" t="b">
        <f t="shared" si="15"/>
        <v>1</v>
      </c>
      <c r="L56" s="196" t="b">
        <f xml:space="preserve"> IF(OR(J56=7704765961,J56=5256065824,J56=7703197508,C56="{1230400} Доходы в виде сумм восстановленных оценочных обязательств по судебным искам",IFERROR(VLOOKUP(J56*1,Список_компаний!B:N,11,0),TRUE)="Да"),TRUE,ISNA(VLOOKUP(J56,_icompindex,1,FALSE)))</f>
        <v>1</v>
      </c>
      <c r="M56" s="196" t="b">
        <f>IF(C56="{1230400} Доходы в виде сумм восстановленных оценочных обязательств по судебным искам",TRUE,IF(AND(IFERROR(VLOOKUP(G56*1,Список_компаний!C:F,4,0),TRUE)="Да",IFERROR(VLOOKUP(G56*1,Список_компаний!C:N,10,0),TRUE)=""),FALSE,TRUE))</f>
        <v>1</v>
      </c>
      <c r="N56" s="1569" t="b">
        <f t="shared" si="6"/>
        <v>1</v>
      </c>
      <c r="O56" s="1569" t="b">
        <f t="shared" ref="O56" si="54">H56&lt;=0</f>
        <v>1</v>
      </c>
      <c r="P56" s="24" t="b">
        <f t="shared" si="8"/>
        <v>1</v>
      </c>
      <c r="Q56" s="173" t="b">
        <f t="shared" si="9"/>
        <v>1</v>
      </c>
    </row>
    <row r="57" spans="1:76">
      <c r="A57" s="2427" t="str">
        <f t="shared" ref="A57" si="55">"R11="&amp;IFERROR(MID(C57,FIND("{",C57)+1,FIND("}",C57)-FIND("{",C57)-1),"")&amp;";R12="&amp;IFERROR(MID(D57,FIND("{",D57)+1,FIND("}",D57)-FIND("{",D57)-1),"")&amp;";R36="&amp;MID(G57,1,30)&amp;";R43="&amp;MID(F57,1,30)&amp;";COM="&amp;I57</f>
        <v>R11=;R12=;R36=;R43=;COM=</v>
      </c>
      <c r="C57" s="1499"/>
      <c r="D57" s="554" t="str">
        <f>IF(ISNA(VLOOKUP(C57,Справочник!$H$4:$I$537,2,0)),"-",VLOOKUP(C57,Справочник!$H$4:$I$537,2,0))</f>
        <v>-</v>
      </c>
      <c r="E57" s="1754"/>
      <c r="F57" s="2444"/>
      <c r="G57" s="2444"/>
      <c r="H57" s="1754"/>
      <c r="I57" s="246"/>
      <c r="J57" s="196">
        <f t="shared" ref="J57" si="56">IF(OR(IF(TEXT(LEFT(F57,1),"0")="0",TRUE,FALSE),ISERROR(F57*1)),F57,F57*1)</f>
        <v>0</v>
      </c>
      <c r="K57" s="196" t="b">
        <f t="shared" si="15"/>
        <v>1</v>
      </c>
      <c r="L57" s="196" t="b">
        <f xml:space="preserve"> IF(OR(J57=7704765961,J57=5256065824,J57=7703197508,C57="{1230400} Доходы в виде сумм восстановленных оценочных обязательств по судебным искам",IFERROR(VLOOKUP(J57*1,Список_компаний!B:N,11,0),TRUE)="Да"),TRUE,ISNA(VLOOKUP(J57,_icompindex,1,FALSE)))</f>
        <v>1</v>
      </c>
      <c r="M57" s="196" t="b">
        <f>IF(C57="{1230400} Доходы в виде сумм восстановленных оценочных обязательств по судебным искам",TRUE,IF(AND(IFERROR(VLOOKUP(G57*1,Список_компаний!C:F,4,0),TRUE)="Да",IFERROR(VLOOKUP(G57*1,Список_компаний!C:N,10,0),TRUE)=""),FALSE,TRUE))</f>
        <v>1</v>
      </c>
      <c r="N57" s="1569" t="b">
        <f t="shared" si="6"/>
        <v>1</v>
      </c>
      <c r="O57" s="1569" t="b">
        <f t="shared" ref="O57" si="57">H57&lt;=0</f>
        <v>1</v>
      </c>
      <c r="P57" s="24" t="b">
        <f t="shared" si="8"/>
        <v>1</v>
      </c>
      <c r="Q57" s="173" t="b">
        <f t="shared" si="9"/>
        <v>1</v>
      </c>
      <c r="BV57" s="3022"/>
      <c r="BX57" s="3022"/>
    </row>
    <row r="58" spans="1:76" ht="15" thickBot="1">
      <c r="A58" s="2427" t="str">
        <f t="shared" ref="A58" si="58">"R11="&amp;IFERROR(MID(C58,FIND("{",C58)+1,FIND("}",C58)-FIND("{",C58)-1),"")&amp;";R12="&amp;IFERROR(MID(D58,FIND("{",D58)+1,FIND("}",D58)-FIND("{",D58)-1),"")&amp;";R36="&amp;MID(G58,1,30)&amp;";R43="&amp;MID(F58,1,30)&amp;";COM="&amp;I58</f>
        <v>R11=;R12=;R36=;R43=;COM=</v>
      </c>
      <c r="C58" s="1499"/>
      <c r="D58" s="1554" t="str">
        <f>IF(ISNA(VLOOKUP(C58,Справочник!$H$4:$I$537,2,0)),"-",VLOOKUP(C58,Справочник!$H$4:$I$537,2,0))</f>
        <v>-</v>
      </c>
      <c r="E58" s="2383"/>
      <c r="F58" s="2925"/>
      <c r="G58" s="2445"/>
      <c r="H58" s="1755"/>
      <c r="I58" s="1555"/>
      <c r="J58" s="196">
        <f t="shared" ref="J58" si="59">IF(OR(IF(TEXT(LEFT(F58,1),"0")="0",TRUE,FALSE),ISERROR(F58*1)),F58,F58*1)</f>
        <v>0</v>
      </c>
      <c r="K58" s="196" t="b">
        <f t="shared" si="15"/>
        <v>1</v>
      </c>
      <c r="L58" s="196" t="b">
        <f xml:space="preserve"> IF(OR(J58=7704765961,J58=5256065824,J58=7703197508,C58="{1230400} Доходы в виде сумм восстановленных оценочных обязательств по судебным искам",IFERROR(VLOOKUP(J58*1,Список_компаний!B:N,11,0),TRUE)="Да"),TRUE,ISNA(VLOOKUP(J58,_icompindex,1,FALSE)))</f>
        <v>1</v>
      </c>
      <c r="M58" s="196" t="b">
        <f>IF(C58="{1230400} Доходы в виде сумм восстановленных оценочных обязательств по судебным искам",TRUE,IF(AND(IFERROR(VLOOKUP(G58*1,Список_компаний!C:F,4,0),TRUE)="Да",IFERROR(VLOOKUP(G58*1,Список_компаний!C:N,10,0),TRUE)=""),FALSE,TRUE))</f>
        <v>1</v>
      </c>
      <c r="N58" s="1569" t="b">
        <f t="shared" si="6"/>
        <v>1</v>
      </c>
      <c r="O58" s="1569" t="b">
        <f t="shared" ref="O58" si="60">H58&lt;=0</f>
        <v>1</v>
      </c>
      <c r="P58" s="24" t="b">
        <f t="shared" ref="P58" si="61">IF(C58="{1999900} Другие доходы (нетто)",IF(H58&lt;-1000,IF(LEN(I58)&gt;5,TRUE,FALSE),TRUE),TRUE)</f>
        <v>1</v>
      </c>
      <c r="Q58" s="173" t="b">
        <f t="shared" ref="Q58" si="62">IF(AND(C58="{1230400} Доходы в виде сумм восстановленных оценочных обязательств по судебным искам",OR(F58="Внешние контрагенты",E58="Внешние контрагенты",G58=10015,G58="10015")),FALSE,TRUE)</f>
        <v>1</v>
      </c>
      <c r="BV58" s="3022"/>
      <c r="BX58" s="3022"/>
    </row>
    <row r="59" spans="1:76">
      <c r="A59" s="9"/>
    </row>
    <row r="60" spans="1:76">
      <c r="A60" s="9"/>
    </row>
    <row r="61" spans="1:76">
      <c r="A61" s="9"/>
    </row>
    <row r="62" spans="1:76">
      <c r="A62" s="9"/>
    </row>
    <row r="63" spans="1:76">
      <c r="A63" s="9"/>
    </row>
    <row r="64" spans="1:76">
      <c r="A64" s="9"/>
    </row>
    <row r="65" spans="1:1">
      <c r="A65" s="9"/>
    </row>
    <row r="66" spans="1:1">
      <c r="A66" s="9"/>
    </row>
  </sheetData>
  <sheetProtection algorithmName="SHA-512" hashValue="WmalusLbeVZERzBxjJBpsEfMOUXRlY2Hgx5p6sb+cQDzq5EfvAihQ8o1Jh7JKqcl/KFIaD0cJXHo3/tICgUKgA==" saltValue="G4YhkP0kqZrsHhdDhLpXrw==" spinCount="100000" sheet="1" objects="1" scenarios="1" formatColumns="0" formatRows="0" autoFilter="0"/>
  <autoFilter ref="C29:I29"/>
  <dataConsolidate/>
  <customSheetViews>
    <customSheetView guid="{3769259D-9653-4B34-A2F6-4FB6F9F4E533}" showGridLines="0" showAutoFilter="1" hiddenRows="1" hiddenColumns="1">
      <pane xSplit="3" ySplit="27" topLeftCell="D28" activePane="bottomRight" state="frozen"/>
      <selection pane="bottomRight" activeCell="C34" sqref="C34:C1000"/>
      <pageMargins left="0.7" right="0.7" top="0.75" bottom="0.75" header="0.3" footer="0.3"/>
      <autoFilter ref="B1:E1"/>
    </customSheetView>
    <customSheetView guid="{40D7A2BB-326C-4ED3-999C-17852F56D6F4}" showGridLines="0" showAutoFilter="1" hiddenRows="1" hiddenColumns="1">
      <pane xSplit="3" ySplit="27" topLeftCell="D28" activePane="bottomRight" state="frozen"/>
      <selection pane="bottomRight" activeCell="C28" sqref="C1:F65536"/>
      <pageMargins left="0.7" right="0.7" top="0.75" bottom="0.75" header="0.3" footer="0.3"/>
      <autoFilter ref="B1:E1"/>
    </customSheetView>
    <customSheetView guid="{5D121940-0CE8-4A0E-A493-67FAAA6E0FF8}" showGridLines="0" showAutoFilter="1" hiddenRows="1" hiddenColumns="1" topLeftCell="B2">
      <pane xSplit="2" ySplit="26" topLeftCell="E28" activePane="bottomRight" state="frozen"/>
      <selection pane="bottomRight" activeCell="I29" sqref="I29 I31"/>
      <pageMargins left="0.7" right="0.7" top="0.75" bottom="0.75" header="0.3" footer="0.3"/>
      <autoFilter ref="B1:E1"/>
    </customSheetView>
    <customSheetView guid="{47AEACC4-6EA5-412C-AF39-A6C5357B313A}" showGridLines="0" showAutoFilter="1" hiddenRows="1" hiddenColumns="1" topLeftCell="B2">
      <pane xSplit="2" ySplit="26" topLeftCell="D28" activePane="bottomRight" state="frozen"/>
      <selection pane="bottomRight" activeCell="C27" sqref="C27:F27"/>
      <pageMargins left="0.7" right="0.7" top="0.75" bottom="0.75" header="0.3" footer="0.3"/>
      <autoFilter ref="B1:E1"/>
    </customSheetView>
    <customSheetView guid="{C913A9E8-661B-40A4-A3C9-1BC5F2B2E9F0}" showGridLines="0" showAutoFilter="1" hiddenRows="1" hiddenColumns="1" topLeftCell="B2">
      <pane xSplit="2" ySplit="26" topLeftCell="E28" activePane="bottomRight" state="frozen"/>
      <selection pane="bottomRight" activeCell="E35" sqref="E35"/>
      <pageMargins left="0.7" right="0.7" top="0.75" bottom="0.75" header="0.3" footer="0.3"/>
      <autoFilter ref="B1:E1"/>
    </customSheetView>
  </customSheetViews>
  <mergeCells count="3">
    <mergeCell ref="I9:I10"/>
    <mergeCell ref="AC36:AG36"/>
    <mergeCell ref="AC37:AG37"/>
  </mergeCells>
  <phoneticPr fontId="0" type="noConversion"/>
  <conditionalFormatting sqref="F37">
    <cfRule type="duplicateValues" dxfId="25" priority="5"/>
    <cfRule type="duplicateValues" dxfId="24" priority="6"/>
  </conditionalFormatting>
  <conditionalFormatting sqref="F37">
    <cfRule type="duplicateValues" dxfId="23" priority="4"/>
  </conditionalFormatting>
  <conditionalFormatting sqref="F42">
    <cfRule type="duplicateValues" dxfId="22" priority="2"/>
    <cfRule type="duplicateValues" dxfId="21" priority="3"/>
  </conditionalFormatting>
  <conditionalFormatting sqref="F42">
    <cfRule type="duplicateValues" dxfId="20" priority="1"/>
  </conditionalFormatting>
  <dataValidations count="1">
    <dataValidation type="list" operator="equal" allowBlank="1" showErrorMessage="1" errorTitle="Выбор элемента списка" error="Данного элемента нет в списке" sqref="C36:C58">
      <formula1>IF(OR($I$6="Атомфонд",$I$6="Атомгарант",),_2240_9220_Д,_2240_Доходы)</formula1>
    </dataValidation>
  </dataValidations>
  <hyperlinks>
    <hyperlink ref="D8" display="Содержание"/>
    <hyperlink ref="L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4" fitToHeight="2" orientation="portrait" horizontalDpi="4294967294" verticalDpi="4294967294" r:id="rId1"/>
  <ignoredErrors>
    <ignoredError sqref="BO31:BO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AddButtonsRowAdd">
                <anchor moveWithCells="1">
                  <from>
                    <xdr:col>5</xdr:col>
                    <xdr:colOff>571500</xdr:colOff>
                    <xdr:row>4</xdr:row>
                    <xdr:rowOff>146050</xdr:rowOff>
                  </from>
                  <to>
                    <xdr:col>6</xdr:col>
                    <xdr:colOff>1371600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pageSetUpPr fitToPage="1"/>
  </sheetPr>
  <dimension ref="A1:X67"/>
  <sheetViews>
    <sheetView topLeftCell="H2" zoomScale="70" zoomScaleNormal="70" workbookViewId="0">
      <selection activeCell="F17" sqref="F17"/>
    </sheetView>
  </sheetViews>
  <sheetFormatPr defaultColWidth="9.453125" defaultRowHeight="14.5"/>
  <cols>
    <col min="1" max="1" width="132.81640625" style="1590" hidden="1" customWidth="1"/>
    <col min="2" max="2" width="9.54296875" style="1590" customWidth="1"/>
    <col min="3" max="3" width="68" style="1590" customWidth="1"/>
    <col min="4" max="4" width="19" style="1564" customWidth="1"/>
    <col min="5" max="5" width="15.54296875" style="1590" customWidth="1"/>
    <col min="6" max="6" width="20.453125" style="1590" customWidth="1"/>
    <col min="7" max="7" width="24.54296875" style="1590" customWidth="1"/>
    <col min="8" max="8" width="29" style="1590" customWidth="1"/>
    <col min="9" max="10" width="26.453125" style="1590" customWidth="1"/>
    <col min="11" max="11" width="14.54296875" style="1590" customWidth="1"/>
    <col min="12" max="12" width="16.453125" style="1590" customWidth="1"/>
    <col min="13" max="13" width="14.54296875" style="1590" customWidth="1"/>
    <col min="14" max="14" width="15.453125" style="1590" customWidth="1"/>
    <col min="15" max="15" width="14.54296875" style="1590" customWidth="1"/>
    <col min="16" max="16" width="18.54296875" style="1590" bestFit="1" customWidth="1"/>
    <col min="17" max="17" width="42.54296875" style="1590" customWidth="1"/>
    <col min="18" max="18" width="5.54296875" style="1590" customWidth="1"/>
    <col min="19" max="19" width="26" style="1590" customWidth="1"/>
    <col min="20" max="20" width="4.54296875" style="1590" customWidth="1"/>
    <col min="21" max="21" width="9.453125" style="1590" hidden="1" customWidth="1"/>
    <col min="22" max="22" width="8" style="1590" hidden="1" customWidth="1"/>
    <col min="23" max="23" width="16.54296875" style="1590" customWidth="1"/>
    <col min="24" max="24" width="16" style="1590" customWidth="1"/>
    <col min="25" max="16384" width="9.453125" style="1590"/>
  </cols>
  <sheetData>
    <row r="1" spans="1:20" s="598" customFormat="1" ht="36.75" hidden="1" customHeight="1">
      <c r="A1" s="553" t="s">
        <v>5436</v>
      </c>
      <c r="B1" s="571"/>
      <c r="C1" s="581"/>
      <c r="D1" s="484"/>
      <c r="E1" s="581"/>
      <c r="F1" s="581"/>
      <c r="G1" s="581"/>
      <c r="H1" s="581"/>
      <c r="I1" s="571"/>
      <c r="J1" s="571"/>
      <c r="K1" s="571" t="s">
        <v>574</v>
      </c>
      <c r="L1" s="571" t="s">
        <v>575</v>
      </c>
      <c r="M1" s="571"/>
      <c r="N1" s="571"/>
      <c r="O1" s="571"/>
      <c r="P1" s="571"/>
      <c r="Q1" s="571"/>
      <c r="R1" s="571"/>
      <c r="S1" s="571"/>
      <c r="T1" s="571"/>
    </row>
    <row r="2" spans="1:20" s="775" customFormat="1" ht="12.5">
      <c r="A2" s="534"/>
      <c r="B2" s="778"/>
      <c r="C2" s="778"/>
      <c r="D2" s="1942"/>
      <c r="E2" s="778"/>
      <c r="F2" s="778"/>
      <c r="G2" s="778"/>
      <c r="H2" s="778"/>
      <c r="I2" s="778"/>
      <c r="J2" s="778"/>
      <c r="K2" s="749" t="s">
        <v>1648</v>
      </c>
      <c r="L2" s="749" t="s">
        <v>1648</v>
      </c>
      <c r="M2" s="749" t="s">
        <v>1648</v>
      </c>
      <c r="N2" s="778"/>
      <c r="O2" s="778"/>
      <c r="P2" s="778"/>
      <c r="Q2" s="778"/>
      <c r="R2" s="778"/>
      <c r="S2" s="778"/>
      <c r="T2" s="778"/>
    </row>
    <row r="3" spans="1:20" s="1633" customFormat="1">
      <c r="A3" s="538"/>
      <c r="B3" s="1590"/>
      <c r="C3" s="1590"/>
      <c r="D3" s="1756"/>
      <c r="E3" s="1590"/>
      <c r="F3"/>
      <c r="G3" s="2358"/>
      <c r="H3" s="1897" t="s">
        <v>2067</v>
      </c>
      <c r="I3" s="1244">
        <f>Содержание!$D$2</f>
        <v>0</v>
      </c>
      <c r="J3" s="778"/>
      <c r="K3" s="184">
        <f>K32-SUMIF($N$33:$N$2958,"=Внешние контрагенты",K33:K2958)-SUMIF($N$35:$N$2956,"",K33:K2958)</f>
        <v>0</v>
      </c>
      <c r="L3" s="184"/>
      <c r="M3" s="184">
        <f>M32-SUMIF($N$33:$N$2958,"=Внешние контрагенты",M33:M2958)-SUMIF($N$33:$N$2958,"",M33:M2958)</f>
        <v>0</v>
      </c>
      <c r="N3" s="1590"/>
      <c r="O3" s="1590"/>
      <c r="P3" s="1590"/>
      <c r="Q3" s="1590"/>
      <c r="R3" s="1590"/>
      <c r="S3" s="1590"/>
      <c r="T3" s="1590"/>
    </row>
    <row r="4" spans="1:20">
      <c r="A4" s="538"/>
      <c r="C4" s="523" t="s">
        <v>1368</v>
      </c>
      <c r="H4" s="1897" t="s">
        <v>2075</v>
      </c>
      <c r="I4" s="1244" t="str">
        <f>Содержание!$D$15</f>
        <v>2022 год</v>
      </c>
      <c r="J4" s="778"/>
    </row>
    <row r="5" spans="1:20" ht="15" thickBot="1">
      <c r="A5" s="538"/>
      <c r="C5"/>
      <c r="D5" s="1564" t="b">
        <f t="array" ref="D5">IF(SMALL(IF(""=C33:C2702,ROW(C33:C2702),2700),1)&gt;LARGE(IF(""&lt;&gt;C33:C2702,ROW(C33:C2702),0),1),TRUE,FALSE)</f>
        <v>1</v>
      </c>
      <c r="I5" s="3044" t="s">
        <v>1436</v>
      </c>
      <c r="J5" s="1202"/>
    </row>
    <row r="6" spans="1:20" ht="15.75" customHeight="1" thickBot="1">
      <c r="A6" s="538"/>
      <c r="C6" s="3963" t="s">
        <v>3215</v>
      </c>
      <c r="D6" s="3713" t="s">
        <v>3204</v>
      </c>
      <c r="E6" s="3713" t="s">
        <v>5381</v>
      </c>
      <c r="F6" s="3713" t="s">
        <v>3198</v>
      </c>
      <c r="G6" s="3740" t="s">
        <v>8394</v>
      </c>
      <c r="H6" s="3976" t="s">
        <v>3216</v>
      </c>
      <c r="I6" s="3977"/>
      <c r="J6" s="3978"/>
      <c r="K6" s="3940" t="s">
        <v>4625</v>
      </c>
      <c r="L6" s="3851" t="s">
        <v>3217</v>
      </c>
      <c r="M6" s="3713" t="s">
        <v>3199</v>
      </c>
      <c r="N6" s="3713" t="s">
        <v>3200</v>
      </c>
      <c r="O6" s="3713" t="s">
        <v>3201</v>
      </c>
      <c r="P6" s="3851" t="s">
        <v>8394</v>
      </c>
      <c r="Q6" s="3711" t="s">
        <v>4183</v>
      </c>
    </row>
    <row r="7" spans="1:20" ht="65">
      <c r="A7" s="538"/>
      <c r="C7" s="3965"/>
      <c r="D7" s="3713"/>
      <c r="E7" s="3713"/>
      <c r="F7" s="3713"/>
      <c r="G7" s="3807"/>
      <c r="H7" s="2393" t="s">
        <v>4242</v>
      </c>
      <c r="I7" s="2393" t="s">
        <v>3218</v>
      </c>
      <c r="J7" s="2394" t="s">
        <v>8394</v>
      </c>
      <c r="K7" s="3713"/>
      <c r="L7" s="3717"/>
      <c r="M7" s="3713"/>
      <c r="N7" s="3713"/>
      <c r="O7" s="3713"/>
      <c r="P7" s="3807"/>
      <c r="Q7" s="3711"/>
    </row>
    <row r="8" spans="1:20">
      <c r="A8" s="538"/>
      <c r="C8" s="800" t="s">
        <v>4120</v>
      </c>
      <c r="D8" s="15" t="s">
        <v>1843</v>
      </c>
      <c r="E8" s="797" t="s">
        <v>5247</v>
      </c>
      <c r="F8" s="797" t="s">
        <v>5247</v>
      </c>
      <c r="G8" s="2361" t="s">
        <v>5247</v>
      </c>
      <c r="H8" s="797" t="s">
        <v>5247</v>
      </c>
      <c r="I8" s="797" t="s">
        <v>5247</v>
      </c>
      <c r="J8" s="2384" t="s">
        <v>5247</v>
      </c>
      <c r="K8" s="797" t="s">
        <v>4624</v>
      </c>
      <c r="L8" s="797" t="s">
        <v>4626</v>
      </c>
      <c r="M8" s="797" t="s">
        <v>2203</v>
      </c>
      <c r="N8" s="797" t="s">
        <v>5247</v>
      </c>
      <c r="O8" s="797" t="s">
        <v>5247</v>
      </c>
      <c r="P8" s="2390" t="s">
        <v>5247</v>
      </c>
      <c r="Q8" s="599"/>
    </row>
    <row r="9" spans="1:20" s="674" customFormat="1">
      <c r="A9" s="538"/>
      <c r="B9" s="1581"/>
      <c r="C9" s="730" t="s">
        <v>4164</v>
      </c>
      <c r="D9" s="1165" t="s">
        <v>4165</v>
      </c>
      <c r="E9" s="728" t="s">
        <v>4166</v>
      </c>
      <c r="F9" s="728" t="s">
        <v>5500</v>
      </c>
      <c r="G9" s="728" t="s">
        <v>4169</v>
      </c>
      <c r="H9" s="728" t="s">
        <v>4168</v>
      </c>
      <c r="I9" s="728" t="s">
        <v>4178</v>
      </c>
      <c r="J9" s="728" t="s">
        <v>4179</v>
      </c>
      <c r="K9" s="728" t="s">
        <v>4167</v>
      </c>
      <c r="L9" s="728" t="s">
        <v>5501</v>
      </c>
      <c r="M9" s="728" t="s">
        <v>4701</v>
      </c>
      <c r="N9" s="728" t="s">
        <v>4702</v>
      </c>
      <c r="O9" s="728" t="s">
        <v>4703</v>
      </c>
      <c r="P9" s="728" t="s">
        <v>5502</v>
      </c>
      <c r="Q9" s="728" t="s">
        <v>5503</v>
      </c>
      <c r="S9" s="1590"/>
      <c r="T9" s="1590"/>
    </row>
    <row r="10" spans="1:20" s="674" customFormat="1" ht="25" hidden="1">
      <c r="A10" s="3461"/>
      <c r="B10" s="1581"/>
      <c r="C10" s="294" t="s">
        <v>14392</v>
      </c>
      <c r="D10" s="3462"/>
      <c r="E10" s="3463"/>
      <c r="F10" s="3463"/>
      <c r="G10" s="3463"/>
      <c r="H10" s="3463"/>
      <c r="I10" s="3463"/>
      <c r="J10" s="3463"/>
      <c r="K10" s="198">
        <f>SUMIF($C$33:$C$29958,C10,$K$33:$K$29958)</f>
        <v>0</v>
      </c>
      <c r="L10" s="3463"/>
      <c r="M10" s="3463"/>
      <c r="N10" s="3463"/>
      <c r="O10" s="3463"/>
      <c r="P10" s="3464"/>
      <c r="Q10" s="3464"/>
      <c r="S10" s="1590"/>
      <c r="T10" s="1590"/>
    </row>
    <row r="11" spans="1:20" s="674" customFormat="1" ht="25" hidden="1">
      <c r="A11" s="3461"/>
      <c r="B11" s="1581"/>
      <c r="C11" s="294" t="s">
        <v>14393</v>
      </c>
      <c r="D11" s="3462"/>
      <c r="E11" s="3463"/>
      <c r="F11" s="3463"/>
      <c r="G11" s="3463"/>
      <c r="H11" s="3463"/>
      <c r="I11" s="3463"/>
      <c r="J11" s="3463"/>
      <c r="K11" s="198">
        <f t="shared" ref="K11:K27" si="0">SUMIF($C$33:$C$29958,C11,$K$33:$K$29958)</f>
        <v>0</v>
      </c>
      <c r="L11" s="3463"/>
      <c r="M11" s="3463"/>
      <c r="N11" s="3463"/>
      <c r="O11" s="3463"/>
      <c r="P11" s="3464"/>
      <c r="Q11" s="3464"/>
      <c r="S11" s="1590"/>
      <c r="T11" s="1590"/>
    </row>
    <row r="12" spans="1:20" hidden="1">
      <c r="A12" s="700"/>
      <c r="B12" s="1757" t="s">
        <v>5536</v>
      </c>
      <c r="C12" s="595" t="s">
        <v>3160</v>
      </c>
      <c r="D12" s="1166"/>
      <c r="E12" s="198"/>
      <c r="F12" s="198"/>
      <c r="G12" s="198"/>
      <c r="H12" s="198"/>
      <c r="I12" s="198"/>
      <c r="J12" s="198"/>
      <c r="K12" s="198">
        <f t="shared" si="0"/>
        <v>0</v>
      </c>
      <c r="L12" s="198"/>
      <c r="M12" s="198"/>
      <c r="N12" s="198"/>
      <c r="O12" s="198"/>
      <c r="P12" s="2392"/>
      <c r="Q12" s="199"/>
    </row>
    <row r="13" spans="1:20" hidden="1">
      <c r="A13" s="538"/>
      <c r="B13" s="1757" t="s">
        <v>5536</v>
      </c>
      <c r="C13" s="595" t="s">
        <v>3162</v>
      </c>
      <c r="D13" s="1166"/>
      <c r="E13" s="198"/>
      <c r="F13" s="198"/>
      <c r="G13" s="198"/>
      <c r="H13" s="198"/>
      <c r="I13" s="198"/>
      <c r="J13" s="198"/>
      <c r="K13" s="198">
        <f t="shared" si="0"/>
        <v>0</v>
      </c>
      <c r="L13" s="198"/>
      <c r="M13" s="198"/>
      <c r="N13" s="198"/>
      <c r="O13" s="198"/>
      <c r="P13" s="2392"/>
      <c r="Q13" s="199"/>
    </row>
    <row r="14" spans="1:20" ht="25" hidden="1">
      <c r="A14" s="538"/>
      <c r="B14" s="1757" t="s">
        <v>5536</v>
      </c>
      <c r="C14" s="294" t="s">
        <v>3164</v>
      </c>
      <c r="D14" s="1166"/>
      <c r="E14" s="198"/>
      <c r="F14" s="198"/>
      <c r="G14" s="198"/>
      <c r="H14" s="198"/>
      <c r="I14" s="198"/>
      <c r="J14" s="198"/>
      <c r="K14" s="198">
        <f t="shared" si="0"/>
        <v>0</v>
      </c>
      <c r="L14" s="198"/>
      <c r="M14" s="198"/>
      <c r="N14" s="198"/>
      <c r="O14" s="198"/>
      <c r="P14" s="2392"/>
      <c r="Q14" s="199"/>
    </row>
    <row r="15" spans="1:20" hidden="1">
      <c r="A15" s="538"/>
      <c r="B15" s="1757" t="s">
        <v>5536</v>
      </c>
      <c r="C15" s="294" t="s">
        <v>5465</v>
      </c>
      <c r="D15" s="1166"/>
      <c r="E15" s="198"/>
      <c r="F15" s="198"/>
      <c r="G15" s="198"/>
      <c r="H15" s="198"/>
      <c r="I15" s="198"/>
      <c r="J15" s="198"/>
      <c r="K15" s="198">
        <f t="shared" si="0"/>
        <v>0</v>
      </c>
      <c r="L15" s="198"/>
      <c r="M15" s="198"/>
      <c r="N15" s="198"/>
      <c r="O15" s="198"/>
      <c r="P15" s="2392"/>
      <c r="Q15" s="199"/>
    </row>
    <row r="16" spans="1:20" hidden="1">
      <c r="A16" s="538"/>
      <c r="B16" s="1757" t="s">
        <v>5536</v>
      </c>
      <c r="C16" s="294" t="s">
        <v>3166</v>
      </c>
      <c r="D16" s="1166"/>
      <c r="E16" s="198"/>
      <c r="F16" s="198"/>
      <c r="G16" s="198"/>
      <c r="H16" s="198"/>
      <c r="I16" s="198"/>
      <c r="J16" s="198"/>
      <c r="K16" s="198">
        <f t="shared" si="0"/>
        <v>0</v>
      </c>
      <c r="L16" s="198"/>
      <c r="M16" s="198"/>
      <c r="N16" s="198"/>
      <c r="O16" s="198"/>
      <c r="P16" s="2392"/>
      <c r="Q16" s="199"/>
    </row>
    <row r="17" spans="1:24" ht="25" hidden="1">
      <c r="A17" s="538"/>
      <c r="B17" s="1757" t="s">
        <v>5536</v>
      </c>
      <c r="C17" s="294" t="s">
        <v>3168</v>
      </c>
      <c r="D17" s="1166"/>
      <c r="E17" s="198"/>
      <c r="F17" s="198"/>
      <c r="G17" s="198"/>
      <c r="H17" s="198"/>
      <c r="I17" s="198"/>
      <c r="J17" s="198"/>
      <c r="K17" s="198">
        <f t="shared" si="0"/>
        <v>0</v>
      </c>
      <c r="L17" s="198"/>
      <c r="M17" s="198"/>
      <c r="N17" s="198"/>
      <c r="O17" s="198"/>
      <c r="P17" s="2392"/>
      <c r="Q17" s="199"/>
    </row>
    <row r="18" spans="1:24" hidden="1">
      <c r="A18" s="538"/>
      <c r="B18" s="1757" t="s">
        <v>5536</v>
      </c>
      <c r="C18" s="294" t="s">
        <v>5466</v>
      </c>
      <c r="D18" s="1166"/>
      <c r="E18" s="198"/>
      <c r="F18" s="198"/>
      <c r="G18" s="198"/>
      <c r="H18" s="198"/>
      <c r="I18" s="198"/>
      <c r="J18" s="198"/>
      <c r="K18" s="198">
        <f t="shared" si="0"/>
        <v>0</v>
      </c>
      <c r="L18" s="198"/>
      <c r="M18" s="198"/>
      <c r="N18" s="198"/>
      <c r="O18" s="198"/>
      <c r="P18" s="2392"/>
      <c r="Q18" s="199"/>
    </row>
    <row r="19" spans="1:24" hidden="1">
      <c r="A19" s="538"/>
      <c r="B19" s="1757" t="s">
        <v>5536</v>
      </c>
      <c r="C19" s="294" t="s">
        <v>5467</v>
      </c>
      <c r="D19" s="1166"/>
      <c r="E19" s="198"/>
      <c r="F19" s="198"/>
      <c r="G19" s="198"/>
      <c r="H19" s="198"/>
      <c r="I19" s="198"/>
      <c r="J19" s="198"/>
      <c r="K19" s="198">
        <f t="shared" si="0"/>
        <v>0</v>
      </c>
      <c r="L19" s="198"/>
      <c r="M19" s="198"/>
      <c r="N19" s="198"/>
      <c r="O19" s="198"/>
      <c r="P19" s="2392"/>
      <c r="Q19" s="199"/>
    </row>
    <row r="20" spans="1:24" hidden="1">
      <c r="A20" s="538"/>
      <c r="B20" s="1757" t="s">
        <v>5536</v>
      </c>
      <c r="C20" s="294" t="s">
        <v>3172</v>
      </c>
      <c r="D20" s="1166"/>
      <c r="E20" s="198"/>
      <c r="F20" s="198"/>
      <c r="G20" s="198"/>
      <c r="H20" s="198"/>
      <c r="I20" s="198"/>
      <c r="J20" s="198"/>
      <c r="K20" s="198">
        <f t="shared" si="0"/>
        <v>0</v>
      </c>
      <c r="L20" s="198"/>
      <c r="M20" s="198"/>
      <c r="N20" s="198"/>
      <c r="O20" s="198"/>
      <c r="P20" s="2392"/>
      <c r="Q20" s="199"/>
    </row>
    <row r="21" spans="1:24" hidden="1">
      <c r="A21" s="538"/>
      <c r="B21" s="1757" t="s">
        <v>5536</v>
      </c>
      <c r="C21" s="294" t="s">
        <v>5468</v>
      </c>
      <c r="D21" s="1166"/>
      <c r="E21" s="198"/>
      <c r="F21" s="198"/>
      <c r="G21" s="198"/>
      <c r="H21" s="198"/>
      <c r="I21" s="198"/>
      <c r="J21" s="198"/>
      <c r="K21" s="198">
        <f t="shared" si="0"/>
        <v>0</v>
      </c>
      <c r="L21" s="198"/>
      <c r="M21" s="198"/>
      <c r="N21" s="198"/>
      <c r="O21" s="198"/>
      <c r="P21" s="2392"/>
      <c r="Q21" s="199"/>
    </row>
    <row r="22" spans="1:24" hidden="1">
      <c r="A22" s="538"/>
      <c r="B22" s="1757" t="s">
        <v>5536</v>
      </c>
      <c r="C22" s="294" t="s">
        <v>3175</v>
      </c>
      <c r="D22" s="1166"/>
      <c r="E22" s="198"/>
      <c r="F22" s="198"/>
      <c r="G22" s="198"/>
      <c r="H22" s="198"/>
      <c r="I22" s="198"/>
      <c r="J22" s="198"/>
      <c r="K22" s="198">
        <f t="shared" si="0"/>
        <v>0</v>
      </c>
      <c r="L22" s="198"/>
      <c r="M22" s="198"/>
      <c r="N22" s="198"/>
      <c r="O22" s="198"/>
      <c r="P22" s="2392"/>
      <c r="Q22" s="199"/>
    </row>
    <row r="23" spans="1:24" hidden="1">
      <c r="A23" s="538"/>
      <c r="B23" s="1757" t="s">
        <v>5536</v>
      </c>
      <c r="C23" s="294" t="s">
        <v>2102</v>
      </c>
      <c r="D23" s="1166"/>
      <c r="E23" s="198"/>
      <c r="F23" s="198"/>
      <c r="G23" s="198"/>
      <c r="H23" s="198"/>
      <c r="I23" s="198"/>
      <c r="J23" s="198"/>
      <c r="K23" s="198">
        <f t="shared" si="0"/>
        <v>0</v>
      </c>
      <c r="L23" s="198"/>
      <c r="M23" s="198"/>
      <c r="N23" s="198"/>
      <c r="O23" s="198"/>
      <c r="P23" s="2392"/>
      <c r="Q23" s="199"/>
    </row>
    <row r="24" spans="1:24" hidden="1">
      <c r="A24" s="538"/>
      <c r="B24" s="1757" t="s">
        <v>5536</v>
      </c>
      <c r="C24" s="294" t="s">
        <v>2104</v>
      </c>
      <c r="D24" s="1166"/>
      <c r="E24" s="198"/>
      <c r="F24" s="198"/>
      <c r="G24" s="198"/>
      <c r="H24" s="198"/>
      <c r="I24" s="198"/>
      <c r="J24" s="198"/>
      <c r="K24" s="198">
        <f t="shared" si="0"/>
        <v>0</v>
      </c>
      <c r="L24" s="198"/>
      <c r="M24" s="198"/>
      <c r="N24" s="198"/>
      <c r="O24" s="198"/>
      <c r="P24" s="2392"/>
      <c r="Q24" s="199"/>
    </row>
    <row r="25" spans="1:24" hidden="1">
      <c r="A25" s="538"/>
      <c r="B25" s="1757" t="s">
        <v>5536</v>
      </c>
      <c r="C25" s="294" t="s">
        <v>2105</v>
      </c>
      <c r="D25" s="1166"/>
      <c r="E25" s="198"/>
      <c r="F25" s="198"/>
      <c r="G25" s="198"/>
      <c r="H25" s="198"/>
      <c r="I25" s="198"/>
      <c r="J25" s="198"/>
      <c r="K25" s="198">
        <f t="shared" si="0"/>
        <v>0</v>
      </c>
      <c r="L25" s="198"/>
      <c r="M25" s="198"/>
      <c r="N25" s="198"/>
      <c r="O25" s="198"/>
      <c r="P25" s="2392"/>
      <c r="Q25" s="199"/>
    </row>
    <row r="26" spans="1:24" hidden="1">
      <c r="A26" s="538"/>
      <c r="B26" s="1757" t="s">
        <v>5536</v>
      </c>
      <c r="C26" s="294" t="s">
        <v>2106</v>
      </c>
      <c r="D26" s="1166"/>
      <c r="E26" s="198"/>
      <c r="F26" s="198"/>
      <c r="G26" s="198"/>
      <c r="H26" s="198"/>
      <c r="I26" s="198"/>
      <c r="J26" s="198"/>
      <c r="K26" s="198">
        <f t="shared" si="0"/>
        <v>0</v>
      </c>
      <c r="L26" s="198"/>
      <c r="M26" s="198"/>
      <c r="N26" s="198"/>
      <c r="O26" s="198"/>
      <c r="P26" s="2392"/>
      <c r="Q26" s="199"/>
    </row>
    <row r="27" spans="1:24" hidden="1">
      <c r="A27" s="538"/>
      <c r="B27" s="1757" t="s">
        <v>5536</v>
      </c>
      <c r="C27" s="297" t="s">
        <v>3373</v>
      </c>
      <c r="D27" s="1166"/>
      <c r="E27" s="198"/>
      <c r="F27" s="198"/>
      <c r="G27" s="198"/>
      <c r="H27" s="198"/>
      <c r="I27" s="198"/>
      <c r="J27" s="198"/>
      <c r="K27" s="198">
        <f t="shared" si="0"/>
        <v>0</v>
      </c>
      <c r="L27" s="198"/>
      <c r="M27" s="198"/>
      <c r="N27" s="198"/>
      <c r="O27" s="198"/>
      <c r="P27" s="2392"/>
      <c r="Q27" s="199"/>
    </row>
    <row r="28" spans="1:24" collapsed="1">
      <c r="A28" s="538"/>
      <c r="B28" s="1757" t="s">
        <v>5536</v>
      </c>
      <c r="C28" s="292" t="s">
        <v>4704</v>
      </c>
      <c r="D28" s="1167" t="s">
        <v>4184</v>
      </c>
      <c r="E28" s="200" t="s">
        <v>4184</v>
      </c>
      <c r="F28" s="200" t="s">
        <v>4184</v>
      </c>
      <c r="G28" s="200" t="s">
        <v>4184</v>
      </c>
      <c r="H28" s="200" t="s">
        <v>4184</v>
      </c>
      <c r="I28" s="200" t="s">
        <v>4184</v>
      </c>
      <c r="J28" s="200" t="s">
        <v>4184</v>
      </c>
      <c r="K28" s="184">
        <f>SUM(K10:K27)</f>
        <v>0</v>
      </c>
      <c r="L28" s="342" t="s">
        <v>4184</v>
      </c>
      <c r="M28" s="342" t="s">
        <v>4184</v>
      </c>
      <c r="N28" s="200" t="s">
        <v>4184</v>
      </c>
      <c r="O28" s="200" t="s">
        <v>4184</v>
      </c>
      <c r="P28" s="200" t="s">
        <v>4184</v>
      </c>
      <c r="Q28" s="289" t="s">
        <v>4184</v>
      </c>
    </row>
    <row r="29" spans="1:24" ht="15.75" customHeight="1">
      <c r="A29" s="538"/>
      <c r="B29" s="1757" t="s">
        <v>5536</v>
      </c>
      <c r="C29" s="292" t="s">
        <v>4705</v>
      </c>
      <c r="D29" s="1167" t="s">
        <v>4184</v>
      </c>
      <c r="E29" s="200" t="s">
        <v>4184</v>
      </c>
      <c r="F29" s="200" t="s">
        <v>4184</v>
      </c>
      <c r="G29" s="200" t="s">
        <v>4184</v>
      </c>
      <c r="H29" s="200" t="s">
        <v>4184</v>
      </c>
      <c r="I29" s="200" t="s">
        <v>4184</v>
      </c>
      <c r="J29" s="200" t="s">
        <v>4184</v>
      </c>
      <c r="K29" s="184">
        <f>SUMIF($C$33:$C$9943,"{1010000} Доходы от долевого участия в других организациях",$K$33:$K$9943)</f>
        <v>0</v>
      </c>
      <c r="L29" s="342" t="s">
        <v>4184</v>
      </c>
      <c r="M29" s="342" t="s">
        <v>4184</v>
      </c>
      <c r="N29" s="200" t="s">
        <v>4184</v>
      </c>
      <c r="O29" s="200" t="s">
        <v>4184</v>
      </c>
      <c r="P29" s="200" t="s">
        <v>4184</v>
      </c>
      <c r="Q29" s="289" t="s">
        <v>4184</v>
      </c>
    </row>
    <row r="30" spans="1:24" ht="15" thickBot="1">
      <c r="A30" s="538"/>
      <c r="B30" s="1757" t="s">
        <v>5536</v>
      </c>
      <c r="C30" s="292" t="s">
        <v>3236</v>
      </c>
      <c r="D30" s="1167" t="s">
        <v>4184</v>
      </c>
      <c r="E30" s="200" t="s">
        <v>4184</v>
      </c>
      <c r="F30" s="200" t="s">
        <v>4184</v>
      </c>
      <c r="G30" s="200" t="s">
        <v>4184</v>
      </c>
      <c r="H30" s="200" t="s">
        <v>4184</v>
      </c>
      <c r="I30" s="200" t="s">
        <v>4184</v>
      </c>
      <c r="J30" s="200" t="s">
        <v>4184</v>
      </c>
      <c r="K30" s="184">
        <f>SUMIF(C33:C9942,"*(НДС)*",K33:K9942)</f>
        <v>0</v>
      </c>
      <c r="L30" s="342" t="s">
        <v>4184</v>
      </c>
      <c r="M30" s="342" t="s">
        <v>4184</v>
      </c>
      <c r="N30" s="200" t="s">
        <v>4184</v>
      </c>
      <c r="O30" s="200" t="s">
        <v>4184</v>
      </c>
      <c r="P30" s="200" t="s">
        <v>4184</v>
      </c>
      <c r="Q30" s="289" t="s">
        <v>4184</v>
      </c>
    </row>
    <row r="31" spans="1:24" ht="78">
      <c r="A31" s="538"/>
      <c r="B31" s="1757" t="s">
        <v>5536</v>
      </c>
      <c r="C31" s="292" t="s">
        <v>4706</v>
      </c>
      <c r="D31" s="1167" t="s">
        <v>4184</v>
      </c>
      <c r="E31" s="200" t="s">
        <v>4184</v>
      </c>
      <c r="F31" s="200" t="s">
        <v>4184</v>
      </c>
      <c r="G31" s="200" t="s">
        <v>4184</v>
      </c>
      <c r="H31" s="200" t="s">
        <v>4184</v>
      </c>
      <c r="I31" s="200" t="s">
        <v>4184</v>
      </c>
      <c r="J31" s="200" t="s">
        <v>4184</v>
      </c>
      <c r="K31" s="184">
        <f>K32-K28-K29-K30</f>
        <v>0</v>
      </c>
      <c r="L31" s="342" t="s">
        <v>4184</v>
      </c>
      <c r="M31" s="342" t="s">
        <v>4184</v>
      </c>
      <c r="N31" s="200" t="s">
        <v>4184</v>
      </c>
      <c r="O31" s="200" t="s">
        <v>4184</v>
      </c>
      <c r="P31" s="200" t="s">
        <v>4184</v>
      </c>
      <c r="Q31" s="289" t="s">
        <v>4184</v>
      </c>
      <c r="S31" s="1902" t="s">
        <v>4152</v>
      </c>
      <c r="W31" s="2893" t="s">
        <v>8597</v>
      </c>
      <c r="X31" s="2893" t="s">
        <v>7525</v>
      </c>
    </row>
    <row r="32" spans="1:24">
      <c r="A32" s="538"/>
      <c r="B32" s="1757" t="s">
        <v>5536</v>
      </c>
      <c r="C32" s="290" t="s">
        <v>4707</v>
      </c>
      <c r="D32" s="1167" t="s">
        <v>4184</v>
      </c>
      <c r="E32" s="200" t="s">
        <v>4184</v>
      </c>
      <c r="F32" s="200" t="s">
        <v>4184</v>
      </c>
      <c r="G32" s="200" t="s">
        <v>4184</v>
      </c>
      <c r="H32" s="200" t="s">
        <v>4184</v>
      </c>
      <c r="I32" s="200" t="s">
        <v>4184</v>
      </c>
      <c r="J32" s="200" t="s">
        <v>4184</v>
      </c>
      <c r="K32" s="184">
        <f>SUM(K33:K65531)</f>
        <v>0</v>
      </c>
      <c r="L32" s="342" t="s">
        <v>4184</v>
      </c>
      <c r="M32" s="184">
        <f>SUM(M33:M65531)</f>
        <v>0</v>
      </c>
      <c r="N32" s="200" t="s">
        <v>4184</v>
      </c>
      <c r="O32" s="200" t="s">
        <v>4184</v>
      </c>
      <c r="P32" s="200" t="s">
        <v>4184</v>
      </c>
      <c r="Q32" s="289" t="s">
        <v>4184</v>
      </c>
      <c r="S32" s="1903" t="b">
        <f>OR(M32&lt;=0,IF(Q32&gt;0,TRUE,FALSE))</f>
        <v>1</v>
      </c>
      <c r="X32" s="2590" t="b">
        <f>AND(X33:X802)</f>
        <v>1</v>
      </c>
    </row>
    <row r="33" spans="1:24" s="1569" customFormat="1">
      <c r="A33" s="556" t="str">
        <f t="shared" ref="A33:A64" si="1">"R11="&amp;IFERROR(MID(C33,FIND("{",C33)+1,FIND("}",C33)-FIND("{",C33)-1),"")&amp;";R12="&amp;IFERROR(MID(D33,FIND("{",D33)+1,FIND("}",D33)-FIND("{",D33)-1),"")&amp;";R42="&amp;MID(IF(G33&lt;&gt;"-",G33,IF(F33&lt;&gt;"-",F33,"")),1,30)&amp;";R44="&amp;MID(IF(I33="-","",I33),1,30)&amp;";R45="&amp;MID(IF(O33="-","",O33),1,30)&amp;";R36="&amp;MID(G33,1,30)&amp;";R43="&amp;MID(F33,1,30)&amp;";R48="&amp;MID(J33,1,30)&amp;";R51="&amp;MID(I33,1,30)&amp;";COM="&amp;Q33</f>
        <v>R11=;R12=;R42=;R44=;R45=;R36=-;R43=-;R48=-;R51=-;COM=</v>
      </c>
      <c r="B33" s="2118" t="s">
        <v>5536</v>
      </c>
      <c r="C33" s="1459"/>
      <c r="D33" s="2119" t="str">
        <f>IF(ISNA(VLOOKUP(C33,Справочник!$H$4:$I$537,2,0)),"-",VLOOKUP(C33,Справочник!$H$4:$I$537,2,0))</f>
        <v>-</v>
      </c>
      <c r="E33" s="2110"/>
      <c r="F33" s="2111" t="str">
        <f>IF(ISERROR(VLOOKUP(E33,Список_компаний!$A$8:$B$299,2,0)),"-",VLOOKUP(E33,Список_компаний!$A$8:$B$299,2,0))</f>
        <v>-</v>
      </c>
      <c r="G33" s="2111" t="str">
        <f>IF(ISERROR(VLOOKUP(E33,Список_компаний!$A$8:$C$299,3,0)),"-",VLOOKUP(E33,Список_компаний!$A$8:$C$299,3,0))</f>
        <v>-</v>
      </c>
      <c r="H33" s="2110"/>
      <c r="I33" s="2111" t="str">
        <f>IF(ISERROR(VLOOKUP(H33,Список_компаний!$A$4:$B$299,2,0)),"-",VLOOKUP(H33,Список_компаний!$A$4:$B$299,2,0))</f>
        <v>-</v>
      </c>
      <c r="J33" s="2111" t="str">
        <f>IF(ISERROR(VLOOKUP(H33,Список_компаний!$A$4:$C$299,3,0)),"-",VLOOKUP(H33,Список_компаний!$A$4:$C$299,3,0))</f>
        <v>-</v>
      </c>
      <c r="K33" s="2120"/>
      <c r="L33" s="2120"/>
      <c r="M33" s="2121">
        <f t="shared" ref="M33:M38" si="2">K33+L33</f>
        <v>0</v>
      </c>
      <c r="N33" s="2110"/>
      <c r="O33" s="2111" t="str">
        <f>IF(ISERROR(VLOOKUP(N33,Список_компаний!$A$4:$B$299,2,0)),"-",VLOOKUP(N33,Список_компаний!$A$4:$B$299,2,0))</f>
        <v>-</v>
      </c>
      <c r="P33" s="2111" t="str">
        <f>IF(ISERROR(VLOOKUP(N33,Список_компаний!$A$4:$C$299,3,0)),"-",VLOOKUP(N33,Список_компаний!$A$4:$C$299,3,0))</f>
        <v>-</v>
      </c>
      <c r="Q33" s="2122"/>
      <c r="S33" s="1903" t="b">
        <f t="shared" ref="S33:S38" si="3">OR(M33&lt;=0,IF(Q33&gt;0,TRUE,FALSE))</f>
        <v>1</v>
      </c>
      <c r="U33" s="1569">
        <f>IF(C33&lt;&gt;"",IF(ISNA(VLOOKUP(C33,$V$33:$V$63,1,0)),0,1),0)</f>
        <v>0</v>
      </c>
      <c r="V33" s="1569" t="s">
        <v>5459</v>
      </c>
      <c r="W33" s="2123" t="b">
        <f t="shared" ref="W33:W38" si="4">OR(U33=0,IF((ROUND(L33,0))&gt;=1,TRUE,FALSE),LEN(Q33)&gt;5)</f>
        <v>1</v>
      </c>
      <c r="X33" s="1569" t="b">
        <f t="shared" ref="X33:X64" si="5">IF(C33&lt;&gt;"",IF(ISNA(VLOOKUP(C33,_2240_доходы_ВГО,1,0)),FALSE,TRUE),TRUE)</f>
        <v>1</v>
      </c>
    </row>
    <row r="34" spans="1:24" s="1569" customFormat="1">
      <c r="A34" s="556" t="str">
        <f t="shared" si="1"/>
        <v>R11=;R12=;R42=;R44=;R45=;R36=-;R43=-;R48=-;R51=-;COM=</v>
      </c>
      <c r="B34" s="2118" t="s">
        <v>5536</v>
      </c>
      <c r="C34" s="1459"/>
      <c r="D34" s="2119" t="str">
        <f>IF(ISNA(VLOOKUP(C34,Справочник!$H$4:$I$537,2,0)),"-",VLOOKUP(C34,Справочник!$H$4:$I$537,2,0))</f>
        <v>-</v>
      </c>
      <c r="E34" s="2110"/>
      <c r="F34" s="2111" t="str">
        <f>IF(ISERROR(VLOOKUP(E34,Список_компаний!$A$8:$B$299,2,0)),"-",VLOOKUP(E34,Список_компаний!$A$8:$B$299,2,0))</f>
        <v>-</v>
      </c>
      <c r="G34" s="2111" t="str">
        <f>IF(ISERROR(VLOOKUP(E34,Список_компаний!$A$8:$C$299,3,0)),"-",VLOOKUP(E34,Список_компаний!$A$8:$C$299,3,0))</f>
        <v>-</v>
      </c>
      <c r="H34" s="2110"/>
      <c r="I34" s="2111" t="str">
        <f>IF(ISERROR(VLOOKUP(H34,Список_компаний!$A$4:$B$299,2,0)),"-",VLOOKUP(H34,Список_компаний!$A$4:$B$299,2,0))</f>
        <v>-</v>
      </c>
      <c r="J34" s="2111" t="str">
        <f>IF(ISERROR(VLOOKUP(H34,Список_компаний!$A$4:$C$299,3,0)),"-",VLOOKUP(H34,Список_компаний!$A$4:$C$299,3,0))</f>
        <v>-</v>
      </c>
      <c r="K34" s="2120"/>
      <c r="L34" s="2120"/>
      <c r="M34" s="2121">
        <f t="shared" si="2"/>
        <v>0</v>
      </c>
      <c r="N34" s="2110"/>
      <c r="O34" s="2111" t="str">
        <f>IF(ISERROR(VLOOKUP(N34,Список_компаний!$A$4:$B$299,2,0)),"-",VLOOKUP(N34,Список_компаний!$A$4:$B$299,2,0))</f>
        <v>-</v>
      </c>
      <c r="P34" s="2111" t="str">
        <f>IF(ISERROR(VLOOKUP(N34,Список_компаний!$A$4:$C$299,3,0)),"-",VLOOKUP(N34,Список_компаний!$A$4:$C$299,3,0))</f>
        <v>-</v>
      </c>
      <c r="Q34" s="2122"/>
      <c r="S34" s="1903" t="b">
        <f t="shared" si="3"/>
        <v>1</v>
      </c>
      <c r="U34" s="1569">
        <f t="shared" ref="U34:U64" si="6">IF(C34&lt;&gt;"",IF(ISNA(VLOOKUP(C34,$V$33:$V$63,1,0)),0,1),0)</f>
        <v>0</v>
      </c>
      <c r="V34" s="1569" t="s">
        <v>3113</v>
      </c>
      <c r="W34" s="2123" t="b">
        <f t="shared" si="4"/>
        <v>1</v>
      </c>
      <c r="X34" s="1569" t="b">
        <f t="shared" si="5"/>
        <v>1</v>
      </c>
    </row>
    <row r="35" spans="1:24" s="1569" customFormat="1">
      <c r="A35" s="556" t="str">
        <f t="shared" si="1"/>
        <v>R11=;R12=;R42=;R44=;R45=;R36=-;R43=-;R48=-;R51=-;COM=</v>
      </c>
      <c r="B35" s="2118" t="s">
        <v>5536</v>
      </c>
      <c r="C35" s="1459"/>
      <c r="D35" s="2119" t="str">
        <f>IF(ISNA(VLOOKUP(C35,Справочник!$H$4:$I$537,2,0)),"-",VLOOKUP(C35,Справочник!$H$4:$I$537,2,0))</f>
        <v>-</v>
      </c>
      <c r="E35" s="2110"/>
      <c r="F35" s="2111" t="str">
        <f>IF(ISERROR(VLOOKUP(E35,Список_компаний!$A$8:$B$299,2,0)),"-",VLOOKUP(E35,Список_компаний!$A$8:$B$299,2,0))</f>
        <v>-</v>
      </c>
      <c r="G35" s="2111" t="str">
        <f>IF(ISERROR(VLOOKUP(E35,Список_компаний!$A$8:$C$299,3,0)),"-",VLOOKUP(E35,Список_компаний!$A$8:$C$299,3,0))</f>
        <v>-</v>
      </c>
      <c r="H35" s="2110"/>
      <c r="I35" s="2111" t="str">
        <f>IF(ISERROR(VLOOKUP(H35,Список_компаний!$A$4:$B$299,2,0)),"-",VLOOKUP(H35,Список_компаний!$A$4:$B$299,2,0))</f>
        <v>-</v>
      </c>
      <c r="J35" s="2111" t="str">
        <f>IF(ISERROR(VLOOKUP(H35,Список_компаний!$A$4:$C$299,3,0)),"-",VLOOKUP(H35,Список_компаний!$A$4:$C$299,3,0))</f>
        <v>-</v>
      </c>
      <c r="K35" s="2120"/>
      <c r="L35" s="2120"/>
      <c r="M35" s="2121">
        <f t="shared" si="2"/>
        <v>0</v>
      </c>
      <c r="N35" s="2110"/>
      <c r="O35" s="2111" t="str">
        <f>IF(ISERROR(VLOOKUP(N35,Список_компаний!$A$4:$B$299,2,0)),"-",VLOOKUP(N35,Список_компаний!$A$4:$B$299,2,0))</f>
        <v>-</v>
      </c>
      <c r="P35" s="2111" t="str">
        <f>IF(ISERROR(VLOOKUP(N35,Список_компаний!$A$4:$C$299,3,0)),"-",VLOOKUP(N35,Список_компаний!$A$4:$C$299,3,0))</f>
        <v>-</v>
      </c>
      <c r="Q35" s="2122"/>
      <c r="S35" s="1903" t="b">
        <f t="shared" si="3"/>
        <v>1</v>
      </c>
      <c r="U35" s="1569">
        <f t="shared" si="6"/>
        <v>0</v>
      </c>
      <c r="V35" s="1569" t="s">
        <v>14374</v>
      </c>
      <c r="W35" s="2123" t="b">
        <f t="shared" si="4"/>
        <v>1</v>
      </c>
      <c r="X35" s="1569" t="b">
        <f t="shared" si="5"/>
        <v>1</v>
      </c>
    </row>
    <row r="36" spans="1:24" s="1569" customFormat="1">
      <c r="A36" s="556" t="str">
        <f t="shared" si="1"/>
        <v>R11=;R12=;R42=;R44=;R45=;R36=-;R43=-;R48=-;R51=-;COM=</v>
      </c>
      <c r="B36" s="2118"/>
      <c r="C36" s="1459"/>
      <c r="D36" s="2119" t="str">
        <f>IF(ISNA(VLOOKUP(C36,Справочник!$H$4:$I$537,2,0)),"-",VLOOKUP(C36,Справочник!$H$4:$I$537,2,0))</f>
        <v>-</v>
      </c>
      <c r="E36" s="2110"/>
      <c r="F36" s="2111" t="str">
        <f>IF(ISERROR(VLOOKUP(E36,Список_компаний!$A$8:$B$299,2,0)),"-",VLOOKUP(E36,Список_компаний!$A$8:$B$299,2,0))</f>
        <v>-</v>
      </c>
      <c r="G36" s="2111" t="str">
        <f>IF(ISERROR(VLOOKUP(E36,Список_компаний!$A$8:$C$299,3,0)),"-",VLOOKUP(E36,Список_компаний!$A$8:$C$299,3,0))</f>
        <v>-</v>
      </c>
      <c r="H36" s="2110"/>
      <c r="I36" s="2111" t="str">
        <f>IF(ISERROR(VLOOKUP(H36,Список_компаний!$A$4:$B$299,2,0)),"-",VLOOKUP(H36,Список_компаний!$A$4:$B$299,2,0))</f>
        <v>-</v>
      </c>
      <c r="J36" s="2111" t="str">
        <f>IF(ISERROR(VLOOKUP(H36,Список_компаний!$A$4:$C$299,3,0)),"-",VLOOKUP(H36,Список_компаний!$A$4:$C$299,3,0))</f>
        <v>-</v>
      </c>
      <c r="K36" s="2120"/>
      <c r="L36" s="2120"/>
      <c r="M36" s="2121">
        <f>K36+L36</f>
        <v>0</v>
      </c>
      <c r="N36" s="2110"/>
      <c r="O36" s="2111" t="str">
        <f>IF(ISERROR(VLOOKUP(N36,Список_компаний!$A$4:$B$299,2,0)),"-",VLOOKUP(N36,Список_компаний!$A$4:$B$299,2,0))</f>
        <v>-</v>
      </c>
      <c r="P36" s="2111" t="str">
        <f>IF(ISERROR(VLOOKUP(N36,Список_компаний!$A$4:$C$299,3,0)),"-",VLOOKUP(N36,Список_компаний!$A$4:$C$299,3,0))</f>
        <v>-</v>
      </c>
      <c r="Q36" s="2122"/>
      <c r="S36" s="1903" t="b">
        <f>OR(M36&lt;=0,IF(Q36&gt;0,TRUE,FALSE))</f>
        <v>1</v>
      </c>
      <c r="U36" s="1569">
        <f t="shared" si="6"/>
        <v>0</v>
      </c>
      <c r="V36" s="1569" t="s">
        <v>5461</v>
      </c>
      <c r="W36" s="2123" t="b">
        <f t="shared" si="4"/>
        <v>1</v>
      </c>
      <c r="X36" s="1569" t="b">
        <f t="shared" si="5"/>
        <v>1</v>
      </c>
    </row>
    <row r="37" spans="1:24" s="1569" customFormat="1">
      <c r="A37" s="556" t="str">
        <f t="shared" si="1"/>
        <v>R11=;R12=;R42=;R44=;R45=;R36=-;R43=-;R48=-;R51=-;COM=</v>
      </c>
      <c r="B37" s="2118"/>
      <c r="C37" s="1459"/>
      <c r="D37" s="2119" t="str">
        <f>IF(ISNA(VLOOKUP(C37,Справочник!$H$4:$I$537,2,0)),"-",VLOOKUP(C37,Справочник!$H$4:$I$537,2,0))</f>
        <v>-</v>
      </c>
      <c r="E37" s="2110"/>
      <c r="F37" s="2111" t="str">
        <f>IF(ISERROR(VLOOKUP(E37,Список_компаний!$A$8:$B$299,2,0)),"-",VLOOKUP(E37,Список_компаний!$A$8:$B$299,2,0))</f>
        <v>-</v>
      </c>
      <c r="G37" s="2111" t="str">
        <f>IF(ISERROR(VLOOKUP(E37,Список_компаний!$A$8:$C$299,3,0)),"-",VLOOKUP(E37,Список_компаний!$A$8:$C$299,3,0))</f>
        <v>-</v>
      </c>
      <c r="H37" s="2110"/>
      <c r="I37" s="2111" t="str">
        <f>IF(ISERROR(VLOOKUP(H37,Список_компаний!$A$4:$B$299,2,0)),"-",VLOOKUP(H37,Список_компаний!$A$4:$B$299,2,0))</f>
        <v>-</v>
      </c>
      <c r="J37" s="2111" t="str">
        <f>IF(ISERROR(VLOOKUP(H37,Список_компаний!$A$4:$C$299,3,0)),"-",VLOOKUP(H37,Список_компаний!$A$4:$C$299,3,0))</f>
        <v>-</v>
      </c>
      <c r="K37" s="2120"/>
      <c r="L37" s="2120"/>
      <c r="M37" s="2121">
        <f t="shared" si="2"/>
        <v>0</v>
      </c>
      <c r="N37" s="2110"/>
      <c r="O37" s="2111" t="str">
        <f>IF(ISERROR(VLOOKUP(N37,Список_компаний!$A$4:$B$299,2,0)),"-",VLOOKUP(N37,Список_компаний!$A$4:$B$299,2,0))</f>
        <v>-</v>
      </c>
      <c r="P37" s="2111" t="str">
        <f>IF(ISERROR(VLOOKUP(N37,Список_компаний!$A$4:$C$299,3,0)),"-",VLOOKUP(N37,Список_компаний!$A$4:$C$299,3,0))</f>
        <v>-</v>
      </c>
      <c r="Q37" s="2122"/>
      <c r="S37" s="1903" t="b">
        <f t="shared" si="3"/>
        <v>1</v>
      </c>
      <c r="U37" s="1569">
        <f t="shared" si="6"/>
        <v>0</v>
      </c>
      <c r="V37" s="1569" t="s">
        <v>5463</v>
      </c>
      <c r="W37" s="2123" t="b">
        <f t="shared" si="4"/>
        <v>1</v>
      </c>
      <c r="X37" s="1569" t="b">
        <f t="shared" si="5"/>
        <v>1</v>
      </c>
    </row>
    <row r="38" spans="1:24" s="1569" customFormat="1">
      <c r="A38" s="556" t="str">
        <f t="shared" si="1"/>
        <v>R11=;R12=;R42=;R44=;R45=;R36=-;R43=-;R48=-;R51=-;COM=</v>
      </c>
      <c r="B38" s="2118"/>
      <c r="C38" s="1459"/>
      <c r="D38" s="2119" t="str">
        <f>IF(ISNA(VLOOKUP(C38,Справочник!$H$4:$I$537,2,0)),"-",VLOOKUP(C38,Справочник!$H$4:$I$537,2,0))</f>
        <v>-</v>
      </c>
      <c r="E38" s="2110"/>
      <c r="F38" s="2111" t="str">
        <f>IF(ISERROR(VLOOKUP(E38,Список_компаний!$A$8:$B$299,2,0)),"-",VLOOKUP(E38,Список_компаний!$A$8:$B$299,2,0))</f>
        <v>-</v>
      </c>
      <c r="G38" s="2111" t="str">
        <f>IF(ISERROR(VLOOKUP(E38,Список_компаний!$A$8:$C$299,3,0)),"-",VLOOKUP(E38,Список_компаний!$A$8:$C$299,3,0))</f>
        <v>-</v>
      </c>
      <c r="H38" s="2110"/>
      <c r="I38" s="2111" t="str">
        <f>IF(ISERROR(VLOOKUP(H38,Список_компаний!$A$4:$B$299,2,0)),"-",VLOOKUP(H38,Список_компаний!$A$4:$B$299,2,0))</f>
        <v>-</v>
      </c>
      <c r="J38" s="2111" t="str">
        <f>IF(ISERROR(VLOOKUP(H38,Список_компаний!$A$4:$C$299,3,0)),"-",VLOOKUP(H38,Список_компаний!$A$4:$C$299,3,0))</f>
        <v>-</v>
      </c>
      <c r="K38" s="2120"/>
      <c r="L38" s="2120"/>
      <c r="M38" s="2121">
        <f t="shared" si="2"/>
        <v>0</v>
      </c>
      <c r="N38" s="2110"/>
      <c r="O38" s="2111" t="str">
        <f>IF(ISERROR(VLOOKUP(N38,Список_компаний!$A$4:$B$299,2,0)),"-",VLOOKUP(N38,Список_компаний!$A$4:$B$299,2,0))</f>
        <v>-</v>
      </c>
      <c r="P38" s="2111" t="str">
        <f>IF(ISERROR(VLOOKUP(N38,Список_компаний!$A$4:$C$299,3,0)),"-",VLOOKUP(N38,Список_компаний!$A$4:$C$299,3,0))</f>
        <v>-</v>
      </c>
      <c r="Q38" s="2122"/>
      <c r="S38" s="1903" t="b">
        <f t="shared" si="3"/>
        <v>1</v>
      </c>
      <c r="U38" s="1569">
        <f t="shared" si="6"/>
        <v>0</v>
      </c>
      <c r="V38" s="1569" t="s">
        <v>957</v>
      </c>
      <c r="W38" s="2123" t="b">
        <f t="shared" si="4"/>
        <v>1</v>
      </c>
      <c r="X38" s="1569" t="b">
        <f t="shared" si="5"/>
        <v>1</v>
      </c>
    </row>
    <row r="39" spans="1:24" s="1569" customFormat="1">
      <c r="A39" s="556" t="str">
        <f t="shared" si="1"/>
        <v>R11=;R12=;R42=;R44=;R45=;R36=-;R43=-;R48=-;R51=-;COM=</v>
      </c>
      <c r="B39" s="2118"/>
      <c r="C39" s="1459"/>
      <c r="D39" s="2119" t="str">
        <f>IF(ISNA(VLOOKUP(C39,Справочник!$H$4:$I$537,2,0)),"-",VLOOKUP(C39,Справочник!$H$4:$I$537,2,0))</f>
        <v>-</v>
      </c>
      <c r="E39" s="2110"/>
      <c r="F39" s="2111" t="str">
        <f>IF(ISERROR(VLOOKUP(E39,Список_компаний!$A$8:$B$299,2,0)),"-",VLOOKUP(E39,Список_компаний!$A$8:$B$299,2,0))</f>
        <v>-</v>
      </c>
      <c r="G39" s="2111" t="str">
        <f>IF(ISERROR(VLOOKUP(E39,Список_компаний!$A$8:$C$299,3,0)),"-",VLOOKUP(E39,Список_компаний!$A$8:$C$299,3,0))</f>
        <v>-</v>
      </c>
      <c r="H39" s="2110"/>
      <c r="I39" s="2111" t="str">
        <f>IF(ISERROR(VLOOKUP(H39,Список_компаний!$A$4:$B$299,2,0)),"-",VLOOKUP(H39,Список_компаний!$A$4:$B$299,2,0))</f>
        <v>-</v>
      </c>
      <c r="J39" s="2111" t="str">
        <f>IF(ISERROR(VLOOKUP(H39,Список_компаний!$A$4:$C$299,3,0)),"-",VLOOKUP(H39,Список_компаний!$A$4:$C$299,3,0))</f>
        <v>-</v>
      </c>
      <c r="K39" s="2120"/>
      <c r="L39" s="2120"/>
      <c r="M39" s="2121">
        <f t="shared" ref="M39:M64" si="7">K39+L39</f>
        <v>0</v>
      </c>
      <c r="N39" s="2110"/>
      <c r="O39" s="2111" t="str">
        <f>IF(ISERROR(VLOOKUP(N39,Список_компаний!$A$4:$B$299,2,0)),"-",VLOOKUP(N39,Список_компаний!$A$4:$B$299,2,0))</f>
        <v>-</v>
      </c>
      <c r="P39" s="2111" t="str">
        <f>IF(ISERROR(VLOOKUP(N39,Список_компаний!$A$4:$C$299,3,0)),"-",VLOOKUP(N39,Список_компаний!$A$4:$C$299,3,0))</f>
        <v>-</v>
      </c>
      <c r="Q39" s="2122"/>
      <c r="S39" s="1903" t="b">
        <f t="shared" ref="S39:S64" si="8">OR(M39&lt;=0,IF(Q39&gt;0,TRUE,FALSE))</f>
        <v>1</v>
      </c>
      <c r="U39" s="1569">
        <f t="shared" si="6"/>
        <v>0</v>
      </c>
      <c r="V39" s="1569" t="s">
        <v>958</v>
      </c>
      <c r="W39" s="2123" t="b">
        <f t="shared" ref="W39:W64" si="9">OR(U39=0,IF((ROUND(L39,0))&gt;=1,TRUE,FALSE),LEN(Q39)&gt;5)</f>
        <v>1</v>
      </c>
      <c r="X39" s="1569" t="b">
        <f t="shared" si="5"/>
        <v>1</v>
      </c>
    </row>
    <row r="40" spans="1:24" s="1569" customFormat="1">
      <c r="A40" s="556" t="str">
        <f t="shared" si="1"/>
        <v>R11=;R12=;R42=;R44=;R45=;R36=-;R43=-;R48=-;R51=-;COM=</v>
      </c>
      <c r="B40" s="2118"/>
      <c r="C40" s="1459"/>
      <c r="D40" s="2119" t="str">
        <f>IF(ISNA(VLOOKUP(C40,Справочник!$H$4:$I$537,2,0)),"-",VLOOKUP(C40,Справочник!$H$4:$I$537,2,0))</f>
        <v>-</v>
      </c>
      <c r="E40" s="2110"/>
      <c r="F40" s="2111" t="str">
        <f>IF(ISERROR(VLOOKUP(E40,Список_компаний!$A$8:$B$299,2,0)),"-",VLOOKUP(E40,Список_компаний!$A$8:$B$299,2,0))</f>
        <v>-</v>
      </c>
      <c r="G40" s="2111" t="str">
        <f>IF(ISERROR(VLOOKUP(E40,Список_компаний!$A$8:$C$299,3,0)),"-",VLOOKUP(E40,Список_компаний!$A$8:$C$299,3,0))</f>
        <v>-</v>
      </c>
      <c r="H40" s="2110"/>
      <c r="I40" s="2111" t="str">
        <f>IF(ISERROR(VLOOKUP(H40,Список_компаний!$A$4:$B$299,2,0)),"-",VLOOKUP(H40,Список_компаний!$A$4:$B$299,2,0))</f>
        <v>-</v>
      </c>
      <c r="J40" s="2111" t="str">
        <f>IF(ISERROR(VLOOKUP(H40,Список_компаний!$A$4:$C$299,3,0)),"-",VLOOKUP(H40,Список_компаний!$A$4:$C$299,3,0))</f>
        <v>-</v>
      </c>
      <c r="K40" s="2120"/>
      <c r="L40" s="2120"/>
      <c r="M40" s="2121">
        <f t="shared" si="7"/>
        <v>0</v>
      </c>
      <c r="N40" s="2110"/>
      <c r="O40" s="2111" t="str">
        <f>IF(ISERROR(VLOOKUP(N40,Список_компаний!$A$4:$B$299,2,0)),"-",VLOOKUP(N40,Список_компаний!$A$4:$B$299,2,0))</f>
        <v>-</v>
      </c>
      <c r="P40" s="2111" t="str">
        <f>IF(ISERROR(VLOOKUP(N40,Список_компаний!$A$4:$C$299,3,0)),"-",VLOOKUP(N40,Список_компаний!$A$4:$C$299,3,0))</f>
        <v>-</v>
      </c>
      <c r="Q40" s="2122"/>
      <c r="S40" s="1903" t="b">
        <f t="shared" si="8"/>
        <v>1</v>
      </c>
      <c r="U40" s="1569">
        <f t="shared" si="6"/>
        <v>0</v>
      </c>
      <c r="V40" s="1569" t="s">
        <v>3124</v>
      </c>
      <c r="W40" s="2123" t="b">
        <f t="shared" si="9"/>
        <v>1</v>
      </c>
      <c r="X40" s="1569" t="b">
        <f t="shared" si="5"/>
        <v>1</v>
      </c>
    </row>
    <row r="41" spans="1:24" s="1569" customFormat="1">
      <c r="A41" s="556" t="str">
        <f t="shared" si="1"/>
        <v>R11=;R12=;R42=;R44=;R45=;R36=-;R43=-;R48=-;R51=-;COM=</v>
      </c>
      <c r="B41" s="2118"/>
      <c r="C41" s="1459"/>
      <c r="D41" s="2119" t="str">
        <f>IF(ISNA(VLOOKUP(C41,Справочник!$H$4:$I$537,2,0)),"-",VLOOKUP(C41,Справочник!$H$4:$I$537,2,0))</f>
        <v>-</v>
      </c>
      <c r="E41" s="2110"/>
      <c r="F41" s="2111" t="str">
        <f>IF(ISERROR(VLOOKUP(E41,Список_компаний!$A$8:$B$299,2,0)),"-",VLOOKUP(E41,Список_компаний!$A$8:$B$299,2,0))</f>
        <v>-</v>
      </c>
      <c r="G41" s="2111" t="str">
        <f>IF(ISERROR(VLOOKUP(E41,Список_компаний!$A$8:$C$299,3,0)),"-",VLOOKUP(E41,Список_компаний!$A$8:$C$299,3,0))</f>
        <v>-</v>
      </c>
      <c r="H41" s="2110"/>
      <c r="I41" s="2111" t="str">
        <f>IF(ISERROR(VLOOKUP(H41,Список_компаний!$A$4:$B$299,2,0)),"-",VLOOKUP(H41,Список_компаний!$A$4:$B$299,2,0))</f>
        <v>-</v>
      </c>
      <c r="J41" s="2111" t="str">
        <f>IF(ISERROR(VLOOKUP(H41,Список_компаний!$A$4:$C$299,3,0)),"-",VLOOKUP(H41,Список_компаний!$A$4:$C$299,3,0))</f>
        <v>-</v>
      </c>
      <c r="K41" s="2120"/>
      <c r="L41" s="2120"/>
      <c r="M41" s="2121">
        <f t="shared" si="7"/>
        <v>0</v>
      </c>
      <c r="N41" s="2110"/>
      <c r="O41" s="2111" t="str">
        <f>IF(ISERROR(VLOOKUP(N41,Список_компаний!$A$4:$B$299,2,0)),"-",VLOOKUP(N41,Список_компаний!$A$4:$B$299,2,0))</f>
        <v>-</v>
      </c>
      <c r="P41" s="2111" t="str">
        <f>IF(ISERROR(VLOOKUP(N41,Список_компаний!$A$4:$C$299,3,0)),"-",VLOOKUP(N41,Список_компаний!$A$4:$C$299,3,0))</f>
        <v>-</v>
      </c>
      <c r="Q41" s="2122"/>
      <c r="S41" s="1903" t="b">
        <f t="shared" si="8"/>
        <v>1</v>
      </c>
      <c r="U41" s="1569">
        <f t="shared" si="6"/>
        <v>0</v>
      </c>
      <c r="V41" s="1569" t="s">
        <v>959</v>
      </c>
      <c r="W41" s="2123" t="b">
        <f t="shared" si="9"/>
        <v>1</v>
      </c>
      <c r="X41" s="1569" t="b">
        <f t="shared" si="5"/>
        <v>1</v>
      </c>
    </row>
    <row r="42" spans="1:24" s="1569" customFormat="1">
      <c r="A42" s="556" t="str">
        <f t="shared" si="1"/>
        <v>R11=;R12=;R42=;R44=;R45=;R36=-;R43=-;R48=-;R51=-;COM=</v>
      </c>
      <c r="B42" s="2118"/>
      <c r="C42" s="1459"/>
      <c r="D42" s="2119" t="str">
        <f>IF(ISNA(VLOOKUP(C42,Справочник!$H$4:$I$537,2,0)),"-",VLOOKUP(C42,Справочник!$H$4:$I$537,2,0))</f>
        <v>-</v>
      </c>
      <c r="E42" s="2110"/>
      <c r="F42" s="2111" t="str">
        <f>IF(ISERROR(VLOOKUP(E42,Список_компаний!$A$8:$B$299,2,0)),"-",VLOOKUP(E42,Список_компаний!$A$8:$B$299,2,0))</f>
        <v>-</v>
      </c>
      <c r="G42" s="2111" t="str">
        <f>IF(ISERROR(VLOOKUP(E42,Список_компаний!$A$8:$C$299,3,0)),"-",VLOOKUP(E42,Список_компаний!$A$8:$C$299,3,0))</f>
        <v>-</v>
      </c>
      <c r="H42" s="2110"/>
      <c r="I42" s="2111" t="str">
        <f>IF(ISERROR(VLOOKUP(H42,Список_компаний!$A$4:$B$299,2,0)),"-",VLOOKUP(H42,Список_компаний!$A$4:$B$299,2,0))</f>
        <v>-</v>
      </c>
      <c r="J42" s="2111" t="str">
        <f>IF(ISERROR(VLOOKUP(H42,Список_компаний!$A$4:$C$299,3,0)),"-",VLOOKUP(H42,Список_компаний!$A$4:$C$299,3,0))</f>
        <v>-</v>
      </c>
      <c r="K42" s="2120"/>
      <c r="L42" s="2120"/>
      <c r="M42" s="2121">
        <f t="shared" si="7"/>
        <v>0</v>
      </c>
      <c r="N42" s="2110"/>
      <c r="O42" s="2111" t="str">
        <f>IF(ISERROR(VLOOKUP(N42,Список_компаний!$A$4:$B$299,2,0)),"-",VLOOKUP(N42,Список_компаний!$A$4:$B$299,2,0))</f>
        <v>-</v>
      </c>
      <c r="P42" s="2111" t="str">
        <f>IF(ISERROR(VLOOKUP(N42,Список_компаний!$A$4:$C$299,3,0)),"-",VLOOKUP(N42,Список_компаний!$A$4:$C$299,3,0))</f>
        <v>-</v>
      </c>
      <c r="Q42" s="2122"/>
      <c r="S42" s="1903" t="b">
        <f t="shared" si="8"/>
        <v>1</v>
      </c>
      <c r="U42" s="1569">
        <f t="shared" si="6"/>
        <v>0</v>
      </c>
      <c r="V42" s="1569" t="s">
        <v>960</v>
      </c>
      <c r="W42" s="2123" t="b">
        <f t="shared" si="9"/>
        <v>1</v>
      </c>
      <c r="X42" s="1569" t="b">
        <f t="shared" si="5"/>
        <v>1</v>
      </c>
    </row>
    <row r="43" spans="1:24" s="1569" customFormat="1">
      <c r="A43" s="556" t="str">
        <f t="shared" si="1"/>
        <v>R11=;R12=;R42=;R44=;R45=;R36=-;R43=-;R48=-;R51=-;COM=</v>
      </c>
      <c r="B43" s="2118"/>
      <c r="C43" s="1459"/>
      <c r="D43" s="2119" t="str">
        <f>IF(ISNA(VLOOKUP(C43,Справочник!$H$4:$I$537,2,0)),"-",VLOOKUP(C43,Справочник!$H$4:$I$537,2,0))</f>
        <v>-</v>
      </c>
      <c r="E43" s="2110"/>
      <c r="F43" s="2111" t="str">
        <f>IF(ISERROR(VLOOKUP(E43,Список_компаний!$A$8:$B$299,2,0)),"-",VLOOKUP(E43,Список_компаний!$A$8:$B$299,2,0))</f>
        <v>-</v>
      </c>
      <c r="G43" s="2111" t="str">
        <f>IF(ISERROR(VLOOKUP(E43,Список_компаний!$A$8:$C$299,3,0)),"-",VLOOKUP(E43,Список_компаний!$A$8:$C$299,3,0))</f>
        <v>-</v>
      </c>
      <c r="H43" s="2110"/>
      <c r="I43" s="2111" t="str">
        <f>IF(ISERROR(VLOOKUP(H43,Список_компаний!$A$4:$B$299,2,0)),"-",VLOOKUP(H43,Список_компаний!$A$4:$B$299,2,0))</f>
        <v>-</v>
      </c>
      <c r="J43" s="2111" t="str">
        <f>IF(ISERROR(VLOOKUP(H43,Список_компаний!$A$4:$C$299,3,0)),"-",VLOOKUP(H43,Список_компаний!$A$4:$C$299,3,0))</f>
        <v>-</v>
      </c>
      <c r="K43" s="2120"/>
      <c r="L43" s="2120"/>
      <c r="M43" s="2121">
        <f t="shared" si="7"/>
        <v>0</v>
      </c>
      <c r="N43" s="2110"/>
      <c r="O43" s="2111" t="str">
        <f>IF(ISERROR(VLOOKUP(N43,Список_компаний!$A$4:$B$299,2,0)),"-",VLOOKUP(N43,Список_компаний!$A$4:$B$299,2,0))</f>
        <v>-</v>
      </c>
      <c r="P43" s="2111" t="str">
        <f>IF(ISERROR(VLOOKUP(N43,Список_компаний!$A$4:$C$299,3,0)),"-",VLOOKUP(N43,Список_компаний!$A$4:$C$299,3,0))</f>
        <v>-</v>
      </c>
      <c r="Q43" s="2122"/>
      <c r="S43" s="1903" t="b">
        <f t="shared" si="8"/>
        <v>1</v>
      </c>
      <c r="U43" s="1569">
        <f t="shared" si="6"/>
        <v>0</v>
      </c>
      <c r="V43" s="1569" t="s">
        <v>3127</v>
      </c>
      <c r="W43" s="2123" t="b">
        <f t="shared" si="9"/>
        <v>1</v>
      </c>
      <c r="X43" s="1569" t="b">
        <f t="shared" si="5"/>
        <v>1</v>
      </c>
    </row>
    <row r="44" spans="1:24" s="1569" customFormat="1">
      <c r="A44" s="556" t="str">
        <f t="shared" si="1"/>
        <v>R11=;R12=;R42=;R44=;R45=;R36=-;R43=-;R48=-;R51=-;COM=</v>
      </c>
      <c r="B44" s="2118"/>
      <c r="C44" s="1459"/>
      <c r="D44" s="2119" t="str">
        <f>IF(ISNA(VLOOKUP(C44,Справочник!$H$4:$I$537,2,0)),"-",VLOOKUP(C44,Справочник!$H$4:$I$537,2,0))</f>
        <v>-</v>
      </c>
      <c r="E44" s="2110"/>
      <c r="F44" s="2111" t="str">
        <f>IF(ISERROR(VLOOKUP(E44,Список_компаний!$A$8:$B$299,2,0)),"-",VLOOKUP(E44,Список_компаний!$A$8:$B$299,2,0))</f>
        <v>-</v>
      </c>
      <c r="G44" s="2111" t="str">
        <f>IF(ISERROR(VLOOKUP(E44,Список_компаний!$A$8:$C$299,3,0)),"-",VLOOKUP(E44,Список_компаний!$A$8:$C$299,3,0))</f>
        <v>-</v>
      </c>
      <c r="H44" s="2110"/>
      <c r="I44" s="2111" t="str">
        <f>IF(ISERROR(VLOOKUP(H44,Список_компаний!$A$4:$B$299,2,0)),"-",VLOOKUP(H44,Список_компаний!$A$4:$B$299,2,0))</f>
        <v>-</v>
      </c>
      <c r="J44" s="2111" t="str">
        <f>IF(ISERROR(VLOOKUP(H44,Список_компаний!$A$4:$C$299,3,0)),"-",VLOOKUP(H44,Список_компаний!$A$4:$C$299,3,0))</f>
        <v>-</v>
      </c>
      <c r="K44" s="2120"/>
      <c r="L44" s="2120"/>
      <c r="M44" s="2121">
        <f t="shared" si="7"/>
        <v>0</v>
      </c>
      <c r="N44" s="2110"/>
      <c r="O44" s="2111" t="str">
        <f>IF(ISERROR(VLOOKUP(N44,Список_компаний!$A$4:$B$299,2,0)),"-",VLOOKUP(N44,Список_компаний!$A$4:$B$299,2,0))</f>
        <v>-</v>
      </c>
      <c r="P44" s="2111" t="str">
        <f>IF(ISERROR(VLOOKUP(N44,Список_компаний!$A$4:$C$299,3,0)),"-",VLOOKUP(N44,Список_компаний!$A$4:$C$299,3,0))</f>
        <v>-</v>
      </c>
      <c r="Q44" s="2122"/>
      <c r="S44" s="1903" t="b">
        <f t="shared" si="8"/>
        <v>1</v>
      </c>
      <c r="U44" s="1569">
        <f t="shared" si="6"/>
        <v>0</v>
      </c>
      <c r="V44" s="1569" t="s">
        <v>961</v>
      </c>
      <c r="W44" s="2123" t="b">
        <f t="shared" si="9"/>
        <v>1</v>
      </c>
      <c r="X44" s="1569" t="b">
        <f t="shared" si="5"/>
        <v>1</v>
      </c>
    </row>
    <row r="45" spans="1:24" s="1569" customFormat="1">
      <c r="A45" s="556" t="str">
        <f t="shared" si="1"/>
        <v>R11=;R12=;R42=;R44=;R45=;R36=-;R43=-;R48=-;R51=-;COM=</v>
      </c>
      <c r="B45" s="2118"/>
      <c r="C45" s="1459"/>
      <c r="D45" s="2119" t="str">
        <f>IF(ISNA(VLOOKUP(C45,Справочник!$H$4:$I$537,2,0)),"-",VLOOKUP(C45,Справочник!$H$4:$I$537,2,0))</f>
        <v>-</v>
      </c>
      <c r="E45" s="2110"/>
      <c r="F45" s="2111" t="str">
        <f>IF(ISERROR(VLOOKUP(E45,Список_компаний!$A$8:$B$299,2,0)),"-",VLOOKUP(E45,Список_компаний!$A$8:$B$299,2,0))</f>
        <v>-</v>
      </c>
      <c r="G45" s="2111" t="str">
        <f>IF(ISERROR(VLOOKUP(E45,Список_компаний!$A$8:$C$299,3,0)),"-",VLOOKUP(E45,Список_компаний!$A$8:$C$299,3,0))</f>
        <v>-</v>
      </c>
      <c r="H45" s="2110"/>
      <c r="I45" s="2111" t="str">
        <f>IF(ISERROR(VLOOKUP(H45,Список_компаний!$A$4:$B$299,2,0)),"-",VLOOKUP(H45,Список_компаний!$A$4:$B$299,2,0))</f>
        <v>-</v>
      </c>
      <c r="J45" s="2111" t="str">
        <f>IF(ISERROR(VLOOKUP(H45,Список_компаний!$A$4:$C$299,3,0)),"-",VLOOKUP(H45,Список_компаний!$A$4:$C$299,3,0))</f>
        <v>-</v>
      </c>
      <c r="K45" s="2120"/>
      <c r="L45" s="2120"/>
      <c r="M45" s="2121">
        <f t="shared" si="7"/>
        <v>0</v>
      </c>
      <c r="N45" s="2110"/>
      <c r="O45" s="2111" t="str">
        <f>IF(ISERROR(VLOOKUP(N45,Список_компаний!$A$4:$B$299,2,0)),"-",VLOOKUP(N45,Список_компаний!$A$4:$B$299,2,0))</f>
        <v>-</v>
      </c>
      <c r="P45" s="2111" t="str">
        <f>IF(ISERROR(VLOOKUP(N45,Список_компаний!$A$4:$C$299,3,0)),"-",VLOOKUP(N45,Список_компаний!$A$4:$C$299,3,0))</f>
        <v>-</v>
      </c>
      <c r="Q45" s="2122"/>
      <c r="S45" s="1903" t="b">
        <f t="shared" si="8"/>
        <v>1</v>
      </c>
      <c r="U45" s="1569">
        <f t="shared" si="6"/>
        <v>0</v>
      </c>
      <c r="V45" s="1569" t="s">
        <v>962</v>
      </c>
      <c r="W45" s="2123" t="b">
        <f t="shared" si="9"/>
        <v>1</v>
      </c>
      <c r="X45" s="1569" t="b">
        <f t="shared" si="5"/>
        <v>1</v>
      </c>
    </row>
    <row r="46" spans="1:24" s="1569" customFormat="1">
      <c r="A46" s="556" t="str">
        <f t="shared" si="1"/>
        <v>R11=;R12=;R42=;R44=;R45=;R36=-;R43=-;R48=-;R51=-;COM=</v>
      </c>
      <c r="B46" s="2118"/>
      <c r="C46" s="1459"/>
      <c r="D46" s="2119" t="str">
        <f>IF(ISNA(VLOOKUP(C46,Справочник!$H$4:$I$537,2,0)),"-",VLOOKUP(C46,Справочник!$H$4:$I$537,2,0))</f>
        <v>-</v>
      </c>
      <c r="E46" s="2110"/>
      <c r="F46" s="2111" t="str">
        <f>IF(ISERROR(VLOOKUP(E46,Список_компаний!$A$8:$B$299,2,0)),"-",VLOOKUP(E46,Список_компаний!$A$8:$B$299,2,0))</f>
        <v>-</v>
      </c>
      <c r="G46" s="2111" t="str">
        <f>IF(ISERROR(VLOOKUP(E46,Список_компаний!$A$8:$C$299,3,0)),"-",VLOOKUP(E46,Список_компаний!$A$8:$C$299,3,0))</f>
        <v>-</v>
      </c>
      <c r="H46" s="2110"/>
      <c r="I46" s="2111" t="str">
        <f>IF(ISERROR(VLOOKUP(H46,Список_компаний!$A$4:$B$299,2,0)),"-",VLOOKUP(H46,Список_компаний!$A$4:$B$299,2,0))</f>
        <v>-</v>
      </c>
      <c r="J46" s="2111" t="str">
        <f>IF(ISERROR(VLOOKUP(H46,Список_компаний!$A$4:$C$299,3,0)),"-",VLOOKUP(H46,Список_компаний!$A$4:$C$299,3,0))</f>
        <v>-</v>
      </c>
      <c r="K46" s="2120"/>
      <c r="L46" s="2120"/>
      <c r="M46" s="2121">
        <f t="shared" si="7"/>
        <v>0</v>
      </c>
      <c r="N46" s="2110"/>
      <c r="O46" s="2111" t="str">
        <f>IF(ISERROR(VLOOKUP(N46,Список_компаний!$A$4:$B$299,2,0)),"-",VLOOKUP(N46,Список_компаний!$A$4:$B$299,2,0))</f>
        <v>-</v>
      </c>
      <c r="P46" s="2111" t="str">
        <f>IF(ISERROR(VLOOKUP(N46,Список_компаний!$A$4:$C$299,3,0)),"-",VLOOKUP(N46,Список_компаний!$A$4:$C$299,3,0))</f>
        <v>-</v>
      </c>
      <c r="Q46" s="2122"/>
      <c r="S46" s="1903" t="b">
        <f t="shared" si="8"/>
        <v>1</v>
      </c>
      <c r="U46" s="1569">
        <f t="shared" si="6"/>
        <v>0</v>
      </c>
      <c r="V46" s="1569" t="s">
        <v>3128</v>
      </c>
      <c r="W46" s="2123" t="b">
        <f t="shared" si="9"/>
        <v>1</v>
      </c>
      <c r="X46" s="1569" t="b">
        <f t="shared" si="5"/>
        <v>1</v>
      </c>
    </row>
    <row r="47" spans="1:24" s="1569" customFormat="1">
      <c r="A47" s="556" t="str">
        <f t="shared" si="1"/>
        <v>R11=;R12=;R42=;R44=;R45=;R36=-;R43=-;R48=-;R51=-;COM=</v>
      </c>
      <c r="B47" s="2118"/>
      <c r="C47" s="1459"/>
      <c r="D47" s="2119" t="str">
        <f>IF(ISNA(VLOOKUP(C47,Справочник!$H$4:$I$537,2,0)),"-",VLOOKUP(C47,Справочник!$H$4:$I$537,2,0))</f>
        <v>-</v>
      </c>
      <c r="E47" s="2110"/>
      <c r="F47" s="2111" t="str">
        <f>IF(ISERROR(VLOOKUP(E47,Список_компаний!$A$8:$B$299,2,0)),"-",VLOOKUP(E47,Список_компаний!$A$8:$B$299,2,0))</f>
        <v>-</v>
      </c>
      <c r="G47" s="2111" t="str">
        <f>IF(ISERROR(VLOOKUP(E47,Список_компаний!$A$8:$C$299,3,0)),"-",VLOOKUP(E47,Список_компаний!$A$8:$C$299,3,0))</f>
        <v>-</v>
      </c>
      <c r="H47" s="2110"/>
      <c r="I47" s="2111" t="str">
        <f>IF(ISERROR(VLOOKUP(H47,Список_компаний!$A$4:$B$299,2,0)),"-",VLOOKUP(H47,Список_компаний!$A$4:$B$299,2,0))</f>
        <v>-</v>
      </c>
      <c r="J47" s="2111" t="str">
        <f>IF(ISERROR(VLOOKUP(H47,Список_компаний!$A$4:$C$299,3,0)),"-",VLOOKUP(H47,Список_компаний!$A$4:$C$299,3,0))</f>
        <v>-</v>
      </c>
      <c r="K47" s="2120"/>
      <c r="L47" s="2120"/>
      <c r="M47" s="2121">
        <f t="shared" si="7"/>
        <v>0</v>
      </c>
      <c r="N47" s="2110"/>
      <c r="O47" s="2111" t="str">
        <f>IF(ISERROR(VLOOKUP(N47,Список_компаний!$A$4:$B$299,2,0)),"-",VLOOKUP(N47,Список_компаний!$A$4:$B$299,2,0))</f>
        <v>-</v>
      </c>
      <c r="P47" s="2111" t="str">
        <f>IF(ISERROR(VLOOKUP(N47,Список_компаний!$A$4:$C$299,3,0)),"-",VLOOKUP(N47,Список_компаний!$A$4:$C$299,3,0))</f>
        <v>-</v>
      </c>
      <c r="Q47" s="2122"/>
      <c r="S47" s="1903" t="b">
        <f t="shared" si="8"/>
        <v>1</v>
      </c>
      <c r="U47" s="1569">
        <f t="shared" si="6"/>
        <v>0</v>
      </c>
      <c r="V47" s="1569" t="s">
        <v>3131</v>
      </c>
      <c r="W47" s="2123" t="b">
        <f t="shared" si="9"/>
        <v>1</v>
      </c>
      <c r="X47" s="1569" t="b">
        <f t="shared" si="5"/>
        <v>1</v>
      </c>
    </row>
    <row r="48" spans="1:24" s="1569" customFormat="1">
      <c r="A48" s="556" t="str">
        <f t="shared" si="1"/>
        <v>R11=;R12=;R42=;R44=;R45=;R36=-;R43=-;R48=-;R51=-;COM=</v>
      </c>
      <c r="B48" s="2118"/>
      <c r="C48" s="1459"/>
      <c r="D48" s="2119" t="str">
        <f>IF(ISNA(VLOOKUP(C48,Справочник!$H$4:$I$537,2,0)),"-",VLOOKUP(C48,Справочник!$H$4:$I$537,2,0))</f>
        <v>-</v>
      </c>
      <c r="E48" s="2110"/>
      <c r="F48" s="2111" t="str">
        <f>IF(ISERROR(VLOOKUP(E48,Список_компаний!$A$8:$B$299,2,0)),"-",VLOOKUP(E48,Список_компаний!$A$8:$B$299,2,0))</f>
        <v>-</v>
      </c>
      <c r="G48" s="2111" t="str">
        <f>IF(ISERROR(VLOOKUP(E48,Список_компаний!$A$8:$C$299,3,0)),"-",VLOOKUP(E48,Список_компаний!$A$8:$C$299,3,0))</f>
        <v>-</v>
      </c>
      <c r="H48" s="2110"/>
      <c r="I48" s="2111" t="str">
        <f>IF(ISERROR(VLOOKUP(H48,Список_компаний!$A$4:$B$299,2,0)),"-",VLOOKUP(H48,Список_компаний!$A$4:$B$299,2,0))</f>
        <v>-</v>
      </c>
      <c r="J48" s="2111" t="str">
        <f>IF(ISERROR(VLOOKUP(H48,Список_компаний!$A$4:$C$299,3,0)),"-",VLOOKUP(H48,Список_компаний!$A$4:$C$299,3,0))</f>
        <v>-</v>
      </c>
      <c r="K48" s="2120"/>
      <c r="L48" s="2120"/>
      <c r="M48" s="2121">
        <f t="shared" si="7"/>
        <v>0</v>
      </c>
      <c r="N48" s="2110"/>
      <c r="O48" s="2111" t="str">
        <f>IF(ISERROR(VLOOKUP(N48,Список_компаний!$A$4:$B$299,2,0)),"-",VLOOKUP(N48,Список_компаний!$A$4:$B$299,2,0))</f>
        <v>-</v>
      </c>
      <c r="P48" s="2111" t="str">
        <f>IF(ISERROR(VLOOKUP(N48,Список_компаний!$A$4:$C$299,3,0)),"-",VLOOKUP(N48,Список_компаний!$A$4:$C$299,3,0))</f>
        <v>-</v>
      </c>
      <c r="Q48" s="2122"/>
      <c r="S48" s="1903" t="b">
        <f t="shared" si="8"/>
        <v>1</v>
      </c>
      <c r="U48" s="1569">
        <f t="shared" si="6"/>
        <v>0</v>
      </c>
      <c r="V48" s="1569" t="s">
        <v>3133</v>
      </c>
      <c r="W48" s="2123" t="b">
        <f t="shared" si="9"/>
        <v>1</v>
      </c>
      <c r="X48" s="1569" t="b">
        <f t="shared" si="5"/>
        <v>1</v>
      </c>
    </row>
    <row r="49" spans="1:24" s="1569" customFormat="1">
      <c r="A49" s="556" t="str">
        <f t="shared" si="1"/>
        <v>R11=;R12=;R42=;R44=;R45=;R36=-;R43=-;R48=-;R51=-;COM=</v>
      </c>
      <c r="B49" s="2118"/>
      <c r="C49" s="1459"/>
      <c r="D49" s="2119" t="str">
        <f>IF(ISNA(VLOOKUP(C49,Справочник!$H$4:$I$537,2,0)),"-",VLOOKUP(C49,Справочник!$H$4:$I$537,2,0))</f>
        <v>-</v>
      </c>
      <c r="E49" s="2110"/>
      <c r="F49" s="2111" t="str">
        <f>IF(ISERROR(VLOOKUP(E49,Список_компаний!$A$8:$B$299,2,0)),"-",VLOOKUP(E49,Список_компаний!$A$8:$B$299,2,0))</f>
        <v>-</v>
      </c>
      <c r="G49" s="2111" t="str">
        <f>IF(ISERROR(VLOOKUP(E49,Список_компаний!$A$8:$C$299,3,0)),"-",VLOOKUP(E49,Список_компаний!$A$8:$C$299,3,0))</f>
        <v>-</v>
      </c>
      <c r="H49" s="2110"/>
      <c r="I49" s="2111" t="str">
        <f>IF(ISERROR(VLOOKUP(H49,Список_компаний!$A$4:$B$299,2,0)),"-",VLOOKUP(H49,Список_компаний!$A$4:$B$299,2,0))</f>
        <v>-</v>
      </c>
      <c r="J49" s="2111" t="str">
        <f>IF(ISERROR(VLOOKUP(H49,Список_компаний!$A$4:$C$299,3,0)),"-",VLOOKUP(H49,Список_компаний!$A$4:$C$299,3,0))</f>
        <v>-</v>
      </c>
      <c r="K49" s="2120"/>
      <c r="L49" s="2120"/>
      <c r="M49" s="2121">
        <f t="shared" si="7"/>
        <v>0</v>
      </c>
      <c r="N49" s="2110"/>
      <c r="O49" s="2111" t="str">
        <f>IF(ISERROR(VLOOKUP(N49,Список_компаний!$A$4:$B$299,2,0)),"-",VLOOKUP(N49,Список_компаний!$A$4:$B$299,2,0))</f>
        <v>-</v>
      </c>
      <c r="P49" s="2111" t="str">
        <f>IF(ISERROR(VLOOKUP(N49,Список_компаний!$A$4:$C$299,3,0)),"-",VLOOKUP(N49,Список_компаний!$A$4:$C$299,3,0))</f>
        <v>-</v>
      </c>
      <c r="Q49" s="2122"/>
      <c r="S49" s="1903" t="b">
        <f t="shared" si="8"/>
        <v>1</v>
      </c>
      <c r="U49" s="1569">
        <f t="shared" si="6"/>
        <v>0</v>
      </c>
      <c r="V49" s="1569" t="s">
        <v>3135</v>
      </c>
      <c r="W49" s="2123" t="b">
        <f t="shared" si="9"/>
        <v>1</v>
      </c>
      <c r="X49" s="1569" t="b">
        <f t="shared" si="5"/>
        <v>1</v>
      </c>
    </row>
    <row r="50" spans="1:24" s="1569" customFormat="1">
      <c r="A50" s="556" t="str">
        <f t="shared" si="1"/>
        <v>R11=;R12=;R42=;R44=;R45=;R36=-;R43=-;R48=-;R51=-;COM=</v>
      </c>
      <c r="B50" s="2118"/>
      <c r="C50" s="1459"/>
      <c r="D50" s="2119" t="str">
        <f>IF(ISNA(VLOOKUP(C50,Справочник!$H$4:$I$537,2,0)),"-",VLOOKUP(C50,Справочник!$H$4:$I$537,2,0))</f>
        <v>-</v>
      </c>
      <c r="E50" s="2110"/>
      <c r="F50" s="2111" t="str">
        <f>IF(ISERROR(VLOOKUP(E50,Список_компаний!$A$8:$B$299,2,0)),"-",VLOOKUP(E50,Список_компаний!$A$8:$B$299,2,0))</f>
        <v>-</v>
      </c>
      <c r="G50" s="2111" t="str">
        <f>IF(ISERROR(VLOOKUP(E50,Список_компаний!$A$8:$C$299,3,0)),"-",VLOOKUP(E50,Список_компаний!$A$8:$C$299,3,0))</f>
        <v>-</v>
      </c>
      <c r="H50" s="2110"/>
      <c r="I50" s="2111" t="str">
        <f>IF(ISERROR(VLOOKUP(H50,Список_компаний!$A$4:$B$299,2,0)),"-",VLOOKUP(H50,Список_компаний!$A$4:$B$299,2,0))</f>
        <v>-</v>
      </c>
      <c r="J50" s="2111" t="str">
        <f>IF(ISERROR(VLOOKUP(H50,Список_компаний!$A$4:$C$299,3,0)),"-",VLOOKUP(H50,Список_компаний!$A$4:$C$299,3,0))</f>
        <v>-</v>
      </c>
      <c r="K50" s="2120"/>
      <c r="L50" s="2120"/>
      <c r="M50" s="2121">
        <f t="shared" si="7"/>
        <v>0</v>
      </c>
      <c r="N50" s="2110"/>
      <c r="O50" s="2111" t="str">
        <f>IF(ISERROR(VLOOKUP(N50,Список_компаний!$A$4:$B$299,2,0)),"-",VLOOKUP(N50,Список_компаний!$A$4:$B$299,2,0))</f>
        <v>-</v>
      </c>
      <c r="P50" s="2111" t="str">
        <f>IF(ISERROR(VLOOKUP(N50,Список_компаний!$A$4:$C$299,3,0)),"-",VLOOKUP(N50,Список_компаний!$A$4:$C$299,3,0))</f>
        <v>-</v>
      </c>
      <c r="Q50" s="2122"/>
      <c r="S50" s="1903" t="b">
        <f t="shared" si="8"/>
        <v>1</v>
      </c>
      <c r="U50" s="1569">
        <f t="shared" si="6"/>
        <v>0</v>
      </c>
      <c r="V50" s="1569" t="s">
        <v>3137</v>
      </c>
      <c r="W50" s="2123" t="b">
        <f t="shared" si="9"/>
        <v>1</v>
      </c>
      <c r="X50" s="1569" t="b">
        <f t="shared" si="5"/>
        <v>1</v>
      </c>
    </row>
    <row r="51" spans="1:24" s="1569" customFormat="1">
      <c r="A51" s="556" t="str">
        <f t="shared" si="1"/>
        <v>R11=;R12=;R42=;R44=;R45=;R36=-;R43=-;R48=-;R51=-;COM=</v>
      </c>
      <c r="B51" s="2118"/>
      <c r="C51" s="1459"/>
      <c r="D51" s="2119" t="str">
        <f>IF(ISNA(VLOOKUP(C51,Справочник!$H$4:$I$537,2,0)),"-",VLOOKUP(C51,Справочник!$H$4:$I$537,2,0))</f>
        <v>-</v>
      </c>
      <c r="E51" s="2110"/>
      <c r="F51" s="2111" t="str">
        <f>IF(ISERROR(VLOOKUP(E51,Список_компаний!$A$8:$B$299,2,0)),"-",VLOOKUP(E51,Список_компаний!$A$8:$B$299,2,0))</f>
        <v>-</v>
      </c>
      <c r="G51" s="2111" t="str">
        <f>IF(ISERROR(VLOOKUP(E51,Список_компаний!$A$8:$C$299,3,0)),"-",VLOOKUP(E51,Список_компаний!$A$8:$C$299,3,0))</f>
        <v>-</v>
      </c>
      <c r="H51" s="2110"/>
      <c r="I51" s="2111" t="str">
        <f>IF(ISERROR(VLOOKUP(H51,Список_компаний!$A$4:$B$299,2,0)),"-",VLOOKUP(H51,Список_компаний!$A$4:$B$299,2,0))</f>
        <v>-</v>
      </c>
      <c r="J51" s="2111" t="str">
        <f>IF(ISERROR(VLOOKUP(H51,Список_компаний!$A$4:$C$299,3,0)),"-",VLOOKUP(H51,Список_компаний!$A$4:$C$299,3,0))</f>
        <v>-</v>
      </c>
      <c r="K51" s="2120"/>
      <c r="L51" s="2120"/>
      <c r="M51" s="2121">
        <f t="shared" si="7"/>
        <v>0</v>
      </c>
      <c r="N51" s="2110"/>
      <c r="O51" s="2111" t="str">
        <f>IF(ISERROR(VLOOKUP(N51,Список_компаний!$A$4:$B$299,2,0)),"-",VLOOKUP(N51,Список_компаний!$A$4:$B$299,2,0))</f>
        <v>-</v>
      </c>
      <c r="P51" s="2111" t="str">
        <f>IF(ISERROR(VLOOKUP(N51,Список_компаний!$A$4:$C$299,3,0)),"-",VLOOKUP(N51,Список_компаний!$A$4:$C$299,3,0))</f>
        <v>-</v>
      </c>
      <c r="Q51" s="2122"/>
      <c r="S51" s="1903" t="b">
        <f t="shared" si="8"/>
        <v>1</v>
      </c>
      <c r="U51" s="1569">
        <f t="shared" si="6"/>
        <v>0</v>
      </c>
      <c r="V51" s="1569" t="s">
        <v>3139</v>
      </c>
      <c r="W51" s="2123" t="b">
        <f t="shared" si="9"/>
        <v>1</v>
      </c>
      <c r="X51" s="1569" t="b">
        <f t="shared" si="5"/>
        <v>1</v>
      </c>
    </row>
    <row r="52" spans="1:24" s="1569" customFormat="1">
      <c r="A52" s="556" t="str">
        <f t="shared" si="1"/>
        <v>R11=;R12=;R42=;R44=;R45=;R36=-;R43=-;R48=-;R51=-;COM=</v>
      </c>
      <c r="B52" s="2118"/>
      <c r="C52" s="1459"/>
      <c r="D52" s="2119" t="str">
        <f>IF(ISNA(VLOOKUP(C52,Справочник!$H$4:$I$537,2,0)),"-",VLOOKUP(C52,Справочник!$H$4:$I$537,2,0))</f>
        <v>-</v>
      </c>
      <c r="E52" s="2110"/>
      <c r="F52" s="2111" t="str">
        <f>IF(ISERROR(VLOOKUP(E52,Список_компаний!$A$8:$B$299,2,0)),"-",VLOOKUP(E52,Список_компаний!$A$8:$B$299,2,0))</f>
        <v>-</v>
      </c>
      <c r="G52" s="2111" t="str">
        <f>IF(ISERROR(VLOOKUP(E52,Список_компаний!$A$8:$C$299,3,0)),"-",VLOOKUP(E52,Список_компаний!$A$8:$C$299,3,0))</f>
        <v>-</v>
      </c>
      <c r="H52" s="2110"/>
      <c r="I52" s="2111" t="str">
        <f>IF(ISERROR(VLOOKUP(H52,Список_компаний!$A$4:$B$299,2,0)),"-",VLOOKUP(H52,Список_компаний!$A$4:$B$299,2,0))</f>
        <v>-</v>
      </c>
      <c r="J52" s="2111" t="str">
        <f>IF(ISERROR(VLOOKUP(H52,Список_компаний!$A$4:$C$299,3,0)),"-",VLOOKUP(H52,Список_компаний!$A$4:$C$299,3,0))</f>
        <v>-</v>
      </c>
      <c r="K52" s="2120"/>
      <c r="L52" s="2120"/>
      <c r="M52" s="2121">
        <f t="shared" si="7"/>
        <v>0</v>
      </c>
      <c r="N52" s="2110"/>
      <c r="O52" s="2111" t="str">
        <f>IF(ISERROR(VLOOKUP(N52,Список_компаний!$A$4:$B$299,2,0)),"-",VLOOKUP(N52,Список_компаний!$A$4:$B$299,2,0))</f>
        <v>-</v>
      </c>
      <c r="P52" s="2111" t="str">
        <f>IF(ISERROR(VLOOKUP(N52,Список_компаний!$A$4:$C$299,3,0)),"-",VLOOKUP(N52,Список_компаний!$A$4:$C$299,3,0))</f>
        <v>-</v>
      </c>
      <c r="Q52" s="2122"/>
      <c r="S52" s="1903" t="b">
        <f t="shared" si="8"/>
        <v>1</v>
      </c>
      <c r="U52" s="1569">
        <f t="shared" si="6"/>
        <v>0</v>
      </c>
      <c r="V52" s="1569" t="s">
        <v>3141</v>
      </c>
      <c r="W52" s="2123" t="b">
        <f t="shared" si="9"/>
        <v>1</v>
      </c>
      <c r="X52" s="1569" t="b">
        <f t="shared" si="5"/>
        <v>1</v>
      </c>
    </row>
    <row r="53" spans="1:24" s="1569" customFormat="1">
      <c r="A53" s="556" t="str">
        <f t="shared" si="1"/>
        <v>R11=;R12=;R42=;R44=;R45=;R36=-;R43=-;R48=-;R51=-;COM=</v>
      </c>
      <c r="B53" s="2118"/>
      <c r="C53" s="1459"/>
      <c r="D53" s="2119" t="str">
        <f>IF(ISNA(VLOOKUP(C53,Справочник!$H$4:$I$537,2,0)),"-",VLOOKUP(C53,Справочник!$H$4:$I$537,2,0))</f>
        <v>-</v>
      </c>
      <c r="E53" s="2110"/>
      <c r="F53" s="2111" t="str">
        <f>IF(ISERROR(VLOOKUP(E53,Список_компаний!$A$8:$B$299,2,0)),"-",VLOOKUP(E53,Список_компаний!$A$8:$B$299,2,0))</f>
        <v>-</v>
      </c>
      <c r="G53" s="2111" t="str">
        <f>IF(ISERROR(VLOOKUP(E53,Список_компаний!$A$8:$C$299,3,0)),"-",VLOOKUP(E53,Список_компаний!$A$8:$C$299,3,0))</f>
        <v>-</v>
      </c>
      <c r="H53" s="2110"/>
      <c r="I53" s="2111" t="str">
        <f>IF(ISERROR(VLOOKUP(H53,Список_компаний!$A$4:$B$299,2,0)),"-",VLOOKUP(H53,Список_компаний!$A$4:$B$299,2,0))</f>
        <v>-</v>
      </c>
      <c r="J53" s="2111" t="str">
        <f>IF(ISERROR(VLOOKUP(H53,Список_компаний!$A$4:$C$299,3,0)),"-",VLOOKUP(H53,Список_компаний!$A$4:$C$299,3,0))</f>
        <v>-</v>
      </c>
      <c r="K53" s="2120"/>
      <c r="L53" s="2120"/>
      <c r="M53" s="2121">
        <f t="shared" si="7"/>
        <v>0</v>
      </c>
      <c r="N53" s="2110"/>
      <c r="O53" s="2111" t="str">
        <f>IF(ISERROR(VLOOKUP(N53,Список_компаний!$A$4:$B$299,2,0)),"-",VLOOKUP(N53,Список_компаний!$A$4:$B$299,2,0))</f>
        <v>-</v>
      </c>
      <c r="P53" s="2111" t="str">
        <f>IF(ISERROR(VLOOKUP(N53,Список_компаний!$A$4:$C$299,3,0)),"-",VLOOKUP(N53,Список_компаний!$A$4:$C$299,3,0))</f>
        <v>-</v>
      </c>
      <c r="Q53" s="2122"/>
      <c r="S53" s="1903" t="b">
        <f t="shared" si="8"/>
        <v>1</v>
      </c>
      <c r="U53" s="1569">
        <f t="shared" si="6"/>
        <v>0</v>
      </c>
      <c r="V53" s="1569" t="s">
        <v>3143</v>
      </c>
      <c r="W53" s="2123" t="b">
        <f t="shared" si="9"/>
        <v>1</v>
      </c>
      <c r="X53" s="1569" t="b">
        <f t="shared" si="5"/>
        <v>1</v>
      </c>
    </row>
    <row r="54" spans="1:24" s="1569" customFormat="1">
      <c r="A54" s="556" t="str">
        <f t="shared" si="1"/>
        <v>R11=;R12=;R42=;R44=;R45=;R36=-;R43=-;R48=-;R51=-;COM=</v>
      </c>
      <c r="B54" s="2118"/>
      <c r="C54" s="1459"/>
      <c r="D54" s="2119" t="str">
        <f>IF(ISNA(VLOOKUP(C54,Справочник!$H$4:$I$537,2,0)),"-",VLOOKUP(C54,Справочник!$H$4:$I$537,2,0))</f>
        <v>-</v>
      </c>
      <c r="E54" s="2110"/>
      <c r="F54" s="2111" t="str">
        <f>IF(ISERROR(VLOOKUP(E54,Список_компаний!$A$8:$B$299,2,0)),"-",VLOOKUP(E54,Список_компаний!$A$8:$B$299,2,0))</f>
        <v>-</v>
      </c>
      <c r="G54" s="2111" t="str">
        <f>IF(ISERROR(VLOOKUP(E54,Список_компаний!$A$8:$C$299,3,0)),"-",VLOOKUP(E54,Список_компаний!$A$8:$C$299,3,0))</f>
        <v>-</v>
      </c>
      <c r="H54" s="2110"/>
      <c r="I54" s="2111" t="str">
        <f>IF(ISERROR(VLOOKUP(H54,Список_компаний!$A$4:$B$299,2,0)),"-",VLOOKUP(H54,Список_компаний!$A$4:$B$299,2,0))</f>
        <v>-</v>
      </c>
      <c r="J54" s="2111" t="str">
        <f>IF(ISERROR(VLOOKUP(H54,Список_компаний!$A$4:$C$299,3,0)),"-",VLOOKUP(H54,Список_компаний!$A$4:$C$299,3,0))</f>
        <v>-</v>
      </c>
      <c r="K54" s="2120"/>
      <c r="L54" s="2120"/>
      <c r="M54" s="2121">
        <f t="shared" si="7"/>
        <v>0</v>
      </c>
      <c r="N54" s="2110"/>
      <c r="O54" s="2111" t="str">
        <f>IF(ISERROR(VLOOKUP(N54,Список_компаний!$A$4:$B$299,2,0)),"-",VLOOKUP(N54,Список_компаний!$A$4:$B$299,2,0))</f>
        <v>-</v>
      </c>
      <c r="P54" s="2111" t="str">
        <f>IF(ISERROR(VLOOKUP(N54,Список_компаний!$A$4:$C$299,3,0)),"-",VLOOKUP(N54,Список_компаний!$A$4:$C$299,3,0))</f>
        <v>-</v>
      </c>
      <c r="Q54" s="2122"/>
      <c r="S54" s="1903" t="b">
        <f t="shared" si="8"/>
        <v>1</v>
      </c>
      <c r="U54" s="1569">
        <f t="shared" si="6"/>
        <v>0</v>
      </c>
      <c r="V54" s="1569" t="s">
        <v>3144</v>
      </c>
      <c r="W54" s="2123" t="b">
        <f t="shared" si="9"/>
        <v>1</v>
      </c>
      <c r="X54" s="1569" t="b">
        <f t="shared" si="5"/>
        <v>1</v>
      </c>
    </row>
    <row r="55" spans="1:24" s="1569" customFormat="1">
      <c r="A55" s="556" t="str">
        <f t="shared" si="1"/>
        <v>R11=;R12=;R42=;R44=;R45=;R36=-;R43=-;R48=-;R51=-;COM=</v>
      </c>
      <c r="B55" s="2118"/>
      <c r="C55" s="1459"/>
      <c r="D55" s="2119" t="str">
        <f>IF(ISNA(VLOOKUP(C55,Справочник!$H$4:$I$537,2,0)),"-",VLOOKUP(C55,Справочник!$H$4:$I$537,2,0))</f>
        <v>-</v>
      </c>
      <c r="E55" s="2110"/>
      <c r="F55" s="2111" t="str">
        <f>IF(ISERROR(VLOOKUP(E55,Список_компаний!$A$8:$B$299,2,0)),"-",VLOOKUP(E55,Список_компаний!$A$8:$B$299,2,0))</f>
        <v>-</v>
      </c>
      <c r="G55" s="2111" t="str">
        <f>IF(ISERROR(VLOOKUP(E55,Список_компаний!$A$8:$C$299,3,0)),"-",VLOOKUP(E55,Список_компаний!$A$8:$C$299,3,0))</f>
        <v>-</v>
      </c>
      <c r="H55" s="2110"/>
      <c r="I55" s="2111" t="str">
        <f>IF(ISERROR(VLOOKUP(H55,Список_компаний!$A$4:$B$299,2,0)),"-",VLOOKUP(H55,Список_компаний!$A$4:$B$299,2,0))</f>
        <v>-</v>
      </c>
      <c r="J55" s="2111" t="str">
        <f>IF(ISERROR(VLOOKUP(H55,Список_компаний!$A$4:$C$299,3,0)),"-",VLOOKUP(H55,Список_компаний!$A$4:$C$299,3,0))</f>
        <v>-</v>
      </c>
      <c r="K55" s="2120"/>
      <c r="L55" s="2120"/>
      <c r="M55" s="2121">
        <f t="shared" si="7"/>
        <v>0</v>
      </c>
      <c r="N55" s="2110"/>
      <c r="O55" s="2111" t="str">
        <f>IF(ISERROR(VLOOKUP(N55,Список_компаний!$A$4:$B$299,2,0)),"-",VLOOKUP(N55,Список_компаний!$A$4:$B$299,2,0))</f>
        <v>-</v>
      </c>
      <c r="P55" s="2111" t="str">
        <f>IF(ISERROR(VLOOKUP(N55,Список_компаний!$A$4:$C$299,3,0)),"-",VLOOKUP(N55,Список_компаний!$A$4:$C$299,3,0))</f>
        <v>-</v>
      </c>
      <c r="Q55" s="2122"/>
      <c r="S55" s="1903" t="b">
        <f t="shared" si="8"/>
        <v>1</v>
      </c>
      <c r="U55" s="1569">
        <f t="shared" si="6"/>
        <v>0</v>
      </c>
      <c r="V55" s="1569" t="s">
        <v>3145</v>
      </c>
      <c r="W55" s="2123" t="b">
        <f t="shared" si="9"/>
        <v>1</v>
      </c>
      <c r="X55" s="1569" t="b">
        <f t="shared" si="5"/>
        <v>1</v>
      </c>
    </row>
    <row r="56" spans="1:24" s="1569" customFormat="1">
      <c r="A56" s="556" t="str">
        <f t="shared" si="1"/>
        <v>R11=;R12=;R42=;R44=;R45=;R36=-;R43=-;R48=-;R51=-;COM=</v>
      </c>
      <c r="B56" s="2118"/>
      <c r="C56" s="1459"/>
      <c r="D56" s="2119" t="str">
        <f>IF(ISNA(VLOOKUP(C56,Справочник!$H$4:$I$537,2,0)),"-",VLOOKUP(C56,Справочник!$H$4:$I$537,2,0))</f>
        <v>-</v>
      </c>
      <c r="E56" s="2110"/>
      <c r="F56" s="2111" t="str">
        <f>IF(ISERROR(VLOOKUP(E56,Список_компаний!$A$8:$B$299,2,0)),"-",VLOOKUP(E56,Список_компаний!$A$8:$B$299,2,0))</f>
        <v>-</v>
      </c>
      <c r="G56" s="2111" t="str">
        <f>IF(ISERROR(VLOOKUP(E56,Список_компаний!$A$8:$C$299,3,0)),"-",VLOOKUP(E56,Список_компаний!$A$8:$C$299,3,0))</f>
        <v>-</v>
      </c>
      <c r="H56" s="2110"/>
      <c r="I56" s="2111" t="str">
        <f>IF(ISERROR(VLOOKUP(H56,Список_компаний!$A$4:$B$299,2,0)),"-",VLOOKUP(H56,Список_компаний!$A$4:$B$299,2,0))</f>
        <v>-</v>
      </c>
      <c r="J56" s="2111" t="str">
        <f>IF(ISERROR(VLOOKUP(H56,Список_компаний!$A$4:$C$299,3,0)),"-",VLOOKUP(H56,Список_компаний!$A$4:$C$299,3,0))</f>
        <v>-</v>
      </c>
      <c r="K56" s="2120"/>
      <c r="L56" s="2120"/>
      <c r="M56" s="2121">
        <f t="shared" si="7"/>
        <v>0</v>
      </c>
      <c r="N56" s="2110"/>
      <c r="O56" s="2111" t="str">
        <f>IF(ISERROR(VLOOKUP(N56,Список_компаний!$A$4:$B$299,2,0)),"-",VLOOKUP(N56,Список_компаний!$A$4:$B$299,2,0))</f>
        <v>-</v>
      </c>
      <c r="P56" s="2111" t="str">
        <f>IF(ISERROR(VLOOKUP(N56,Список_компаний!$A$4:$C$299,3,0)),"-",VLOOKUP(N56,Список_компаний!$A$4:$C$299,3,0))</f>
        <v>-</v>
      </c>
      <c r="Q56" s="2122"/>
      <c r="S56" s="1903" t="b">
        <f t="shared" si="8"/>
        <v>1</v>
      </c>
      <c r="U56" s="1569">
        <f t="shared" si="6"/>
        <v>0</v>
      </c>
      <c r="V56" s="1569" t="s">
        <v>3147</v>
      </c>
      <c r="W56" s="2123" t="b">
        <f t="shared" si="9"/>
        <v>1</v>
      </c>
      <c r="X56" s="1569" t="b">
        <f t="shared" si="5"/>
        <v>1</v>
      </c>
    </row>
    <row r="57" spans="1:24" s="1569" customFormat="1">
      <c r="A57" s="556" t="str">
        <f t="shared" si="1"/>
        <v>R11=;R12=;R42=;R44=;R45=;R36=-;R43=-;R48=-;R51=-;COM=</v>
      </c>
      <c r="B57" s="2118"/>
      <c r="C57" s="1459"/>
      <c r="D57" s="2119" t="str">
        <f>IF(ISNA(VLOOKUP(C57,Справочник!$H$4:$I$537,2,0)),"-",VLOOKUP(C57,Справочник!$H$4:$I$537,2,0))</f>
        <v>-</v>
      </c>
      <c r="E57" s="2110"/>
      <c r="F57" s="2111" t="str">
        <f>IF(ISERROR(VLOOKUP(E57,Список_компаний!$A$8:$B$299,2,0)),"-",VLOOKUP(E57,Список_компаний!$A$8:$B$299,2,0))</f>
        <v>-</v>
      </c>
      <c r="G57" s="2111" t="str">
        <f>IF(ISERROR(VLOOKUP(E57,Список_компаний!$A$8:$C$299,3,0)),"-",VLOOKUP(E57,Список_компаний!$A$8:$C$299,3,0))</f>
        <v>-</v>
      </c>
      <c r="H57" s="2110"/>
      <c r="I57" s="2111" t="str">
        <f>IF(ISERROR(VLOOKUP(H57,Список_компаний!$A$4:$B$299,2,0)),"-",VLOOKUP(H57,Список_компаний!$A$4:$B$299,2,0))</f>
        <v>-</v>
      </c>
      <c r="J57" s="2111" t="str">
        <f>IF(ISERROR(VLOOKUP(H57,Список_компаний!$A$4:$C$299,3,0)),"-",VLOOKUP(H57,Список_компаний!$A$4:$C$299,3,0))</f>
        <v>-</v>
      </c>
      <c r="K57" s="2120"/>
      <c r="L57" s="2120"/>
      <c r="M57" s="2121">
        <f t="shared" si="7"/>
        <v>0</v>
      </c>
      <c r="N57" s="2110"/>
      <c r="O57" s="2111" t="str">
        <f>IF(ISERROR(VLOOKUP(N57,Список_компаний!$A$4:$B$299,2,0)),"-",VLOOKUP(N57,Список_компаний!$A$4:$B$299,2,0))</f>
        <v>-</v>
      </c>
      <c r="P57" s="2111" t="str">
        <f>IF(ISERROR(VLOOKUP(N57,Список_компаний!$A$4:$C$299,3,0)),"-",VLOOKUP(N57,Список_компаний!$A$4:$C$299,3,0))</f>
        <v>-</v>
      </c>
      <c r="Q57" s="2122"/>
      <c r="S57" s="1903" t="b">
        <f t="shared" si="8"/>
        <v>1</v>
      </c>
      <c r="U57" s="1569">
        <f t="shared" si="6"/>
        <v>0</v>
      </c>
      <c r="V57" s="1569" t="s">
        <v>14376</v>
      </c>
      <c r="W57" s="2123" t="b">
        <f t="shared" si="9"/>
        <v>1</v>
      </c>
      <c r="X57" s="1569" t="b">
        <f t="shared" si="5"/>
        <v>1</v>
      </c>
    </row>
    <row r="58" spans="1:24" s="1569" customFormat="1">
      <c r="A58" s="556" t="str">
        <f t="shared" si="1"/>
        <v>R11=;R12=;R42=;R44=;R45=;R36=-;R43=-;R48=-;R51=-;COM=</v>
      </c>
      <c r="B58" s="2118"/>
      <c r="C58" s="1459"/>
      <c r="D58" s="2119" t="str">
        <f>IF(ISNA(VLOOKUP(C58,Справочник!$H$4:$I$537,2,0)),"-",VLOOKUP(C58,Справочник!$H$4:$I$537,2,0))</f>
        <v>-</v>
      </c>
      <c r="E58" s="2110"/>
      <c r="F58" s="2111" t="str">
        <f>IF(ISERROR(VLOOKUP(E58,Список_компаний!$A$8:$B$299,2,0)),"-",VLOOKUP(E58,Список_компаний!$A$8:$B$299,2,0))</f>
        <v>-</v>
      </c>
      <c r="G58" s="2111" t="str">
        <f>IF(ISERROR(VLOOKUP(E58,Список_компаний!$A$8:$C$299,3,0)),"-",VLOOKUP(E58,Список_компаний!$A$8:$C$299,3,0))</f>
        <v>-</v>
      </c>
      <c r="H58" s="2110"/>
      <c r="I58" s="2111" t="str">
        <f>IF(ISERROR(VLOOKUP(H58,Список_компаний!$A$4:$B$299,2,0)),"-",VLOOKUP(H58,Список_компаний!$A$4:$B$299,2,0))</f>
        <v>-</v>
      </c>
      <c r="J58" s="2111" t="str">
        <f>IF(ISERROR(VLOOKUP(H58,Список_компаний!$A$4:$C$299,3,0)),"-",VLOOKUP(H58,Список_компаний!$A$4:$C$299,3,0))</f>
        <v>-</v>
      </c>
      <c r="K58" s="2120"/>
      <c r="L58" s="2120"/>
      <c r="M58" s="2121">
        <f t="shared" si="7"/>
        <v>0</v>
      </c>
      <c r="N58" s="2110"/>
      <c r="O58" s="2111" t="str">
        <f>IF(ISERROR(VLOOKUP(N58,Список_компаний!$A$4:$B$299,2,0)),"-",VLOOKUP(N58,Список_компаний!$A$4:$B$299,2,0))</f>
        <v>-</v>
      </c>
      <c r="P58" s="2111" t="str">
        <f>IF(ISERROR(VLOOKUP(N58,Список_компаний!$A$4:$C$299,3,0)),"-",VLOOKUP(N58,Список_компаний!$A$4:$C$299,3,0))</f>
        <v>-</v>
      </c>
      <c r="Q58" s="2122"/>
      <c r="S58" s="1903" t="b">
        <f t="shared" si="8"/>
        <v>1</v>
      </c>
      <c r="U58" s="1569">
        <f t="shared" si="6"/>
        <v>0</v>
      </c>
      <c r="V58" s="1569" t="s">
        <v>3150</v>
      </c>
      <c r="W58" s="2123" t="b">
        <f t="shared" si="9"/>
        <v>1</v>
      </c>
      <c r="X58" s="1569" t="b">
        <f t="shared" si="5"/>
        <v>1</v>
      </c>
    </row>
    <row r="59" spans="1:24" s="1569" customFormat="1">
      <c r="A59" s="556" t="str">
        <f t="shared" si="1"/>
        <v>R11=;R12=;R42=;R44=;R45=;R36=-;R43=-;R48=-;R51=-;COM=</v>
      </c>
      <c r="B59" s="2118"/>
      <c r="C59" s="1459"/>
      <c r="D59" s="2119" t="str">
        <f>IF(ISNA(VLOOKUP(C59,Справочник!$H$4:$I$537,2,0)),"-",VLOOKUP(C59,Справочник!$H$4:$I$537,2,0))</f>
        <v>-</v>
      </c>
      <c r="E59" s="2110"/>
      <c r="F59" s="2111" t="str">
        <f>IF(ISERROR(VLOOKUP(E59,Список_компаний!$A$8:$B$299,2,0)),"-",VLOOKUP(E59,Список_компаний!$A$8:$B$299,2,0))</f>
        <v>-</v>
      </c>
      <c r="G59" s="2111" t="str">
        <f>IF(ISERROR(VLOOKUP(E59,Список_компаний!$A$8:$C$299,3,0)),"-",VLOOKUP(E59,Список_компаний!$A$8:$C$299,3,0))</f>
        <v>-</v>
      </c>
      <c r="H59" s="2110"/>
      <c r="I59" s="2111" t="str">
        <f>IF(ISERROR(VLOOKUP(H59,Список_компаний!$A$4:$B$299,2,0)),"-",VLOOKUP(H59,Список_компаний!$A$4:$B$299,2,0))</f>
        <v>-</v>
      </c>
      <c r="J59" s="2111" t="str">
        <f>IF(ISERROR(VLOOKUP(H59,Список_компаний!$A$4:$C$299,3,0)),"-",VLOOKUP(H59,Список_компаний!$A$4:$C$299,3,0))</f>
        <v>-</v>
      </c>
      <c r="K59" s="2120"/>
      <c r="L59" s="2120"/>
      <c r="M59" s="2121">
        <f t="shared" si="7"/>
        <v>0</v>
      </c>
      <c r="N59" s="2110"/>
      <c r="O59" s="2111" t="str">
        <f>IF(ISERROR(VLOOKUP(N59,Список_компаний!$A$4:$B$299,2,0)),"-",VLOOKUP(N59,Список_компаний!$A$4:$B$299,2,0))</f>
        <v>-</v>
      </c>
      <c r="P59" s="2111" t="str">
        <f>IF(ISERROR(VLOOKUP(N59,Список_компаний!$A$4:$C$299,3,0)),"-",VLOOKUP(N59,Список_компаний!$A$4:$C$299,3,0))</f>
        <v>-</v>
      </c>
      <c r="Q59" s="2122"/>
      <c r="S59" s="1903" t="b">
        <f t="shared" si="8"/>
        <v>1</v>
      </c>
      <c r="U59" s="1569">
        <f t="shared" si="6"/>
        <v>0</v>
      </c>
      <c r="V59" s="1569" t="s">
        <v>14235</v>
      </c>
      <c r="W59" s="2123" t="b">
        <f t="shared" si="9"/>
        <v>1</v>
      </c>
      <c r="X59" s="1569" t="b">
        <f t="shared" si="5"/>
        <v>1</v>
      </c>
    </row>
    <row r="60" spans="1:24" s="1569" customFormat="1">
      <c r="A60" s="556" t="str">
        <f t="shared" si="1"/>
        <v>R11=;R12=;R42=;R44=;R45=;R36=-;R43=-;R48=-;R51=-;COM=</v>
      </c>
      <c r="B60" s="2118"/>
      <c r="C60" s="1459"/>
      <c r="D60" s="2119" t="str">
        <f>IF(ISNA(VLOOKUP(C60,Справочник!$H$4:$I$537,2,0)),"-",VLOOKUP(C60,Справочник!$H$4:$I$537,2,0))</f>
        <v>-</v>
      </c>
      <c r="E60" s="2110"/>
      <c r="F60" s="2111" t="str">
        <f>IF(ISERROR(VLOOKUP(E60,Список_компаний!$A$8:$B$299,2,0)),"-",VLOOKUP(E60,Список_компаний!$A$8:$B$299,2,0))</f>
        <v>-</v>
      </c>
      <c r="G60" s="2111" t="str">
        <f>IF(ISERROR(VLOOKUP(E60,Список_компаний!$A$8:$C$299,3,0)),"-",VLOOKUP(E60,Список_компаний!$A$8:$C$299,3,0))</f>
        <v>-</v>
      </c>
      <c r="H60" s="2110"/>
      <c r="I60" s="2111" t="str">
        <f>IF(ISERROR(VLOOKUP(H60,Список_компаний!$A$4:$B$299,2,0)),"-",VLOOKUP(H60,Список_компаний!$A$4:$B$299,2,0))</f>
        <v>-</v>
      </c>
      <c r="J60" s="2111" t="str">
        <f>IF(ISERROR(VLOOKUP(H60,Список_компаний!$A$4:$C$299,3,0)),"-",VLOOKUP(H60,Список_компаний!$A$4:$C$299,3,0))</f>
        <v>-</v>
      </c>
      <c r="K60" s="2120"/>
      <c r="L60" s="2120"/>
      <c r="M60" s="2121">
        <f t="shared" si="7"/>
        <v>0</v>
      </c>
      <c r="N60" s="2110"/>
      <c r="O60" s="2111" t="str">
        <f>IF(ISERROR(VLOOKUP(N60,Список_компаний!$A$4:$B$299,2,0)),"-",VLOOKUP(N60,Список_компаний!$A$4:$B$299,2,0))</f>
        <v>-</v>
      </c>
      <c r="P60" s="2111" t="str">
        <f>IF(ISERROR(VLOOKUP(N60,Список_компаний!$A$4:$C$299,3,0)),"-",VLOOKUP(N60,Список_компаний!$A$4:$C$299,3,0))</f>
        <v>-</v>
      </c>
      <c r="Q60" s="2122"/>
      <c r="S60" s="1903" t="b">
        <f t="shared" si="8"/>
        <v>1</v>
      </c>
      <c r="U60" s="1569">
        <f t="shared" si="6"/>
        <v>0</v>
      </c>
      <c r="V60" s="1569" t="s">
        <v>14380</v>
      </c>
      <c r="W60" s="2123" t="b">
        <f t="shared" si="9"/>
        <v>1</v>
      </c>
      <c r="X60" s="1569" t="b">
        <f t="shared" si="5"/>
        <v>1</v>
      </c>
    </row>
    <row r="61" spans="1:24" s="1569" customFormat="1">
      <c r="A61" s="556" t="str">
        <f t="shared" si="1"/>
        <v>R11=;R12=;R42=;R44=;R45=;R36=-;R43=-;R48=-;R51=-;COM=</v>
      </c>
      <c r="B61" s="2118"/>
      <c r="C61" s="1459"/>
      <c r="D61" s="2119" t="str">
        <f>IF(ISNA(VLOOKUP(C61,Справочник!$H$4:$I$537,2,0)),"-",VLOOKUP(C61,Справочник!$H$4:$I$537,2,0))</f>
        <v>-</v>
      </c>
      <c r="E61" s="2110"/>
      <c r="F61" s="2111" t="str">
        <f>IF(ISERROR(VLOOKUP(E61,Список_компаний!$A$8:$B$299,2,0)),"-",VLOOKUP(E61,Список_компаний!$A$8:$B$299,2,0))</f>
        <v>-</v>
      </c>
      <c r="G61" s="2111" t="str">
        <f>IF(ISERROR(VLOOKUP(E61,Список_компаний!$A$8:$C$299,3,0)),"-",VLOOKUP(E61,Список_компаний!$A$8:$C$299,3,0))</f>
        <v>-</v>
      </c>
      <c r="H61" s="2110"/>
      <c r="I61" s="2111" t="str">
        <f>IF(ISERROR(VLOOKUP(H61,Список_компаний!$A$4:$B$299,2,0)),"-",VLOOKUP(H61,Список_компаний!$A$4:$B$299,2,0))</f>
        <v>-</v>
      </c>
      <c r="J61" s="2111" t="str">
        <f>IF(ISERROR(VLOOKUP(H61,Список_компаний!$A$4:$C$299,3,0)),"-",VLOOKUP(H61,Список_компаний!$A$4:$C$299,3,0))</f>
        <v>-</v>
      </c>
      <c r="K61" s="2120"/>
      <c r="L61" s="2120"/>
      <c r="M61" s="2121">
        <f t="shared" si="7"/>
        <v>0</v>
      </c>
      <c r="N61" s="2110"/>
      <c r="O61" s="2111" t="str">
        <f>IF(ISERROR(VLOOKUP(N61,Список_компаний!$A$4:$B$299,2,0)),"-",VLOOKUP(N61,Список_компаний!$A$4:$B$299,2,0))</f>
        <v>-</v>
      </c>
      <c r="P61" s="2111" t="str">
        <f>IF(ISERROR(VLOOKUP(N61,Список_компаний!$A$4:$C$299,3,0)),"-",VLOOKUP(N61,Список_компаний!$A$4:$C$299,3,0))</f>
        <v>-</v>
      </c>
      <c r="Q61" s="2122"/>
      <c r="S61" s="1903" t="b">
        <f t="shared" si="8"/>
        <v>1</v>
      </c>
      <c r="U61" s="1569">
        <f t="shared" si="6"/>
        <v>0</v>
      </c>
      <c r="V61" s="1569" t="s">
        <v>14381</v>
      </c>
      <c r="W61" s="2123" t="b">
        <f t="shared" si="9"/>
        <v>1</v>
      </c>
      <c r="X61" s="1569" t="b">
        <f t="shared" si="5"/>
        <v>1</v>
      </c>
    </row>
    <row r="62" spans="1:24" s="1569" customFormat="1">
      <c r="A62" s="556" t="str">
        <f t="shared" si="1"/>
        <v>R11=;R12=;R42=;R44=;R45=;R36=-;R43=-;R48=-;R51=-;COM=</v>
      </c>
      <c r="B62" s="2118"/>
      <c r="C62" s="1459"/>
      <c r="D62" s="2119" t="str">
        <f>IF(ISNA(VLOOKUP(C62,Справочник!$H$4:$I$537,2,0)),"-",VLOOKUP(C62,Справочник!$H$4:$I$537,2,0))</f>
        <v>-</v>
      </c>
      <c r="E62" s="2110"/>
      <c r="F62" s="2111" t="str">
        <f>IF(ISERROR(VLOOKUP(E62,Список_компаний!$A$8:$B$299,2,0)),"-",VLOOKUP(E62,Список_компаний!$A$8:$B$299,2,0))</f>
        <v>-</v>
      </c>
      <c r="G62" s="2111" t="str">
        <f>IF(ISERROR(VLOOKUP(E62,Список_компаний!$A$8:$C$299,3,0)),"-",VLOOKUP(E62,Список_компаний!$A$8:$C$299,3,0))</f>
        <v>-</v>
      </c>
      <c r="H62" s="2110"/>
      <c r="I62" s="2111" t="str">
        <f>IF(ISERROR(VLOOKUP(H62,Список_компаний!$A$4:$B$299,2,0)),"-",VLOOKUP(H62,Список_компаний!$A$4:$B$299,2,0))</f>
        <v>-</v>
      </c>
      <c r="J62" s="2111" t="str">
        <f>IF(ISERROR(VLOOKUP(H62,Список_компаний!$A$4:$C$299,3,0)),"-",VLOOKUP(H62,Список_компаний!$A$4:$C$299,3,0))</f>
        <v>-</v>
      </c>
      <c r="K62" s="2120"/>
      <c r="L62" s="2120"/>
      <c r="M62" s="2121">
        <f t="shared" si="7"/>
        <v>0</v>
      </c>
      <c r="N62" s="2110"/>
      <c r="O62" s="2111" t="str">
        <f>IF(ISERROR(VLOOKUP(N62,Список_компаний!$A$4:$B$299,2,0)),"-",VLOOKUP(N62,Список_компаний!$A$4:$B$299,2,0))</f>
        <v>-</v>
      </c>
      <c r="P62" s="2111" t="str">
        <f>IF(ISERROR(VLOOKUP(N62,Список_компаний!$A$4:$C$299,3,0)),"-",VLOOKUP(N62,Список_компаний!$A$4:$C$299,3,0))</f>
        <v>-</v>
      </c>
      <c r="Q62" s="2122"/>
      <c r="S62" s="1903" t="b">
        <f t="shared" si="8"/>
        <v>1</v>
      </c>
      <c r="U62" s="1569">
        <f t="shared" si="6"/>
        <v>0</v>
      </c>
      <c r="V62" s="1569" t="s">
        <v>14388</v>
      </c>
      <c r="W62" s="2123" t="b">
        <f t="shared" si="9"/>
        <v>1</v>
      </c>
      <c r="X62" s="1569" t="b">
        <f t="shared" si="5"/>
        <v>1</v>
      </c>
    </row>
    <row r="63" spans="1:24" s="1569" customFormat="1">
      <c r="A63" s="556" t="str">
        <f t="shared" si="1"/>
        <v>R11=;R12=;R42=;R44=;R45=;R36=-;R43=-;R48=-;R51=-;COM=</v>
      </c>
      <c r="B63" s="2118"/>
      <c r="C63" s="1459"/>
      <c r="D63" s="2119" t="str">
        <f>IF(ISNA(VLOOKUP(C63,Справочник!$H$4:$I$537,2,0)),"-",VLOOKUP(C63,Справочник!$H$4:$I$537,2,0))</f>
        <v>-</v>
      </c>
      <c r="E63" s="2110"/>
      <c r="F63" s="2111" t="str">
        <f>IF(ISERROR(VLOOKUP(E63,Список_компаний!$A$8:$B$299,2,0)),"-",VLOOKUP(E63,Список_компаний!$A$8:$B$299,2,0))</f>
        <v>-</v>
      </c>
      <c r="G63" s="2111" t="str">
        <f>IF(ISERROR(VLOOKUP(E63,Список_компаний!$A$8:$C$299,3,0)),"-",VLOOKUP(E63,Список_компаний!$A$8:$C$299,3,0))</f>
        <v>-</v>
      </c>
      <c r="H63" s="2110"/>
      <c r="I63" s="2111" t="str">
        <f>IF(ISERROR(VLOOKUP(H63,Список_компаний!$A$4:$B$299,2,0)),"-",VLOOKUP(H63,Список_компаний!$A$4:$B$299,2,0))</f>
        <v>-</v>
      </c>
      <c r="J63" s="2111" t="str">
        <f>IF(ISERROR(VLOOKUP(H63,Список_компаний!$A$4:$C$299,3,0)),"-",VLOOKUP(H63,Список_компаний!$A$4:$C$299,3,0))</f>
        <v>-</v>
      </c>
      <c r="K63" s="2120"/>
      <c r="L63" s="2120"/>
      <c r="M63" s="2121">
        <f t="shared" si="7"/>
        <v>0</v>
      </c>
      <c r="N63" s="2110"/>
      <c r="O63" s="2111" t="str">
        <f>IF(ISERROR(VLOOKUP(N63,Список_компаний!$A$4:$B$299,2,0)),"-",VLOOKUP(N63,Список_компаний!$A$4:$B$299,2,0))</f>
        <v>-</v>
      </c>
      <c r="P63" s="2111" t="str">
        <f>IF(ISERROR(VLOOKUP(N63,Список_компаний!$A$4:$C$299,3,0)),"-",VLOOKUP(N63,Список_компаний!$A$4:$C$299,3,0))</f>
        <v>-</v>
      </c>
      <c r="Q63" s="2122"/>
      <c r="S63" s="1903" t="b">
        <f t="shared" si="8"/>
        <v>1</v>
      </c>
      <c r="U63" s="1569">
        <f t="shared" si="6"/>
        <v>0</v>
      </c>
      <c r="V63" s="1569" t="s">
        <v>14389</v>
      </c>
      <c r="W63" s="2123" t="b">
        <f t="shared" si="9"/>
        <v>1</v>
      </c>
      <c r="X63" s="1569" t="b">
        <f t="shared" si="5"/>
        <v>1</v>
      </c>
    </row>
    <row r="64" spans="1:24" s="1569" customFormat="1" ht="15" thickBot="1">
      <c r="A64" s="556" t="str">
        <f t="shared" si="1"/>
        <v>R11=;R12=;R42=;R44=;R45=;R36=-;R43=-;R48=-;R51=-;COM=</v>
      </c>
      <c r="C64" s="2114"/>
      <c r="D64" s="2926" t="str">
        <f>IF(ISNA(VLOOKUP(C64,Справочник!$H$4:$I$537,2,0)),"-",VLOOKUP(C64,Справочник!$H$4:$I$537,2,0))</f>
        <v>-</v>
      </c>
      <c r="E64" s="2115"/>
      <c r="F64" s="2927" t="str">
        <f>IF(ISERROR(VLOOKUP(E64,Список_компаний!$A$8:$B$299,2,0)),"-",VLOOKUP(E64,Список_компаний!$A$8:$B$299,2,0))</f>
        <v>-</v>
      </c>
      <c r="G64" s="2927" t="str">
        <f>IF(ISERROR(VLOOKUP(E64,Список_компаний!$A$8:$C$299,3,0)),"-",VLOOKUP(E64,Список_компаний!$A$8:$C$299,3,0))</f>
        <v>-</v>
      </c>
      <c r="H64" s="2928"/>
      <c r="I64" s="2927" t="str">
        <f>IF(ISERROR(VLOOKUP(H64,Список_компаний!$A$4:$B$299,2,0)),"-",VLOOKUP(H64,Список_компаний!$A$4:$B$299,2,0))</f>
        <v>-</v>
      </c>
      <c r="J64" s="2927" t="str">
        <f>IF(ISERROR(VLOOKUP(H64,Список_компаний!$A$4:$C$299,3,0)),"-",VLOOKUP(H64,Список_компаний!$A$4:$C$299,3,0))</f>
        <v>-</v>
      </c>
      <c r="K64" s="2124"/>
      <c r="L64" s="2124"/>
      <c r="M64" s="2125">
        <f t="shared" si="7"/>
        <v>0</v>
      </c>
      <c r="N64" s="2115"/>
      <c r="O64" s="2927" t="str">
        <f>IF(ISERROR(VLOOKUP(N64,Список_компаний!$A$4:$B$299,2,0)),"-",VLOOKUP(N64,Список_компаний!$A$4:$B$299,2,0))</f>
        <v>-</v>
      </c>
      <c r="P64" s="2927" t="str">
        <f>IF(ISERROR(VLOOKUP(N64,Список_компаний!$A$4:$C$299,3,0)),"-",VLOOKUP(N64,Список_компаний!$A$4:$C$299,3,0))</f>
        <v>-</v>
      </c>
      <c r="Q64" s="2126"/>
      <c r="S64" s="1903" t="b">
        <f t="shared" si="8"/>
        <v>1</v>
      </c>
      <c r="U64" s="1569">
        <f t="shared" si="6"/>
        <v>0</v>
      </c>
      <c r="V64" s="2123"/>
      <c r="W64" s="2123" t="b">
        <f t="shared" si="9"/>
        <v>1</v>
      </c>
      <c r="X64" s="1569" t="b">
        <f t="shared" si="5"/>
        <v>1</v>
      </c>
    </row>
    <row r="65" spans="1:1">
      <c r="A65" s="538"/>
    </row>
    <row r="66" spans="1:1">
      <c r="A66" s="538"/>
    </row>
    <row r="67" spans="1:1">
      <c r="A67" s="538"/>
    </row>
  </sheetData>
  <sheetProtection algorithmName="SHA-512" hashValue="gr5lFDbRcvdph9X4MHHGhJ5SbKTDw6nR6ZEK6QlffikIt1G1ltFw2HOEGVvfJ/3+veXO0ip+M8j30yS2+Z9+jA==" saltValue="KwkbN4D9MeUx1YDZlBpVDg==" spinCount="100000" sheet="1" objects="1" scenarios="1" formatColumns="0" formatRows="0" autoFilter="0"/>
  <autoFilter ref="C9:Q9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autoFilter ref="B1:M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autoFilter ref="B1:M1"/>
    </customSheetView>
    <customSheetView guid="{5D121940-0CE8-4A0E-A493-67FAAA6E0FF8}" showGridLines="0" showAutoFilter="1" hiddenRows="1" hiddenColumns="1" topLeftCell="H2">
      <selection activeCell="C9" sqref="C9:N9"/>
      <pageMargins left="0.7" right="0.7" top="0.75" bottom="0.75" header="0.3" footer="0.3"/>
      <autoFilter ref="B1:M1"/>
    </customSheetView>
    <customSheetView guid="{47AEACC4-6EA5-412C-AF39-A6C5357B313A}" showGridLines="0" showAutoFilter="1" hiddenRows="1" hiddenColumns="1" topLeftCell="H2">
      <selection activeCell="C9" sqref="C9:N9"/>
      <pageMargins left="0.7" right="0.7" top="0.75" bottom="0.75" header="0.3" footer="0.3"/>
      <autoFilter ref="B1:M1"/>
    </customSheetView>
    <customSheetView guid="{C913A9E8-661B-40A4-A3C9-1BC5F2B2E9F0}" showGridLines="0" showAutoFilter="1" hiddenRows="1" hiddenColumns="1" topLeftCell="H2">
      <selection activeCell="C9" sqref="C9:N9"/>
      <pageMargins left="0.7" right="0.7" top="0.75" bottom="0.75" header="0.3" footer="0.3"/>
      <autoFilter ref="B1:M1"/>
    </customSheetView>
  </customSheetViews>
  <mergeCells count="13">
    <mergeCell ref="C6:C7"/>
    <mergeCell ref="D6:D7"/>
    <mergeCell ref="E6:E7"/>
    <mergeCell ref="F6:F7"/>
    <mergeCell ref="Q6:Q7"/>
    <mergeCell ref="K6:K7"/>
    <mergeCell ref="L6:L7"/>
    <mergeCell ref="M6:M7"/>
    <mergeCell ref="N6:N7"/>
    <mergeCell ref="O6:O7"/>
    <mergeCell ref="G6:G7"/>
    <mergeCell ref="P6:P7"/>
    <mergeCell ref="H6:J6"/>
  </mergeCells>
  <phoneticPr fontId="0" type="noConversion"/>
  <dataValidations count="3">
    <dataValidation type="list" operator="equal" allowBlank="1" showErrorMessage="1" errorTitle="Выбор элемента списка" error="Данного элемента нет в списке" sqref="H33:H64 N33:N64">
      <formula1>_comp</formula1>
    </dataValidation>
    <dataValidation type="list" operator="equal" allowBlank="1" showErrorMessage="1" errorTitle="Выбор элемента списка" error="Данного элемента нет в списке" sqref="E33:E64">
      <formula1>_icomp</formula1>
    </dataValidation>
    <dataValidation type="list" operator="equal" allowBlank="1" showErrorMessage="1" errorTitle="Выбор элемента списка" error="Данного элемента нет в списке" sqref="C33:C64">
      <formula1>_2240_доходы_ВГО</formula1>
    </dataValidation>
  </dataValidations>
  <hyperlinks>
    <hyperlink ref="I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17" r:id="rId4" name="Button 13">
              <controlPr defaultSize="0" print="0" autoFill="0" autoPict="0" macro="[0]!AddButtonsRowAdd">
                <anchor moveWithCells="1">
                  <from>
                    <xdr:col>3</xdr:col>
                    <xdr:colOff>304800</xdr:colOff>
                    <xdr:row>2</xdr:row>
                    <xdr:rowOff>76200</xdr:rowOff>
                  </from>
                  <to>
                    <xdr:col>4</xdr:col>
                    <xdr:colOff>488950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pageSetUpPr fitToPage="1"/>
  </sheetPr>
  <dimension ref="A1:M120"/>
  <sheetViews>
    <sheetView topLeftCell="D2" zoomScale="70" zoomScaleNormal="70" workbookViewId="0">
      <selection activeCell="M6" sqref="M6"/>
    </sheetView>
  </sheetViews>
  <sheetFormatPr defaultColWidth="9.453125" defaultRowHeight="14.5"/>
  <cols>
    <col min="1" max="1" width="11.81640625" style="1163" hidden="1" customWidth="1"/>
    <col min="2" max="2" width="1.54296875" style="24" customWidth="1"/>
    <col min="3" max="3" width="111.453125" style="24" customWidth="1"/>
    <col min="4" max="4" width="25.54296875" style="24" customWidth="1"/>
    <col min="5" max="5" width="30" style="24" customWidth="1"/>
    <col min="6" max="7" width="15.54296875" style="24" customWidth="1"/>
    <col min="8" max="8" width="9.453125" style="24"/>
    <col min="9" max="9" width="7.453125" style="24" hidden="1" customWidth="1"/>
    <col min="10" max="10" width="28.54296875" style="24" customWidth="1"/>
    <col min="11" max="11" width="35.54296875" style="24" customWidth="1"/>
    <col min="12" max="12" width="21.81640625" style="24" bestFit="1" customWidth="1"/>
    <col min="13" max="13" width="15.81640625" style="24" bestFit="1" customWidth="1"/>
    <col min="14" max="43" width="9.453125" style="24"/>
    <col min="44" max="44" width="5.54296875" style="24" customWidth="1"/>
    <col min="45" max="45" width="40.54296875" style="24" customWidth="1"/>
    <col min="46" max="46" width="15.453125" style="24" customWidth="1"/>
    <col min="47" max="47" width="19.54296875" style="24" customWidth="1"/>
    <col min="48" max="49" width="15.453125" style="24" customWidth="1"/>
    <col min="50" max="50" width="76.453125" style="24" customWidth="1"/>
    <col min="51" max="51" width="14.54296875" style="24" customWidth="1"/>
    <col min="52" max="52" width="17" style="24" customWidth="1"/>
    <col min="53" max="16384" width="9.453125" style="24"/>
  </cols>
  <sheetData>
    <row r="1" spans="1:13" s="104" customFormat="1" ht="9.75" hidden="1" customHeight="1">
      <c r="A1" s="23" t="s">
        <v>3526</v>
      </c>
      <c r="B1" s="6"/>
      <c r="C1" s="37"/>
      <c r="D1" s="37"/>
      <c r="E1" s="37"/>
      <c r="F1" s="6" t="s">
        <v>573</v>
      </c>
      <c r="G1" s="6"/>
    </row>
    <row r="2" spans="1:13" s="104" customFormat="1">
      <c r="A2" s="7"/>
      <c r="C2" s="1943"/>
      <c r="D2" s="1943"/>
      <c r="E2" s="1943"/>
      <c r="F2" s="1930" t="s">
        <v>1648</v>
      </c>
    </row>
    <row r="3" spans="1:13" s="192" customFormat="1" ht="12.5">
      <c r="A3" s="30"/>
      <c r="B3" s="24"/>
      <c r="C3" s="24"/>
      <c r="D3" s="24"/>
      <c r="E3" s="24"/>
      <c r="F3" s="24"/>
      <c r="G3" s="24"/>
    </row>
    <row r="4" spans="1:13" ht="26">
      <c r="A4" s="9"/>
      <c r="B4" s="105"/>
      <c r="C4" s="105" t="s">
        <v>3210</v>
      </c>
      <c r="D4" s="105"/>
      <c r="E4" s="3044" t="s">
        <v>1436</v>
      </c>
      <c r="F4" s="1897" t="s">
        <v>2067</v>
      </c>
      <c r="G4" s="1244">
        <f>Содержание!$D$2</f>
        <v>0</v>
      </c>
    </row>
    <row r="5" spans="1:13" ht="26.5" thickBot="1">
      <c r="A5" s="9"/>
      <c r="C5"/>
      <c r="D5" s="173" t="b">
        <f t="array" ref="D5">IF(SMALL(IF(""=C46:C2710,ROW(C46:C2710),2700),1)&gt;LARGE(IF(""&lt;&gt;C46:C2710,ROW(C46:C2710),0),1),TRUE,FALSE)</f>
        <v>1</v>
      </c>
      <c r="E5" s="173"/>
      <c r="F5" s="1897" t="s">
        <v>2075</v>
      </c>
      <c r="G5" s="1244" t="str">
        <f>Содержание!$D$15</f>
        <v>2022 год</v>
      </c>
      <c r="K5" s="2103" t="b">
        <f>TRUE</f>
        <v>1</v>
      </c>
    </row>
    <row r="6" spans="1:13" ht="49.5" customHeight="1">
      <c r="A6" s="9"/>
      <c r="C6" s="81" t="s">
        <v>3211</v>
      </c>
      <c r="D6" s="28" t="s">
        <v>3395</v>
      </c>
      <c r="E6" s="21" t="s">
        <v>3204</v>
      </c>
      <c r="F6" s="21" t="s">
        <v>3212</v>
      </c>
      <c r="G6" s="791" t="s">
        <v>4183</v>
      </c>
      <c r="J6" s="2343" t="s">
        <v>8598</v>
      </c>
      <c r="K6" s="2588" t="s">
        <v>6243</v>
      </c>
      <c r="L6" s="2588" t="s">
        <v>7525</v>
      </c>
      <c r="M6" s="3594" t="s">
        <v>15083</v>
      </c>
    </row>
    <row r="7" spans="1:13" ht="13">
      <c r="A7" s="9"/>
      <c r="C7" s="99" t="s">
        <v>4120</v>
      </c>
      <c r="D7" s="15" t="s">
        <v>4097</v>
      </c>
      <c r="E7" s="15" t="s">
        <v>1843</v>
      </c>
      <c r="F7" s="15" t="s">
        <v>4626</v>
      </c>
      <c r="G7" s="25"/>
      <c r="J7" s="2344"/>
      <c r="K7" s="2345"/>
      <c r="L7" s="196"/>
    </row>
    <row r="8" spans="1:13" s="698" customFormat="1" ht="12.5">
      <c r="A8" s="668"/>
      <c r="C8" s="1753" t="s">
        <v>4164</v>
      </c>
      <c r="D8" s="1747" t="s">
        <v>4165</v>
      </c>
      <c r="E8" s="727" t="s">
        <v>4166</v>
      </c>
      <c r="F8" s="1748" t="s">
        <v>5500</v>
      </c>
      <c r="G8" s="1749" t="s">
        <v>4169</v>
      </c>
      <c r="I8" s="24"/>
      <c r="J8" s="343">
        <f>SUMIFS(F46:F2011,C46:C2011,"{2190100} Расходы в виде неустойки в случае неисполнения или ненадлежащего исполнения обязательства")+SUMIFS(F46:F2011,C46:C2011,"{2190200} Расходы в виде возмещения убытков, причиненных неисполнением или ненадлежащим исполнением обязательства")</f>
        <v>0</v>
      </c>
      <c r="K8" s="343">
        <f>SUMIFS('76'!L45:L2017,'76'!C45:C2017,"{252042} Расчеты по претензиям к уплате")</f>
        <v>0</v>
      </c>
      <c r="L8" s="196"/>
    </row>
    <row r="9" spans="1:13" ht="12.5" hidden="1">
      <c r="A9" s="9"/>
      <c r="C9" s="294" t="s">
        <v>3219</v>
      </c>
      <c r="D9" s="295"/>
      <c r="E9" s="295"/>
      <c r="F9" s="184">
        <f t="shared" ref="F9:F40" si="0">SUMIF($C$46:$C$29963,C9,$F$46:$F$29963)</f>
        <v>0</v>
      </c>
      <c r="G9" s="296"/>
      <c r="L9" s="196"/>
    </row>
    <row r="10" spans="1:13" ht="12.5" hidden="1">
      <c r="A10" s="9"/>
      <c r="C10" s="294" t="s">
        <v>3220</v>
      </c>
      <c r="D10" s="295"/>
      <c r="E10" s="295"/>
      <c r="F10" s="184">
        <f t="shared" si="0"/>
        <v>0</v>
      </c>
      <c r="G10" s="296"/>
      <c r="L10" s="196"/>
    </row>
    <row r="11" spans="1:13" ht="12.5" hidden="1">
      <c r="A11" s="9"/>
      <c r="C11" s="294" t="s">
        <v>3221</v>
      </c>
      <c r="D11" s="295"/>
      <c r="E11" s="295"/>
      <c r="F11" s="184">
        <f t="shared" si="0"/>
        <v>0</v>
      </c>
      <c r="G11" s="296"/>
      <c r="L11" s="196"/>
    </row>
    <row r="12" spans="1:13" ht="12.5" hidden="1">
      <c r="A12" s="9"/>
      <c r="C12" s="294" t="s">
        <v>3222</v>
      </c>
      <c r="D12" s="295"/>
      <c r="E12" s="295"/>
      <c r="F12" s="184">
        <f t="shared" si="0"/>
        <v>0</v>
      </c>
      <c r="G12" s="296"/>
      <c r="L12" s="196"/>
    </row>
    <row r="13" spans="1:13" ht="12.5" hidden="1">
      <c r="A13" s="9"/>
      <c r="C13" s="294" t="s">
        <v>3223</v>
      </c>
      <c r="D13" s="295"/>
      <c r="E13" s="295"/>
      <c r="F13" s="184">
        <f t="shared" si="0"/>
        <v>0</v>
      </c>
      <c r="G13" s="296"/>
      <c r="L13" s="196"/>
    </row>
    <row r="14" spans="1:13" ht="12.5" hidden="1">
      <c r="A14" s="9"/>
      <c r="C14" s="294" t="s">
        <v>3224</v>
      </c>
      <c r="D14" s="295"/>
      <c r="E14" s="295"/>
      <c r="F14" s="184">
        <f t="shared" si="0"/>
        <v>0</v>
      </c>
      <c r="G14" s="296"/>
      <c r="L14" s="196"/>
    </row>
    <row r="15" spans="1:13" ht="12.5" hidden="1">
      <c r="A15" s="2427"/>
      <c r="C15" s="294" t="s">
        <v>7736</v>
      </c>
      <c r="D15" s="295"/>
      <c r="E15" s="295"/>
      <c r="F15" s="184">
        <f t="shared" si="0"/>
        <v>0</v>
      </c>
      <c r="G15" s="296"/>
      <c r="L15" s="196"/>
    </row>
    <row r="16" spans="1:13" ht="12.5" hidden="1">
      <c r="A16" s="2804"/>
      <c r="C16" s="294" t="s">
        <v>14741</v>
      </c>
      <c r="D16" s="295"/>
      <c r="E16" s="295"/>
      <c r="F16" s="184">
        <f t="shared" ref="F16:F17" si="1">SUMIF($C$46:$C$29963,C16,$F$46:$F$29963)</f>
        <v>0</v>
      </c>
      <c r="G16" s="296"/>
      <c r="L16" s="196"/>
    </row>
    <row r="17" spans="1:12" ht="12.5" hidden="1">
      <c r="A17" s="2804"/>
      <c r="C17" s="294" t="s">
        <v>14742</v>
      </c>
      <c r="D17" s="295"/>
      <c r="E17" s="295"/>
      <c r="F17" s="184">
        <f t="shared" si="1"/>
        <v>0</v>
      </c>
      <c r="G17" s="296"/>
      <c r="L17" s="196"/>
    </row>
    <row r="18" spans="1:12" ht="12.5" hidden="1">
      <c r="A18" s="9"/>
      <c r="C18" s="297" t="s">
        <v>3225</v>
      </c>
      <c r="D18" s="295"/>
      <c r="E18" s="295"/>
      <c r="F18" s="184">
        <f t="shared" si="0"/>
        <v>0</v>
      </c>
      <c r="G18" s="296"/>
      <c r="L18" s="196"/>
    </row>
    <row r="19" spans="1:12" ht="12.5" hidden="1">
      <c r="A19" s="9"/>
      <c r="C19" s="294" t="s">
        <v>3226</v>
      </c>
      <c r="D19" s="295"/>
      <c r="E19" s="295"/>
      <c r="F19" s="184">
        <f t="shared" si="0"/>
        <v>0</v>
      </c>
      <c r="G19" s="296"/>
      <c r="L19" s="196"/>
    </row>
    <row r="20" spans="1:12" ht="12.5" hidden="1">
      <c r="A20" s="9"/>
      <c r="C20" s="294" t="s">
        <v>3227</v>
      </c>
      <c r="D20" s="295"/>
      <c r="E20" s="295"/>
      <c r="F20" s="184">
        <f t="shared" si="0"/>
        <v>0</v>
      </c>
      <c r="G20" s="296"/>
      <c r="L20" s="196"/>
    </row>
    <row r="21" spans="1:12" ht="12.5" hidden="1">
      <c r="A21" s="9"/>
      <c r="C21" s="294" t="s">
        <v>3228</v>
      </c>
      <c r="D21" s="295"/>
      <c r="E21" s="295"/>
      <c r="F21" s="184">
        <f t="shared" si="0"/>
        <v>0</v>
      </c>
      <c r="G21" s="296"/>
      <c r="L21" s="196"/>
    </row>
    <row r="22" spans="1:12" ht="12.5" hidden="1">
      <c r="A22" s="9"/>
      <c r="C22" s="294" t="s">
        <v>3229</v>
      </c>
      <c r="D22" s="295"/>
      <c r="E22" s="295"/>
      <c r="F22" s="184">
        <f t="shared" si="0"/>
        <v>0</v>
      </c>
      <c r="G22" s="296"/>
      <c r="L22" s="196"/>
    </row>
    <row r="23" spans="1:12" ht="12.5" hidden="1">
      <c r="A23" s="9"/>
      <c r="C23" s="294" t="s">
        <v>3230</v>
      </c>
      <c r="D23" s="295"/>
      <c r="E23" s="295"/>
      <c r="F23" s="184">
        <f t="shared" si="0"/>
        <v>0</v>
      </c>
      <c r="G23" s="296"/>
      <c r="L23" s="196"/>
    </row>
    <row r="24" spans="1:12" ht="12.5" hidden="1">
      <c r="A24" s="9"/>
      <c r="C24" s="294" t="s">
        <v>14487</v>
      </c>
      <c r="D24" s="295"/>
      <c r="E24" s="295"/>
      <c r="F24" s="184">
        <f t="shared" si="0"/>
        <v>0</v>
      </c>
      <c r="G24" s="296"/>
      <c r="L24" s="196"/>
    </row>
    <row r="25" spans="1:12" ht="12.5" hidden="1">
      <c r="A25" s="9"/>
      <c r="C25" s="294" t="s">
        <v>14488</v>
      </c>
      <c r="D25" s="295"/>
      <c r="E25" s="295"/>
      <c r="F25" s="184">
        <f t="shared" si="0"/>
        <v>0</v>
      </c>
      <c r="G25" s="296"/>
      <c r="L25" s="196"/>
    </row>
    <row r="26" spans="1:12" ht="12.5" hidden="1">
      <c r="A26" s="9"/>
      <c r="C26" s="294" t="s">
        <v>14490</v>
      </c>
      <c r="D26" s="295"/>
      <c r="E26" s="295"/>
      <c r="F26" s="184">
        <f t="shared" si="0"/>
        <v>0</v>
      </c>
      <c r="G26" s="296"/>
      <c r="L26" s="196"/>
    </row>
    <row r="27" spans="1:12" ht="12.5" hidden="1">
      <c r="A27" s="9"/>
      <c r="C27" s="294" t="s">
        <v>3231</v>
      </c>
      <c r="D27" s="295"/>
      <c r="E27" s="295"/>
      <c r="F27" s="184">
        <f t="shared" si="0"/>
        <v>0</v>
      </c>
      <c r="G27" s="296"/>
      <c r="L27" s="196"/>
    </row>
    <row r="28" spans="1:12" ht="12.5" hidden="1">
      <c r="A28" s="9"/>
      <c r="C28" s="294" t="s">
        <v>3232</v>
      </c>
      <c r="D28" s="295"/>
      <c r="E28" s="295"/>
      <c r="F28" s="184">
        <f t="shared" si="0"/>
        <v>0</v>
      </c>
      <c r="G28" s="296"/>
      <c r="L28" s="196"/>
    </row>
    <row r="29" spans="1:12" ht="12.5" hidden="1">
      <c r="A29" s="9"/>
      <c r="C29" s="294" t="s">
        <v>3233</v>
      </c>
      <c r="D29" s="295"/>
      <c r="E29" s="295"/>
      <c r="F29" s="184">
        <f t="shared" si="0"/>
        <v>0</v>
      </c>
      <c r="G29" s="296"/>
      <c r="L29" s="196"/>
    </row>
    <row r="30" spans="1:12" ht="12.5" hidden="1">
      <c r="A30" s="9"/>
      <c r="C30" s="294" t="s">
        <v>3234</v>
      </c>
      <c r="D30" s="295"/>
      <c r="E30" s="295"/>
      <c r="F30" s="184">
        <f t="shared" si="0"/>
        <v>0</v>
      </c>
      <c r="G30" s="296"/>
      <c r="L30" s="196"/>
    </row>
    <row r="31" spans="1:12" ht="25" hidden="1">
      <c r="A31" s="9"/>
      <c r="C31" s="294" t="s">
        <v>14489</v>
      </c>
      <c r="D31" s="295"/>
      <c r="E31" s="295"/>
      <c r="F31" s="184">
        <f t="shared" ref="F31:F39" si="2">SUMIF($C$46:$C$29963,C31,$F$46:$F$29963)</f>
        <v>0</v>
      </c>
      <c r="G31" s="296"/>
      <c r="L31" s="196"/>
    </row>
    <row r="32" spans="1:12" ht="12.5" hidden="1">
      <c r="A32" s="2804"/>
      <c r="C32" s="294" t="s">
        <v>14601</v>
      </c>
      <c r="D32" s="295"/>
      <c r="E32" s="295"/>
      <c r="F32" s="184">
        <f t="shared" si="2"/>
        <v>0</v>
      </c>
      <c r="G32" s="296"/>
      <c r="L32" s="196"/>
    </row>
    <row r="33" spans="1:13" ht="12.5" hidden="1">
      <c r="A33" s="2804"/>
      <c r="C33" s="294" t="s">
        <v>14608</v>
      </c>
      <c r="D33" s="295"/>
      <c r="E33" s="295"/>
      <c r="F33" s="184">
        <f t="shared" si="2"/>
        <v>0</v>
      </c>
      <c r="G33" s="296"/>
      <c r="L33" s="196"/>
    </row>
    <row r="34" spans="1:13" ht="12.5" hidden="1">
      <c r="A34" s="2804"/>
      <c r="C34" s="294" t="s">
        <v>14602</v>
      </c>
      <c r="D34" s="295"/>
      <c r="E34" s="295"/>
      <c r="F34" s="184">
        <f t="shared" si="2"/>
        <v>0</v>
      </c>
      <c r="G34" s="296"/>
      <c r="L34" s="196"/>
    </row>
    <row r="35" spans="1:13" ht="12.5" hidden="1">
      <c r="A35" s="2804"/>
      <c r="C35" s="294" t="s">
        <v>14603</v>
      </c>
      <c r="D35" s="295"/>
      <c r="E35" s="295"/>
      <c r="F35" s="184">
        <f t="shared" si="2"/>
        <v>0</v>
      </c>
      <c r="G35" s="296"/>
      <c r="L35" s="196"/>
    </row>
    <row r="36" spans="1:13" ht="12.5" hidden="1">
      <c r="A36" s="2804"/>
      <c r="C36" s="294" t="s">
        <v>14604</v>
      </c>
      <c r="D36" s="295"/>
      <c r="E36" s="295"/>
      <c r="F36" s="184">
        <f t="shared" si="2"/>
        <v>0</v>
      </c>
      <c r="G36" s="296"/>
      <c r="L36" s="196"/>
    </row>
    <row r="37" spans="1:13" ht="12.5" hidden="1">
      <c r="A37" s="2804"/>
      <c r="C37" s="294" t="s">
        <v>14605</v>
      </c>
      <c r="D37" s="295"/>
      <c r="E37" s="295"/>
      <c r="F37" s="184">
        <f t="shared" si="2"/>
        <v>0</v>
      </c>
      <c r="G37" s="296"/>
      <c r="L37" s="196"/>
    </row>
    <row r="38" spans="1:13" ht="12.5" hidden="1">
      <c r="A38" s="2804"/>
      <c r="C38" s="294" t="s">
        <v>14606</v>
      </c>
      <c r="D38" s="295"/>
      <c r="E38" s="295"/>
      <c r="F38" s="184">
        <f t="shared" si="2"/>
        <v>0</v>
      </c>
      <c r="G38" s="296"/>
      <c r="L38" s="196"/>
    </row>
    <row r="39" spans="1:13" ht="12.5" hidden="1">
      <c r="A39" s="2804"/>
      <c r="C39" s="294" t="s">
        <v>14607</v>
      </c>
      <c r="D39" s="295"/>
      <c r="E39" s="295"/>
      <c r="F39" s="184">
        <f t="shared" si="2"/>
        <v>0</v>
      </c>
      <c r="G39" s="296"/>
      <c r="L39" s="196"/>
    </row>
    <row r="40" spans="1:13" ht="12.5" hidden="1">
      <c r="A40" s="9"/>
      <c r="C40" s="294" t="s">
        <v>730</v>
      </c>
      <c r="D40" s="295"/>
      <c r="E40" s="295"/>
      <c r="F40" s="184">
        <f t="shared" si="0"/>
        <v>0</v>
      </c>
      <c r="G40" s="296"/>
      <c r="L40" s="196"/>
    </row>
    <row r="41" spans="1:13" ht="13">
      <c r="A41" s="9"/>
      <c r="C41" s="288" t="s">
        <v>3213</v>
      </c>
      <c r="D41" s="197" t="s">
        <v>4184</v>
      </c>
      <c r="E41" s="197" t="s">
        <v>4184</v>
      </c>
      <c r="F41" s="343">
        <f>SUM(F9:F18)+'91_02_ВГО'!I39</f>
        <v>0</v>
      </c>
      <c r="G41" s="289" t="s">
        <v>4184</v>
      </c>
      <c r="L41" s="196"/>
    </row>
    <row r="42" spans="1:13" ht="13">
      <c r="A42" s="9"/>
      <c r="C42" s="288" t="s">
        <v>3208</v>
      </c>
      <c r="D42" s="197" t="s">
        <v>4184</v>
      </c>
      <c r="E42" s="197" t="s">
        <v>4184</v>
      </c>
      <c r="F42" s="184">
        <f>SUM(F19:F40)+'91_02_ВГО'!I40+SUMIF($C$46:$C$29963,"{2340101} Убытки прошлых лет, признанные в текущем году (НДС)",$F$46:$F$29963)</f>
        <v>0</v>
      </c>
      <c r="G42" s="289" t="s">
        <v>4184</v>
      </c>
      <c r="L42" s="196"/>
    </row>
    <row r="43" spans="1:13" ht="13">
      <c r="A43" s="9"/>
      <c r="B43" s="207"/>
      <c r="C43" s="288" t="s">
        <v>3214</v>
      </c>
      <c r="D43" s="197" t="s">
        <v>4184</v>
      </c>
      <c r="E43" s="197" t="s">
        <v>4184</v>
      </c>
      <c r="F43" s="184">
        <f>F44-SUM(F41:F42)</f>
        <v>0</v>
      </c>
      <c r="G43" s="289" t="s">
        <v>4184</v>
      </c>
      <c r="L43" s="196"/>
    </row>
    <row r="44" spans="1:13" ht="13">
      <c r="A44" s="9"/>
      <c r="C44" s="292" t="s">
        <v>4170</v>
      </c>
      <c r="D44" s="197" t="s">
        <v>4184</v>
      </c>
      <c r="E44" s="197" t="s">
        <v>4184</v>
      </c>
      <c r="F44" s="184">
        <f>SUM(F45:F29963)</f>
        <v>0</v>
      </c>
      <c r="G44" s="289" t="s">
        <v>4184</v>
      </c>
      <c r="L44" s="196"/>
    </row>
    <row r="45" spans="1:13">
      <c r="A45" s="9"/>
      <c r="C45" s="293" t="s">
        <v>9986</v>
      </c>
      <c r="D45" s="197" t="s">
        <v>4184</v>
      </c>
      <c r="E45" s="197" t="s">
        <v>4184</v>
      </c>
      <c r="F45" s="343">
        <f>'91_02_ВГО'!I42</f>
        <v>0</v>
      </c>
      <c r="G45" s="246"/>
      <c r="L45" s="2590" t="b">
        <f>AND(L46:L1011)</f>
        <v>1</v>
      </c>
      <c r="M45" s="2590" t="b">
        <f>AND(M46:M1011)</f>
        <v>1</v>
      </c>
    </row>
    <row r="46" spans="1:13">
      <c r="A46" s="9" t="str">
        <f t="shared" ref="A46:A59" si="3">"R11="&amp;IF(ISERROR(MID(C46,FIND("{",C46)+1,FIND("}",C46)-FIND("{",C46)-1)),"",MID(C46,FIND("{",C46)+1,FIND("}",C46)-FIND("{",C46)-1))&amp;";R6="&amp;IF(ISERROR(MID(D46,FIND("{",D46)+1,FIND("}",D46)-FIND("{",D46)-1)),"",MID(D46,FIND("{",D46)+1,FIND("}",D46)-FIND("{",D46)-1))&amp;";R12="&amp;IF(ISERROR(MID(E46,FIND("{",E46)+1,FIND("}",E46)-FIND("{",E46)-1)),"",MID(E46,FIND("{",E46)+1,FIND("}",E46)-FIND("{",E46)-1))&amp;";COM="&amp;G46</f>
        <v>R11=;R6=;R12=;COM=</v>
      </c>
      <c r="C46" s="1499"/>
      <c r="D46" s="1497"/>
      <c r="E46" s="291" t="str">
        <f>IF(ISNA(VLOOKUP(C46,Справочник!$H$4:$I$537,2,0)),"-",VLOOKUP(C46,Справочник!$H$4:$I$537,2,0))</f>
        <v>-</v>
      </c>
      <c r="F46" s="1754"/>
      <c r="G46" s="246"/>
      <c r="L46" s="1569" t="b">
        <f t="shared" ref="L46:L60" si="4">IF(OR($G$4="атомфонд",$G$4="атомгарант"),IF(C46&lt;&gt;"",IF(ISNA(VLOOKUP(C46,_2240_9220_Р,1,0)),FALSE,TRUE),TRUE),IF(C46&lt;&gt;"",IF(ISNA(VLOOKUP(C46,_2240_Расходы,1,0)),FALSE,TRUE),TRUE))</f>
        <v>1</v>
      </c>
      <c r="M46" s="1569" t="b">
        <f>IF(F46&lt;&gt;"",D46&lt;&gt;"",TRUE)</f>
        <v>1</v>
      </c>
    </row>
    <row r="47" spans="1:13">
      <c r="A47" s="9" t="str">
        <f t="shared" si="3"/>
        <v>R11=;R6=;R12=;COM=</v>
      </c>
      <c r="C47" s="1499"/>
      <c r="D47" s="1497"/>
      <c r="E47" s="291" t="str">
        <f>IF(ISNA(VLOOKUP(C47,Справочник!$H$4:$I$537,2,0)),"-",VLOOKUP(C47,Справочник!$H$4:$I$537,2,0))</f>
        <v>-</v>
      </c>
      <c r="F47" s="1754"/>
      <c r="G47" s="246"/>
      <c r="L47" s="1569" t="b">
        <f t="shared" si="4"/>
        <v>1</v>
      </c>
      <c r="M47" s="1569" t="b">
        <f t="shared" ref="M47:M60" si="5">IF(F47&lt;&gt;"",D47&lt;&gt;"",TRUE)</f>
        <v>1</v>
      </c>
    </row>
    <row r="48" spans="1:13">
      <c r="A48" s="9" t="str">
        <f t="shared" si="3"/>
        <v>R11=;R6=;R12=;COM=</v>
      </c>
      <c r="C48" s="1499"/>
      <c r="D48" s="1497"/>
      <c r="E48" s="291" t="str">
        <f>IF(ISNA(VLOOKUP(C48,Справочник!$H$4:$I$537,2,0)),"-",VLOOKUP(C48,Справочник!$H$4:$I$537,2,0))</f>
        <v>-</v>
      </c>
      <c r="F48" s="1754"/>
      <c r="G48" s="246"/>
      <c r="L48" s="1569" t="b">
        <f t="shared" si="4"/>
        <v>1</v>
      </c>
      <c r="M48" s="1569" t="b">
        <f t="shared" si="5"/>
        <v>1</v>
      </c>
    </row>
    <row r="49" spans="1:13">
      <c r="A49" s="2427" t="str">
        <f t="shared" si="3"/>
        <v>R11=;R6=;R12=;COM=</v>
      </c>
      <c r="C49" s="1499"/>
      <c r="D49" s="1497"/>
      <c r="E49" s="291" t="str">
        <f>IF(ISNA(VLOOKUP(C49,Справочник!$H$4:$I$537,2,0)),"-",VLOOKUP(C49,Справочник!$H$4:$I$537,2,0))</f>
        <v>-</v>
      </c>
      <c r="F49" s="1754"/>
      <c r="G49" s="246"/>
      <c r="L49" s="1569" t="b">
        <f t="shared" si="4"/>
        <v>1</v>
      </c>
      <c r="M49" s="1569" t="b">
        <f t="shared" si="5"/>
        <v>1</v>
      </c>
    </row>
    <row r="50" spans="1:13">
      <c r="A50" s="2427" t="str">
        <f t="shared" si="3"/>
        <v>R11=;R6=;R12=;COM=</v>
      </c>
      <c r="C50" s="1499"/>
      <c r="D50" s="1497"/>
      <c r="E50" s="291" t="str">
        <f>IF(ISNA(VLOOKUP(C50,Справочник!$H$4:$I$537,2,0)),"-",VLOOKUP(C50,Справочник!$H$4:$I$537,2,0))</f>
        <v>-</v>
      </c>
      <c r="F50" s="1754"/>
      <c r="G50" s="246"/>
      <c r="L50" s="1569" t="b">
        <f t="shared" si="4"/>
        <v>1</v>
      </c>
      <c r="M50" s="1569" t="b">
        <f t="shared" si="5"/>
        <v>1</v>
      </c>
    </row>
    <row r="51" spans="1:13">
      <c r="A51" s="2427" t="str">
        <f t="shared" si="3"/>
        <v>R11=;R6=;R12=;COM=</v>
      </c>
      <c r="C51" s="1499"/>
      <c r="D51" s="1497"/>
      <c r="E51" s="291" t="str">
        <f>IF(ISNA(VLOOKUP(C51,Справочник!$H$4:$I$537,2,0)),"-",VLOOKUP(C51,Справочник!$H$4:$I$537,2,0))</f>
        <v>-</v>
      </c>
      <c r="F51" s="1754"/>
      <c r="G51" s="246"/>
      <c r="L51" s="1569" t="b">
        <f t="shared" si="4"/>
        <v>1</v>
      </c>
      <c r="M51" s="1569" t="b">
        <f t="shared" si="5"/>
        <v>1</v>
      </c>
    </row>
    <row r="52" spans="1:13">
      <c r="A52" s="2427" t="str">
        <f t="shared" si="3"/>
        <v>R11=;R6=;R12=;COM=</v>
      </c>
      <c r="C52" s="1499"/>
      <c r="D52" s="1497"/>
      <c r="E52" s="291" t="str">
        <f>IF(ISNA(VLOOKUP(C52,Справочник!$H$4:$I$537,2,0)),"-",VLOOKUP(C52,Справочник!$H$4:$I$537,2,0))</f>
        <v>-</v>
      </c>
      <c r="F52" s="1754"/>
      <c r="G52" s="246"/>
      <c r="L52" s="1569" t="b">
        <f t="shared" si="4"/>
        <v>1</v>
      </c>
      <c r="M52" s="1569" t="b">
        <f t="shared" si="5"/>
        <v>1</v>
      </c>
    </row>
    <row r="53" spans="1:13">
      <c r="A53" s="2427" t="str">
        <f t="shared" si="3"/>
        <v>R11=;R6=;R12=;COM=</v>
      </c>
      <c r="C53" s="1499"/>
      <c r="D53" s="1497"/>
      <c r="E53" s="291" t="str">
        <f>IF(ISNA(VLOOKUP(C53,Справочник!$H$4:$I$537,2,0)),"-",VLOOKUP(C53,Справочник!$H$4:$I$537,2,0))</f>
        <v>-</v>
      </c>
      <c r="F53" s="1754"/>
      <c r="G53" s="246"/>
      <c r="L53" s="1569" t="b">
        <f t="shared" si="4"/>
        <v>1</v>
      </c>
      <c r="M53" s="1569" t="b">
        <f t="shared" si="5"/>
        <v>1</v>
      </c>
    </row>
    <row r="54" spans="1:13">
      <c r="A54" s="2427" t="str">
        <f t="shared" si="3"/>
        <v>R11=;R6=;R12=;COM=</v>
      </c>
      <c r="C54" s="1499"/>
      <c r="D54" s="1497"/>
      <c r="E54" s="291" t="str">
        <f>IF(ISNA(VLOOKUP(C54,Справочник!$H$4:$I$537,2,0)),"-",VLOOKUP(C54,Справочник!$H$4:$I$537,2,0))</f>
        <v>-</v>
      </c>
      <c r="F54" s="1754"/>
      <c r="G54" s="246"/>
      <c r="L54" s="1569" t="b">
        <f t="shared" si="4"/>
        <v>1</v>
      </c>
      <c r="M54" s="1569" t="b">
        <f t="shared" si="5"/>
        <v>1</v>
      </c>
    </row>
    <row r="55" spans="1:13">
      <c r="A55" s="2427" t="str">
        <f t="shared" si="3"/>
        <v>R11=;R6=;R12=;COM=</v>
      </c>
      <c r="C55" s="1499"/>
      <c r="D55" s="1497"/>
      <c r="E55" s="291" t="str">
        <f>IF(ISNA(VLOOKUP(C55,Справочник!$H$4:$I$537,2,0)),"-",VLOOKUP(C55,Справочник!$H$4:$I$537,2,0))</f>
        <v>-</v>
      </c>
      <c r="F55" s="1754"/>
      <c r="G55" s="246"/>
      <c r="L55" s="1569" t="b">
        <f t="shared" si="4"/>
        <v>1</v>
      </c>
      <c r="M55" s="1569" t="b">
        <f t="shared" si="5"/>
        <v>1</v>
      </c>
    </row>
    <row r="56" spans="1:13">
      <c r="A56" s="2427" t="str">
        <f t="shared" si="3"/>
        <v>R11=;R6=;R12=;COM=</v>
      </c>
      <c r="C56" s="1499"/>
      <c r="D56" s="1497"/>
      <c r="E56" s="291" t="str">
        <f>IF(ISNA(VLOOKUP(C56,Справочник!$H$4:$I$537,2,0)),"-",VLOOKUP(C56,Справочник!$H$4:$I$537,2,0))</f>
        <v>-</v>
      </c>
      <c r="F56" s="1754"/>
      <c r="G56" s="246"/>
      <c r="L56" s="1569" t="b">
        <f t="shared" si="4"/>
        <v>1</v>
      </c>
      <c r="M56" s="1569" t="b">
        <f t="shared" si="5"/>
        <v>1</v>
      </c>
    </row>
    <row r="57" spans="1:13">
      <c r="A57" s="2427" t="str">
        <f t="shared" si="3"/>
        <v>R11=;R6=;R12=;COM=</v>
      </c>
      <c r="C57" s="1499"/>
      <c r="D57" s="1497"/>
      <c r="E57" s="291" t="str">
        <f>IF(ISNA(VLOOKUP(C57,Справочник!$H$4:$I$537,2,0)),"-",VLOOKUP(C57,Справочник!$H$4:$I$537,2,0))</f>
        <v>-</v>
      </c>
      <c r="F57" s="1754"/>
      <c r="G57" s="246"/>
      <c r="L57" s="1569" t="b">
        <f t="shared" si="4"/>
        <v>1</v>
      </c>
      <c r="M57" s="1569" t="b">
        <f t="shared" si="5"/>
        <v>1</v>
      </c>
    </row>
    <row r="58" spans="1:13">
      <c r="A58" s="2427" t="str">
        <f t="shared" si="3"/>
        <v>R11=;R6=;R12=;COM=</v>
      </c>
      <c r="C58" s="1499"/>
      <c r="D58" s="1497"/>
      <c r="E58" s="291" t="str">
        <f>IF(ISNA(VLOOKUP(C58,Справочник!$H$4:$I$537,2,0)),"-",VLOOKUP(C58,Справочник!$H$4:$I$537,2,0))</f>
        <v>-</v>
      </c>
      <c r="F58" s="1754"/>
      <c r="G58" s="246"/>
      <c r="L58" s="1569" t="b">
        <f t="shared" si="4"/>
        <v>1</v>
      </c>
      <c r="M58" s="1569" t="b">
        <f t="shared" si="5"/>
        <v>1</v>
      </c>
    </row>
    <row r="59" spans="1:13">
      <c r="A59" s="2427" t="str">
        <f t="shared" si="3"/>
        <v>R11=;R6=;R12=;COM=</v>
      </c>
      <c r="C59" s="1499"/>
      <c r="D59" s="1497"/>
      <c r="E59" s="291" t="str">
        <f>IF(ISNA(VLOOKUP(C59,Справочник!$H$4:$I$537,2,0)),"-",VLOOKUP(C59,Справочник!$H$4:$I$537,2,0))</f>
        <v>-</v>
      </c>
      <c r="F59" s="1754"/>
      <c r="G59" s="246"/>
      <c r="L59" s="1569" t="b">
        <f t="shared" si="4"/>
        <v>1</v>
      </c>
      <c r="M59" s="1569" t="b">
        <f t="shared" si="5"/>
        <v>1</v>
      </c>
    </row>
    <row r="60" spans="1:13" ht="15" thickBot="1">
      <c r="A60" s="2427" t="str">
        <f t="shared" ref="A60" si="6">"R11="&amp;IF(ISERROR(MID(C60,FIND("{",C60)+1,FIND("}",C60)-FIND("{",C60)-1)),"",MID(C60,FIND("{",C60)+1,FIND("}",C60)-FIND("{",C60)-1))&amp;";R6="&amp;IF(ISERROR(MID(D60,FIND("{",D60)+1,FIND("}",D60)-FIND("{",D60)-1)),"",MID(D60,FIND("{",D60)+1,FIND("}",D60)-FIND("{",D60)-1))&amp;";R12="&amp;IF(ISERROR(MID(E60,FIND("{",E60)+1,FIND("}",E60)-FIND("{",E60)-1)),"",MID(E60,FIND("{",E60)+1,FIND("}",E60)-FIND("{",E60)-1))&amp;";COM="&amp;G60</f>
        <v>R11=;R6=;R12=;COM=</v>
      </c>
      <c r="C60" s="1499"/>
      <c r="D60" s="1551"/>
      <c r="E60" s="1556" t="str">
        <f>IF(ISNA(VLOOKUP(C60,Справочник!$H$4:$I$537,2,0)),"-",VLOOKUP(C60,Справочник!$H$4:$I$537,2,0))</f>
        <v>-</v>
      </c>
      <c r="F60" s="1755"/>
      <c r="G60" s="1555"/>
      <c r="L60" s="1569" t="b">
        <f t="shared" si="4"/>
        <v>1</v>
      </c>
      <c r="M60" s="1569" t="b">
        <f t="shared" si="5"/>
        <v>1</v>
      </c>
    </row>
    <row r="61" spans="1:13" ht="12.5">
      <c r="A61" s="24"/>
    </row>
    <row r="62" spans="1:13" ht="12.5">
      <c r="A62" s="24"/>
    </row>
    <row r="63" spans="1:13" ht="12.5">
      <c r="A63" s="24"/>
    </row>
    <row r="64" spans="1:13" ht="12.5">
      <c r="A64" s="24"/>
    </row>
    <row r="65" spans="1:1" ht="12.5">
      <c r="A65" s="24"/>
    </row>
    <row r="66" spans="1:1" ht="12.5">
      <c r="A66" s="24"/>
    </row>
    <row r="67" spans="1:1" ht="12.5">
      <c r="A67" s="24"/>
    </row>
    <row r="68" spans="1:1" ht="12.5">
      <c r="A68" s="24"/>
    </row>
    <row r="69" spans="1:1" ht="12.5">
      <c r="A69" s="24"/>
    </row>
    <row r="70" spans="1:1" ht="12.5">
      <c r="A70" s="24"/>
    </row>
    <row r="71" spans="1:1" ht="12.5">
      <c r="A71" s="24"/>
    </row>
    <row r="72" spans="1:1" ht="12.5">
      <c r="A72" s="24"/>
    </row>
    <row r="73" spans="1:1" ht="12.5">
      <c r="A73" s="24"/>
    </row>
    <row r="74" spans="1:1" ht="12.5">
      <c r="A74" s="24"/>
    </row>
    <row r="75" spans="1:1" ht="12.5">
      <c r="A75" s="24"/>
    </row>
    <row r="76" spans="1:1" ht="12.5">
      <c r="A76" s="24"/>
    </row>
    <row r="77" spans="1:1" ht="12.5">
      <c r="A77" s="24"/>
    </row>
    <row r="78" spans="1:1" ht="12.5">
      <c r="A78" s="24"/>
    </row>
    <row r="79" spans="1:1" ht="12.5">
      <c r="A79" s="24"/>
    </row>
    <row r="80" spans="1:1" ht="12.5">
      <c r="A80" s="24"/>
    </row>
    <row r="81" spans="1:1" ht="12.5">
      <c r="A81" s="24"/>
    </row>
    <row r="82" spans="1:1" ht="12.5">
      <c r="A82" s="24"/>
    </row>
    <row r="83" spans="1:1" ht="12.5">
      <c r="A83" s="24"/>
    </row>
    <row r="84" spans="1:1" ht="12.5">
      <c r="A84" s="24"/>
    </row>
    <row r="85" spans="1:1" ht="12.5">
      <c r="A85" s="24"/>
    </row>
    <row r="86" spans="1:1" ht="12.5">
      <c r="A86" s="24"/>
    </row>
    <row r="87" spans="1:1" ht="12.5">
      <c r="A87" s="24"/>
    </row>
    <row r="88" spans="1:1" ht="12.5">
      <c r="A88" s="24"/>
    </row>
    <row r="89" spans="1:1" ht="12.5">
      <c r="A89" s="24"/>
    </row>
    <row r="90" spans="1:1" ht="12.5">
      <c r="A90" s="24"/>
    </row>
    <row r="91" spans="1:1" ht="12.5">
      <c r="A91" s="24"/>
    </row>
    <row r="92" spans="1:1" ht="12.5">
      <c r="A92" s="24"/>
    </row>
    <row r="93" spans="1:1" ht="12.5">
      <c r="A93" s="24"/>
    </row>
    <row r="94" spans="1:1" ht="12.5">
      <c r="A94" s="24"/>
    </row>
    <row r="95" spans="1:1" ht="12.5">
      <c r="A95" s="24"/>
    </row>
    <row r="96" spans="1:1" ht="12.5">
      <c r="A96" s="24"/>
    </row>
    <row r="97" spans="1:1" ht="12.5">
      <c r="A97" s="24"/>
    </row>
    <row r="98" spans="1:1" ht="12.5">
      <c r="A98" s="24"/>
    </row>
    <row r="99" spans="1:1" ht="12.5">
      <c r="A99" s="24"/>
    </row>
    <row r="100" spans="1:1" ht="12.5">
      <c r="A100" s="24"/>
    </row>
    <row r="101" spans="1:1" ht="12.5">
      <c r="A101" s="24"/>
    </row>
    <row r="102" spans="1:1" ht="12.5">
      <c r="A102" s="24"/>
    </row>
    <row r="103" spans="1:1" ht="12.5">
      <c r="A103" s="24"/>
    </row>
    <row r="104" spans="1:1" ht="12.5">
      <c r="A104" s="24"/>
    </row>
    <row r="105" spans="1:1" ht="12.5">
      <c r="A105" s="24"/>
    </row>
    <row r="106" spans="1:1" ht="12.5">
      <c r="A106" s="24"/>
    </row>
    <row r="107" spans="1:1" ht="12.5">
      <c r="A107" s="24"/>
    </row>
    <row r="108" spans="1:1" ht="12.5">
      <c r="A108" s="24"/>
    </row>
    <row r="109" spans="1:1" ht="12.5">
      <c r="A109" s="24"/>
    </row>
    <row r="110" spans="1:1" ht="12.5">
      <c r="A110" s="24"/>
    </row>
    <row r="111" spans="1:1" ht="12.5">
      <c r="A111" s="24"/>
    </row>
    <row r="112" spans="1:1" ht="12.5">
      <c r="A112" s="24"/>
    </row>
    <row r="113" spans="1:1" ht="12.5">
      <c r="A113" s="24"/>
    </row>
    <row r="114" spans="1:1" ht="12.5">
      <c r="A114" s="24"/>
    </row>
    <row r="115" spans="1:1" ht="12.5">
      <c r="A115" s="24"/>
    </row>
    <row r="116" spans="1:1" ht="12.5">
      <c r="A116" s="24"/>
    </row>
    <row r="117" spans="1:1" ht="12.5">
      <c r="A117" s="24"/>
    </row>
    <row r="118" spans="1:1" ht="12.5">
      <c r="A118" s="24"/>
    </row>
    <row r="119" spans="1:1" ht="12.5">
      <c r="A119" s="24"/>
    </row>
    <row r="120" spans="1:1" ht="12.5">
      <c r="A120" s="24"/>
    </row>
  </sheetData>
  <sheetProtection algorithmName="SHA-512" hashValue="JXDsAtHOP0K2L9Lw3BGNhUjOx+NrXOOVjLgR7CegX50Q9+dVJBqmd3lKrxgCxHhLjkeQ4lz4W2y3qsJu/y3Kuw==" saltValue="7MuPR7MVggPXk7pH7mQW3Q==" spinCount="100000" sheet="1" objects="1" scenarios="1" formatColumns="0" formatRows="0" autoFilter="0"/>
  <autoFilter ref="C8:G8"/>
  <customSheetViews>
    <customSheetView guid="{3769259D-9653-4B34-A2F6-4FB6F9F4E533}" showGridLines="0" showAutoFilter="1" hiddenRows="1" hiddenColumns="1">
      <pane xSplit="3" ySplit="34" topLeftCell="D35" activePane="bottomRight" state="frozen"/>
      <selection pane="bottomRight" activeCell="C35" sqref="C35:C1000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pane xSplit="3" ySplit="34" topLeftCell="D35" activePane="bottomRight" state="frozen"/>
      <selection pane="bottomRight" activeCell="F50" sqref="F50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2">
      <pane xSplit="2" ySplit="33" topLeftCell="D35" activePane="bottomRight" state="frozen"/>
      <selection pane="bottomRight" activeCell="F35" sqref="F35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2">
      <pane xSplit="2" ySplit="33" topLeftCell="E35" activePane="bottomRight" state="frozen"/>
      <selection pane="bottomRight" activeCell="C8" sqref="C8:G8"/>
      <pageMargins left="0.7" right="0.7" top="0.75" bottom="0.75" header="0.3" footer="0.3"/>
      <autoFilter ref="B1:F1"/>
    </customSheetView>
    <customSheetView guid="{C913A9E8-661B-40A4-A3C9-1BC5F2B2E9F0}" showGridLines="0" showAutoFilter="1" hiddenRows="1" hiddenColumns="1" topLeftCell="B2">
      <pane xSplit="2" ySplit="33" topLeftCell="D35" activePane="bottomRight" state="frozen"/>
      <selection pane="bottomRight" activeCell="F36" sqref="F36"/>
      <pageMargins left="0.7" right="0.7" top="0.75" bottom="0.75" header="0.3" footer="0.3"/>
      <autoFilter ref="B1:F1"/>
    </customSheetView>
  </customSheetViews>
  <phoneticPr fontId="0" type="noConversion"/>
  <dataValidations count="4">
    <dataValidation type="list" operator="equal" allowBlank="1" showErrorMessage="1" errorTitle="Выбор элемента списка" error="Данного элемента нет в списке" sqref="AT65418:AT65421">
      <formula1>_1010_</formula1>
    </dataValidation>
    <dataValidation type="list" operator="equal" allowBlank="1" showErrorMessage="1" errorTitle="Выбор элемента списка" error="Данного элемента нет в списке" sqref="AS65418:AS65421">
      <formula1>_2240Расходы_</formula1>
    </dataValidation>
    <dataValidation type="list" operator="equal" allowBlank="1" showErrorMessage="1" errorTitle="Выбор элемента списка" error="Данного элемента нет в списке" sqref="D46:D60">
      <formula1>_1010</formula1>
    </dataValidation>
    <dataValidation type="list" operator="equal" allowBlank="1" showErrorMessage="1" errorTitle="Выбор элемента списка" error="Данного элемента нет в списке" sqref="C46:C60">
      <formula1>IF(OR($G$4="Атомфонд",$G$4="Атомгарант",),_2240_9220_Р,_2240_Расходы)</formula1>
    </dataValidation>
  </dataValidations>
  <hyperlinks>
    <hyperlink ref="E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3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ButtonsRowAdd">
                <anchor moveWithCells="1">
                  <from>
                    <xdr:col>3</xdr:col>
                    <xdr:colOff>190500</xdr:colOff>
                    <xdr:row>2</xdr:row>
                    <xdr:rowOff>107950</xdr:rowOff>
                  </from>
                  <to>
                    <xdr:col>3</xdr:col>
                    <xdr:colOff>1600200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pageSetUpPr fitToPage="1"/>
  </sheetPr>
  <dimension ref="A1:M70"/>
  <sheetViews>
    <sheetView topLeftCell="B2" zoomScale="71" zoomScaleNormal="71" workbookViewId="0">
      <selection activeCell="I52" sqref="I52"/>
    </sheetView>
  </sheetViews>
  <sheetFormatPr defaultColWidth="9.453125" defaultRowHeight="14.5"/>
  <cols>
    <col min="1" max="1" width="40" style="1569" hidden="1" customWidth="1"/>
    <col min="2" max="2" width="2.453125" style="1569" customWidth="1"/>
    <col min="3" max="3" width="90.54296875" style="1598" customWidth="1"/>
    <col min="4" max="4" width="18.453125" style="1569" customWidth="1"/>
    <col min="5" max="5" width="17.54296875" style="1569" customWidth="1"/>
    <col min="6" max="6" width="15.453125" style="1569" customWidth="1"/>
    <col min="7" max="7" width="25.453125" style="1569" customWidth="1"/>
    <col min="8" max="8" width="32.54296875" style="1598" customWidth="1"/>
    <col min="9" max="9" width="15.54296875" style="1569" customWidth="1"/>
    <col min="10" max="11" width="17.54296875" style="1569" customWidth="1"/>
    <col min="12" max="12" width="14.453125" style="1569" customWidth="1"/>
    <col min="13" max="13" width="15.54296875" style="1569" bestFit="1" customWidth="1"/>
    <col min="14" max="16384" width="9.453125" style="1569"/>
  </cols>
  <sheetData>
    <row r="1" spans="1:13" s="1163" customFormat="1" ht="21.75" hidden="1" customHeight="1">
      <c r="A1" s="597" t="s">
        <v>5437</v>
      </c>
      <c r="B1" s="6"/>
      <c r="C1" s="484"/>
      <c r="D1" s="37"/>
      <c r="E1" s="37"/>
      <c r="F1" s="37"/>
      <c r="G1" s="37"/>
      <c r="H1" s="484"/>
      <c r="I1" s="6" t="s">
        <v>573</v>
      </c>
      <c r="J1" s="6"/>
    </row>
    <row r="2" spans="1:13" s="749" customFormat="1" ht="12.5">
      <c r="A2" s="564"/>
      <c r="C2" s="1942"/>
      <c r="H2" s="1942"/>
      <c r="I2" s="1925" t="s">
        <v>1648</v>
      </c>
    </row>
    <row r="3" spans="1:13" s="1163" customFormat="1" ht="26">
      <c r="A3" s="9"/>
      <c r="C3" s="486" t="s">
        <v>1367</v>
      </c>
      <c r="D3"/>
      <c r="E3" s="1897" t="s">
        <v>2067</v>
      </c>
      <c r="F3" s="1244">
        <f>Содержание!$D$2</f>
        <v>0</v>
      </c>
      <c r="H3" s="486"/>
      <c r="I3" s="3044" t="s">
        <v>1436</v>
      </c>
    </row>
    <row r="4" spans="1:13" s="1163" customFormat="1" ht="15" thickBot="1">
      <c r="A4" s="9"/>
      <c r="C4"/>
      <c r="D4" s="84" t="b">
        <f t="array" ref="D4">IF(SMALL(IF(""=C43:C2710,ROW(C43:C2710),2700),1)&gt;LARGE(IF(""&lt;&gt;C43:C2710,ROW(C43:C2710),0),1),TRUE,FALSE)</f>
        <v>1</v>
      </c>
      <c r="E4" s="1897" t="s">
        <v>2075</v>
      </c>
      <c r="F4" s="1244" t="str">
        <f>Содержание!$D$15</f>
        <v>2022 год</v>
      </c>
      <c r="H4" s="268"/>
      <c r="I4" s="173"/>
    </row>
    <row r="5" spans="1:13" s="1163" customFormat="1" ht="65">
      <c r="A5" s="9"/>
      <c r="C5" s="81" t="s">
        <v>3211</v>
      </c>
      <c r="D5" s="21" t="s">
        <v>3204</v>
      </c>
      <c r="E5" s="21" t="s">
        <v>5381</v>
      </c>
      <c r="F5" s="21" t="s">
        <v>3198</v>
      </c>
      <c r="G5" s="3164" t="s">
        <v>8394</v>
      </c>
      <c r="H5" s="28" t="s">
        <v>3395</v>
      </c>
      <c r="I5" s="21" t="s">
        <v>3212</v>
      </c>
      <c r="J5" s="791" t="s">
        <v>4183</v>
      </c>
      <c r="L5" s="2588" t="s">
        <v>7525</v>
      </c>
      <c r="M5" s="3594" t="s">
        <v>15084</v>
      </c>
    </row>
    <row r="6" spans="1:13" s="1163" customFormat="1">
      <c r="A6" s="9"/>
      <c r="C6" s="99" t="s">
        <v>4120</v>
      </c>
      <c r="D6" s="15" t="s">
        <v>1843</v>
      </c>
      <c r="E6" s="15" t="s">
        <v>5247</v>
      </c>
      <c r="F6" s="15" t="s">
        <v>5247</v>
      </c>
      <c r="G6" s="2361" t="s">
        <v>5247</v>
      </c>
      <c r="H6" s="15" t="s">
        <v>4097</v>
      </c>
      <c r="I6" s="15" t="s">
        <v>4626</v>
      </c>
      <c r="J6" s="25"/>
      <c r="L6" s="196"/>
    </row>
    <row r="7" spans="1:13" s="1163" customFormat="1" ht="15" hidden="1" customHeight="1">
      <c r="A7" s="9"/>
      <c r="C7" s="595" t="s">
        <v>3293</v>
      </c>
      <c r="D7" s="295"/>
      <c r="E7" s="295"/>
      <c r="F7" s="497" t="s">
        <v>3389</v>
      </c>
      <c r="G7" s="497"/>
      <c r="H7" s="496" t="s">
        <v>4624</v>
      </c>
      <c r="I7" s="298">
        <f>SUMIF($C$43:$C$29982,C7,$I$43:$I$29982)</f>
        <v>0</v>
      </c>
      <c r="J7" s="296"/>
      <c r="L7" s="196"/>
    </row>
    <row r="8" spans="1:13" s="705" customFormat="1" ht="12.5" collapsed="1">
      <c r="A8" s="715"/>
      <c r="C8" s="730" t="s">
        <v>4164</v>
      </c>
      <c r="D8" s="728" t="s">
        <v>4165</v>
      </c>
      <c r="E8" s="1652" t="s">
        <v>4166</v>
      </c>
      <c r="F8" s="731" t="s">
        <v>5500</v>
      </c>
      <c r="G8" s="731" t="s">
        <v>4169</v>
      </c>
      <c r="H8" s="731" t="s">
        <v>4168</v>
      </c>
      <c r="I8" s="731" t="s">
        <v>4178</v>
      </c>
      <c r="J8" s="731" t="s">
        <v>4179</v>
      </c>
      <c r="L8" s="196"/>
    </row>
    <row r="9" spans="1:13" s="1163" customFormat="1" hidden="1">
      <c r="A9" s="9"/>
      <c r="C9" s="595" t="s">
        <v>3537</v>
      </c>
      <c r="D9" s="295"/>
      <c r="E9" s="295"/>
      <c r="F9" s="295"/>
      <c r="G9" s="295"/>
      <c r="H9" s="487"/>
      <c r="I9" s="298">
        <f t="shared" ref="I9:I38" si="0">SUMIF($C$43:$C$29982,C9,$I$43:$I$29982)</f>
        <v>0</v>
      </c>
      <c r="J9" s="296"/>
      <c r="L9" s="196"/>
    </row>
    <row r="10" spans="1:13" s="1163" customFormat="1" hidden="1">
      <c r="A10" s="9"/>
      <c r="C10" s="595" t="s">
        <v>3538</v>
      </c>
      <c r="D10" s="295"/>
      <c r="E10" s="295"/>
      <c r="F10" s="295"/>
      <c r="G10" s="295"/>
      <c r="H10" s="487"/>
      <c r="I10" s="298">
        <f t="shared" si="0"/>
        <v>0</v>
      </c>
      <c r="J10" s="296"/>
      <c r="L10" s="196"/>
    </row>
    <row r="11" spans="1:13" s="1163" customFormat="1" hidden="1">
      <c r="A11" s="9"/>
      <c r="C11" s="595" t="s">
        <v>3539</v>
      </c>
      <c r="D11" s="295"/>
      <c r="E11" s="295"/>
      <c r="F11" s="295"/>
      <c r="G11" s="295"/>
      <c r="H11" s="487"/>
      <c r="I11" s="298">
        <f t="shared" si="0"/>
        <v>0</v>
      </c>
      <c r="J11" s="296"/>
      <c r="L11" s="196"/>
    </row>
    <row r="12" spans="1:13" s="1163" customFormat="1" hidden="1">
      <c r="A12" s="9"/>
      <c r="C12" s="595" t="s">
        <v>3540</v>
      </c>
      <c r="D12" s="295"/>
      <c r="E12" s="295"/>
      <c r="F12" s="295"/>
      <c r="G12" s="295"/>
      <c r="H12" s="487"/>
      <c r="I12" s="298">
        <f t="shared" si="0"/>
        <v>0</v>
      </c>
      <c r="J12" s="296"/>
      <c r="L12" s="196"/>
    </row>
    <row r="13" spans="1:13" s="1163" customFormat="1" hidden="1">
      <c r="A13" s="9"/>
      <c r="C13" s="595" t="s">
        <v>3541</v>
      </c>
      <c r="D13" s="295"/>
      <c r="E13" s="295"/>
      <c r="F13" s="295"/>
      <c r="G13" s="295"/>
      <c r="H13" s="487"/>
      <c r="I13" s="298">
        <f t="shared" si="0"/>
        <v>0</v>
      </c>
      <c r="J13" s="296"/>
      <c r="L13" s="196"/>
    </row>
    <row r="14" spans="1:13" s="2830" customFormat="1" hidden="1">
      <c r="A14" s="2804"/>
      <c r="C14" s="595" t="s">
        <v>14425</v>
      </c>
      <c r="D14" s="295"/>
      <c r="E14" s="295"/>
      <c r="F14" s="295"/>
      <c r="G14" s="295"/>
      <c r="H14" s="487"/>
      <c r="I14" s="298">
        <f t="shared" ref="I14" si="1">SUMIF($C$43:$C$29982,C14,$I$43:$I$29982)</f>
        <v>0</v>
      </c>
      <c r="J14" s="296"/>
      <c r="L14" s="196"/>
    </row>
    <row r="15" spans="1:13" s="2830" customFormat="1" hidden="1">
      <c r="A15" s="2804"/>
      <c r="C15" s="595" t="s">
        <v>14426</v>
      </c>
      <c r="D15" s="295"/>
      <c r="E15" s="295"/>
      <c r="F15" s="295"/>
      <c r="G15" s="295"/>
      <c r="H15" s="487"/>
      <c r="I15" s="298">
        <f>SUMIF($C$43:$C$29982,C15,$I$43:$I$29982)</f>
        <v>0</v>
      </c>
      <c r="J15" s="296"/>
      <c r="L15" s="196"/>
    </row>
    <row r="16" spans="1:13" s="1163" customFormat="1" hidden="1">
      <c r="A16" s="9"/>
      <c r="C16" s="596" t="s">
        <v>3542</v>
      </c>
      <c r="D16" s="295"/>
      <c r="E16" s="295"/>
      <c r="F16" s="295"/>
      <c r="G16" s="295"/>
      <c r="H16" s="487"/>
      <c r="I16" s="298">
        <f t="shared" si="0"/>
        <v>0</v>
      </c>
      <c r="J16" s="296"/>
      <c r="L16" s="196"/>
    </row>
    <row r="17" spans="1:12" s="1163" customFormat="1" hidden="1">
      <c r="A17" s="9"/>
      <c r="C17" s="595" t="s">
        <v>4835</v>
      </c>
      <c r="D17" s="295"/>
      <c r="E17" s="295"/>
      <c r="F17" s="295"/>
      <c r="G17" s="295"/>
      <c r="H17" s="487"/>
      <c r="I17" s="298">
        <f t="shared" si="0"/>
        <v>0</v>
      </c>
      <c r="J17" s="296"/>
      <c r="L17" s="196"/>
    </row>
    <row r="18" spans="1:12" s="1163" customFormat="1" hidden="1">
      <c r="A18" s="9"/>
      <c r="C18" s="595" t="s">
        <v>2344</v>
      </c>
      <c r="D18" s="295"/>
      <c r="E18" s="295"/>
      <c r="F18" s="295"/>
      <c r="G18" s="295"/>
      <c r="H18" s="487"/>
      <c r="I18" s="298">
        <f t="shared" si="0"/>
        <v>0</v>
      </c>
      <c r="J18" s="296"/>
      <c r="L18" s="196"/>
    </row>
    <row r="19" spans="1:12" s="1163" customFormat="1" hidden="1">
      <c r="A19" s="9"/>
      <c r="C19" s="595" t="s">
        <v>2346</v>
      </c>
      <c r="D19" s="295"/>
      <c r="E19" s="295"/>
      <c r="F19" s="295"/>
      <c r="G19" s="295"/>
      <c r="H19" s="487"/>
      <c r="I19" s="298">
        <f t="shared" si="0"/>
        <v>0</v>
      </c>
      <c r="J19" s="296"/>
      <c r="L19" s="196"/>
    </row>
    <row r="20" spans="1:12" s="1163" customFormat="1" hidden="1">
      <c r="A20" s="9"/>
      <c r="C20" s="595" t="s">
        <v>4836</v>
      </c>
      <c r="D20" s="295"/>
      <c r="E20" s="295"/>
      <c r="F20" s="295"/>
      <c r="G20" s="295"/>
      <c r="H20" s="487"/>
      <c r="I20" s="298">
        <f t="shared" si="0"/>
        <v>0</v>
      </c>
      <c r="J20" s="296"/>
      <c r="L20" s="196"/>
    </row>
    <row r="21" spans="1:12" s="1163" customFormat="1" hidden="1">
      <c r="A21" s="9"/>
      <c r="C21" s="595" t="s">
        <v>2347</v>
      </c>
      <c r="D21" s="295"/>
      <c r="E21" s="295"/>
      <c r="F21" s="295"/>
      <c r="G21" s="295"/>
      <c r="H21" s="487"/>
      <c r="I21" s="298">
        <f>SUMIF($C$43:$C$29982,C21,$I$43:$I$29982)</f>
        <v>0</v>
      </c>
      <c r="J21" s="296"/>
      <c r="L21" s="196"/>
    </row>
    <row r="22" spans="1:12" s="1163" customFormat="1" hidden="1">
      <c r="A22" s="9"/>
      <c r="C22" s="595" t="s">
        <v>14436</v>
      </c>
      <c r="D22" s="295"/>
      <c r="E22" s="295"/>
      <c r="F22" s="295"/>
      <c r="G22" s="295"/>
      <c r="H22" s="487"/>
      <c r="I22" s="298">
        <f t="shared" si="0"/>
        <v>0</v>
      </c>
      <c r="J22" s="296"/>
      <c r="L22" s="196"/>
    </row>
    <row r="23" spans="1:12" s="1163" customFormat="1" hidden="1">
      <c r="A23" s="9"/>
      <c r="C23" s="595" t="s">
        <v>14438</v>
      </c>
      <c r="D23" s="295"/>
      <c r="E23" s="295"/>
      <c r="F23" s="295"/>
      <c r="G23" s="295"/>
      <c r="H23" s="487"/>
      <c r="I23" s="298">
        <f t="shared" si="0"/>
        <v>0</v>
      </c>
      <c r="J23" s="296"/>
      <c r="L23" s="196"/>
    </row>
    <row r="24" spans="1:12" s="1163" customFormat="1" hidden="1">
      <c r="A24" s="9"/>
      <c r="C24" s="595" t="s">
        <v>14442</v>
      </c>
      <c r="D24" s="295"/>
      <c r="E24" s="295"/>
      <c r="F24" s="295"/>
      <c r="G24" s="295"/>
      <c r="H24" s="487"/>
      <c r="I24" s="298">
        <f t="shared" si="0"/>
        <v>0</v>
      </c>
      <c r="J24" s="296"/>
      <c r="L24" s="196"/>
    </row>
    <row r="25" spans="1:12" s="1163" customFormat="1" hidden="1">
      <c r="A25" s="9"/>
      <c r="C25" s="595" t="s">
        <v>2350</v>
      </c>
      <c r="D25" s="295"/>
      <c r="E25" s="295"/>
      <c r="F25" s="295"/>
      <c r="G25" s="295"/>
      <c r="H25" s="487"/>
      <c r="I25" s="298">
        <f t="shared" si="0"/>
        <v>0</v>
      </c>
      <c r="J25" s="296"/>
      <c r="L25" s="196"/>
    </row>
    <row r="26" spans="1:12" s="1163" customFormat="1" hidden="1">
      <c r="A26" s="9"/>
      <c r="C26" s="595" t="s">
        <v>4841</v>
      </c>
      <c r="D26" s="295"/>
      <c r="E26" s="295"/>
      <c r="F26" s="295"/>
      <c r="G26" s="295"/>
      <c r="H26" s="487"/>
      <c r="I26" s="298">
        <f t="shared" si="0"/>
        <v>0</v>
      </c>
      <c r="J26" s="296"/>
      <c r="L26" s="196"/>
    </row>
    <row r="27" spans="1:12" s="1163" customFormat="1" hidden="1">
      <c r="A27" s="9"/>
      <c r="C27" s="595" t="s">
        <v>2352</v>
      </c>
      <c r="D27" s="295"/>
      <c r="E27" s="295"/>
      <c r="F27" s="295"/>
      <c r="G27" s="295"/>
      <c r="H27" s="487"/>
      <c r="I27" s="298">
        <f t="shared" si="0"/>
        <v>0</v>
      </c>
      <c r="J27" s="296"/>
      <c r="L27" s="196"/>
    </row>
    <row r="28" spans="1:12" s="1163" customFormat="1" hidden="1">
      <c r="A28" s="9"/>
      <c r="C28" s="595" t="s">
        <v>2353</v>
      </c>
      <c r="D28" s="295"/>
      <c r="E28" s="295"/>
      <c r="F28" s="295"/>
      <c r="G28" s="295"/>
      <c r="H28" s="487"/>
      <c r="I28" s="298">
        <f t="shared" si="0"/>
        <v>0</v>
      </c>
      <c r="J28" s="296"/>
      <c r="L28" s="196"/>
    </row>
    <row r="29" spans="1:12" s="1163" customFormat="1" hidden="1">
      <c r="A29" s="9"/>
      <c r="C29" s="595" t="s">
        <v>14439</v>
      </c>
      <c r="D29" s="295"/>
      <c r="E29" s="295"/>
      <c r="F29" s="295"/>
      <c r="G29" s="295"/>
      <c r="H29" s="487"/>
      <c r="I29" s="298">
        <f t="shared" si="0"/>
        <v>0</v>
      </c>
      <c r="J29" s="296"/>
      <c r="L29" s="196"/>
    </row>
    <row r="30" spans="1:12" s="1163" customFormat="1" hidden="1">
      <c r="A30" s="9"/>
      <c r="C30" s="595" t="s">
        <v>91</v>
      </c>
      <c r="D30" s="295"/>
      <c r="E30" s="295"/>
      <c r="F30" s="295"/>
      <c r="G30" s="295"/>
      <c r="H30" s="487"/>
      <c r="I30" s="298">
        <f t="shared" si="0"/>
        <v>0</v>
      </c>
      <c r="J30" s="296"/>
      <c r="L30" s="196"/>
    </row>
    <row r="31" spans="1:12" s="2830" customFormat="1" hidden="1">
      <c r="A31" s="2804"/>
      <c r="C31" s="595" t="s">
        <v>14237</v>
      </c>
      <c r="D31" s="295"/>
      <c r="E31" s="295"/>
      <c r="F31" s="295"/>
      <c r="G31" s="295"/>
      <c r="H31" s="487"/>
      <c r="I31" s="298">
        <f t="shared" si="0"/>
        <v>0</v>
      </c>
      <c r="J31" s="296"/>
      <c r="L31" s="196"/>
    </row>
    <row r="32" spans="1:12" s="2830" customFormat="1" hidden="1">
      <c r="A32" s="2804"/>
      <c r="C32" s="595" t="s">
        <v>14440</v>
      </c>
      <c r="D32" s="295"/>
      <c r="E32" s="295"/>
      <c r="F32" s="295"/>
      <c r="G32" s="295"/>
      <c r="H32" s="487"/>
      <c r="I32" s="298">
        <f t="shared" si="0"/>
        <v>0</v>
      </c>
      <c r="J32" s="296"/>
      <c r="L32" s="196"/>
    </row>
    <row r="33" spans="1:13" s="2830" customFormat="1" hidden="1">
      <c r="A33" s="2804"/>
      <c r="C33" s="595" t="s">
        <v>14441</v>
      </c>
      <c r="D33" s="295"/>
      <c r="E33" s="295"/>
      <c r="F33" s="295"/>
      <c r="G33" s="295"/>
      <c r="H33" s="487"/>
      <c r="I33" s="298">
        <f t="shared" si="0"/>
        <v>0</v>
      </c>
      <c r="J33" s="296"/>
      <c r="L33" s="196"/>
    </row>
    <row r="34" spans="1:13" s="2830" customFormat="1" hidden="1">
      <c r="A34" s="2804"/>
      <c r="C34" s="595" t="s">
        <v>14443</v>
      </c>
      <c r="D34" s="295"/>
      <c r="E34" s="295"/>
      <c r="F34" s="295"/>
      <c r="G34" s="295"/>
      <c r="H34" s="487"/>
      <c r="I34" s="298">
        <f t="shared" si="0"/>
        <v>0</v>
      </c>
      <c r="J34" s="296"/>
      <c r="L34" s="196"/>
    </row>
    <row r="35" spans="1:13" s="2830" customFormat="1" hidden="1">
      <c r="A35" s="2804"/>
      <c r="C35" s="595" t="s">
        <v>14444</v>
      </c>
      <c r="D35" s="295"/>
      <c r="E35" s="295"/>
      <c r="F35" s="295"/>
      <c r="G35" s="295"/>
      <c r="H35" s="487"/>
      <c r="I35" s="298">
        <f t="shared" si="0"/>
        <v>0</v>
      </c>
      <c r="J35" s="296"/>
      <c r="L35" s="196"/>
    </row>
    <row r="36" spans="1:13" s="2830" customFormat="1" hidden="1">
      <c r="A36" s="2804"/>
      <c r="C36" s="595" t="s">
        <v>14445</v>
      </c>
      <c r="D36" s="295"/>
      <c r="E36" s="295"/>
      <c r="F36" s="295"/>
      <c r="G36" s="295"/>
      <c r="H36" s="487"/>
      <c r="I36" s="298">
        <f t="shared" si="0"/>
        <v>0</v>
      </c>
      <c r="J36" s="296"/>
      <c r="L36" s="196"/>
    </row>
    <row r="37" spans="1:13" s="2830" customFormat="1" hidden="1">
      <c r="A37" s="2804"/>
      <c r="C37" s="595" t="s">
        <v>14446</v>
      </c>
      <c r="D37" s="295"/>
      <c r="E37" s="295"/>
      <c r="F37" s="295"/>
      <c r="G37" s="295"/>
      <c r="H37" s="487"/>
      <c r="I37" s="298">
        <f>SUMIF($C$43:$C$29982,C37,$I$43:$I$29982)</f>
        <v>0</v>
      </c>
      <c r="J37" s="296"/>
      <c r="L37" s="196"/>
    </row>
    <row r="38" spans="1:13" s="2830" customFormat="1" hidden="1">
      <c r="A38" s="2804"/>
      <c r="C38" s="595" t="s">
        <v>9841</v>
      </c>
      <c r="D38" s="295"/>
      <c r="E38" s="295"/>
      <c r="F38" s="295"/>
      <c r="G38" s="295"/>
      <c r="H38" s="487"/>
      <c r="I38" s="298">
        <f t="shared" si="0"/>
        <v>0</v>
      </c>
      <c r="J38" s="296"/>
      <c r="L38" s="196"/>
    </row>
    <row r="39" spans="1:13" s="1163" customFormat="1" collapsed="1">
      <c r="A39" s="9"/>
      <c r="C39" s="288" t="s">
        <v>3235</v>
      </c>
      <c r="D39" s="197" t="s">
        <v>4184</v>
      </c>
      <c r="E39" s="197" t="s">
        <v>4184</v>
      </c>
      <c r="F39" s="197" t="s">
        <v>4184</v>
      </c>
      <c r="G39" s="197" t="s">
        <v>4184</v>
      </c>
      <c r="H39" s="488" t="s">
        <v>4184</v>
      </c>
      <c r="I39" s="298">
        <f>SUM(I7:I16)</f>
        <v>0</v>
      </c>
      <c r="J39" s="289" t="s">
        <v>4184</v>
      </c>
      <c r="L39" s="196"/>
    </row>
    <row r="40" spans="1:13" s="1163" customFormat="1">
      <c r="A40" s="9"/>
      <c r="C40" s="288" t="s">
        <v>3236</v>
      </c>
      <c r="D40" s="197" t="s">
        <v>4184</v>
      </c>
      <c r="E40" s="197" t="s">
        <v>4184</v>
      </c>
      <c r="F40" s="197" t="s">
        <v>4184</v>
      </c>
      <c r="G40" s="197" t="s">
        <v>4184</v>
      </c>
      <c r="H40" s="488" t="s">
        <v>4184</v>
      </c>
      <c r="I40" s="298">
        <f>SUM(I17:I38)+SUMIF($C$43:$C$29982,"{2340101} Убытки прошлых лет, признанные в текущем году (НДС)",$I$43:$I$29982)</f>
        <v>0</v>
      </c>
      <c r="J40" s="289" t="s">
        <v>4184</v>
      </c>
      <c r="L40" s="196"/>
    </row>
    <row r="41" spans="1:13" s="1163" customFormat="1">
      <c r="A41" s="9"/>
      <c r="C41" s="288" t="s">
        <v>3237</v>
      </c>
      <c r="D41" s="197" t="s">
        <v>4184</v>
      </c>
      <c r="E41" s="197" t="s">
        <v>4184</v>
      </c>
      <c r="F41" s="197" t="s">
        <v>4184</v>
      </c>
      <c r="G41" s="197" t="s">
        <v>4184</v>
      </c>
      <c r="H41" s="488" t="s">
        <v>4184</v>
      </c>
      <c r="I41" s="298">
        <f>I42-I39-I40</f>
        <v>0</v>
      </c>
      <c r="J41" s="289" t="s">
        <v>4184</v>
      </c>
      <c r="L41" s="196"/>
    </row>
    <row r="42" spans="1:13" s="1163" customFormat="1">
      <c r="A42" s="9"/>
      <c r="C42" s="288" t="s">
        <v>3238</v>
      </c>
      <c r="D42" s="197" t="s">
        <v>4184</v>
      </c>
      <c r="E42" s="197" t="s">
        <v>4184</v>
      </c>
      <c r="F42" s="197" t="s">
        <v>4184</v>
      </c>
      <c r="G42" s="197" t="s">
        <v>4184</v>
      </c>
      <c r="H42" s="488" t="s">
        <v>4184</v>
      </c>
      <c r="I42" s="298">
        <f>SUM(I43:I29982)</f>
        <v>0</v>
      </c>
      <c r="J42" s="289" t="s">
        <v>4184</v>
      </c>
      <c r="L42" s="2590" t="b">
        <f>AND(L43:L1010)</f>
        <v>1</v>
      </c>
      <c r="M42" s="2590" t="b">
        <f>AND(M43:M1010)</f>
        <v>1</v>
      </c>
    </row>
    <row r="43" spans="1:13" ht="39" customHeight="1">
      <c r="A43" s="546" t="str">
        <f t="shared" ref="A43:A45" si="2">"R11="&amp;IFERROR(MID(C43,FIND("{",C43)+1,FIND("}",C43)-FIND("{",C43)-1),"")&amp;";R12="&amp;IFERROR(MID(D43,FIND("{",D43)+1,FIND("}",D43)-FIND("{",D43)-1),"")&amp;";R42="&amp;MID(IF(F43="-","",F43),1,16)&amp;";R6="&amp;IFERROR(MID(H43,FIND("{",H43)+1,FIND("}",H43)-FIND("{",H43)-1),"")&amp;";R36="&amp;MID(G43,1,30)&amp;";R43="&amp;MID(F43,1,30)&amp;";COM="&amp;J43</f>
        <v>R11=;R12=;R42=;R6=;R36=-;R43=-;COM=</v>
      </c>
      <c r="C43" s="1499"/>
      <c r="D43" s="554" t="str">
        <f>IF(ISNA(VLOOKUP(C43,Справочник!$H$4:$I$537,2,0)),"-",VLOOKUP(C43,Справочник!$H$4:$I$537,2,0))</f>
        <v>-</v>
      </c>
      <c r="E43" s="2110"/>
      <c r="F43" s="2111" t="str">
        <f>IF(ISERROR(VLOOKUP(E43,Список_компаний!$A$8:$B$299,2,0)),"-",VLOOKUP(E43,Список_компаний!$A$8:$B$299,2,0))</f>
        <v>-</v>
      </c>
      <c r="G43" s="2111" t="str">
        <f>IF(ISERROR(VLOOKUP(E43,Список_компаний!$A$8:$C$299,3,0)),"-",VLOOKUP(E43,Список_компаний!$A$8:$C$299,3,0))</f>
        <v>-</v>
      </c>
      <c r="H43" s="2110"/>
      <c r="I43" s="2112"/>
      <c r="J43" s="2113"/>
      <c r="L43" s="1569" t="b">
        <f>IF(C43&lt;&gt;"",IF(ISNA(VLOOKUP(C43,_2240_расходы_ВГО,1,0)),FALSE,TRUE),TRUE)</f>
        <v>1</v>
      </c>
      <c r="M43" s="1569" t="b">
        <f>IF(I43&lt;&gt;"",H43&lt;&gt;"",TRUE)</f>
        <v>1</v>
      </c>
    </row>
    <row r="44" spans="1:13">
      <c r="A44" s="546" t="str">
        <f t="shared" si="2"/>
        <v>R11=;R12=;R42=;R6=;R36=-;R43=-;COM=</v>
      </c>
      <c r="C44" s="1499"/>
      <c r="D44" s="554" t="str">
        <f>IF(ISNA(VLOOKUP(C44,Справочник!$H$4:$I$537,2,0)),"-",VLOOKUP(C44,Справочник!$H$4:$I$537,2,0))</f>
        <v>-</v>
      </c>
      <c r="E44" s="2110"/>
      <c r="F44" s="2111" t="str">
        <f>IF(ISERROR(VLOOKUP(E44,Список_компаний!$A$8:$B$299,2,0)),"-",VLOOKUP(E44,Список_компаний!$A$8:$B$299,2,0))</f>
        <v>-</v>
      </c>
      <c r="G44" s="2111" t="str">
        <f>IF(ISERROR(VLOOKUP(E44,Список_компаний!$A$8:$C$299,3,0)),"-",VLOOKUP(E44,Список_компаний!$A$8:$C$299,3,0))</f>
        <v>-</v>
      </c>
      <c r="H44" s="2110"/>
      <c r="I44" s="2112"/>
      <c r="J44" s="2113"/>
      <c r="L44" s="1569" t="b">
        <f>IF(C44&lt;&gt;"",IF(ISNA(VLOOKUP(C44,_2240_расходы_ВГО,1,0)),FALSE,TRUE),TRUE)</f>
        <v>1</v>
      </c>
      <c r="M44" s="1569" t="b">
        <f t="shared" ref="M44:M47" si="3">IF(I44&lt;&gt;"",H44&lt;&gt;"",TRUE)</f>
        <v>1</v>
      </c>
    </row>
    <row r="45" spans="1:13">
      <c r="A45" s="546" t="str">
        <f t="shared" si="2"/>
        <v>R11=;R12=;R42=;R6=;R36=-;R43=-;COM=</v>
      </c>
      <c r="C45" s="1499"/>
      <c r="D45" s="554" t="str">
        <f>IF(ISNA(VLOOKUP(C45,Справочник!$H$4:$I$537,2,0)),"-",VLOOKUP(C45,Справочник!$H$4:$I$537,2,0))</f>
        <v>-</v>
      </c>
      <c r="E45" s="2110"/>
      <c r="F45" s="2111" t="str">
        <f>IF(ISERROR(VLOOKUP(E45,Список_компаний!$A$8:$B$299,2,0)),"-",VLOOKUP(E45,Список_компаний!$A$8:$B$299,2,0))</f>
        <v>-</v>
      </c>
      <c r="G45" s="2111" t="str">
        <f>IF(ISERROR(VLOOKUP(E45,Список_компаний!$A$8:$C$299,3,0)),"-",VLOOKUP(E45,Список_компаний!$A$8:$C$299,3,0))</f>
        <v>-</v>
      </c>
      <c r="H45" s="2110"/>
      <c r="I45" s="2112"/>
      <c r="J45" s="2113"/>
      <c r="L45" s="1569" t="b">
        <f>IF(C45&lt;&gt;"",IF(ISNA(VLOOKUP(C45,_2240_расходы_ВГО,1,0)),FALSE,TRUE),TRUE)</f>
        <v>1</v>
      </c>
      <c r="M45" s="1569" t="b">
        <f t="shared" si="3"/>
        <v>1</v>
      </c>
    </row>
    <row r="46" spans="1:13">
      <c r="A46" s="546" t="str">
        <f t="shared" ref="A46" si="4">"R11="&amp;IFERROR(MID(C46,FIND("{",C46)+1,FIND("}",C46)-FIND("{",C46)-1),"")&amp;";R12="&amp;IFERROR(MID(D46,FIND("{",D46)+1,FIND("}",D46)-FIND("{",D46)-1),"")&amp;";R42="&amp;MID(IF(F46="-","",F46),1,16)&amp;";R6="&amp;IFERROR(MID(H46,FIND("{",H46)+1,FIND("}",H46)-FIND("{",H46)-1),"")&amp;";R36="&amp;MID(G46,1,30)&amp;";R43="&amp;MID(F46,1,30)&amp;";COM="&amp;J46</f>
        <v>R11=;R12=;R42=;R6=;R36=-;R43=-;COM=</v>
      </c>
      <c r="C46" s="1499"/>
      <c r="D46" s="554" t="str">
        <f>IF(ISNA(VLOOKUP(C46,Справочник!$H$4:$I$537,2,0)),"-",VLOOKUP(C46,Справочник!$H$4:$I$537,2,0))</f>
        <v>-</v>
      </c>
      <c r="E46" s="2110"/>
      <c r="F46" s="2111" t="str">
        <f>IF(ISERROR(VLOOKUP(E46,Список_компаний!$A$8:$B$299,2,0)),"-",VLOOKUP(E46,Список_компаний!$A$8:$B$299,2,0))</f>
        <v>-</v>
      </c>
      <c r="G46" s="2111" t="str">
        <f>IF(ISERROR(VLOOKUP(E46,Список_компаний!$A$8:$C$299,3,0)),"-",VLOOKUP(E46,Список_компаний!$A$8:$C$299,3,0))</f>
        <v>-</v>
      </c>
      <c r="H46" s="2110"/>
      <c r="I46" s="2112"/>
      <c r="J46" s="2113"/>
      <c r="L46" s="1569" t="b">
        <f>IF(C46&lt;&gt;"",IF(ISNA(VLOOKUP(C46,_2240_расходы_ВГО,1,0)),FALSE,TRUE),TRUE)</f>
        <v>1</v>
      </c>
      <c r="M46" s="1569" t="b">
        <f t="shared" si="3"/>
        <v>1</v>
      </c>
    </row>
    <row r="47" spans="1:13" ht="15" thickBot="1">
      <c r="A47" s="546" t="str">
        <f t="shared" ref="A47" si="5">"R11="&amp;IFERROR(MID(C47,FIND("{",C47)+1,FIND("}",C47)-FIND("{",C47)-1),"")&amp;";R12="&amp;IFERROR(MID(D47,FIND("{",D47)+1,FIND("}",D47)-FIND("{",D47)-1),"")&amp;";R42="&amp;MID(IF(F47="-","",F47),1,16)&amp;";R6="&amp;IFERROR(MID(H47,FIND("{",H47)+1,FIND("}",H47)-FIND("{",H47)-1),"")&amp;";R36="&amp;MID(G47,1,30)&amp;";R43="&amp;MID(F47,1,30)&amp;";COM="&amp;J47</f>
        <v>R11=;R12=;R42=;R6=;R36=-;R43=-;COM=</v>
      </c>
      <c r="C47" s="2114"/>
      <c r="D47" s="1554" t="str">
        <f>IF(ISNA(VLOOKUP(C47,Справочник!$H$4:$I$537,2,0)),"-",VLOOKUP(C47,Справочник!$H$4:$I$537,2,0))</f>
        <v>-</v>
      </c>
      <c r="E47" s="2115"/>
      <c r="F47" s="2927" t="str">
        <f>IF(ISERROR(VLOOKUP(E47,Список_компаний!$A$8:$B$299,2,0)),"-",VLOOKUP(E47,Список_компаний!$A$8:$B$299,2,0))</f>
        <v>-</v>
      </c>
      <c r="G47" s="2927" t="str">
        <f>IF(ISERROR(VLOOKUP(E47,Список_компаний!$A$8:$C$299,3,0)),"-",VLOOKUP(E47,Список_компаний!$A$8:$C$299,3,0))</f>
        <v>-</v>
      </c>
      <c r="H47" s="2115"/>
      <c r="I47" s="2116"/>
      <c r="J47" s="2117"/>
      <c r="L47" s="1569" t="b">
        <f>IF(C47&lt;&gt;"",IF(ISNA(VLOOKUP(C47,_2240_расходы_ВГО,1,0)),FALSE,TRUE),TRUE)</f>
        <v>1</v>
      </c>
      <c r="M47" s="1569" t="b">
        <f t="shared" si="3"/>
        <v>1</v>
      </c>
    </row>
    <row r="48" spans="1:13">
      <c r="B48" s="1598"/>
      <c r="C48" s="1569"/>
      <c r="F48" s="1598"/>
      <c r="G48" s="1598"/>
      <c r="H48" s="1569"/>
    </row>
    <row r="49" spans="2:8">
      <c r="B49" s="1598"/>
      <c r="C49" s="1569"/>
      <c r="F49" s="1598"/>
      <c r="G49" s="1598"/>
      <c r="H49" s="1569"/>
    </row>
    <row r="50" spans="2:8">
      <c r="B50" s="1598"/>
      <c r="C50" s="1569"/>
      <c r="F50" s="1598"/>
      <c r="G50" s="1598"/>
      <c r="H50" s="1569"/>
    </row>
    <row r="51" spans="2:8">
      <c r="B51" s="1598"/>
      <c r="C51" s="1569"/>
      <c r="F51" s="1598"/>
      <c r="G51" s="1598"/>
      <c r="H51" s="1569"/>
    </row>
    <row r="52" spans="2:8">
      <c r="B52" s="1598"/>
      <c r="C52" s="1569"/>
      <c r="F52" s="1598"/>
      <c r="G52" s="1598"/>
      <c r="H52" s="1569"/>
    </row>
    <row r="53" spans="2:8">
      <c r="B53" s="1598"/>
      <c r="C53" s="1569"/>
      <c r="F53" s="1598"/>
      <c r="G53" s="1598"/>
      <c r="H53" s="1569"/>
    </row>
    <row r="54" spans="2:8">
      <c r="B54" s="1598"/>
      <c r="C54" s="1569"/>
      <c r="F54" s="1598"/>
      <c r="G54" s="1598"/>
      <c r="H54" s="1569"/>
    </row>
    <row r="55" spans="2:8">
      <c r="B55" s="1598"/>
      <c r="C55" s="1569"/>
      <c r="F55" s="1598"/>
      <c r="G55" s="1598"/>
      <c r="H55" s="1569"/>
    </row>
    <row r="56" spans="2:8">
      <c r="B56" s="1598"/>
      <c r="C56" s="1569"/>
      <c r="F56" s="1598"/>
      <c r="G56" s="1598"/>
      <c r="H56" s="1569"/>
    </row>
    <row r="57" spans="2:8">
      <c r="B57" s="1598"/>
      <c r="C57" s="1569"/>
      <c r="F57" s="1598"/>
      <c r="G57" s="1598"/>
      <c r="H57" s="1569"/>
    </row>
    <row r="58" spans="2:8">
      <c r="B58" s="1598"/>
      <c r="C58" s="1569"/>
      <c r="F58" s="1598"/>
      <c r="G58" s="1598"/>
      <c r="H58" s="1569"/>
    </row>
    <row r="59" spans="2:8">
      <c r="B59" s="1598"/>
      <c r="C59" s="1569"/>
      <c r="F59" s="1598"/>
      <c r="G59" s="1598"/>
      <c r="H59" s="1569"/>
    </row>
    <row r="60" spans="2:8">
      <c r="B60" s="1598"/>
      <c r="C60" s="1569"/>
      <c r="F60" s="1598"/>
      <c r="G60" s="1598"/>
      <c r="H60" s="1569"/>
    </row>
    <row r="61" spans="2:8">
      <c r="B61" s="1598"/>
      <c r="C61" s="1569"/>
      <c r="F61" s="1598"/>
      <c r="G61" s="1598"/>
      <c r="H61" s="1569"/>
    </row>
    <row r="62" spans="2:8">
      <c r="B62" s="1598"/>
      <c r="C62" s="1569"/>
      <c r="F62" s="1598"/>
      <c r="G62" s="1598"/>
      <c r="H62" s="1569"/>
    </row>
    <row r="63" spans="2:8">
      <c r="B63" s="1598"/>
      <c r="C63" s="1569"/>
      <c r="F63" s="1598"/>
      <c r="G63" s="1598"/>
      <c r="H63" s="1569"/>
    </row>
    <row r="64" spans="2:8">
      <c r="B64" s="1598"/>
      <c r="C64" s="1569"/>
      <c r="F64" s="1598"/>
      <c r="G64" s="1598"/>
      <c r="H64" s="1569"/>
    </row>
    <row r="65" spans="2:8">
      <c r="B65" s="1598"/>
      <c r="C65" s="1569"/>
      <c r="F65" s="1598"/>
      <c r="G65" s="1598"/>
      <c r="H65" s="1569"/>
    </row>
    <row r="66" spans="2:8">
      <c r="B66" s="1598"/>
      <c r="C66" s="1569"/>
      <c r="F66" s="1598"/>
      <c r="G66" s="1598"/>
      <c r="H66" s="1569"/>
    </row>
    <row r="67" spans="2:8">
      <c r="B67" s="1598"/>
      <c r="C67" s="1569"/>
      <c r="F67" s="1598"/>
      <c r="G67" s="1598"/>
      <c r="H67" s="1569"/>
    </row>
    <row r="68" spans="2:8">
      <c r="B68" s="1598"/>
      <c r="C68" s="1569"/>
      <c r="F68" s="1598"/>
      <c r="G68" s="1598"/>
      <c r="H68" s="1569"/>
    </row>
    <row r="69" spans="2:8">
      <c r="B69" s="1598"/>
      <c r="C69" s="1569"/>
      <c r="F69" s="1598"/>
      <c r="G69" s="1598"/>
      <c r="H69" s="1569"/>
    </row>
    <row r="70" spans="2:8">
      <c r="B70" s="1598"/>
      <c r="C70" s="1569"/>
      <c r="F70" s="1598"/>
      <c r="G70" s="1598"/>
      <c r="H70" s="1569"/>
    </row>
  </sheetData>
  <sheetProtection algorithmName="SHA-512" hashValue="fIeerRW4YfE3uwwN48M8ZcQ6TmIyCg5K9oMdhAUG4BJ7CvJztdeF6arztQfddsbAv4M711jJePeZJSDI55Al0A==" saltValue="YlV4Q3qzBO5SG3Jje6aYbw==" spinCount="100000" sheet="1" objects="1" scenarios="1" formatColumns="0" formatRows="0" autoFilter="0"/>
  <autoFilter ref="C8:J8"/>
  <customSheetViews>
    <customSheetView guid="{3769259D-9653-4B34-A2F6-4FB6F9F4E533}" showGridLines="0" showAutoFilter="1" hiddenRows="1" hiddenColumns="1" topLeftCell="B2">
      <selection activeCell="E36" sqref="E36"/>
      <pageMargins left="0.7" right="0.7" top="0.75" bottom="0.75" header="0.3" footer="0.3"/>
      <autoFilter ref="B1:H1"/>
    </customSheetView>
    <customSheetView guid="{40D7A2BB-326C-4ED3-999C-17852F56D6F4}" showGridLines="0" showAutoFilter="1" hiddenRows="1" hiddenColumns="1" topLeftCell="B2">
      <selection activeCell="E36" sqref="E36"/>
      <pageMargins left="0.7" right="0.7" top="0.75" bottom="0.75" header="0.3" footer="0.3"/>
      <autoFilter ref="B1:H1"/>
    </customSheetView>
    <customSheetView guid="{5D121940-0CE8-4A0E-A493-67FAAA6E0FF8}" showGridLines="0" showAutoFilter="1" hiddenRows="1" hiddenColumns="1" topLeftCell="D2">
      <selection activeCell="C8" sqref="C8:I8"/>
      <pageMargins left="0.7" right="0.7" top="0.75" bottom="0.75" header="0.3" footer="0.3"/>
      <autoFilter ref="B1:H1"/>
    </customSheetView>
    <customSheetView guid="{47AEACC4-6EA5-412C-AF39-A6C5357B313A}" showGridLines="0" showAutoFilter="1" hiddenRows="1" hiddenColumns="1" topLeftCell="D2">
      <selection activeCell="C8" sqref="C8:I8"/>
      <pageMargins left="0.7" right="0.7" top="0.75" bottom="0.75" header="0.3" footer="0.3"/>
      <autoFilter ref="B1:H1"/>
    </customSheetView>
    <customSheetView guid="{C913A9E8-661B-40A4-A3C9-1BC5F2B2E9F0}" showGridLines="0" showAutoFilter="1" hiddenRows="1" hiddenColumns="1" topLeftCell="D2">
      <selection activeCell="C8" sqref="C8:I8"/>
      <pageMargins left="0.7" right="0.7" top="0.75" bottom="0.75" header="0.3" footer="0.3"/>
      <autoFilter ref="B1:H1"/>
    </customSheetView>
  </customSheetViews>
  <phoneticPr fontId="0" type="noConversion"/>
  <dataValidations count="3">
    <dataValidation type="list" operator="equal" allowBlank="1" showErrorMessage="1" errorTitle="Выбор элемента списка" error="Данного элемента нет в списке" sqref="H43:H47">
      <formula1>_1010</formula1>
    </dataValidation>
    <dataValidation type="list" allowBlank="1" showInputMessage="1" showErrorMessage="1" sqref="E43:E47">
      <formula1>_icomp</formula1>
    </dataValidation>
    <dataValidation type="list" operator="equal" allowBlank="1" showErrorMessage="1" errorTitle="Выбор элемента списка" error="Данного элемента нет в списке" sqref="C43:C47">
      <formula1>_2240_расходы_ВГО</formula1>
    </dataValidation>
  </dataValidations>
  <hyperlinks>
    <hyperlink ref="I3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0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ButtonsRowAdd">
                <anchor moveWithCells="1">
                  <from>
                    <xdr:col>7</xdr:col>
                    <xdr:colOff>603250</xdr:colOff>
                    <xdr:row>2</xdr:row>
                    <xdr:rowOff>107950</xdr:rowOff>
                  </from>
                  <to>
                    <xdr:col>7</xdr:col>
                    <xdr:colOff>2012950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>
    <pageSetUpPr fitToPage="1"/>
  </sheetPr>
  <dimension ref="A1:Y108"/>
  <sheetViews>
    <sheetView topLeftCell="B17" zoomScale="70" zoomScaleNormal="70" workbookViewId="0">
      <selection activeCell="C34" sqref="C34"/>
    </sheetView>
  </sheetViews>
  <sheetFormatPr defaultColWidth="9.453125" defaultRowHeight="14.5"/>
  <cols>
    <col min="1" max="1" width="47.81640625" style="1163" hidden="1" customWidth="1"/>
    <col min="2" max="2" width="5.54296875" style="24" customWidth="1"/>
    <col min="3" max="3" width="104.54296875" style="24" customWidth="1"/>
    <col min="4" max="4" width="42.54296875" style="24" customWidth="1"/>
    <col min="5" max="5" width="29" style="24" customWidth="1"/>
    <col min="6" max="6" width="26.453125" style="24" customWidth="1"/>
    <col min="7" max="7" width="28.453125" style="24" customWidth="1"/>
    <col min="8" max="8" width="64.453125" style="24" customWidth="1"/>
    <col min="9" max="9" width="15.453125" style="24" customWidth="1"/>
    <col min="10" max="10" width="18.453125" style="24" customWidth="1"/>
    <col min="11" max="11" width="31.453125" style="24" customWidth="1"/>
    <col min="12" max="13" width="24.453125" style="24" customWidth="1"/>
    <col min="14" max="14" width="30.453125" style="24" customWidth="1"/>
    <col min="15" max="15" width="32.54296875" style="24" customWidth="1"/>
    <col min="16" max="16" width="18.54296875" style="24" customWidth="1"/>
    <col min="17" max="17" width="22.453125" style="24" customWidth="1"/>
    <col min="18" max="18" width="16.453125" style="24" customWidth="1"/>
    <col min="19" max="19" width="22.453125" style="24" customWidth="1"/>
    <col min="20" max="21" width="21.453125" style="24" customWidth="1"/>
    <col min="22" max="22" width="14.54296875" style="24" customWidth="1"/>
    <col min="23" max="23" width="15.453125" style="24" customWidth="1"/>
    <col min="24" max="24" width="16.54296875" style="24" customWidth="1"/>
    <col min="25" max="26" width="18.54296875" style="24" customWidth="1"/>
    <col min="27" max="27" width="9.453125" style="24" customWidth="1"/>
    <col min="28" max="49" width="9.453125" style="24"/>
    <col min="50" max="50" width="5.54296875" style="24" customWidth="1"/>
    <col min="51" max="51" width="40.54296875" style="24" customWidth="1"/>
    <col min="52" max="52" width="15.453125" style="24" customWidth="1"/>
    <col min="53" max="53" width="19.54296875" style="24" customWidth="1"/>
    <col min="54" max="55" width="15.453125" style="24" customWidth="1"/>
    <col min="56" max="56" width="76.453125" style="24" customWidth="1"/>
    <col min="57" max="57" width="14.54296875" style="24" customWidth="1"/>
    <col min="58" max="58" width="17" style="24" customWidth="1"/>
    <col min="59" max="16384" width="9.453125" style="24"/>
  </cols>
  <sheetData>
    <row r="1" spans="1:15" s="104" customFormat="1" hidden="1">
      <c r="A1" s="23" t="s">
        <v>5919</v>
      </c>
      <c r="B1" s="6"/>
      <c r="C1" s="37"/>
      <c r="D1" s="37"/>
      <c r="E1" s="37"/>
      <c r="F1" s="37"/>
      <c r="G1" s="37" t="s">
        <v>9966</v>
      </c>
      <c r="H1" s="37"/>
      <c r="I1" s="37"/>
      <c r="J1" s="37" t="s">
        <v>575</v>
      </c>
      <c r="K1" s="37" t="s">
        <v>575</v>
      </c>
      <c r="L1" s="37"/>
      <c r="M1" s="6" t="s">
        <v>575</v>
      </c>
    </row>
    <row r="2" spans="1:15" s="104" customFormat="1">
      <c r="A2" s="7"/>
      <c r="C2" s="1943"/>
      <c r="D2" s="1943"/>
      <c r="E2" s="1943"/>
      <c r="F2" s="1943"/>
      <c r="G2" s="1943"/>
      <c r="H2" s="1943"/>
      <c r="I2" s="1943"/>
      <c r="J2" s="1943"/>
      <c r="K2" s="1943"/>
      <c r="L2" s="1930" t="s">
        <v>1648</v>
      </c>
    </row>
    <row r="3" spans="1:15" s="192" customFormat="1" ht="12.5">
      <c r="A3" s="30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5">
      <c r="A4" s="9"/>
      <c r="B4" s="105"/>
      <c r="C4" s="105" t="s">
        <v>10211</v>
      </c>
      <c r="D4" s="105"/>
      <c r="E4" s="105"/>
      <c r="F4" s="105"/>
      <c r="G4" s="105"/>
      <c r="H4" s="105"/>
      <c r="I4" s="105"/>
      <c r="J4" s="105"/>
      <c r="K4" s="3044" t="s">
        <v>1436</v>
      </c>
      <c r="L4" s="1897" t="s">
        <v>2067</v>
      </c>
      <c r="M4" s="1244">
        <f>Содержание!$D$2</f>
        <v>0</v>
      </c>
    </row>
    <row r="5" spans="1:15" ht="15" thickBot="1">
      <c r="A5" s="9"/>
      <c r="C5"/>
      <c r="D5" t="b">
        <f t="array" ref="D5">IF(SMALL(IF(""=C34:C2702,ROW(C34:C2702),2700),1)&gt;LARGE(IF(""&lt;&gt;C34:C2702,ROW(C34:C2702),0),1),TRUE,FALSE)</f>
        <v>1</v>
      </c>
      <c r="E5" s="3169"/>
      <c r="F5" s="3169"/>
      <c r="G5" s="3169"/>
      <c r="H5" s="3169"/>
      <c r="I5" s="173"/>
      <c r="J5" s="173"/>
      <c r="K5" s="173"/>
      <c r="L5" s="1897" t="s">
        <v>2075</v>
      </c>
      <c r="M5" s="1244" t="str">
        <f>Содержание!$D$15</f>
        <v>2022 год</v>
      </c>
    </row>
    <row r="6" spans="1:15" ht="38.15" customHeight="1">
      <c r="A6" s="9"/>
      <c r="C6" s="3177" t="s">
        <v>10214</v>
      </c>
      <c r="D6" s="3174" t="s">
        <v>9894</v>
      </c>
      <c r="E6" s="3174" t="s">
        <v>9895</v>
      </c>
      <c r="F6" s="3174" t="s">
        <v>5308</v>
      </c>
      <c r="G6" s="3174" t="s">
        <v>9896</v>
      </c>
      <c r="H6" s="3174"/>
      <c r="I6" s="2200" t="s">
        <v>10213</v>
      </c>
      <c r="J6" s="2200"/>
      <c r="K6" s="2200" t="s">
        <v>5914</v>
      </c>
      <c r="L6" s="2200" t="s">
        <v>6242</v>
      </c>
      <c r="M6" s="2215" t="s">
        <v>5911</v>
      </c>
      <c r="N6" s="2201" t="s">
        <v>5308</v>
      </c>
      <c r="O6" s="173"/>
    </row>
    <row r="7" spans="1:15" ht="14.15" customHeight="1">
      <c r="A7" s="9"/>
      <c r="C7" s="2803" t="s">
        <v>14804</v>
      </c>
      <c r="D7" s="3178">
        <f>SUMIF('91_02_ВГО'!C:C,"*Прочие расходы арендодателя, связанные с операционной арендой*",'91_02_ВГО'!I:I)+SUMIF('91_02_ВГО'!C:C,"*Прочие расходы, связанные с вложениями в материальные ценности, переданными в пользование (аренда, лизинг)*",'91_02_ВГО'!I:I)</f>
        <v>0</v>
      </c>
      <c r="E7" s="3179">
        <f>SUMIFS($J$34:$J$1018,$C$34:$C$1018,"*2130122*",$L$34:$L$1018,"ВГО")+SUMIFS($J$34:$J$1018,$C$34:$C$1018,"*2130123*",$L$34:$L$1018,"ВГО")+SUMIFS($J$34:$J$1018,$C$34:$C$1018,"*2130220*",$L$34:$L$1018,"ВГО")</f>
        <v>0</v>
      </c>
      <c r="F7" s="3180">
        <f>ABS(D7-E7)</f>
        <v>0</v>
      </c>
      <c r="G7" s="3181" t="s">
        <v>3196</v>
      </c>
      <c r="H7" s="3181"/>
      <c r="I7" s="2203">
        <f>SUMIF('91_02'!C:C,"*2130122*",'91_02'!F:F)+SUMIF('91_02'!C:C,"*2130123*",'91_02'!F:F)+SUMIF('91_02'!C:C,"*2130220*",'91_02'!F:F)</f>
        <v>0</v>
      </c>
      <c r="J7" s="2203"/>
      <c r="K7" s="2205" t="s">
        <v>3196</v>
      </c>
      <c r="L7" s="2205" t="s">
        <v>3196</v>
      </c>
      <c r="M7" s="2216" t="s">
        <v>3196</v>
      </c>
      <c r="N7" s="2257">
        <f>ABS(I7-SUMIF($C$34:$C$1018,"*2130122*",$J$34:$J$1018)-SUMIF($C$34:$C$1018,"*2130123*",$J$34:$J$1018)-SUMIF($C$34:$C$1018,"*2130220*",$J$34:$J$1018)+E7)</f>
        <v>0</v>
      </c>
      <c r="O7" s="173"/>
    </row>
    <row r="8" spans="1:15" ht="14.15" customHeight="1">
      <c r="A8" s="9"/>
      <c r="C8" s="2803" t="s">
        <v>6252</v>
      </c>
      <c r="D8" s="3178">
        <f>SUMIF('91_02_ВГО'!C:C,"*{2030200}*",'91_02_ВГО'!I:I)+SUMIF('91_02_ВГО'!C:C,"*{2040200}*",'91_02_ВГО'!I:I)+SUMIF('91_02_ВГО'!C:C,"*{2050200}*",'91_02_ВГО'!I:I)+SUMIF('91_02_ВГО'!C:C,"*{2060200}*",'91_02_ВГО'!I:I)+SUMIF('91_02_ВГО'!C:C,"*{2060400}*",'91_02_ВГО'!I:I)+SUMIF('91_02_ВГО'!C:C,"*{2060600}*",'91_02_ВГО'!I:I)+SUMIF('91_02_ВГО'!C:C,"*{2110200}*",'91_02_ВГО'!I:I)+SUMIF('91_02_ВГО'!C:C,"*{2110400}*",'91_02_ВГО'!I:I)</f>
        <v>0</v>
      </c>
      <c r="E8" s="3182">
        <f>SUMIFS($J$34:$J$1018,$C$34:$C$1018,"*{2030200}*",$L$34:$L$1018,"ВГО")+SUMIFS($J$34:$J$1018,$C$34:$C$1018,"*{2040200}*",$L$34:$L$1018,"ВГО")+SUMIFS($J$34:$J$1018,$C$34:$C$1018,"*{2050200}*",$L$34:$L$1018,"ВГО")+SUMIFS($J$34:$J$1018,$C$34:$C$1018,"*{2060200}*",$L$34:$L$1018,"ВГО")+SUMIFS($J$34:$J$1018,$C$34:$C$1018,"*{2060400}*",$L$34:$L$1018,"ВГО")+SUMIFS($J$34:$J$1018,$C$34:$C$1018,"*{2060600}*",$L$34:$L$1018,"ВГО")+SUMIFS($J$34:$J$1018,$C$34:$C$1018,"*{2110200}*",$L$34:$L$1018,"ВГО")+SUMIFS($J$34:$J$1018,$C$34:$C$1018,"*{2110400}*",$L$34:$L$1018,"ВГО")</f>
        <v>0</v>
      </c>
      <c r="F8" s="3180">
        <f t="shared" ref="F8:F28" si="0">ABS(D8-E8)</f>
        <v>0</v>
      </c>
      <c r="G8" s="3181" t="s">
        <v>3196</v>
      </c>
      <c r="H8" s="3181"/>
      <c r="I8" s="2203">
        <f>SUMIF('91_02'!C:C,"*{2030200}*",'91_02'!F:F)+SUMIF('91_02'!C:C,"*{2040200}*",'91_02'!F:F)+SUMIF('91_02'!C:C,"*{2050200}*",'91_02'!F:F)+SUMIF('91_02'!C:C,"*{2060200}*",'91_02'!F:F)+SUMIF('91_02'!C:C,"*{2060400}*",'91_02'!F:F)+SUMIF('91_02'!C:C,"*{2060600}*",'91_02'!F:F)+SUMIF('91_02'!C:C,"*{2110200}*",'91_02'!F:F)+SUMIF('91_02'!C:C,"*{2110400}*",'91_02'!F:F)</f>
        <v>0</v>
      </c>
      <c r="J8" s="2203"/>
      <c r="K8" s="2205" t="s">
        <v>3196</v>
      </c>
      <c r="L8" s="2205" t="s">
        <v>3196</v>
      </c>
      <c r="M8" s="2216" t="s">
        <v>3196</v>
      </c>
      <c r="N8" s="2257">
        <f>ABS(I8-SUMIF($C$34:$C$1018,"*{2030200}*",$J$34:$J$1018)-SUMIF($C$34:$C$1018,"*{2040200}*",$J$34:$J$1018)-SUMIF($C$34:$C$1018,"*{2050200}*",$J$34:$J$1018)-SUMIF($C$34:$C$1018,"*{2060200}*",$J$34:$J$1018)-SUMIF($C$34:$C$1018,"*{2060400}*",$J$34:$J$1018)-SUMIF($C$34:$C$1018,"*{2060600}*",$J$34:$J$1018)-SUMIF($C$34:$C$1018,"*{2110200}*",$J$34:$J$1018)-SUMIF($C$34:$C$1018,"*{2110400}*",$J$34:$J$1018)+E8)</f>
        <v>0</v>
      </c>
      <c r="O8" s="173"/>
    </row>
    <row r="9" spans="1:15" ht="14.15" customHeight="1">
      <c r="A9" s="9"/>
      <c r="C9" s="2803" t="s">
        <v>6253</v>
      </c>
      <c r="D9" s="3178">
        <f>SUMIF('91_02_ВГО'!C:C,"{2141000} Амортизация и расходы по содержанию объектов, признанных в установленном порядке непрофильными, до момента их реализации или передачи",'91_02_ВГО'!I:I)+SUMIF('91_02_ВГО'!C:C,"{2415000} Расходы на содержание объектов социальной инфраструктуры",'91_02_ВГО'!I:I)+SUMIF('91_02_ВГО'!C:C,"{2609900} Прочие расходы на содержание профсоюзных организаций",'91_02_ВГО'!I:I)</f>
        <v>0</v>
      </c>
      <c r="E9" s="3182">
        <f>SUMIFS($J$34:$J$1018,$C$34:$C$1018,"{2141000} Амортизация и расходы по содержанию объектов, признанных в установленном порядке непрофильными, до момента их реализации или передачи*",$L$34:$L$1018,"ВГО")+SUMIFS($J$34:$J$1018,$C$34:$C$1018,"{2415000} Расходы на содержание объектов социальной инфраструктуры*",$L$34:$L$1018,"ВГО")+SUMIFS($J$34:$J$1018,$C$34:$C$1018,"{2609900} Прочие расходы на содержание профсоюзных организаций*",$L$34:$L$1018,"ВГО")</f>
        <v>0</v>
      </c>
      <c r="F9" s="3180">
        <f t="shared" si="0"/>
        <v>0</v>
      </c>
      <c r="G9" s="3181" t="s">
        <v>3196</v>
      </c>
      <c r="H9" s="3181"/>
      <c r="I9" s="2203">
        <f>SUMIF('91_02'!C:C,"{2141000} Амортизация и расходы по содержанию объектов, признанных в установленном порядке непрофильными, до момента их реализации или передачи",'91_02'!F:F)+SUMIF('91_02'!C:C,"{2415000} Расходы на содержание объектов социальной инфраструктуры",'91_02'!F:F)+SUMIF('91_02'!C:C,"{2609900} Прочие расходы на содержание профсоюзных организаций",'91_02'!F:F)</f>
        <v>0</v>
      </c>
      <c r="J9" s="2203"/>
      <c r="K9" s="2205" t="s">
        <v>3196</v>
      </c>
      <c r="L9" s="2205" t="s">
        <v>3196</v>
      </c>
      <c r="M9" s="2216" t="s">
        <v>3196</v>
      </c>
      <c r="N9" s="2257">
        <f>ABS(I9-SUMIF($C$34:$C$1018,"{2141000} Амортизация и расходы по содержанию объектов, признанных в установленном порядке непрофильными, до момента их реализации или передачи",$J$34:$J$1018)-SUMIF($C$34:$C$1018,"{2415000} Расходы на содержание объектов социальной инфраструктуры",$J$34:$J$1018)-SUMIF($C$34:$C$1018,"{2609900} Прочие расходы на содержание профсоюзных организаций",$J$34:$J$1018)+E9)</f>
        <v>0</v>
      </c>
      <c r="O9" s="173"/>
    </row>
    <row r="10" spans="1:15" ht="14.15" customHeight="1">
      <c r="A10" s="9"/>
      <c r="C10" s="2803" t="s">
        <v>6217</v>
      </c>
      <c r="D10" s="3180">
        <f>SUMIF('91_02_ВГО'!C:C,"{2142990} Расходы на содержание обслуживающих хозяйств и производств",'91_02_ВГО'!I:I)</f>
        <v>0</v>
      </c>
      <c r="E10" s="3182">
        <f>SUMIFS($J$34:$J$1018,$C$34:$C$1018,"*{2142990} Расходы на содержание обслуживающих хозяйств и производств*",$L$34:$L$1018,"ВГО")</f>
        <v>0</v>
      </c>
      <c r="F10" s="3180">
        <f t="shared" si="0"/>
        <v>0</v>
      </c>
      <c r="G10" s="3181" t="s">
        <v>3196</v>
      </c>
      <c r="H10" s="3181"/>
      <c r="I10" s="2203">
        <f>SUMIF('91_02'!C:C,"{2142990} Расходы на содержание обслуживающих хозяйств и производств",'91_02'!F:F)</f>
        <v>0</v>
      </c>
      <c r="J10" s="2203"/>
      <c r="K10" s="2205" t="s">
        <v>3196</v>
      </c>
      <c r="L10" s="2205" t="s">
        <v>3196</v>
      </c>
      <c r="M10" s="2216" t="s">
        <v>3196</v>
      </c>
      <c r="N10" s="2257">
        <f>ABS(I10-SUMIF($C$34:$C$1018,"{2142990} Расходы на содержание обслуживающих хозяйств и производств",$J$34:$J$1018)+E10)</f>
        <v>0</v>
      </c>
      <c r="O10" s="173"/>
    </row>
    <row r="11" spans="1:15" ht="14.15" customHeight="1">
      <c r="A11" s="9"/>
      <c r="C11" s="2803" t="s">
        <v>5905</v>
      </c>
      <c r="D11" s="3213">
        <f>SUMIF('91_02_ВГО'!C:C,"{2280800} Расходы по консервации объектов",'91_02_ВГО'!I:I)+SUMIF('91_02_ВГО'!C:C,"{2280900} Расходы по содержанию законсервированных объектов",'91_02_ВГО'!I:I)+SUMIF('91_02_ВГО'!C:C,"{2961000} Расходы, связанные с поддержанием в безопасном состоянии объектов ядерного наследия",'91_02_ВГО'!I:I)</f>
        <v>0</v>
      </c>
      <c r="E11" s="3182">
        <f>SUMIFS($J$34:$J$1018,$C$34:$C$1018,"*{2280800} Расходы по консервации объектов*",$L$34:$L$1018,"ВГО")+SUMIFS($J$34:$J$1018,$C$34:$C$1018,"*{2280900} Расходы по содержанию законсервированных объектов*",$L$34:$L$1018,"ВГО")+SUMIFS($J$34:$J$1018,$C$34:$C$1018,"*{2961000} Расходы, связанные с поддержанием в безопасном состоянии объектов ядерного наследия*",$L$34:$L$1018,"ВГО")</f>
        <v>0</v>
      </c>
      <c r="F11" s="3180">
        <f t="shared" si="0"/>
        <v>0</v>
      </c>
      <c r="G11" s="3181" t="s">
        <v>3196</v>
      </c>
      <c r="H11" s="3181"/>
      <c r="I11" s="2203">
        <f>SUMIF('91_02'!C:C,"{2280800} Расходы по консервации объектов",'91_02'!F:F)+SUMIF('91_02'!C:C,"{2280900} Расходы по содержанию законсервированных объектов",'91_02'!F:F)+SUMIF('91_02'!C:C,"{2961000} Расходы, связанные с поддержанием в безопасном состоянии объектов ядерного наследия",'91_02'!F:F)</f>
        <v>0</v>
      </c>
      <c r="J11" s="2203"/>
      <c r="K11" s="2205" t="s">
        <v>3196</v>
      </c>
      <c r="L11" s="2205" t="s">
        <v>3196</v>
      </c>
      <c r="M11" s="2216" t="s">
        <v>3196</v>
      </c>
      <c r="N11" s="2207">
        <f>ABS(I11-SUMIF($C$34:$C$1018,"{2280800} Расходы по консервации объектов",$J$34:$J$1018)-SUMIF($C$34:$C$1018,"{2280900} Расходы по содержанию законсервированных объектов",$J$34:$J$1018)-SUMIF($C$34:$C$1018,"{2961000} Расходы, связанные с поддержанием в безопасном состоянии объектов ядерного наследия",$J$34:$J$1018)+E11)</f>
        <v>0</v>
      </c>
      <c r="O11" s="173"/>
    </row>
    <row r="12" spans="1:15" ht="14.15" customHeight="1">
      <c r="A12" s="546" t="s">
        <v>6814</v>
      </c>
      <c r="C12" s="2803" t="s">
        <v>5906</v>
      </c>
      <c r="D12" s="3180">
        <f>SUMIF('91_02_ВГО'!C:C,"*Расходы, осуществляемые в рамках*",'91_02_ВГО'!I:I)</f>
        <v>0</v>
      </c>
      <c r="E12" s="3182">
        <f>SUMIFS($J$34:$J$1018,$C$34:$C$1018,"*Расходы, осуществляемые в рамках*",$L$34:$L$1018,"ВГО")</f>
        <v>0</v>
      </c>
      <c r="F12" s="3180">
        <f t="shared" si="0"/>
        <v>0</v>
      </c>
      <c r="G12" s="3183" t="s">
        <v>3196</v>
      </c>
      <c r="H12" s="3183"/>
      <c r="I12" s="2203">
        <f>SUMIF('91_02'!C:C,"*Расходы, осуществляемые в рамках*",'91_02'!F:F)</f>
        <v>0</v>
      </c>
      <c r="J12" s="2203"/>
      <c r="K12" s="2220"/>
      <c r="L12" s="2221">
        <f>SUMIF(Затраты_Вход_2!U:U,TRUE,Затраты_Вход_2!J:J)</f>
        <v>0</v>
      </c>
      <c r="M12" s="2217" t="s">
        <v>3196</v>
      </c>
      <c r="N12" s="2207">
        <f>ABS(I12-L12-K12-SUMIFS($J$34:$J$1018,$C$34:$C$1018,"*Расходы, осуществляемые в рамках*",$I$34:$I$1018,"Прочее")+E12)</f>
        <v>0</v>
      </c>
      <c r="O12" s="173"/>
    </row>
    <row r="13" spans="1:15" ht="14.15" customHeight="1">
      <c r="A13" s="546"/>
      <c r="C13" s="2803" t="s">
        <v>6251</v>
      </c>
      <c r="D13" s="3213">
        <f>SUMIF('91_02_ВГО'!C:C,"*Расходы на ликвидацию*",'91_02_ВГО'!I:I)+SUMIF('91_02_ВГО'!C:C,"{2962000} Расходы, связанные с выводом из эксплуатации объектов ядерного наследия",'91_02_ВГО'!I:I)</f>
        <v>0</v>
      </c>
      <c r="E13" s="3182">
        <f>SUMIFS($J$34:$J$1018,$C$34:$C$1018,"*Расходы на ликвидацию*",$L$34:$L$1018,"ВГО")+SUMIFS($J$34:$J$1018,$C$34:$C$1018,"{2962000} Расходы, связанные с выводом из эксплуатации объектов ядерного наследия",$L$34:$L$1018,"ВГО")</f>
        <v>0</v>
      </c>
      <c r="F13" s="3180">
        <f t="shared" si="0"/>
        <v>0</v>
      </c>
      <c r="G13" s="3183" t="s">
        <v>3196</v>
      </c>
      <c r="H13" s="3183"/>
      <c r="I13" s="2203">
        <f>SUMIF('91_02'!C:C,"*Расходы на ликвидацию*",'91_02'!F:F)+SUMIF('91_02'!C:C,"{2962000} Расходы, связанные с выводом из эксплуатации объектов ядерного наследия",'91_02'!F:F)</f>
        <v>0</v>
      </c>
      <c r="J13" s="2203"/>
      <c r="K13" s="2205" t="s">
        <v>3196</v>
      </c>
      <c r="L13" s="2205" t="s">
        <v>3196</v>
      </c>
      <c r="M13" s="2217" t="s">
        <v>3196</v>
      </c>
      <c r="N13" s="2257">
        <f>ABS(I13-SUMIF($C$34:$C$1018,"*Расходы на ликвидацию*",$J$34:$J$1018)-SUMIF($C$34:$C$1018,"{2962000} Расходы, связанные с выводом из эксплуатации объектов ядерного наследия",$J$34:$J$1018)+E13)</f>
        <v>0</v>
      </c>
      <c r="O13" s="173"/>
    </row>
    <row r="14" spans="1:15" ht="14.15" customHeight="1">
      <c r="A14" s="546"/>
      <c r="C14" s="2803" t="s">
        <v>6254</v>
      </c>
      <c r="D14" s="3178">
        <f>SUMIF('91_02_ВГО'!C:C,"{2770000} Потери от простоев по внутрипроизводственным причинам",'91_02_ВГО'!I:I)+SUMIF('91_02_ВГО'!C:C,"{2780000} Некомпенсируемые потери от простоев по внешним причинам",'91_02_ВГО'!I:I)</f>
        <v>0</v>
      </c>
      <c r="E14" s="3182">
        <f>SUMIFS($J$34:$J$1018,$C$34:$C$1018,"{2770000} Потери от простоев по внутрипроизводственным причинам",$L$34:$L$1018,"ВГО")+SUMIFS($J$34:$J$1018,$C$34:$C$1018,"{2780000} Некомпенсируемые потери от простоев по внешним причинам",$L$34:$L$1018,"ВГО")</f>
        <v>0</v>
      </c>
      <c r="F14" s="3180">
        <f t="shared" si="0"/>
        <v>0</v>
      </c>
      <c r="G14" s="3183" t="s">
        <v>3196</v>
      </c>
      <c r="H14" s="3183"/>
      <c r="I14" s="2203">
        <f>SUMIF('91_02'!C:C,"{2770000} Потери от простоев по внутрипроизводственным причинам",'91_02'!F:F)+SUMIF('91_02'!C:C,"{2780000} Некомпенсируемые потери от простоев по внешним причинам",'91_02'!F:F)</f>
        <v>0</v>
      </c>
      <c r="J14" s="2203"/>
      <c r="K14" s="2205" t="s">
        <v>3196</v>
      </c>
      <c r="L14" s="2205" t="s">
        <v>3196</v>
      </c>
      <c r="M14" s="2217" t="s">
        <v>3196</v>
      </c>
      <c r="N14" s="2257">
        <f>ABS(I14-SUMIF($C$34:$C$1018,"{2770000} Потери от простоев по внутрипроизводственным причинам",$J$34:$J$1018)-SUMIF($C$34:$C$1018,"{2780000} Некомпенсируемые потери от простоев по внешним причинам",$J$34:$J$1018)+E14)</f>
        <v>0</v>
      </c>
      <c r="O14" s="173"/>
    </row>
    <row r="15" spans="1:15" ht="14.15" customHeight="1">
      <c r="A15" s="546" t="s">
        <v>10219</v>
      </c>
      <c r="C15" s="3322" t="s">
        <v>10212</v>
      </c>
      <c r="D15" s="3183" t="s">
        <v>3196</v>
      </c>
      <c r="E15" s="3183" t="s">
        <v>3196</v>
      </c>
      <c r="F15" s="3183" t="s">
        <v>3196</v>
      </c>
      <c r="G15" s="3183" t="s">
        <v>3196</v>
      </c>
      <c r="H15" s="3183"/>
      <c r="I15" s="2203">
        <f>SUMIF('91_01'!C:C,"{1340100} Доходы прошлых лет, выявленные в отчетном периоде (нетто)",'91_01'!H:H)</f>
        <v>0</v>
      </c>
      <c r="J15" s="3323"/>
      <c r="K15" s="2205" t="s">
        <v>3196</v>
      </c>
      <c r="L15" s="2205" t="s">
        <v>3196</v>
      </c>
      <c r="M15" s="2220"/>
      <c r="N15" s="2767">
        <f>ABS(I15-SUMIF($C$34:$C$1018,"{1340100} Доходы прошлых лет, выявленные в отчетном периоде (нетто)",$J$34:$J$1018)-M15)</f>
        <v>0</v>
      </c>
      <c r="O15" s="173"/>
    </row>
    <row r="16" spans="1:15" ht="14.15" customHeight="1">
      <c r="A16" s="546" t="s">
        <v>6815</v>
      </c>
      <c r="C16" s="2803" t="s">
        <v>5907</v>
      </c>
      <c r="D16" s="3178">
        <f>SUMIF('91_02_ВГО'!C:C,"{2340110} Убытки прошлых лет, признанные в текущем году (нетто) (для целей налогового учета признаются в периоде совершения ошибки, представляется УНД)",'91_02_ВГО'!I:I)+SUMIF('91_02_ВГО'!C:C,"{2340120} Убытки прошлых лет, признанные в текущем году (нетто) (для целей налогового учета не признаются)",'91_02_ВГО'!I:I)+SUMIF('91_02_ВГО'!C:C,"{2340100} Убытки прошлых лет, признанные в текущем году (нетто) (для целей налогового учета признаются в текущем налоговом периоде, включаются в декларацию текущего налогового периода)",'91_02_ВГО'!I:I)</f>
        <v>0</v>
      </c>
      <c r="E16" s="3182">
        <f>SUMIFS($J$34:$J$1018,$C$34:$C$1018,"{2340110} Убытки прошлых лет, признанные в текущем году (нетто) (для целей налогового учета признаются в периоде совершения ошибки, представляется УНД)",$L$34:$L$1018,"ВГО")+SUMIFS($J$34:$J$1018,$C$34:$C$1018,"{2340120} Убытки прошлых лет, признанные в текущем году (нетто) (для целей налогового учета не признаются)",$L$34:$L$1018,"ВГО")+SUMIFS($J$34:$J$1018,$C$34:$C$1018,"{2340100} Убытки прошлых лет, признанные в текущем году (нетто) (для целей налогового учета признаются в текущем налоговом периоде, включаются в декларацию текущего налогового периода)",$L$34:$L$1018,"ВГО")</f>
        <v>0</v>
      </c>
      <c r="F16" s="3180">
        <f>ABS(D16-E16-G16)</f>
        <v>0</v>
      </c>
      <c r="G16" s="3184"/>
      <c r="H16" s="3183"/>
      <c r="I16" s="2203">
        <f>SUMIF('91_02'!C:C,"{2340110} Убытки прошлых лет, признанные в текущем году (нетто) (для целей налогового учета признаются в периоде совершения ошибки, представляется УНД)",'91_02'!F:F)+SUMIF('91_02'!C:C,"{2340120} Убытки прошлых лет, признанные в текущем году (нетто) (для целей налогового учета не признаются)",'91_02'!F:F)+SUMIF('91_02'!C:C,"{2340100} Убытки прошлых лет, признанные в текущем году (нетто) (для целей налогового учета признаются в текущем налоговом периоде, включаются в декларацию текущего налогового периода)",'91_02'!F:F)</f>
        <v>0</v>
      </c>
      <c r="J16" s="2203"/>
      <c r="K16" s="2205" t="s">
        <v>3196</v>
      </c>
      <c r="L16" s="2205" t="s">
        <v>3196</v>
      </c>
      <c r="M16" s="2220"/>
      <c r="N16" s="2767">
        <f>ABS(I16-SUMIF($C$34:$C$1018,"{2340110} Убытки прошлых лет, признанные в текущем году (нетто) (для целей налогового учета признаются в периоде совершения ошибки, представляется УНД)",$J$34:$J$1018)-SUMIF($C$34:$C$1018,"{2340120} Убытки прошлых лет, признанные в текущем году (нетто) (для целей налогового учета не признаются)",$J$34:$J$1018)-SUMIF($C$34:$C$1018,"{2340100} Убытки прошлых лет, признанные в текущем году (нетто) (для целей налогового учета признаются в текущем налоговом периоде, включаются в декларацию текущего налогового периода)",$J$34:$J$1018)-M16+E16)</f>
        <v>0</v>
      </c>
      <c r="O16" s="173"/>
    </row>
    <row r="17" spans="1:25" ht="14.15" customHeight="1">
      <c r="A17" s="9"/>
      <c r="C17" s="2803" t="s">
        <v>6255</v>
      </c>
      <c r="D17" s="3178">
        <f>SUMIF('91_02_ВГО'!C:C,"{2760000} Затраты на производство, не давшее продукции",'91_02_ВГО'!I:I)+SUMIF('91_02_ВГО'!C:C,"{2750000} Затраты на аннулированные производственные заказы",'91_02_ВГО'!I:I)+SUMIF('91_02_ВГО'!C:C,"{2820000} Сумма расходов на освоение природных ресурсов, отнесенных в отчетном периоде на прочие расходы как безрезультатные",'91_02_ВГО'!I:I)</f>
        <v>0</v>
      </c>
      <c r="E17" s="3182">
        <f>SUMIFS($J$34:$J$1018,$C$34:$C$1018,"*{2760000} Затраты на производство, не давшее продукции*",$L$34:$L$1018,"ВГО")+SUMIFS($J$34:$J$1018,$C$34:$C$1018,"*{2750000} Затраты на аннулированные производственные заказы*",$L$34:$L$1018,"ВГО")+SUMIFS($J$34:$J$1018,$C$34:$C$1018,"*{2820000} Сумма расходов на освоение природных ресурсов, отнесенных в отчетном периоде на прочие расходы как безрезультатные*",$L$34:$L$1018,"ВГО")</f>
        <v>0</v>
      </c>
      <c r="F17" s="3180">
        <f t="shared" si="0"/>
        <v>0</v>
      </c>
      <c r="G17" s="3181" t="s">
        <v>3196</v>
      </c>
      <c r="H17" s="3181"/>
      <c r="I17" s="2203">
        <f>SUMIF('91_02'!C:C,"{2760000} Затраты на производство, не давшее продукции",'91_02'!F:F)+SUMIF('91_02'!C:C,"{2750000} Затраты на аннулированные производственные заказы",'91_02'!F:F)+SUMIF('91_02'!C:C,"{2820000} Сумма расходов на освоение природных ресурсов, отнесенных в отчетном периоде на прочие расходы как безрезультатные",'91_02'!F:F)</f>
        <v>0</v>
      </c>
      <c r="J17" s="2322"/>
      <c r="K17" s="2216" t="s">
        <v>3196</v>
      </c>
      <c r="L17" s="2205" t="s">
        <v>3196</v>
      </c>
      <c r="M17" s="2216" t="s">
        <v>3196</v>
      </c>
      <c r="N17" s="2207">
        <f>ABS(I17-SUMIF($C$34:$C$1018,"{2760000} Затраты на производство, не давшее продукции",$J$34:$J$1018)-SUMIF($C$34:$C$1018,"{2750000} Затраты на аннулированные производственные заказы",$J$34:$J$1018)-SUMIF($C$34:$C$1018,"{2820000} Сумма расходов на освоение природных ресурсов, отнесенных в отчетном периоде на прочие расходы как безрезультатные",$J$34:$J$1018)+E17)</f>
        <v>0</v>
      </c>
      <c r="O17" s="173"/>
    </row>
    <row r="18" spans="1:25" ht="14.15" customHeight="1">
      <c r="A18" s="9"/>
      <c r="C18" s="2803" t="s">
        <v>6256</v>
      </c>
      <c r="D18" s="3180">
        <f>SUMIF('91_02_ВГО'!C:C,"{2020000} Расходы по совместной деятельности",'91_02_ВГО'!I:I)</f>
        <v>0</v>
      </c>
      <c r="E18" s="3182">
        <f>SUMIFS($J$34:$J$1018,$C$34:$C$1018,"*{2020000} Расходы по совместной деятельности*",$L$34:$L$1018,"ВГО")</f>
        <v>0</v>
      </c>
      <c r="F18" s="3180">
        <f t="shared" si="0"/>
        <v>0</v>
      </c>
      <c r="G18" s="3181" t="s">
        <v>3196</v>
      </c>
      <c r="H18" s="3181"/>
      <c r="I18" s="2203">
        <f>SUMIF('91_02'!C:C,"{2020000} Расходы по совместной деятельности",'91_02'!F:F)</f>
        <v>0</v>
      </c>
      <c r="J18" s="2322"/>
      <c r="K18" s="2216" t="s">
        <v>3196</v>
      </c>
      <c r="L18" s="2205" t="s">
        <v>3196</v>
      </c>
      <c r="M18" s="2216" t="s">
        <v>3196</v>
      </c>
      <c r="N18" s="2257">
        <f>ABS(I18-SUMIF($C$34:$C$1018,"{2020000} Расходы по совместной деятельности",$J$34:$J$1018)+E18)</f>
        <v>0</v>
      </c>
      <c r="O18" s="173"/>
    </row>
    <row r="19" spans="1:25" ht="14.15" customHeight="1">
      <c r="A19" s="9"/>
      <c r="C19" s="2803" t="s">
        <v>6257</v>
      </c>
      <c r="D19" s="3180">
        <f>SUMIF('91_02_ВГО'!C:C,"{2320200} Безвозмездная передача (включая передачу в безвозмездное пользование) непрофильных активов в адрес государственных, муниципальных органов и НКО по согласованию с Госкорпорацией «Росатом»",'91_02_ВГО'!I:I)</f>
        <v>0</v>
      </c>
      <c r="E19" s="3182">
        <f>SUMIFS($J$34:$J$1018,$C$34:$C$1018,"*{2320200} Безвозмездная передача (включая передачу в безвозмездное пользование) непрофильных активов*",$L$34:$L$1018,"ВГО")</f>
        <v>0</v>
      </c>
      <c r="F19" s="3180">
        <f t="shared" si="0"/>
        <v>0</v>
      </c>
      <c r="G19" s="3181" t="s">
        <v>3196</v>
      </c>
      <c r="H19" s="3181"/>
      <c r="I19" s="2203">
        <f>SUMIF('91_02'!C:C,"{2320200} Безвозмездная передача (включая передачу в безвозмездное пользование) непрофильных активов в адрес государственных, муниципальных органов и НКО по согласованию с Госкорпорацией «Росатом»",'91_02'!F:F)</f>
        <v>0</v>
      </c>
      <c r="J19" s="2322"/>
      <c r="K19" s="2216" t="s">
        <v>3196</v>
      </c>
      <c r="L19" s="2205" t="s">
        <v>3196</v>
      </c>
      <c r="M19" s="2216" t="s">
        <v>3196</v>
      </c>
      <c r="N19" s="2257">
        <f>ABS(I19-SUMIF($C$34:$C$1018,"{2320200} Безвозмездная передача (включая передачу в безвозмездное пользование) непрофильных активов*",$J$34:$J$1018)+E19)</f>
        <v>0</v>
      </c>
      <c r="O19" s="173"/>
    </row>
    <row r="20" spans="1:25" ht="14.15" customHeight="1">
      <c r="A20" s="9"/>
      <c r="C20" s="2803" t="s">
        <v>6258</v>
      </c>
      <c r="D20" s="3180">
        <f>SUMIF('91_02_ВГО'!C:C,"{2890000} Расходы от передачи имущества в хозяйственное ведение, оперативное управление",'91_02_ВГО'!I:I)</f>
        <v>0</v>
      </c>
      <c r="E20" s="3182">
        <f>SUMIFS($J$34:$J$1018,$C$34:$C$1018,"*{2890000} Расходы от передачи имущества в хозяйственное ведение, оперативное управление*",$L$34:$L$1018,"ВГО")</f>
        <v>0</v>
      </c>
      <c r="F20" s="3180">
        <f t="shared" si="0"/>
        <v>0</v>
      </c>
      <c r="G20" s="3181" t="s">
        <v>3196</v>
      </c>
      <c r="H20" s="3181"/>
      <c r="I20" s="2203">
        <f>SUMIF('91_02'!C:C,"{2890000} Расходы от передачи имущества в хозяйственное ведение, оперативное управление",'91_02'!F:F)</f>
        <v>0</v>
      </c>
      <c r="J20" s="2322"/>
      <c r="K20" s="2216" t="s">
        <v>3196</v>
      </c>
      <c r="L20" s="2205" t="s">
        <v>3196</v>
      </c>
      <c r="M20" s="2216" t="s">
        <v>3196</v>
      </c>
      <c r="N20" s="2257">
        <f>ABS(I20-SUMIF($C$34:$C$1018,"{2890000} Расходы от передачи имущества в хозяйственное ведение, оперативное управление",$J$34:$J$1018)+E20)</f>
        <v>0</v>
      </c>
      <c r="O20" s="173"/>
    </row>
    <row r="21" spans="1:25" ht="14.15" customHeight="1">
      <c r="A21" s="9"/>
      <c r="C21" s="2803" t="s">
        <v>6259</v>
      </c>
      <c r="D21" s="3180">
        <f>SUMIF('91_02_ВГО'!C:C,"{2910000} Расходы на содержание временно неиспользуемого имущества (в т.ч. Арендованных объектов)",'91_02_ВГО'!I:I)</f>
        <v>0</v>
      </c>
      <c r="E21" s="3182">
        <f>SUMIFS($J$34:$J$1018,$C$34:$C$1018,"*{2910000} Расходы на содержание временно неиспользуемого имущества (в т.ч. Арендованных объектов)*",$L$34:$L$1018,"ВГО")</f>
        <v>0</v>
      </c>
      <c r="F21" s="3180">
        <f t="shared" si="0"/>
        <v>0</v>
      </c>
      <c r="G21" s="3181" t="s">
        <v>3196</v>
      </c>
      <c r="H21" s="3181"/>
      <c r="I21" s="2203">
        <f>SUMIF('91_02'!C:C,"{2910000} Расходы на содержание временно неиспользуемого имущества (в т.ч. Арендованных объектов)",'91_02'!F:F)</f>
        <v>0</v>
      </c>
      <c r="J21" s="2322"/>
      <c r="K21" s="2216" t="s">
        <v>3196</v>
      </c>
      <c r="L21" s="2205" t="s">
        <v>3196</v>
      </c>
      <c r="M21" s="2216" t="s">
        <v>3196</v>
      </c>
      <c r="N21" s="2257">
        <f>ABS(I21-SUMIF($C$34:$C$1018,"{2910000} Расходы на содержание временно неиспользуемого имущества (в т.ч. Арендованных объектов)",$J$34:$J$1018)+E21)</f>
        <v>0</v>
      </c>
      <c r="O21" s="173"/>
    </row>
    <row r="22" spans="1:25" ht="14.15" customHeight="1">
      <c r="A22" s="9"/>
      <c r="C22" s="2803" t="s">
        <v>6304</v>
      </c>
      <c r="D22" s="3180">
        <f>SUMIF('91_02_ВГО'!C:C,"{2120000} Расходы, связанные с предоставлением в пользование прав на результаты интеллектуальной деятельности",'91_02_ВГО'!I:I)</f>
        <v>0</v>
      </c>
      <c r="E22" s="3182">
        <f>SUMIFS($J$34:$J$1018,$C$34:$C$1018,"*{2120000} Расходы, связанные с предоставлением в пользование прав на результаты интеллектуальной деятельности*",$L$34:$L$1018,"ВГО")</f>
        <v>0</v>
      </c>
      <c r="F22" s="3180">
        <f t="shared" si="0"/>
        <v>0</v>
      </c>
      <c r="G22" s="3181" t="s">
        <v>3196</v>
      </c>
      <c r="H22" s="3181"/>
      <c r="I22" s="2203">
        <f>SUMIF('91_02'!C:C,"{2120000} Расходы, связанные с предоставлением в пользование прав на результаты интеллектуальной деятельности",'91_02'!F:F)</f>
        <v>0</v>
      </c>
      <c r="J22" s="2322"/>
      <c r="K22" s="2216" t="s">
        <v>3196</v>
      </c>
      <c r="L22" s="2205" t="s">
        <v>3196</v>
      </c>
      <c r="M22" s="2216" t="s">
        <v>3196</v>
      </c>
      <c r="N22" s="2257">
        <f>ABS(I22-SUMIF($C$34:$C$1018,"{2120000} Расходы, связанные с предоставлением в пользование прав на результаты интеллектуальной деятельности",$J$34:$J$1018)+E22)</f>
        <v>0</v>
      </c>
      <c r="O22" s="173"/>
    </row>
    <row r="23" spans="1:25" ht="14.15" customHeight="1">
      <c r="A23" s="9"/>
      <c r="C23" s="2803" t="s">
        <v>4627</v>
      </c>
      <c r="D23" s="3213">
        <f>SUMIF('91_02_ВГО'!C:C,"{2999900} Прочие расходы",'91_02_ВГО'!I:I)</f>
        <v>0</v>
      </c>
      <c r="E23" s="3182">
        <f>SUMIFS($J$34:$J$1018,$C$34:$C$1018,"*{2999900} Прочие расходы*",$L$34:$L$1018,"ВГО")</f>
        <v>0</v>
      </c>
      <c r="F23" s="3180">
        <f t="shared" si="0"/>
        <v>0</v>
      </c>
      <c r="G23" s="3181" t="s">
        <v>3196</v>
      </c>
      <c r="H23" s="3181"/>
      <c r="I23" s="2203">
        <f>SUMIF('91_02'!C:C,"{2999900} Прочие расходы",'91_02'!F:F)</f>
        <v>0</v>
      </c>
      <c r="J23" s="2322"/>
      <c r="K23" s="2216" t="s">
        <v>3196</v>
      </c>
      <c r="L23" s="2205" t="s">
        <v>3196</v>
      </c>
      <c r="M23" s="2216" t="s">
        <v>3196</v>
      </c>
      <c r="N23" s="2257">
        <f>ABS(I23-SUMIF($C$34:$C$1018,"{2999900} Прочие расходы",$J$34:$J$1018)+E23)</f>
        <v>0</v>
      </c>
      <c r="O23" s="173"/>
    </row>
    <row r="24" spans="1:25" ht="14.15" customHeight="1">
      <c r="A24" s="9"/>
      <c r="C24" s="2803" t="s">
        <v>5908</v>
      </c>
      <c r="D24" s="3180">
        <f>SUMIF('91_02_ВГО'!C:C,"{2810000} Расходы, не возмещаемые за счет целевых источников финансирования",'91_02_ВГО'!I:I)</f>
        <v>0</v>
      </c>
      <c r="E24" s="3182">
        <f>SUMIFS($J$34:$J$1018,$C$34:$C$1018,"*{2810000} Расходы, не возмещаемые за счет целевых источников финансирования*",$L$34:$L$1018,"ВГО")</f>
        <v>0</v>
      </c>
      <c r="F24" s="3180">
        <f t="shared" si="0"/>
        <v>0</v>
      </c>
      <c r="G24" s="3181" t="s">
        <v>3196</v>
      </c>
      <c r="H24" s="3181"/>
      <c r="I24" s="2203">
        <f>SUMIF('91_02'!C:C,"{2810000} Расходы, не возмещаемые за счет целевых источников финансирования",'91_02'!F:F)</f>
        <v>0</v>
      </c>
      <c r="J24" s="2322"/>
      <c r="K24" s="2216" t="s">
        <v>3196</v>
      </c>
      <c r="L24" s="2205" t="s">
        <v>3196</v>
      </c>
      <c r="M24" s="2216" t="s">
        <v>3196</v>
      </c>
      <c r="N24" s="2257">
        <f>ABS(I24-SUMIF($C$34:$C$1018,"{2810000} Расходы, не возмещаемые за счет целевых источников финансирования",$J$34:$J$1018)+E24)</f>
        <v>0</v>
      </c>
      <c r="O24" s="173"/>
    </row>
    <row r="25" spans="1:25" ht="14.15" customHeight="1">
      <c r="A25" s="2804"/>
      <c r="C25" s="2803" t="s">
        <v>8357</v>
      </c>
      <c r="D25" s="3180">
        <f>SUMIF('91_02_ВГО'!C:C,"{2420100} Прочие расходы на персонал",'91_02_ВГО'!I:I)</f>
        <v>0</v>
      </c>
      <c r="E25" s="3182">
        <f>SUMIFS($J$34:$J$1018,$C$34:$C$1018,"*{2420100} Прочие расходы на персонал*",$L$34:$L$1018,"ВГО")</f>
        <v>0</v>
      </c>
      <c r="F25" s="3180">
        <f t="shared" si="0"/>
        <v>0</v>
      </c>
      <c r="G25" s="3181" t="s">
        <v>3196</v>
      </c>
      <c r="H25" s="3181"/>
      <c r="I25" s="2203">
        <f>SUMIF('91_02'!C:C,"{2420100} Прочие расходы на персонал",'91_02'!F:F)</f>
        <v>0</v>
      </c>
      <c r="J25" s="2806"/>
      <c r="K25" s="2216" t="s">
        <v>3196</v>
      </c>
      <c r="L25" s="2205" t="s">
        <v>3196</v>
      </c>
      <c r="M25" s="2216" t="s">
        <v>3196</v>
      </c>
      <c r="N25" s="2257">
        <f>ABS(I25-SUMIF($C$34:$C$1018,"{2420100} Прочие расходы на персонал",$J$34:$J$1018)+E25)</f>
        <v>0</v>
      </c>
      <c r="O25" s="173"/>
    </row>
    <row r="26" spans="1:25" ht="14.15" customHeight="1">
      <c r="A26" s="2804"/>
      <c r="C26" s="2805" t="s">
        <v>8358</v>
      </c>
      <c r="D26" s="3185">
        <f>SUMIF('91_02_ВГО'!C:C,"{2590100} Страховые взносы",'91_02_ВГО'!I:I)+SUMIF('91_02_ВГО'!C:C,"{2590200} Страхование от несчастных случаев на производстве и профзаболеваний",'91_02_ВГО'!I:I)</f>
        <v>0</v>
      </c>
      <c r="E26" s="3186">
        <f>SUMIFS($J$34:$J$1018,$C$34:$C$1018,"*{2590100} Страховые взносы*",$L$34:$L$1018,"ВГО")+SUMIFS($J$34:$J$1018,$C$34:$C$1018,"*{2590200} Страхование от несчастных случаев на производстве и профзаболеваний*",$L$34:$L$1018,"ВГО")</f>
        <v>0</v>
      </c>
      <c r="F26" s="3187">
        <f t="shared" si="0"/>
        <v>0</v>
      </c>
      <c r="G26" s="3181" t="s">
        <v>3196</v>
      </c>
      <c r="H26" s="3181"/>
      <c r="I26" s="2203">
        <f>SUMIF('91_02'!C:C,"{2590100} Страховые взносы",'91_02'!F:F)+SUMIF('91_02'!C:C,"{2590200} Страхование от несчастных случаев на производстве и профзаболеваний",'91_02'!F:F)</f>
        <v>0</v>
      </c>
      <c r="J26" s="2806"/>
      <c r="K26" s="2216" t="s">
        <v>3196</v>
      </c>
      <c r="L26" s="2205" t="s">
        <v>3196</v>
      </c>
      <c r="M26" s="2216" t="s">
        <v>3196</v>
      </c>
      <c r="N26" s="2257">
        <f>ABS(I26-SUMIF($C$34:$C$1018,"{2590100} Страховые взносы",$J$34:$J$1018)-SUMIF($C$34:$C$1018,"{2590200} Страхование от несчастных случаев на производстве и профзаболеваний",$J$34:$J$1018)+E26)</f>
        <v>0</v>
      </c>
      <c r="O26" s="2225" t="s">
        <v>3240</v>
      </c>
    </row>
    <row r="27" spans="1:25" ht="14.15" customHeight="1">
      <c r="A27" s="2804"/>
      <c r="C27" s="2805" t="s">
        <v>7686</v>
      </c>
      <c r="D27" s="3185">
        <f>SUMIF('91_02_ВГО'!C:C,"{2380200} Расходы, связанные с обслуживанием выпущенных ценных бумаг",'91_02_ВГО'!I:I)</f>
        <v>0</v>
      </c>
      <c r="E27" s="3186">
        <f>SUMIFS($J$34:$J$1018,$C$34:$C$1018,"*{2380200} Расходы, связанные с обслуживанием выпущенных ценных бумаг*",$L$34:$L$1018,"ВГО")</f>
        <v>0</v>
      </c>
      <c r="F27" s="3187">
        <f t="shared" ref="F27" si="1">ABS(D27-E27)</f>
        <v>0</v>
      </c>
      <c r="G27" s="3181" t="s">
        <v>3196</v>
      </c>
      <c r="H27" s="3181"/>
      <c r="I27" s="2203">
        <f>SUMIF('91_02'!C:C,"{2380200} Расходы, связанные с обслуживанием выпущенных ценных бумаг",'91_02'!F:F)</f>
        <v>0</v>
      </c>
      <c r="J27" s="2806"/>
      <c r="K27" s="2216" t="s">
        <v>3196</v>
      </c>
      <c r="L27" s="2205" t="s">
        <v>3196</v>
      </c>
      <c r="M27" s="2216" t="s">
        <v>3196</v>
      </c>
      <c r="N27" s="2257">
        <f>ABS(I27-SUMIF($C$34:$C$1018,"{2380200} Расходы, связанные с обслуживанием выпущенных ценных бумаг",$J$34:$J$1018)+E27)</f>
        <v>0</v>
      </c>
      <c r="O27" s="2225" t="s">
        <v>8499</v>
      </c>
    </row>
    <row r="28" spans="1:25" ht="14.15" customHeight="1" thickBot="1">
      <c r="A28" s="2427"/>
      <c r="C28" s="2807" t="s">
        <v>15100</v>
      </c>
      <c r="D28" s="3188">
        <f>SUMIF('91_02_ВГО'!C:C,"{2970001} Расходы, связанные с подготовкой обоснования для принятия решения (доинвестиционный этап)",'91_02_ВГО'!I:I)</f>
        <v>0</v>
      </c>
      <c r="E28" s="3189">
        <f>SUMIFS($J$34:$J$1018,$C$34:$C$1018,"*{2970001} Расходы, связанные с подготовкой обоснования для принятия решения (доинвестиционный этап)*",$L$34:$L$1018,"ВГО")</f>
        <v>0</v>
      </c>
      <c r="F28" s="3188">
        <f t="shared" si="0"/>
        <v>0</v>
      </c>
      <c r="G28" s="3190" t="s">
        <v>3196</v>
      </c>
      <c r="H28" s="3190"/>
      <c r="I28" s="2204">
        <f>SUMIF('91_02'!C:C,"{2970001} Расходы, связанные с подготовкой обоснования для принятия решения (доинвестиционный этап)",'91_02'!F:F)</f>
        <v>0</v>
      </c>
      <c r="J28" s="2204"/>
      <c r="K28" s="2206" t="s">
        <v>3196</v>
      </c>
      <c r="L28" s="2206" t="s">
        <v>3196</v>
      </c>
      <c r="M28" s="2218" t="s">
        <v>3196</v>
      </c>
      <c r="N28" s="2208">
        <f>ABS(I28-SUMIF($C$34:$C$1018,"{2970001} Расходы, связанные с подготовкой обоснования для принятия решения (доинвестиционный этап)",$J$34:$J$1018)+E28)</f>
        <v>0</v>
      </c>
      <c r="O28" s="2225" t="s">
        <v>8499</v>
      </c>
    </row>
    <row r="29" spans="1:25" ht="14.15" customHeight="1">
      <c r="A29" s="9"/>
      <c r="C29"/>
      <c r="D29"/>
      <c r="E29" s="2209" t="b">
        <f>IF(SUM(F7:F28)&lt;20,TRUE,FALSE)</f>
        <v>1</v>
      </c>
      <c r="F29" s="3169"/>
      <c r="G29" s="3169"/>
      <c r="H29" s="3169"/>
      <c r="I29" s="173"/>
      <c r="J29" s="173"/>
      <c r="K29" s="173"/>
      <c r="L29" s="173"/>
      <c r="M29" s="2209" t="b">
        <f>IF(SUM(N7:N28)&lt;20,TRUE,FALSE)</f>
        <v>1</v>
      </c>
      <c r="N29" s="173"/>
      <c r="O29" s="2225" t="s">
        <v>8500</v>
      </c>
    </row>
    <row r="30" spans="1:25" ht="15" thickBot="1">
      <c r="A30" s="9"/>
      <c r="C30" s="2890" t="s">
        <v>6261</v>
      </c>
      <c r="D30"/>
      <c r="E30" s="3169"/>
      <c r="F30" s="3169"/>
      <c r="G30" s="3169"/>
      <c r="H30" s="3169"/>
      <c r="I30" s="173"/>
      <c r="J30" s="173"/>
      <c r="K30" s="173"/>
      <c r="L30" s="173"/>
      <c r="M30" s="2209"/>
      <c r="O30" s="2225" t="s">
        <v>8501</v>
      </c>
      <c r="P30" s="3982" t="b">
        <f>AND(O33:S33)</f>
        <v>1</v>
      </c>
      <c r="Q30" s="3982"/>
      <c r="R30" s="3982"/>
      <c r="S30" s="3982"/>
      <c r="T30" s="3982"/>
      <c r="U30" s="3207"/>
      <c r="V30" s="3982" t="b">
        <f>AND(T33:W33)</f>
        <v>1</v>
      </c>
      <c r="W30" s="3982"/>
      <c r="X30" s="3982"/>
    </row>
    <row r="31" spans="1:25" ht="65">
      <c r="A31" s="9"/>
      <c r="C31" s="3175" t="s">
        <v>10214</v>
      </c>
      <c r="D31" s="2855" t="s">
        <v>5381</v>
      </c>
      <c r="E31" s="2855" t="s">
        <v>3198</v>
      </c>
      <c r="F31" s="2855" t="s">
        <v>8394</v>
      </c>
      <c r="G31" s="3172" t="s">
        <v>4655</v>
      </c>
      <c r="H31" s="3172" t="s">
        <v>10214</v>
      </c>
      <c r="I31" s="3172" t="s">
        <v>6189</v>
      </c>
      <c r="J31" s="2855" t="s">
        <v>10213</v>
      </c>
      <c r="K31" s="3170" t="s">
        <v>4183</v>
      </c>
      <c r="M31" s="3980" t="s">
        <v>8599</v>
      </c>
      <c r="N31" s="3980" t="s">
        <v>8600</v>
      </c>
      <c r="O31" s="3980" t="s">
        <v>8562</v>
      </c>
      <c r="P31" s="3980" t="s">
        <v>9938</v>
      </c>
      <c r="Q31" s="3980" t="s">
        <v>9939</v>
      </c>
      <c r="R31" s="3980" t="s">
        <v>9940</v>
      </c>
      <c r="S31" s="3980" t="s">
        <v>9941</v>
      </c>
      <c r="T31" s="3979" t="s">
        <v>7526</v>
      </c>
      <c r="U31" s="3979" t="s">
        <v>7527</v>
      </c>
      <c r="V31" s="3979" t="s">
        <v>9942</v>
      </c>
      <c r="W31" s="3979" t="s">
        <v>9943</v>
      </c>
      <c r="X31" s="3979" t="s">
        <v>7639</v>
      </c>
      <c r="Y31" s="3979" t="s">
        <v>8609</v>
      </c>
    </row>
    <row r="32" spans="1:25" ht="15" customHeight="1">
      <c r="A32" s="9"/>
      <c r="C32" s="3173" t="s">
        <v>4120</v>
      </c>
      <c r="D32" s="2532"/>
      <c r="E32" s="2532"/>
      <c r="F32" s="2532"/>
      <c r="G32" s="2532">
        <v>10019</v>
      </c>
      <c r="H32" s="2532" t="s">
        <v>4120</v>
      </c>
      <c r="I32" s="2532"/>
      <c r="J32" s="3176" t="s">
        <v>4626</v>
      </c>
      <c r="K32" s="3171"/>
      <c r="L32" s="2258"/>
      <c r="M32" s="3981"/>
      <c r="N32" s="3981"/>
      <c r="O32" s="3981"/>
      <c r="P32" s="3981"/>
      <c r="Q32" s="3981"/>
      <c r="R32" s="3981"/>
      <c r="S32" s="3981"/>
      <c r="T32" s="3979"/>
      <c r="U32" s="3979"/>
      <c r="V32" s="3979"/>
      <c r="W32" s="3979"/>
      <c r="X32" s="3979"/>
      <c r="Y32" s="3979"/>
    </row>
    <row r="33" spans="1:25" s="698" customFormat="1">
      <c r="A33" s="668"/>
      <c r="C33" s="1753" t="s">
        <v>4164</v>
      </c>
      <c r="D33" s="1753" t="s">
        <v>4165</v>
      </c>
      <c r="E33" s="1753" t="s">
        <v>4166</v>
      </c>
      <c r="F33" s="1753" t="s">
        <v>5500</v>
      </c>
      <c r="G33" s="1753" t="s">
        <v>4169</v>
      </c>
      <c r="H33" s="1753" t="s">
        <v>4168</v>
      </c>
      <c r="I33" s="1753" t="s">
        <v>4178</v>
      </c>
      <c r="J33" s="1753" t="s">
        <v>4179</v>
      </c>
      <c r="K33" s="1753" t="s">
        <v>4167</v>
      </c>
      <c r="L33" s="234"/>
      <c r="M33" s="2594">
        <f>SUMIF($G$34:$G$1012,"{52990000} Другие затраты",$J$34:$J$1012)</f>
        <v>0</v>
      </c>
      <c r="N33" s="2594">
        <f>SUMIF($G$34:$G$1012,"{14999900} Прочие услуги (работы) производственного характера",$J$34:$J$1012)</f>
        <v>0</v>
      </c>
      <c r="O33" s="2590" t="b">
        <f>AND(O34:O1005)</f>
        <v>1</v>
      </c>
      <c r="P33" s="2590" t="b">
        <f t="shared" ref="P33:Y33" si="2">AND(P34:P1005)</f>
        <v>1</v>
      </c>
      <c r="Q33" s="2590" t="b">
        <f t="shared" si="2"/>
        <v>1</v>
      </c>
      <c r="R33" s="2590" t="b">
        <f t="shared" si="2"/>
        <v>1</v>
      </c>
      <c r="S33" s="2590" t="b">
        <f t="shared" si="2"/>
        <v>1</v>
      </c>
      <c r="T33" s="2590" t="b">
        <f t="shared" si="2"/>
        <v>1</v>
      </c>
      <c r="U33" s="2590" t="b">
        <f t="shared" si="2"/>
        <v>1</v>
      </c>
      <c r="V33" s="2590" t="b">
        <f t="shared" si="2"/>
        <v>1</v>
      </c>
      <c r="W33" s="2590" t="b">
        <f t="shared" si="2"/>
        <v>1</v>
      </c>
      <c r="X33" s="2590" t="b">
        <f t="shared" si="2"/>
        <v>1</v>
      </c>
      <c r="Y33" s="2590" t="b">
        <f t="shared" si="2"/>
        <v>1</v>
      </c>
    </row>
    <row r="34" spans="1:25">
      <c r="A34" s="546" t="str">
        <f>"R11="&amp;IF(ISERROR(MID(C34,FIND("{",C34)+1,FIND("}",C34)-FIND("{",C34)-1)),"",MID(C34,FIND("{",C34)+1,FIND("}",C34)-FIND("{",C34)-1))&amp;";R42="&amp;IF(F34&lt;&gt;"-", F34,"")&amp;";R17="&amp;IF(ISERROR(MID(G34,FIND("{",G34)+1,FIND("}",G34)-FIND("{",G34)-1)),"","2210"&amp;MID(G34,FIND("{",G34)+1,FIND("}",G34)-FIND("{",G34)-1))&amp;";R18="&amp;IF(ISERROR(MID(H34,FIND("{",H34)+1,FIND("}",H34)-FIND("{",H34)-1)),"",MID(H34,FIND("{",H34)+1,FIND("}",H34)-FIND("{",H34)-1))&amp;";R31="&amp;I34&amp;";COM="&amp;K34</f>
        <v>R11=;R42=;R17=;R18=;R31=;COM=</v>
      </c>
      <c r="C34" s="1499"/>
      <c r="D34" s="2110"/>
      <c r="E34" s="2111" t="str">
        <f>IF(ISERROR(VLOOKUP(D34,Список_компаний!$A$4:$B$299,2,0)),"-",VLOOKUP(D34,Список_компаний!$A$4:$B$299,2,0))</f>
        <v>-</v>
      </c>
      <c r="F34" s="2111" t="str">
        <f>IF(ISERROR(VLOOKUP(D34,Список_компаний!$A$4:$C$299,3,0)),"-",VLOOKUP(D34,Список_компаний!$A$4:$C$299,3,0))</f>
        <v>-</v>
      </c>
      <c r="G34" s="2199"/>
      <c r="H34" s="1497"/>
      <c r="I34" s="2199"/>
      <c r="J34" s="1754"/>
      <c r="K34" s="246"/>
      <c r="L34" s="234" t="str">
        <f>IF(ISNA(VLOOKUP(D34,_icomp,1,0)),"Внешние","ВГО")</f>
        <v>Внешние</v>
      </c>
      <c r="N34" s="2225" t="s">
        <v>6079</v>
      </c>
      <c r="O34" s="24" t="b">
        <f>IF(I34&lt;&gt;"Прочее",AND(LEN(G34)&lt;2,LEN(H34)&lt;2),TRUE)</f>
        <v>1</v>
      </c>
      <c r="P34" s="196" t="b">
        <f>IF(I34="Прочее",OR(LEN(G34)&gt;2,LEN(H34)&gt;2),TRUE)</f>
        <v>1</v>
      </c>
      <c r="Q34" s="24" t="b">
        <f>IF(C34&lt;&gt;"",I34&lt;&gt;"",TRUE)</f>
        <v>1</v>
      </c>
      <c r="R34" s="24" t="b">
        <f>IF(AND(LEN(G34)&gt;2,LEN(H34)&gt;2),FALSE,TRUE)</f>
        <v>1</v>
      </c>
      <c r="S34" s="173" t="b">
        <f>IF(AND(I34="Прочее",NOT(OR(C34=$O$28,C34=$O$29,C34=$O$30,C34=$N$34,C34=$N$35,C34=$N$36,C34="{1340100} Доходы прошлых лет, выявленные в отчетном периоде (нетто)"))),LEN(H34)&lt;2,TRUE)</f>
        <v>1</v>
      </c>
      <c r="T34" s="1569" t="b">
        <f>IF(C34&lt;&gt;"",IF(ISNA(VLOOKUP(C34,_2240_доп,1,0)),FALSE,TRUE),TRUE)</f>
        <v>1</v>
      </c>
      <c r="U34" s="1569" t="b">
        <f>IF(C34&lt;&gt;"",IF(ISNA(VLOOKUP(D34,_comp,1,0)),FALSE,TRUE),TRUE)</f>
        <v>1</v>
      </c>
      <c r="V34" s="1569" t="b">
        <f>IF(AND(G34&lt;&gt;"",G34&lt;&gt;"X"),IF(ISNA(VLOOKUP(G34,_9019_1,1,0)),FALSE,TRUE),TRUE)</f>
        <v>1</v>
      </c>
      <c r="W34" s="1569" t="b">
        <f>IF(AND(H34&lt;&gt;"",H34&lt;&gt;"X"),IF(ISNA(VLOOKUP(H34,_2240,1,0)),FALSE,TRUE),TRUE)</f>
        <v>1</v>
      </c>
      <c r="X34" s="24" t="b">
        <f>OR(OR(NOT(ISERROR( FIND("Оценочные обязательства по прочим выплатам персоналу",G34,1))),ISERROR( FIND("Оценочные обязательства",G34,1))),NOT(ISERROR( FIND("проектной премии",G34,1))))</f>
        <v>1</v>
      </c>
      <c r="Y34" s="24" t="b">
        <f>IF(C34="{2750000} Затраты на аннулированные производственные заказы",TRUE,IF(C34="{1340100} Доходы прошлых лет, выявленные в отчетном периоде (нетто)",J34&lt;=0,J34&gt;=0))</f>
        <v>1</v>
      </c>
    </row>
    <row r="35" spans="1:25">
      <c r="A35" s="546" t="str">
        <f t="shared" ref="A35:A37" si="3">"R11="&amp;IF(ISERROR(MID(C35,FIND("{",C35)+1,FIND("}",C35)-FIND("{",C35)-1)),"",MID(C35,FIND("{",C35)+1,FIND("}",C35)-FIND("{",C35)-1))&amp;";R42="&amp;IF(F35&lt;&gt;"-", F35,"")&amp;";R17="&amp;IF(ISERROR(MID(G35,FIND("{",G35)+1,FIND("}",G35)-FIND("{",G35)-1)),"","2210"&amp;MID(G35,FIND("{",G35)+1,FIND("}",G35)-FIND("{",G35)-1))&amp;";R18="&amp;IF(ISERROR(MID(H35,FIND("{",H35)+1,FIND("}",H35)-FIND("{",H35)-1)),"",MID(H35,FIND("{",H35)+1,FIND("}",H35)-FIND("{",H35)-1))&amp;";R31="&amp;I35&amp;";COM="&amp;K35</f>
        <v>R11=;R42=;R17=;R18=;R31=;COM=</v>
      </c>
      <c r="C35" s="1499"/>
      <c r="D35" s="2110"/>
      <c r="E35" s="2111" t="str">
        <f>IF(ISERROR(VLOOKUP(D35,Список_компаний!$A$4:$B$299,2,0)),"-",VLOOKUP(D35,Список_компаний!$A$4:$B$299,2,0))</f>
        <v>-</v>
      </c>
      <c r="F35" s="2111" t="str">
        <f>IF(ISERROR(VLOOKUP(D35,Список_компаний!$A$4:$C$299,3,0)),"-",VLOOKUP(D35,Список_компаний!$A$4:$C$299,3,0))</f>
        <v>-</v>
      </c>
      <c r="G35" s="2199"/>
      <c r="H35" s="1497"/>
      <c r="I35" s="2199"/>
      <c r="J35" s="1754"/>
      <c r="K35" s="246"/>
      <c r="L35" s="234" t="str">
        <f>IF(ISNA(VLOOKUP(D35,_icomp,1,0)),"Внешние","ВГО")</f>
        <v>Внешние</v>
      </c>
      <c r="N35" s="2225" t="s">
        <v>4825</v>
      </c>
      <c r="O35" s="24" t="b">
        <f>IF(I35&lt;&gt;"Прочее",AND(LEN(G35)&lt;2,LEN(H35)&lt;2),TRUE)</f>
        <v>1</v>
      </c>
      <c r="P35" s="196" t="b">
        <f>IF(I35="Прочее",OR(LEN(G35)&gt;2,LEN(H35)&gt;2),TRUE)</f>
        <v>1</v>
      </c>
      <c r="Q35" s="24" t="b">
        <f>IF(C35&lt;&gt;"",I35&lt;&gt;"",TRUE)</f>
        <v>1</v>
      </c>
      <c r="R35" s="24" t="b">
        <f>IF(AND(LEN(G35)&gt;2,LEN(H35)&gt;2),FALSE,TRUE)</f>
        <v>1</v>
      </c>
      <c r="S35" s="173" t="b">
        <f t="shared" ref="S35:S37" si="4">IF(AND(I35="Прочее",NOT(OR(C35=$O$28,C35=$O$29,C35=$O$30,C35=$N$34,C35=$N$35,C35=$N$36,C35="{1340100} Доходы прошлых лет, выявленные в отчетном периоде (нетто)"))),LEN(H35)&lt;2,TRUE)</f>
        <v>1</v>
      </c>
      <c r="T35" s="1569" t="b">
        <f>IF(C35&lt;&gt;"",IF(ISNA(VLOOKUP(C35,_2240_доп,1,0)),FALSE,TRUE),TRUE)</f>
        <v>1</v>
      </c>
      <c r="U35" s="1569" t="b">
        <f>IF(C35&lt;&gt;"",IF(ISNA(VLOOKUP(D35,_comp,1,0)),FALSE,TRUE),TRUE)</f>
        <v>1</v>
      </c>
      <c r="V35" s="1569" t="b">
        <f>IF(AND(G35&lt;&gt;"",G35&lt;&gt;"X"),IF(ISNA(VLOOKUP(G35,_9019_1,1,0)),FALSE,TRUE),TRUE)</f>
        <v>1</v>
      </c>
      <c r="W35" s="1569" t="b">
        <f>IF(AND(H35&lt;&gt;"",H35&lt;&gt;"X"),IF(ISNA(VLOOKUP(H35,_2240,1,0)),FALSE,TRUE),TRUE)</f>
        <v>1</v>
      </c>
      <c r="X35" s="24" t="b">
        <f t="shared" ref="X35:X37" si="5">OR(OR(NOT(ISERROR( FIND("Оценочные обязательства по прочим выплатам персоналу",G35,1))),ISERROR( FIND("Оценочные обязательства",G35,1))),NOT(ISERROR( FIND("проектной премии",G35,1))))</f>
        <v>1</v>
      </c>
      <c r="Y35" s="24" t="b">
        <f t="shared" ref="Y35:Y37" si="6">IF(C35="{2750000} Затраты на аннулированные производственные заказы",TRUE,IF(C35="{1340100} Доходы прошлых лет, выявленные в отчетном периоде (нетто)",J35&lt;=0,J35&gt;=0))</f>
        <v>1</v>
      </c>
    </row>
    <row r="36" spans="1:25">
      <c r="A36" s="546" t="str">
        <f t="shared" si="3"/>
        <v>R11=;R42=;R17=;R18=;R31=;COM=</v>
      </c>
      <c r="C36" s="1499"/>
      <c r="D36" s="2110"/>
      <c r="E36" s="2111" t="str">
        <f>IF(ISERROR(VLOOKUP(D36,Список_компаний!$A$4:$B$299,2,0)),"-",VLOOKUP(D36,Список_компаний!$A$4:$B$299,2,0))</f>
        <v>-</v>
      </c>
      <c r="F36" s="2111" t="str">
        <f>IF(ISERROR(VLOOKUP(D36,Список_компаний!$A$4:$C$299,3,0)),"-",VLOOKUP(D36,Список_компаний!$A$4:$C$299,3,0))</f>
        <v>-</v>
      </c>
      <c r="G36" s="2199"/>
      <c r="H36" s="1497"/>
      <c r="I36" s="2199"/>
      <c r="J36" s="1754"/>
      <c r="K36" s="246"/>
      <c r="L36" s="234" t="str">
        <f>IF(ISNA(VLOOKUP(D36,_icomp,1,0)),"Внешние","ВГО")</f>
        <v>Внешние</v>
      </c>
      <c r="N36" s="2225" t="s">
        <v>3590</v>
      </c>
      <c r="O36" s="24" t="b">
        <f>IF(I36&lt;&gt;"Прочее",AND(LEN(G36)&lt;2,LEN(H36)&lt;2),TRUE)</f>
        <v>1</v>
      </c>
      <c r="P36" s="196" t="b">
        <f>IF(I36="Прочее",OR(LEN(G36)&gt;2,LEN(H36)&gt;2),TRUE)</f>
        <v>1</v>
      </c>
      <c r="Q36" s="24" t="b">
        <f>IF(C36&lt;&gt;"",I36&lt;&gt;"",TRUE)</f>
        <v>1</v>
      </c>
      <c r="R36" s="24" t="b">
        <f>IF(AND(LEN(G36)&gt;2,LEN(H36)&gt;2),FALSE,TRUE)</f>
        <v>1</v>
      </c>
      <c r="S36" s="173" t="b">
        <f t="shared" si="4"/>
        <v>1</v>
      </c>
      <c r="T36" s="1569" t="b">
        <f>IF(C36&lt;&gt;"",IF(ISNA(VLOOKUP(C36,_2240_доп,1,0)),FALSE,TRUE),TRUE)</f>
        <v>1</v>
      </c>
      <c r="U36" s="1569" t="b">
        <f>IF(C36&lt;&gt;"",IF(ISNA(VLOOKUP(D36,_comp,1,0)),FALSE,TRUE),TRUE)</f>
        <v>1</v>
      </c>
      <c r="V36" s="1569" t="b">
        <f>IF(AND(G36&lt;&gt;"",G36&lt;&gt;"X"),IF(ISNA(VLOOKUP(G36,_9019_1,1,0)),FALSE,TRUE),TRUE)</f>
        <v>1</v>
      </c>
      <c r="W36" s="1569" t="b">
        <f>IF(AND(H36&lt;&gt;"",H36&lt;&gt;"X"),IF(ISNA(VLOOKUP(H36,_2240,1,0)),FALSE,TRUE),TRUE)</f>
        <v>1</v>
      </c>
      <c r="X36" s="24" t="b">
        <f t="shared" si="5"/>
        <v>1</v>
      </c>
      <c r="Y36" s="24" t="b">
        <f t="shared" si="6"/>
        <v>1</v>
      </c>
    </row>
    <row r="37" spans="1:25" ht="15" thickBot="1">
      <c r="A37" s="546" t="str">
        <f t="shared" si="3"/>
        <v>R11=;R42=;R17=;R18=;R31=;COM=</v>
      </c>
      <c r="C37" s="1499"/>
      <c r="D37" s="2110"/>
      <c r="E37" s="2927" t="str">
        <f>IF(ISERROR(VLOOKUP(D37,Список_компаний!$A$4:$B$299,2,0)),"-",VLOOKUP(D37,Список_компаний!$A$4:$B$299,2,0))</f>
        <v>-</v>
      </c>
      <c r="F37" s="2927" t="str">
        <f>IF(ISERROR(VLOOKUP(D37,Список_компаний!$A$4:$C$299,3,0)),"-",VLOOKUP(D37,Список_компаний!$A$4:$C$299,3,0))</f>
        <v>-</v>
      </c>
      <c r="G37" s="2199"/>
      <c r="H37" s="1497"/>
      <c r="I37" s="2199"/>
      <c r="J37" s="1754"/>
      <c r="K37" s="1555"/>
      <c r="L37" s="234" t="str">
        <f>IF(ISNA(VLOOKUP(D37,_icomp,1,0)),"Внешние","ВГО")</f>
        <v>Внешние</v>
      </c>
      <c r="O37" s="24" t="b">
        <f>IF(I37&lt;&gt;"Прочее",AND(LEN(G37)&lt;2,LEN(H37)&lt;2),TRUE)</f>
        <v>1</v>
      </c>
      <c r="P37" s="196" t="b">
        <f>IF(I37="Прочее",OR(LEN(G37)&gt;2,LEN(H37)&gt;2),TRUE)</f>
        <v>1</v>
      </c>
      <c r="Q37" s="24" t="b">
        <f>IF(C37&lt;&gt;"",I37&lt;&gt;"",TRUE)</f>
        <v>1</v>
      </c>
      <c r="R37" s="24" t="b">
        <f>IF(AND(LEN(G37)&gt;2,LEN(H37)&gt;2),FALSE,TRUE)</f>
        <v>1</v>
      </c>
      <c r="S37" s="173" t="b">
        <f t="shared" si="4"/>
        <v>1</v>
      </c>
      <c r="T37" s="1569" t="b">
        <f>IF(C37&lt;&gt;"",IF(ISNA(VLOOKUP(C37,_2240_доп,1,0)),FALSE,TRUE),TRUE)</f>
        <v>1</v>
      </c>
      <c r="U37" s="1569" t="b">
        <f>IF(C37&lt;&gt;"",IF(ISNA(VLOOKUP(D37,_comp,1,0)),FALSE,TRUE),TRUE)</f>
        <v>1</v>
      </c>
      <c r="V37" s="1569" t="b">
        <f>IF(AND(G37&lt;&gt;"",G37&lt;&gt;"X"),IF(ISNA(VLOOKUP(G37,_9019_1,1,0)),FALSE,TRUE),TRUE)</f>
        <v>1</v>
      </c>
      <c r="W37" s="1569" t="b">
        <f>IF(AND(H37&lt;&gt;"",H37&lt;&gt;"X"),IF(ISNA(VLOOKUP(H37,_2240,1,0)),FALSE,TRUE),TRUE)</f>
        <v>1</v>
      </c>
      <c r="X37" s="24" t="b">
        <f t="shared" si="5"/>
        <v>1</v>
      </c>
      <c r="Y37" s="24" t="b">
        <f t="shared" si="6"/>
        <v>1</v>
      </c>
    </row>
    <row r="38" spans="1:25" ht="12.5">
      <c r="A38" s="24"/>
      <c r="M38" s="234"/>
    </row>
    <row r="39" spans="1:25" ht="12.5">
      <c r="A39" s="24"/>
      <c r="M39" s="234"/>
    </row>
    <row r="40" spans="1:25" ht="12.5">
      <c r="A40" s="24"/>
      <c r="M40" s="234"/>
    </row>
    <row r="41" spans="1:25" ht="12.5">
      <c r="A41" s="24"/>
      <c r="M41" s="234"/>
    </row>
    <row r="42" spans="1:25" ht="12.5">
      <c r="A42" s="24"/>
      <c r="M42" s="234"/>
    </row>
    <row r="43" spans="1:25" ht="12.5">
      <c r="A43" s="24"/>
      <c r="M43" s="234"/>
    </row>
    <row r="44" spans="1:25" ht="12.5">
      <c r="A44" s="24"/>
      <c r="M44" s="234"/>
    </row>
    <row r="45" spans="1:25" ht="12.5">
      <c r="A45" s="24"/>
    </row>
    <row r="46" spans="1:25" ht="12.5">
      <c r="A46" s="24"/>
    </row>
    <row r="47" spans="1:25" ht="12.5">
      <c r="A47" s="24"/>
    </row>
    <row r="48" spans="1:25" ht="12.5">
      <c r="A48" s="24"/>
    </row>
    <row r="49" spans="1:1" ht="12.5">
      <c r="A49" s="24"/>
    </row>
    <row r="50" spans="1:1" ht="12.5">
      <c r="A50" s="24"/>
    </row>
    <row r="51" spans="1:1" ht="12.5">
      <c r="A51" s="24"/>
    </row>
    <row r="52" spans="1:1" ht="12.5">
      <c r="A52" s="24"/>
    </row>
    <row r="53" spans="1:1" ht="12.5">
      <c r="A53" s="24"/>
    </row>
    <row r="54" spans="1:1" ht="12.5">
      <c r="A54" s="24"/>
    </row>
    <row r="55" spans="1:1" ht="12.5">
      <c r="A55" s="24"/>
    </row>
    <row r="56" spans="1:1" ht="12.5">
      <c r="A56" s="24"/>
    </row>
    <row r="57" spans="1:1" ht="12.5">
      <c r="A57" s="24"/>
    </row>
    <row r="58" spans="1:1" ht="12.5">
      <c r="A58" s="24"/>
    </row>
    <row r="59" spans="1:1" ht="12.5">
      <c r="A59" s="24"/>
    </row>
    <row r="60" spans="1:1" ht="12.5">
      <c r="A60" s="24"/>
    </row>
    <row r="61" spans="1:1" ht="12.5">
      <c r="A61" s="24"/>
    </row>
    <row r="62" spans="1:1" ht="12.5">
      <c r="A62" s="24"/>
    </row>
    <row r="63" spans="1:1" ht="12.5">
      <c r="A63" s="24"/>
    </row>
    <row r="64" spans="1:1" ht="12.5">
      <c r="A64" s="24"/>
    </row>
    <row r="65" spans="1:1" ht="12.5">
      <c r="A65" s="24"/>
    </row>
    <row r="66" spans="1:1" ht="12.5">
      <c r="A66" s="24"/>
    </row>
    <row r="67" spans="1:1" ht="12.5">
      <c r="A67" s="24"/>
    </row>
    <row r="68" spans="1:1" ht="12.5">
      <c r="A68" s="24"/>
    </row>
    <row r="69" spans="1:1" ht="12.5">
      <c r="A69" s="24"/>
    </row>
    <row r="70" spans="1:1" ht="12.5">
      <c r="A70" s="24"/>
    </row>
    <row r="71" spans="1:1" ht="12.5">
      <c r="A71" s="24"/>
    </row>
    <row r="72" spans="1:1" ht="12.5">
      <c r="A72" s="24"/>
    </row>
    <row r="73" spans="1:1" ht="12.5">
      <c r="A73" s="24"/>
    </row>
    <row r="74" spans="1:1" ht="12.5">
      <c r="A74" s="24"/>
    </row>
    <row r="75" spans="1:1" ht="12.5">
      <c r="A75" s="24"/>
    </row>
    <row r="76" spans="1:1" ht="12.5">
      <c r="A76" s="24"/>
    </row>
    <row r="77" spans="1:1" ht="12.5">
      <c r="A77" s="24"/>
    </row>
    <row r="78" spans="1:1" ht="12.5">
      <c r="A78" s="24"/>
    </row>
    <row r="79" spans="1:1" ht="12.5">
      <c r="A79" s="24"/>
    </row>
    <row r="80" spans="1:1" ht="12.5">
      <c r="A80" s="24"/>
    </row>
    <row r="81" spans="1:1" ht="12.5">
      <c r="A81" s="24"/>
    </row>
    <row r="82" spans="1:1" ht="12.5">
      <c r="A82" s="24"/>
    </row>
    <row r="83" spans="1:1" ht="12.5">
      <c r="A83" s="24"/>
    </row>
    <row r="84" spans="1:1" ht="12.5">
      <c r="A84" s="24"/>
    </row>
    <row r="85" spans="1:1" ht="12.5">
      <c r="A85" s="24"/>
    </row>
    <row r="86" spans="1:1" ht="12.5">
      <c r="A86" s="24"/>
    </row>
    <row r="87" spans="1:1" ht="12.5">
      <c r="A87" s="24"/>
    </row>
    <row r="88" spans="1:1" ht="12.5">
      <c r="A88" s="24"/>
    </row>
    <row r="89" spans="1:1" ht="12.5">
      <c r="A89" s="24"/>
    </row>
    <row r="90" spans="1:1" ht="12.5">
      <c r="A90" s="24"/>
    </row>
    <row r="91" spans="1:1" ht="12.5">
      <c r="A91" s="24"/>
    </row>
    <row r="92" spans="1:1" ht="12.5">
      <c r="A92" s="24"/>
    </row>
    <row r="93" spans="1:1" ht="12.5">
      <c r="A93" s="24"/>
    </row>
    <row r="94" spans="1:1" ht="12.5">
      <c r="A94" s="24"/>
    </row>
    <row r="95" spans="1:1" ht="12.5">
      <c r="A95" s="24"/>
    </row>
    <row r="96" spans="1:1" ht="12.5">
      <c r="A96" s="24"/>
    </row>
    <row r="97" spans="1:1" ht="12.5">
      <c r="A97" s="24"/>
    </row>
    <row r="98" spans="1:1" ht="12.5">
      <c r="A98" s="24"/>
    </row>
    <row r="99" spans="1:1" ht="12.5">
      <c r="A99" s="24"/>
    </row>
    <row r="100" spans="1:1" ht="12.5">
      <c r="A100" s="24"/>
    </row>
    <row r="101" spans="1:1" ht="12.5">
      <c r="A101" s="24"/>
    </row>
    <row r="102" spans="1:1" ht="12.5">
      <c r="A102" s="24"/>
    </row>
    <row r="103" spans="1:1" ht="12.5">
      <c r="A103" s="24"/>
    </row>
    <row r="104" spans="1:1" ht="12.5">
      <c r="A104" s="24"/>
    </row>
    <row r="105" spans="1:1" ht="12.5">
      <c r="A105" s="24"/>
    </row>
    <row r="106" spans="1:1" ht="12.5">
      <c r="A106" s="24"/>
    </row>
    <row r="107" spans="1:1" ht="12.5">
      <c r="A107" s="24"/>
    </row>
    <row r="108" spans="1:1" ht="12.5">
      <c r="A108" s="24"/>
    </row>
  </sheetData>
  <sheetProtection algorithmName="SHA-512" hashValue="vnh2YfJDgKpDxzsmLKd+2lprohtRXGBVjcE2p9x9TVd32niITh8WwBKxSmfy6ACAJ0+nDUUjKd7Dx5UJG+u4Sg==" saltValue="VsRcH7EdkeLr6Cu7glEMiA==" spinCount="100000" sheet="1" objects="1" scenarios="1" formatColumns="0" formatRows="0" autoFilter="0"/>
  <autoFilter ref="A33:Y33"/>
  <mergeCells count="15">
    <mergeCell ref="P30:T30"/>
    <mergeCell ref="S31:S32"/>
    <mergeCell ref="Q31:Q32"/>
    <mergeCell ref="P31:P32"/>
    <mergeCell ref="X31:X32"/>
    <mergeCell ref="T31:T32"/>
    <mergeCell ref="V31:V32"/>
    <mergeCell ref="W31:W32"/>
    <mergeCell ref="V30:X30"/>
    <mergeCell ref="U31:U32"/>
    <mergeCell ref="Y31:Y32"/>
    <mergeCell ref="M31:M32"/>
    <mergeCell ref="N31:N32"/>
    <mergeCell ref="O31:O32"/>
    <mergeCell ref="R31:R32"/>
  </mergeCells>
  <conditionalFormatting sqref="M33">
    <cfRule type="cellIs" dxfId="19" priority="7" stopIfTrue="1" operator="greaterThan">
      <formula>1000</formula>
    </cfRule>
    <cfRule type="cellIs" dxfId="18" priority="8" stopIfTrue="1" operator="greaterThan">
      <formula>1000</formula>
    </cfRule>
  </conditionalFormatting>
  <conditionalFormatting sqref="N33">
    <cfRule type="cellIs" dxfId="17" priority="3" stopIfTrue="1" operator="greaterThan">
      <formula>1000</formula>
    </cfRule>
    <cfRule type="cellIs" dxfId="16" priority="4" stopIfTrue="1" operator="greaterThan">
      <formula>1000</formula>
    </cfRule>
  </conditionalFormatting>
  <dataValidations count="10">
    <dataValidation type="list" operator="equal" allowBlank="1" showErrorMessage="1" errorTitle="Выбор элемента списка" error="Данного элемента нет в списке" sqref="AY65406:AY65409">
      <formula1>_2240Расходы_</formula1>
    </dataValidation>
    <dataValidation type="list" operator="equal" allowBlank="1" showErrorMessage="1" errorTitle="Выбор элемента списка" error="Данного элемента нет в списке" sqref="AZ65406:AZ65409">
      <formula1>_1010_</formula1>
    </dataValidation>
    <dataValidation type="list" operator="equal" allowBlank="1" showErrorMessage="1" errorTitle="Выбор элемента списка" error="Данного элемента нет в списке" sqref="C34:C37">
      <formula1>_2240_доп</formula1>
    </dataValidation>
    <dataValidation operator="equal" allowBlank="1" showErrorMessage="1" errorTitle="Выбор элемента списка" error="Данного элемента нет в списке" sqref="O30"/>
    <dataValidation type="list" operator="equal" allowBlank="1" showErrorMessage="1" errorTitle="Выбор элемента списка" error="Данного элемента нет в списке" sqref="F34:F37">
      <formula1>IF(J34="Прочее",_9019_1,_X)</formula1>
    </dataValidation>
    <dataValidation type="list" operator="equal" allowBlank="1" showErrorMessage="1" errorTitle="Выбор элемента списка" error="Данного элемента нет в списке" sqref="E34:E37">
      <formula1>IF(J34="Прочее",_9019_1,_X)</formula1>
    </dataValidation>
    <dataValidation type="list" operator="equal" allowBlank="1" showErrorMessage="1" errorTitle="Выбор элемента списка" error="Данного элемента нет в списке" sqref="D34:D37">
      <formula1>_comp</formula1>
    </dataValidation>
    <dataValidation type="list" operator="equal" allowBlank="1" showErrorMessage="1" errorTitle="Выбор элемента списка" error="Данного элемента нет в списке" sqref="G34:G37">
      <formula1>IF(AND(I34="Прочее",C34&lt;&gt;"{1340100} Доходы прошлых лет, выявленные в отчетном периоде (нетто)"),_9019_1,_X)</formula1>
    </dataValidation>
    <dataValidation type="list" operator="equal" allowBlank="1" showErrorMessage="1" errorTitle="Выбор элемента списка" error="Данного элемента нет в списке" sqref="H34:H37">
      <formula1>IF(OR(C34=$O$28,C34=$O$29,C34=$O$30,C34=$N$35,C34=$N$34,C34=$N$36),IF(I34="Прочее",_2240_Расходы,_X),IF(C34="{1340100} Доходы прошлых лет, выявленные в отчетном периоде (нетто)",_2240_Доходы,_X))</formula1>
    </dataValidation>
    <dataValidation type="list" operator="equal" allowBlank="1" showErrorMessage="1" errorTitle="Выбор элемента списка" error="Данного элемента нет в списке" sqref="I34:I37">
      <formula1>IF(C34="{1340100} Доходы прошлых лет, выявленные в отчетном периоде (нетто)",$O$26,_расш_корр)</formula1>
    </dataValidation>
  </dataValidations>
  <hyperlinks>
    <hyperlink ref="K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 macro="[0]!AddButtonsRowAdd">
                <anchor moveWithCells="1">
                  <from>
                    <xdr:col>8</xdr:col>
                    <xdr:colOff>190500</xdr:colOff>
                    <xdr:row>2</xdr:row>
                    <xdr:rowOff>107950</xdr:rowOff>
                  </from>
                  <to>
                    <xdr:col>9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pageSetUpPr fitToPage="1"/>
  </sheetPr>
  <dimension ref="A1:L1369"/>
  <sheetViews>
    <sheetView topLeftCell="B2" zoomScale="74" zoomScaleNormal="74" workbookViewId="0">
      <selection activeCell="C9" sqref="C9"/>
    </sheetView>
  </sheetViews>
  <sheetFormatPr defaultColWidth="9.453125" defaultRowHeight="14.5"/>
  <cols>
    <col min="1" max="1" width="17" style="1163" hidden="1" customWidth="1"/>
    <col min="2" max="2" width="1.54296875" style="1163" customWidth="1"/>
    <col min="3" max="3" width="17" style="1163" customWidth="1"/>
    <col min="4" max="4" width="15" style="1163" customWidth="1"/>
    <col min="5" max="5" width="15" style="1564" customWidth="1"/>
    <col min="6" max="6" width="33.54296875" style="1163" customWidth="1"/>
    <col min="7" max="7" width="34.453125" style="1163" customWidth="1"/>
    <col min="8" max="8" width="41" style="1163" bestFit="1" customWidth="1"/>
    <col min="9" max="9" width="13.54296875" style="1163" customWidth="1"/>
    <col min="10" max="11" width="15.453125" style="1163" customWidth="1"/>
    <col min="12" max="12" width="14.453125" style="1163" customWidth="1"/>
    <col min="13" max="16384" width="9.453125" style="1163"/>
  </cols>
  <sheetData>
    <row r="1" spans="1:12" ht="53.25" hidden="1" customHeight="1">
      <c r="A1" s="70" t="s">
        <v>5269</v>
      </c>
      <c r="B1" s="6"/>
      <c r="C1" s="6"/>
      <c r="D1" s="6"/>
      <c r="E1" s="267"/>
      <c r="F1" s="6"/>
      <c r="G1" s="6" t="s">
        <v>1008</v>
      </c>
      <c r="H1" s="6"/>
    </row>
    <row r="2" spans="1:12" s="1778" customFormat="1">
      <c r="A2" s="7"/>
      <c r="C2" s="1932"/>
      <c r="D2" s="1932"/>
      <c r="F2" s="1778" t="s">
        <v>1648</v>
      </c>
      <c r="G2" s="1778" t="s">
        <v>1648</v>
      </c>
    </row>
    <row r="3" spans="1:12">
      <c r="A3" s="7"/>
      <c r="C3" s="424" t="s">
        <v>8556</v>
      </c>
      <c r="D3" s="424"/>
      <c r="E3" s="1799"/>
      <c r="F3"/>
      <c r="G3" s="1897" t="s">
        <v>2067</v>
      </c>
      <c r="H3" s="1244">
        <f>Содержание!$D$2</f>
        <v>0</v>
      </c>
    </row>
    <row r="4" spans="1:12" ht="15" thickBot="1">
      <c r="A4" s="7"/>
      <c r="D4" s="1163" t="b">
        <f t="array" ref="D4">IF(SMALL(IF(""=C9:C2700,ROW(C9:C2700),2700),1)&gt;LARGE(IF(""&lt;&gt;C9:C2700,ROW(C9:C2700),0),1),TRUE,FALSE)</f>
        <v>1</v>
      </c>
      <c r="E4" s="3044" t="s">
        <v>1436</v>
      </c>
      <c r="G4" s="1897" t="s">
        <v>2075</v>
      </c>
      <c r="H4" s="1244" t="str">
        <f>Содержание!$D$15</f>
        <v>2022 год</v>
      </c>
    </row>
    <row r="5" spans="1:12" ht="78">
      <c r="A5" s="7"/>
      <c r="C5" s="436" t="s">
        <v>3198</v>
      </c>
      <c r="D5" s="3167" t="s">
        <v>8394</v>
      </c>
      <c r="E5" s="436" t="s">
        <v>5381</v>
      </c>
      <c r="F5" s="435" t="s">
        <v>8601</v>
      </c>
      <c r="G5" s="435" t="s">
        <v>4130</v>
      </c>
      <c r="H5" s="434" t="s">
        <v>3401</v>
      </c>
      <c r="I5" s="3983" t="s">
        <v>5855</v>
      </c>
      <c r="J5" s="3983" t="s">
        <v>8602</v>
      </c>
      <c r="K5" s="3983" t="s">
        <v>8146</v>
      </c>
      <c r="L5" s="2830"/>
    </row>
    <row r="6" spans="1:12">
      <c r="A6" s="7"/>
      <c r="C6" s="1795">
        <v>6004</v>
      </c>
      <c r="D6" s="2361" t="s">
        <v>5247</v>
      </c>
      <c r="E6" s="437" t="s">
        <v>5247</v>
      </c>
      <c r="F6" s="174">
        <v>9058</v>
      </c>
      <c r="G6" s="174" t="s">
        <v>669</v>
      </c>
      <c r="H6" s="433"/>
      <c r="I6" s="3789"/>
      <c r="J6" s="3789"/>
      <c r="K6" s="3789"/>
      <c r="L6" s="2830"/>
    </row>
    <row r="7" spans="1:12" s="674" customFormat="1" ht="11.25" customHeight="1">
      <c r="A7" s="668"/>
      <c r="C7" s="1798" t="s">
        <v>4164</v>
      </c>
      <c r="D7" s="1798" t="s">
        <v>4165</v>
      </c>
      <c r="E7" s="1798" t="s">
        <v>4166</v>
      </c>
      <c r="F7" s="1798" t="s">
        <v>5500</v>
      </c>
      <c r="G7" s="1798" t="s">
        <v>4169</v>
      </c>
      <c r="H7" s="1798" t="s">
        <v>4168</v>
      </c>
      <c r="I7" s="24"/>
    </row>
    <row r="8" spans="1:12" s="646" customFormat="1">
      <c r="A8" s="643"/>
      <c r="C8" s="1072" t="s">
        <v>4170</v>
      </c>
      <c r="D8" s="1800" t="s">
        <v>3389</v>
      </c>
      <c r="E8" s="1800" t="s">
        <v>3389</v>
      </c>
      <c r="F8" s="997" t="s">
        <v>3389</v>
      </c>
      <c r="G8" s="861">
        <f>SUM(G9:G1500)</f>
        <v>0</v>
      </c>
      <c r="H8" s="1073" t="s">
        <v>3389</v>
      </c>
      <c r="I8" s="1253" t="b">
        <f>AND(I9:I20)</f>
        <v>1</v>
      </c>
      <c r="J8" s="1253" t="b">
        <f>AND(J9:J20)</f>
        <v>1</v>
      </c>
      <c r="K8" s="1253" t="b">
        <f>AND(K9:K20)</f>
        <v>1</v>
      </c>
    </row>
    <row r="9" spans="1:12">
      <c r="A9" s="9" t="str">
        <f t="shared" ref="A9:A20" si="0">"R42="&amp;IF(D9&lt;&gt;"-",D9,C9)&amp;";R25="&amp;IFERROR(MID(F9,FIND("{",F9)+1,FIND("}",F9)-FIND("{",F9)-1),"")&amp;";R36="&amp;MID(D9,1,30)&amp;";R43="&amp;MID(C9,1,30)&amp;";COM="&amp;H9</f>
        <v>R42=;R25=;R36=-;R43=;COM=</v>
      </c>
      <c r="C9" s="2956"/>
      <c r="D9" s="1801" t="str">
        <f>IF(ISERROR(VLOOKUP(C9,Справочник!$BH$3:$BJ$3000,3,0)),"-",VLOOKUP(C9,Справочник!$BH$3:$BJ$3000,3,0))</f>
        <v>-</v>
      </c>
      <c r="E9" s="1801" t="str">
        <f>IF(ISERROR(VLOOKUP(C9,Справочник!$BH$3:$BI$3000,2,0)),"-",VLOOKUP(C9,Справочник!$BH$3:$BI$3000,2,0))</f>
        <v>-</v>
      </c>
      <c r="F9" s="1056"/>
      <c r="G9" s="1074"/>
      <c r="H9" s="1075"/>
      <c r="I9" s="1163" t="b">
        <f t="shared" ref="I9:I21" si="1">IF(OR(C9=7706729140,C9=5256065824,C9=7704765961,C9=1402048660),"ИСТИНА",IF((IFERROR(VLOOKUP(C9,_icompindex,1,FALSE),"ИСТИНА"))="ИСТИНА",TRUE,FALSE))</f>
        <v>1</v>
      </c>
      <c r="J9" s="1163" t="b">
        <f>IF(G9="",TRUE,G9&gt;0)</f>
        <v>1</v>
      </c>
      <c r="K9" s="2830" t="b">
        <f t="shared" ref="K9" si="2">IF(C9&lt;&gt;0,IF(OR(F9="0",F9=0,F9="",G9="0",G9=0,G9=""),FALSE,TRUE),TRUE)</f>
        <v>1</v>
      </c>
    </row>
    <row r="10" spans="1:12">
      <c r="A10" s="2427" t="str">
        <f t="shared" si="0"/>
        <v>R42=;R25=;R36=-;R43=;COM=</v>
      </c>
      <c r="C10" s="1055"/>
      <c r="D10" s="1801" t="str">
        <f>IF(ISERROR(VLOOKUP(C10,Справочник!$BH$3:$BJ$3000,3,0)),"-",VLOOKUP(C10,Справочник!$BH$3:$BJ$3000,3,0))</f>
        <v>-</v>
      </c>
      <c r="E10" s="1801" t="str">
        <f>IF(ISERROR(VLOOKUP(C10,Справочник!$BH$3:$BI$3000,2,0)),"-",VLOOKUP(C10,Справочник!$BH$3:$BI$3000,2,0))</f>
        <v>-</v>
      </c>
      <c r="F10" s="1056"/>
      <c r="G10" s="1074"/>
      <c r="H10" s="1075"/>
      <c r="I10" s="2830" t="b">
        <f t="shared" si="1"/>
        <v>1</v>
      </c>
      <c r="J10" s="2830" t="b">
        <f t="shared" ref="J10:J21" si="3">IF(G10="",TRUE,G10&gt;0)</f>
        <v>1</v>
      </c>
      <c r="K10" s="1163" t="b">
        <f>IF(C10&lt;&gt;0,IF(OR(F10="0",F10=0,F10="",G10="0",G10=0,G10=""),FALSE,TRUE),TRUE)</f>
        <v>1</v>
      </c>
    </row>
    <row r="11" spans="1:12">
      <c r="A11" s="2427" t="str">
        <f t="shared" si="0"/>
        <v>R42=;R25=;R36=-;R43=;COM=</v>
      </c>
      <c r="C11" s="1055"/>
      <c r="D11" s="1801" t="str">
        <f>IF(ISERROR(VLOOKUP(C11,Справочник!$BH$3:$BJ$3000,3,0)),"-",VLOOKUP(C11,Справочник!$BH$3:$BJ$3000,3,0))</f>
        <v>-</v>
      </c>
      <c r="E11" s="1801" t="str">
        <f>IF(ISERROR(VLOOKUP(C11,Справочник!$BH$3:$BI$3000,2,0)),"-",VLOOKUP(C11,Справочник!$BH$3:$BI$3000,2,0))</f>
        <v>-</v>
      </c>
      <c r="F11" s="1056"/>
      <c r="G11" s="1074"/>
      <c r="H11" s="1075"/>
      <c r="I11" s="2830" t="b">
        <f t="shared" si="1"/>
        <v>1</v>
      </c>
      <c r="J11" s="2830" t="b">
        <f t="shared" si="3"/>
        <v>1</v>
      </c>
      <c r="K11" s="2830" t="b">
        <f t="shared" ref="K11:K21" si="4">IF(C11&lt;&gt;0,IF(OR(F11="0",F11=0,F11="",G11="0",G11=0,G11=""),FALSE,TRUE),TRUE)</f>
        <v>1</v>
      </c>
    </row>
    <row r="12" spans="1:12">
      <c r="A12" s="2427" t="str">
        <f t="shared" si="0"/>
        <v>R42=;R25=;R36=-;R43=;COM=</v>
      </c>
      <c r="C12" s="1055"/>
      <c r="D12" s="1801" t="str">
        <f>IF(ISERROR(VLOOKUP(C12,Справочник!$BH$3:$BJ$3000,3,0)),"-",VLOOKUP(C12,Справочник!$BH$3:$BJ$3000,3,0))</f>
        <v>-</v>
      </c>
      <c r="E12" s="1801" t="str">
        <f>IF(ISERROR(VLOOKUP(C12,Справочник!$BH$3:$BI$3000,2,0)),"-",VLOOKUP(C12,Справочник!$BH$3:$BI$3000,2,0))</f>
        <v>-</v>
      </c>
      <c r="F12" s="1056"/>
      <c r="G12" s="1074"/>
      <c r="H12" s="1075"/>
      <c r="I12" s="2830" t="b">
        <f t="shared" si="1"/>
        <v>1</v>
      </c>
      <c r="J12" s="2830" t="b">
        <f t="shared" si="3"/>
        <v>1</v>
      </c>
      <c r="K12" s="2830" t="b">
        <f t="shared" si="4"/>
        <v>1</v>
      </c>
    </row>
    <row r="13" spans="1:12">
      <c r="A13" s="2427" t="str">
        <f t="shared" si="0"/>
        <v>R42=;R25=;R36=-;R43=;COM=</v>
      </c>
      <c r="C13" s="1055"/>
      <c r="D13" s="1801" t="str">
        <f>IF(ISERROR(VLOOKUP(C13,Справочник!$BH$3:$BJ$3000,3,0)),"-",VLOOKUP(C13,Справочник!$BH$3:$BJ$3000,3,0))</f>
        <v>-</v>
      </c>
      <c r="E13" s="1801" t="str">
        <f>IF(ISERROR(VLOOKUP(C13,Справочник!$BH$3:$BI$3000,2,0)),"-",VLOOKUP(C13,Справочник!$BH$3:$BI$3000,2,0))</f>
        <v>-</v>
      </c>
      <c r="F13" s="1056"/>
      <c r="G13" s="1074"/>
      <c r="H13" s="1075"/>
      <c r="I13" s="2830" t="b">
        <f t="shared" si="1"/>
        <v>1</v>
      </c>
      <c r="J13" s="2830" t="b">
        <f t="shared" si="3"/>
        <v>1</v>
      </c>
      <c r="K13" s="2830" t="b">
        <f t="shared" si="4"/>
        <v>1</v>
      </c>
    </row>
    <row r="14" spans="1:12" ht="15.75" customHeight="1">
      <c r="A14" s="2427" t="str">
        <f t="shared" si="0"/>
        <v>R42=;R25=;R36=-;R43=;COM=</v>
      </c>
      <c r="C14" s="1055"/>
      <c r="D14" s="1801" t="str">
        <f>IF(ISERROR(VLOOKUP(C14,Справочник!$BH$3:$BJ$3000,3,0)),"-",VLOOKUP(C14,Справочник!$BH$3:$BJ$3000,3,0))</f>
        <v>-</v>
      </c>
      <c r="E14" s="1801" t="str">
        <f>IF(ISERROR(VLOOKUP(C14,Справочник!$BH$3:$BI$3000,2,0)),"-",VLOOKUP(C14,Справочник!$BH$3:$BI$3000,2,0))</f>
        <v>-</v>
      </c>
      <c r="F14" s="1056"/>
      <c r="G14" s="1074"/>
      <c r="H14" s="1075"/>
      <c r="I14" s="2830" t="b">
        <f t="shared" si="1"/>
        <v>1</v>
      </c>
      <c r="J14" s="2830" t="b">
        <f t="shared" si="3"/>
        <v>1</v>
      </c>
      <c r="K14" s="2830" t="b">
        <f t="shared" si="4"/>
        <v>1</v>
      </c>
    </row>
    <row r="15" spans="1:12">
      <c r="A15" s="2427" t="str">
        <f t="shared" si="0"/>
        <v>R42=;R25=;R36=-;R43=;COM=</v>
      </c>
      <c r="C15" s="1055"/>
      <c r="D15" s="1801" t="str">
        <f>IF(ISERROR(VLOOKUP(C15,Справочник!$BH$3:$BJ$3000,3,0)),"-",VLOOKUP(C15,Справочник!$BH$3:$BJ$3000,3,0))</f>
        <v>-</v>
      </c>
      <c r="E15" s="1801" t="str">
        <f>IF(ISERROR(VLOOKUP(C15,Справочник!$BH$3:$BI$3000,2,0)),"-",VLOOKUP(C15,Справочник!$BH$3:$BI$3000,2,0))</f>
        <v>-</v>
      </c>
      <c r="F15" s="1056"/>
      <c r="G15" s="1074"/>
      <c r="H15" s="1075"/>
      <c r="I15" s="2830" t="b">
        <f t="shared" si="1"/>
        <v>1</v>
      </c>
      <c r="J15" s="2830" t="b">
        <f t="shared" si="3"/>
        <v>1</v>
      </c>
      <c r="K15" s="2830" t="b">
        <f t="shared" si="4"/>
        <v>1</v>
      </c>
    </row>
    <row r="16" spans="1:12" s="2422" customFormat="1">
      <c r="A16" s="2427" t="str">
        <f t="shared" si="0"/>
        <v>R42=;R25=;R36=-;R43=;COM=</v>
      </c>
      <c r="C16" s="1055"/>
      <c r="D16" s="1801" t="str">
        <f>IF(ISERROR(VLOOKUP(C16,Справочник!$BH$3:$BJ$3000,3,0)),"-",VLOOKUP(C16,Справочник!$BH$3:$BJ$3000,3,0))</f>
        <v>-</v>
      </c>
      <c r="E16" s="1801" t="str">
        <f>IF(ISERROR(VLOOKUP(C16,Справочник!$BH$3:$BI$3000,2,0)),"-",VLOOKUP(C16,Справочник!$BH$3:$BI$3000,2,0))</f>
        <v>-</v>
      </c>
      <c r="F16" s="1056"/>
      <c r="G16" s="1074"/>
      <c r="H16" s="1075"/>
      <c r="I16" s="2830" t="b">
        <f t="shared" si="1"/>
        <v>1</v>
      </c>
      <c r="J16" s="2830" t="b">
        <f t="shared" si="3"/>
        <v>1</v>
      </c>
      <c r="K16" s="2830" t="b">
        <f t="shared" si="4"/>
        <v>1</v>
      </c>
    </row>
    <row r="17" spans="1:11" s="2422" customFormat="1">
      <c r="A17" s="2427" t="str">
        <f t="shared" si="0"/>
        <v>R42=;R25=;R36=-;R43=;COM=</v>
      </c>
      <c r="C17" s="1055"/>
      <c r="D17" s="1801" t="str">
        <f>IF(ISERROR(VLOOKUP(C17,Справочник!$BH$3:$BJ$3000,3,0)),"-",VLOOKUP(C17,Справочник!$BH$3:$BJ$3000,3,0))</f>
        <v>-</v>
      </c>
      <c r="E17" s="1801" t="str">
        <f>IF(ISERROR(VLOOKUP(C17,Справочник!$BH$3:$BI$3000,2,0)),"-",VLOOKUP(C17,Справочник!$BH$3:$BI$3000,2,0))</f>
        <v>-</v>
      </c>
      <c r="F17" s="1056"/>
      <c r="G17" s="1074"/>
      <c r="H17" s="1075"/>
      <c r="I17" s="2830" t="b">
        <f t="shared" si="1"/>
        <v>1</v>
      </c>
      <c r="J17" s="2830" t="b">
        <f t="shared" si="3"/>
        <v>1</v>
      </c>
      <c r="K17" s="2830" t="b">
        <f t="shared" si="4"/>
        <v>1</v>
      </c>
    </row>
    <row r="18" spans="1:11" s="2422" customFormat="1">
      <c r="A18" s="2427" t="str">
        <f t="shared" si="0"/>
        <v>R42=;R25=;R36=-;R43=;COM=</v>
      </c>
      <c r="C18" s="1055"/>
      <c r="D18" s="1801" t="str">
        <f>IF(ISERROR(VLOOKUP(C18,Справочник!$BH$3:$BJ$3000,3,0)),"-",VLOOKUP(C18,Справочник!$BH$3:$BJ$3000,3,0))</f>
        <v>-</v>
      </c>
      <c r="E18" s="1801" t="str">
        <f>IF(ISERROR(VLOOKUP(C18,Справочник!$BH$3:$BI$3000,2,0)),"-",VLOOKUP(C18,Справочник!$BH$3:$BI$3000,2,0))</f>
        <v>-</v>
      </c>
      <c r="F18" s="1056"/>
      <c r="G18" s="1074"/>
      <c r="H18" s="1075"/>
      <c r="I18" s="2830" t="b">
        <f t="shared" si="1"/>
        <v>1</v>
      </c>
      <c r="J18" s="2830" t="b">
        <f t="shared" si="3"/>
        <v>1</v>
      </c>
      <c r="K18" s="2830" t="b">
        <f t="shared" si="4"/>
        <v>1</v>
      </c>
    </row>
    <row r="19" spans="1:11" s="2422" customFormat="1">
      <c r="A19" s="2427" t="str">
        <f t="shared" si="0"/>
        <v>R42=;R25=;R36=-;R43=;COM=</v>
      </c>
      <c r="C19" s="1055"/>
      <c r="D19" s="1801" t="str">
        <f>IF(ISERROR(VLOOKUP(C19,Справочник!$BH$3:$BJ$3000,3,0)),"-",VLOOKUP(C19,Справочник!$BH$3:$BJ$3000,3,0))</f>
        <v>-</v>
      </c>
      <c r="E19" s="1801" t="str">
        <f>IF(ISERROR(VLOOKUP(C19,Справочник!$BH$3:$BI$3000,2,0)),"-",VLOOKUP(C19,Справочник!$BH$3:$BI$3000,2,0))</f>
        <v>-</v>
      </c>
      <c r="F19" s="1056"/>
      <c r="G19" s="1074"/>
      <c r="H19" s="1075"/>
      <c r="I19" s="2830" t="b">
        <f t="shared" si="1"/>
        <v>1</v>
      </c>
      <c r="J19" s="2830" t="b">
        <f t="shared" si="3"/>
        <v>1</v>
      </c>
      <c r="K19" s="2830" t="b">
        <f t="shared" si="4"/>
        <v>1</v>
      </c>
    </row>
    <row r="20" spans="1:11" s="2422" customFormat="1">
      <c r="A20" s="2427" t="str">
        <f t="shared" si="0"/>
        <v>R42=;R25=;R36=-;R43=;COM=</v>
      </c>
      <c r="C20" s="1055"/>
      <c r="D20" s="1801" t="str">
        <f>IF(ISERROR(VLOOKUP(C20,Справочник!$BH$3:$BJ$3000,3,0)),"-",VLOOKUP(C20,Справочник!$BH$3:$BJ$3000,3,0))</f>
        <v>-</v>
      </c>
      <c r="E20" s="1801" t="str">
        <f>IF(ISERROR(VLOOKUP(C20,Справочник!$BH$3:$BI$3000,2,0)),"-",VLOOKUP(C20,Справочник!$BH$3:$BI$3000,2,0))</f>
        <v>-</v>
      </c>
      <c r="F20" s="1056"/>
      <c r="G20" s="1074"/>
      <c r="H20" s="1075"/>
      <c r="I20" s="2830" t="b">
        <f t="shared" si="1"/>
        <v>1</v>
      </c>
      <c r="J20" s="2830" t="b">
        <f t="shared" si="3"/>
        <v>1</v>
      </c>
      <c r="K20" s="2830" t="b">
        <f t="shared" si="4"/>
        <v>1</v>
      </c>
    </row>
    <row r="21" spans="1:11" s="2422" customFormat="1">
      <c r="A21" s="2427" t="str">
        <f t="shared" ref="A21" si="5">"R42="&amp;IF(D21&lt;&gt;"-",D21,C21)&amp;";R25="&amp;IFERROR(MID(F21,FIND("{",F21)+1,FIND("}",F21)-FIND("{",F21)-1),"")&amp;";R36="&amp;MID(D21,1,30)&amp;";R43="&amp;MID(C21,1,30)&amp;";COM="&amp;H21</f>
        <v>R42=;R25=;R36=-;R43=;COM=</v>
      </c>
      <c r="C21" s="1055"/>
      <c r="D21" s="1801" t="str">
        <f>IF(ISERROR(VLOOKUP(C21,Справочник!$BH$3:$BJ$3000,3,0)),"-",VLOOKUP(C21,Справочник!$BH$3:$BJ$3000,3,0))</f>
        <v>-</v>
      </c>
      <c r="E21" s="1801" t="str">
        <f>IF(ISERROR(VLOOKUP(C21,Справочник!$BH$3:$BI$3000,2,0)),"-",VLOOKUP(C21,Справочник!$BH$3:$BI$3000,2,0))</f>
        <v>-</v>
      </c>
      <c r="F21" s="1056"/>
      <c r="G21" s="1074"/>
      <c r="H21" s="1075"/>
      <c r="I21" s="2830" t="b">
        <f t="shared" si="1"/>
        <v>1</v>
      </c>
      <c r="J21" s="2830" t="b">
        <f t="shared" si="3"/>
        <v>1</v>
      </c>
      <c r="K21" s="2830" t="b">
        <f t="shared" si="4"/>
        <v>1</v>
      </c>
    </row>
    <row r="22" spans="1:11" s="2422" customFormat="1">
      <c r="A22" s="2427"/>
      <c r="C22" s="1163"/>
      <c r="D22" s="1163"/>
      <c r="E22" s="1564"/>
      <c r="F22" s="1163"/>
      <c r="G22" s="1163"/>
      <c r="H22" s="1163"/>
      <c r="I22" s="1163"/>
    </row>
    <row r="23" spans="1:11" s="2422" customFormat="1">
      <c r="A23" s="2427"/>
      <c r="C23" s="1163"/>
      <c r="D23" s="1163"/>
      <c r="E23" s="1564"/>
      <c r="F23" s="1163"/>
      <c r="G23" s="1163"/>
      <c r="H23" s="1163"/>
      <c r="I23" s="1163"/>
    </row>
    <row r="24" spans="1:11" s="2422" customFormat="1">
      <c r="A24" s="2427"/>
      <c r="C24" s="1163"/>
      <c r="D24" s="1163"/>
      <c r="E24" s="1564"/>
      <c r="F24" s="1163"/>
      <c r="G24" s="1163"/>
      <c r="H24" s="1163"/>
      <c r="I24" s="1163"/>
    </row>
    <row r="25" spans="1:11" s="2422" customFormat="1">
      <c r="A25" s="2427"/>
      <c r="C25" s="1163"/>
      <c r="D25" s="1163"/>
      <c r="E25" s="1564"/>
      <c r="F25" s="1163"/>
      <c r="G25" s="1163"/>
      <c r="H25" s="1163"/>
      <c r="I25" s="1163"/>
    </row>
    <row r="26" spans="1:11" s="2422" customFormat="1">
      <c r="A26" s="2427"/>
      <c r="C26" s="1163"/>
      <c r="D26" s="1163"/>
      <c r="E26" s="1564"/>
      <c r="F26" s="1163"/>
      <c r="G26" s="1163"/>
      <c r="H26" s="1163"/>
      <c r="I26" s="1163"/>
    </row>
    <row r="27" spans="1:11" s="2422" customFormat="1">
      <c r="A27" s="2427"/>
      <c r="C27" s="1163"/>
      <c r="D27" s="1163"/>
      <c r="E27" s="1564"/>
      <c r="F27" s="1163"/>
      <c r="G27" s="1163"/>
      <c r="H27" s="1163"/>
      <c r="I27" s="1163"/>
    </row>
    <row r="28" spans="1:11" s="2422" customFormat="1">
      <c r="A28" s="2427"/>
      <c r="C28" s="1163"/>
      <c r="D28" s="1163"/>
      <c r="E28" s="1564"/>
      <c r="F28" s="1163"/>
      <c r="G28" s="1163"/>
      <c r="H28" s="1163"/>
      <c r="I28" s="1163"/>
    </row>
    <row r="29" spans="1:11" s="2422" customFormat="1" ht="14.25" customHeight="1">
      <c r="A29" s="2427"/>
      <c r="C29" s="1163"/>
      <c r="D29" s="1163"/>
      <c r="E29" s="1564"/>
      <c r="F29" s="1163"/>
      <c r="G29" s="1163"/>
      <c r="H29" s="1163"/>
      <c r="I29" s="1163"/>
    </row>
    <row r="30" spans="1:11" s="2422" customFormat="1">
      <c r="A30" s="2427"/>
      <c r="C30" s="1163"/>
      <c r="D30" s="1163"/>
      <c r="E30" s="1564"/>
      <c r="F30" s="1163"/>
      <c r="G30" s="1163"/>
      <c r="H30" s="1163"/>
      <c r="I30" s="1163"/>
    </row>
    <row r="31" spans="1:11" s="2422" customFormat="1">
      <c r="A31" s="2427"/>
      <c r="C31" s="1163"/>
      <c r="D31" s="1163"/>
      <c r="E31" s="1564"/>
      <c r="F31" s="1163"/>
      <c r="G31" s="1163"/>
      <c r="H31" s="1163"/>
      <c r="I31" s="1163"/>
    </row>
    <row r="32" spans="1:11" s="2422" customFormat="1">
      <c r="A32" s="2427"/>
      <c r="C32" s="1163"/>
      <c r="D32" s="1163"/>
      <c r="E32" s="1564"/>
      <c r="F32" s="1163"/>
      <c r="G32" s="1163"/>
      <c r="H32" s="1163"/>
      <c r="I32" s="1163"/>
    </row>
    <row r="33" spans="1:9" s="2422" customFormat="1">
      <c r="A33" s="2427"/>
      <c r="C33" s="1163"/>
      <c r="D33" s="1163"/>
      <c r="E33" s="1564"/>
      <c r="F33" s="1163"/>
      <c r="G33" s="1163"/>
      <c r="H33" s="1163"/>
      <c r="I33" s="1163"/>
    </row>
    <row r="34" spans="1:9" s="2422" customFormat="1">
      <c r="A34" s="2427"/>
      <c r="C34" s="1163"/>
      <c r="D34" s="1163"/>
      <c r="E34" s="1564"/>
      <c r="F34" s="1163"/>
      <c r="G34" s="1163"/>
      <c r="H34" s="1163"/>
      <c r="I34" s="1163"/>
    </row>
    <row r="35" spans="1:9" s="2422" customFormat="1">
      <c r="A35" s="2427"/>
      <c r="C35" s="1163"/>
      <c r="D35" s="1163"/>
      <c r="E35" s="1564"/>
      <c r="F35" s="1163"/>
      <c r="G35" s="1163"/>
      <c r="H35" s="1163"/>
      <c r="I35" s="1163"/>
    </row>
    <row r="36" spans="1:9" s="2422" customFormat="1">
      <c r="A36" s="2427"/>
      <c r="C36" s="1163"/>
      <c r="D36" s="1163"/>
      <c r="E36" s="1564"/>
      <c r="F36" s="1163"/>
      <c r="G36" s="1163"/>
      <c r="H36" s="1163"/>
      <c r="I36" s="1163"/>
    </row>
    <row r="37" spans="1:9" s="2422" customFormat="1">
      <c r="A37" s="2427"/>
      <c r="C37" s="1163"/>
      <c r="D37" s="1163"/>
      <c r="E37" s="1564"/>
      <c r="F37" s="1163"/>
      <c r="G37" s="1163"/>
      <c r="H37" s="1163"/>
      <c r="I37" s="1163"/>
    </row>
    <row r="38" spans="1:9" s="2422" customFormat="1">
      <c r="A38" s="2427"/>
      <c r="C38" s="1163"/>
      <c r="D38" s="1163"/>
      <c r="E38" s="1564"/>
      <c r="F38" s="1163"/>
      <c r="G38" s="1163"/>
      <c r="H38" s="1163"/>
      <c r="I38" s="1163"/>
    </row>
    <row r="39" spans="1:9" s="2422" customFormat="1">
      <c r="A39" s="2427"/>
      <c r="C39" s="1163"/>
      <c r="D39" s="1163"/>
      <c r="E39" s="1564"/>
      <c r="F39" s="1163"/>
      <c r="G39" s="1163"/>
      <c r="H39" s="1163"/>
      <c r="I39" s="1163"/>
    </row>
    <row r="40" spans="1:9" s="2422" customFormat="1">
      <c r="A40" s="2427"/>
      <c r="C40" s="1163"/>
      <c r="D40" s="1163"/>
      <c r="E40" s="1564"/>
      <c r="F40" s="1163"/>
      <c r="G40" s="1163"/>
      <c r="H40" s="1163"/>
      <c r="I40" s="1163"/>
    </row>
    <row r="41" spans="1:9" s="2422" customFormat="1">
      <c r="A41" s="2427"/>
      <c r="C41" s="1163"/>
      <c r="D41" s="1163"/>
      <c r="E41" s="1564"/>
      <c r="F41" s="1163"/>
      <c r="G41" s="1163"/>
      <c r="H41" s="1163"/>
      <c r="I41" s="1163"/>
    </row>
    <row r="42" spans="1:9" s="2422" customFormat="1">
      <c r="A42" s="2427"/>
      <c r="C42" s="1163"/>
      <c r="D42" s="1163"/>
      <c r="E42" s="1564"/>
      <c r="F42" s="1163"/>
      <c r="G42" s="1163"/>
      <c r="H42" s="1163"/>
      <c r="I42" s="1163"/>
    </row>
    <row r="43" spans="1:9" s="2422" customFormat="1">
      <c r="A43" s="2427"/>
      <c r="C43" s="1163"/>
      <c r="D43" s="1163"/>
      <c r="E43" s="1564"/>
      <c r="F43" s="1163"/>
      <c r="G43" s="1163"/>
      <c r="H43" s="1163"/>
      <c r="I43" s="1163"/>
    </row>
    <row r="44" spans="1:9" s="2422" customFormat="1">
      <c r="A44" s="2427"/>
      <c r="C44" s="1163"/>
      <c r="D44" s="1163"/>
      <c r="E44" s="1564"/>
      <c r="F44" s="1163"/>
      <c r="G44" s="1163"/>
      <c r="H44" s="1163"/>
      <c r="I44" s="1163"/>
    </row>
    <row r="45" spans="1:9" s="2422" customFormat="1">
      <c r="A45" s="2427"/>
      <c r="C45" s="1163"/>
      <c r="D45" s="1163"/>
      <c r="E45" s="1564"/>
      <c r="F45" s="1163"/>
      <c r="G45" s="1163"/>
      <c r="H45" s="1163"/>
      <c r="I45" s="1163"/>
    </row>
    <row r="46" spans="1:9" s="2422" customFormat="1">
      <c r="A46" s="2427"/>
      <c r="C46" s="1163"/>
      <c r="D46" s="1163"/>
      <c r="E46" s="1564"/>
      <c r="F46" s="1163"/>
      <c r="G46" s="1163"/>
      <c r="H46" s="1163"/>
      <c r="I46" s="1163"/>
    </row>
    <row r="47" spans="1:9" s="2422" customFormat="1">
      <c r="A47" s="2427"/>
      <c r="C47" s="1163"/>
      <c r="D47" s="1163"/>
      <c r="E47" s="1564"/>
      <c r="F47" s="1163"/>
      <c r="G47" s="1163"/>
      <c r="H47" s="1163"/>
      <c r="I47" s="1163"/>
    </row>
    <row r="48" spans="1:9" s="2422" customFormat="1">
      <c r="A48" s="2427"/>
      <c r="C48" s="1163"/>
      <c r="D48" s="1163"/>
      <c r="E48" s="1564"/>
      <c r="F48" s="1163"/>
      <c r="G48" s="1163"/>
      <c r="H48" s="1163"/>
      <c r="I48" s="1163"/>
    </row>
    <row r="49" spans="1:9" s="2422" customFormat="1">
      <c r="A49" s="2427"/>
      <c r="C49" s="1163"/>
      <c r="D49" s="1163"/>
      <c r="E49" s="1564"/>
      <c r="F49" s="1163"/>
      <c r="G49" s="1163"/>
      <c r="H49" s="1163"/>
      <c r="I49" s="1163"/>
    </row>
    <row r="50" spans="1:9" s="2422" customFormat="1">
      <c r="A50" s="2427"/>
      <c r="C50" s="1163"/>
      <c r="D50" s="1163"/>
      <c r="E50" s="1564"/>
      <c r="F50" s="1163"/>
      <c r="G50" s="1163"/>
      <c r="H50" s="1163"/>
      <c r="I50" s="1163"/>
    </row>
    <row r="51" spans="1:9" s="2422" customFormat="1">
      <c r="A51" s="2427"/>
      <c r="C51" s="1163"/>
      <c r="D51" s="1163"/>
      <c r="E51" s="1564"/>
      <c r="F51" s="1163"/>
      <c r="G51" s="1163"/>
      <c r="H51" s="1163"/>
      <c r="I51" s="1163"/>
    </row>
    <row r="52" spans="1:9" s="2422" customFormat="1">
      <c r="A52" s="2427"/>
      <c r="C52" s="1163"/>
      <c r="D52" s="1163"/>
      <c r="E52" s="1564"/>
      <c r="F52" s="1163"/>
      <c r="G52" s="1163"/>
      <c r="H52" s="1163"/>
      <c r="I52" s="1163"/>
    </row>
    <row r="53" spans="1:9" s="2422" customFormat="1">
      <c r="A53" s="2427"/>
      <c r="C53" s="1163"/>
      <c r="D53" s="1163"/>
      <c r="E53" s="1564"/>
      <c r="F53" s="1163"/>
      <c r="G53" s="1163"/>
      <c r="H53" s="1163"/>
      <c r="I53" s="1163"/>
    </row>
    <row r="54" spans="1:9" s="2422" customFormat="1">
      <c r="A54" s="2427"/>
      <c r="C54" s="1163"/>
      <c r="D54" s="1163"/>
      <c r="E54" s="1564"/>
      <c r="F54" s="1163"/>
      <c r="G54" s="1163"/>
      <c r="H54" s="1163"/>
      <c r="I54" s="1163"/>
    </row>
    <row r="55" spans="1:9" s="2422" customFormat="1">
      <c r="A55" s="2427"/>
      <c r="C55" s="1163"/>
      <c r="D55" s="1163"/>
      <c r="E55" s="1564"/>
      <c r="F55" s="1163"/>
      <c r="G55" s="1163"/>
      <c r="H55" s="1163"/>
      <c r="I55" s="1163"/>
    </row>
    <row r="56" spans="1:9" s="2422" customFormat="1">
      <c r="A56" s="2427"/>
      <c r="C56" s="1163"/>
      <c r="D56" s="1163"/>
      <c r="E56" s="1564"/>
      <c r="F56" s="1163"/>
      <c r="G56" s="1163"/>
      <c r="H56" s="1163"/>
      <c r="I56" s="1163"/>
    </row>
    <row r="57" spans="1:9" s="2422" customFormat="1">
      <c r="A57" s="2427"/>
      <c r="C57" s="1163"/>
      <c r="D57" s="1163"/>
      <c r="E57" s="1564"/>
      <c r="F57" s="1163"/>
      <c r="G57" s="1163"/>
      <c r="H57" s="1163"/>
      <c r="I57" s="1163"/>
    </row>
    <row r="58" spans="1:9" s="2422" customFormat="1">
      <c r="A58" s="2427"/>
      <c r="C58" s="1163"/>
      <c r="D58" s="1163"/>
      <c r="E58" s="1564"/>
      <c r="F58" s="1163"/>
      <c r="G58" s="1163"/>
      <c r="H58" s="1163"/>
      <c r="I58" s="1163"/>
    </row>
    <row r="59" spans="1:9" s="2422" customFormat="1">
      <c r="A59" s="2427"/>
      <c r="C59" s="1163"/>
      <c r="D59" s="1163"/>
      <c r="E59" s="1564"/>
      <c r="F59" s="1163"/>
      <c r="G59" s="1163"/>
      <c r="H59" s="1163"/>
      <c r="I59" s="1163"/>
    </row>
    <row r="60" spans="1:9" s="2422" customFormat="1">
      <c r="A60" s="2427"/>
      <c r="C60" s="1163"/>
      <c r="D60" s="1163"/>
      <c r="E60" s="1564"/>
      <c r="F60" s="1163"/>
      <c r="G60" s="1163"/>
      <c r="H60" s="1163"/>
      <c r="I60" s="1163"/>
    </row>
    <row r="61" spans="1:9" s="2422" customFormat="1">
      <c r="A61" s="2427"/>
      <c r="C61" s="1163"/>
      <c r="D61" s="1163"/>
      <c r="E61" s="1564"/>
      <c r="F61" s="1163"/>
      <c r="G61" s="1163"/>
      <c r="H61" s="1163"/>
      <c r="I61" s="1163"/>
    </row>
    <row r="62" spans="1:9" s="2422" customFormat="1">
      <c r="A62" s="2427"/>
      <c r="C62" s="1163"/>
      <c r="D62" s="1163"/>
      <c r="E62" s="1564"/>
      <c r="F62" s="1163"/>
      <c r="G62" s="1163"/>
      <c r="H62" s="1163"/>
      <c r="I62" s="1163"/>
    </row>
    <row r="63" spans="1:9" s="2422" customFormat="1">
      <c r="A63" s="2427"/>
      <c r="C63" s="1163"/>
      <c r="D63" s="1163"/>
      <c r="E63" s="1564"/>
      <c r="F63" s="1163"/>
      <c r="G63" s="1163"/>
      <c r="H63" s="1163"/>
      <c r="I63" s="1163"/>
    </row>
    <row r="64" spans="1:9" s="2422" customFormat="1">
      <c r="A64" s="2427"/>
      <c r="C64" s="1163"/>
      <c r="D64" s="1163"/>
      <c r="E64" s="1564"/>
      <c r="F64" s="1163"/>
      <c r="G64" s="1163"/>
      <c r="H64" s="1163"/>
      <c r="I64" s="1163"/>
    </row>
    <row r="65" spans="1:9" s="2422" customFormat="1">
      <c r="A65" s="2427"/>
      <c r="C65" s="1163"/>
      <c r="D65" s="1163"/>
      <c r="E65" s="1564"/>
      <c r="F65" s="1163"/>
      <c r="G65" s="1163"/>
      <c r="H65" s="1163"/>
      <c r="I65" s="1163"/>
    </row>
    <row r="66" spans="1:9" s="2422" customFormat="1">
      <c r="A66" s="2427"/>
      <c r="C66" s="1163"/>
      <c r="D66" s="1163"/>
      <c r="E66" s="1564"/>
      <c r="F66" s="1163"/>
      <c r="G66" s="1163"/>
      <c r="H66" s="1163"/>
      <c r="I66" s="1163"/>
    </row>
    <row r="67" spans="1:9" s="2422" customFormat="1">
      <c r="A67" s="2427"/>
      <c r="C67" s="1163"/>
      <c r="D67" s="1163"/>
      <c r="E67" s="1564"/>
      <c r="F67" s="1163"/>
      <c r="G67" s="1163"/>
      <c r="H67" s="1163"/>
      <c r="I67" s="1163"/>
    </row>
    <row r="68" spans="1:9" s="2422" customFormat="1">
      <c r="A68" s="2427"/>
      <c r="C68" s="1163"/>
      <c r="D68" s="1163"/>
      <c r="E68" s="1564"/>
      <c r="F68" s="1163"/>
      <c r="G68" s="1163"/>
      <c r="H68" s="1163"/>
      <c r="I68" s="1163"/>
    </row>
    <row r="69" spans="1:9" s="2422" customFormat="1">
      <c r="A69" s="2427"/>
      <c r="C69" s="1163"/>
      <c r="D69" s="1163"/>
      <c r="E69" s="1564"/>
      <c r="F69" s="1163"/>
      <c r="G69" s="1163"/>
      <c r="H69" s="1163"/>
      <c r="I69" s="1163"/>
    </row>
    <row r="70" spans="1:9" s="2422" customFormat="1">
      <c r="A70" s="2427"/>
      <c r="C70" s="1163"/>
      <c r="D70" s="1163"/>
      <c r="E70" s="1564"/>
      <c r="F70" s="1163"/>
      <c r="G70" s="1163"/>
      <c r="H70" s="1163"/>
      <c r="I70" s="1163"/>
    </row>
    <row r="71" spans="1:9" s="2422" customFormat="1">
      <c r="A71" s="2427"/>
      <c r="C71" s="1163"/>
      <c r="D71" s="1163"/>
      <c r="E71" s="1564"/>
      <c r="F71" s="1163"/>
      <c r="G71" s="1163"/>
      <c r="H71" s="1163"/>
      <c r="I71" s="1163"/>
    </row>
    <row r="72" spans="1:9" s="2422" customFormat="1">
      <c r="A72" s="2427"/>
      <c r="C72" s="1163"/>
      <c r="D72" s="1163"/>
      <c r="E72" s="1564"/>
      <c r="F72" s="1163"/>
      <c r="G72" s="1163"/>
      <c r="H72" s="1163"/>
      <c r="I72" s="1163"/>
    </row>
    <row r="73" spans="1:9" s="2422" customFormat="1">
      <c r="A73" s="2427"/>
      <c r="C73" s="1163"/>
      <c r="D73" s="1163"/>
      <c r="E73" s="1564"/>
      <c r="F73" s="1163"/>
      <c r="G73" s="1163"/>
      <c r="H73" s="1163"/>
      <c r="I73" s="1163"/>
    </row>
    <row r="74" spans="1:9" s="2422" customFormat="1">
      <c r="A74" s="2427"/>
      <c r="C74" s="1163"/>
      <c r="D74" s="1163"/>
      <c r="E74" s="1564"/>
      <c r="F74" s="1163"/>
      <c r="G74" s="1163"/>
      <c r="H74" s="1163"/>
      <c r="I74" s="1163"/>
    </row>
    <row r="75" spans="1:9" s="2422" customFormat="1">
      <c r="A75" s="2427"/>
      <c r="C75" s="1163"/>
      <c r="D75" s="1163"/>
      <c r="E75" s="1564"/>
      <c r="F75" s="1163"/>
      <c r="G75" s="1163"/>
      <c r="H75" s="1163"/>
      <c r="I75" s="1163"/>
    </row>
    <row r="76" spans="1:9" s="2422" customFormat="1">
      <c r="A76" s="2427"/>
      <c r="C76" s="1163"/>
      <c r="D76" s="1163"/>
      <c r="E76" s="1564"/>
      <c r="F76" s="1163"/>
      <c r="G76" s="1163"/>
      <c r="H76" s="1163"/>
      <c r="I76" s="1163"/>
    </row>
    <row r="77" spans="1:9" s="2422" customFormat="1">
      <c r="A77" s="2427"/>
      <c r="C77" s="1163"/>
      <c r="D77" s="1163"/>
      <c r="E77" s="1564"/>
      <c r="F77" s="1163"/>
      <c r="G77" s="1163"/>
      <c r="H77" s="1163"/>
      <c r="I77" s="1163"/>
    </row>
    <row r="78" spans="1:9" s="2422" customFormat="1">
      <c r="A78" s="2427"/>
      <c r="C78" s="1163"/>
      <c r="D78" s="1163"/>
      <c r="E78" s="1564"/>
      <c r="F78" s="1163"/>
      <c r="G78" s="1163"/>
      <c r="H78" s="1163"/>
      <c r="I78" s="1163"/>
    </row>
    <row r="79" spans="1:9" s="2422" customFormat="1">
      <c r="A79" s="2427"/>
      <c r="C79" s="1163"/>
      <c r="D79" s="1163"/>
      <c r="E79" s="1564"/>
      <c r="F79" s="1163"/>
      <c r="G79" s="1163"/>
      <c r="H79" s="1163"/>
      <c r="I79" s="1163"/>
    </row>
    <row r="80" spans="1:9" s="2422" customFormat="1">
      <c r="A80" s="2427"/>
      <c r="C80" s="1163"/>
      <c r="D80" s="1163"/>
      <c r="E80" s="1564"/>
      <c r="F80" s="1163"/>
      <c r="G80" s="1163"/>
      <c r="H80" s="1163"/>
      <c r="I80" s="1163"/>
    </row>
    <row r="81" spans="1:9" s="2422" customFormat="1">
      <c r="A81" s="2427"/>
      <c r="C81" s="1163"/>
      <c r="D81" s="1163"/>
      <c r="E81" s="1564"/>
      <c r="F81" s="1163"/>
      <c r="G81" s="1163"/>
      <c r="H81" s="1163"/>
      <c r="I81" s="1163"/>
    </row>
    <row r="82" spans="1:9" s="2422" customFormat="1">
      <c r="A82" s="2427"/>
      <c r="C82" s="1163"/>
      <c r="D82" s="1163"/>
      <c r="E82" s="1564"/>
      <c r="F82" s="1163"/>
      <c r="G82" s="1163"/>
      <c r="H82" s="1163"/>
      <c r="I82" s="1163"/>
    </row>
    <row r="83" spans="1:9" s="2422" customFormat="1">
      <c r="A83" s="2427"/>
      <c r="C83" s="1163"/>
      <c r="D83" s="1163"/>
      <c r="E83" s="1564"/>
      <c r="F83" s="1163"/>
      <c r="G83" s="1163"/>
      <c r="H83" s="1163"/>
      <c r="I83" s="1163"/>
    </row>
    <row r="84" spans="1:9" s="2422" customFormat="1">
      <c r="A84" s="2427"/>
      <c r="C84" s="1163"/>
      <c r="D84" s="1163"/>
      <c r="E84" s="1564"/>
      <c r="F84" s="1163"/>
      <c r="G84" s="1163"/>
      <c r="H84" s="1163"/>
      <c r="I84" s="1163"/>
    </row>
    <row r="85" spans="1:9" s="2422" customFormat="1">
      <c r="A85" s="2427"/>
      <c r="C85" s="1163"/>
      <c r="D85" s="1163"/>
      <c r="E85" s="1564"/>
      <c r="F85" s="1163"/>
      <c r="G85" s="1163"/>
      <c r="H85" s="1163"/>
      <c r="I85" s="1163"/>
    </row>
    <row r="86" spans="1:9" s="2422" customFormat="1">
      <c r="A86" s="2427"/>
      <c r="C86" s="1163"/>
      <c r="D86" s="1163"/>
      <c r="E86" s="1564"/>
      <c r="F86" s="1163"/>
      <c r="G86" s="1163"/>
      <c r="H86" s="1163"/>
      <c r="I86" s="1163"/>
    </row>
    <row r="87" spans="1:9" s="2422" customFormat="1">
      <c r="A87" s="2427"/>
      <c r="C87" s="1163"/>
      <c r="D87" s="1163"/>
      <c r="E87" s="1564"/>
      <c r="F87" s="1163"/>
      <c r="G87" s="1163"/>
      <c r="H87" s="1163"/>
      <c r="I87" s="1163"/>
    </row>
    <row r="88" spans="1:9" s="2422" customFormat="1">
      <c r="A88" s="2427"/>
      <c r="C88" s="1163"/>
      <c r="D88" s="1163"/>
      <c r="E88" s="1564"/>
      <c r="F88" s="1163"/>
      <c r="G88" s="1163"/>
      <c r="H88" s="1163"/>
      <c r="I88" s="1163"/>
    </row>
    <row r="89" spans="1:9" s="2422" customFormat="1">
      <c r="A89" s="2427"/>
      <c r="C89" s="1163"/>
      <c r="D89" s="1163"/>
      <c r="E89" s="1564"/>
      <c r="F89" s="1163"/>
      <c r="G89" s="1163"/>
      <c r="H89" s="1163"/>
      <c r="I89" s="1163"/>
    </row>
    <row r="90" spans="1:9" s="2422" customFormat="1">
      <c r="A90" s="2427"/>
      <c r="C90" s="1163"/>
      <c r="D90" s="1163"/>
      <c r="E90" s="1564"/>
      <c r="F90" s="1163"/>
      <c r="G90" s="1163"/>
      <c r="H90" s="1163"/>
      <c r="I90" s="1163"/>
    </row>
    <row r="91" spans="1:9" s="2422" customFormat="1">
      <c r="A91" s="2427"/>
      <c r="C91" s="1163"/>
      <c r="D91" s="1163"/>
      <c r="E91" s="1564"/>
      <c r="F91" s="1163"/>
      <c r="G91" s="1163"/>
      <c r="H91" s="1163"/>
      <c r="I91" s="1163"/>
    </row>
    <row r="92" spans="1:9" s="2422" customFormat="1">
      <c r="A92" s="2427"/>
      <c r="C92" s="1163"/>
      <c r="D92" s="1163"/>
      <c r="E92" s="1564"/>
      <c r="F92" s="1163"/>
      <c r="G92" s="1163"/>
      <c r="H92" s="1163"/>
      <c r="I92" s="1163"/>
    </row>
    <row r="93" spans="1:9" s="2422" customFormat="1">
      <c r="A93" s="2427"/>
      <c r="C93" s="1163"/>
      <c r="D93" s="1163"/>
      <c r="E93" s="1564"/>
      <c r="F93" s="1163"/>
      <c r="G93" s="1163"/>
      <c r="H93" s="1163"/>
      <c r="I93" s="1163"/>
    </row>
    <row r="94" spans="1:9" s="2422" customFormat="1">
      <c r="A94" s="2427"/>
      <c r="C94" s="1163"/>
      <c r="D94" s="1163"/>
      <c r="E94" s="1564"/>
      <c r="F94" s="1163"/>
      <c r="G94" s="1163"/>
      <c r="H94" s="1163"/>
      <c r="I94" s="1163"/>
    </row>
    <row r="95" spans="1:9" s="2422" customFormat="1">
      <c r="A95" s="2427"/>
      <c r="C95" s="1163"/>
      <c r="D95" s="1163"/>
      <c r="E95" s="1564"/>
      <c r="F95" s="1163"/>
      <c r="G95" s="1163"/>
      <c r="H95" s="1163"/>
      <c r="I95" s="1163"/>
    </row>
    <row r="96" spans="1:9" s="2422" customFormat="1">
      <c r="A96" s="2427"/>
      <c r="C96" s="1163"/>
      <c r="D96" s="1163"/>
      <c r="E96" s="1564"/>
      <c r="F96" s="1163"/>
      <c r="G96" s="1163"/>
      <c r="H96" s="1163"/>
      <c r="I96" s="1163"/>
    </row>
    <row r="97" spans="1:9" s="2422" customFormat="1">
      <c r="A97" s="2427"/>
      <c r="C97" s="1163"/>
      <c r="D97" s="1163"/>
      <c r="E97" s="1564"/>
      <c r="F97" s="1163"/>
      <c r="G97" s="1163"/>
      <c r="H97" s="1163"/>
      <c r="I97" s="1163"/>
    </row>
    <row r="98" spans="1:9" s="2422" customFormat="1">
      <c r="A98" s="2427"/>
      <c r="C98" s="1163"/>
      <c r="D98" s="1163"/>
      <c r="E98" s="1564"/>
      <c r="F98" s="1163"/>
      <c r="G98" s="1163"/>
      <c r="H98" s="1163"/>
      <c r="I98" s="1163"/>
    </row>
    <row r="99" spans="1:9" s="2422" customFormat="1">
      <c r="A99" s="2427"/>
      <c r="C99" s="1163"/>
      <c r="D99" s="1163"/>
      <c r="E99" s="1564"/>
      <c r="F99" s="1163"/>
      <c r="G99" s="1163"/>
      <c r="H99" s="1163"/>
      <c r="I99" s="1163"/>
    </row>
    <row r="100" spans="1:9" s="2422" customFormat="1">
      <c r="A100" s="2427"/>
      <c r="C100" s="1163"/>
      <c r="D100" s="1163"/>
      <c r="E100" s="1564"/>
      <c r="F100" s="1163"/>
      <c r="G100" s="1163"/>
      <c r="H100" s="1163"/>
      <c r="I100" s="1163"/>
    </row>
    <row r="101" spans="1:9" s="2422" customFormat="1">
      <c r="A101" s="2427"/>
      <c r="C101" s="1163"/>
      <c r="D101" s="1163"/>
      <c r="E101" s="1564"/>
      <c r="F101" s="1163"/>
      <c r="G101" s="1163"/>
      <c r="H101" s="1163"/>
      <c r="I101" s="1163"/>
    </row>
    <row r="102" spans="1:9" s="2422" customFormat="1">
      <c r="A102" s="2427"/>
      <c r="C102" s="1163"/>
      <c r="D102" s="1163"/>
      <c r="E102" s="1564"/>
      <c r="F102" s="1163"/>
      <c r="G102" s="1163"/>
      <c r="H102" s="1163"/>
      <c r="I102" s="1163"/>
    </row>
    <row r="103" spans="1:9" s="2422" customFormat="1">
      <c r="A103" s="2427"/>
      <c r="C103" s="1163"/>
      <c r="D103" s="1163"/>
      <c r="E103" s="1564"/>
      <c r="F103" s="1163"/>
      <c r="G103" s="1163"/>
      <c r="H103" s="1163"/>
      <c r="I103" s="1163"/>
    </row>
    <row r="104" spans="1:9" s="2422" customFormat="1">
      <c r="A104" s="2427"/>
      <c r="C104" s="1163"/>
      <c r="D104" s="1163"/>
      <c r="E104" s="1564"/>
      <c r="F104" s="1163"/>
      <c r="G104" s="1163"/>
      <c r="H104" s="1163"/>
      <c r="I104" s="1163"/>
    </row>
    <row r="105" spans="1:9" s="2422" customFormat="1">
      <c r="A105" s="2427"/>
      <c r="C105" s="1163"/>
      <c r="D105" s="1163"/>
      <c r="E105" s="1564"/>
      <c r="F105" s="1163"/>
      <c r="G105" s="1163"/>
      <c r="H105" s="1163"/>
      <c r="I105" s="1163"/>
    </row>
    <row r="106" spans="1:9" s="2422" customFormat="1">
      <c r="A106" s="2427"/>
      <c r="C106" s="1163"/>
      <c r="D106" s="1163"/>
      <c r="E106" s="1564"/>
      <c r="F106" s="1163"/>
      <c r="G106" s="1163"/>
      <c r="H106" s="1163"/>
      <c r="I106" s="1163"/>
    </row>
    <row r="107" spans="1:9" s="2422" customFormat="1">
      <c r="A107" s="2427"/>
      <c r="C107" s="1163"/>
      <c r="D107" s="1163"/>
      <c r="E107" s="1564"/>
      <c r="F107" s="1163"/>
      <c r="G107" s="1163"/>
      <c r="H107" s="1163"/>
      <c r="I107" s="1163"/>
    </row>
    <row r="108" spans="1:9" s="2422" customFormat="1">
      <c r="A108" s="2427"/>
      <c r="C108" s="1163"/>
      <c r="D108" s="1163"/>
      <c r="E108" s="1564"/>
      <c r="F108" s="1163"/>
      <c r="G108" s="1163"/>
      <c r="H108" s="1163"/>
      <c r="I108" s="1163"/>
    </row>
    <row r="109" spans="1:9" s="2422" customFormat="1">
      <c r="A109" s="2427"/>
      <c r="C109" s="1163"/>
      <c r="D109" s="1163"/>
      <c r="E109" s="1564"/>
      <c r="F109" s="1163"/>
      <c r="G109" s="1163"/>
      <c r="H109" s="1163"/>
      <c r="I109" s="1163"/>
    </row>
    <row r="110" spans="1:9" s="2422" customFormat="1">
      <c r="A110" s="2427"/>
      <c r="C110" s="1163"/>
      <c r="D110" s="1163"/>
      <c r="E110" s="1564"/>
      <c r="F110" s="1163"/>
      <c r="G110" s="1163"/>
      <c r="H110" s="1163"/>
      <c r="I110" s="1163"/>
    </row>
    <row r="111" spans="1:9" s="2422" customFormat="1">
      <c r="A111" s="2427"/>
      <c r="C111" s="1163"/>
      <c r="D111" s="1163"/>
      <c r="E111" s="1564"/>
      <c r="F111" s="1163"/>
      <c r="G111" s="1163"/>
      <c r="H111" s="1163"/>
      <c r="I111" s="1163"/>
    </row>
    <row r="112" spans="1:9" s="2422" customFormat="1">
      <c r="A112" s="2427"/>
      <c r="C112" s="1163"/>
      <c r="D112" s="1163"/>
      <c r="E112" s="1564"/>
      <c r="F112" s="1163"/>
      <c r="G112" s="1163"/>
      <c r="H112" s="1163"/>
      <c r="I112" s="1163"/>
    </row>
    <row r="113" spans="1:9" s="2422" customFormat="1">
      <c r="A113" s="2427"/>
      <c r="C113" s="1163"/>
      <c r="D113" s="1163"/>
      <c r="E113" s="1564"/>
      <c r="F113" s="1163"/>
      <c r="G113" s="1163"/>
      <c r="H113" s="1163"/>
      <c r="I113" s="1163"/>
    </row>
    <row r="114" spans="1:9" s="2422" customFormat="1">
      <c r="A114" s="2427"/>
      <c r="C114" s="1163"/>
      <c r="D114" s="1163"/>
      <c r="E114" s="1564"/>
      <c r="F114" s="1163"/>
      <c r="G114" s="1163"/>
      <c r="H114" s="1163"/>
      <c r="I114" s="1163"/>
    </row>
    <row r="115" spans="1:9" s="2422" customFormat="1">
      <c r="A115" s="2427"/>
      <c r="C115" s="1163"/>
      <c r="D115" s="1163"/>
      <c r="E115" s="1564"/>
      <c r="F115" s="1163"/>
      <c r="G115" s="1163"/>
      <c r="H115" s="1163"/>
      <c r="I115" s="1163"/>
    </row>
    <row r="116" spans="1:9" s="2422" customFormat="1">
      <c r="A116" s="2427"/>
      <c r="C116" s="1163"/>
      <c r="D116" s="1163"/>
      <c r="E116" s="1564"/>
      <c r="F116" s="1163"/>
      <c r="G116" s="1163"/>
      <c r="H116" s="1163"/>
      <c r="I116" s="1163"/>
    </row>
    <row r="117" spans="1:9" s="2422" customFormat="1">
      <c r="A117" s="2427"/>
      <c r="C117" s="1163"/>
      <c r="D117" s="1163"/>
      <c r="E117" s="1564"/>
      <c r="F117" s="1163"/>
      <c r="G117" s="1163"/>
      <c r="H117" s="1163"/>
      <c r="I117" s="1163"/>
    </row>
    <row r="118" spans="1:9" s="2422" customFormat="1">
      <c r="A118" s="2427"/>
      <c r="C118" s="1163"/>
      <c r="D118" s="1163"/>
      <c r="E118" s="1564"/>
      <c r="F118" s="1163"/>
      <c r="G118" s="1163"/>
      <c r="H118" s="1163"/>
      <c r="I118" s="1163"/>
    </row>
    <row r="119" spans="1:9" s="2422" customFormat="1">
      <c r="A119" s="2427"/>
      <c r="C119" s="1163"/>
      <c r="D119" s="1163"/>
      <c r="E119" s="1564"/>
      <c r="F119" s="1163"/>
      <c r="G119" s="1163"/>
      <c r="H119" s="1163"/>
      <c r="I119" s="1163"/>
    </row>
    <row r="120" spans="1:9" s="2422" customFormat="1">
      <c r="A120" s="2427"/>
      <c r="C120" s="1163"/>
      <c r="D120" s="1163"/>
      <c r="E120" s="1564"/>
      <c r="F120" s="1163"/>
      <c r="G120" s="1163"/>
      <c r="H120" s="1163"/>
      <c r="I120" s="1163"/>
    </row>
    <row r="121" spans="1:9" s="2422" customFormat="1">
      <c r="A121" s="2427"/>
      <c r="C121" s="1163"/>
      <c r="D121" s="1163"/>
      <c r="E121" s="1564"/>
      <c r="F121" s="1163"/>
      <c r="G121" s="1163"/>
      <c r="H121" s="1163"/>
      <c r="I121" s="1163"/>
    </row>
    <row r="122" spans="1:9" s="2422" customFormat="1">
      <c r="A122" s="2427"/>
      <c r="C122" s="1163"/>
      <c r="D122" s="1163"/>
      <c r="E122" s="1564"/>
      <c r="F122" s="1163"/>
      <c r="G122" s="1163"/>
      <c r="H122" s="1163"/>
      <c r="I122" s="1163"/>
    </row>
    <row r="123" spans="1:9" s="2422" customFormat="1">
      <c r="A123" s="2427"/>
      <c r="C123" s="1163"/>
      <c r="D123" s="1163"/>
      <c r="E123" s="1564"/>
      <c r="F123" s="1163"/>
      <c r="G123" s="1163"/>
      <c r="H123" s="1163"/>
      <c r="I123" s="1163"/>
    </row>
    <row r="124" spans="1:9" s="2422" customFormat="1">
      <c r="A124" s="2427"/>
      <c r="C124" s="1163"/>
      <c r="D124" s="1163"/>
      <c r="E124" s="1564"/>
      <c r="F124" s="1163"/>
      <c r="G124" s="1163"/>
      <c r="H124" s="1163"/>
      <c r="I124" s="1163"/>
    </row>
    <row r="125" spans="1:9" s="2422" customFormat="1">
      <c r="A125" s="2427"/>
      <c r="C125" s="1163"/>
      <c r="D125" s="1163"/>
      <c r="E125" s="1564"/>
      <c r="F125" s="1163"/>
      <c r="G125" s="1163"/>
      <c r="H125" s="1163"/>
      <c r="I125" s="1163"/>
    </row>
    <row r="126" spans="1:9" s="2422" customFormat="1">
      <c r="A126" s="2427"/>
      <c r="C126" s="1163"/>
      <c r="D126" s="1163"/>
      <c r="E126" s="1564"/>
      <c r="F126" s="1163"/>
      <c r="G126" s="1163"/>
      <c r="H126" s="1163"/>
      <c r="I126" s="1163"/>
    </row>
    <row r="127" spans="1:9" s="2422" customFormat="1">
      <c r="A127" s="2427"/>
      <c r="C127" s="1163"/>
      <c r="D127" s="1163"/>
      <c r="E127" s="1564"/>
      <c r="F127" s="1163"/>
      <c r="G127" s="1163"/>
      <c r="H127" s="1163"/>
      <c r="I127" s="1163"/>
    </row>
    <row r="128" spans="1:9" s="2422" customFormat="1">
      <c r="A128" s="2427"/>
      <c r="C128" s="1163"/>
      <c r="D128" s="1163"/>
      <c r="E128" s="1564"/>
      <c r="F128" s="1163"/>
      <c r="G128" s="1163"/>
      <c r="H128" s="1163"/>
      <c r="I128" s="1163"/>
    </row>
    <row r="129" spans="1:9" s="2422" customFormat="1">
      <c r="A129" s="2427"/>
      <c r="C129" s="1163"/>
      <c r="D129" s="1163"/>
      <c r="E129" s="1564"/>
      <c r="F129" s="1163"/>
      <c r="G129" s="1163"/>
      <c r="H129" s="1163"/>
      <c r="I129" s="1163"/>
    </row>
    <row r="130" spans="1:9" s="2422" customFormat="1">
      <c r="A130" s="2427"/>
      <c r="C130" s="1163"/>
      <c r="D130" s="1163"/>
      <c r="E130" s="1564"/>
      <c r="F130" s="1163"/>
      <c r="G130" s="1163"/>
      <c r="H130" s="1163"/>
      <c r="I130" s="1163"/>
    </row>
    <row r="131" spans="1:9" s="2422" customFormat="1">
      <c r="A131" s="2427"/>
      <c r="C131" s="1163"/>
      <c r="D131" s="1163"/>
      <c r="E131" s="1564"/>
      <c r="F131" s="1163"/>
      <c r="G131" s="1163"/>
      <c r="H131" s="1163"/>
      <c r="I131" s="1163"/>
    </row>
    <row r="132" spans="1:9" s="2422" customFormat="1">
      <c r="A132" s="2427"/>
      <c r="C132" s="1163"/>
      <c r="D132" s="1163"/>
      <c r="E132" s="1564"/>
      <c r="F132" s="1163"/>
      <c r="G132" s="1163"/>
      <c r="H132" s="1163"/>
      <c r="I132" s="1163"/>
    </row>
    <row r="133" spans="1:9" s="2422" customFormat="1">
      <c r="A133" s="2427"/>
      <c r="C133" s="1163"/>
      <c r="D133" s="1163"/>
      <c r="E133" s="1564"/>
      <c r="F133" s="1163"/>
      <c r="G133" s="1163"/>
      <c r="H133" s="1163"/>
      <c r="I133" s="1163"/>
    </row>
    <row r="134" spans="1:9" s="2422" customFormat="1">
      <c r="A134" s="2427"/>
      <c r="C134" s="1163"/>
      <c r="D134" s="1163"/>
      <c r="E134" s="1564"/>
      <c r="F134" s="1163"/>
      <c r="G134" s="1163"/>
      <c r="H134" s="1163"/>
      <c r="I134" s="1163"/>
    </row>
    <row r="135" spans="1:9" s="2422" customFormat="1">
      <c r="A135" s="2427"/>
      <c r="C135" s="1163"/>
      <c r="D135" s="1163"/>
      <c r="E135" s="1564"/>
      <c r="F135" s="1163"/>
      <c r="G135" s="1163"/>
      <c r="H135" s="1163"/>
      <c r="I135" s="1163"/>
    </row>
    <row r="136" spans="1:9" s="2422" customFormat="1">
      <c r="A136" s="2427"/>
      <c r="C136" s="1163"/>
      <c r="D136" s="1163"/>
      <c r="E136" s="1564"/>
      <c r="F136" s="1163"/>
      <c r="G136" s="1163"/>
      <c r="H136" s="1163"/>
      <c r="I136" s="1163"/>
    </row>
    <row r="137" spans="1:9" s="2422" customFormat="1">
      <c r="A137" s="2427"/>
      <c r="C137" s="1163"/>
      <c r="D137" s="1163"/>
      <c r="E137" s="1564"/>
      <c r="F137" s="1163"/>
      <c r="G137" s="1163"/>
      <c r="H137" s="1163"/>
      <c r="I137" s="1163"/>
    </row>
    <row r="138" spans="1:9" s="2422" customFormat="1">
      <c r="A138" s="2427"/>
      <c r="C138" s="1163"/>
      <c r="D138" s="1163"/>
      <c r="E138" s="1564"/>
      <c r="F138" s="1163"/>
      <c r="G138" s="1163"/>
      <c r="H138" s="1163"/>
      <c r="I138" s="1163"/>
    </row>
    <row r="139" spans="1:9" s="2422" customFormat="1">
      <c r="A139" s="2427"/>
      <c r="C139" s="1163"/>
      <c r="D139" s="1163"/>
      <c r="E139" s="1564"/>
      <c r="F139" s="1163"/>
      <c r="G139" s="1163"/>
      <c r="H139" s="1163"/>
      <c r="I139" s="1163"/>
    </row>
    <row r="140" spans="1:9" s="2422" customFormat="1">
      <c r="A140" s="2427"/>
      <c r="C140" s="1163"/>
      <c r="D140" s="1163"/>
      <c r="E140" s="1564"/>
      <c r="F140" s="1163"/>
      <c r="G140" s="1163"/>
      <c r="H140" s="1163"/>
      <c r="I140" s="1163"/>
    </row>
    <row r="141" spans="1:9" s="2422" customFormat="1">
      <c r="A141" s="2427"/>
      <c r="C141" s="1163"/>
      <c r="D141" s="1163"/>
      <c r="E141" s="1564"/>
      <c r="F141" s="1163"/>
      <c r="G141" s="1163"/>
      <c r="H141" s="1163"/>
      <c r="I141" s="1163"/>
    </row>
    <row r="142" spans="1:9" s="2422" customFormat="1">
      <c r="A142" s="2427"/>
      <c r="C142" s="1163"/>
      <c r="D142" s="1163"/>
      <c r="E142" s="1564"/>
      <c r="F142" s="1163"/>
      <c r="G142" s="1163"/>
      <c r="H142" s="1163"/>
      <c r="I142" s="1163"/>
    </row>
    <row r="143" spans="1:9" s="2422" customFormat="1">
      <c r="A143" s="2427"/>
      <c r="C143" s="1163"/>
      <c r="D143" s="1163"/>
      <c r="E143" s="1564"/>
      <c r="F143" s="1163"/>
      <c r="G143" s="1163"/>
      <c r="H143" s="1163"/>
      <c r="I143" s="1163"/>
    </row>
    <row r="144" spans="1:9" s="2422" customFormat="1">
      <c r="A144" s="2427"/>
      <c r="C144" s="1163"/>
      <c r="D144" s="1163"/>
      <c r="E144" s="1564"/>
      <c r="F144" s="1163"/>
      <c r="G144" s="1163"/>
      <c r="H144" s="1163"/>
      <c r="I144" s="1163"/>
    </row>
    <row r="145" spans="1:9" s="2422" customFormat="1">
      <c r="A145" s="2427"/>
      <c r="C145" s="1163"/>
      <c r="D145" s="1163"/>
      <c r="E145" s="1564"/>
      <c r="F145" s="1163"/>
      <c r="G145" s="1163"/>
      <c r="H145" s="1163"/>
      <c r="I145" s="1163"/>
    </row>
    <row r="146" spans="1:9" s="2422" customFormat="1">
      <c r="A146" s="2427"/>
      <c r="C146" s="1163"/>
      <c r="D146" s="1163"/>
      <c r="E146" s="1564"/>
      <c r="F146" s="1163"/>
      <c r="G146" s="1163"/>
      <c r="H146" s="1163"/>
      <c r="I146" s="1163"/>
    </row>
    <row r="147" spans="1:9" s="2422" customFormat="1">
      <c r="A147" s="2427"/>
      <c r="C147" s="1163"/>
      <c r="D147" s="1163"/>
      <c r="E147" s="1564"/>
      <c r="F147" s="1163"/>
      <c r="G147" s="1163"/>
      <c r="H147" s="1163"/>
      <c r="I147" s="1163"/>
    </row>
    <row r="148" spans="1:9" s="2422" customFormat="1">
      <c r="A148" s="2427"/>
      <c r="C148" s="1163"/>
      <c r="D148" s="1163"/>
      <c r="E148" s="1564"/>
      <c r="F148" s="1163"/>
      <c r="G148" s="1163"/>
      <c r="H148" s="1163"/>
      <c r="I148" s="1163"/>
    </row>
    <row r="149" spans="1:9" s="2422" customFormat="1">
      <c r="A149" s="2427"/>
      <c r="C149" s="1163"/>
      <c r="D149" s="1163"/>
      <c r="E149" s="1564"/>
      <c r="F149" s="1163"/>
      <c r="G149" s="1163"/>
      <c r="H149" s="1163"/>
      <c r="I149" s="1163"/>
    </row>
    <row r="150" spans="1:9" s="2422" customFormat="1">
      <c r="A150" s="2427"/>
      <c r="C150" s="1163"/>
      <c r="D150" s="1163"/>
      <c r="E150" s="1564"/>
      <c r="F150" s="1163"/>
      <c r="G150" s="1163"/>
      <c r="H150" s="1163"/>
      <c r="I150" s="1163"/>
    </row>
    <row r="151" spans="1:9" s="2422" customFormat="1">
      <c r="A151" s="2427"/>
      <c r="C151" s="1163"/>
      <c r="D151" s="1163"/>
      <c r="E151" s="1564"/>
      <c r="F151" s="1163"/>
      <c r="G151" s="1163"/>
      <c r="H151" s="1163"/>
      <c r="I151" s="1163"/>
    </row>
    <row r="152" spans="1:9" s="2422" customFormat="1">
      <c r="A152" s="2427"/>
      <c r="C152" s="1163"/>
      <c r="D152" s="1163"/>
      <c r="E152" s="1564"/>
      <c r="F152" s="1163"/>
      <c r="G152" s="1163"/>
      <c r="H152" s="1163"/>
      <c r="I152" s="1163"/>
    </row>
    <row r="153" spans="1:9" s="2422" customFormat="1">
      <c r="A153" s="2427"/>
      <c r="C153" s="1163"/>
      <c r="D153" s="1163"/>
      <c r="E153" s="1564"/>
      <c r="F153" s="1163"/>
      <c r="G153" s="1163"/>
      <c r="H153" s="1163"/>
      <c r="I153" s="1163"/>
    </row>
    <row r="154" spans="1:9" s="2422" customFormat="1">
      <c r="A154" s="2427"/>
      <c r="C154" s="1163"/>
      <c r="D154" s="1163"/>
      <c r="E154" s="1564"/>
      <c r="F154" s="1163"/>
      <c r="G154" s="1163"/>
      <c r="H154" s="1163"/>
      <c r="I154" s="1163"/>
    </row>
    <row r="155" spans="1:9" s="2422" customFormat="1">
      <c r="A155" s="2427"/>
      <c r="C155" s="1163"/>
      <c r="D155" s="1163"/>
      <c r="E155" s="1564"/>
      <c r="F155" s="1163"/>
      <c r="G155" s="1163"/>
      <c r="H155" s="1163"/>
      <c r="I155" s="1163"/>
    </row>
    <row r="156" spans="1:9" s="2422" customFormat="1">
      <c r="A156" s="2427"/>
      <c r="C156" s="1163"/>
      <c r="D156" s="1163"/>
      <c r="E156" s="1564"/>
      <c r="F156" s="1163"/>
      <c r="G156" s="1163"/>
      <c r="H156" s="1163"/>
      <c r="I156" s="1163"/>
    </row>
    <row r="157" spans="1:9" s="2422" customFormat="1">
      <c r="A157" s="2427"/>
      <c r="C157" s="1163"/>
      <c r="D157" s="1163"/>
      <c r="E157" s="1564"/>
      <c r="F157" s="1163"/>
      <c r="G157" s="1163"/>
      <c r="H157" s="1163"/>
      <c r="I157" s="1163"/>
    </row>
    <row r="158" spans="1:9" s="2422" customFormat="1">
      <c r="A158" s="2427"/>
      <c r="C158" s="1163"/>
      <c r="D158" s="1163"/>
      <c r="E158" s="1564"/>
      <c r="F158" s="1163"/>
      <c r="G158" s="1163"/>
      <c r="H158" s="1163"/>
      <c r="I158" s="1163"/>
    </row>
    <row r="159" spans="1:9" s="2422" customFormat="1">
      <c r="A159" s="2427"/>
      <c r="C159" s="1163"/>
      <c r="D159" s="1163"/>
      <c r="E159" s="1564"/>
      <c r="F159" s="1163"/>
      <c r="G159" s="1163"/>
      <c r="H159" s="1163"/>
      <c r="I159" s="1163"/>
    </row>
    <row r="160" spans="1:9" s="2422" customFormat="1">
      <c r="A160" s="2427"/>
      <c r="C160" s="1163"/>
      <c r="D160" s="1163"/>
      <c r="E160" s="1564"/>
      <c r="F160" s="1163"/>
      <c r="G160" s="1163"/>
      <c r="H160" s="1163"/>
      <c r="I160" s="1163"/>
    </row>
    <row r="161" spans="1:9" s="2422" customFormat="1">
      <c r="A161" s="2427"/>
      <c r="C161" s="1163"/>
      <c r="D161" s="1163"/>
      <c r="E161" s="1564"/>
      <c r="F161" s="1163"/>
      <c r="G161" s="1163"/>
      <c r="H161" s="1163"/>
      <c r="I161" s="1163"/>
    </row>
    <row r="162" spans="1:9" s="2422" customFormat="1">
      <c r="A162" s="2427"/>
      <c r="C162" s="1163"/>
      <c r="D162" s="1163"/>
      <c r="E162" s="1564"/>
      <c r="F162" s="1163"/>
      <c r="G162" s="1163"/>
      <c r="H162" s="1163"/>
      <c r="I162" s="1163"/>
    </row>
    <row r="163" spans="1:9" s="2422" customFormat="1">
      <c r="A163" s="2427"/>
      <c r="C163" s="1163"/>
      <c r="D163" s="1163"/>
      <c r="E163" s="1564"/>
      <c r="F163" s="1163"/>
      <c r="G163" s="1163"/>
      <c r="H163" s="1163"/>
      <c r="I163" s="1163"/>
    </row>
    <row r="164" spans="1:9" s="2422" customFormat="1">
      <c r="A164" s="2427"/>
      <c r="C164" s="1163"/>
      <c r="D164" s="1163"/>
      <c r="E164" s="1564"/>
      <c r="F164" s="1163"/>
      <c r="G164" s="1163"/>
      <c r="H164" s="1163"/>
      <c r="I164" s="1163"/>
    </row>
    <row r="165" spans="1:9" s="2422" customFormat="1">
      <c r="A165" s="2427"/>
      <c r="C165" s="1163"/>
      <c r="D165" s="1163"/>
      <c r="E165" s="1564"/>
      <c r="F165" s="1163"/>
      <c r="G165" s="1163"/>
      <c r="H165" s="1163"/>
      <c r="I165" s="1163"/>
    </row>
    <row r="166" spans="1:9" s="2422" customFormat="1">
      <c r="A166" s="2427"/>
      <c r="C166" s="1163"/>
      <c r="D166" s="1163"/>
      <c r="E166" s="1564"/>
      <c r="F166" s="1163"/>
      <c r="G166" s="1163"/>
      <c r="H166" s="1163"/>
      <c r="I166" s="1163"/>
    </row>
    <row r="167" spans="1:9" s="2422" customFormat="1">
      <c r="A167" s="2427"/>
      <c r="C167" s="1163"/>
      <c r="D167" s="1163"/>
      <c r="E167" s="1564"/>
      <c r="F167" s="1163"/>
      <c r="G167" s="1163"/>
      <c r="H167" s="1163"/>
      <c r="I167" s="1163"/>
    </row>
    <row r="168" spans="1:9" s="2422" customFormat="1">
      <c r="A168" s="2427"/>
      <c r="C168" s="1163"/>
      <c r="D168" s="1163"/>
      <c r="E168" s="1564"/>
      <c r="F168" s="1163"/>
      <c r="G168" s="1163"/>
      <c r="H168" s="1163"/>
      <c r="I168" s="1163"/>
    </row>
    <row r="169" spans="1:9" s="2422" customFormat="1">
      <c r="A169" s="2427"/>
      <c r="C169" s="1163"/>
      <c r="D169" s="1163"/>
      <c r="E169" s="1564"/>
      <c r="F169" s="1163"/>
      <c r="G169" s="1163"/>
      <c r="H169" s="1163"/>
      <c r="I169" s="1163"/>
    </row>
    <row r="170" spans="1:9" s="2422" customFormat="1">
      <c r="A170" s="2427"/>
      <c r="C170" s="1163"/>
      <c r="D170" s="1163"/>
      <c r="E170" s="1564"/>
      <c r="F170" s="1163"/>
      <c r="G170" s="1163"/>
      <c r="H170" s="1163"/>
      <c r="I170" s="1163"/>
    </row>
    <row r="171" spans="1:9" s="2422" customFormat="1">
      <c r="A171" s="2427"/>
      <c r="C171" s="1163"/>
      <c r="D171" s="1163"/>
      <c r="E171" s="1564"/>
      <c r="F171" s="1163"/>
      <c r="G171" s="1163"/>
      <c r="H171" s="1163"/>
      <c r="I171" s="1163"/>
    </row>
    <row r="172" spans="1:9" s="2422" customFormat="1">
      <c r="A172" s="2427"/>
      <c r="C172" s="1163"/>
      <c r="D172" s="1163"/>
      <c r="E172" s="1564"/>
      <c r="F172" s="1163"/>
      <c r="G172" s="1163"/>
      <c r="H172" s="1163"/>
      <c r="I172" s="1163"/>
    </row>
    <row r="173" spans="1:9" s="2422" customFormat="1">
      <c r="A173" s="2427"/>
      <c r="C173" s="1163"/>
      <c r="D173" s="1163"/>
      <c r="E173" s="1564"/>
      <c r="F173" s="1163"/>
      <c r="G173" s="1163"/>
      <c r="H173" s="1163"/>
      <c r="I173" s="1163"/>
    </row>
    <row r="174" spans="1:9" s="2422" customFormat="1">
      <c r="A174" s="2427"/>
      <c r="C174" s="1163"/>
      <c r="D174" s="1163"/>
      <c r="E174" s="1564"/>
      <c r="F174" s="1163"/>
      <c r="G174" s="1163"/>
      <c r="H174" s="1163"/>
      <c r="I174" s="1163"/>
    </row>
    <row r="175" spans="1:9" s="2422" customFormat="1">
      <c r="A175" s="2427"/>
      <c r="C175" s="1163"/>
      <c r="D175" s="1163"/>
      <c r="E175" s="1564"/>
      <c r="F175" s="1163"/>
      <c r="G175" s="1163"/>
      <c r="H175" s="1163"/>
      <c r="I175" s="1163"/>
    </row>
    <row r="176" spans="1:9" s="2422" customFormat="1">
      <c r="A176" s="2427"/>
      <c r="C176" s="1163"/>
      <c r="D176" s="1163"/>
      <c r="E176" s="1564"/>
      <c r="F176" s="1163"/>
      <c r="G176" s="1163"/>
      <c r="H176" s="1163"/>
      <c r="I176" s="1163"/>
    </row>
    <row r="177" spans="1:9" s="2422" customFormat="1">
      <c r="A177" s="2427"/>
      <c r="C177" s="1163"/>
      <c r="D177" s="1163"/>
      <c r="E177" s="1564"/>
      <c r="F177" s="1163"/>
      <c r="G177" s="1163"/>
      <c r="H177" s="1163"/>
      <c r="I177" s="1163"/>
    </row>
    <row r="178" spans="1:9" s="2422" customFormat="1">
      <c r="A178" s="2427"/>
      <c r="C178" s="1163"/>
      <c r="D178" s="1163"/>
      <c r="E178" s="1564"/>
      <c r="F178" s="1163"/>
      <c r="G178" s="1163"/>
      <c r="H178" s="1163"/>
      <c r="I178" s="1163"/>
    </row>
    <row r="179" spans="1:9" s="2422" customFormat="1">
      <c r="A179" s="2427"/>
      <c r="C179" s="1163"/>
      <c r="D179" s="1163"/>
      <c r="E179" s="1564"/>
      <c r="F179" s="1163"/>
      <c r="G179" s="1163"/>
      <c r="H179" s="1163"/>
      <c r="I179" s="1163"/>
    </row>
    <row r="180" spans="1:9" s="2422" customFormat="1">
      <c r="A180" s="2427"/>
      <c r="C180" s="1163"/>
      <c r="D180" s="1163"/>
      <c r="E180" s="1564"/>
      <c r="F180" s="1163"/>
      <c r="G180" s="1163"/>
      <c r="H180" s="1163"/>
      <c r="I180" s="1163"/>
    </row>
    <row r="181" spans="1:9" s="2422" customFormat="1">
      <c r="A181" s="2427"/>
      <c r="C181" s="1163"/>
      <c r="D181" s="1163"/>
      <c r="E181" s="1564"/>
      <c r="F181" s="1163"/>
      <c r="G181" s="1163"/>
      <c r="H181" s="1163"/>
      <c r="I181" s="1163"/>
    </row>
    <row r="182" spans="1:9" s="2422" customFormat="1">
      <c r="A182" s="2427"/>
      <c r="C182" s="1163"/>
      <c r="D182" s="1163"/>
      <c r="E182" s="1564"/>
      <c r="F182" s="1163"/>
      <c r="G182" s="1163"/>
      <c r="H182" s="1163"/>
      <c r="I182" s="1163"/>
    </row>
    <row r="183" spans="1:9" s="2422" customFormat="1">
      <c r="A183" s="2427"/>
      <c r="C183" s="1163"/>
      <c r="D183" s="1163"/>
      <c r="E183" s="1564"/>
      <c r="F183" s="1163"/>
      <c r="G183" s="1163"/>
      <c r="H183" s="1163"/>
      <c r="I183" s="1163"/>
    </row>
    <row r="184" spans="1:9" s="2422" customFormat="1">
      <c r="A184" s="2427"/>
      <c r="C184" s="1163"/>
      <c r="D184" s="1163"/>
      <c r="E184" s="1564"/>
      <c r="F184" s="1163"/>
      <c r="G184" s="1163"/>
      <c r="H184" s="1163"/>
      <c r="I184" s="1163"/>
    </row>
    <row r="185" spans="1:9" s="2422" customFormat="1">
      <c r="A185" s="2427"/>
      <c r="C185" s="1163"/>
      <c r="D185" s="1163"/>
      <c r="E185" s="1564"/>
      <c r="F185" s="1163"/>
      <c r="G185" s="1163"/>
      <c r="H185" s="1163"/>
      <c r="I185" s="1163"/>
    </row>
    <row r="186" spans="1:9" s="2422" customFormat="1">
      <c r="A186" s="2427"/>
      <c r="C186" s="1163"/>
      <c r="D186" s="1163"/>
      <c r="E186" s="1564"/>
      <c r="F186" s="1163"/>
      <c r="G186" s="1163"/>
      <c r="H186" s="1163"/>
      <c r="I186" s="1163"/>
    </row>
    <row r="187" spans="1:9" s="2422" customFormat="1">
      <c r="A187" s="2427"/>
      <c r="C187" s="1163"/>
      <c r="D187" s="1163"/>
      <c r="E187" s="1564"/>
      <c r="F187" s="1163"/>
      <c r="G187" s="1163"/>
      <c r="H187" s="1163"/>
      <c r="I187" s="1163"/>
    </row>
    <row r="188" spans="1:9" s="2422" customFormat="1">
      <c r="A188" s="2427"/>
      <c r="C188" s="1163"/>
      <c r="D188" s="1163"/>
      <c r="E188" s="1564"/>
      <c r="F188" s="1163"/>
      <c r="G188" s="1163"/>
      <c r="H188" s="1163"/>
      <c r="I188" s="1163"/>
    </row>
    <row r="189" spans="1:9" s="2422" customFormat="1">
      <c r="A189" s="2427"/>
      <c r="C189" s="1163"/>
      <c r="D189" s="1163"/>
      <c r="E189" s="1564"/>
      <c r="F189" s="1163"/>
      <c r="G189" s="1163"/>
      <c r="H189" s="1163"/>
      <c r="I189" s="1163"/>
    </row>
    <row r="190" spans="1:9" s="2422" customFormat="1">
      <c r="A190" s="2427"/>
      <c r="C190" s="1163"/>
      <c r="D190" s="1163"/>
      <c r="E190" s="1564"/>
      <c r="F190" s="1163"/>
      <c r="G190" s="1163"/>
      <c r="H190" s="1163"/>
      <c r="I190" s="1163"/>
    </row>
    <row r="191" spans="1:9" s="2422" customFormat="1">
      <c r="A191" s="2427"/>
      <c r="C191" s="1163"/>
      <c r="D191" s="1163"/>
      <c r="E191" s="1564"/>
      <c r="F191" s="1163"/>
      <c r="G191" s="1163"/>
      <c r="H191" s="1163"/>
      <c r="I191" s="1163"/>
    </row>
    <row r="192" spans="1:9" s="2422" customFormat="1">
      <c r="A192" s="2427"/>
      <c r="C192" s="1163"/>
      <c r="D192" s="1163"/>
      <c r="E192" s="1564"/>
      <c r="F192" s="1163"/>
      <c r="G192" s="1163"/>
      <c r="H192" s="1163"/>
      <c r="I192" s="1163"/>
    </row>
    <row r="193" spans="1:9" s="2422" customFormat="1">
      <c r="A193" s="2427"/>
      <c r="C193" s="1163"/>
      <c r="D193" s="1163"/>
      <c r="E193" s="1564"/>
      <c r="F193" s="1163"/>
      <c r="G193" s="1163"/>
      <c r="H193" s="1163"/>
      <c r="I193" s="1163"/>
    </row>
    <row r="194" spans="1:9" s="2422" customFormat="1">
      <c r="A194" s="2427"/>
      <c r="C194" s="1163"/>
      <c r="D194" s="1163"/>
      <c r="E194" s="1564"/>
      <c r="F194" s="1163"/>
      <c r="G194" s="1163"/>
      <c r="H194" s="1163"/>
      <c r="I194" s="1163"/>
    </row>
    <row r="195" spans="1:9" s="2422" customFormat="1">
      <c r="A195" s="2427"/>
      <c r="C195" s="1163"/>
      <c r="D195" s="1163"/>
      <c r="E195" s="1564"/>
      <c r="F195" s="1163"/>
      <c r="G195" s="1163"/>
      <c r="H195" s="1163"/>
      <c r="I195" s="1163"/>
    </row>
    <row r="196" spans="1:9" s="2422" customFormat="1">
      <c r="A196" s="2427"/>
      <c r="C196" s="1163"/>
      <c r="D196" s="1163"/>
      <c r="E196" s="1564"/>
      <c r="F196" s="1163"/>
      <c r="G196" s="1163"/>
      <c r="H196" s="1163"/>
      <c r="I196" s="1163"/>
    </row>
    <row r="197" spans="1:9" s="2422" customFormat="1">
      <c r="A197" s="2427"/>
      <c r="C197" s="1163"/>
      <c r="D197" s="1163"/>
      <c r="E197" s="1564"/>
      <c r="F197" s="1163"/>
      <c r="G197" s="1163"/>
      <c r="H197" s="1163"/>
      <c r="I197" s="1163"/>
    </row>
    <row r="198" spans="1:9" s="2422" customFormat="1">
      <c r="A198" s="2427"/>
      <c r="C198" s="1163"/>
      <c r="D198" s="1163"/>
      <c r="E198" s="1564"/>
      <c r="F198" s="1163"/>
      <c r="G198" s="1163"/>
      <c r="H198" s="1163"/>
      <c r="I198" s="1163"/>
    </row>
    <row r="199" spans="1:9" s="2422" customFormat="1">
      <c r="A199" s="2427"/>
      <c r="C199" s="1163"/>
      <c r="D199" s="1163"/>
      <c r="E199" s="1564"/>
      <c r="F199" s="1163"/>
      <c r="G199" s="1163"/>
      <c r="H199" s="1163"/>
      <c r="I199" s="1163"/>
    </row>
    <row r="200" spans="1:9" s="2422" customFormat="1">
      <c r="A200" s="2427"/>
      <c r="C200" s="1163"/>
      <c r="D200" s="1163"/>
      <c r="E200" s="1564"/>
      <c r="F200" s="1163"/>
      <c r="G200" s="1163"/>
      <c r="H200" s="1163"/>
      <c r="I200" s="1163"/>
    </row>
    <row r="201" spans="1:9" s="2422" customFormat="1">
      <c r="A201" s="2427"/>
      <c r="C201" s="1163"/>
      <c r="D201" s="1163"/>
      <c r="E201" s="1564"/>
      <c r="F201" s="1163"/>
      <c r="G201" s="1163"/>
      <c r="H201" s="1163"/>
      <c r="I201" s="1163"/>
    </row>
    <row r="202" spans="1:9" s="2422" customFormat="1">
      <c r="A202" s="2427"/>
      <c r="C202" s="1163"/>
      <c r="D202" s="1163"/>
      <c r="E202" s="1564"/>
      <c r="F202" s="1163"/>
      <c r="G202" s="1163"/>
      <c r="H202" s="1163"/>
      <c r="I202" s="1163"/>
    </row>
    <row r="203" spans="1:9" s="2422" customFormat="1">
      <c r="A203" s="2427"/>
      <c r="C203" s="1163"/>
      <c r="D203" s="1163"/>
      <c r="E203" s="1564"/>
      <c r="F203" s="1163"/>
      <c r="G203" s="1163"/>
      <c r="H203" s="1163"/>
      <c r="I203" s="1163"/>
    </row>
    <row r="204" spans="1:9" s="2422" customFormat="1">
      <c r="A204" s="2427"/>
      <c r="C204" s="1163"/>
      <c r="D204" s="1163"/>
      <c r="E204" s="1564"/>
      <c r="F204" s="1163"/>
      <c r="G204" s="1163"/>
      <c r="H204" s="1163"/>
      <c r="I204" s="1163"/>
    </row>
    <row r="205" spans="1:9" s="2422" customFormat="1">
      <c r="A205" s="2427"/>
      <c r="C205" s="1163"/>
      <c r="D205" s="1163"/>
      <c r="E205" s="1564"/>
      <c r="F205" s="1163"/>
      <c r="G205" s="1163"/>
      <c r="H205" s="1163"/>
      <c r="I205" s="1163"/>
    </row>
    <row r="206" spans="1:9" s="2422" customFormat="1">
      <c r="A206" s="2427"/>
      <c r="C206" s="1163"/>
      <c r="D206" s="1163"/>
      <c r="E206" s="1564"/>
      <c r="F206" s="1163"/>
      <c r="G206" s="1163"/>
      <c r="H206" s="1163"/>
      <c r="I206" s="1163"/>
    </row>
    <row r="207" spans="1:9" s="2422" customFormat="1">
      <c r="A207" s="2427"/>
      <c r="C207" s="1163"/>
      <c r="D207" s="1163"/>
      <c r="E207" s="1564"/>
      <c r="F207" s="1163"/>
      <c r="G207" s="1163"/>
      <c r="H207" s="1163"/>
      <c r="I207" s="1163"/>
    </row>
    <row r="208" spans="1:9" s="2422" customFormat="1">
      <c r="A208" s="2427"/>
      <c r="C208" s="1163"/>
      <c r="D208" s="1163"/>
      <c r="E208" s="1564"/>
      <c r="F208" s="1163"/>
      <c r="G208" s="1163"/>
      <c r="H208" s="1163"/>
      <c r="I208" s="1163"/>
    </row>
    <row r="209" spans="1:9" s="2422" customFormat="1">
      <c r="A209" s="2427"/>
      <c r="C209" s="1163"/>
      <c r="D209" s="1163"/>
      <c r="E209" s="1564"/>
      <c r="F209" s="1163"/>
      <c r="G209" s="1163"/>
      <c r="H209" s="1163"/>
      <c r="I209" s="1163"/>
    </row>
    <row r="210" spans="1:9" s="2422" customFormat="1">
      <c r="A210" s="2427"/>
      <c r="C210" s="1163"/>
      <c r="D210" s="1163"/>
      <c r="E210" s="1564"/>
      <c r="F210" s="1163"/>
      <c r="G210" s="1163"/>
      <c r="H210" s="1163"/>
      <c r="I210" s="1163"/>
    </row>
    <row r="211" spans="1:9" s="2422" customFormat="1">
      <c r="A211" s="2427"/>
      <c r="C211" s="1163"/>
      <c r="D211" s="1163"/>
      <c r="E211" s="1564"/>
      <c r="F211" s="1163"/>
      <c r="G211" s="1163"/>
      <c r="H211" s="1163"/>
      <c r="I211" s="1163"/>
    </row>
    <row r="212" spans="1:9" s="2422" customFormat="1">
      <c r="A212" s="2427"/>
      <c r="C212" s="1163"/>
      <c r="D212" s="1163"/>
      <c r="E212" s="1564"/>
      <c r="F212" s="1163"/>
      <c r="G212" s="1163"/>
      <c r="H212" s="1163"/>
      <c r="I212" s="1163"/>
    </row>
    <row r="213" spans="1:9" s="2422" customFormat="1">
      <c r="A213" s="2427"/>
      <c r="C213" s="1163"/>
      <c r="D213" s="1163"/>
      <c r="E213" s="1564"/>
      <c r="F213" s="1163"/>
      <c r="G213" s="1163"/>
      <c r="H213" s="1163"/>
      <c r="I213" s="1163"/>
    </row>
    <row r="214" spans="1:9" s="2422" customFormat="1">
      <c r="A214" s="2427"/>
      <c r="C214" s="1163"/>
      <c r="D214" s="1163"/>
      <c r="E214" s="1564"/>
      <c r="F214" s="1163"/>
      <c r="G214" s="1163"/>
      <c r="H214" s="1163"/>
      <c r="I214" s="1163"/>
    </row>
    <row r="215" spans="1:9" s="2422" customFormat="1">
      <c r="A215" s="2427"/>
      <c r="C215" s="1163"/>
      <c r="D215" s="1163"/>
      <c r="E215" s="1564"/>
      <c r="F215" s="1163"/>
      <c r="G215" s="1163"/>
      <c r="H215" s="1163"/>
      <c r="I215" s="1163"/>
    </row>
    <row r="216" spans="1:9" s="2422" customFormat="1">
      <c r="A216" s="2427"/>
      <c r="C216" s="1163"/>
      <c r="D216" s="1163"/>
      <c r="E216" s="1564"/>
      <c r="F216" s="1163"/>
      <c r="G216" s="1163"/>
      <c r="H216" s="1163"/>
      <c r="I216" s="1163"/>
    </row>
    <row r="217" spans="1:9" s="2422" customFormat="1">
      <c r="A217" s="2427"/>
      <c r="C217" s="1163"/>
      <c r="D217" s="1163"/>
      <c r="E217" s="1564"/>
      <c r="F217" s="1163"/>
      <c r="G217" s="1163"/>
      <c r="H217" s="1163"/>
      <c r="I217" s="1163"/>
    </row>
    <row r="218" spans="1:9" s="2422" customFormat="1">
      <c r="A218" s="2427"/>
      <c r="C218" s="1163"/>
      <c r="D218" s="1163"/>
      <c r="E218" s="1564"/>
      <c r="F218" s="1163"/>
      <c r="G218" s="1163"/>
      <c r="H218" s="1163"/>
      <c r="I218" s="1163"/>
    </row>
    <row r="219" spans="1:9" s="2422" customFormat="1">
      <c r="A219" s="2427"/>
      <c r="C219" s="1163"/>
      <c r="D219" s="1163"/>
      <c r="E219" s="1564"/>
      <c r="F219" s="1163"/>
      <c r="G219" s="1163"/>
      <c r="H219" s="1163"/>
      <c r="I219" s="1163"/>
    </row>
    <row r="220" spans="1:9" s="2422" customFormat="1">
      <c r="A220" s="2427"/>
      <c r="C220" s="1163"/>
      <c r="D220" s="1163"/>
      <c r="E220" s="1564"/>
      <c r="F220" s="1163"/>
      <c r="G220" s="1163"/>
      <c r="H220" s="1163"/>
      <c r="I220" s="1163"/>
    </row>
    <row r="221" spans="1:9" s="2422" customFormat="1">
      <c r="A221" s="2427"/>
      <c r="C221" s="1163"/>
      <c r="D221" s="1163"/>
      <c r="E221" s="1564"/>
      <c r="F221" s="1163"/>
      <c r="G221" s="1163"/>
      <c r="H221" s="1163"/>
      <c r="I221" s="1163"/>
    </row>
    <row r="222" spans="1:9" s="2422" customFormat="1">
      <c r="A222" s="2427"/>
      <c r="C222" s="1163"/>
      <c r="D222" s="1163"/>
      <c r="E222" s="1564"/>
      <c r="F222" s="1163"/>
      <c r="G222" s="1163"/>
      <c r="H222" s="1163"/>
      <c r="I222" s="1163"/>
    </row>
    <row r="223" spans="1:9" s="2422" customFormat="1">
      <c r="A223" s="2427"/>
      <c r="C223" s="1163"/>
      <c r="D223" s="1163"/>
      <c r="E223" s="1564"/>
      <c r="F223" s="1163"/>
      <c r="G223" s="1163"/>
      <c r="H223" s="1163"/>
      <c r="I223" s="1163"/>
    </row>
    <row r="224" spans="1:9" s="2422" customFormat="1">
      <c r="A224" s="2427"/>
      <c r="C224" s="1163"/>
      <c r="D224" s="1163"/>
      <c r="E224" s="1564"/>
      <c r="F224" s="1163"/>
      <c r="G224" s="1163"/>
      <c r="H224" s="1163"/>
      <c r="I224" s="1163"/>
    </row>
    <row r="225" spans="1:9" s="2422" customFormat="1">
      <c r="A225" s="2427"/>
      <c r="C225" s="1163"/>
      <c r="D225" s="1163"/>
      <c r="E225" s="1564"/>
      <c r="F225" s="1163"/>
      <c r="G225" s="1163"/>
      <c r="H225" s="1163"/>
      <c r="I225" s="1163"/>
    </row>
    <row r="226" spans="1:9" s="2422" customFormat="1">
      <c r="A226" s="2427"/>
      <c r="C226" s="1163"/>
      <c r="D226" s="1163"/>
      <c r="E226" s="1564"/>
      <c r="F226" s="1163"/>
      <c r="G226" s="1163"/>
      <c r="H226" s="1163"/>
      <c r="I226" s="1163"/>
    </row>
    <row r="227" spans="1:9" s="2422" customFormat="1">
      <c r="A227" s="2427"/>
      <c r="C227" s="1163"/>
      <c r="D227" s="1163"/>
      <c r="E227" s="1564"/>
      <c r="F227" s="1163"/>
      <c r="G227" s="1163"/>
      <c r="H227" s="1163"/>
      <c r="I227" s="1163"/>
    </row>
    <row r="228" spans="1:9" s="2422" customFormat="1">
      <c r="A228" s="2427"/>
      <c r="C228" s="1163"/>
      <c r="D228" s="1163"/>
      <c r="E228" s="1564"/>
      <c r="F228" s="1163"/>
      <c r="G228" s="1163"/>
      <c r="H228" s="1163"/>
      <c r="I228" s="1163"/>
    </row>
    <row r="229" spans="1:9" s="2422" customFormat="1">
      <c r="A229" s="2427"/>
      <c r="C229" s="1163"/>
      <c r="D229" s="1163"/>
      <c r="E229" s="1564"/>
      <c r="F229" s="1163"/>
      <c r="G229" s="1163"/>
      <c r="H229" s="1163"/>
      <c r="I229" s="1163"/>
    </row>
    <row r="230" spans="1:9" s="2422" customFormat="1">
      <c r="A230" s="2427"/>
      <c r="C230" s="1163"/>
      <c r="D230" s="1163"/>
      <c r="E230" s="1564"/>
      <c r="F230" s="1163"/>
      <c r="G230" s="1163"/>
      <c r="H230" s="1163"/>
      <c r="I230" s="1163"/>
    </row>
    <row r="231" spans="1:9" s="2422" customFormat="1">
      <c r="A231" s="2427"/>
      <c r="C231" s="1163"/>
      <c r="D231" s="1163"/>
      <c r="E231" s="1564"/>
      <c r="F231" s="1163"/>
      <c r="G231" s="1163"/>
      <c r="H231" s="1163"/>
      <c r="I231" s="1163"/>
    </row>
    <row r="232" spans="1:9" s="2422" customFormat="1">
      <c r="A232" s="2427"/>
      <c r="C232" s="1163"/>
      <c r="D232" s="1163"/>
      <c r="E232" s="1564"/>
      <c r="F232" s="1163"/>
      <c r="G232" s="1163"/>
      <c r="H232" s="1163"/>
      <c r="I232" s="1163"/>
    </row>
    <row r="233" spans="1:9" s="2422" customFormat="1">
      <c r="A233" s="2427"/>
      <c r="C233" s="1163"/>
      <c r="D233" s="1163"/>
      <c r="E233" s="1564"/>
      <c r="F233" s="1163"/>
      <c r="G233" s="1163"/>
      <c r="H233" s="1163"/>
      <c r="I233" s="1163"/>
    </row>
    <row r="234" spans="1:9" s="2422" customFormat="1">
      <c r="A234" s="2427"/>
      <c r="C234" s="1163"/>
      <c r="D234" s="1163"/>
      <c r="E234" s="1564"/>
      <c r="F234" s="1163"/>
      <c r="G234" s="1163"/>
      <c r="H234" s="1163"/>
      <c r="I234" s="1163"/>
    </row>
    <row r="235" spans="1:9" s="2422" customFormat="1">
      <c r="A235" s="2427"/>
      <c r="C235" s="1163"/>
      <c r="D235" s="1163"/>
      <c r="E235" s="1564"/>
      <c r="F235" s="1163"/>
      <c r="G235" s="1163"/>
      <c r="H235" s="1163"/>
      <c r="I235" s="1163"/>
    </row>
    <row r="236" spans="1:9" s="2422" customFormat="1">
      <c r="A236" s="2427"/>
      <c r="C236" s="1163"/>
      <c r="D236" s="1163"/>
      <c r="E236" s="1564"/>
      <c r="F236" s="1163"/>
      <c r="G236" s="1163"/>
      <c r="H236" s="1163"/>
      <c r="I236" s="1163"/>
    </row>
    <row r="237" spans="1:9" s="2422" customFormat="1">
      <c r="A237" s="2427"/>
      <c r="C237" s="1163"/>
      <c r="D237" s="1163"/>
      <c r="E237" s="1564"/>
      <c r="F237" s="1163"/>
      <c r="G237" s="1163"/>
      <c r="H237" s="1163"/>
      <c r="I237" s="1163"/>
    </row>
    <row r="238" spans="1:9" s="2422" customFormat="1">
      <c r="A238" s="2427"/>
      <c r="C238" s="1163"/>
      <c r="D238" s="1163"/>
      <c r="E238" s="1564"/>
      <c r="F238" s="1163"/>
      <c r="G238" s="1163"/>
      <c r="H238" s="1163"/>
      <c r="I238" s="1163"/>
    </row>
    <row r="239" spans="1:9" s="2422" customFormat="1">
      <c r="A239" s="2427"/>
      <c r="C239" s="1163"/>
      <c r="D239" s="1163"/>
      <c r="E239" s="1564"/>
      <c r="F239" s="1163"/>
      <c r="G239" s="1163"/>
      <c r="H239" s="1163"/>
      <c r="I239" s="1163"/>
    </row>
    <row r="240" spans="1:9" s="2422" customFormat="1">
      <c r="A240" s="2427"/>
      <c r="C240" s="1163"/>
      <c r="D240" s="1163"/>
      <c r="E240" s="1564"/>
      <c r="F240" s="1163"/>
      <c r="G240" s="1163"/>
      <c r="H240" s="1163"/>
      <c r="I240" s="1163"/>
    </row>
    <row r="241" spans="1:9" s="2422" customFormat="1">
      <c r="A241" s="2427"/>
      <c r="C241" s="1163"/>
      <c r="D241" s="1163"/>
      <c r="E241" s="1564"/>
      <c r="F241" s="1163"/>
      <c r="G241" s="1163"/>
      <c r="H241" s="1163"/>
      <c r="I241" s="1163"/>
    </row>
    <row r="242" spans="1:9" s="2422" customFormat="1">
      <c r="A242" s="2427"/>
      <c r="C242" s="1163"/>
      <c r="D242" s="1163"/>
      <c r="E242" s="1564"/>
      <c r="F242" s="1163"/>
      <c r="G242" s="1163"/>
      <c r="H242" s="1163"/>
      <c r="I242" s="1163"/>
    </row>
    <row r="243" spans="1:9" s="2422" customFormat="1">
      <c r="A243" s="2427"/>
      <c r="C243" s="1163"/>
      <c r="D243" s="1163"/>
      <c r="E243" s="1564"/>
      <c r="F243" s="1163"/>
      <c r="G243" s="1163"/>
      <c r="H243" s="1163"/>
      <c r="I243" s="1163"/>
    </row>
    <row r="244" spans="1:9" s="2422" customFormat="1">
      <c r="A244" s="2427"/>
      <c r="C244" s="1163"/>
      <c r="D244" s="1163"/>
      <c r="E244" s="1564"/>
      <c r="F244" s="1163"/>
      <c r="G244" s="1163"/>
      <c r="H244" s="1163"/>
      <c r="I244" s="1163"/>
    </row>
    <row r="245" spans="1:9" s="2422" customFormat="1">
      <c r="A245" s="2427"/>
      <c r="C245" s="1163"/>
      <c r="D245" s="1163"/>
      <c r="E245" s="1564"/>
      <c r="F245" s="1163"/>
      <c r="G245" s="1163"/>
      <c r="H245" s="1163"/>
      <c r="I245" s="1163"/>
    </row>
    <row r="246" spans="1:9" s="2422" customFormat="1">
      <c r="A246" s="2427"/>
      <c r="C246" s="1163"/>
      <c r="D246" s="1163"/>
      <c r="E246" s="1564"/>
      <c r="F246" s="1163"/>
      <c r="G246" s="1163"/>
      <c r="H246" s="1163"/>
      <c r="I246" s="1163"/>
    </row>
    <row r="247" spans="1:9" s="2422" customFormat="1">
      <c r="A247" s="2427"/>
      <c r="C247" s="1163"/>
      <c r="D247" s="1163"/>
      <c r="E247" s="1564"/>
      <c r="F247" s="1163"/>
      <c r="G247" s="1163"/>
      <c r="H247" s="1163"/>
      <c r="I247" s="1163"/>
    </row>
    <row r="248" spans="1:9" s="2422" customFormat="1">
      <c r="A248" s="2427"/>
      <c r="C248" s="1163"/>
      <c r="D248" s="1163"/>
      <c r="E248" s="1564"/>
      <c r="F248" s="1163"/>
      <c r="G248" s="1163"/>
      <c r="H248" s="1163"/>
      <c r="I248" s="1163"/>
    </row>
    <row r="249" spans="1:9" s="2422" customFormat="1">
      <c r="A249" s="2427"/>
      <c r="C249" s="1163"/>
      <c r="D249" s="1163"/>
      <c r="E249" s="1564"/>
      <c r="F249" s="1163"/>
      <c r="G249" s="1163"/>
      <c r="H249" s="1163"/>
      <c r="I249" s="1163"/>
    </row>
    <row r="250" spans="1:9" s="2422" customFormat="1">
      <c r="A250" s="2427"/>
      <c r="C250" s="1163"/>
      <c r="D250" s="1163"/>
      <c r="E250" s="1564"/>
      <c r="F250" s="1163"/>
      <c r="G250" s="1163"/>
      <c r="H250" s="1163"/>
      <c r="I250" s="1163"/>
    </row>
    <row r="251" spans="1:9" s="2422" customFormat="1">
      <c r="A251" s="2427"/>
      <c r="C251" s="1163"/>
      <c r="D251" s="1163"/>
      <c r="E251" s="1564"/>
      <c r="F251" s="1163"/>
      <c r="G251" s="1163"/>
      <c r="H251" s="1163"/>
      <c r="I251" s="1163"/>
    </row>
    <row r="252" spans="1:9" s="2422" customFormat="1">
      <c r="A252" s="2427"/>
      <c r="C252" s="1163"/>
      <c r="D252" s="1163"/>
      <c r="E252" s="1564"/>
      <c r="F252" s="1163"/>
      <c r="G252" s="1163"/>
      <c r="H252" s="1163"/>
      <c r="I252" s="1163"/>
    </row>
    <row r="253" spans="1:9" s="2422" customFormat="1">
      <c r="A253" s="2427"/>
      <c r="C253" s="1163"/>
      <c r="D253" s="1163"/>
      <c r="E253" s="1564"/>
      <c r="F253" s="1163"/>
      <c r="G253" s="1163"/>
      <c r="H253" s="1163"/>
      <c r="I253" s="1163"/>
    </row>
    <row r="254" spans="1:9" s="2422" customFormat="1">
      <c r="A254" s="2427"/>
      <c r="C254" s="1163"/>
      <c r="D254" s="1163"/>
      <c r="E254" s="1564"/>
      <c r="F254" s="1163"/>
      <c r="G254" s="1163"/>
      <c r="H254" s="1163"/>
      <c r="I254" s="1163"/>
    </row>
    <row r="255" spans="1:9" s="2422" customFormat="1">
      <c r="A255" s="2427"/>
      <c r="C255" s="1163"/>
      <c r="D255" s="1163"/>
      <c r="E255" s="1564"/>
      <c r="F255" s="1163"/>
      <c r="G255" s="1163"/>
      <c r="H255" s="1163"/>
      <c r="I255" s="1163"/>
    </row>
    <row r="256" spans="1:9" s="2422" customFormat="1">
      <c r="A256" s="2427"/>
      <c r="C256" s="1163"/>
      <c r="D256" s="1163"/>
      <c r="E256" s="1564"/>
      <c r="F256" s="1163"/>
      <c r="G256" s="1163"/>
      <c r="H256" s="1163"/>
      <c r="I256" s="1163"/>
    </row>
    <row r="257" spans="1:9" s="2422" customFormat="1">
      <c r="A257" s="2427"/>
      <c r="C257" s="1163"/>
      <c r="D257" s="1163"/>
      <c r="E257" s="1564"/>
      <c r="F257" s="1163"/>
      <c r="G257" s="1163"/>
      <c r="H257" s="1163"/>
      <c r="I257" s="1163"/>
    </row>
    <row r="258" spans="1:9" s="2422" customFormat="1">
      <c r="A258" s="2427"/>
      <c r="C258" s="1163"/>
      <c r="D258" s="1163"/>
      <c r="E258" s="1564"/>
      <c r="F258" s="1163"/>
      <c r="G258" s="1163"/>
      <c r="H258" s="1163"/>
      <c r="I258" s="1163"/>
    </row>
    <row r="259" spans="1:9" s="2422" customFormat="1">
      <c r="A259" s="2427"/>
      <c r="C259" s="1163"/>
      <c r="D259" s="1163"/>
      <c r="E259" s="1564"/>
      <c r="F259" s="1163"/>
      <c r="G259" s="1163"/>
      <c r="H259" s="1163"/>
      <c r="I259" s="1163"/>
    </row>
    <row r="260" spans="1:9" s="2422" customFormat="1">
      <c r="A260" s="2427"/>
      <c r="C260" s="1163"/>
      <c r="D260" s="1163"/>
      <c r="E260" s="1564"/>
      <c r="F260" s="1163"/>
      <c r="G260" s="1163"/>
      <c r="H260" s="1163"/>
      <c r="I260" s="1163"/>
    </row>
    <row r="261" spans="1:9" s="2422" customFormat="1">
      <c r="A261" s="2427"/>
      <c r="C261" s="1163"/>
      <c r="D261" s="1163"/>
      <c r="E261" s="1564"/>
      <c r="F261" s="1163"/>
      <c r="G261" s="1163"/>
      <c r="H261" s="1163"/>
      <c r="I261" s="1163"/>
    </row>
    <row r="262" spans="1:9" s="2422" customFormat="1">
      <c r="A262" s="2427"/>
      <c r="C262" s="1163"/>
      <c r="D262" s="1163"/>
      <c r="E262" s="1564"/>
      <c r="F262" s="1163"/>
      <c r="G262" s="1163"/>
      <c r="H262" s="1163"/>
      <c r="I262" s="1163"/>
    </row>
    <row r="263" spans="1:9" s="2422" customFormat="1">
      <c r="A263" s="2427"/>
      <c r="C263" s="1163"/>
      <c r="D263" s="1163"/>
      <c r="E263" s="1564"/>
      <c r="F263" s="1163"/>
      <c r="G263" s="1163"/>
      <c r="H263" s="1163"/>
      <c r="I263" s="1163"/>
    </row>
    <row r="264" spans="1:9" s="2422" customFormat="1">
      <c r="A264" s="2427"/>
      <c r="C264" s="1163"/>
      <c r="D264" s="1163"/>
      <c r="E264" s="1564"/>
      <c r="F264" s="1163"/>
      <c r="G264" s="1163"/>
      <c r="H264" s="1163"/>
      <c r="I264" s="1163"/>
    </row>
    <row r="265" spans="1:9" s="2422" customFormat="1">
      <c r="A265" s="2427"/>
      <c r="C265" s="1163"/>
      <c r="D265" s="1163"/>
      <c r="E265" s="1564"/>
      <c r="F265" s="1163"/>
      <c r="G265" s="1163"/>
      <c r="H265" s="1163"/>
      <c r="I265" s="1163"/>
    </row>
    <row r="266" spans="1:9" s="2422" customFormat="1">
      <c r="A266" s="2427"/>
      <c r="C266" s="1163"/>
      <c r="D266" s="1163"/>
      <c r="E266" s="1564"/>
      <c r="F266" s="1163"/>
      <c r="G266" s="1163"/>
      <c r="H266" s="1163"/>
      <c r="I266" s="1163"/>
    </row>
    <row r="267" spans="1:9" s="2422" customFormat="1">
      <c r="A267" s="2427"/>
      <c r="C267" s="1163"/>
      <c r="D267" s="1163"/>
      <c r="E267" s="1564"/>
      <c r="F267" s="1163"/>
      <c r="G267" s="1163"/>
      <c r="H267" s="1163"/>
      <c r="I267" s="1163"/>
    </row>
    <row r="268" spans="1:9" s="2422" customFormat="1">
      <c r="A268" s="2427"/>
      <c r="C268" s="1163"/>
      <c r="D268" s="1163"/>
      <c r="E268" s="1564"/>
      <c r="F268" s="1163"/>
      <c r="G268" s="1163"/>
      <c r="H268" s="1163"/>
      <c r="I268" s="1163"/>
    </row>
    <row r="269" spans="1:9" s="2422" customFormat="1">
      <c r="A269" s="2427"/>
      <c r="C269" s="1163"/>
      <c r="D269" s="1163"/>
      <c r="E269" s="1564"/>
      <c r="F269" s="1163"/>
      <c r="G269" s="1163"/>
      <c r="H269" s="1163"/>
      <c r="I269" s="1163"/>
    </row>
    <row r="270" spans="1:9" s="2422" customFormat="1">
      <c r="A270" s="2427"/>
      <c r="C270" s="1163"/>
      <c r="D270" s="1163"/>
      <c r="E270" s="1564"/>
      <c r="F270" s="1163"/>
      <c r="G270" s="1163"/>
      <c r="H270" s="1163"/>
      <c r="I270" s="1163"/>
    </row>
    <row r="271" spans="1:9" s="2422" customFormat="1">
      <c r="A271" s="2427"/>
      <c r="C271" s="1163"/>
      <c r="D271" s="1163"/>
      <c r="E271" s="1564"/>
      <c r="F271" s="1163"/>
      <c r="G271" s="1163"/>
      <c r="H271" s="1163"/>
      <c r="I271" s="1163"/>
    </row>
    <row r="272" spans="1:9" s="2422" customFormat="1">
      <c r="A272" s="2427"/>
      <c r="C272" s="1163"/>
      <c r="D272" s="1163"/>
      <c r="E272" s="1564"/>
      <c r="F272" s="1163"/>
      <c r="G272" s="1163"/>
      <c r="H272" s="1163"/>
      <c r="I272" s="1163"/>
    </row>
    <row r="273" spans="1:9" s="2422" customFormat="1">
      <c r="A273" s="2427"/>
      <c r="C273" s="1163"/>
      <c r="D273" s="1163"/>
      <c r="E273" s="1564"/>
      <c r="F273" s="1163"/>
      <c r="G273" s="1163"/>
      <c r="H273" s="1163"/>
      <c r="I273" s="1163"/>
    </row>
    <row r="274" spans="1:9" s="2422" customFormat="1">
      <c r="A274" s="2427"/>
      <c r="C274" s="1163"/>
      <c r="D274" s="1163"/>
      <c r="E274" s="1564"/>
      <c r="F274" s="1163"/>
      <c r="G274" s="1163"/>
      <c r="H274" s="1163"/>
      <c r="I274" s="1163"/>
    </row>
    <row r="275" spans="1:9" s="2422" customFormat="1">
      <c r="A275" s="2427"/>
      <c r="C275" s="1163"/>
      <c r="D275" s="1163"/>
      <c r="E275" s="1564"/>
      <c r="F275" s="1163"/>
      <c r="G275" s="1163"/>
      <c r="H275" s="1163"/>
      <c r="I275" s="1163"/>
    </row>
    <row r="276" spans="1:9" s="2422" customFormat="1">
      <c r="A276" s="2427"/>
      <c r="C276" s="1163"/>
      <c r="D276" s="1163"/>
      <c r="E276" s="1564"/>
      <c r="F276" s="1163"/>
      <c r="G276" s="1163"/>
      <c r="H276" s="1163"/>
      <c r="I276" s="1163"/>
    </row>
    <row r="277" spans="1:9" s="2422" customFormat="1">
      <c r="A277" s="2427"/>
      <c r="C277" s="1163"/>
      <c r="D277" s="1163"/>
      <c r="E277" s="1564"/>
      <c r="F277" s="1163"/>
      <c r="G277" s="1163"/>
      <c r="H277" s="1163"/>
      <c r="I277" s="1163"/>
    </row>
    <row r="278" spans="1:9" s="2422" customFormat="1">
      <c r="A278" s="2427"/>
      <c r="C278" s="1163"/>
      <c r="D278" s="1163"/>
      <c r="E278" s="1564"/>
      <c r="F278" s="1163"/>
      <c r="G278" s="1163"/>
      <c r="H278" s="1163"/>
      <c r="I278" s="1163"/>
    </row>
    <row r="279" spans="1:9" s="2422" customFormat="1">
      <c r="A279" s="2427"/>
      <c r="C279" s="1163"/>
      <c r="D279" s="1163"/>
      <c r="E279" s="1564"/>
      <c r="F279" s="1163"/>
      <c r="G279" s="1163"/>
      <c r="H279" s="1163"/>
      <c r="I279" s="1163"/>
    </row>
    <row r="280" spans="1:9" s="2422" customFormat="1">
      <c r="A280" s="2427"/>
      <c r="C280" s="1163"/>
      <c r="D280" s="1163"/>
      <c r="E280" s="1564"/>
      <c r="F280" s="1163"/>
      <c r="G280" s="1163"/>
      <c r="H280" s="1163"/>
      <c r="I280" s="1163"/>
    </row>
    <row r="281" spans="1:9" s="2422" customFormat="1">
      <c r="A281" s="2427"/>
      <c r="C281" s="1163"/>
      <c r="D281" s="1163"/>
      <c r="E281" s="1564"/>
      <c r="F281" s="1163"/>
      <c r="G281" s="1163"/>
      <c r="H281" s="1163"/>
      <c r="I281" s="1163"/>
    </row>
    <row r="282" spans="1:9" s="2422" customFormat="1">
      <c r="A282" s="2427"/>
      <c r="C282" s="1163"/>
      <c r="D282" s="1163"/>
      <c r="E282" s="1564"/>
      <c r="F282" s="1163"/>
      <c r="G282" s="1163"/>
      <c r="H282" s="1163"/>
      <c r="I282" s="1163"/>
    </row>
    <row r="283" spans="1:9" s="2422" customFormat="1">
      <c r="A283" s="2427"/>
      <c r="C283" s="1163"/>
      <c r="D283" s="1163"/>
      <c r="E283" s="1564"/>
      <c r="F283" s="1163"/>
      <c r="G283" s="1163"/>
      <c r="H283" s="1163"/>
      <c r="I283" s="1163"/>
    </row>
    <row r="284" spans="1:9" s="2422" customFormat="1">
      <c r="A284" s="2427"/>
      <c r="C284" s="1163"/>
      <c r="D284" s="1163"/>
      <c r="E284" s="1564"/>
      <c r="F284" s="1163"/>
      <c r="G284" s="1163"/>
      <c r="H284" s="1163"/>
      <c r="I284" s="1163"/>
    </row>
    <row r="285" spans="1:9" s="2422" customFormat="1">
      <c r="A285" s="2427"/>
      <c r="C285" s="1163"/>
      <c r="D285" s="1163"/>
      <c r="E285" s="1564"/>
      <c r="F285" s="1163"/>
      <c r="G285" s="1163"/>
      <c r="H285" s="1163"/>
      <c r="I285" s="1163"/>
    </row>
    <row r="286" spans="1:9" s="2422" customFormat="1">
      <c r="A286" s="2427"/>
      <c r="C286" s="1163"/>
      <c r="D286" s="1163"/>
      <c r="E286" s="1564"/>
      <c r="F286" s="1163"/>
      <c r="G286" s="1163"/>
      <c r="H286" s="1163"/>
      <c r="I286" s="1163"/>
    </row>
    <row r="287" spans="1:9" s="2422" customFormat="1">
      <c r="A287" s="2427"/>
      <c r="C287" s="1163"/>
      <c r="D287" s="1163"/>
      <c r="E287" s="1564"/>
      <c r="F287" s="1163"/>
      <c r="G287" s="1163"/>
      <c r="H287" s="1163"/>
      <c r="I287" s="1163"/>
    </row>
    <row r="288" spans="1:9" s="2422" customFormat="1">
      <c r="A288" s="2427"/>
      <c r="C288" s="1163"/>
      <c r="D288" s="1163"/>
      <c r="E288" s="1564"/>
      <c r="F288" s="1163"/>
      <c r="G288" s="1163"/>
      <c r="H288" s="1163"/>
      <c r="I288" s="1163"/>
    </row>
    <row r="289" spans="1:9" s="2422" customFormat="1">
      <c r="A289" s="2427"/>
      <c r="C289" s="1163"/>
      <c r="D289" s="1163"/>
      <c r="E289" s="1564"/>
      <c r="F289" s="1163"/>
      <c r="G289" s="1163"/>
      <c r="H289" s="1163"/>
      <c r="I289" s="1163"/>
    </row>
    <row r="290" spans="1:9" s="2422" customFormat="1">
      <c r="A290" s="2427"/>
      <c r="C290" s="1163"/>
      <c r="D290" s="1163"/>
      <c r="E290" s="1564"/>
      <c r="F290" s="1163"/>
      <c r="G290" s="1163"/>
      <c r="H290" s="1163"/>
      <c r="I290" s="1163"/>
    </row>
    <row r="291" spans="1:9" s="2422" customFormat="1">
      <c r="A291" s="2427"/>
      <c r="C291" s="1163"/>
      <c r="D291" s="1163"/>
      <c r="E291" s="1564"/>
      <c r="F291" s="1163"/>
      <c r="G291" s="1163"/>
      <c r="H291" s="1163"/>
      <c r="I291" s="1163"/>
    </row>
    <row r="292" spans="1:9" s="2422" customFormat="1">
      <c r="A292" s="2427"/>
      <c r="C292" s="1163"/>
      <c r="D292" s="1163"/>
      <c r="E292" s="1564"/>
      <c r="F292" s="1163"/>
      <c r="G292" s="1163"/>
      <c r="H292" s="1163"/>
      <c r="I292" s="1163"/>
    </row>
    <row r="293" spans="1:9" s="2422" customFormat="1">
      <c r="A293" s="2427"/>
      <c r="C293" s="1163"/>
      <c r="D293" s="1163"/>
      <c r="E293" s="1564"/>
      <c r="F293" s="1163"/>
      <c r="G293" s="1163"/>
      <c r="H293" s="1163"/>
      <c r="I293" s="1163"/>
    </row>
    <row r="294" spans="1:9" s="2422" customFormat="1">
      <c r="A294" s="2427"/>
      <c r="C294" s="1163"/>
      <c r="D294" s="1163"/>
      <c r="E294" s="1564"/>
      <c r="F294" s="1163"/>
      <c r="G294" s="1163"/>
      <c r="H294" s="1163"/>
      <c r="I294" s="1163"/>
    </row>
    <row r="295" spans="1:9" s="2422" customFormat="1">
      <c r="A295" s="2427"/>
      <c r="C295" s="1163"/>
      <c r="D295" s="1163"/>
      <c r="E295" s="1564"/>
      <c r="F295" s="1163"/>
      <c r="G295" s="1163"/>
      <c r="H295" s="1163"/>
      <c r="I295" s="1163"/>
    </row>
    <row r="296" spans="1:9" s="2422" customFormat="1">
      <c r="A296" s="2427"/>
      <c r="C296" s="1163"/>
      <c r="D296" s="1163"/>
      <c r="E296" s="1564"/>
      <c r="F296" s="1163"/>
      <c r="G296" s="1163"/>
      <c r="H296" s="1163"/>
      <c r="I296" s="1163"/>
    </row>
    <row r="297" spans="1:9" s="2422" customFormat="1">
      <c r="A297" s="2427"/>
      <c r="C297" s="1163"/>
      <c r="D297" s="1163"/>
      <c r="E297" s="1564"/>
      <c r="F297" s="1163"/>
      <c r="G297" s="1163"/>
      <c r="H297" s="1163"/>
      <c r="I297" s="1163"/>
    </row>
    <row r="298" spans="1:9" s="2422" customFormat="1">
      <c r="A298" s="2427"/>
      <c r="C298" s="1163"/>
      <c r="D298" s="1163"/>
      <c r="E298" s="1564"/>
      <c r="F298" s="1163"/>
      <c r="G298" s="1163"/>
      <c r="H298" s="1163"/>
      <c r="I298" s="1163"/>
    </row>
    <row r="299" spans="1:9" s="2422" customFormat="1">
      <c r="A299" s="2427"/>
      <c r="C299" s="1163"/>
      <c r="D299" s="1163"/>
      <c r="E299" s="1564"/>
      <c r="F299" s="1163"/>
      <c r="G299" s="1163"/>
      <c r="H299" s="1163"/>
      <c r="I299" s="1163"/>
    </row>
    <row r="300" spans="1:9" s="2422" customFormat="1">
      <c r="A300" s="2427"/>
      <c r="C300" s="1163"/>
      <c r="D300" s="1163"/>
      <c r="E300" s="1564"/>
      <c r="F300" s="1163"/>
      <c r="G300" s="1163"/>
      <c r="H300" s="1163"/>
      <c r="I300" s="1163"/>
    </row>
    <row r="301" spans="1:9" s="2422" customFormat="1">
      <c r="A301" s="2427"/>
      <c r="C301" s="1163"/>
      <c r="D301" s="1163"/>
      <c r="E301" s="1564"/>
      <c r="F301" s="1163"/>
      <c r="G301" s="1163"/>
      <c r="H301" s="1163"/>
      <c r="I301" s="1163"/>
    </row>
    <row r="302" spans="1:9" s="2422" customFormat="1">
      <c r="A302" s="2427"/>
      <c r="C302" s="1163"/>
      <c r="D302" s="1163"/>
      <c r="E302" s="1564"/>
      <c r="F302" s="1163"/>
      <c r="G302" s="1163"/>
      <c r="H302" s="1163"/>
      <c r="I302" s="1163"/>
    </row>
    <row r="303" spans="1:9" s="2422" customFormat="1">
      <c r="A303" s="2427"/>
      <c r="C303" s="1163"/>
      <c r="D303" s="1163"/>
      <c r="E303" s="1564"/>
      <c r="F303" s="1163"/>
      <c r="G303" s="1163"/>
      <c r="H303" s="1163"/>
      <c r="I303" s="1163"/>
    </row>
    <row r="304" spans="1:9" s="2422" customFormat="1">
      <c r="A304" s="2427"/>
      <c r="C304" s="1163"/>
      <c r="D304" s="1163"/>
      <c r="E304" s="1564"/>
      <c r="F304" s="1163"/>
      <c r="G304" s="1163"/>
      <c r="H304" s="1163"/>
      <c r="I304" s="1163"/>
    </row>
    <row r="305" spans="1:9" s="2422" customFormat="1">
      <c r="A305" s="2427"/>
      <c r="C305" s="1163"/>
      <c r="D305" s="1163"/>
      <c r="E305" s="1564"/>
      <c r="F305" s="1163"/>
      <c r="G305" s="1163"/>
      <c r="H305" s="1163"/>
      <c r="I305" s="1163"/>
    </row>
    <row r="306" spans="1:9" s="2422" customFormat="1">
      <c r="A306" s="2427"/>
      <c r="C306" s="1163"/>
      <c r="D306" s="1163"/>
      <c r="E306" s="1564"/>
      <c r="F306" s="1163"/>
      <c r="G306" s="1163"/>
      <c r="H306" s="1163"/>
      <c r="I306" s="1163"/>
    </row>
    <row r="307" spans="1:9" s="2422" customFormat="1">
      <c r="A307" s="2427"/>
      <c r="C307" s="1163"/>
      <c r="D307" s="1163"/>
      <c r="E307" s="1564"/>
      <c r="F307" s="1163"/>
      <c r="G307" s="1163"/>
      <c r="H307" s="1163"/>
      <c r="I307" s="1163"/>
    </row>
    <row r="308" spans="1:9" s="2422" customFormat="1">
      <c r="A308" s="2427"/>
      <c r="C308" s="1163"/>
      <c r="D308" s="1163"/>
      <c r="E308" s="1564"/>
      <c r="F308" s="1163"/>
      <c r="G308" s="1163"/>
      <c r="H308" s="1163"/>
      <c r="I308" s="1163"/>
    </row>
    <row r="309" spans="1:9" s="2422" customFormat="1">
      <c r="A309" s="2427"/>
      <c r="C309" s="1163"/>
      <c r="D309" s="1163"/>
      <c r="E309" s="1564"/>
      <c r="F309" s="1163"/>
      <c r="G309" s="1163"/>
      <c r="H309" s="1163"/>
      <c r="I309" s="1163"/>
    </row>
    <row r="310" spans="1:9" s="2422" customFormat="1">
      <c r="A310" s="2427"/>
      <c r="C310" s="1163"/>
      <c r="D310" s="1163"/>
      <c r="E310" s="1564"/>
      <c r="F310" s="1163"/>
      <c r="G310" s="1163"/>
      <c r="H310" s="1163"/>
      <c r="I310" s="1163"/>
    </row>
    <row r="311" spans="1:9" s="2422" customFormat="1">
      <c r="A311" s="2427"/>
      <c r="C311" s="1163"/>
      <c r="D311" s="1163"/>
      <c r="E311" s="1564"/>
      <c r="F311" s="1163"/>
      <c r="G311" s="1163"/>
      <c r="H311" s="1163"/>
      <c r="I311" s="1163"/>
    </row>
    <row r="312" spans="1:9" s="2422" customFormat="1">
      <c r="A312" s="2427"/>
      <c r="C312" s="1163"/>
      <c r="D312" s="1163"/>
      <c r="E312" s="1564"/>
      <c r="F312" s="1163"/>
      <c r="G312" s="1163"/>
      <c r="H312" s="1163"/>
      <c r="I312" s="1163"/>
    </row>
    <row r="313" spans="1:9" s="2422" customFormat="1">
      <c r="A313" s="2427"/>
      <c r="C313" s="1163"/>
      <c r="D313" s="1163"/>
      <c r="E313" s="1564"/>
      <c r="F313" s="1163"/>
      <c r="G313" s="1163"/>
      <c r="H313" s="1163"/>
      <c r="I313" s="1163"/>
    </row>
    <row r="314" spans="1:9" s="2422" customFormat="1">
      <c r="A314" s="2427"/>
      <c r="C314" s="1163"/>
      <c r="D314" s="1163"/>
      <c r="E314" s="1564"/>
      <c r="F314" s="1163"/>
      <c r="G314" s="1163"/>
      <c r="H314" s="1163"/>
      <c r="I314" s="1163"/>
    </row>
    <row r="315" spans="1:9" s="2422" customFormat="1">
      <c r="A315" s="2427"/>
      <c r="C315" s="1163"/>
      <c r="D315" s="1163"/>
      <c r="E315" s="1564"/>
      <c r="F315" s="1163"/>
      <c r="G315" s="1163"/>
      <c r="H315" s="1163"/>
      <c r="I315" s="1163"/>
    </row>
    <row r="316" spans="1:9" s="2422" customFormat="1">
      <c r="A316" s="2427"/>
      <c r="C316" s="1163"/>
      <c r="D316" s="1163"/>
      <c r="E316" s="1564"/>
      <c r="F316" s="1163"/>
      <c r="G316" s="1163"/>
      <c r="H316" s="1163"/>
      <c r="I316" s="1163"/>
    </row>
    <row r="317" spans="1:9" s="2422" customFormat="1">
      <c r="A317" s="2427"/>
      <c r="C317" s="1163"/>
      <c r="D317" s="1163"/>
      <c r="E317" s="1564"/>
      <c r="F317" s="1163"/>
      <c r="G317" s="1163"/>
      <c r="H317" s="1163"/>
      <c r="I317" s="1163"/>
    </row>
    <row r="318" spans="1:9" s="2422" customFormat="1">
      <c r="A318" s="2427"/>
      <c r="C318" s="1163"/>
      <c r="D318" s="1163"/>
      <c r="E318" s="1564"/>
      <c r="F318" s="1163"/>
      <c r="G318" s="1163"/>
      <c r="H318" s="1163"/>
      <c r="I318" s="1163"/>
    </row>
    <row r="319" spans="1:9" s="2422" customFormat="1">
      <c r="A319" s="2427"/>
      <c r="C319" s="1163"/>
      <c r="D319" s="1163"/>
      <c r="E319" s="1564"/>
      <c r="F319" s="1163"/>
      <c r="G319" s="1163"/>
      <c r="H319" s="1163"/>
      <c r="I319" s="1163"/>
    </row>
    <row r="320" spans="1:9" s="2422" customFormat="1">
      <c r="A320" s="2427"/>
      <c r="C320" s="1163"/>
      <c r="D320" s="1163"/>
      <c r="E320" s="1564"/>
      <c r="F320" s="1163"/>
      <c r="G320" s="1163"/>
      <c r="H320" s="1163"/>
      <c r="I320" s="1163"/>
    </row>
    <row r="321" spans="1:9" s="2422" customFormat="1">
      <c r="A321" s="2427"/>
      <c r="C321" s="1163"/>
      <c r="D321" s="1163"/>
      <c r="E321" s="1564"/>
      <c r="F321" s="1163"/>
      <c r="G321" s="1163"/>
      <c r="H321" s="1163"/>
      <c r="I321" s="1163"/>
    </row>
    <row r="322" spans="1:9" s="2422" customFormat="1">
      <c r="A322" s="2427"/>
      <c r="C322" s="1163"/>
      <c r="D322" s="1163"/>
      <c r="E322" s="1564"/>
      <c r="F322" s="1163"/>
      <c r="G322" s="1163"/>
      <c r="H322" s="1163"/>
      <c r="I322" s="1163"/>
    </row>
    <row r="323" spans="1:9" s="2422" customFormat="1">
      <c r="A323" s="2427"/>
      <c r="C323" s="1163"/>
      <c r="D323" s="1163"/>
      <c r="E323" s="1564"/>
      <c r="F323" s="1163"/>
      <c r="G323" s="1163"/>
      <c r="H323" s="1163"/>
      <c r="I323" s="1163"/>
    </row>
    <row r="324" spans="1:9" s="2422" customFormat="1">
      <c r="A324" s="2427"/>
      <c r="C324" s="1163"/>
      <c r="D324" s="1163"/>
      <c r="E324" s="1564"/>
      <c r="F324" s="1163"/>
      <c r="G324" s="1163"/>
      <c r="H324" s="1163"/>
      <c r="I324" s="1163"/>
    </row>
    <row r="325" spans="1:9" s="2422" customFormat="1">
      <c r="A325" s="2427"/>
      <c r="C325" s="1163"/>
      <c r="D325" s="1163"/>
      <c r="E325" s="1564"/>
      <c r="F325" s="1163"/>
      <c r="G325" s="1163"/>
      <c r="H325" s="1163"/>
      <c r="I325" s="1163"/>
    </row>
    <row r="326" spans="1:9" s="2422" customFormat="1">
      <c r="A326" s="2427"/>
      <c r="C326" s="1163"/>
      <c r="D326" s="1163"/>
      <c r="E326" s="1564"/>
      <c r="F326" s="1163"/>
      <c r="G326" s="1163"/>
      <c r="H326" s="1163"/>
      <c r="I326" s="1163"/>
    </row>
    <row r="327" spans="1:9" s="2422" customFormat="1">
      <c r="A327" s="2427"/>
      <c r="C327" s="1163"/>
      <c r="D327" s="1163"/>
      <c r="E327" s="1564"/>
      <c r="F327" s="1163"/>
      <c r="G327" s="1163"/>
      <c r="H327" s="1163"/>
      <c r="I327" s="1163"/>
    </row>
    <row r="328" spans="1:9" s="2422" customFormat="1">
      <c r="A328" s="2427"/>
      <c r="C328" s="1163"/>
      <c r="D328" s="1163"/>
      <c r="E328" s="1564"/>
      <c r="F328" s="1163"/>
      <c r="G328" s="1163"/>
      <c r="H328" s="1163"/>
      <c r="I328" s="1163"/>
    </row>
    <row r="329" spans="1:9" s="2422" customFormat="1">
      <c r="A329" s="2427"/>
      <c r="C329" s="1163"/>
      <c r="D329" s="1163"/>
      <c r="E329" s="1564"/>
      <c r="F329" s="1163"/>
      <c r="G329" s="1163"/>
      <c r="H329" s="1163"/>
      <c r="I329" s="1163"/>
    </row>
    <row r="330" spans="1:9" s="2422" customFormat="1">
      <c r="A330" s="2427"/>
      <c r="C330" s="1163"/>
      <c r="D330" s="1163"/>
      <c r="E330" s="1564"/>
      <c r="F330" s="1163"/>
      <c r="G330" s="1163"/>
      <c r="H330" s="1163"/>
      <c r="I330" s="1163"/>
    </row>
    <row r="331" spans="1:9" s="2422" customFormat="1">
      <c r="A331" s="2427"/>
      <c r="C331" s="1163"/>
      <c r="D331" s="1163"/>
      <c r="E331" s="1564"/>
      <c r="F331" s="1163"/>
      <c r="G331" s="1163"/>
      <c r="H331" s="1163"/>
      <c r="I331" s="1163"/>
    </row>
    <row r="332" spans="1:9" s="2422" customFormat="1">
      <c r="A332" s="2427"/>
      <c r="C332" s="1163"/>
      <c r="D332" s="1163"/>
      <c r="E332" s="1564"/>
      <c r="F332" s="1163"/>
      <c r="G332" s="1163"/>
      <c r="H332" s="1163"/>
      <c r="I332" s="1163"/>
    </row>
    <row r="333" spans="1:9" s="2422" customFormat="1">
      <c r="A333" s="2427"/>
      <c r="C333" s="1163"/>
      <c r="D333" s="1163"/>
      <c r="E333" s="1564"/>
      <c r="F333" s="1163"/>
      <c r="G333" s="1163"/>
      <c r="H333" s="1163"/>
      <c r="I333" s="1163"/>
    </row>
    <row r="334" spans="1:9" s="2422" customFormat="1">
      <c r="A334" s="2427"/>
      <c r="C334" s="1163"/>
      <c r="D334" s="1163"/>
      <c r="E334" s="1564"/>
      <c r="F334" s="1163"/>
      <c r="G334" s="1163"/>
      <c r="H334" s="1163"/>
      <c r="I334" s="1163"/>
    </row>
    <row r="335" spans="1:9" s="2422" customFormat="1">
      <c r="A335" s="2427"/>
      <c r="C335" s="1163"/>
      <c r="D335" s="1163"/>
      <c r="E335" s="1564"/>
      <c r="F335" s="1163"/>
      <c r="G335" s="1163"/>
      <c r="H335" s="1163"/>
      <c r="I335" s="1163"/>
    </row>
    <row r="336" spans="1:9" s="2422" customFormat="1">
      <c r="A336" s="2427"/>
      <c r="C336" s="1163"/>
      <c r="D336" s="1163"/>
      <c r="E336" s="1564"/>
      <c r="F336" s="1163"/>
      <c r="G336" s="1163"/>
      <c r="H336" s="1163"/>
      <c r="I336" s="1163"/>
    </row>
    <row r="337" spans="1:9" s="2422" customFormat="1">
      <c r="A337" s="2427"/>
      <c r="C337" s="1163"/>
      <c r="D337" s="1163"/>
      <c r="E337" s="1564"/>
      <c r="F337" s="1163"/>
      <c r="G337" s="1163"/>
      <c r="H337" s="1163"/>
      <c r="I337" s="1163"/>
    </row>
    <row r="338" spans="1:9" s="2422" customFormat="1">
      <c r="A338" s="2427"/>
      <c r="C338" s="1163"/>
      <c r="D338" s="1163"/>
      <c r="E338" s="1564"/>
      <c r="F338" s="1163"/>
      <c r="G338" s="1163"/>
      <c r="H338" s="1163"/>
      <c r="I338" s="1163"/>
    </row>
    <row r="339" spans="1:9" s="2422" customFormat="1">
      <c r="A339" s="2427"/>
      <c r="C339" s="1163"/>
      <c r="D339" s="1163"/>
      <c r="E339" s="1564"/>
      <c r="F339" s="1163"/>
      <c r="G339" s="1163"/>
      <c r="H339" s="1163"/>
      <c r="I339" s="1163"/>
    </row>
    <row r="340" spans="1:9" s="2422" customFormat="1">
      <c r="A340" s="2427"/>
      <c r="C340" s="1163"/>
      <c r="D340" s="1163"/>
      <c r="E340" s="1564"/>
      <c r="F340" s="1163"/>
      <c r="G340" s="1163"/>
      <c r="H340" s="1163"/>
      <c r="I340" s="1163"/>
    </row>
    <row r="341" spans="1:9" s="2422" customFormat="1">
      <c r="A341" s="2427"/>
      <c r="C341" s="1163"/>
      <c r="D341" s="1163"/>
      <c r="E341" s="1564"/>
      <c r="F341" s="1163"/>
      <c r="G341" s="1163"/>
      <c r="H341" s="1163"/>
      <c r="I341" s="1163"/>
    </row>
    <row r="342" spans="1:9" s="2422" customFormat="1">
      <c r="A342" s="2427"/>
      <c r="C342" s="1163"/>
      <c r="D342" s="1163"/>
      <c r="E342" s="1564"/>
      <c r="F342" s="1163"/>
      <c r="G342" s="1163"/>
      <c r="H342" s="1163"/>
      <c r="I342" s="1163"/>
    </row>
    <row r="343" spans="1:9" s="2422" customFormat="1">
      <c r="A343" s="2427"/>
      <c r="C343" s="1163"/>
      <c r="D343" s="1163"/>
      <c r="E343" s="1564"/>
      <c r="F343" s="1163"/>
      <c r="G343" s="1163"/>
      <c r="H343" s="1163"/>
      <c r="I343" s="1163"/>
    </row>
    <row r="344" spans="1:9" s="2422" customFormat="1">
      <c r="A344" s="2427"/>
      <c r="C344" s="1163"/>
      <c r="D344" s="1163"/>
      <c r="E344" s="1564"/>
      <c r="F344" s="1163"/>
      <c r="G344" s="1163"/>
      <c r="H344" s="1163"/>
      <c r="I344" s="1163"/>
    </row>
    <row r="345" spans="1:9" s="2422" customFormat="1">
      <c r="A345" s="2427"/>
      <c r="C345" s="1163"/>
      <c r="D345" s="1163"/>
      <c r="E345" s="1564"/>
      <c r="F345" s="1163"/>
      <c r="G345" s="1163"/>
      <c r="H345" s="1163"/>
      <c r="I345" s="1163"/>
    </row>
    <row r="346" spans="1:9" s="2422" customFormat="1">
      <c r="A346" s="2427"/>
      <c r="C346" s="1163"/>
      <c r="D346" s="1163"/>
      <c r="E346" s="1564"/>
      <c r="F346" s="1163"/>
      <c r="G346" s="1163"/>
      <c r="H346" s="1163"/>
      <c r="I346" s="1163"/>
    </row>
    <row r="347" spans="1:9" s="2422" customFormat="1">
      <c r="A347" s="2427"/>
      <c r="C347" s="1163"/>
      <c r="D347" s="1163"/>
      <c r="E347" s="1564"/>
      <c r="F347" s="1163"/>
      <c r="G347" s="1163"/>
      <c r="H347" s="1163"/>
      <c r="I347" s="1163"/>
    </row>
    <row r="348" spans="1:9" s="2422" customFormat="1">
      <c r="A348" s="2427"/>
      <c r="C348" s="1163"/>
      <c r="D348" s="1163"/>
      <c r="E348" s="1564"/>
      <c r="F348" s="1163"/>
      <c r="G348" s="1163"/>
      <c r="H348" s="1163"/>
      <c r="I348" s="1163"/>
    </row>
    <row r="349" spans="1:9" s="2422" customFormat="1">
      <c r="A349" s="2427"/>
      <c r="C349" s="1163"/>
      <c r="D349" s="1163"/>
      <c r="E349" s="1564"/>
      <c r="F349" s="1163"/>
      <c r="G349" s="1163"/>
      <c r="H349" s="1163"/>
      <c r="I349" s="1163"/>
    </row>
    <row r="350" spans="1:9" s="2422" customFormat="1">
      <c r="A350" s="2427"/>
      <c r="C350" s="1163"/>
      <c r="D350" s="1163"/>
      <c r="E350" s="1564"/>
      <c r="F350" s="1163"/>
      <c r="G350" s="1163"/>
      <c r="H350" s="1163"/>
      <c r="I350" s="1163"/>
    </row>
    <row r="351" spans="1:9" s="2422" customFormat="1">
      <c r="A351" s="2427"/>
      <c r="C351" s="1163"/>
      <c r="D351" s="1163"/>
      <c r="E351" s="1564"/>
      <c r="F351" s="1163"/>
      <c r="G351" s="1163"/>
      <c r="H351" s="1163"/>
      <c r="I351" s="1163"/>
    </row>
    <row r="352" spans="1:9" s="2422" customFormat="1">
      <c r="A352" s="2427"/>
      <c r="C352" s="1163"/>
      <c r="D352" s="1163"/>
      <c r="E352" s="1564"/>
      <c r="F352" s="1163"/>
      <c r="G352" s="1163"/>
      <c r="H352" s="1163"/>
      <c r="I352" s="1163"/>
    </row>
    <row r="353" spans="1:9" s="2422" customFormat="1">
      <c r="A353" s="2427"/>
      <c r="C353" s="1163"/>
      <c r="D353" s="1163"/>
      <c r="E353" s="1564"/>
      <c r="F353" s="1163"/>
      <c r="G353" s="1163"/>
      <c r="H353" s="1163"/>
      <c r="I353" s="1163"/>
    </row>
    <row r="354" spans="1:9" s="2422" customFormat="1">
      <c r="A354" s="2427"/>
      <c r="C354" s="1163"/>
      <c r="D354" s="1163"/>
      <c r="E354" s="1564"/>
      <c r="F354" s="1163"/>
      <c r="G354" s="1163"/>
      <c r="H354" s="1163"/>
      <c r="I354" s="1163"/>
    </row>
    <row r="355" spans="1:9" s="2422" customFormat="1">
      <c r="A355" s="2427"/>
      <c r="C355" s="1163"/>
      <c r="D355" s="1163"/>
      <c r="E355" s="1564"/>
      <c r="F355" s="1163"/>
      <c r="G355" s="1163"/>
      <c r="H355" s="1163"/>
      <c r="I355" s="1163"/>
    </row>
    <row r="356" spans="1:9" s="2422" customFormat="1">
      <c r="A356" s="2427"/>
      <c r="C356" s="1163"/>
      <c r="D356" s="1163"/>
      <c r="E356" s="1564"/>
      <c r="F356" s="1163"/>
      <c r="G356" s="1163"/>
      <c r="H356" s="1163"/>
      <c r="I356" s="1163"/>
    </row>
    <row r="357" spans="1:9" s="2422" customFormat="1">
      <c r="A357" s="2427"/>
      <c r="C357" s="1163"/>
      <c r="D357" s="1163"/>
      <c r="E357" s="1564"/>
      <c r="F357" s="1163"/>
      <c r="G357" s="1163"/>
      <c r="H357" s="1163"/>
      <c r="I357" s="1163"/>
    </row>
    <row r="358" spans="1:9" s="2422" customFormat="1">
      <c r="A358" s="2427"/>
      <c r="C358" s="1163"/>
      <c r="D358" s="1163"/>
      <c r="E358" s="1564"/>
      <c r="F358" s="1163"/>
      <c r="G358" s="1163"/>
      <c r="H358" s="1163"/>
      <c r="I358" s="1163"/>
    </row>
    <row r="359" spans="1:9" s="2422" customFormat="1">
      <c r="A359" s="2427"/>
      <c r="C359" s="1163"/>
      <c r="D359" s="1163"/>
      <c r="E359" s="1564"/>
      <c r="F359" s="1163"/>
      <c r="G359" s="1163"/>
      <c r="H359" s="1163"/>
      <c r="I359" s="1163"/>
    </row>
    <row r="360" spans="1:9" s="2422" customFormat="1">
      <c r="A360" s="2427"/>
      <c r="C360" s="1163"/>
      <c r="D360" s="1163"/>
      <c r="E360" s="1564"/>
      <c r="F360" s="1163"/>
      <c r="G360" s="1163"/>
      <c r="H360" s="1163"/>
      <c r="I360" s="1163"/>
    </row>
    <row r="361" spans="1:9" s="2422" customFormat="1">
      <c r="A361" s="2427"/>
      <c r="C361" s="1163"/>
      <c r="D361" s="1163"/>
      <c r="E361" s="1564"/>
      <c r="F361" s="1163"/>
      <c r="G361" s="1163"/>
      <c r="H361" s="1163"/>
      <c r="I361" s="1163"/>
    </row>
    <row r="362" spans="1:9" s="2422" customFormat="1">
      <c r="A362" s="2427"/>
      <c r="C362" s="1163"/>
      <c r="D362" s="1163"/>
      <c r="E362" s="1564"/>
      <c r="F362" s="1163"/>
      <c r="G362" s="1163"/>
      <c r="H362" s="1163"/>
      <c r="I362" s="1163"/>
    </row>
    <row r="363" spans="1:9" s="2422" customFormat="1">
      <c r="A363" s="2427"/>
      <c r="C363" s="1163"/>
      <c r="D363" s="1163"/>
      <c r="E363" s="1564"/>
      <c r="F363" s="1163"/>
      <c r="G363" s="1163"/>
      <c r="H363" s="1163"/>
      <c r="I363" s="1163"/>
    </row>
    <row r="364" spans="1:9" s="2422" customFormat="1">
      <c r="A364" s="2427"/>
      <c r="C364" s="1163"/>
      <c r="D364" s="1163"/>
      <c r="E364" s="1564"/>
      <c r="F364" s="1163"/>
      <c r="G364" s="1163"/>
      <c r="H364" s="1163"/>
      <c r="I364" s="1163"/>
    </row>
    <row r="365" spans="1:9" s="2422" customFormat="1">
      <c r="A365" s="2427"/>
      <c r="C365" s="1163"/>
      <c r="D365" s="1163"/>
      <c r="E365" s="1564"/>
      <c r="F365" s="1163"/>
      <c r="G365" s="1163"/>
      <c r="H365" s="1163"/>
      <c r="I365" s="1163"/>
    </row>
    <row r="366" spans="1:9" s="2422" customFormat="1">
      <c r="A366" s="2427"/>
      <c r="C366" s="1163"/>
      <c r="D366" s="1163"/>
      <c r="E366" s="1564"/>
      <c r="F366" s="1163"/>
      <c r="G366" s="1163"/>
      <c r="H366" s="1163"/>
      <c r="I366" s="1163"/>
    </row>
    <row r="367" spans="1:9" s="2422" customFormat="1">
      <c r="A367" s="2427"/>
      <c r="C367" s="1163"/>
      <c r="D367" s="1163"/>
      <c r="E367" s="1564"/>
      <c r="F367" s="1163"/>
      <c r="G367" s="1163"/>
      <c r="H367" s="1163"/>
      <c r="I367" s="1163"/>
    </row>
    <row r="368" spans="1:9" s="2422" customFormat="1">
      <c r="A368" s="2427"/>
      <c r="C368" s="1163"/>
      <c r="D368" s="1163"/>
      <c r="E368" s="1564"/>
      <c r="F368" s="1163"/>
      <c r="G368" s="1163"/>
      <c r="H368" s="1163"/>
      <c r="I368" s="1163"/>
    </row>
    <row r="369" spans="1:9" s="2422" customFormat="1">
      <c r="A369" s="2427"/>
      <c r="C369" s="1163"/>
      <c r="D369" s="1163"/>
      <c r="E369" s="1564"/>
      <c r="F369" s="1163"/>
      <c r="G369" s="1163"/>
      <c r="H369" s="1163"/>
      <c r="I369" s="1163"/>
    </row>
    <row r="370" spans="1:9" s="2422" customFormat="1">
      <c r="A370" s="2427"/>
      <c r="C370" s="1163"/>
      <c r="D370" s="1163"/>
      <c r="E370" s="1564"/>
      <c r="F370" s="1163"/>
      <c r="G370" s="1163"/>
      <c r="H370" s="1163"/>
      <c r="I370" s="1163"/>
    </row>
    <row r="371" spans="1:9" s="2422" customFormat="1">
      <c r="A371" s="2427"/>
      <c r="C371" s="1163"/>
      <c r="D371" s="1163"/>
      <c r="E371" s="1564"/>
      <c r="F371" s="1163"/>
      <c r="G371" s="1163"/>
      <c r="H371" s="1163"/>
      <c r="I371" s="1163"/>
    </row>
    <row r="372" spans="1:9" s="2422" customFormat="1">
      <c r="A372" s="2427"/>
      <c r="C372" s="1163"/>
      <c r="D372" s="1163"/>
      <c r="E372" s="1564"/>
      <c r="F372" s="1163"/>
      <c r="G372" s="1163"/>
      <c r="H372" s="1163"/>
      <c r="I372" s="1163"/>
    </row>
    <row r="373" spans="1:9" s="2422" customFormat="1">
      <c r="A373" s="2427"/>
      <c r="C373" s="1163"/>
      <c r="D373" s="1163"/>
      <c r="E373" s="1564"/>
      <c r="F373" s="1163"/>
      <c r="G373" s="1163"/>
      <c r="H373" s="1163"/>
      <c r="I373" s="1163"/>
    </row>
    <row r="374" spans="1:9" s="2422" customFormat="1">
      <c r="A374" s="2427"/>
      <c r="C374" s="1163"/>
      <c r="D374" s="1163"/>
      <c r="E374" s="1564"/>
      <c r="F374" s="1163"/>
      <c r="G374" s="1163"/>
      <c r="H374" s="1163"/>
      <c r="I374" s="1163"/>
    </row>
    <row r="375" spans="1:9" s="2422" customFormat="1">
      <c r="A375" s="2427"/>
      <c r="C375" s="1163"/>
      <c r="D375" s="1163"/>
      <c r="E375" s="1564"/>
      <c r="F375" s="1163"/>
      <c r="G375" s="1163"/>
      <c r="H375" s="1163"/>
      <c r="I375" s="1163"/>
    </row>
    <row r="376" spans="1:9" s="2422" customFormat="1">
      <c r="A376" s="2427"/>
      <c r="C376" s="1163"/>
      <c r="D376" s="1163"/>
      <c r="E376" s="1564"/>
      <c r="F376" s="1163"/>
      <c r="G376" s="1163"/>
      <c r="H376" s="1163"/>
      <c r="I376" s="1163"/>
    </row>
    <row r="377" spans="1:9" s="2422" customFormat="1">
      <c r="A377" s="2427"/>
      <c r="C377" s="1163"/>
      <c r="D377" s="1163"/>
      <c r="E377" s="1564"/>
      <c r="F377" s="1163"/>
      <c r="G377" s="1163"/>
      <c r="H377" s="1163"/>
      <c r="I377" s="1163"/>
    </row>
    <row r="378" spans="1:9" s="2422" customFormat="1">
      <c r="A378" s="2427"/>
      <c r="C378" s="1163"/>
      <c r="D378" s="1163"/>
      <c r="E378" s="1564"/>
      <c r="F378" s="1163"/>
      <c r="G378" s="1163"/>
      <c r="H378" s="1163"/>
      <c r="I378" s="1163"/>
    </row>
    <row r="379" spans="1:9" s="2422" customFormat="1">
      <c r="A379" s="2427"/>
      <c r="C379" s="1163"/>
      <c r="D379" s="1163"/>
      <c r="E379" s="1564"/>
      <c r="F379" s="1163"/>
      <c r="G379" s="1163"/>
      <c r="H379" s="1163"/>
      <c r="I379" s="1163"/>
    </row>
    <row r="380" spans="1:9" s="2422" customFormat="1">
      <c r="A380" s="2427"/>
      <c r="C380" s="1163"/>
      <c r="D380" s="1163"/>
      <c r="E380" s="1564"/>
      <c r="F380" s="1163"/>
      <c r="G380" s="1163"/>
      <c r="H380" s="1163"/>
      <c r="I380" s="1163"/>
    </row>
    <row r="381" spans="1:9" s="2422" customFormat="1">
      <c r="A381" s="2427"/>
      <c r="C381" s="1163"/>
      <c r="D381" s="1163"/>
      <c r="E381" s="1564"/>
      <c r="F381" s="1163"/>
      <c r="G381" s="1163"/>
      <c r="H381" s="1163"/>
      <c r="I381" s="1163"/>
    </row>
    <row r="382" spans="1:9" s="2422" customFormat="1">
      <c r="A382" s="2427"/>
      <c r="C382" s="1163"/>
      <c r="D382" s="1163"/>
      <c r="E382" s="1564"/>
      <c r="F382" s="1163"/>
      <c r="G382" s="1163"/>
      <c r="H382" s="1163"/>
      <c r="I382" s="1163"/>
    </row>
    <row r="383" spans="1:9" s="2422" customFormat="1">
      <c r="A383" s="2427"/>
      <c r="C383" s="1163"/>
      <c r="D383" s="1163"/>
      <c r="E383" s="1564"/>
      <c r="F383" s="1163"/>
      <c r="G383" s="1163"/>
      <c r="H383" s="1163"/>
      <c r="I383" s="1163"/>
    </row>
    <row r="384" spans="1:9" s="2422" customFormat="1">
      <c r="A384" s="2427"/>
      <c r="C384" s="1163"/>
      <c r="D384" s="1163"/>
      <c r="E384" s="1564"/>
      <c r="F384" s="1163"/>
      <c r="G384" s="1163"/>
      <c r="H384" s="1163"/>
      <c r="I384" s="1163"/>
    </row>
    <row r="385" spans="1:9" s="2422" customFormat="1">
      <c r="A385" s="2427"/>
      <c r="C385" s="1163"/>
      <c r="D385" s="1163"/>
      <c r="E385" s="1564"/>
      <c r="F385" s="1163"/>
      <c r="G385" s="1163"/>
      <c r="H385" s="1163"/>
      <c r="I385" s="1163"/>
    </row>
    <row r="386" spans="1:9" s="2422" customFormat="1">
      <c r="A386" s="2427"/>
      <c r="C386" s="1163"/>
      <c r="D386" s="1163"/>
      <c r="E386" s="1564"/>
      <c r="F386" s="1163"/>
      <c r="G386" s="1163"/>
      <c r="H386" s="1163"/>
      <c r="I386" s="1163"/>
    </row>
    <row r="387" spans="1:9" s="2422" customFormat="1">
      <c r="A387" s="2427"/>
      <c r="C387" s="1163"/>
      <c r="D387" s="1163"/>
      <c r="E387" s="1564"/>
      <c r="F387" s="1163"/>
      <c r="G387" s="1163"/>
      <c r="H387" s="1163"/>
      <c r="I387" s="1163"/>
    </row>
    <row r="388" spans="1:9" s="2422" customFormat="1">
      <c r="A388" s="2427"/>
      <c r="C388" s="1163"/>
      <c r="D388" s="1163"/>
      <c r="E388" s="1564"/>
      <c r="F388" s="1163"/>
      <c r="G388" s="1163"/>
      <c r="H388" s="1163"/>
      <c r="I388" s="1163"/>
    </row>
    <row r="389" spans="1:9" s="2422" customFormat="1">
      <c r="A389" s="2427"/>
      <c r="C389" s="1163"/>
      <c r="D389" s="1163"/>
      <c r="E389" s="1564"/>
      <c r="F389" s="1163"/>
      <c r="G389" s="1163"/>
      <c r="H389" s="1163"/>
      <c r="I389" s="1163"/>
    </row>
    <row r="390" spans="1:9" s="2422" customFormat="1">
      <c r="A390" s="2427"/>
      <c r="C390" s="1163"/>
      <c r="D390" s="1163"/>
      <c r="E390" s="1564"/>
      <c r="F390" s="1163"/>
      <c r="G390" s="1163"/>
      <c r="H390" s="1163"/>
      <c r="I390" s="1163"/>
    </row>
    <row r="391" spans="1:9" s="2422" customFormat="1">
      <c r="A391" s="2427"/>
      <c r="C391" s="1163"/>
      <c r="D391" s="1163"/>
      <c r="E391" s="1564"/>
      <c r="F391" s="1163"/>
      <c r="G391" s="1163"/>
      <c r="H391" s="1163"/>
      <c r="I391" s="1163"/>
    </row>
    <row r="392" spans="1:9" s="2422" customFormat="1">
      <c r="A392" s="2427"/>
      <c r="C392" s="1163"/>
      <c r="D392" s="1163"/>
      <c r="E392" s="1564"/>
      <c r="F392" s="1163"/>
      <c r="G392" s="1163"/>
      <c r="H392" s="1163"/>
      <c r="I392" s="1163"/>
    </row>
    <row r="393" spans="1:9" s="2422" customFormat="1">
      <c r="A393" s="2427"/>
      <c r="C393" s="1163"/>
      <c r="D393" s="1163"/>
      <c r="E393" s="1564"/>
      <c r="F393" s="1163"/>
      <c r="G393" s="1163"/>
      <c r="H393" s="1163"/>
      <c r="I393" s="1163"/>
    </row>
    <row r="394" spans="1:9" s="2422" customFormat="1">
      <c r="A394" s="2427"/>
      <c r="C394" s="1163"/>
      <c r="D394" s="1163"/>
      <c r="E394" s="1564"/>
      <c r="F394" s="1163"/>
      <c r="G394" s="1163"/>
      <c r="H394" s="1163"/>
      <c r="I394" s="1163"/>
    </row>
    <row r="395" spans="1:9" s="2422" customFormat="1">
      <c r="A395" s="2427"/>
      <c r="C395" s="1163"/>
      <c r="D395" s="1163"/>
      <c r="E395" s="1564"/>
      <c r="F395" s="1163"/>
      <c r="G395" s="1163"/>
      <c r="H395" s="1163"/>
      <c r="I395" s="1163"/>
    </row>
    <row r="396" spans="1:9" s="2422" customFormat="1">
      <c r="A396" s="2427"/>
      <c r="C396" s="1163"/>
      <c r="D396" s="1163"/>
      <c r="E396" s="1564"/>
      <c r="F396" s="1163"/>
      <c r="G396" s="1163"/>
      <c r="H396" s="1163"/>
      <c r="I396" s="1163"/>
    </row>
    <row r="397" spans="1:9" s="2422" customFormat="1">
      <c r="A397" s="2427"/>
      <c r="C397" s="1163"/>
      <c r="D397" s="1163"/>
      <c r="E397" s="1564"/>
      <c r="F397" s="1163"/>
      <c r="G397" s="1163"/>
      <c r="H397" s="1163"/>
      <c r="I397" s="1163"/>
    </row>
    <row r="398" spans="1:9" s="2422" customFormat="1">
      <c r="A398" s="2427"/>
      <c r="C398" s="1163"/>
      <c r="D398" s="1163"/>
      <c r="E398" s="1564"/>
      <c r="F398" s="1163"/>
      <c r="G398" s="1163"/>
      <c r="H398" s="1163"/>
      <c r="I398" s="1163"/>
    </row>
    <row r="399" spans="1:9" s="2422" customFormat="1">
      <c r="A399" s="2427"/>
      <c r="C399" s="1163"/>
      <c r="D399" s="1163"/>
      <c r="E399" s="1564"/>
      <c r="F399" s="1163"/>
      <c r="G399" s="1163"/>
      <c r="H399" s="1163"/>
      <c r="I399" s="1163"/>
    </row>
    <row r="400" spans="1:9" s="2422" customFormat="1">
      <c r="A400" s="2427"/>
      <c r="C400" s="1163"/>
      <c r="D400" s="1163"/>
      <c r="E400" s="1564"/>
      <c r="F400" s="1163"/>
      <c r="G400" s="1163"/>
      <c r="H400" s="1163"/>
      <c r="I400" s="1163"/>
    </row>
    <row r="401" spans="1:9" s="2422" customFormat="1">
      <c r="A401" s="2427"/>
      <c r="C401" s="1163"/>
      <c r="D401" s="1163"/>
      <c r="E401" s="1564"/>
      <c r="F401" s="1163"/>
      <c r="G401" s="1163"/>
      <c r="H401" s="1163"/>
      <c r="I401" s="1163"/>
    </row>
    <row r="402" spans="1:9" s="2422" customFormat="1">
      <c r="A402" s="2427"/>
      <c r="C402" s="1163"/>
      <c r="D402" s="1163"/>
      <c r="E402" s="1564"/>
      <c r="F402" s="1163"/>
      <c r="G402" s="1163"/>
      <c r="H402" s="1163"/>
      <c r="I402" s="1163"/>
    </row>
    <row r="403" spans="1:9" s="2422" customFormat="1">
      <c r="A403" s="2427"/>
      <c r="C403" s="1163"/>
      <c r="D403" s="1163"/>
      <c r="E403" s="1564"/>
      <c r="F403" s="1163"/>
      <c r="G403" s="1163"/>
      <c r="H403" s="1163"/>
      <c r="I403" s="1163"/>
    </row>
    <row r="404" spans="1:9" s="2422" customFormat="1">
      <c r="A404" s="2427"/>
      <c r="C404" s="1163"/>
      <c r="D404" s="1163"/>
      <c r="E404" s="1564"/>
      <c r="F404" s="1163"/>
      <c r="G404" s="1163"/>
      <c r="H404" s="1163"/>
      <c r="I404" s="1163"/>
    </row>
    <row r="405" spans="1:9" s="2422" customFormat="1">
      <c r="A405" s="2427"/>
      <c r="C405" s="1163"/>
      <c r="D405" s="1163"/>
      <c r="E405" s="1564"/>
      <c r="F405" s="1163"/>
      <c r="G405" s="1163"/>
      <c r="H405" s="1163"/>
      <c r="I405" s="1163"/>
    </row>
    <row r="406" spans="1:9" s="2422" customFormat="1">
      <c r="A406" s="2427"/>
      <c r="C406" s="1163"/>
      <c r="D406" s="1163"/>
      <c r="E406" s="1564"/>
      <c r="F406" s="1163"/>
      <c r="G406" s="1163"/>
      <c r="H406" s="1163"/>
      <c r="I406" s="1163"/>
    </row>
    <row r="407" spans="1:9" s="2422" customFormat="1">
      <c r="A407" s="2427"/>
      <c r="C407" s="1163"/>
      <c r="D407" s="1163"/>
      <c r="E407" s="1564"/>
      <c r="F407" s="1163"/>
      <c r="G407" s="1163"/>
      <c r="H407" s="1163"/>
      <c r="I407" s="1163"/>
    </row>
    <row r="408" spans="1:9" s="2422" customFormat="1">
      <c r="A408" s="2427"/>
      <c r="C408" s="1163"/>
      <c r="D408" s="1163"/>
      <c r="E408" s="1564"/>
      <c r="F408" s="1163"/>
      <c r="G408" s="1163"/>
      <c r="H408" s="1163"/>
      <c r="I408" s="1163"/>
    </row>
    <row r="409" spans="1:9" s="2422" customFormat="1">
      <c r="A409" s="2427"/>
      <c r="C409" s="1163"/>
      <c r="D409" s="1163"/>
      <c r="E409" s="1564"/>
      <c r="F409" s="1163"/>
      <c r="G409" s="1163"/>
      <c r="H409" s="1163"/>
      <c r="I409" s="1163"/>
    </row>
    <row r="410" spans="1:9" s="2422" customFormat="1">
      <c r="A410" s="2427"/>
      <c r="C410" s="1163"/>
      <c r="D410" s="1163"/>
      <c r="E410" s="1564"/>
      <c r="F410" s="1163"/>
      <c r="G410" s="1163"/>
      <c r="H410" s="1163"/>
      <c r="I410" s="1163"/>
    </row>
    <row r="411" spans="1:9" s="2422" customFormat="1">
      <c r="A411" s="2427"/>
      <c r="C411" s="1163"/>
      <c r="D411" s="1163"/>
      <c r="E411" s="1564"/>
      <c r="F411" s="1163"/>
      <c r="G411" s="1163"/>
      <c r="H411" s="1163"/>
      <c r="I411" s="1163"/>
    </row>
    <row r="412" spans="1:9" s="2422" customFormat="1">
      <c r="A412" s="2427"/>
      <c r="C412" s="1163"/>
      <c r="D412" s="1163"/>
      <c r="E412" s="1564"/>
      <c r="F412" s="1163"/>
      <c r="G412" s="1163"/>
      <c r="H412" s="1163"/>
      <c r="I412" s="1163"/>
    </row>
    <row r="413" spans="1:9" s="2422" customFormat="1">
      <c r="A413" s="2427"/>
      <c r="C413" s="1163"/>
      <c r="D413" s="1163"/>
      <c r="E413" s="1564"/>
      <c r="F413" s="1163"/>
      <c r="G413" s="1163"/>
      <c r="H413" s="1163"/>
      <c r="I413" s="1163"/>
    </row>
    <row r="414" spans="1:9" s="2422" customFormat="1">
      <c r="A414" s="2427"/>
      <c r="C414" s="1163"/>
      <c r="D414" s="1163"/>
      <c r="E414" s="1564"/>
      <c r="F414" s="1163"/>
      <c r="G414" s="1163"/>
      <c r="H414" s="1163"/>
      <c r="I414" s="1163"/>
    </row>
    <row r="415" spans="1:9" s="2422" customFormat="1">
      <c r="A415" s="2427"/>
      <c r="C415" s="1163"/>
      <c r="D415" s="1163"/>
      <c r="E415" s="1564"/>
      <c r="F415" s="1163"/>
      <c r="G415" s="1163"/>
      <c r="H415" s="1163"/>
      <c r="I415" s="1163"/>
    </row>
    <row r="416" spans="1:9" s="2422" customFormat="1">
      <c r="A416" s="2427"/>
      <c r="C416" s="1163"/>
      <c r="D416" s="1163"/>
      <c r="E416" s="1564"/>
      <c r="F416" s="1163"/>
      <c r="G416" s="1163"/>
      <c r="H416" s="1163"/>
      <c r="I416" s="1163"/>
    </row>
    <row r="417" spans="1:9" s="2422" customFormat="1">
      <c r="A417" s="2427"/>
      <c r="C417" s="1163"/>
      <c r="D417" s="1163"/>
      <c r="E417" s="1564"/>
      <c r="F417" s="1163"/>
      <c r="G417" s="1163"/>
      <c r="H417" s="1163"/>
      <c r="I417" s="1163"/>
    </row>
    <row r="418" spans="1:9" s="2422" customFormat="1">
      <c r="A418" s="2427"/>
      <c r="C418" s="1163"/>
      <c r="D418" s="1163"/>
      <c r="E418" s="1564"/>
      <c r="F418" s="1163"/>
      <c r="G418" s="1163"/>
      <c r="H418" s="1163"/>
      <c r="I418" s="1163"/>
    </row>
    <row r="419" spans="1:9" s="2422" customFormat="1">
      <c r="A419" s="2427"/>
      <c r="C419" s="1163"/>
      <c r="D419" s="1163"/>
      <c r="E419" s="1564"/>
      <c r="F419" s="1163"/>
      <c r="G419" s="1163"/>
      <c r="H419" s="1163"/>
      <c r="I419" s="1163"/>
    </row>
    <row r="420" spans="1:9" s="2422" customFormat="1">
      <c r="A420" s="2427"/>
      <c r="C420" s="1163"/>
      <c r="D420" s="1163"/>
      <c r="E420" s="1564"/>
      <c r="F420" s="1163"/>
      <c r="G420" s="1163"/>
      <c r="H420" s="1163"/>
      <c r="I420" s="1163"/>
    </row>
    <row r="421" spans="1:9" s="2422" customFormat="1">
      <c r="A421" s="2427"/>
      <c r="C421" s="1163"/>
      <c r="D421" s="1163"/>
      <c r="E421" s="1564"/>
      <c r="F421" s="1163"/>
      <c r="G421" s="1163"/>
      <c r="H421" s="1163"/>
      <c r="I421" s="1163"/>
    </row>
    <row r="422" spans="1:9" s="2422" customFormat="1">
      <c r="A422" s="2427"/>
      <c r="C422" s="1163"/>
      <c r="D422" s="1163"/>
      <c r="E422" s="1564"/>
      <c r="F422" s="1163"/>
      <c r="G422" s="1163"/>
      <c r="H422" s="1163"/>
      <c r="I422" s="1163"/>
    </row>
    <row r="423" spans="1:9" s="2422" customFormat="1">
      <c r="A423" s="2427"/>
      <c r="C423" s="1163"/>
      <c r="D423" s="1163"/>
      <c r="E423" s="1564"/>
      <c r="F423" s="1163"/>
      <c r="G423" s="1163"/>
      <c r="H423" s="1163"/>
      <c r="I423" s="1163"/>
    </row>
    <row r="424" spans="1:9" s="2422" customFormat="1">
      <c r="A424" s="2427"/>
      <c r="C424" s="1163"/>
      <c r="D424" s="1163"/>
      <c r="E424" s="1564"/>
      <c r="F424" s="1163"/>
      <c r="G424" s="1163"/>
      <c r="H424" s="1163"/>
      <c r="I424" s="1163"/>
    </row>
    <row r="425" spans="1:9" s="2422" customFormat="1">
      <c r="A425" s="2427"/>
      <c r="C425" s="1163"/>
      <c r="D425" s="1163"/>
      <c r="E425" s="1564"/>
      <c r="F425" s="1163"/>
      <c r="G425" s="1163"/>
      <c r="H425" s="1163"/>
      <c r="I425" s="1163"/>
    </row>
    <row r="426" spans="1:9" s="2422" customFormat="1">
      <c r="A426" s="2427"/>
      <c r="C426" s="1163"/>
      <c r="D426" s="1163"/>
      <c r="E426" s="1564"/>
      <c r="F426" s="1163"/>
      <c r="G426" s="1163"/>
      <c r="H426" s="1163"/>
      <c r="I426" s="1163"/>
    </row>
    <row r="427" spans="1:9" s="2422" customFormat="1">
      <c r="A427" s="2427"/>
      <c r="C427" s="1163"/>
      <c r="D427" s="1163"/>
      <c r="E427" s="1564"/>
      <c r="F427" s="1163"/>
      <c r="G427" s="1163"/>
      <c r="H427" s="1163"/>
      <c r="I427" s="1163"/>
    </row>
    <row r="428" spans="1:9" s="2422" customFormat="1">
      <c r="A428" s="2427"/>
      <c r="C428" s="1163"/>
      <c r="D428" s="1163"/>
      <c r="E428" s="1564"/>
      <c r="F428" s="1163"/>
      <c r="G428" s="1163"/>
      <c r="H428" s="1163"/>
      <c r="I428" s="1163"/>
    </row>
    <row r="429" spans="1:9" s="2422" customFormat="1">
      <c r="A429" s="2427"/>
      <c r="C429" s="1163"/>
      <c r="D429" s="1163"/>
      <c r="E429" s="1564"/>
      <c r="F429" s="1163"/>
      <c r="G429" s="1163"/>
      <c r="H429" s="1163"/>
      <c r="I429" s="1163"/>
    </row>
    <row r="430" spans="1:9" s="2422" customFormat="1">
      <c r="A430" s="2427"/>
      <c r="C430" s="1163"/>
      <c r="D430" s="1163"/>
      <c r="E430" s="1564"/>
      <c r="F430" s="1163"/>
      <c r="G430" s="1163"/>
      <c r="H430" s="1163"/>
      <c r="I430" s="1163"/>
    </row>
    <row r="431" spans="1:9" s="2422" customFormat="1">
      <c r="A431" s="2427"/>
      <c r="C431" s="1163"/>
      <c r="D431" s="1163"/>
      <c r="E431" s="1564"/>
      <c r="F431" s="1163"/>
      <c r="G431" s="1163"/>
      <c r="H431" s="1163"/>
      <c r="I431" s="1163"/>
    </row>
    <row r="432" spans="1:9" s="2422" customFormat="1">
      <c r="A432" s="2427"/>
      <c r="C432" s="1163"/>
      <c r="D432" s="1163"/>
      <c r="E432" s="1564"/>
      <c r="F432" s="1163"/>
      <c r="G432" s="1163"/>
      <c r="H432" s="1163"/>
      <c r="I432" s="1163"/>
    </row>
    <row r="433" spans="1:9" s="2422" customFormat="1">
      <c r="A433" s="2427"/>
      <c r="C433" s="1163"/>
      <c r="D433" s="1163"/>
      <c r="E433" s="1564"/>
      <c r="F433" s="1163"/>
      <c r="G433" s="1163"/>
      <c r="H433" s="1163"/>
      <c r="I433" s="1163"/>
    </row>
    <row r="434" spans="1:9" s="2422" customFormat="1">
      <c r="A434" s="2427"/>
      <c r="C434" s="1163"/>
      <c r="D434" s="1163"/>
      <c r="E434" s="1564"/>
      <c r="F434" s="1163"/>
      <c r="G434" s="1163"/>
      <c r="H434" s="1163"/>
      <c r="I434" s="1163"/>
    </row>
    <row r="435" spans="1:9" s="2422" customFormat="1">
      <c r="A435" s="2427"/>
      <c r="C435" s="1163"/>
      <c r="D435" s="1163"/>
      <c r="E435" s="1564"/>
      <c r="F435" s="1163"/>
      <c r="G435" s="1163"/>
      <c r="H435" s="1163"/>
      <c r="I435" s="1163"/>
    </row>
    <row r="436" spans="1:9" s="2422" customFormat="1">
      <c r="A436" s="2427"/>
      <c r="C436" s="1163"/>
      <c r="D436" s="1163"/>
      <c r="E436" s="1564"/>
      <c r="F436" s="1163"/>
      <c r="G436" s="1163"/>
      <c r="H436" s="1163"/>
      <c r="I436" s="1163"/>
    </row>
    <row r="437" spans="1:9" s="2422" customFormat="1">
      <c r="A437" s="2427"/>
      <c r="C437" s="1163"/>
      <c r="D437" s="1163"/>
      <c r="E437" s="1564"/>
      <c r="F437" s="1163"/>
      <c r="G437" s="1163"/>
      <c r="H437" s="1163"/>
      <c r="I437" s="1163"/>
    </row>
    <row r="438" spans="1:9" s="2422" customFormat="1">
      <c r="A438" s="2427"/>
      <c r="C438" s="1163"/>
      <c r="D438" s="1163"/>
      <c r="E438" s="1564"/>
      <c r="F438" s="1163"/>
      <c r="G438" s="1163"/>
      <c r="H438" s="1163"/>
      <c r="I438" s="1163"/>
    </row>
    <row r="439" spans="1:9" s="2422" customFormat="1">
      <c r="A439" s="2427"/>
      <c r="C439" s="1163"/>
      <c r="D439" s="1163"/>
      <c r="E439" s="1564"/>
      <c r="F439" s="1163"/>
      <c r="G439" s="1163"/>
      <c r="H439" s="1163"/>
      <c r="I439" s="1163"/>
    </row>
    <row r="440" spans="1:9" s="2422" customFormat="1">
      <c r="A440" s="2427"/>
      <c r="C440" s="1163"/>
      <c r="D440" s="1163"/>
      <c r="E440" s="1564"/>
      <c r="F440" s="1163"/>
      <c r="G440" s="1163"/>
      <c r="H440" s="1163"/>
      <c r="I440" s="1163"/>
    </row>
    <row r="441" spans="1:9" s="2422" customFormat="1">
      <c r="A441" s="2427"/>
      <c r="C441" s="1163"/>
      <c r="D441" s="1163"/>
      <c r="E441" s="1564"/>
      <c r="F441" s="1163"/>
      <c r="G441" s="1163"/>
      <c r="H441" s="1163"/>
      <c r="I441" s="1163"/>
    </row>
    <row r="442" spans="1:9" s="2422" customFormat="1">
      <c r="A442" s="2427"/>
      <c r="C442" s="1163"/>
      <c r="D442" s="1163"/>
      <c r="E442" s="1564"/>
      <c r="F442" s="1163"/>
      <c r="G442" s="1163"/>
      <c r="H442" s="1163"/>
      <c r="I442" s="1163"/>
    </row>
    <row r="443" spans="1:9" s="2422" customFormat="1">
      <c r="A443" s="2427"/>
      <c r="C443" s="1163"/>
      <c r="D443" s="1163"/>
      <c r="E443" s="1564"/>
      <c r="F443" s="1163"/>
      <c r="G443" s="1163"/>
      <c r="H443" s="1163"/>
      <c r="I443" s="1163"/>
    </row>
    <row r="444" spans="1:9" s="2422" customFormat="1">
      <c r="A444" s="2427"/>
      <c r="C444" s="1163"/>
      <c r="D444" s="1163"/>
      <c r="E444" s="1564"/>
      <c r="F444" s="1163"/>
      <c r="G444" s="1163"/>
      <c r="H444" s="1163"/>
      <c r="I444" s="1163"/>
    </row>
    <row r="445" spans="1:9" s="2422" customFormat="1">
      <c r="A445" s="2427"/>
      <c r="C445" s="1163"/>
      <c r="D445" s="1163"/>
      <c r="E445" s="1564"/>
      <c r="F445" s="1163"/>
      <c r="G445" s="1163"/>
      <c r="H445" s="1163"/>
      <c r="I445" s="1163"/>
    </row>
    <row r="446" spans="1:9" s="2422" customFormat="1">
      <c r="A446" s="2427"/>
      <c r="C446" s="1163"/>
      <c r="D446" s="1163"/>
      <c r="E446" s="1564"/>
      <c r="F446" s="1163"/>
      <c r="G446" s="1163"/>
      <c r="H446" s="1163"/>
      <c r="I446" s="1163"/>
    </row>
    <row r="447" spans="1:9" s="2422" customFormat="1">
      <c r="A447" s="2427"/>
      <c r="C447" s="1163"/>
      <c r="D447" s="1163"/>
      <c r="E447" s="1564"/>
      <c r="F447" s="1163"/>
      <c r="G447" s="1163"/>
      <c r="H447" s="1163"/>
      <c r="I447" s="1163"/>
    </row>
    <row r="448" spans="1:9" s="2422" customFormat="1">
      <c r="A448" s="2427"/>
      <c r="C448" s="1163"/>
      <c r="D448" s="1163"/>
      <c r="E448" s="1564"/>
      <c r="F448" s="1163"/>
      <c r="G448" s="1163"/>
      <c r="H448" s="1163"/>
      <c r="I448" s="1163"/>
    </row>
    <row r="449" spans="1:9" s="2422" customFormat="1">
      <c r="A449" s="2427"/>
      <c r="C449" s="1163"/>
      <c r="D449" s="1163"/>
      <c r="E449" s="1564"/>
      <c r="F449" s="1163"/>
      <c r="G449" s="1163"/>
      <c r="H449" s="1163"/>
      <c r="I449" s="1163"/>
    </row>
    <row r="450" spans="1:9" s="2422" customFormat="1">
      <c r="A450" s="2427"/>
      <c r="C450" s="1163"/>
      <c r="D450" s="1163"/>
      <c r="E450" s="1564"/>
      <c r="F450" s="1163"/>
      <c r="G450" s="1163"/>
      <c r="H450" s="1163"/>
      <c r="I450" s="1163"/>
    </row>
    <row r="451" spans="1:9" s="2422" customFormat="1">
      <c r="A451" s="2427"/>
      <c r="C451" s="1163"/>
      <c r="D451" s="1163"/>
      <c r="E451" s="1564"/>
      <c r="F451" s="1163"/>
      <c r="G451" s="1163"/>
      <c r="H451" s="1163"/>
      <c r="I451" s="1163"/>
    </row>
    <row r="452" spans="1:9" s="2422" customFormat="1">
      <c r="A452" s="2427"/>
      <c r="C452" s="1163"/>
      <c r="D452" s="1163"/>
      <c r="E452" s="1564"/>
      <c r="F452" s="1163"/>
      <c r="G452" s="1163"/>
      <c r="H452" s="1163"/>
      <c r="I452" s="1163"/>
    </row>
    <row r="453" spans="1:9" s="2422" customFormat="1">
      <c r="A453" s="2427"/>
      <c r="C453" s="1163"/>
      <c r="D453" s="1163"/>
      <c r="E453" s="1564"/>
      <c r="F453" s="1163"/>
      <c r="G453" s="1163"/>
      <c r="H453" s="1163"/>
      <c r="I453" s="1163"/>
    </row>
    <row r="454" spans="1:9" s="2422" customFormat="1">
      <c r="A454" s="2427"/>
      <c r="C454" s="1163"/>
      <c r="D454" s="1163"/>
      <c r="E454" s="1564"/>
      <c r="F454" s="1163"/>
      <c r="G454" s="1163"/>
      <c r="H454" s="1163"/>
      <c r="I454" s="1163"/>
    </row>
    <row r="455" spans="1:9" s="2422" customFormat="1">
      <c r="A455" s="2427"/>
      <c r="C455" s="1163"/>
      <c r="D455" s="1163"/>
      <c r="E455" s="1564"/>
      <c r="F455" s="1163"/>
      <c r="G455" s="1163"/>
      <c r="H455" s="1163"/>
      <c r="I455" s="1163"/>
    </row>
    <row r="456" spans="1:9" s="2422" customFormat="1">
      <c r="A456" s="2427"/>
      <c r="C456" s="1163"/>
      <c r="D456" s="1163"/>
      <c r="E456" s="1564"/>
      <c r="F456" s="1163"/>
      <c r="G456" s="1163"/>
      <c r="H456" s="1163"/>
      <c r="I456" s="1163"/>
    </row>
    <row r="457" spans="1:9" s="2422" customFormat="1">
      <c r="A457" s="2427"/>
      <c r="C457" s="1163"/>
      <c r="D457" s="1163"/>
      <c r="E457" s="1564"/>
      <c r="F457" s="1163"/>
      <c r="G457" s="1163"/>
      <c r="H457" s="1163"/>
      <c r="I457" s="1163"/>
    </row>
    <row r="458" spans="1:9" s="2422" customFormat="1">
      <c r="A458" s="2427"/>
      <c r="C458" s="1163"/>
      <c r="D458" s="1163"/>
      <c r="E458" s="1564"/>
      <c r="F458" s="1163"/>
      <c r="G458" s="1163"/>
      <c r="H458" s="1163"/>
      <c r="I458" s="1163"/>
    </row>
    <row r="459" spans="1:9" s="2422" customFormat="1">
      <c r="A459" s="2427"/>
      <c r="C459" s="1163"/>
      <c r="D459" s="1163"/>
      <c r="E459" s="1564"/>
      <c r="F459" s="1163"/>
      <c r="G459" s="1163"/>
      <c r="H459" s="1163"/>
      <c r="I459" s="1163"/>
    </row>
    <row r="460" spans="1:9" s="2422" customFormat="1">
      <c r="A460" s="2427"/>
      <c r="C460" s="1163"/>
      <c r="D460" s="1163"/>
      <c r="E460" s="1564"/>
      <c r="F460" s="1163"/>
      <c r="G460" s="1163"/>
      <c r="H460" s="1163"/>
      <c r="I460" s="1163"/>
    </row>
    <row r="461" spans="1:9" s="2422" customFormat="1">
      <c r="A461" s="2427"/>
      <c r="C461" s="1163"/>
      <c r="D461" s="1163"/>
      <c r="E461" s="1564"/>
      <c r="F461" s="1163"/>
      <c r="G461" s="1163"/>
      <c r="H461" s="1163"/>
      <c r="I461" s="1163"/>
    </row>
    <row r="462" spans="1:9" s="2422" customFormat="1">
      <c r="A462" s="2427"/>
      <c r="C462" s="1163"/>
      <c r="D462" s="1163"/>
      <c r="E462" s="1564"/>
      <c r="F462" s="1163"/>
      <c r="G462" s="1163"/>
      <c r="H462" s="1163"/>
      <c r="I462" s="1163"/>
    </row>
    <row r="463" spans="1:9" s="2422" customFormat="1">
      <c r="A463" s="2427"/>
      <c r="C463" s="1163"/>
      <c r="D463" s="1163"/>
      <c r="E463" s="1564"/>
      <c r="F463" s="1163"/>
      <c r="G463" s="1163"/>
      <c r="H463" s="1163"/>
      <c r="I463" s="1163"/>
    </row>
    <row r="464" spans="1:9" s="2422" customFormat="1">
      <c r="A464" s="2427"/>
      <c r="C464" s="1163"/>
      <c r="D464" s="1163"/>
      <c r="E464" s="1564"/>
      <c r="F464" s="1163"/>
      <c r="G464" s="1163"/>
      <c r="H464" s="1163"/>
      <c r="I464" s="1163"/>
    </row>
    <row r="465" spans="1:9" s="2422" customFormat="1">
      <c r="A465" s="2427"/>
      <c r="C465" s="1163"/>
      <c r="D465" s="1163"/>
      <c r="E465" s="1564"/>
      <c r="F465" s="1163"/>
      <c r="G465" s="1163"/>
      <c r="H465" s="1163"/>
      <c r="I465" s="1163"/>
    </row>
    <row r="466" spans="1:9" s="2422" customFormat="1">
      <c r="A466" s="2427"/>
      <c r="C466" s="1163"/>
      <c r="D466" s="1163"/>
      <c r="E466" s="1564"/>
      <c r="F466" s="1163"/>
      <c r="G466" s="1163"/>
      <c r="H466" s="1163"/>
      <c r="I466" s="1163"/>
    </row>
    <row r="467" spans="1:9" s="2422" customFormat="1">
      <c r="A467" s="2427"/>
      <c r="C467" s="1163"/>
      <c r="D467" s="1163"/>
      <c r="E467" s="1564"/>
      <c r="F467" s="1163"/>
      <c r="G467" s="1163"/>
      <c r="H467" s="1163"/>
      <c r="I467" s="1163"/>
    </row>
    <row r="468" spans="1:9" s="2422" customFormat="1">
      <c r="A468" s="2427"/>
      <c r="C468" s="1163"/>
      <c r="D468" s="1163"/>
      <c r="E468" s="1564"/>
      <c r="F468" s="1163"/>
      <c r="G468" s="1163"/>
      <c r="H468" s="1163"/>
      <c r="I468" s="1163"/>
    </row>
    <row r="469" spans="1:9" s="2422" customFormat="1">
      <c r="A469" s="2427"/>
      <c r="C469" s="1163"/>
      <c r="D469" s="1163"/>
      <c r="E469" s="1564"/>
      <c r="F469" s="1163"/>
      <c r="G469" s="1163"/>
      <c r="H469" s="1163"/>
      <c r="I469" s="1163"/>
    </row>
    <row r="470" spans="1:9" s="2422" customFormat="1">
      <c r="A470" s="2427"/>
      <c r="C470" s="1163"/>
      <c r="D470" s="1163"/>
      <c r="E470" s="1564"/>
      <c r="F470" s="1163"/>
      <c r="G470" s="1163"/>
      <c r="H470" s="1163"/>
      <c r="I470" s="1163"/>
    </row>
    <row r="471" spans="1:9" s="2422" customFormat="1">
      <c r="A471" s="2427"/>
      <c r="C471" s="1163"/>
      <c r="D471" s="1163"/>
      <c r="E471" s="1564"/>
      <c r="F471" s="1163"/>
      <c r="G471" s="1163"/>
      <c r="H471" s="1163"/>
      <c r="I471" s="1163"/>
    </row>
    <row r="472" spans="1:9" s="2422" customFormat="1">
      <c r="A472" s="2427"/>
      <c r="C472" s="1163"/>
      <c r="D472" s="1163"/>
      <c r="E472" s="1564"/>
      <c r="F472" s="1163"/>
      <c r="G472" s="1163"/>
      <c r="H472" s="1163"/>
      <c r="I472" s="1163"/>
    </row>
    <row r="473" spans="1:9" s="2422" customFormat="1">
      <c r="A473" s="2427"/>
      <c r="C473" s="1163"/>
      <c r="D473" s="1163"/>
      <c r="E473" s="1564"/>
      <c r="F473" s="1163"/>
      <c r="G473" s="1163"/>
      <c r="H473" s="1163"/>
      <c r="I473" s="1163"/>
    </row>
    <row r="474" spans="1:9" s="2422" customFormat="1">
      <c r="A474" s="2427"/>
      <c r="C474" s="1163"/>
      <c r="D474" s="1163"/>
      <c r="E474" s="1564"/>
      <c r="F474" s="1163"/>
      <c r="G474" s="1163"/>
      <c r="H474" s="1163"/>
      <c r="I474" s="1163"/>
    </row>
    <row r="475" spans="1:9" s="2422" customFormat="1">
      <c r="A475" s="2427"/>
      <c r="C475" s="1163"/>
      <c r="D475" s="1163"/>
      <c r="E475" s="1564"/>
      <c r="F475" s="1163"/>
      <c r="G475" s="1163"/>
      <c r="H475" s="1163"/>
      <c r="I475" s="1163"/>
    </row>
    <row r="476" spans="1:9" s="2422" customFormat="1">
      <c r="A476" s="2427"/>
      <c r="C476" s="1163"/>
      <c r="D476" s="1163"/>
      <c r="E476" s="1564"/>
      <c r="F476" s="1163"/>
      <c r="G476" s="1163"/>
      <c r="H476" s="1163"/>
      <c r="I476" s="1163"/>
    </row>
    <row r="477" spans="1:9" s="2422" customFormat="1">
      <c r="A477" s="2427"/>
      <c r="C477" s="1163"/>
      <c r="D477" s="1163"/>
      <c r="E477" s="1564"/>
      <c r="F477" s="1163"/>
      <c r="G477" s="1163"/>
      <c r="H477" s="1163"/>
      <c r="I477" s="1163"/>
    </row>
    <row r="478" spans="1:9" s="2422" customFormat="1">
      <c r="A478" s="2427"/>
      <c r="C478" s="1163"/>
      <c r="D478" s="1163"/>
      <c r="E478" s="1564"/>
      <c r="F478" s="1163"/>
      <c r="G478" s="1163"/>
      <c r="H478" s="1163"/>
      <c r="I478" s="1163"/>
    </row>
    <row r="479" spans="1:9" s="2422" customFormat="1">
      <c r="A479" s="2427"/>
      <c r="C479" s="1163"/>
      <c r="D479" s="1163"/>
      <c r="E479" s="1564"/>
      <c r="F479" s="1163"/>
      <c r="G479" s="1163"/>
      <c r="H479" s="1163"/>
      <c r="I479" s="1163"/>
    </row>
    <row r="480" spans="1:9" s="2422" customFormat="1">
      <c r="A480" s="2427"/>
      <c r="C480" s="1163"/>
      <c r="D480" s="1163"/>
      <c r="E480" s="1564"/>
      <c r="F480" s="1163"/>
      <c r="G480" s="1163"/>
      <c r="H480" s="1163"/>
      <c r="I480" s="1163"/>
    </row>
    <row r="481" spans="1:9" s="2422" customFormat="1">
      <c r="A481" s="2427"/>
      <c r="C481" s="1163"/>
      <c r="D481" s="1163"/>
      <c r="E481" s="1564"/>
      <c r="F481" s="1163"/>
      <c r="G481" s="1163"/>
      <c r="H481" s="1163"/>
      <c r="I481" s="1163"/>
    </row>
    <row r="482" spans="1:9" s="2422" customFormat="1">
      <c r="A482" s="2427"/>
      <c r="C482" s="1163"/>
      <c r="D482" s="1163"/>
      <c r="E482" s="1564"/>
      <c r="F482" s="1163"/>
      <c r="G482" s="1163"/>
      <c r="H482" s="1163"/>
      <c r="I482" s="1163"/>
    </row>
    <row r="483" spans="1:9" s="2422" customFormat="1">
      <c r="A483" s="2427"/>
      <c r="C483" s="1163"/>
      <c r="D483" s="1163"/>
      <c r="E483" s="1564"/>
      <c r="F483" s="1163"/>
      <c r="G483" s="1163"/>
      <c r="H483" s="1163"/>
      <c r="I483" s="1163"/>
    </row>
    <row r="484" spans="1:9" s="2422" customFormat="1">
      <c r="A484" s="2427"/>
      <c r="C484" s="1163"/>
      <c r="D484" s="1163"/>
      <c r="E484" s="1564"/>
      <c r="F484" s="1163"/>
      <c r="G484" s="1163"/>
      <c r="H484" s="1163"/>
      <c r="I484" s="1163"/>
    </row>
    <row r="485" spans="1:9" s="2422" customFormat="1">
      <c r="A485" s="2427"/>
      <c r="C485" s="1163"/>
      <c r="D485" s="1163"/>
      <c r="E485" s="1564"/>
      <c r="F485" s="1163"/>
      <c r="G485" s="1163"/>
      <c r="H485" s="1163"/>
      <c r="I485" s="1163"/>
    </row>
    <row r="486" spans="1:9" s="2422" customFormat="1">
      <c r="A486" s="2427"/>
      <c r="C486" s="1163"/>
      <c r="D486" s="1163"/>
      <c r="E486" s="1564"/>
      <c r="F486" s="1163"/>
      <c r="G486" s="1163"/>
      <c r="H486" s="1163"/>
      <c r="I486" s="1163"/>
    </row>
    <row r="487" spans="1:9" s="2422" customFormat="1">
      <c r="A487" s="2427"/>
      <c r="C487" s="1163"/>
      <c r="D487" s="1163"/>
      <c r="E487" s="1564"/>
      <c r="F487" s="1163"/>
      <c r="G487" s="1163"/>
      <c r="H487" s="1163"/>
      <c r="I487" s="1163"/>
    </row>
    <row r="488" spans="1:9" s="2422" customFormat="1">
      <c r="A488" s="2427"/>
      <c r="C488" s="1163"/>
      <c r="D488" s="1163"/>
      <c r="E488" s="1564"/>
      <c r="F488" s="1163"/>
      <c r="G488" s="1163"/>
      <c r="H488" s="1163"/>
      <c r="I488" s="1163"/>
    </row>
    <row r="489" spans="1:9" s="2422" customFormat="1">
      <c r="A489" s="2427"/>
      <c r="C489" s="1163"/>
      <c r="D489" s="1163"/>
      <c r="E489" s="1564"/>
      <c r="F489" s="1163"/>
      <c r="G489" s="1163"/>
      <c r="H489" s="1163"/>
      <c r="I489" s="1163"/>
    </row>
    <row r="490" spans="1:9" s="2422" customFormat="1">
      <c r="A490" s="2427"/>
      <c r="C490" s="1163"/>
      <c r="D490" s="1163"/>
      <c r="E490" s="1564"/>
      <c r="F490" s="1163"/>
      <c r="G490" s="1163"/>
      <c r="H490" s="1163"/>
      <c r="I490" s="1163"/>
    </row>
    <row r="491" spans="1:9" s="2422" customFormat="1">
      <c r="A491" s="2427"/>
      <c r="C491" s="1163"/>
      <c r="D491" s="1163"/>
      <c r="E491" s="1564"/>
      <c r="F491" s="1163"/>
      <c r="G491" s="1163"/>
      <c r="H491" s="1163"/>
      <c r="I491" s="1163"/>
    </row>
    <row r="492" spans="1:9" s="2422" customFormat="1">
      <c r="A492" s="2427"/>
      <c r="C492" s="1163"/>
      <c r="D492" s="1163"/>
      <c r="E492" s="1564"/>
      <c r="F492" s="1163"/>
      <c r="G492" s="1163"/>
      <c r="H492" s="1163"/>
      <c r="I492" s="1163"/>
    </row>
    <row r="493" spans="1:9" s="2422" customFormat="1">
      <c r="A493" s="2427"/>
      <c r="C493" s="1163"/>
      <c r="D493" s="1163"/>
      <c r="E493" s="1564"/>
      <c r="F493" s="1163"/>
      <c r="G493" s="1163"/>
      <c r="H493" s="1163"/>
      <c r="I493" s="1163"/>
    </row>
    <row r="494" spans="1:9" s="2422" customFormat="1">
      <c r="A494" s="2427"/>
      <c r="C494" s="1163"/>
      <c r="D494" s="1163"/>
      <c r="E494" s="1564"/>
      <c r="F494" s="1163"/>
      <c r="G494" s="1163"/>
      <c r="H494" s="1163"/>
      <c r="I494" s="1163"/>
    </row>
    <row r="495" spans="1:9" s="2422" customFormat="1">
      <c r="A495" s="2427"/>
      <c r="C495" s="1163"/>
      <c r="D495" s="1163"/>
      <c r="E495" s="1564"/>
      <c r="F495" s="1163"/>
      <c r="G495" s="1163"/>
      <c r="H495" s="1163"/>
      <c r="I495" s="1163"/>
    </row>
    <row r="496" spans="1:9" s="2422" customFormat="1">
      <c r="A496" s="2427"/>
      <c r="C496" s="1163"/>
      <c r="D496" s="1163"/>
      <c r="E496" s="1564"/>
      <c r="F496" s="1163"/>
      <c r="G496" s="1163"/>
      <c r="H496" s="1163"/>
      <c r="I496" s="1163"/>
    </row>
    <row r="497" spans="1:9" s="2422" customFormat="1">
      <c r="A497" s="2427"/>
      <c r="C497" s="1163"/>
      <c r="D497" s="1163"/>
      <c r="E497" s="1564"/>
      <c r="F497" s="1163"/>
      <c r="G497" s="1163"/>
      <c r="H497" s="1163"/>
      <c r="I497" s="1163"/>
    </row>
    <row r="498" spans="1:9" s="2422" customFormat="1">
      <c r="A498" s="2427"/>
      <c r="C498" s="1163"/>
      <c r="D498" s="1163"/>
      <c r="E498" s="1564"/>
      <c r="F498" s="1163"/>
      <c r="G498" s="1163"/>
      <c r="H498" s="1163"/>
      <c r="I498" s="1163"/>
    </row>
    <row r="499" spans="1:9" s="2422" customFormat="1">
      <c r="A499" s="2427"/>
      <c r="C499" s="1163"/>
      <c r="D499" s="1163"/>
      <c r="E499" s="1564"/>
      <c r="F499" s="1163"/>
      <c r="G499" s="1163"/>
      <c r="H499" s="1163"/>
      <c r="I499" s="1163"/>
    </row>
    <row r="500" spans="1:9" s="2422" customFormat="1">
      <c r="A500" s="2427"/>
      <c r="C500" s="1163"/>
      <c r="D500" s="1163"/>
      <c r="E500" s="1564"/>
      <c r="F500" s="1163"/>
      <c r="G500" s="1163"/>
      <c r="H500" s="1163"/>
      <c r="I500" s="1163"/>
    </row>
    <row r="501" spans="1:9" s="2422" customFormat="1">
      <c r="A501" s="2427"/>
      <c r="C501" s="1163"/>
      <c r="D501" s="1163"/>
      <c r="E501" s="1564"/>
      <c r="F501" s="1163"/>
      <c r="G501" s="1163"/>
      <c r="H501" s="1163"/>
      <c r="I501" s="1163"/>
    </row>
    <row r="502" spans="1:9" s="2422" customFormat="1">
      <c r="A502" s="2427"/>
      <c r="C502" s="1163"/>
      <c r="D502" s="1163"/>
      <c r="E502" s="1564"/>
      <c r="F502" s="1163"/>
      <c r="G502" s="1163"/>
      <c r="H502" s="1163"/>
      <c r="I502" s="1163"/>
    </row>
    <row r="503" spans="1:9" s="2422" customFormat="1">
      <c r="A503" s="2427"/>
      <c r="C503" s="1163"/>
      <c r="D503" s="1163"/>
      <c r="E503" s="1564"/>
      <c r="F503" s="1163"/>
      <c r="G503" s="1163"/>
      <c r="H503" s="1163"/>
      <c r="I503" s="1163"/>
    </row>
    <row r="504" spans="1:9" s="2422" customFormat="1">
      <c r="A504" s="2427"/>
      <c r="C504" s="1163"/>
      <c r="D504" s="1163"/>
      <c r="E504" s="1564"/>
      <c r="F504" s="1163"/>
      <c r="G504" s="1163"/>
      <c r="H504" s="1163"/>
      <c r="I504" s="1163"/>
    </row>
    <row r="505" spans="1:9" s="2422" customFormat="1">
      <c r="A505" s="2427"/>
      <c r="C505" s="1163"/>
      <c r="D505" s="1163"/>
      <c r="E505" s="1564"/>
      <c r="F505" s="1163"/>
      <c r="G505" s="1163"/>
      <c r="H505" s="1163"/>
      <c r="I505" s="1163"/>
    </row>
    <row r="506" spans="1:9" s="2422" customFormat="1">
      <c r="A506" s="2427"/>
      <c r="C506" s="1163"/>
      <c r="D506" s="1163"/>
      <c r="E506" s="1564"/>
      <c r="F506" s="1163"/>
      <c r="G506" s="1163"/>
      <c r="H506" s="1163"/>
      <c r="I506" s="1163"/>
    </row>
    <row r="507" spans="1:9" s="2422" customFormat="1">
      <c r="A507" s="2427"/>
      <c r="C507" s="1163"/>
      <c r="D507" s="1163"/>
      <c r="E507" s="1564"/>
      <c r="F507" s="1163"/>
      <c r="G507" s="1163"/>
      <c r="H507" s="1163"/>
      <c r="I507" s="1163"/>
    </row>
    <row r="508" spans="1:9" s="2422" customFormat="1">
      <c r="A508" s="2427"/>
      <c r="C508" s="1163"/>
      <c r="D508" s="1163"/>
      <c r="E508" s="1564"/>
      <c r="F508" s="1163"/>
      <c r="G508" s="1163"/>
      <c r="H508" s="1163"/>
      <c r="I508" s="1163"/>
    </row>
    <row r="509" spans="1:9" s="2422" customFormat="1">
      <c r="A509" s="2427"/>
      <c r="C509" s="1163"/>
      <c r="D509" s="1163"/>
      <c r="E509" s="1564"/>
      <c r="F509" s="1163"/>
      <c r="G509" s="1163"/>
      <c r="H509" s="1163"/>
      <c r="I509" s="1163"/>
    </row>
    <row r="510" spans="1:9" s="2422" customFormat="1">
      <c r="A510" s="2427"/>
      <c r="C510" s="1163"/>
      <c r="D510" s="1163"/>
      <c r="E510" s="1564"/>
      <c r="F510" s="1163"/>
      <c r="G510" s="1163"/>
      <c r="H510" s="1163"/>
      <c r="I510" s="1163"/>
    </row>
    <row r="511" spans="1:9" s="2422" customFormat="1">
      <c r="A511" s="2427"/>
      <c r="C511" s="1163"/>
      <c r="D511" s="1163"/>
      <c r="E511" s="1564"/>
      <c r="F511" s="1163"/>
      <c r="G511" s="1163"/>
      <c r="H511" s="1163"/>
      <c r="I511" s="1163"/>
    </row>
    <row r="512" spans="1:9" s="2422" customFormat="1">
      <c r="A512" s="2427"/>
      <c r="C512" s="1163"/>
      <c r="D512" s="1163"/>
      <c r="E512" s="1564"/>
      <c r="F512" s="1163"/>
      <c r="G512" s="1163"/>
      <c r="H512" s="1163"/>
      <c r="I512" s="1163"/>
    </row>
    <row r="513" spans="1:9" s="2422" customFormat="1">
      <c r="A513" s="2427"/>
      <c r="C513" s="1163"/>
      <c r="D513" s="1163"/>
      <c r="E513" s="1564"/>
      <c r="F513" s="1163"/>
      <c r="G513" s="1163"/>
      <c r="H513" s="1163"/>
      <c r="I513" s="1163"/>
    </row>
    <row r="514" spans="1:9" s="2422" customFormat="1">
      <c r="A514" s="2427"/>
      <c r="C514" s="1163"/>
      <c r="D514" s="1163"/>
      <c r="E514" s="1564"/>
      <c r="F514" s="1163"/>
      <c r="G514" s="1163"/>
      <c r="H514" s="1163"/>
      <c r="I514" s="1163"/>
    </row>
    <row r="515" spans="1:9" s="2422" customFormat="1">
      <c r="A515" s="2427"/>
      <c r="C515" s="1163"/>
      <c r="D515" s="1163"/>
      <c r="E515" s="1564"/>
      <c r="F515" s="1163"/>
      <c r="G515" s="1163"/>
      <c r="H515" s="1163"/>
      <c r="I515" s="1163"/>
    </row>
    <row r="516" spans="1:9" s="2422" customFormat="1">
      <c r="A516" s="2427"/>
      <c r="C516" s="1163"/>
      <c r="D516" s="1163"/>
      <c r="E516" s="1564"/>
      <c r="F516" s="1163"/>
      <c r="G516" s="1163"/>
      <c r="H516" s="1163"/>
      <c r="I516" s="1163"/>
    </row>
    <row r="517" spans="1:9" s="2422" customFormat="1">
      <c r="A517" s="2427"/>
      <c r="C517" s="1163"/>
      <c r="D517" s="1163"/>
      <c r="E517" s="1564"/>
      <c r="F517" s="1163"/>
      <c r="G517" s="1163"/>
      <c r="H517" s="1163"/>
      <c r="I517" s="1163"/>
    </row>
    <row r="518" spans="1:9" s="2422" customFormat="1">
      <c r="A518" s="2427"/>
      <c r="C518" s="1163"/>
      <c r="D518" s="1163"/>
      <c r="E518" s="1564"/>
      <c r="F518" s="1163"/>
      <c r="G518" s="1163"/>
      <c r="H518" s="1163"/>
      <c r="I518" s="1163"/>
    </row>
    <row r="519" spans="1:9" s="2422" customFormat="1">
      <c r="A519" s="2427"/>
      <c r="C519" s="1163"/>
      <c r="D519" s="1163"/>
      <c r="E519" s="1564"/>
      <c r="F519" s="1163"/>
      <c r="G519" s="1163"/>
      <c r="H519" s="1163"/>
      <c r="I519" s="1163"/>
    </row>
    <row r="520" spans="1:9" s="2422" customFormat="1">
      <c r="A520" s="2427"/>
      <c r="C520" s="1163"/>
      <c r="D520" s="1163"/>
      <c r="E520" s="1564"/>
      <c r="F520" s="1163"/>
      <c r="G520" s="1163"/>
      <c r="H520" s="1163"/>
      <c r="I520" s="1163"/>
    </row>
    <row r="521" spans="1:9" s="2422" customFormat="1">
      <c r="A521" s="2427"/>
      <c r="C521" s="1163"/>
      <c r="D521" s="1163"/>
      <c r="E521" s="1564"/>
      <c r="F521" s="1163"/>
      <c r="G521" s="1163"/>
      <c r="H521" s="1163"/>
      <c r="I521" s="1163"/>
    </row>
    <row r="522" spans="1:9" s="2422" customFormat="1">
      <c r="A522" s="2427"/>
      <c r="C522" s="1163"/>
      <c r="D522" s="1163"/>
      <c r="E522" s="1564"/>
      <c r="F522" s="1163"/>
      <c r="G522" s="1163"/>
      <c r="H522" s="1163"/>
      <c r="I522" s="1163"/>
    </row>
    <row r="523" spans="1:9" s="2422" customFormat="1">
      <c r="A523" s="2427"/>
      <c r="C523" s="1163"/>
      <c r="D523" s="1163"/>
      <c r="E523" s="1564"/>
      <c r="F523" s="1163"/>
      <c r="G523" s="1163"/>
      <c r="H523" s="1163"/>
      <c r="I523" s="1163"/>
    </row>
    <row r="524" spans="1:9" s="2422" customFormat="1">
      <c r="A524" s="2427"/>
      <c r="C524" s="1163"/>
      <c r="D524" s="1163"/>
      <c r="E524" s="1564"/>
      <c r="F524" s="1163"/>
      <c r="G524" s="1163"/>
      <c r="H524" s="1163"/>
      <c r="I524" s="1163"/>
    </row>
    <row r="525" spans="1:9" s="2422" customFormat="1">
      <c r="A525" s="2427"/>
      <c r="C525" s="1163"/>
      <c r="D525" s="1163"/>
      <c r="E525" s="1564"/>
      <c r="F525" s="1163"/>
      <c r="G525" s="1163"/>
      <c r="H525" s="1163"/>
      <c r="I525" s="1163"/>
    </row>
    <row r="526" spans="1:9" s="2422" customFormat="1">
      <c r="A526" s="2427"/>
      <c r="C526" s="1163"/>
      <c r="D526" s="1163"/>
      <c r="E526" s="1564"/>
      <c r="F526" s="1163"/>
      <c r="G526" s="1163"/>
      <c r="H526" s="1163"/>
      <c r="I526" s="1163"/>
    </row>
    <row r="527" spans="1:9" s="2422" customFormat="1">
      <c r="A527" s="2427"/>
      <c r="C527" s="1163"/>
      <c r="D527" s="1163"/>
      <c r="E527" s="1564"/>
      <c r="F527" s="1163"/>
      <c r="G527" s="1163"/>
      <c r="H527" s="1163"/>
      <c r="I527" s="1163"/>
    </row>
    <row r="528" spans="1:9" s="2422" customFormat="1">
      <c r="A528" s="2427"/>
      <c r="C528" s="1163"/>
      <c r="D528" s="1163"/>
      <c r="E528" s="1564"/>
      <c r="F528" s="1163"/>
      <c r="G528" s="1163"/>
      <c r="H528" s="1163"/>
      <c r="I528" s="1163"/>
    </row>
    <row r="529" spans="1:9" s="2422" customFormat="1">
      <c r="A529" s="2427"/>
      <c r="C529" s="1163"/>
      <c r="D529" s="1163"/>
      <c r="E529" s="1564"/>
      <c r="F529" s="1163"/>
      <c r="G529" s="1163"/>
      <c r="H529" s="1163"/>
      <c r="I529" s="1163"/>
    </row>
    <row r="530" spans="1:9" s="2422" customFormat="1">
      <c r="A530" s="2427"/>
      <c r="C530" s="1163"/>
      <c r="D530" s="1163"/>
      <c r="E530" s="1564"/>
      <c r="F530" s="1163"/>
      <c r="G530" s="1163"/>
      <c r="H530" s="1163"/>
      <c r="I530" s="1163"/>
    </row>
    <row r="531" spans="1:9" s="2422" customFormat="1">
      <c r="A531" s="2427"/>
      <c r="C531" s="1163"/>
      <c r="D531" s="1163"/>
      <c r="E531" s="1564"/>
      <c r="F531" s="1163"/>
      <c r="G531" s="1163"/>
      <c r="H531" s="1163"/>
      <c r="I531" s="1163"/>
    </row>
    <row r="532" spans="1:9" s="2422" customFormat="1">
      <c r="A532" s="2427"/>
      <c r="C532" s="1163"/>
      <c r="D532" s="1163"/>
      <c r="E532" s="1564"/>
      <c r="F532" s="1163"/>
      <c r="G532" s="1163"/>
      <c r="H532" s="1163"/>
      <c r="I532" s="1163"/>
    </row>
    <row r="533" spans="1:9" s="2422" customFormat="1">
      <c r="A533" s="2427"/>
      <c r="C533" s="1163"/>
      <c r="D533" s="1163"/>
      <c r="E533" s="1564"/>
      <c r="F533" s="1163"/>
      <c r="G533" s="1163"/>
      <c r="H533" s="1163"/>
      <c r="I533" s="1163"/>
    </row>
    <row r="534" spans="1:9" s="2422" customFormat="1">
      <c r="A534" s="2427"/>
      <c r="C534" s="1163"/>
      <c r="D534" s="1163"/>
      <c r="E534" s="1564"/>
      <c r="F534" s="1163"/>
      <c r="G534" s="1163"/>
      <c r="H534" s="1163"/>
      <c r="I534" s="1163"/>
    </row>
    <row r="535" spans="1:9" s="2422" customFormat="1">
      <c r="A535" s="2427"/>
      <c r="C535" s="1163"/>
      <c r="D535" s="1163"/>
      <c r="E535" s="1564"/>
      <c r="F535" s="1163"/>
      <c r="G535" s="1163"/>
      <c r="H535" s="1163"/>
      <c r="I535" s="1163"/>
    </row>
    <row r="536" spans="1:9" s="2422" customFormat="1">
      <c r="A536" s="2427"/>
      <c r="C536" s="1163"/>
      <c r="D536" s="1163"/>
      <c r="E536" s="1564"/>
      <c r="F536" s="1163"/>
      <c r="G536" s="1163"/>
      <c r="H536" s="1163"/>
      <c r="I536" s="1163"/>
    </row>
    <row r="537" spans="1:9" s="2422" customFormat="1">
      <c r="A537" s="2427"/>
      <c r="C537" s="1163"/>
      <c r="D537" s="1163"/>
      <c r="E537" s="1564"/>
      <c r="F537" s="1163"/>
      <c r="G537" s="1163"/>
      <c r="H537" s="1163"/>
      <c r="I537" s="1163"/>
    </row>
    <row r="538" spans="1:9" s="2422" customFormat="1">
      <c r="A538" s="2427"/>
      <c r="C538" s="1163"/>
      <c r="D538" s="1163"/>
      <c r="E538" s="1564"/>
      <c r="F538" s="1163"/>
      <c r="G538" s="1163"/>
      <c r="H538" s="1163"/>
      <c r="I538" s="1163"/>
    </row>
    <row r="539" spans="1:9" s="2422" customFormat="1">
      <c r="A539" s="2427"/>
      <c r="C539" s="1163"/>
      <c r="D539" s="1163"/>
      <c r="E539" s="1564"/>
      <c r="F539" s="1163"/>
      <c r="G539" s="1163"/>
      <c r="H539" s="1163"/>
      <c r="I539" s="1163"/>
    </row>
    <row r="540" spans="1:9" s="2422" customFormat="1">
      <c r="A540" s="2427"/>
      <c r="C540" s="1163"/>
      <c r="D540" s="1163"/>
      <c r="E540" s="1564"/>
      <c r="F540" s="1163"/>
      <c r="G540" s="1163"/>
      <c r="H540" s="1163"/>
      <c r="I540" s="1163"/>
    </row>
    <row r="541" spans="1:9" s="2422" customFormat="1">
      <c r="A541" s="2427"/>
      <c r="C541" s="1163"/>
      <c r="D541" s="1163"/>
      <c r="E541" s="1564"/>
      <c r="F541" s="1163"/>
      <c r="G541" s="1163"/>
      <c r="H541" s="1163"/>
      <c r="I541" s="1163"/>
    </row>
    <row r="542" spans="1:9" s="2422" customFormat="1">
      <c r="A542" s="2427"/>
      <c r="C542" s="1163"/>
      <c r="D542" s="1163"/>
      <c r="E542" s="1564"/>
      <c r="F542" s="1163"/>
      <c r="G542" s="1163"/>
      <c r="H542" s="1163"/>
      <c r="I542" s="1163"/>
    </row>
    <row r="543" spans="1:9" s="2422" customFormat="1">
      <c r="A543" s="2427"/>
      <c r="C543" s="1163"/>
      <c r="D543" s="1163"/>
      <c r="E543" s="1564"/>
      <c r="F543" s="1163"/>
      <c r="G543" s="1163"/>
      <c r="H543" s="1163"/>
      <c r="I543" s="1163"/>
    </row>
    <row r="544" spans="1:9" s="2422" customFormat="1">
      <c r="A544" s="2427"/>
      <c r="C544" s="1163"/>
      <c r="D544" s="1163"/>
      <c r="E544" s="1564"/>
      <c r="F544" s="1163"/>
      <c r="G544" s="1163"/>
      <c r="H544" s="1163"/>
      <c r="I544" s="1163"/>
    </row>
    <row r="545" spans="1:9" s="2422" customFormat="1">
      <c r="A545" s="2427"/>
      <c r="C545" s="1163"/>
      <c r="D545" s="1163"/>
      <c r="E545" s="1564"/>
      <c r="F545" s="1163"/>
      <c r="G545" s="1163"/>
      <c r="H545" s="1163"/>
      <c r="I545" s="1163"/>
    </row>
    <row r="546" spans="1:9" s="2422" customFormat="1">
      <c r="A546" s="2427"/>
      <c r="C546" s="1163"/>
      <c r="D546" s="1163"/>
      <c r="E546" s="1564"/>
      <c r="F546" s="1163"/>
      <c r="G546" s="1163"/>
      <c r="H546" s="1163"/>
      <c r="I546" s="1163"/>
    </row>
    <row r="547" spans="1:9" s="2422" customFormat="1">
      <c r="A547" s="2427"/>
      <c r="C547" s="1163"/>
      <c r="D547" s="1163"/>
      <c r="E547" s="1564"/>
      <c r="F547" s="1163"/>
      <c r="G547" s="1163"/>
      <c r="H547" s="1163"/>
      <c r="I547" s="1163"/>
    </row>
    <row r="548" spans="1:9" s="2422" customFormat="1">
      <c r="A548" s="2427"/>
      <c r="C548" s="1163"/>
      <c r="D548" s="1163"/>
      <c r="E548" s="1564"/>
      <c r="F548" s="1163"/>
      <c r="G548" s="1163"/>
      <c r="H548" s="1163"/>
      <c r="I548" s="1163"/>
    </row>
    <row r="549" spans="1:9" s="2422" customFormat="1">
      <c r="A549" s="2427"/>
      <c r="C549" s="1163"/>
      <c r="D549" s="1163"/>
      <c r="E549" s="1564"/>
      <c r="F549" s="1163"/>
      <c r="G549" s="1163"/>
      <c r="H549" s="1163"/>
      <c r="I549" s="1163"/>
    </row>
    <row r="550" spans="1:9" s="2422" customFormat="1">
      <c r="A550" s="2427"/>
      <c r="C550" s="1163"/>
      <c r="D550" s="1163"/>
      <c r="E550" s="1564"/>
      <c r="F550" s="1163"/>
      <c r="G550" s="1163"/>
      <c r="H550" s="1163"/>
      <c r="I550" s="1163"/>
    </row>
    <row r="551" spans="1:9" s="2422" customFormat="1">
      <c r="A551" s="2427"/>
      <c r="C551" s="1163"/>
      <c r="D551" s="1163"/>
      <c r="E551" s="1564"/>
      <c r="F551" s="1163"/>
      <c r="G551" s="1163"/>
      <c r="H551" s="1163"/>
      <c r="I551" s="1163"/>
    </row>
    <row r="552" spans="1:9" s="2422" customFormat="1">
      <c r="A552" s="2427"/>
      <c r="C552" s="1163"/>
      <c r="D552" s="1163"/>
      <c r="E552" s="1564"/>
      <c r="F552" s="1163"/>
      <c r="G552" s="1163"/>
      <c r="H552" s="1163"/>
      <c r="I552" s="1163"/>
    </row>
    <row r="553" spans="1:9" s="2422" customFormat="1">
      <c r="A553" s="2427"/>
      <c r="C553" s="1163"/>
      <c r="D553" s="1163"/>
      <c r="E553" s="1564"/>
      <c r="F553" s="1163"/>
      <c r="G553" s="1163"/>
      <c r="H553" s="1163"/>
      <c r="I553" s="1163"/>
    </row>
    <row r="554" spans="1:9" s="2422" customFormat="1">
      <c r="A554" s="2427"/>
      <c r="C554" s="1163"/>
      <c r="D554" s="1163"/>
      <c r="E554" s="1564"/>
      <c r="F554" s="1163"/>
      <c r="G554" s="1163"/>
      <c r="H554" s="1163"/>
      <c r="I554" s="1163"/>
    </row>
    <row r="555" spans="1:9" s="2422" customFormat="1">
      <c r="A555" s="2427"/>
      <c r="C555" s="1163"/>
      <c r="D555" s="1163"/>
      <c r="E555" s="1564"/>
      <c r="F555" s="1163"/>
      <c r="G555" s="1163"/>
      <c r="H555" s="1163"/>
      <c r="I555" s="1163"/>
    </row>
    <row r="556" spans="1:9" s="2422" customFormat="1">
      <c r="A556" s="2427"/>
      <c r="C556" s="1163"/>
      <c r="D556" s="1163"/>
      <c r="E556" s="1564"/>
      <c r="F556" s="1163"/>
      <c r="G556" s="1163"/>
      <c r="H556" s="1163"/>
      <c r="I556" s="1163"/>
    </row>
    <row r="557" spans="1:9" s="2422" customFormat="1">
      <c r="A557" s="2427"/>
      <c r="C557" s="1163"/>
      <c r="D557" s="1163"/>
      <c r="E557" s="1564"/>
      <c r="F557" s="1163"/>
      <c r="G557" s="1163"/>
      <c r="H557" s="1163"/>
      <c r="I557" s="1163"/>
    </row>
    <row r="558" spans="1:9" s="2422" customFormat="1">
      <c r="A558" s="2427"/>
      <c r="C558" s="1163"/>
      <c r="D558" s="1163"/>
      <c r="E558" s="1564"/>
      <c r="F558" s="1163"/>
      <c r="G558" s="1163"/>
      <c r="H558" s="1163"/>
      <c r="I558" s="1163"/>
    </row>
    <row r="559" spans="1:9" s="2422" customFormat="1">
      <c r="A559" s="2427"/>
      <c r="C559" s="1163"/>
      <c r="D559" s="1163"/>
      <c r="E559" s="1564"/>
      <c r="F559" s="1163"/>
      <c r="G559" s="1163"/>
      <c r="H559" s="1163"/>
      <c r="I559" s="1163"/>
    </row>
    <row r="560" spans="1:9" s="2422" customFormat="1">
      <c r="A560" s="2427"/>
      <c r="C560" s="1163"/>
      <c r="D560" s="1163"/>
      <c r="E560" s="1564"/>
      <c r="F560" s="1163"/>
      <c r="G560" s="1163"/>
      <c r="H560" s="1163"/>
      <c r="I560" s="1163"/>
    </row>
    <row r="561" spans="1:9" s="2422" customFormat="1">
      <c r="A561" s="2427"/>
      <c r="C561" s="1163"/>
      <c r="D561" s="1163"/>
      <c r="E561" s="1564"/>
      <c r="F561" s="1163"/>
      <c r="G561" s="1163"/>
      <c r="H561" s="1163"/>
      <c r="I561" s="1163"/>
    </row>
    <row r="562" spans="1:9" s="2422" customFormat="1">
      <c r="A562" s="2427"/>
      <c r="C562" s="1163"/>
      <c r="D562" s="1163"/>
      <c r="E562" s="1564"/>
      <c r="F562" s="1163"/>
      <c r="G562" s="1163"/>
      <c r="H562" s="1163"/>
      <c r="I562" s="1163"/>
    </row>
    <row r="563" spans="1:9" s="2422" customFormat="1">
      <c r="A563" s="2427"/>
      <c r="C563" s="1163"/>
      <c r="D563" s="1163"/>
      <c r="E563" s="1564"/>
      <c r="F563" s="1163"/>
      <c r="G563" s="1163"/>
      <c r="H563" s="1163"/>
      <c r="I563" s="1163"/>
    </row>
    <row r="564" spans="1:9" s="2422" customFormat="1">
      <c r="A564" s="2427"/>
      <c r="C564" s="1163"/>
      <c r="D564" s="1163"/>
      <c r="E564" s="1564"/>
      <c r="F564" s="1163"/>
      <c r="G564" s="1163"/>
      <c r="H564" s="1163"/>
      <c r="I564" s="1163"/>
    </row>
    <row r="565" spans="1:9" s="2422" customFormat="1">
      <c r="A565" s="2427"/>
      <c r="C565" s="1163"/>
      <c r="D565" s="1163"/>
      <c r="E565" s="1564"/>
      <c r="F565" s="1163"/>
      <c r="G565" s="1163"/>
      <c r="H565" s="1163"/>
      <c r="I565" s="1163"/>
    </row>
    <row r="566" spans="1:9" s="2422" customFormat="1">
      <c r="A566" s="2427"/>
      <c r="C566" s="1163"/>
      <c r="D566" s="1163"/>
      <c r="E566" s="1564"/>
      <c r="F566" s="1163"/>
      <c r="G566" s="1163"/>
      <c r="H566" s="1163"/>
      <c r="I566" s="1163"/>
    </row>
    <row r="567" spans="1:9" s="2422" customFormat="1">
      <c r="A567" s="2427"/>
      <c r="C567" s="1163"/>
      <c r="D567" s="1163"/>
      <c r="E567" s="1564"/>
      <c r="F567" s="1163"/>
      <c r="G567" s="1163"/>
      <c r="H567" s="1163"/>
      <c r="I567" s="1163"/>
    </row>
    <row r="568" spans="1:9" s="2422" customFormat="1">
      <c r="A568" s="2427"/>
      <c r="C568" s="1163"/>
      <c r="D568" s="1163"/>
      <c r="E568" s="1564"/>
      <c r="F568" s="1163"/>
      <c r="G568" s="1163"/>
      <c r="H568" s="1163"/>
      <c r="I568" s="1163"/>
    </row>
    <row r="569" spans="1:9" s="2422" customFormat="1">
      <c r="A569" s="2427"/>
      <c r="C569" s="1163"/>
      <c r="D569" s="1163"/>
      <c r="E569" s="1564"/>
      <c r="F569" s="1163"/>
      <c r="G569" s="1163"/>
      <c r="H569" s="1163"/>
      <c r="I569" s="1163"/>
    </row>
    <row r="570" spans="1:9" s="2422" customFormat="1">
      <c r="A570" s="2427"/>
      <c r="C570" s="1163"/>
      <c r="D570" s="1163"/>
      <c r="E570" s="1564"/>
      <c r="F570" s="1163"/>
      <c r="G570" s="1163"/>
      <c r="H570" s="1163"/>
      <c r="I570" s="1163"/>
    </row>
    <row r="571" spans="1:9" s="2422" customFormat="1">
      <c r="A571" s="2427"/>
      <c r="C571" s="1163"/>
      <c r="D571" s="1163"/>
      <c r="E571" s="1564"/>
      <c r="F571" s="1163"/>
      <c r="G571" s="1163"/>
      <c r="H571" s="1163"/>
      <c r="I571" s="1163"/>
    </row>
    <row r="572" spans="1:9" s="2422" customFormat="1">
      <c r="A572" s="2427"/>
      <c r="C572" s="1163"/>
      <c r="D572" s="1163"/>
      <c r="E572" s="1564"/>
      <c r="F572" s="1163"/>
      <c r="G572" s="1163"/>
      <c r="H572" s="1163"/>
      <c r="I572" s="1163"/>
    </row>
    <row r="573" spans="1:9" s="2422" customFormat="1">
      <c r="A573" s="2427"/>
      <c r="C573" s="1163"/>
      <c r="D573" s="1163"/>
      <c r="E573" s="1564"/>
      <c r="F573" s="1163"/>
      <c r="G573" s="1163"/>
      <c r="H573" s="1163"/>
      <c r="I573" s="1163"/>
    </row>
    <row r="574" spans="1:9" s="2422" customFormat="1">
      <c r="A574" s="2427"/>
      <c r="C574" s="1163"/>
      <c r="D574" s="1163"/>
      <c r="E574" s="1564"/>
      <c r="F574" s="1163"/>
      <c r="G574" s="1163"/>
      <c r="H574" s="1163"/>
      <c r="I574" s="1163"/>
    </row>
    <row r="575" spans="1:9" s="2422" customFormat="1">
      <c r="A575" s="2427"/>
      <c r="C575" s="1163"/>
      <c r="D575" s="1163"/>
      <c r="E575" s="1564"/>
      <c r="F575" s="1163"/>
      <c r="G575" s="1163"/>
      <c r="H575" s="1163"/>
      <c r="I575" s="1163"/>
    </row>
    <row r="576" spans="1:9" s="2422" customFormat="1">
      <c r="A576" s="2427"/>
      <c r="C576" s="1163"/>
      <c r="D576" s="1163"/>
      <c r="E576" s="1564"/>
      <c r="F576" s="1163"/>
      <c r="G576" s="1163"/>
      <c r="H576" s="1163"/>
      <c r="I576" s="1163"/>
    </row>
    <row r="577" spans="1:9" s="2422" customFormat="1">
      <c r="A577" s="2427"/>
      <c r="C577" s="1163"/>
      <c r="D577" s="1163"/>
      <c r="E577" s="1564"/>
      <c r="F577" s="1163"/>
      <c r="G577" s="1163"/>
      <c r="H577" s="1163"/>
      <c r="I577" s="1163"/>
    </row>
    <row r="578" spans="1:9" s="2422" customFormat="1">
      <c r="A578" s="2427"/>
      <c r="C578" s="1163"/>
      <c r="D578" s="1163"/>
      <c r="E578" s="1564"/>
      <c r="F578" s="1163"/>
      <c r="G578" s="1163"/>
      <c r="H578" s="1163"/>
      <c r="I578" s="1163"/>
    </row>
    <row r="579" spans="1:9" s="2422" customFormat="1">
      <c r="A579" s="2427"/>
      <c r="C579" s="1163"/>
      <c r="D579" s="1163"/>
      <c r="E579" s="1564"/>
      <c r="F579" s="1163"/>
      <c r="G579" s="1163"/>
      <c r="H579" s="1163"/>
      <c r="I579" s="1163"/>
    </row>
    <row r="580" spans="1:9" s="2422" customFormat="1">
      <c r="A580" s="2427"/>
      <c r="C580" s="1163"/>
      <c r="D580" s="1163"/>
      <c r="E580" s="1564"/>
      <c r="F580" s="1163"/>
      <c r="G580" s="1163"/>
      <c r="H580" s="1163"/>
      <c r="I580" s="1163"/>
    </row>
    <row r="581" spans="1:9" s="2422" customFormat="1">
      <c r="A581" s="2427"/>
      <c r="C581" s="1163"/>
      <c r="D581" s="1163"/>
      <c r="E581" s="1564"/>
      <c r="F581" s="1163"/>
      <c r="G581" s="1163"/>
      <c r="H581" s="1163"/>
      <c r="I581" s="1163"/>
    </row>
    <row r="582" spans="1:9" s="2422" customFormat="1">
      <c r="A582" s="2427"/>
      <c r="C582" s="1163"/>
      <c r="D582" s="1163"/>
      <c r="E582" s="1564"/>
      <c r="F582" s="1163"/>
      <c r="G582" s="1163"/>
      <c r="H582" s="1163"/>
      <c r="I582" s="1163"/>
    </row>
    <row r="583" spans="1:9" s="2422" customFormat="1">
      <c r="A583" s="2427"/>
      <c r="C583" s="1163"/>
      <c r="D583" s="1163"/>
      <c r="E583" s="1564"/>
      <c r="F583" s="1163"/>
      <c r="G583" s="1163"/>
      <c r="H583" s="1163"/>
      <c r="I583" s="1163"/>
    </row>
    <row r="584" spans="1:9" s="2422" customFormat="1">
      <c r="A584" s="2427"/>
      <c r="C584" s="1163"/>
      <c r="D584" s="1163"/>
      <c r="E584" s="1564"/>
      <c r="F584" s="1163"/>
      <c r="G584" s="1163"/>
      <c r="H584" s="1163"/>
      <c r="I584" s="1163"/>
    </row>
    <row r="585" spans="1:9" s="2422" customFormat="1">
      <c r="A585" s="2427"/>
      <c r="C585" s="1163"/>
      <c r="D585" s="1163"/>
      <c r="E585" s="1564"/>
      <c r="F585" s="1163"/>
      <c r="G585" s="1163"/>
      <c r="H585" s="1163"/>
      <c r="I585" s="1163"/>
    </row>
    <row r="586" spans="1:9" s="2422" customFormat="1">
      <c r="A586" s="2427"/>
      <c r="C586" s="1163"/>
      <c r="D586" s="1163"/>
      <c r="E586" s="1564"/>
      <c r="F586" s="1163"/>
      <c r="G586" s="1163"/>
      <c r="H586" s="1163"/>
      <c r="I586" s="1163"/>
    </row>
    <row r="587" spans="1:9" s="2422" customFormat="1">
      <c r="A587" s="2427"/>
      <c r="C587" s="1163"/>
      <c r="D587" s="1163"/>
      <c r="E587" s="1564"/>
      <c r="F587" s="1163"/>
      <c r="G587" s="1163"/>
      <c r="H587" s="1163"/>
      <c r="I587" s="1163"/>
    </row>
    <row r="588" spans="1:9" s="2422" customFormat="1">
      <c r="A588" s="2427"/>
      <c r="C588" s="1163"/>
      <c r="D588" s="1163"/>
      <c r="E588" s="1564"/>
      <c r="F588" s="1163"/>
      <c r="G588" s="1163"/>
      <c r="H588" s="1163"/>
      <c r="I588" s="1163"/>
    </row>
    <row r="589" spans="1:9" s="2422" customFormat="1">
      <c r="A589" s="2427"/>
      <c r="C589" s="1163"/>
      <c r="D589" s="1163"/>
      <c r="E589" s="1564"/>
      <c r="F589" s="1163"/>
      <c r="G589" s="1163"/>
      <c r="H589" s="1163"/>
      <c r="I589" s="1163"/>
    </row>
    <row r="590" spans="1:9" s="2422" customFormat="1">
      <c r="A590" s="2427"/>
      <c r="C590" s="1163"/>
      <c r="D590" s="1163"/>
      <c r="E590" s="1564"/>
      <c r="F590" s="1163"/>
      <c r="G590" s="1163"/>
      <c r="H590" s="1163"/>
      <c r="I590" s="1163"/>
    </row>
    <row r="591" spans="1:9" s="2422" customFormat="1">
      <c r="A591" s="2427"/>
      <c r="C591" s="1163"/>
      <c r="D591" s="1163"/>
      <c r="E591" s="1564"/>
      <c r="F591" s="1163"/>
      <c r="G591" s="1163"/>
      <c r="H591" s="1163"/>
      <c r="I591" s="1163"/>
    </row>
    <row r="592" spans="1:9" s="2422" customFormat="1">
      <c r="A592" s="2427"/>
      <c r="C592" s="1163"/>
      <c r="D592" s="1163"/>
      <c r="E592" s="1564"/>
      <c r="F592" s="1163"/>
      <c r="G592" s="1163"/>
      <c r="H592" s="1163"/>
      <c r="I592" s="1163"/>
    </row>
    <row r="593" spans="1:9" s="2422" customFormat="1">
      <c r="A593" s="2427"/>
      <c r="C593" s="1163"/>
      <c r="D593" s="1163"/>
      <c r="E593" s="1564"/>
      <c r="F593" s="1163"/>
      <c r="G593" s="1163"/>
      <c r="H593" s="1163"/>
      <c r="I593" s="1163"/>
    </row>
    <row r="594" spans="1:9" s="2422" customFormat="1">
      <c r="A594" s="2427"/>
      <c r="C594" s="1163"/>
      <c r="D594" s="1163"/>
      <c r="E594" s="1564"/>
      <c r="F594" s="1163"/>
      <c r="G594" s="1163"/>
      <c r="H594" s="1163"/>
      <c r="I594" s="1163"/>
    </row>
    <row r="595" spans="1:9" s="2422" customFormat="1">
      <c r="A595" s="2427"/>
      <c r="C595" s="1163"/>
      <c r="D595" s="1163"/>
      <c r="E595" s="1564"/>
      <c r="F595" s="1163"/>
      <c r="G595" s="1163"/>
      <c r="H595" s="1163"/>
      <c r="I595" s="1163"/>
    </row>
    <row r="596" spans="1:9" s="2422" customFormat="1">
      <c r="A596" s="2427"/>
      <c r="C596" s="1163"/>
      <c r="D596" s="1163"/>
      <c r="E596" s="1564"/>
      <c r="F596" s="1163"/>
      <c r="G596" s="1163"/>
      <c r="H596" s="1163"/>
      <c r="I596" s="1163"/>
    </row>
    <row r="597" spans="1:9" s="2422" customFormat="1">
      <c r="A597" s="2427"/>
      <c r="C597" s="1163"/>
      <c r="D597" s="1163"/>
      <c r="E597" s="1564"/>
      <c r="F597" s="1163"/>
      <c r="G597" s="1163"/>
      <c r="H597" s="1163"/>
      <c r="I597" s="1163"/>
    </row>
    <row r="598" spans="1:9" s="2422" customFormat="1">
      <c r="A598" s="2427"/>
      <c r="C598" s="1163"/>
      <c r="D598" s="1163"/>
      <c r="E598" s="1564"/>
      <c r="F598" s="1163"/>
      <c r="G598" s="1163"/>
      <c r="H598" s="1163"/>
      <c r="I598" s="1163"/>
    </row>
    <row r="599" spans="1:9" s="2422" customFormat="1">
      <c r="A599" s="2427"/>
      <c r="C599" s="1163"/>
      <c r="D599" s="1163"/>
      <c r="E599" s="1564"/>
      <c r="F599" s="1163"/>
      <c r="G599" s="1163"/>
      <c r="H599" s="1163"/>
      <c r="I599" s="1163"/>
    </row>
    <row r="600" spans="1:9" s="2422" customFormat="1">
      <c r="A600" s="2427"/>
      <c r="C600" s="1163"/>
      <c r="D600" s="1163"/>
      <c r="E600" s="1564"/>
      <c r="F600" s="1163"/>
      <c r="G600" s="1163"/>
      <c r="H600" s="1163"/>
      <c r="I600" s="1163"/>
    </row>
    <row r="601" spans="1:9" s="2422" customFormat="1">
      <c r="A601" s="2427"/>
      <c r="C601" s="1163"/>
      <c r="D601" s="1163"/>
      <c r="E601" s="1564"/>
      <c r="F601" s="1163"/>
      <c r="G601" s="1163"/>
      <c r="H601" s="1163"/>
      <c r="I601" s="1163"/>
    </row>
    <row r="602" spans="1:9" s="2422" customFormat="1">
      <c r="A602" s="2427"/>
      <c r="C602" s="1163"/>
      <c r="D602" s="1163"/>
      <c r="E602" s="1564"/>
      <c r="F602" s="1163"/>
      <c r="G602" s="1163"/>
      <c r="H602" s="1163"/>
      <c r="I602" s="1163"/>
    </row>
    <row r="603" spans="1:9" s="2422" customFormat="1">
      <c r="A603" s="2427"/>
      <c r="C603" s="1163"/>
      <c r="D603" s="1163"/>
      <c r="E603" s="1564"/>
      <c r="F603" s="1163"/>
      <c r="G603" s="1163"/>
      <c r="H603" s="1163"/>
      <c r="I603" s="1163"/>
    </row>
    <row r="604" spans="1:9" s="2422" customFormat="1">
      <c r="A604" s="2427"/>
      <c r="C604" s="1163"/>
      <c r="D604" s="1163"/>
      <c r="E604" s="1564"/>
      <c r="F604" s="1163"/>
      <c r="G604" s="1163"/>
      <c r="H604" s="1163"/>
      <c r="I604" s="1163"/>
    </row>
    <row r="605" spans="1:9" s="2422" customFormat="1">
      <c r="A605" s="2427"/>
      <c r="C605" s="1163"/>
      <c r="D605" s="1163"/>
      <c r="E605" s="1564"/>
      <c r="F605" s="1163"/>
      <c r="G605" s="1163"/>
      <c r="H605" s="1163"/>
      <c r="I605" s="1163"/>
    </row>
    <row r="606" spans="1:9" s="2422" customFormat="1">
      <c r="A606" s="2427"/>
      <c r="C606" s="1163"/>
      <c r="D606" s="1163"/>
      <c r="E606" s="1564"/>
      <c r="F606" s="1163"/>
      <c r="G606" s="1163"/>
      <c r="H606" s="1163"/>
      <c r="I606" s="1163"/>
    </row>
    <row r="607" spans="1:9" s="2422" customFormat="1">
      <c r="A607" s="2427"/>
      <c r="C607" s="1163"/>
      <c r="D607" s="1163"/>
      <c r="E607" s="1564"/>
      <c r="F607" s="1163"/>
      <c r="G607" s="1163"/>
      <c r="H607" s="1163"/>
      <c r="I607" s="1163"/>
    </row>
    <row r="608" spans="1:9" s="2422" customFormat="1">
      <c r="A608" s="2427"/>
      <c r="C608" s="1163"/>
      <c r="D608" s="1163"/>
      <c r="E608" s="1564"/>
      <c r="F608" s="1163"/>
      <c r="G608" s="1163"/>
      <c r="H608" s="1163"/>
      <c r="I608" s="1163"/>
    </row>
    <row r="609" spans="1:9" s="2422" customFormat="1">
      <c r="A609" s="2427"/>
      <c r="C609" s="1163"/>
      <c r="D609" s="1163"/>
      <c r="E609" s="1564"/>
      <c r="F609" s="1163"/>
      <c r="G609" s="1163"/>
      <c r="H609" s="1163"/>
      <c r="I609" s="1163"/>
    </row>
    <row r="610" spans="1:9" s="2422" customFormat="1">
      <c r="A610" s="2427"/>
      <c r="C610" s="1163"/>
      <c r="D610" s="1163"/>
      <c r="E610" s="1564"/>
      <c r="F610" s="1163"/>
      <c r="G610" s="1163"/>
      <c r="H610" s="1163"/>
      <c r="I610" s="1163"/>
    </row>
    <row r="611" spans="1:9" s="2422" customFormat="1">
      <c r="A611" s="2427"/>
      <c r="C611" s="1163"/>
      <c r="D611" s="1163"/>
      <c r="E611" s="1564"/>
      <c r="F611" s="1163"/>
      <c r="G611" s="1163"/>
      <c r="H611" s="1163"/>
      <c r="I611" s="1163"/>
    </row>
    <row r="612" spans="1:9" s="2422" customFormat="1">
      <c r="A612" s="2427"/>
      <c r="C612" s="1163"/>
      <c r="D612" s="1163"/>
      <c r="E612" s="1564"/>
      <c r="F612" s="1163"/>
      <c r="G612" s="1163"/>
      <c r="H612" s="1163"/>
      <c r="I612" s="1163"/>
    </row>
    <row r="613" spans="1:9" s="2422" customFormat="1">
      <c r="A613" s="2427"/>
      <c r="C613" s="1163"/>
      <c r="D613" s="1163"/>
      <c r="E613" s="1564"/>
      <c r="F613" s="1163"/>
      <c r="G613" s="1163"/>
      <c r="H613" s="1163"/>
      <c r="I613" s="1163"/>
    </row>
    <row r="614" spans="1:9" s="2422" customFormat="1">
      <c r="A614" s="2427"/>
      <c r="C614" s="1163"/>
      <c r="D614" s="1163"/>
      <c r="E614" s="1564"/>
      <c r="F614" s="1163"/>
      <c r="G614" s="1163"/>
      <c r="H614" s="1163"/>
      <c r="I614" s="1163"/>
    </row>
    <row r="615" spans="1:9" s="2422" customFormat="1">
      <c r="A615" s="2427"/>
      <c r="C615" s="1163"/>
      <c r="D615" s="1163"/>
      <c r="E615" s="1564"/>
      <c r="F615" s="1163"/>
      <c r="G615" s="1163"/>
      <c r="H615" s="1163"/>
      <c r="I615" s="1163"/>
    </row>
    <row r="616" spans="1:9" s="2422" customFormat="1">
      <c r="A616" s="2427"/>
      <c r="C616" s="1163"/>
      <c r="D616" s="1163"/>
      <c r="E616" s="1564"/>
      <c r="F616" s="1163"/>
      <c r="G616" s="1163"/>
      <c r="H616" s="1163"/>
      <c r="I616" s="1163"/>
    </row>
    <row r="617" spans="1:9" s="2422" customFormat="1">
      <c r="A617" s="2427"/>
      <c r="C617" s="1163"/>
      <c r="D617" s="1163"/>
      <c r="E617" s="1564"/>
      <c r="F617" s="1163"/>
      <c r="G617" s="1163"/>
      <c r="H617" s="1163"/>
      <c r="I617" s="1163"/>
    </row>
    <row r="618" spans="1:9" s="2422" customFormat="1">
      <c r="A618" s="2427"/>
      <c r="C618" s="1163"/>
      <c r="D618" s="1163"/>
      <c r="E618" s="1564"/>
      <c r="F618" s="1163"/>
      <c r="G618" s="1163"/>
      <c r="H618" s="1163"/>
      <c r="I618" s="1163"/>
    </row>
    <row r="619" spans="1:9" s="2422" customFormat="1">
      <c r="A619" s="2427"/>
      <c r="C619" s="1163"/>
      <c r="D619" s="1163"/>
      <c r="E619" s="1564"/>
      <c r="F619" s="1163"/>
      <c r="G619" s="1163"/>
      <c r="H619" s="1163"/>
      <c r="I619" s="1163"/>
    </row>
    <row r="620" spans="1:9" s="2422" customFormat="1">
      <c r="A620" s="2427"/>
      <c r="C620" s="1163"/>
      <c r="D620" s="1163"/>
      <c r="E620" s="1564"/>
      <c r="F620" s="1163"/>
      <c r="G620" s="1163"/>
      <c r="H620" s="1163"/>
      <c r="I620" s="1163"/>
    </row>
    <row r="621" spans="1:9" s="2422" customFormat="1">
      <c r="A621" s="2427"/>
      <c r="C621" s="1163"/>
      <c r="D621" s="1163"/>
      <c r="E621" s="1564"/>
      <c r="F621" s="1163"/>
      <c r="G621" s="1163"/>
      <c r="H621" s="1163"/>
      <c r="I621" s="1163"/>
    </row>
    <row r="622" spans="1:9" s="2422" customFormat="1">
      <c r="A622" s="2427"/>
      <c r="C622" s="1163"/>
      <c r="D622" s="1163"/>
      <c r="E622" s="1564"/>
      <c r="F622" s="1163"/>
      <c r="G622" s="1163"/>
      <c r="H622" s="1163"/>
      <c r="I622" s="1163"/>
    </row>
    <row r="623" spans="1:9" s="2422" customFormat="1">
      <c r="A623" s="2427"/>
      <c r="C623" s="1163"/>
      <c r="D623" s="1163"/>
      <c r="E623" s="1564"/>
      <c r="F623" s="1163"/>
      <c r="G623" s="1163"/>
      <c r="H623" s="1163"/>
      <c r="I623" s="1163"/>
    </row>
    <row r="624" spans="1:9" s="2422" customFormat="1">
      <c r="A624" s="2427"/>
      <c r="C624" s="1163"/>
      <c r="D624" s="1163"/>
      <c r="E624" s="1564"/>
      <c r="F624" s="1163"/>
      <c r="G624" s="1163"/>
      <c r="H624" s="1163"/>
      <c r="I624" s="1163"/>
    </row>
    <row r="625" spans="1:9" s="2422" customFormat="1">
      <c r="A625" s="2427"/>
      <c r="C625" s="1163"/>
      <c r="D625" s="1163"/>
      <c r="E625" s="1564"/>
      <c r="F625" s="1163"/>
      <c r="G625" s="1163"/>
      <c r="H625" s="1163"/>
      <c r="I625" s="1163"/>
    </row>
    <row r="626" spans="1:9" s="2422" customFormat="1">
      <c r="A626" s="2427"/>
      <c r="C626" s="1163"/>
      <c r="D626" s="1163"/>
      <c r="E626" s="1564"/>
      <c r="F626" s="1163"/>
      <c r="G626" s="1163"/>
      <c r="H626" s="1163"/>
      <c r="I626" s="1163"/>
    </row>
    <row r="627" spans="1:9" s="2422" customFormat="1">
      <c r="A627" s="2427"/>
      <c r="C627" s="1163"/>
      <c r="D627" s="1163"/>
      <c r="E627" s="1564"/>
      <c r="F627" s="1163"/>
      <c r="G627" s="1163"/>
      <c r="H627" s="1163"/>
      <c r="I627" s="1163"/>
    </row>
    <row r="628" spans="1:9" s="2422" customFormat="1">
      <c r="A628" s="2427"/>
      <c r="C628" s="1163"/>
      <c r="D628" s="1163"/>
      <c r="E628" s="1564"/>
      <c r="F628" s="1163"/>
      <c r="G628" s="1163"/>
      <c r="H628" s="1163"/>
      <c r="I628" s="1163"/>
    </row>
    <row r="629" spans="1:9" s="2422" customFormat="1">
      <c r="A629" s="2427"/>
      <c r="C629" s="1163"/>
      <c r="D629" s="1163"/>
      <c r="E629" s="1564"/>
      <c r="F629" s="1163"/>
      <c r="G629" s="1163"/>
      <c r="H629" s="1163"/>
      <c r="I629" s="1163"/>
    </row>
    <row r="630" spans="1:9" s="2422" customFormat="1">
      <c r="A630" s="2427"/>
      <c r="C630" s="1163"/>
      <c r="D630" s="1163"/>
      <c r="E630" s="1564"/>
      <c r="F630" s="1163"/>
      <c r="G630" s="1163"/>
      <c r="H630" s="1163"/>
      <c r="I630" s="1163"/>
    </row>
    <row r="631" spans="1:9" s="2422" customFormat="1">
      <c r="A631" s="2427"/>
      <c r="C631" s="1163"/>
      <c r="D631" s="1163"/>
      <c r="E631" s="1564"/>
      <c r="F631" s="1163"/>
      <c r="G631" s="1163"/>
      <c r="H631" s="1163"/>
      <c r="I631" s="1163"/>
    </row>
    <row r="632" spans="1:9" s="2422" customFormat="1">
      <c r="A632" s="2427"/>
      <c r="C632" s="1163"/>
      <c r="D632" s="1163"/>
      <c r="E632" s="1564"/>
      <c r="F632" s="1163"/>
      <c r="G632" s="1163"/>
      <c r="H632" s="1163"/>
      <c r="I632" s="1163"/>
    </row>
    <row r="633" spans="1:9" s="2422" customFormat="1">
      <c r="A633" s="2427"/>
      <c r="C633" s="1163"/>
      <c r="D633" s="1163"/>
      <c r="E633" s="1564"/>
      <c r="F633" s="1163"/>
      <c r="G633" s="1163"/>
      <c r="H633" s="1163"/>
      <c r="I633" s="1163"/>
    </row>
    <row r="634" spans="1:9" s="2422" customFormat="1">
      <c r="A634" s="2427"/>
      <c r="C634" s="1163"/>
      <c r="D634" s="1163"/>
      <c r="E634" s="1564"/>
      <c r="F634" s="1163"/>
      <c r="G634" s="1163"/>
      <c r="H634" s="1163"/>
      <c r="I634" s="1163"/>
    </row>
    <row r="635" spans="1:9" s="2422" customFormat="1">
      <c r="A635" s="2427"/>
      <c r="C635" s="1163"/>
      <c r="D635" s="1163"/>
      <c r="E635" s="1564"/>
      <c r="F635" s="1163"/>
      <c r="G635" s="1163"/>
      <c r="H635" s="1163"/>
      <c r="I635" s="1163"/>
    </row>
    <row r="636" spans="1:9" s="2422" customFormat="1">
      <c r="A636" s="2427"/>
      <c r="C636" s="1163"/>
      <c r="D636" s="1163"/>
      <c r="E636" s="1564"/>
      <c r="F636" s="1163"/>
      <c r="G636" s="1163"/>
      <c r="H636" s="1163"/>
      <c r="I636" s="1163"/>
    </row>
    <row r="637" spans="1:9" s="2422" customFormat="1">
      <c r="A637" s="2427"/>
      <c r="C637" s="1163"/>
      <c r="D637" s="1163"/>
      <c r="E637" s="1564"/>
      <c r="F637" s="1163"/>
      <c r="G637" s="1163"/>
      <c r="H637" s="1163"/>
      <c r="I637" s="1163"/>
    </row>
    <row r="638" spans="1:9" s="2422" customFormat="1">
      <c r="A638" s="2427"/>
      <c r="C638" s="1163"/>
      <c r="D638" s="1163"/>
      <c r="E638" s="1564"/>
      <c r="F638" s="1163"/>
      <c r="G638" s="1163"/>
      <c r="H638" s="1163"/>
      <c r="I638" s="1163"/>
    </row>
    <row r="639" spans="1:9" s="2422" customFormat="1">
      <c r="A639" s="2427"/>
      <c r="C639" s="1163"/>
      <c r="D639" s="1163"/>
      <c r="E639" s="1564"/>
      <c r="F639" s="1163"/>
      <c r="G639" s="1163"/>
      <c r="H639" s="1163"/>
      <c r="I639" s="1163"/>
    </row>
    <row r="640" spans="1:9" s="2422" customFormat="1">
      <c r="A640" s="2427"/>
      <c r="C640" s="1163"/>
      <c r="D640" s="1163"/>
      <c r="E640" s="1564"/>
      <c r="F640" s="1163"/>
      <c r="G640" s="1163"/>
      <c r="H640" s="1163"/>
      <c r="I640" s="1163"/>
    </row>
    <row r="641" spans="1:9" s="2422" customFormat="1">
      <c r="A641" s="2427"/>
      <c r="C641" s="1163"/>
      <c r="D641" s="1163"/>
      <c r="E641" s="1564"/>
      <c r="F641" s="1163"/>
      <c r="G641" s="1163"/>
      <c r="H641" s="1163"/>
      <c r="I641" s="1163"/>
    </row>
    <row r="642" spans="1:9" s="2422" customFormat="1">
      <c r="A642" s="2427"/>
      <c r="C642" s="1163"/>
      <c r="D642" s="1163"/>
      <c r="E642" s="1564"/>
      <c r="F642" s="1163"/>
      <c r="G642" s="1163"/>
      <c r="H642" s="1163"/>
      <c r="I642" s="1163"/>
    </row>
    <row r="643" spans="1:9" s="2422" customFormat="1">
      <c r="A643" s="2427"/>
      <c r="C643" s="1163"/>
      <c r="D643" s="1163"/>
      <c r="E643" s="1564"/>
      <c r="F643" s="1163"/>
      <c r="G643" s="1163"/>
      <c r="H643" s="1163"/>
      <c r="I643" s="1163"/>
    </row>
    <row r="644" spans="1:9" s="2422" customFormat="1">
      <c r="A644" s="2427"/>
      <c r="C644" s="1163"/>
      <c r="D644" s="1163"/>
      <c r="E644" s="1564"/>
      <c r="F644" s="1163"/>
      <c r="G644" s="1163"/>
      <c r="H644" s="1163"/>
      <c r="I644" s="1163"/>
    </row>
    <row r="645" spans="1:9" s="2422" customFormat="1">
      <c r="A645" s="2427"/>
      <c r="C645" s="1163"/>
      <c r="D645" s="1163"/>
      <c r="E645" s="1564"/>
      <c r="F645" s="1163"/>
      <c r="G645" s="1163"/>
      <c r="H645" s="1163"/>
      <c r="I645" s="1163"/>
    </row>
    <row r="646" spans="1:9" s="2422" customFormat="1">
      <c r="A646" s="2427"/>
      <c r="C646" s="1163"/>
      <c r="D646" s="1163"/>
      <c r="E646" s="1564"/>
      <c r="F646" s="1163"/>
      <c r="G646" s="1163"/>
      <c r="H646" s="1163"/>
      <c r="I646" s="1163"/>
    </row>
    <row r="647" spans="1:9" s="2422" customFormat="1">
      <c r="A647" s="2427"/>
      <c r="C647" s="1163"/>
      <c r="D647" s="1163"/>
      <c r="E647" s="1564"/>
      <c r="F647" s="1163"/>
      <c r="G647" s="1163"/>
      <c r="H647" s="1163"/>
      <c r="I647" s="1163"/>
    </row>
    <row r="648" spans="1:9" s="2422" customFormat="1">
      <c r="A648" s="2427"/>
      <c r="C648" s="1163"/>
      <c r="D648" s="1163"/>
      <c r="E648" s="1564"/>
      <c r="F648" s="1163"/>
      <c r="G648" s="1163"/>
      <c r="H648" s="1163"/>
      <c r="I648" s="1163"/>
    </row>
    <row r="649" spans="1:9" s="2422" customFormat="1">
      <c r="A649" s="2427"/>
      <c r="C649" s="1163"/>
      <c r="D649" s="1163"/>
      <c r="E649" s="1564"/>
      <c r="F649" s="1163"/>
      <c r="G649" s="1163"/>
      <c r="H649" s="1163"/>
      <c r="I649" s="1163"/>
    </row>
    <row r="650" spans="1:9" s="2422" customFormat="1">
      <c r="A650" s="2427"/>
      <c r="C650" s="1163"/>
      <c r="D650" s="1163"/>
      <c r="E650" s="1564"/>
      <c r="F650" s="1163"/>
      <c r="G650" s="1163"/>
      <c r="H650" s="1163"/>
      <c r="I650" s="1163"/>
    </row>
    <row r="651" spans="1:9" s="2422" customFormat="1">
      <c r="A651" s="2427"/>
      <c r="C651" s="1163"/>
      <c r="D651" s="1163"/>
      <c r="E651" s="1564"/>
      <c r="F651" s="1163"/>
      <c r="G651" s="1163"/>
      <c r="H651" s="1163"/>
      <c r="I651" s="1163"/>
    </row>
    <row r="652" spans="1:9" s="2422" customFormat="1">
      <c r="A652" s="2427"/>
      <c r="C652" s="1163"/>
      <c r="D652" s="1163"/>
      <c r="E652" s="1564"/>
      <c r="F652" s="1163"/>
      <c r="G652" s="1163"/>
      <c r="H652" s="1163"/>
      <c r="I652" s="1163"/>
    </row>
    <row r="653" spans="1:9" s="2422" customFormat="1">
      <c r="A653" s="2427"/>
      <c r="C653" s="1163"/>
      <c r="D653" s="1163"/>
      <c r="E653" s="1564"/>
      <c r="F653" s="1163"/>
      <c r="G653" s="1163"/>
      <c r="H653" s="1163"/>
      <c r="I653" s="1163"/>
    </row>
    <row r="654" spans="1:9" s="2422" customFormat="1">
      <c r="A654" s="2427"/>
      <c r="C654" s="1163"/>
      <c r="D654" s="1163"/>
      <c r="E654" s="1564"/>
      <c r="F654" s="1163"/>
      <c r="G654" s="1163"/>
      <c r="H654" s="1163"/>
      <c r="I654" s="1163"/>
    </row>
    <row r="655" spans="1:9" s="2422" customFormat="1">
      <c r="A655" s="2427"/>
      <c r="C655" s="1163"/>
      <c r="D655" s="1163"/>
      <c r="E655" s="1564"/>
      <c r="F655" s="1163"/>
      <c r="G655" s="1163"/>
      <c r="H655" s="1163"/>
      <c r="I655" s="1163"/>
    </row>
    <row r="656" spans="1:9" s="2422" customFormat="1">
      <c r="A656" s="2427"/>
      <c r="C656" s="1163"/>
      <c r="D656" s="1163"/>
      <c r="E656" s="1564"/>
      <c r="F656" s="1163"/>
      <c r="G656" s="1163"/>
      <c r="H656" s="1163"/>
      <c r="I656" s="1163"/>
    </row>
    <row r="657" spans="1:9" s="2422" customFormat="1">
      <c r="A657" s="2427"/>
      <c r="C657" s="1163"/>
      <c r="D657" s="1163"/>
      <c r="E657" s="1564"/>
      <c r="F657" s="1163"/>
      <c r="G657" s="1163"/>
      <c r="H657" s="1163"/>
      <c r="I657" s="1163"/>
    </row>
    <row r="658" spans="1:9" s="2422" customFormat="1">
      <c r="A658" s="2427"/>
      <c r="C658" s="1163"/>
      <c r="D658" s="1163"/>
      <c r="E658" s="1564"/>
      <c r="F658" s="1163"/>
      <c r="G658" s="1163"/>
      <c r="H658" s="1163"/>
      <c r="I658" s="1163"/>
    </row>
    <row r="659" spans="1:9" s="2422" customFormat="1">
      <c r="A659" s="2427"/>
      <c r="C659" s="1163"/>
      <c r="D659" s="1163"/>
      <c r="E659" s="1564"/>
      <c r="F659" s="1163"/>
      <c r="G659" s="1163"/>
      <c r="H659" s="1163"/>
      <c r="I659" s="1163"/>
    </row>
    <row r="660" spans="1:9" s="2422" customFormat="1">
      <c r="A660" s="2427"/>
      <c r="C660" s="1163"/>
      <c r="D660" s="1163"/>
      <c r="E660" s="1564"/>
      <c r="F660" s="1163"/>
      <c r="G660" s="1163"/>
      <c r="H660" s="1163"/>
      <c r="I660" s="1163"/>
    </row>
    <row r="661" spans="1:9" s="2422" customFormat="1">
      <c r="A661" s="2427"/>
      <c r="C661" s="1163"/>
      <c r="D661" s="1163"/>
      <c r="E661" s="1564"/>
      <c r="F661" s="1163"/>
      <c r="G661" s="1163"/>
      <c r="H661" s="1163"/>
      <c r="I661" s="1163"/>
    </row>
    <row r="662" spans="1:9" s="2422" customFormat="1">
      <c r="A662" s="2427"/>
      <c r="C662" s="1163"/>
      <c r="D662" s="1163"/>
      <c r="E662" s="1564"/>
      <c r="F662" s="1163"/>
      <c r="G662" s="1163"/>
      <c r="H662" s="1163"/>
      <c r="I662" s="1163"/>
    </row>
    <row r="663" spans="1:9" s="2422" customFormat="1">
      <c r="A663" s="2427"/>
      <c r="C663" s="1163"/>
      <c r="D663" s="1163"/>
      <c r="E663" s="1564"/>
      <c r="F663" s="1163"/>
      <c r="G663" s="1163"/>
      <c r="H663" s="1163"/>
      <c r="I663" s="1163"/>
    </row>
    <row r="664" spans="1:9" s="2422" customFormat="1">
      <c r="A664" s="2427"/>
      <c r="C664" s="1163"/>
      <c r="D664" s="1163"/>
      <c r="E664" s="1564"/>
      <c r="F664" s="1163"/>
      <c r="G664" s="1163"/>
      <c r="H664" s="1163"/>
      <c r="I664" s="1163"/>
    </row>
    <row r="665" spans="1:9" s="2422" customFormat="1">
      <c r="A665" s="2427"/>
      <c r="C665" s="1163"/>
      <c r="D665" s="1163"/>
      <c r="E665" s="1564"/>
      <c r="F665" s="1163"/>
      <c r="G665" s="1163"/>
      <c r="H665" s="1163"/>
      <c r="I665" s="1163"/>
    </row>
    <row r="666" spans="1:9" s="2422" customFormat="1">
      <c r="A666" s="2427"/>
      <c r="C666" s="1163"/>
      <c r="D666" s="1163"/>
      <c r="E666" s="1564"/>
      <c r="F666" s="1163"/>
      <c r="G666" s="1163"/>
      <c r="H666" s="1163"/>
      <c r="I666" s="1163"/>
    </row>
    <row r="667" spans="1:9" s="2422" customFormat="1">
      <c r="A667" s="2427"/>
      <c r="C667" s="1163"/>
      <c r="D667" s="1163"/>
      <c r="E667" s="1564"/>
      <c r="F667" s="1163"/>
      <c r="G667" s="1163"/>
      <c r="H667" s="1163"/>
      <c r="I667" s="1163"/>
    </row>
    <row r="668" spans="1:9" s="2422" customFormat="1">
      <c r="A668" s="2427"/>
      <c r="C668" s="1163"/>
      <c r="D668" s="1163"/>
      <c r="E668" s="1564"/>
      <c r="F668" s="1163"/>
      <c r="G668" s="1163"/>
      <c r="H668" s="1163"/>
      <c r="I668" s="1163"/>
    </row>
    <row r="669" spans="1:9" s="2422" customFormat="1">
      <c r="A669" s="2427"/>
      <c r="C669" s="1163"/>
      <c r="D669" s="1163"/>
      <c r="E669" s="1564"/>
      <c r="F669" s="1163"/>
      <c r="G669" s="1163"/>
      <c r="H669" s="1163"/>
      <c r="I669" s="1163"/>
    </row>
    <row r="670" spans="1:9" s="2422" customFormat="1">
      <c r="A670" s="2427"/>
      <c r="C670" s="1163"/>
      <c r="D670" s="1163"/>
      <c r="E670" s="1564"/>
      <c r="F670" s="1163"/>
      <c r="G670" s="1163"/>
      <c r="H670" s="1163"/>
      <c r="I670" s="1163"/>
    </row>
    <row r="671" spans="1:9" s="2422" customFormat="1">
      <c r="A671" s="2427"/>
      <c r="C671" s="1163"/>
      <c r="D671" s="1163"/>
      <c r="E671" s="1564"/>
      <c r="F671" s="1163"/>
      <c r="G671" s="1163"/>
      <c r="H671" s="1163"/>
      <c r="I671" s="1163"/>
    </row>
    <row r="672" spans="1:9" s="2422" customFormat="1">
      <c r="A672" s="2427"/>
      <c r="C672" s="1163"/>
      <c r="D672" s="1163"/>
      <c r="E672" s="1564"/>
      <c r="F672" s="1163"/>
      <c r="G672" s="1163"/>
      <c r="H672" s="1163"/>
      <c r="I672" s="1163"/>
    </row>
    <row r="673" spans="1:9" s="2422" customFormat="1">
      <c r="A673" s="2427"/>
      <c r="C673" s="1163"/>
      <c r="D673" s="1163"/>
      <c r="E673" s="1564"/>
      <c r="F673" s="1163"/>
      <c r="G673" s="1163"/>
      <c r="H673" s="1163"/>
      <c r="I673" s="1163"/>
    </row>
    <row r="674" spans="1:9" s="2422" customFormat="1">
      <c r="A674" s="2427"/>
      <c r="C674" s="1163"/>
      <c r="D674" s="1163"/>
      <c r="E674" s="1564"/>
      <c r="F674" s="1163"/>
      <c r="G674" s="1163"/>
      <c r="H674" s="1163"/>
      <c r="I674" s="1163"/>
    </row>
    <row r="675" spans="1:9" s="2422" customFormat="1">
      <c r="A675" s="2427"/>
      <c r="C675" s="1163"/>
      <c r="D675" s="1163"/>
      <c r="E675" s="1564"/>
      <c r="F675" s="1163"/>
      <c r="G675" s="1163"/>
      <c r="H675" s="1163"/>
      <c r="I675" s="1163"/>
    </row>
    <row r="676" spans="1:9" s="2422" customFormat="1">
      <c r="A676" s="2427"/>
      <c r="C676" s="1163"/>
      <c r="D676" s="1163"/>
      <c r="E676" s="1564"/>
      <c r="F676" s="1163"/>
      <c r="G676" s="1163"/>
      <c r="H676" s="1163"/>
      <c r="I676" s="1163"/>
    </row>
    <row r="677" spans="1:9" s="2422" customFormat="1">
      <c r="A677" s="2427"/>
      <c r="C677" s="1163"/>
      <c r="D677" s="1163"/>
      <c r="E677" s="1564"/>
      <c r="F677" s="1163"/>
      <c r="G677" s="1163"/>
      <c r="H677" s="1163"/>
      <c r="I677" s="1163"/>
    </row>
    <row r="678" spans="1:9" s="2422" customFormat="1">
      <c r="A678" s="2427"/>
      <c r="C678" s="1163"/>
      <c r="D678" s="1163"/>
      <c r="E678" s="1564"/>
      <c r="F678" s="1163"/>
      <c r="G678" s="1163"/>
      <c r="H678" s="1163"/>
      <c r="I678" s="1163"/>
    </row>
    <row r="679" spans="1:9" s="2422" customFormat="1">
      <c r="A679" s="2427"/>
      <c r="C679" s="1163"/>
      <c r="D679" s="1163"/>
      <c r="E679" s="1564"/>
      <c r="F679" s="1163"/>
      <c r="G679" s="1163"/>
      <c r="H679" s="1163"/>
      <c r="I679" s="1163"/>
    </row>
    <row r="680" spans="1:9" s="2422" customFormat="1">
      <c r="A680" s="2427"/>
      <c r="C680" s="1163"/>
      <c r="D680" s="1163"/>
      <c r="E680" s="1564"/>
      <c r="F680" s="1163"/>
      <c r="G680" s="1163"/>
      <c r="H680" s="1163"/>
      <c r="I680" s="1163"/>
    </row>
    <row r="681" spans="1:9" s="2422" customFormat="1">
      <c r="A681" s="2427"/>
      <c r="C681" s="1163"/>
      <c r="D681" s="1163"/>
      <c r="E681" s="1564"/>
      <c r="F681" s="1163"/>
      <c r="G681" s="1163"/>
      <c r="H681" s="1163"/>
      <c r="I681" s="1163"/>
    </row>
    <row r="682" spans="1:9" s="2422" customFormat="1">
      <c r="A682" s="2427"/>
      <c r="C682" s="1163"/>
      <c r="D682" s="1163"/>
      <c r="E682" s="1564"/>
      <c r="F682" s="1163"/>
      <c r="G682" s="1163"/>
      <c r="H682" s="1163"/>
      <c r="I682" s="1163"/>
    </row>
    <row r="683" spans="1:9" s="2422" customFormat="1">
      <c r="A683" s="2427"/>
      <c r="C683" s="1163"/>
      <c r="D683" s="1163"/>
      <c r="E683" s="1564"/>
      <c r="F683" s="1163"/>
      <c r="G683" s="1163"/>
      <c r="H683" s="1163"/>
      <c r="I683" s="1163"/>
    </row>
    <row r="684" spans="1:9" s="2422" customFormat="1">
      <c r="A684" s="2427"/>
      <c r="C684" s="1163"/>
      <c r="D684" s="1163"/>
      <c r="E684" s="1564"/>
      <c r="F684" s="1163"/>
      <c r="G684" s="1163"/>
      <c r="H684" s="1163"/>
      <c r="I684" s="1163"/>
    </row>
    <row r="685" spans="1:9" s="2422" customFormat="1">
      <c r="A685" s="2427"/>
      <c r="C685" s="1163"/>
      <c r="D685" s="1163"/>
      <c r="E685" s="1564"/>
      <c r="F685" s="1163"/>
      <c r="G685" s="1163"/>
      <c r="H685" s="1163"/>
      <c r="I685" s="1163"/>
    </row>
    <row r="686" spans="1:9" s="2422" customFormat="1">
      <c r="A686" s="2427"/>
      <c r="C686" s="1163"/>
      <c r="D686" s="1163"/>
      <c r="E686" s="1564"/>
      <c r="F686" s="1163"/>
      <c r="G686" s="1163"/>
      <c r="H686" s="1163"/>
      <c r="I686" s="1163"/>
    </row>
    <row r="687" spans="1:9" s="2422" customFormat="1">
      <c r="A687" s="2427"/>
      <c r="C687" s="1163"/>
      <c r="D687" s="1163"/>
      <c r="E687" s="1564"/>
      <c r="F687" s="1163"/>
      <c r="G687" s="1163"/>
      <c r="H687" s="1163"/>
      <c r="I687" s="1163"/>
    </row>
    <row r="688" spans="1:9" s="2422" customFormat="1">
      <c r="A688" s="2427"/>
      <c r="C688" s="1163"/>
      <c r="D688" s="1163"/>
      <c r="E688" s="1564"/>
      <c r="F688" s="1163"/>
      <c r="G688" s="1163"/>
      <c r="H688" s="1163"/>
      <c r="I688" s="1163"/>
    </row>
    <row r="689" spans="1:9" s="2422" customFormat="1">
      <c r="A689" s="2427"/>
      <c r="C689" s="1163"/>
      <c r="D689" s="1163"/>
      <c r="E689" s="1564"/>
      <c r="F689" s="1163"/>
      <c r="G689" s="1163"/>
      <c r="H689" s="1163"/>
      <c r="I689" s="1163"/>
    </row>
    <row r="690" spans="1:9" s="2422" customFormat="1">
      <c r="A690" s="2427"/>
      <c r="C690" s="1163"/>
      <c r="D690" s="1163"/>
      <c r="E690" s="1564"/>
      <c r="F690" s="1163"/>
      <c r="G690" s="1163"/>
      <c r="H690" s="1163"/>
      <c r="I690" s="1163"/>
    </row>
    <row r="691" spans="1:9" s="2422" customFormat="1">
      <c r="A691" s="2427"/>
      <c r="C691" s="1163"/>
      <c r="D691" s="1163"/>
      <c r="E691" s="1564"/>
      <c r="F691" s="1163"/>
      <c r="G691" s="1163"/>
      <c r="H691" s="1163"/>
      <c r="I691" s="1163"/>
    </row>
    <row r="692" spans="1:9" s="2422" customFormat="1">
      <c r="A692" s="2427"/>
      <c r="C692" s="1163"/>
      <c r="D692" s="1163"/>
      <c r="E692" s="1564"/>
      <c r="F692" s="1163"/>
      <c r="G692" s="1163"/>
      <c r="H692" s="1163"/>
      <c r="I692" s="1163"/>
    </row>
    <row r="693" spans="1:9" s="2422" customFormat="1">
      <c r="A693" s="2427"/>
      <c r="C693" s="1163"/>
      <c r="D693" s="1163"/>
      <c r="E693" s="1564"/>
      <c r="F693" s="1163"/>
      <c r="G693" s="1163"/>
      <c r="H693" s="1163"/>
      <c r="I693" s="1163"/>
    </row>
    <row r="694" spans="1:9" s="2422" customFormat="1">
      <c r="A694" s="2427"/>
      <c r="C694" s="1163"/>
      <c r="D694" s="1163"/>
      <c r="E694" s="1564"/>
      <c r="F694" s="1163"/>
      <c r="G694" s="1163"/>
      <c r="H694" s="1163"/>
      <c r="I694" s="1163"/>
    </row>
    <row r="695" spans="1:9" s="2422" customFormat="1">
      <c r="A695" s="2427"/>
      <c r="C695" s="1163"/>
      <c r="D695" s="1163"/>
      <c r="E695" s="1564"/>
      <c r="F695" s="1163"/>
      <c r="G695" s="1163"/>
      <c r="H695" s="1163"/>
      <c r="I695" s="1163"/>
    </row>
    <row r="696" spans="1:9" s="2422" customFormat="1">
      <c r="A696" s="2427"/>
      <c r="C696" s="1163"/>
      <c r="D696" s="1163"/>
      <c r="E696" s="1564"/>
      <c r="F696" s="1163"/>
      <c r="G696" s="1163"/>
      <c r="H696" s="1163"/>
      <c r="I696" s="1163"/>
    </row>
    <row r="697" spans="1:9" s="2422" customFormat="1">
      <c r="A697" s="2427"/>
      <c r="C697" s="1163"/>
      <c r="D697" s="1163"/>
      <c r="E697" s="1564"/>
      <c r="F697" s="1163"/>
      <c r="G697" s="1163"/>
      <c r="H697" s="1163"/>
      <c r="I697" s="1163"/>
    </row>
    <row r="698" spans="1:9" s="2422" customFormat="1">
      <c r="A698" s="2427"/>
      <c r="C698" s="1163"/>
      <c r="D698" s="1163"/>
      <c r="E698" s="1564"/>
      <c r="F698" s="1163"/>
      <c r="G698" s="1163"/>
      <c r="H698" s="1163"/>
      <c r="I698" s="1163"/>
    </row>
    <row r="699" spans="1:9" s="2422" customFormat="1">
      <c r="A699" s="2427"/>
      <c r="C699" s="1163"/>
      <c r="D699" s="1163"/>
      <c r="E699" s="1564"/>
      <c r="F699" s="1163"/>
      <c r="G699" s="1163"/>
      <c r="H699" s="1163"/>
      <c r="I699" s="1163"/>
    </row>
    <row r="700" spans="1:9" s="2422" customFormat="1">
      <c r="A700" s="2427"/>
      <c r="C700" s="1163"/>
      <c r="D700" s="1163"/>
      <c r="E700" s="1564"/>
      <c r="F700" s="1163"/>
      <c r="G700" s="1163"/>
      <c r="H700" s="1163"/>
      <c r="I700" s="1163"/>
    </row>
    <row r="701" spans="1:9" s="2422" customFormat="1">
      <c r="A701" s="2427"/>
      <c r="C701" s="1163"/>
      <c r="D701" s="1163"/>
      <c r="E701" s="1564"/>
      <c r="F701" s="1163"/>
      <c r="G701" s="1163"/>
      <c r="H701" s="1163"/>
      <c r="I701" s="1163"/>
    </row>
    <row r="702" spans="1:9" s="2422" customFormat="1">
      <c r="A702" s="2427"/>
      <c r="C702" s="1163"/>
      <c r="D702" s="1163"/>
      <c r="E702" s="1564"/>
      <c r="F702" s="1163"/>
      <c r="G702" s="1163"/>
      <c r="H702" s="1163"/>
      <c r="I702" s="1163"/>
    </row>
    <row r="703" spans="1:9" s="2422" customFormat="1">
      <c r="A703" s="2427"/>
      <c r="C703" s="1163"/>
      <c r="D703" s="1163"/>
      <c r="E703" s="1564"/>
      <c r="F703" s="1163"/>
      <c r="G703" s="1163"/>
      <c r="H703" s="1163"/>
      <c r="I703" s="1163"/>
    </row>
    <row r="704" spans="1:9" s="2422" customFormat="1">
      <c r="A704" s="2427"/>
      <c r="C704" s="1163"/>
      <c r="D704" s="1163"/>
      <c r="E704" s="1564"/>
      <c r="F704" s="1163"/>
      <c r="G704" s="1163"/>
      <c r="H704" s="1163"/>
      <c r="I704" s="1163"/>
    </row>
    <row r="705" spans="1:9" s="2422" customFormat="1">
      <c r="A705" s="2427"/>
      <c r="C705" s="1163"/>
      <c r="D705" s="1163"/>
      <c r="E705" s="1564"/>
      <c r="F705" s="1163"/>
      <c r="G705" s="1163"/>
      <c r="H705" s="1163"/>
      <c r="I705" s="1163"/>
    </row>
    <row r="706" spans="1:9" s="2422" customFormat="1">
      <c r="A706" s="2427"/>
      <c r="C706" s="1163"/>
      <c r="D706" s="1163"/>
      <c r="E706" s="1564"/>
      <c r="F706" s="1163"/>
      <c r="G706" s="1163"/>
      <c r="H706" s="1163"/>
      <c r="I706" s="1163"/>
    </row>
    <row r="707" spans="1:9" s="2422" customFormat="1">
      <c r="A707" s="2427"/>
      <c r="C707" s="1163"/>
      <c r="D707" s="1163"/>
      <c r="E707" s="1564"/>
      <c r="F707" s="1163"/>
      <c r="G707" s="1163"/>
      <c r="H707" s="1163"/>
      <c r="I707" s="1163"/>
    </row>
    <row r="708" spans="1:9" s="2422" customFormat="1">
      <c r="A708" s="2427"/>
      <c r="C708" s="1163"/>
      <c r="D708" s="1163"/>
      <c r="E708" s="1564"/>
      <c r="F708" s="1163"/>
      <c r="G708" s="1163"/>
      <c r="H708" s="1163"/>
      <c r="I708" s="1163"/>
    </row>
    <row r="709" spans="1:9" s="2422" customFormat="1">
      <c r="A709" s="2427"/>
      <c r="C709" s="1163"/>
      <c r="D709" s="1163"/>
      <c r="E709" s="1564"/>
      <c r="F709" s="1163"/>
      <c r="G709" s="1163"/>
      <c r="H709" s="1163"/>
      <c r="I709" s="1163"/>
    </row>
    <row r="710" spans="1:9" s="2422" customFormat="1">
      <c r="A710" s="2427"/>
      <c r="C710" s="1163"/>
      <c r="D710" s="1163"/>
      <c r="E710" s="1564"/>
      <c r="F710" s="1163"/>
      <c r="G710" s="1163"/>
      <c r="H710" s="1163"/>
      <c r="I710" s="1163"/>
    </row>
    <row r="711" spans="1:9" s="2422" customFormat="1">
      <c r="A711" s="2427"/>
      <c r="C711" s="1163"/>
      <c r="D711" s="1163"/>
      <c r="E711" s="1564"/>
      <c r="F711" s="1163"/>
      <c r="G711" s="1163"/>
      <c r="H711" s="1163"/>
      <c r="I711" s="1163"/>
    </row>
    <row r="712" spans="1:9" s="2422" customFormat="1">
      <c r="A712" s="2427"/>
      <c r="C712" s="1163"/>
      <c r="D712" s="1163"/>
      <c r="E712" s="1564"/>
      <c r="F712" s="1163"/>
      <c r="G712" s="1163"/>
      <c r="H712" s="1163"/>
      <c r="I712" s="1163"/>
    </row>
    <row r="713" spans="1:9" s="2422" customFormat="1">
      <c r="A713" s="2427"/>
      <c r="C713" s="1163"/>
      <c r="D713" s="1163"/>
      <c r="E713" s="1564"/>
      <c r="F713" s="1163"/>
      <c r="G713" s="1163"/>
      <c r="H713" s="1163"/>
      <c r="I713" s="1163"/>
    </row>
    <row r="714" spans="1:9" s="2422" customFormat="1">
      <c r="A714" s="2427"/>
      <c r="C714" s="1163"/>
      <c r="D714" s="1163"/>
      <c r="E714" s="1564"/>
      <c r="F714" s="1163"/>
      <c r="G714" s="1163"/>
      <c r="H714" s="1163"/>
      <c r="I714" s="1163"/>
    </row>
    <row r="715" spans="1:9" s="2422" customFormat="1">
      <c r="A715" s="2427"/>
      <c r="C715" s="1163"/>
      <c r="D715" s="1163"/>
      <c r="E715" s="1564"/>
      <c r="F715" s="1163"/>
      <c r="G715" s="1163"/>
      <c r="H715" s="1163"/>
      <c r="I715" s="1163"/>
    </row>
    <row r="716" spans="1:9" s="2422" customFormat="1">
      <c r="A716" s="2427"/>
      <c r="C716" s="1163"/>
      <c r="D716" s="1163"/>
      <c r="E716" s="1564"/>
      <c r="F716" s="1163"/>
      <c r="G716" s="1163"/>
      <c r="H716" s="1163"/>
      <c r="I716" s="1163"/>
    </row>
    <row r="717" spans="1:9" s="2422" customFormat="1">
      <c r="A717" s="2427"/>
      <c r="C717" s="1163"/>
      <c r="D717" s="1163"/>
      <c r="E717" s="1564"/>
      <c r="F717" s="1163"/>
      <c r="G717" s="1163"/>
      <c r="H717" s="1163"/>
      <c r="I717" s="1163"/>
    </row>
    <row r="718" spans="1:9" s="2422" customFormat="1">
      <c r="A718" s="2427"/>
      <c r="C718" s="1163"/>
      <c r="D718" s="1163"/>
      <c r="E718" s="1564"/>
      <c r="F718" s="1163"/>
      <c r="G718" s="1163"/>
      <c r="H718" s="1163"/>
      <c r="I718" s="1163"/>
    </row>
    <row r="719" spans="1:9" s="2422" customFormat="1">
      <c r="A719" s="2427"/>
      <c r="C719" s="1163"/>
      <c r="D719" s="1163"/>
      <c r="E719" s="1564"/>
      <c r="F719" s="1163"/>
      <c r="G719" s="1163"/>
      <c r="H719" s="1163"/>
      <c r="I719" s="1163"/>
    </row>
    <row r="720" spans="1:9" s="2422" customFormat="1">
      <c r="A720" s="2427"/>
      <c r="C720" s="1163"/>
      <c r="D720" s="1163"/>
      <c r="E720" s="1564"/>
      <c r="F720" s="1163"/>
      <c r="G720" s="1163"/>
      <c r="H720" s="1163"/>
      <c r="I720" s="1163"/>
    </row>
    <row r="721" spans="1:9" s="2422" customFormat="1">
      <c r="A721" s="2427"/>
      <c r="C721" s="1163"/>
      <c r="D721" s="1163"/>
      <c r="E721" s="1564"/>
      <c r="F721" s="1163"/>
      <c r="G721" s="1163"/>
      <c r="H721" s="1163"/>
      <c r="I721" s="1163"/>
    </row>
    <row r="722" spans="1:9" s="2422" customFormat="1">
      <c r="A722" s="2427"/>
      <c r="C722" s="1163"/>
      <c r="D722" s="1163"/>
      <c r="E722" s="1564"/>
      <c r="F722" s="1163"/>
      <c r="G722" s="1163"/>
      <c r="H722" s="1163"/>
      <c r="I722" s="1163"/>
    </row>
    <row r="723" spans="1:9" s="2422" customFormat="1">
      <c r="A723" s="2427"/>
      <c r="C723" s="1163"/>
      <c r="D723" s="1163"/>
      <c r="E723" s="1564"/>
      <c r="F723" s="1163"/>
      <c r="G723" s="1163"/>
      <c r="H723" s="1163"/>
      <c r="I723" s="1163"/>
    </row>
    <row r="724" spans="1:9" s="2422" customFormat="1">
      <c r="A724" s="2427"/>
      <c r="C724" s="1163"/>
      <c r="D724" s="1163"/>
      <c r="E724" s="1564"/>
      <c r="F724" s="1163"/>
      <c r="G724" s="1163"/>
      <c r="H724" s="1163"/>
      <c r="I724" s="1163"/>
    </row>
    <row r="725" spans="1:9" s="2422" customFormat="1">
      <c r="A725" s="2427"/>
      <c r="C725" s="1163"/>
      <c r="D725" s="1163"/>
      <c r="E725" s="1564"/>
      <c r="F725" s="1163"/>
      <c r="G725" s="1163"/>
      <c r="H725" s="1163"/>
      <c r="I725" s="1163"/>
    </row>
    <row r="726" spans="1:9" s="2422" customFormat="1">
      <c r="A726" s="2427"/>
      <c r="C726" s="1163"/>
      <c r="D726" s="1163"/>
      <c r="E726" s="1564"/>
      <c r="F726" s="1163"/>
      <c r="G726" s="1163"/>
      <c r="H726" s="1163"/>
      <c r="I726" s="1163"/>
    </row>
    <row r="727" spans="1:9" s="2422" customFormat="1">
      <c r="A727" s="2427"/>
      <c r="C727" s="1163"/>
      <c r="D727" s="1163"/>
      <c r="E727" s="1564"/>
      <c r="F727" s="1163"/>
      <c r="G727" s="1163"/>
      <c r="H727" s="1163"/>
      <c r="I727" s="1163"/>
    </row>
    <row r="728" spans="1:9" s="2422" customFormat="1">
      <c r="A728" s="2427"/>
      <c r="C728" s="1163"/>
      <c r="D728" s="1163"/>
      <c r="E728" s="1564"/>
      <c r="F728" s="1163"/>
      <c r="G728" s="1163"/>
      <c r="H728" s="1163"/>
      <c r="I728" s="1163"/>
    </row>
    <row r="729" spans="1:9" s="2422" customFormat="1">
      <c r="A729" s="2427"/>
      <c r="C729" s="1163"/>
      <c r="D729" s="1163"/>
      <c r="E729" s="1564"/>
      <c r="F729" s="1163"/>
      <c r="G729" s="1163"/>
      <c r="H729" s="1163"/>
      <c r="I729" s="1163"/>
    </row>
    <row r="730" spans="1:9" s="2422" customFormat="1">
      <c r="A730" s="2427"/>
      <c r="C730" s="1163"/>
      <c r="D730" s="1163"/>
      <c r="E730" s="1564"/>
      <c r="F730" s="1163"/>
      <c r="G730" s="1163"/>
      <c r="H730" s="1163"/>
      <c r="I730" s="1163"/>
    </row>
    <row r="731" spans="1:9" s="2422" customFormat="1">
      <c r="A731" s="2427"/>
      <c r="C731" s="1163"/>
      <c r="D731" s="1163"/>
      <c r="E731" s="1564"/>
      <c r="F731" s="1163"/>
      <c r="G731" s="1163"/>
      <c r="H731" s="1163"/>
      <c r="I731" s="1163"/>
    </row>
    <row r="732" spans="1:9" s="2422" customFormat="1">
      <c r="A732" s="2427"/>
      <c r="C732" s="1163"/>
      <c r="D732" s="1163"/>
      <c r="E732" s="1564"/>
      <c r="F732" s="1163"/>
      <c r="G732" s="1163"/>
      <c r="H732" s="1163"/>
      <c r="I732" s="1163"/>
    </row>
    <row r="733" spans="1:9" s="2422" customFormat="1">
      <c r="A733" s="2427"/>
      <c r="C733" s="1163"/>
      <c r="D733" s="1163"/>
      <c r="E733" s="1564"/>
      <c r="F733" s="1163"/>
      <c r="G733" s="1163"/>
      <c r="H733" s="1163"/>
      <c r="I733" s="1163"/>
    </row>
    <row r="734" spans="1:9" s="2422" customFormat="1">
      <c r="A734" s="2427"/>
      <c r="C734" s="1163"/>
      <c r="D734" s="1163"/>
      <c r="E734" s="1564"/>
      <c r="F734" s="1163"/>
      <c r="G734" s="1163"/>
      <c r="H734" s="1163"/>
      <c r="I734" s="1163"/>
    </row>
    <row r="735" spans="1:9" s="2422" customFormat="1">
      <c r="A735" s="2427"/>
      <c r="C735" s="1163"/>
      <c r="D735" s="1163"/>
      <c r="E735" s="1564"/>
      <c r="F735" s="1163"/>
      <c r="G735" s="1163"/>
      <c r="H735" s="1163"/>
      <c r="I735" s="1163"/>
    </row>
    <row r="736" spans="1:9" s="2422" customFormat="1">
      <c r="A736" s="2427"/>
      <c r="C736" s="1163"/>
      <c r="D736" s="1163"/>
      <c r="E736" s="1564"/>
      <c r="F736" s="1163"/>
      <c r="G736" s="1163"/>
      <c r="H736" s="1163"/>
      <c r="I736" s="1163"/>
    </row>
    <row r="737" spans="1:9" s="2422" customFormat="1">
      <c r="A737" s="2427"/>
      <c r="C737" s="1163"/>
      <c r="D737" s="1163"/>
      <c r="E737" s="1564"/>
      <c r="F737" s="1163"/>
      <c r="G737" s="1163"/>
      <c r="H737" s="1163"/>
      <c r="I737" s="1163"/>
    </row>
    <row r="738" spans="1:9" s="2422" customFormat="1">
      <c r="A738" s="2427"/>
      <c r="C738" s="1163"/>
      <c r="D738" s="1163"/>
      <c r="E738" s="1564"/>
      <c r="F738" s="1163"/>
      <c r="G738" s="1163"/>
      <c r="H738" s="1163"/>
      <c r="I738" s="1163"/>
    </row>
    <row r="739" spans="1:9" s="2422" customFormat="1">
      <c r="A739" s="2427"/>
      <c r="C739" s="1163"/>
      <c r="D739" s="1163"/>
      <c r="E739" s="1564"/>
      <c r="F739" s="1163"/>
      <c r="G739" s="1163"/>
      <c r="H739" s="1163"/>
      <c r="I739" s="1163"/>
    </row>
    <row r="740" spans="1:9" s="2422" customFormat="1">
      <c r="A740" s="2427"/>
      <c r="C740" s="1163"/>
      <c r="D740" s="1163"/>
      <c r="E740" s="1564"/>
      <c r="F740" s="1163"/>
      <c r="G740" s="1163"/>
      <c r="H740" s="1163"/>
      <c r="I740" s="1163"/>
    </row>
    <row r="741" spans="1:9" s="2422" customFormat="1">
      <c r="A741" s="2427"/>
      <c r="C741" s="1163"/>
      <c r="D741" s="1163"/>
      <c r="E741" s="1564"/>
      <c r="F741" s="1163"/>
      <c r="G741" s="1163"/>
      <c r="H741" s="1163"/>
      <c r="I741" s="1163"/>
    </row>
    <row r="742" spans="1:9" s="2422" customFormat="1">
      <c r="A742" s="2427"/>
      <c r="C742" s="1163"/>
      <c r="D742" s="1163"/>
      <c r="E742" s="1564"/>
      <c r="F742" s="1163"/>
      <c r="G742" s="1163"/>
      <c r="H742" s="1163"/>
      <c r="I742" s="1163"/>
    </row>
    <row r="743" spans="1:9" s="2422" customFormat="1">
      <c r="A743" s="2427"/>
      <c r="C743" s="1163"/>
      <c r="D743" s="1163"/>
      <c r="E743" s="1564"/>
      <c r="F743" s="1163"/>
      <c r="G743" s="1163"/>
      <c r="H743" s="1163"/>
      <c r="I743" s="1163"/>
    </row>
    <row r="744" spans="1:9" s="2422" customFormat="1">
      <c r="A744" s="2427"/>
      <c r="C744" s="1163"/>
      <c r="D744" s="1163"/>
      <c r="E744" s="1564"/>
      <c r="F744" s="1163"/>
      <c r="G744" s="1163"/>
      <c r="H744" s="1163"/>
      <c r="I744" s="1163"/>
    </row>
    <row r="745" spans="1:9" s="2422" customFormat="1">
      <c r="A745" s="2427"/>
      <c r="C745" s="1163"/>
      <c r="D745" s="1163"/>
      <c r="E745" s="1564"/>
      <c r="F745" s="1163"/>
      <c r="G745" s="1163"/>
      <c r="H745" s="1163"/>
      <c r="I745" s="1163"/>
    </row>
    <row r="746" spans="1:9" s="2422" customFormat="1">
      <c r="A746" s="2427"/>
      <c r="C746" s="1163"/>
      <c r="D746" s="1163"/>
      <c r="E746" s="1564"/>
      <c r="F746" s="1163"/>
      <c r="G746" s="1163"/>
      <c r="H746" s="1163"/>
      <c r="I746" s="1163"/>
    </row>
    <row r="747" spans="1:9" s="2422" customFormat="1">
      <c r="A747" s="2427"/>
      <c r="C747" s="1163"/>
      <c r="D747" s="1163"/>
      <c r="E747" s="1564"/>
      <c r="F747" s="1163"/>
      <c r="G747" s="1163"/>
      <c r="H747" s="1163"/>
      <c r="I747" s="1163"/>
    </row>
    <row r="748" spans="1:9" s="2422" customFormat="1">
      <c r="A748" s="2427"/>
      <c r="C748" s="1163"/>
      <c r="D748" s="1163"/>
      <c r="E748" s="1564"/>
      <c r="F748" s="1163"/>
      <c r="G748" s="1163"/>
      <c r="H748" s="1163"/>
      <c r="I748" s="1163"/>
    </row>
    <row r="749" spans="1:9" s="2422" customFormat="1">
      <c r="A749" s="2427"/>
      <c r="C749" s="1163"/>
      <c r="D749" s="1163"/>
      <c r="E749" s="1564"/>
      <c r="F749" s="1163"/>
      <c r="G749" s="1163"/>
      <c r="H749" s="1163"/>
      <c r="I749" s="1163"/>
    </row>
    <row r="750" spans="1:9" s="2422" customFormat="1">
      <c r="A750" s="2427"/>
      <c r="C750" s="1163"/>
      <c r="D750" s="1163"/>
      <c r="E750" s="1564"/>
      <c r="F750" s="1163"/>
      <c r="G750" s="1163"/>
      <c r="H750" s="1163"/>
      <c r="I750" s="1163"/>
    </row>
    <row r="751" spans="1:9" s="2422" customFormat="1">
      <c r="A751" s="2427"/>
      <c r="C751" s="1163"/>
      <c r="D751" s="1163"/>
      <c r="E751" s="1564"/>
      <c r="F751" s="1163"/>
      <c r="G751" s="1163"/>
      <c r="H751" s="1163"/>
      <c r="I751" s="1163"/>
    </row>
    <row r="752" spans="1:9" s="2422" customFormat="1">
      <c r="A752" s="2427"/>
      <c r="C752" s="1163"/>
      <c r="D752" s="1163"/>
      <c r="E752" s="1564"/>
      <c r="F752" s="1163"/>
      <c r="G752" s="1163"/>
      <c r="H752" s="1163"/>
      <c r="I752" s="1163"/>
    </row>
    <row r="753" spans="1:9" s="2422" customFormat="1">
      <c r="A753" s="2427"/>
      <c r="C753" s="1163"/>
      <c r="D753" s="1163"/>
      <c r="E753" s="1564"/>
      <c r="F753" s="1163"/>
      <c r="G753" s="1163"/>
      <c r="H753" s="1163"/>
      <c r="I753" s="1163"/>
    </row>
    <row r="754" spans="1:9" s="2422" customFormat="1">
      <c r="A754" s="2427"/>
      <c r="C754" s="1163"/>
      <c r="D754" s="1163"/>
      <c r="E754" s="1564"/>
      <c r="F754" s="1163"/>
      <c r="G754" s="1163"/>
      <c r="H754" s="1163"/>
      <c r="I754" s="1163"/>
    </row>
    <row r="755" spans="1:9" s="2422" customFormat="1">
      <c r="A755" s="2427"/>
      <c r="C755" s="1163"/>
      <c r="D755" s="1163"/>
      <c r="E755" s="1564"/>
      <c r="F755" s="1163"/>
      <c r="G755" s="1163"/>
      <c r="H755" s="1163"/>
      <c r="I755" s="1163"/>
    </row>
    <row r="756" spans="1:9" s="2422" customFormat="1">
      <c r="A756" s="2427"/>
      <c r="C756" s="1163"/>
      <c r="D756" s="1163"/>
      <c r="E756" s="1564"/>
      <c r="F756" s="1163"/>
      <c r="G756" s="1163"/>
      <c r="H756" s="1163"/>
      <c r="I756" s="1163"/>
    </row>
    <row r="757" spans="1:9" s="2422" customFormat="1">
      <c r="A757" s="2427"/>
      <c r="C757" s="1163"/>
      <c r="D757" s="1163"/>
      <c r="E757" s="1564"/>
      <c r="F757" s="1163"/>
      <c r="G757" s="1163"/>
      <c r="H757" s="1163"/>
      <c r="I757" s="1163"/>
    </row>
    <row r="758" spans="1:9" s="2422" customFormat="1">
      <c r="A758" s="2427"/>
      <c r="C758" s="1163"/>
      <c r="D758" s="1163"/>
      <c r="E758" s="1564"/>
      <c r="F758" s="1163"/>
      <c r="G758" s="1163"/>
      <c r="H758" s="1163"/>
      <c r="I758" s="1163"/>
    </row>
    <row r="759" spans="1:9" s="2422" customFormat="1">
      <c r="A759" s="2427"/>
      <c r="C759" s="1163"/>
      <c r="D759" s="1163"/>
      <c r="E759" s="1564"/>
      <c r="F759" s="1163"/>
      <c r="G759" s="1163"/>
      <c r="H759" s="1163"/>
      <c r="I759" s="1163"/>
    </row>
    <row r="760" spans="1:9" s="2422" customFormat="1">
      <c r="A760" s="2427"/>
      <c r="C760" s="1163"/>
      <c r="D760" s="1163"/>
      <c r="E760" s="1564"/>
      <c r="F760" s="1163"/>
      <c r="G760" s="1163"/>
      <c r="H760" s="1163"/>
      <c r="I760" s="1163"/>
    </row>
    <row r="761" spans="1:9" s="2422" customFormat="1">
      <c r="A761" s="2427"/>
      <c r="C761" s="1163"/>
      <c r="D761" s="1163"/>
      <c r="E761" s="1564"/>
      <c r="F761" s="1163"/>
      <c r="G761" s="1163"/>
      <c r="H761" s="1163"/>
      <c r="I761" s="1163"/>
    </row>
    <row r="762" spans="1:9" s="2422" customFormat="1">
      <c r="A762" s="2427"/>
      <c r="C762" s="1163"/>
      <c r="D762" s="1163"/>
      <c r="E762" s="1564"/>
      <c r="F762" s="1163"/>
      <c r="G762" s="1163"/>
      <c r="H762" s="1163"/>
      <c r="I762" s="1163"/>
    </row>
    <row r="763" spans="1:9" s="2422" customFormat="1">
      <c r="A763" s="2427"/>
      <c r="C763" s="1163"/>
      <c r="D763" s="1163"/>
      <c r="E763" s="1564"/>
      <c r="F763" s="1163"/>
      <c r="G763" s="1163"/>
      <c r="H763" s="1163"/>
      <c r="I763" s="1163"/>
    </row>
    <row r="764" spans="1:9" s="2422" customFormat="1">
      <c r="A764" s="2427"/>
      <c r="C764" s="1163"/>
      <c r="D764" s="1163"/>
      <c r="E764" s="1564"/>
      <c r="F764" s="1163"/>
      <c r="G764" s="1163"/>
      <c r="H764" s="1163"/>
      <c r="I764" s="1163"/>
    </row>
    <row r="765" spans="1:9" s="2422" customFormat="1">
      <c r="A765" s="2427"/>
      <c r="C765" s="1163"/>
      <c r="D765" s="1163"/>
      <c r="E765" s="1564"/>
      <c r="F765" s="1163"/>
      <c r="G765" s="1163"/>
      <c r="H765" s="1163"/>
      <c r="I765" s="1163"/>
    </row>
    <row r="766" spans="1:9" s="2422" customFormat="1">
      <c r="A766" s="2427"/>
      <c r="C766" s="1163"/>
      <c r="D766" s="1163"/>
      <c r="E766" s="1564"/>
      <c r="F766" s="1163"/>
      <c r="G766" s="1163"/>
      <c r="H766" s="1163"/>
      <c r="I766" s="1163"/>
    </row>
    <row r="767" spans="1:9" s="2422" customFormat="1">
      <c r="A767" s="2427"/>
      <c r="C767" s="1163"/>
      <c r="D767" s="1163"/>
      <c r="E767" s="1564"/>
      <c r="F767" s="1163"/>
      <c r="G767" s="1163"/>
      <c r="H767" s="1163"/>
      <c r="I767" s="1163"/>
    </row>
    <row r="768" spans="1:9" s="2422" customFormat="1">
      <c r="A768" s="2427"/>
      <c r="C768" s="1163"/>
      <c r="D768" s="1163"/>
      <c r="E768" s="1564"/>
      <c r="F768" s="1163"/>
      <c r="G768" s="1163"/>
      <c r="H768" s="1163"/>
      <c r="I768" s="1163"/>
    </row>
    <row r="769" spans="1:9" s="2422" customFormat="1">
      <c r="A769" s="2427"/>
      <c r="C769" s="1163"/>
      <c r="D769" s="1163"/>
      <c r="E769" s="1564"/>
      <c r="F769" s="1163"/>
      <c r="G769" s="1163"/>
      <c r="H769" s="1163"/>
      <c r="I769" s="1163"/>
    </row>
    <row r="770" spans="1:9" s="2422" customFormat="1">
      <c r="A770" s="2427"/>
      <c r="C770" s="1163"/>
      <c r="D770" s="1163"/>
      <c r="E770" s="1564"/>
      <c r="F770" s="1163"/>
      <c r="G770" s="1163"/>
      <c r="H770" s="1163"/>
      <c r="I770" s="1163"/>
    </row>
    <row r="771" spans="1:9" s="2422" customFormat="1">
      <c r="A771" s="2427"/>
      <c r="C771" s="1163"/>
      <c r="D771" s="1163"/>
      <c r="E771" s="1564"/>
      <c r="F771" s="1163"/>
      <c r="G771" s="1163"/>
      <c r="H771" s="1163"/>
      <c r="I771" s="1163"/>
    </row>
    <row r="772" spans="1:9" s="2422" customFormat="1">
      <c r="A772" s="2427"/>
      <c r="C772" s="1163"/>
      <c r="D772" s="1163"/>
      <c r="E772" s="1564"/>
      <c r="F772" s="1163"/>
      <c r="G772" s="1163"/>
      <c r="H772" s="1163"/>
      <c r="I772" s="1163"/>
    </row>
    <row r="773" spans="1:9" s="2422" customFormat="1">
      <c r="A773" s="2427"/>
      <c r="C773" s="1163"/>
      <c r="D773" s="1163"/>
      <c r="E773" s="1564"/>
      <c r="F773" s="1163"/>
      <c r="G773" s="1163"/>
      <c r="H773" s="1163"/>
      <c r="I773" s="1163"/>
    </row>
    <row r="774" spans="1:9" s="2422" customFormat="1">
      <c r="A774" s="2427"/>
      <c r="C774" s="1163"/>
      <c r="D774" s="1163"/>
      <c r="E774" s="1564"/>
      <c r="F774" s="1163"/>
      <c r="G774" s="1163"/>
      <c r="H774" s="1163"/>
      <c r="I774" s="1163"/>
    </row>
    <row r="775" spans="1:9" s="2422" customFormat="1">
      <c r="A775" s="2427"/>
      <c r="C775" s="1163"/>
      <c r="D775" s="1163"/>
      <c r="E775" s="1564"/>
      <c r="F775" s="1163"/>
      <c r="G775" s="1163"/>
      <c r="H775" s="1163"/>
      <c r="I775" s="1163"/>
    </row>
    <row r="776" spans="1:9" s="2422" customFormat="1">
      <c r="A776" s="2427"/>
      <c r="C776" s="1163"/>
      <c r="D776" s="1163"/>
      <c r="E776" s="1564"/>
      <c r="F776" s="1163"/>
      <c r="G776" s="1163"/>
      <c r="H776" s="1163"/>
      <c r="I776" s="1163"/>
    </row>
    <row r="777" spans="1:9" s="2422" customFormat="1">
      <c r="A777" s="2427"/>
      <c r="C777" s="1163"/>
      <c r="D777" s="1163"/>
      <c r="E777" s="1564"/>
      <c r="F777" s="1163"/>
      <c r="G777" s="1163"/>
      <c r="H777" s="1163"/>
      <c r="I777" s="1163"/>
    </row>
    <row r="778" spans="1:9" s="2422" customFormat="1">
      <c r="A778" s="2427"/>
      <c r="C778" s="1163"/>
      <c r="D778" s="1163"/>
      <c r="E778" s="1564"/>
      <c r="F778" s="1163"/>
      <c r="G778" s="1163"/>
      <c r="H778" s="1163"/>
      <c r="I778" s="1163"/>
    </row>
    <row r="779" spans="1:9" s="2422" customFormat="1">
      <c r="A779" s="2427"/>
      <c r="C779" s="1163"/>
      <c r="D779" s="1163"/>
      <c r="E779" s="1564"/>
      <c r="F779" s="1163"/>
      <c r="G779" s="1163"/>
      <c r="H779" s="1163"/>
      <c r="I779" s="1163"/>
    </row>
    <row r="780" spans="1:9" s="2422" customFormat="1">
      <c r="A780" s="2427"/>
      <c r="C780" s="1163"/>
      <c r="D780" s="1163"/>
      <c r="E780" s="1564"/>
      <c r="F780" s="1163"/>
      <c r="G780" s="1163"/>
      <c r="H780" s="1163"/>
      <c r="I780" s="1163"/>
    </row>
    <row r="781" spans="1:9" s="2422" customFormat="1">
      <c r="A781" s="2427"/>
      <c r="C781" s="1163"/>
      <c r="D781" s="1163"/>
      <c r="E781" s="1564"/>
      <c r="F781" s="1163"/>
      <c r="G781" s="1163"/>
      <c r="H781" s="1163"/>
      <c r="I781" s="1163"/>
    </row>
    <row r="782" spans="1:9" s="2422" customFormat="1">
      <c r="A782" s="2427"/>
      <c r="C782" s="1163"/>
      <c r="D782" s="1163"/>
      <c r="E782" s="1564"/>
      <c r="F782" s="1163"/>
      <c r="G782" s="1163"/>
      <c r="H782" s="1163"/>
      <c r="I782" s="1163"/>
    </row>
    <row r="783" spans="1:9" s="2422" customFormat="1">
      <c r="A783" s="2427"/>
      <c r="C783" s="1163"/>
      <c r="D783" s="1163"/>
      <c r="E783" s="1564"/>
      <c r="F783" s="1163"/>
      <c r="G783" s="1163"/>
      <c r="H783" s="1163"/>
      <c r="I783" s="1163"/>
    </row>
    <row r="784" spans="1:9" s="2422" customFormat="1">
      <c r="A784" s="2427"/>
      <c r="C784" s="1163"/>
      <c r="D784" s="1163"/>
      <c r="E784" s="1564"/>
      <c r="F784" s="1163"/>
      <c r="G784" s="1163"/>
      <c r="H784" s="1163"/>
      <c r="I784" s="1163"/>
    </row>
    <row r="785" spans="1:9" s="2422" customFormat="1">
      <c r="A785" s="2427"/>
      <c r="C785" s="1163"/>
      <c r="D785" s="1163"/>
      <c r="E785" s="1564"/>
      <c r="F785" s="1163"/>
      <c r="G785" s="1163"/>
      <c r="H785" s="1163"/>
      <c r="I785" s="1163"/>
    </row>
    <row r="786" spans="1:9" s="2422" customFormat="1">
      <c r="A786" s="2427"/>
      <c r="C786" s="1163"/>
      <c r="D786" s="1163"/>
      <c r="E786" s="1564"/>
      <c r="F786" s="1163"/>
      <c r="G786" s="1163"/>
      <c r="H786" s="1163"/>
      <c r="I786" s="1163"/>
    </row>
    <row r="787" spans="1:9" s="2422" customFormat="1">
      <c r="A787" s="2427"/>
      <c r="C787" s="1163"/>
      <c r="D787" s="1163"/>
      <c r="E787" s="1564"/>
      <c r="F787" s="1163"/>
      <c r="G787" s="1163"/>
      <c r="H787" s="1163"/>
      <c r="I787" s="1163"/>
    </row>
    <row r="788" spans="1:9" s="2422" customFormat="1">
      <c r="A788" s="2427"/>
      <c r="C788" s="1163"/>
      <c r="D788" s="1163"/>
      <c r="E788" s="1564"/>
      <c r="F788" s="1163"/>
      <c r="G788" s="1163"/>
      <c r="H788" s="1163"/>
      <c r="I788" s="1163"/>
    </row>
    <row r="789" spans="1:9" s="2422" customFormat="1">
      <c r="A789" s="2427"/>
      <c r="C789" s="1163"/>
      <c r="D789" s="1163"/>
      <c r="E789" s="1564"/>
      <c r="F789" s="1163"/>
      <c r="G789" s="1163"/>
      <c r="H789" s="1163"/>
      <c r="I789" s="1163"/>
    </row>
    <row r="790" spans="1:9" s="2422" customFormat="1">
      <c r="A790" s="2427"/>
      <c r="C790" s="1163"/>
      <c r="D790" s="1163"/>
      <c r="E790" s="1564"/>
      <c r="F790" s="1163"/>
      <c r="G790" s="1163"/>
      <c r="H790" s="1163"/>
      <c r="I790" s="1163"/>
    </row>
    <row r="791" spans="1:9" s="2422" customFormat="1">
      <c r="A791" s="2427"/>
      <c r="C791" s="1163"/>
      <c r="D791" s="1163"/>
      <c r="E791" s="1564"/>
      <c r="F791" s="1163"/>
      <c r="G791" s="1163"/>
      <c r="H791" s="1163"/>
      <c r="I791" s="1163"/>
    </row>
    <row r="792" spans="1:9" s="2422" customFormat="1">
      <c r="A792" s="2427"/>
      <c r="C792" s="1163"/>
      <c r="D792" s="1163"/>
      <c r="E792" s="1564"/>
      <c r="F792" s="1163"/>
      <c r="G792" s="1163"/>
      <c r="H792" s="1163"/>
      <c r="I792" s="1163"/>
    </row>
    <row r="793" spans="1:9" s="2422" customFormat="1">
      <c r="A793" s="2427"/>
      <c r="C793" s="1163"/>
      <c r="D793" s="1163"/>
      <c r="E793" s="1564"/>
      <c r="F793" s="1163"/>
      <c r="G793" s="1163"/>
      <c r="H793" s="1163"/>
      <c r="I793" s="1163"/>
    </row>
    <row r="794" spans="1:9" s="2422" customFormat="1">
      <c r="A794" s="2427"/>
      <c r="C794" s="1163"/>
      <c r="D794" s="1163"/>
      <c r="E794" s="1564"/>
      <c r="F794" s="1163"/>
      <c r="G794" s="1163"/>
      <c r="H794" s="1163"/>
      <c r="I794" s="1163"/>
    </row>
    <row r="795" spans="1:9" s="2422" customFormat="1">
      <c r="A795" s="2427"/>
      <c r="C795" s="1163"/>
      <c r="D795" s="1163"/>
      <c r="E795" s="1564"/>
      <c r="F795" s="1163"/>
      <c r="G795" s="1163"/>
      <c r="H795" s="1163"/>
      <c r="I795" s="1163"/>
    </row>
    <row r="796" spans="1:9" s="2422" customFormat="1">
      <c r="A796" s="2427"/>
      <c r="C796" s="1163"/>
      <c r="D796" s="1163"/>
      <c r="E796" s="1564"/>
      <c r="F796" s="1163"/>
      <c r="G796" s="1163"/>
      <c r="H796" s="1163"/>
      <c r="I796" s="1163"/>
    </row>
    <row r="797" spans="1:9" s="2422" customFormat="1">
      <c r="A797" s="2427"/>
      <c r="C797" s="1163"/>
      <c r="D797" s="1163"/>
      <c r="E797" s="1564"/>
      <c r="F797" s="1163"/>
      <c r="G797" s="1163"/>
      <c r="H797" s="1163"/>
      <c r="I797" s="1163"/>
    </row>
    <row r="798" spans="1:9" s="2422" customFormat="1">
      <c r="A798" s="2427"/>
      <c r="C798" s="1163"/>
      <c r="D798" s="1163"/>
      <c r="E798" s="1564"/>
      <c r="F798" s="1163"/>
      <c r="G798" s="1163"/>
      <c r="H798" s="1163"/>
      <c r="I798" s="1163"/>
    </row>
    <row r="799" spans="1:9" s="2422" customFormat="1">
      <c r="A799" s="2427"/>
      <c r="C799" s="1163"/>
      <c r="D799" s="1163"/>
      <c r="E799" s="1564"/>
      <c r="F799" s="1163"/>
      <c r="G799" s="1163"/>
      <c r="H799" s="1163"/>
      <c r="I799" s="1163"/>
    </row>
    <row r="800" spans="1:9" s="2422" customFormat="1">
      <c r="A800" s="2427"/>
      <c r="C800" s="1163"/>
      <c r="D800" s="1163"/>
      <c r="E800" s="1564"/>
      <c r="F800" s="1163"/>
      <c r="G800" s="1163"/>
      <c r="H800" s="1163"/>
      <c r="I800" s="1163"/>
    </row>
    <row r="801" spans="1:9" s="2422" customFormat="1">
      <c r="A801" s="2427"/>
      <c r="C801" s="1163"/>
      <c r="D801" s="1163"/>
      <c r="E801" s="1564"/>
      <c r="F801" s="1163"/>
      <c r="G801" s="1163"/>
      <c r="H801" s="1163"/>
      <c r="I801" s="1163"/>
    </row>
    <row r="802" spans="1:9" s="2422" customFormat="1">
      <c r="A802" s="2427"/>
      <c r="C802" s="1163"/>
      <c r="D802" s="1163"/>
      <c r="E802" s="1564"/>
      <c r="F802" s="1163"/>
      <c r="G802" s="1163"/>
      <c r="H802" s="1163"/>
      <c r="I802" s="1163"/>
    </row>
    <row r="803" spans="1:9" s="2422" customFormat="1">
      <c r="A803" s="2427"/>
      <c r="C803" s="1163"/>
      <c r="D803" s="1163"/>
      <c r="E803" s="1564"/>
      <c r="F803" s="1163"/>
      <c r="G803" s="1163"/>
      <c r="H803" s="1163"/>
      <c r="I803" s="1163"/>
    </row>
    <row r="804" spans="1:9" s="2422" customFormat="1">
      <c r="A804" s="2427"/>
      <c r="C804" s="1163"/>
      <c r="D804" s="1163"/>
      <c r="E804" s="1564"/>
      <c r="F804" s="1163"/>
      <c r="G804" s="1163"/>
      <c r="H804" s="1163"/>
      <c r="I804" s="1163"/>
    </row>
    <row r="805" spans="1:9" s="2422" customFormat="1">
      <c r="A805" s="2427"/>
      <c r="C805" s="1163"/>
      <c r="D805" s="1163"/>
      <c r="E805" s="1564"/>
      <c r="F805" s="1163"/>
      <c r="G805" s="1163"/>
      <c r="H805" s="1163"/>
      <c r="I805" s="1163"/>
    </row>
    <row r="806" spans="1:9" s="2422" customFormat="1">
      <c r="A806" s="2427"/>
      <c r="C806" s="1163"/>
      <c r="D806" s="1163"/>
      <c r="E806" s="1564"/>
      <c r="F806" s="1163"/>
      <c r="G806" s="1163"/>
      <c r="H806" s="1163"/>
      <c r="I806" s="1163"/>
    </row>
    <row r="807" spans="1:9" s="2422" customFormat="1">
      <c r="A807" s="2427"/>
      <c r="C807" s="1163"/>
      <c r="D807" s="1163"/>
      <c r="E807" s="1564"/>
      <c r="F807" s="1163"/>
      <c r="G807" s="1163"/>
      <c r="H807" s="1163"/>
      <c r="I807" s="1163"/>
    </row>
    <row r="808" spans="1:9" s="2422" customFormat="1">
      <c r="A808" s="2427"/>
      <c r="C808" s="1163"/>
      <c r="D808" s="1163"/>
      <c r="E808" s="1564"/>
      <c r="F808" s="1163"/>
      <c r="G808" s="1163"/>
      <c r="H808" s="1163"/>
      <c r="I808" s="1163"/>
    </row>
    <row r="809" spans="1:9" s="2422" customFormat="1">
      <c r="A809" s="2427"/>
      <c r="C809" s="1163"/>
      <c r="D809" s="1163"/>
      <c r="E809" s="1564"/>
      <c r="F809" s="1163"/>
      <c r="G809" s="1163"/>
      <c r="H809" s="1163"/>
      <c r="I809" s="1163"/>
    </row>
    <row r="810" spans="1:9" s="2422" customFormat="1">
      <c r="A810" s="2427"/>
      <c r="C810" s="1163"/>
      <c r="D810" s="1163"/>
      <c r="E810" s="1564"/>
      <c r="F810" s="1163"/>
      <c r="G810" s="1163"/>
      <c r="H810" s="1163"/>
      <c r="I810" s="1163"/>
    </row>
    <row r="811" spans="1:9" s="2422" customFormat="1">
      <c r="A811" s="2427"/>
      <c r="C811" s="1163"/>
      <c r="D811" s="1163"/>
      <c r="E811" s="1564"/>
      <c r="F811" s="1163"/>
      <c r="G811" s="1163"/>
      <c r="H811" s="1163"/>
      <c r="I811" s="1163"/>
    </row>
    <row r="812" spans="1:9" s="2422" customFormat="1">
      <c r="A812" s="2427"/>
      <c r="C812" s="1163"/>
      <c r="D812" s="1163"/>
      <c r="E812" s="1564"/>
      <c r="F812" s="1163"/>
      <c r="G812" s="1163"/>
      <c r="H812" s="1163"/>
      <c r="I812" s="1163"/>
    </row>
    <row r="813" spans="1:9" s="2422" customFormat="1">
      <c r="A813" s="2427"/>
      <c r="C813" s="1163"/>
      <c r="D813" s="1163"/>
      <c r="E813" s="1564"/>
      <c r="F813" s="1163"/>
      <c r="G813" s="1163"/>
      <c r="H813" s="1163"/>
      <c r="I813" s="1163"/>
    </row>
    <row r="814" spans="1:9" s="2422" customFormat="1">
      <c r="A814" s="2427"/>
      <c r="C814" s="1163"/>
      <c r="D814" s="1163"/>
      <c r="E814" s="1564"/>
      <c r="F814" s="1163"/>
      <c r="G814" s="1163"/>
      <c r="H814" s="1163"/>
      <c r="I814" s="1163"/>
    </row>
    <row r="815" spans="1:9" s="2422" customFormat="1">
      <c r="A815" s="2427"/>
      <c r="C815" s="1163"/>
      <c r="D815" s="1163"/>
      <c r="E815" s="1564"/>
      <c r="F815" s="1163"/>
      <c r="G815" s="1163"/>
      <c r="H815" s="1163"/>
      <c r="I815" s="1163"/>
    </row>
    <row r="816" spans="1:9" s="2422" customFormat="1">
      <c r="A816" s="2427"/>
      <c r="C816" s="1163"/>
      <c r="D816" s="1163"/>
      <c r="E816" s="1564"/>
      <c r="F816" s="1163"/>
      <c r="G816" s="1163"/>
      <c r="H816" s="1163"/>
      <c r="I816" s="1163"/>
    </row>
    <row r="817" spans="1:9" s="2422" customFormat="1">
      <c r="A817" s="2427"/>
      <c r="C817" s="1163"/>
      <c r="D817" s="1163"/>
      <c r="E817" s="1564"/>
      <c r="F817" s="1163"/>
      <c r="G817" s="1163"/>
      <c r="H817" s="1163"/>
      <c r="I817" s="1163"/>
    </row>
    <row r="818" spans="1:9" s="2422" customFormat="1">
      <c r="A818" s="2427"/>
      <c r="C818" s="1163"/>
      <c r="D818" s="1163"/>
      <c r="E818" s="1564"/>
      <c r="F818" s="1163"/>
      <c r="G818" s="1163"/>
      <c r="H818" s="1163"/>
      <c r="I818" s="1163"/>
    </row>
    <row r="819" spans="1:9" s="2422" customFormat="1">
      <c r="A819" s="2427"/>
      <c r="C819" s="1163"/>
      <c r="D819" s="1163"/>
      <c r="E819" s="1564"/>
      <c r="F819" s="1163"/>
      <c r="G819" s="1163"/>
      <c r="H819" s="1163"/>
      <c r="I819" s="1163"/>
    </row>
    <row r="820" spans="1:9" s="2422" customFormat="1">
      <c r="A820" s="2427"/>
      <c r="C820" s="1163"/>
      <c r="D820" s="1163"/>
      <c r="E820" s="1564"/>
      <c r="F820" s="1163"/>
      <c r="G820" s="1163"/>
      <c r="H820" s="1163"/>
      <c r="I820" s="1163"/>
    </row>
    <row r="821" spans="1:9" s="2422" customFormat="1">
      <c r="A821" s="2427"/>
      <c r="C821" s="1163"/>
      <c r="D821" s="1163"/>
      <c r="E821" s="1564"/>
      <c r="F821" s="1163"/>
      <c r="G821" s="1163"/>
      <c r="H821" s="1163"/>
      <c r="I821" s="1163"/>
    </row>
    <row r="822" spans="1:9" s="2422" customFormat="1">
      <c r="A822" s="2427"/>
      <c r="C822" s="1163"/>
      <c r="D822" s="1163"/>
      <c r="E822" s="1564"/>
      <c r="F822" s="1163"/>
      <c r="G822" s="1163"/>
      <c r="H822" s="1163"/>
      <c r="I822" s="1163"/>
    </row>
    <row r="823" spans="1:9" s="2422" customFormat="1">
      <c r="A823" s="2427"/>
      <c r="C823" s="1163"/>
      <c r="D823" s="1163"/>
      <c r="E823" s="1564"/>
      <c r="F823" s="1163"/>
      <c r="G823" s="1163"/>
      <c r="H823" s="1163"/>
      <c r="I823" s="1163"/>
    </row>
    <row r="824" spans="1:9" s="2422" customFormat="1">
      <c r="A824" s="2427"/>
      <c r="C824" s="1163"/>
      <c r="D824" s="1163"/>
      <c r="E824" s="1564"/>
      <c r="F824" s="1163"/>
      <c r="G824" s="1163"/>
      <c r="H824" s="1163"/>
      <c r="I824" s="1163"/>
    </row>
    <row r="825" spans="1:9" s="2422" customFormat="1">
      <c r="A825" s="2427"/>
      <c r="C825" s="1163"/>
      <c r="D825" s="1163"/>
      <c r="E825" s="1564"/>
      <c r="F825" s="1163"/>
      <c r="G825" s="1163"/>
      <c r="H825" s="1163"/>
      <c r="I825" s="1163"/>
    </row>
    <row r="826" spans="1:9" s="2422" customFormat="1">
      <c r="A826" s="2427"/>
      <c r="C826" s="1163"/>
      <c r="D826" s="1163"/>
      <c r="E826" s="1564"/>
      <c r="F826" s="1163"/>
      <c r="G826" s="1163"/>
      <c r="H826" s="1163"/>
      <c r="I826" s="1163"/>
    </row>
    <row r="827" spans="1:9" s="2422" customFormat="1">
      <c r="A827" s="2427"/>
      <c r="C827" s="1163"/>
      <c r="D827" s="1163"/>
      <c r="E827" s="1564"/>
      <c r="F827" s="1163"/>
      <c r="G827" s="1163"/>
      <c r="H827" s="1163"/>
      <c r="I827" s="1163"/>
    </row>
    <row r="828" spans="1:9" s="2422" customFormat="1">
      <c r="A828" s="2427"/>
      <c r="C828" s="1163"/>
      <c r="D828" s="1163"/>
      <c r="E828" s="1564"/>
      <c r="F828" s="1163"/>
      <c r="G828" s="1163"/>
      <c r="H828" s="1163"/>
      <c r="I828" s="1163"/>
    </row>
    <row r="829" spans="1:9" s="2422" customFormat="1">
      <c r="A829" s="2427"/>
      <c r="C829" s="1163"/>
      <c r="D829" s="1163"/>
      <c r="E829" s="1564"/>
      <c r="F829" s="1163"/>
      <c r="G829" s="1163"/>
      <c r="H829" s="1163"/>
      <c r="I829" s="1163"/>
    </row>
    <row r="830" spans="1:9" s="2422" customFormat="1">
      <c r="A830" s="2427"/>
      <c r="C830" s="1163"/>
      <c r="D830" s="1163"/>
      <c r="E830" s="1564"/>
      <c r="F830" s="1163"/>
      <c r="G830" s="1163"/>
      <c r="H830" s="1163"/>
      <c r="I830" s="1163"/>
    </row>
    <row r="831" spans="1:9" s="2422" customFormat="1">
      <c r="A831" s="2427"/>
      <c r="C831" s="1163"/>
      <c r="D831" s="1163"/>
      <c r="E831" s="1564"/>
      <c r="F831" s="1163"/>
      <c r="G831" s="1163"/>
      <c r="H831" s="1163"/>
      <c r="I831" s="1163"/>
    </row>
    <row r="832" spans="1:9" s="2422" customFormat="1">
      <c r="A832" s="2427"/>
      <c r="C832" s="1163"/>
      <c r="D832" s="1163"/>
      <c r="E832" s="1564"/>
      <c r="F832" s="1163"/>
      <c r="G832" s="1163"/>
      <c r="H832" s="1163"/>
      <c r="I832" s="1163"/>
    </row>
    <row r="833" spans="1:9" s="2422" customFormat="1">
      <c r="A833" s="2427"/>
      <c r="C833" s="1163"/>
      <c r="D833" s="1163"/>
      <c r="E833" s="1564"/>
      <c r="F833" s="1163"/>
      <c r="G833" s="1163"/>
      <c r="H833" s="1163"/>
      <c r="I833" s="1163"/>
    </row>
    <row r="834" spans="1:9" s="2422" customFormat="1">
      <c r="A834" s="2427"/>
      <c r="C834" s="1163"/>
      <c r="D834" s="1163"/>
      <c r="E834" s="1564"/>
      <c r="F834" s="1163"/>
      <c r="G834" s="1163"/>
      <c r="H834" s="1163"/>
      <c r="I834" s="1163"/>
    </row>
    <row r="835" spans="1:9" s="2422" customFormat="1">
      <c r="A835" s="2427"/>
      <c r="C835" s="1163"/>
      <c r="D835" s="1163"/>
      <c r="E835" s="1564"/>
      <c r="F835" s="1163"/>
      <c r="G835" s="1163"/>
      <c r="H835" s="1163"/>
      <c r="I835" s="1163"/>
    </row>
    <row r="836" spans="1:9" s="2422" customFormat="1">
      <c r="A836" s="2427"/>
      <c r="C836" s="1163"/>
      <c r="D836" s="1163"/>
      <c r="E836" s="1564"/>
      <c r="F836" s="1163"/>
      <c r="G836" s="1163"/>
      <c r="H836" s="1163"/>
      <c r="I836" s="1163"/>
    </row>
    <row r="837" spans="1:9" s="2422" customFormat="1">
      <c r="A837" s="2427"/>
      <c r="C837" s="1163"/>
      <c r="D837" s="1163"/>
      <c r="E837" s="1564"/>
      <c r="F837" s="1163"/>
      <c r="G837" s="1163"/>
      <c r="H837" s="1163"/>
      <c r="I837" s="1163"/>
    </row>
    <row r="838" spans="1:9" s="2422" customFormat="1">
      <c r="A838" s="2427"/>
      <c r="C838" s="1163"/>
      <c r="D838" s="1163"/>
      <c r="E838" s="1564"/>
      <c r="F838" s="1163"/>
      <c r="G838" s="1163"/>
      <c r="H838" s="1163"/>
      <c r="I838" s="1163"/>
    </row>
    <row r="839" spans="1:9" s="2422" customFormat="1">
      <c r="A839" s="2427"/>
      <c r="C839" s="1163"/>
      <c r="D839" s="1163"/>
      <c r="E839" s="1564"/>
      <c r="F839" s="1163"/>
      <c r="G839" s="1163"/>
      <c r="H839" s="1163"/>
      <c r="I839" s="1163"/>
    </row>
    <row r="840" spans="1:9" s="2422" customFormat="1">
      <c r="A840" s="2427"/>
      <c r="C840" s="1163"/>
      <c r="D840" s="1163"/>
      <c r="E840" s="1564"/>
      <c r="F840" s="1163"/>
      <c r="G840" s="1163"/>
      <c r="H840" s="1163"/>
      <c r="I840" s="1163"/>
    </row>
    <row r="841" spans="1:9" s="2422" customFormat="1">
      <c r="A841" s="2427"/>
      <c r="C841" s="1163"/>
      <c r="D841" s="1163"/>
      <c r="E841" s="1564"/>
      <c r="F841" s="1163"/>
      <c r="G841" s="1163"/>
      <c r="H841" s="1163"/>
      <c r="I841" s="1163"/>
    </row>
    <row r="842" spans="1:9" s="2422" customFormat="1">
      <c r="A842" s="2427"/>
      <c r="C842" s="1163"/>
      <c r="D842" s="1163"/>
      <c r="E842" s="1564"/>
      <c r="F842" s="1163"/>
      <c r="G842" s="1163"/>
      <c r="H842" s="1163"/>
      <c r="I842" s="1163"/>
    </row>
    <row r="843" spans="1:9" s="2422" customFormat="1">
      <c r="A843" s="2427"/>
      <c r="C843" s="1163"/>
      <c r="D843" s="1163"/>
      <c r="E843" s="1564"/>
      <c r="F843" s="1163"/>
      <c r="G843" s="1163"/>
      <c r="H843" s="1163"/>
      <c r="I843" s="1163"/>
    </row>
    <row r="844" spans="1:9" s="2422" customFormat="1">
      <c r="A844" s="2427"/>
      <c r="C844" s="1163"/>
      <c r="D844" s="1163"/>
      <c r="E844" s="1564"/>
      <c r="F844" s="1163"/>
      <c r="G844" s="1163"/>
      <c r="H844" s="1163"/>
      <c r="I844" s="1163"/>
    </row>
    <row r="845" spans="1:9" s="2422" customFormat="1">
      <c r="A845" s="2427"/>
      <c r="C845" s="1163"/>
      <c r="D845" s="1163"/>
      <c r="E845" s="1564"/>
      <c r="F845" s="1163"/>
      <c r="G845" s="1163"/>
      <c r="H845" s="1163"/>
      <c r="I845" s="1163"/>
    </row>
    <row r="846" spans="1:9" s="2422" customFormat="1">
      <c r="A846" s="2427"/>
      <c r="C846" s="1163"/>
      <c r="D846" s="1163"/>
      <c r="E846" s="1564"/>
      <c r="F846" s="1163"/>
      <c r="G846" s="1163"/>
      <c r="H846" s="1163"/>
      <c r="I846" s="1163"/>
    </row>
    <row r="847" spans="1:9" s="2422" customFormat="1">
      <c r="A847" s="2427"/>
      <c r="C847" s="1163"/>
      <c r="D847" s="1163"/>
      <c r="E847" s="1564"/>
      <c r="F847" s="1163"/>
      <c r="G847" s="1163"/>
      <c r="H847" s="1163"/>
      <c r="I847" s="1163"/>
    </row>
    <row r="848" spans="1:9" s="2422" customFormat="1">
      <c r="A848" s="2427"/>
      <c r="C848" s="1163"/>
      <c r="D848" s="1163"/>
      <c r="E848" s="1564"/>
      <c r="F848" s="1163"/>
      <c r="G848" s="1163"/>
      <c r="H848" s="1163"/>
      <c r="I848" s="1163"/>
    </row>
    <row r="849" spans="1:9" s="2422" customFormat="1">
      <c r="A849" s="2427"/>
      <c r="C849" s="1163"/>
      <c r="D849" s="1163"/>
      <c r="E849" s="1564"/>
      <c r="F849" s="1163"/>
      <c r="G849" s="1163"/>
      <c r="H849" s="1163"/>
      <c r="I849" s="1163"/>
    </row>
    <row r="850" spans="1:9" s="2422" customFormat="1">
      <c r="A850" s="2427"/>
      <c r="C850" s="1163"/>
      <c r="D850" s="1163"/>
      <c r="E850" s="1564"/>
      <c r="F850" s="1163"/>
      <c r="G850" s="1163"/>
      <c r="H850" s="1163"/>
      <c r="I850" s="1163"/>
    </row>
    <row r="851" spans="1:9" s="2422" customFormat="1">
      <c r="A851" s="2427"/>
      <c r="C851" s="1163"/>
      <c r="D851" s="1163"/>
      <c r="E851" s="1564"/>
      <c r="F851" s="1163"/>
      <c r="G851" s="1163"/>
      <c r="H851" s="1163"/>
      <c r="I851" s="1163"/>
    </row>
    <row r="852" spans="1:9" s="2422" customFormat="1">
      <c r="A852" s="2427"/>
      <c r="C852" s="1163"/>
      <c r="D852" s="1163"/>
      <c r="E852" s="1564"/>
      <c r="F852" s="1163"/>
      <c r="G852" s="1163"/>
      <c r="H852" s="1163"/>
      <c r="I852" s="1163"/>
    </row>
    <row r="853" spans="1:9" s="2422" customFormat="1">
      <c r="A853" s="2427"/>
      <c r="C853" s="1163"/>
      <c r="D853" s="1163"/>
      <c r="E853" s="1564"/>
      <c r="F853" s="1163"/>
      <c r="G853" s="1163"/>
      <c r="H853" s="1163"/>
      <c r="I853" s="1163"/>
    </row>
    <row r="854" spans="1:9" s="2422" customFormat="1">
      <c r="A854" s="2427"/>
      <c r="C854" s="1163"/>
      <c r="D854" s="1163"/>
      <c r="E854" s="1564"/>
      <c r="F854" s="1163"/>
      <c r="G854" s="1163"/>
      <c r="H854" s="1163"/>
      <c r="I854" s="1163"/>
    </row>
    <row r="855" spans="1:9" s="2422" customFormat="1">
      <c r="A855" s="2427"/>
      <c r="C855" s="1163"/>
      <c r="D855" s="1163"/>
      <c r="E855" s="1564"/>
      <c r="F855" s="1163"/>
      <c r="G855" s="1163"/>
      <c r="H855" s="1163"/>
      <c r="I855" s="1163"/>
    </row>
    <row r="856" spans="1:9" s="2422" customFormat="1">
      <c r="A856" s="2427"/>
      <c r="C856" s="1163"/>
      <c r="D856" s="1163"/>
      <c r="E856" s="1564"/>
      <c r="F856" s="1163"/>
      <c r="G856" s="1163"/>
      <c r="H856" s="1163"/>
      <c r="I856" s="1163"/>
    </row>
    <row r="857" spans="1:9" s="2422" customFormat="1">
      <c r="A857" s="2427"/>
      <c r="C857" s="1163"/>
      <c r="D857" s="1163"/>
      <c r="E857" s="1564"/>
      <c r="F857" s="1163"/>
      <c r="G857" s="1163"/>
      <c r="H857" s="1163"/>
      <c r="I857" s="1163"/>
    </row>
    <row r="858" spans="1:9" s="2422" customFormat="1">
      <c r="A858" s="2427"/>
      <c r="C858" s="1163"/>
      <c r="D858" s="1163"/>
      <c r="E858" s="1564"/>
      <c r="F858" s="1163"/>
      <c r="G858" s="1163"/>
      <c r="H858" s="1163"/>
      <c r="I858" s="1163"/>
    </row>
    <row r="859" spans="1:9" s="2422" customFormat="1">
      <c r="A859" s="2427"/>
      <c r="C859" s="1163"/>
      <c r="D859" s="1163"/>
      <c r="E859" s="1564"/>
      <c r="F859" s="1163"/>
      <c r="G859" s="1163"/>
      <c r="H859" s="1163"/>
      <c r="I859" s="1163"/>
    </row>
    <row r="860" spans="1:9" s="2422" customFormat="1">
      <c r="A860" s="2427"/>
      <c r="C860" s="1163"/>
      <c r="D860" s="1163"/>
      <c r="E860" s="1564"/>
      <c r="F860" s="1163"/>
      <c r="G860" s="1163"/>
      <c r="H860" s="1163"/>
      <c r="I860" s="1163"/>
    </row>
    <row r="861" spans="1:9" s="2422" customFormat="1">
      <c r="A861" s="2427"/>
      <c r="C861" s="1163"/>
      <c r="D861" s="1163"/>
      <c r="E861" s="1564"/>
      <c r="F861" s="1163"/>
      <c r="G861" s="1163"/>
      <c r="H861" s="1163"/>
      <c r="I861" s="1163"/>
    </row>
    <row r="862" spans="1:9" s="2422" customFormat="1">
      <c r="A862" s="2427"/>
      <c r="C862" s="1163"/>
      <c r="D862" s="1163"/>
      <c r="E862" s="1564"/>
      <c r="F862" s="1163"/>
      <c r="G862" s="1163"/>
      <c r="H862" s="1163"/>
      <c r="I862" s="1163"/>
    </row>
    <row r="863" spans="1:9" s="2422" customFormat="1">
      <c r="A863" s="2427"/>
      <c r="C863" s="1163"/>
      <c r="D863" s="1163"/>
      <c r="E863" s="1564"/>
      <c r="F863" s="1163"/>
      <c r="G863" s="1163"/>
      <c r="H863" s="1163"/>
      <c r="I863" s="1163"/>
    </row>
    <row r="864" spans="1:9" s="2422" customFormat="1">
      <c r="A864" s="2427"/>
      <c r="C864" s="1163"/>
      <c r="D864" s="1163"/>
      <c r="E864" s="1564"/>
      <c r="F864" s="1163"/>
      <c r="G864" s="1163"/>
      <c r="H864" s="1163"/>
      <c r="I864" s="1163"/>
    </row>
    <row r="865" spans="1:9" s="2422" customFormat="1">
      <c r="A865" s="2427"/>
      <c r="C865" s="1163"/>
      <c r="D865" s="1163"/>
      <c r="E865" s="1564"/>
      <c r="F865" s="1163"/>
      <c r="G865" s="1163"/>
      <c r="H865" s="1163"/>
      <c r="I865" s="1163"/>
    </row>
    <row r="866" spans="1:9" s="2422" customFormat="1">
      <c r="A866" s="2427"/>
      <c r="C866" s="1163"/>
      <c r="D866" s="1163"/>
      <c r="E866" s="1564"/>
      <c r="F866" s="1163"/>
      <c r="G866" s="1163"/>
      <c r="H866" s="1163"/>
      <c r="I866" s="1163"/>
    </row>
    <row r="867" spans="1:9" s="2422" customFormat="1">
      <c r="A867" s="2427"/>
      <c r="C867" s="1163"/>
      <c r="D867" s="1163"/>
      <c r="E867" s="1564"/>
      <c r="F867" s="1163"/>
      <c r="G867" s="1163"/>
      <c r="H867" s="1163"/>
      <c r="I867" s="1163"/>
    </row>
    <row r="868" spans="1:9" s="2422" customFormat="1">
      <c r="A868" s="2427"/>
      <c r="C868" s="1163"/>
      <c r="D868" s="1163"/>
      <c r="E868" s="1564"/>
      <c r="F868" s="1163"/>
      <c r="G868" s="1163"/>
      <c r="H868" s="1163"/>
      <c r="I868" s="1163"/>
    </row>
    <row r="869" spans="1:9" s="2422" customFormat="1">
      <c r="A869" s="2427"/>
      <c r="C869" s="1163"/>
      <c r="D869" s="1163"/>
      <c r="E869" s="1564"/>
      <c r="F869" s="1163"/>
      <c r="G869" s="1163"/>
      <c r="H869" s="1163"/>
      <c r="I869" s="1163"/>
    </row>
    <row r="870" spans="1:9" s="2422" customFormat="1">
      <c r="A870" s="2427"/>
      <c r="C870" s="1163"/>
      <c r="D870" s="1163"/>
      <c r="E870" s="1564"/>
      <c r="F870" s="1163"/>
      <c r="G870" s="1163"/>
      <c r="H870" s="1163"/>
      <c r="I870" s="1163"/>
    </row>
    <row r="871" spans="1:9" s="2422" customFormat="1">
      <c r="A871" s="2427"/>
      <c r="C871" s="1163"/>
      <c r="D871" s="1163"/>
      <c r="E871" s="1564"/>
      <c r="F871" s="1163"/>
      <c r="G871" s="1163"/>
      <c r="H871" s="1163"/>
      <c r="I871" s="1163"/>
    </row>
    <row r="872" spans="1:9" s="2422" customFormat="1">
      <c r="A872" s="2427"/>
      <c r="C872" s="1163"/>
      <c r="D872" s="1163"/>
      <c r="E872" s="1564"/>
      <c r="F872" s="1163"/>
      <c r="G872" s="1163"/>
      <c r="H872" s="1163"/>
      <c r="I872" s="1163"/>
    </row>
    <row r="873" spans="1:9" s="2422" customFormat="1">
      <c r="A873" s="2427"/>
      <c r="C873" s="1163"/>
      <c r="D873" s="1163"/>
      <c r="E873" s="1564"/>
      <c r="F873" s="1163"/>
      <c r="G873" s="1163"/>
      <c r="H873" s="1163"/>
      <c r="I873" s="1163"/>
    </row>
    <row r="874" spans="1:9" s="2422" customFormat="1">
      <c r="A874" s="2427"/>
      <c r="C874" s="1163"/>
      <c r="D874" s="1163"/>
      <c r="E874" s="1564"/>
      <c r="F874" s="1163"/>
      <c r="G874" s="1163"/>
      <c r="H874" s="1163"/>
      <c r="I874" s="1163"/>
    </row>
    <row r="875" spans="1:9" s="2422" customFormat="1">
      <c r="A875" s="2427"/>
      <c r="C875" s="1163"/>
      <c r="D875" s="1163"/>
      <c r="E875" s="1564"/>
      <c r="F875" s="1163"/>
      <c r="G875" s="1163"/>
      <c r="H875" s="1163"/>
      <c r="I875" s="1163"/>
    </row>
    <row r="876" spans="1:9" s="2422" customFormat="1">
      <c r="A876" s="2427"/>
      <c r="C876" s="1163"/>
      <c r="D876" s="1163"/>
      <c r="E876" s="1564"/>
      <c r="F876" s="1163"/>
      <c r="G876" s="1163"/>
      <c r="H876" s="1163"/>
      <c r="I876" s="1163"/>
    </row>
    <row r="877" spans="1:9" s="2422" customFormat="1">
      <c r="A877" s="2427"/>
      <c r="C877" s="1163"/>
      <c r="D877" s="1163"/>
      <c r="E877" s="1564"/>
      <c r="F877" s="1163"/>
      <c r="G877" s="1163"/>
      <c r="H877" s="1163"/>
      <c r="I877" s="1163"/>
    </row>
    <row r="878" spans="1:9" s="2422" customFormat="1">
      <c r="A878" s="2427"/>
      <c r="C878" s="1163"/>
      <c r="D878" s="1163"/>
      <c r="E878" s="1564"/>
      <c r="F878" s="1163"/>
      <c r="G878" s="1163"/>
      <c r="H878" s="1163"/>
      <c r="I878" s="1163"/>
    </row>
    <row r="879" spans="1:9" s="2422" customFormat="1">
      <c r="A879" s="2427"/>
      <c r="C879" s="1163"/>
      <c r="D879" s="1163"/>
      <c r="E879" s="1564"/>
      <c r="F879" s="1163"/>
      <c r="G879" s="1163"/>
      <c r="H879" s="1163"/>
      <c r="I879" s="1163"/>
    </row>
    <row r="880" spans="1:9" s="2422" customFormat="1">
      <c r="A880" s="2427"/>
      <c r="C880" s="1163"/>
      <c r="D880" s="1163"/>
      <c r="E880" s="1564"/>
      <c r="F880" s="1163"/>
      <c r="G880" s="1163"/>
      <c r="H880" s="1163"/>
      <c r="I880" s="1163"/>
    </row>
    <row r="881" spans="1:9" s="2422" customFormat="1">
      <c r="A881" s="2427"/>
      <c r="C881" s="1163"/>
      <c r="D881" s="1163"/>
      <c r="E881" s="1564"/>
      <c r="F881" s="1163"/>
      <c r="G881" s="1163"/>
      <c r="H881" s="1163"/>
      <c r="I881" s="1163"/>
    </row>
    <row r="882" spans="1:9" s="2422" customFormat="1">
      <c r="A882" s="2427"/>
      <c r="C882" s="1163"/>
      <c r="D882" s="1163"/>
      <c r="E882" s="1564"/>
      <c r="F882" s="1163"/>
      <c r="G882" s="1163"/>
      <c r="H882" s="1163"/>
      <c r="I882" s="1163"/>
    </row>
    <row r="883" spans="1:9" s="2422" customFormat="1">
      <c r="A883" s="2427"/>
      <c r="C883" s="1163"/>
      <c r="D883" s="1163"/>
      <c r="E883" s="1564"/>
      <c r="F883" s="1163"/>
      <c r="G883" s="1163"/>
      <c r="H883" s="1163"/>
      <c r="I883" s="1163"/>
    </row>
    <row r="884" spans="1:9" s="2422" customFormat="1">
      <c r="A884" s="2427"/>
      <c r="C884" s="1163"/>
      <c r="D884" s="1163"/>
      <c r="E884" s="1564"/>
      <c r="F884" s="1163"/>
      <c r="G884" s="1163"/>
      <c r="H884" s="1163"/>
      <c r="I884" s="1163"/>
    </row>
    <row r="885" spans="1:9" s="2422" customFormat="1">
      <c r="A885" s="2427"/>
      <c r="C885" s="1163"/>
      <c r="D885" s="1163"/>
      <c r="E885" s="1564"/>
      <c r="F885" s="1163"/>
      <c r="G885" s="1163"/>
      <c r="H885" s="1163"/>
      <c r="I885" s="1163"/>
    </row>
    <row r="886" spans="1:9" s="2422" customFormat="1">
      <c r="A886" s="2427"/>
      <c r="C886" s="1163"/>
      <c r="D886" s="1163"/>
      <c r="E886" s="1564"/>
      <c r="F886" s="1163"/>
      <c r="G886" s="1163"/>
      <c r="H886" s="1163"/>
      <c r="I886" s="1163"/>
    </row>
    <row r="887" spans="1:9" s="2422" customFormat="1">
      <c r="A887" s="2427"/>
      <c r="C887" s="1163"/>
      <c r="D887" s="1163"/>
      <c r="E887" s="1564"/>
      <c r="F887" s="1163"/>
      <c r="G887" s="1163"/>
      <c r="H887" s="1163"/>
      <c r="I887" s="1163"/>
    </row>
    <row r="888" spans="1:9" s="2422" customFormat="1">
      <c r="A888" s="2427"/>
      <c r="C888" s="1163"/>
      <c r="D888" s="1163"/>
      <c r="E888" s="1564"/>
      <c r="F888" s="1163"/>
      <c r="G888" s="1163"/>
      <c r="H888" s="1163"/>
      <c r="I888" s="1163"/>
    </row>
    <row r="889" spans="1:9" s="2422" customFormat="1">
      <c r="A889" s="2427"/>
      <c r="C889" s="1163"/>
      <c r="D889" s="1163"/>
      <c r="E889" s="1564"/>
      <c r="F889" s="1163"/>
      <c r="G889" s="1163"/>
      <c r="H889" s="1163"/>
      <c r="I889" s="1163"/>
    </row>
    <row r="890" spans="1:9" s="2422" customFormat="1">
      <c r="A890" s="2427"/>
      <c r="C890" s="1163"/>
      <c r="D890" s="1163"/>
      <c r="E890" s="1564"/>
      <c r="F890" s="1163"/>
      <c r="G890" s="1163"/>
      <c r="H890" s="1163"/>
      <c r="I890" s="1163"/>
    </row>
    <row r="891" spans="1:9" s="2422" customFormat="1">
      <c r="A891" s="2427"/>
      <c r="C891" s="1163"/>
      <c r="D891" s="1163"/>
      <c r="E891" s="1564"/>
      <c r="F891" s="1163"/>
      <c r="G891" s="1163"/>
      <c r="H891" s="1163"/>
      <c r="I891" s="1163"/>
    </row>
    <row r="892" spans="1:9" s="2422" customFormat="1">
      <c r="A892" s="2427"/>
      <c r="C892" s="1163"/>
      <c r="D892" s="1163"/>
      <c r="E892" s="1564"/>
      <c r="F892" s="1163"/>
      <c r="G892" s="1163"/>
      <c r="H892" s="1163"/>
      <c r="I892" s="1163"/>
    </row>
    <row r="893" spans="1:9" s="2422" customFormat="1">
      <c r="A893" s="2427"/>
      <c r="C893" s="1163"/>
      <c r="D893" s="1163"/>
      <c r="E893" s="1564"/>
      <c r="F893" s="1163"/>
      <c r="G893" s="1163"/>
      <c r="H893" s="1163"/>
      <c r="I893" s="1163"/>
    </row>
    <row r="894" spans="1:9" s="2422" customFormat="1">
      <c r="A894" s="2427"/>
      <c r="C894" s="1163"/>
      <c r="D894" s="1163"/>
      <c r="E894" s="1564"/>
      <c r="F894" s="1163"/>
      <c r="G894" s="1163"/>
      <c r="H894" s="1163"/>
      <c r="I894" s="1163"/>
    </row>
    <row r="895" spans="1:9" s="2422" customFormat="1">
      <c r="A895" s="2427"/>
      <c r="C895" s="1163"/>
      <c r="D895" s="1163"/>
      <c r="E895" s="1564"/>
      <c r="F895" s="1163"/>
      <c r="G895" s="1163"/>
      <c r="H895" s="1163"/>
      <c r="I895" s="1163"/>
    </row>
    <row r="896" spans="1:9" s="2422" customFormat="1">
      <c r="A896" s="2427"/>
      <c r="C896" s="1163"/>
      <c r="D896" s="1163"/>
      <c r="E896" s="1564"/>
      <c r="F896" s="1163"/>
      <c r="G896" s="1163"/>
      <c r="H896" s="1163"/>
      <c r="I896" s="1163"/>
    </row>
    <row r="897" spans="1:9" s="2422" customFormat="1">
      <c r="A897" s="2427"/>
      <c r="C897" s="1163"/>
      <c r="D897" s="1163"/>
      <c r="E897" s="1564"/>
      <c r="F897" s="1163"/>
      <c r="G897" s="1163"/>
      <c r="H897" s="1163"/>
      <c r="I897" s="1163"/>
    </row>
    <row r="898" spans="1:9" s="2422" customFormat="1">
      <c r="A898" s="2427"/>
      <c r="C898" s="1163"/>
      <c r="D898" s="1163"/>
      <c r="E898" s="1564"/>
      <c r="F898" s="1163"/>
      <c r="G898" s="1163"/>
      <c r="H898" s="1163"/>
      <c r="I898" s="1163"/>
    </row>
    <row r="899" spans="1:9" s="2422" customFormat="1">
      <c r="A899" s="2427"/>
      <c r="C899" s="1163"/>
      <c r="D899" s="1163"/>
      <c r="E899" s="1564"/>
      <c r="F899" s="1163"/>
      <c r="G899" s="1163"/>
      <c r="H899" s="1163"/>
      <c r="I899" s="1163"/>
    </row>
    <row r="900" spans="1:9" s="2422" customFormat="1">
      <c r="A900" s="2427"/>
      <c r="C900" s="1163"/>
      <c r="D900" s="1163"/>
      <c r="E900" s="1564"/>
      <c r="F900" s="1163"/>
      <c r="G900" s="1163"/>
      <c r="H900" s="1163"/>
      <c r="I900" s="1163"/>
    </row>
    <row r="901" spans="1:9" s="2422" customFormat="1">
      <c r="A901" s="2427"/>
      <c r="C901" s="1163"/>
      <c r="D901" s="1163"/>
      <c r="E901" s="1564"/>
      <c r="F901" s="1163"/>
      <c r="G901" s="1163"/>
      <c r="H901" s="1163"/>
      <c r="I901" s="1163"/>
    </row>
    <row r="902" spans="1:9" s="2422" customFormat="1">
      <c r="A902" s="2427"/>
      <c r="C902" s="1163"/>
      <c r="D902" s="1163"/>
      <c r="E902" s="1564"/>
      <c r="F902" s="1163"/>
      <c r="G902" s="1163"/>
      <c r="H902" s="1163"/>
      <c r="I902" s="1163"/>
    </row>
    <row r="903" spans="1:9" s="2422" customFormat="1">
      <c r="A903" s="2427"/>
      <c r="C903" s="1163"/>
      <c r="D903" s="1163"/>
      <c r="E903" s="1564"/>
      <c r="F903" s="1163"/>
      <c r="G903" s="1163"/>
      <c r="H903" s="1163"/>
      <c r="I903" s="1163"/>
    </row>
    <row r="904" spans="1:9" s="2422" customFormat="1">
      <c r="A904" s="2427"/>
      <c r="C904" s="1163"/>
      <c r="D904" s="1163"/>
      <c r="E904" s="1564"/>
      <c r="F904" s="1163"/>
      <c r="G904" s="1163"/>
      <c r="H904" s="1163"/>
      <c r="I904" s="1163"/>
    </row>
    <row r="905" spans="1:9" s="2422" customFormat="1">
      <c r="A905" s="2427"/>
      <c r="C905" s="1163"/>
      <c r="D905" s="1163"/>
      <c r="E905" s="1564"/>
      <c r="F905" s="1163"/>
      <c r="G905" s="1163"/>
      <c r="H905" s="1163"/>
      <c r="I905" s="1163"/>
    </row>
    <row r="906" spans="1:9" s="2422" customFormat="1">
      <c r="A906" s="2427"/>
      <c r="C906" s="1163"/>
      <c r="D906" s="1163"/>
      <c r="E906" s="1564"/>
      <c r="F906" s="1163"/>
      <c r="G906" s="1163"/>
      <c r="H906" s="1163"/>
      <c r="I906" s="1163"/>
    </row>
    <row r="907" spans="1:9" s="2422" customFormat="1">
      <c r="A907" s="2427"/>
      <c r="C907" s="1163"/>
      <c r="D907" s="1163"/>
      <c r="E907" s="1564"/>
      <c r="F907" s="1163"/>
      <c r="G907" s="1163"/>
      <c r="H907" s="1163"/>
      <c r="I907" s="1163"/>
    </row>
    <row r="908" spans="1:9" s="2422" customFormat="1">
      <c r="A908" s="2427"/>
      <c r="C908" s="1163"/>
      <c r="D908" s="1163"/>
      <c r="E908" s="1564"/>
      <c r="F908" s="1163"/>
      <c r="G908" s="1163"/>
      <c r="H908" s="1163"/>
      <c r="I908" s="1163"/>
    </row>
    <row r="909" spans="1:9" s="2422" customFormat="1">
      <c r="A909" s="2427"/>
      <c r="C909" s="1163"/>
      <c r="D909" s="1163"/>
      <c r="E909" s="1564"/>
      <c r="F909" s="1163"/>
      <c r="G909" s="1163"/>
      <c r="H909" s="1163"/>
      <c r="I909" s="1163"/>
    </row>
    <row r="910" spans="1:9" s="2422" customFormat="1">
      <c r="A910" s="2427"/>
      <c r="C910" s="1163"/>
      <c r="D910" s="1163"/>
      <c r="E910" s="1564"/>
      <c r="F910" s="1163"/>
      <c r="G910" s="1163"/>
      <c r="H910" s="1163"/>
      <c r="I910" s="1163"/>
    </row>
    <row r="911" spans="1:9" s="2422" customFormat="1">
      <c r="A911" s="2427"/>
      <c r="C911" s="1163"/>
      <c r="D911" s="1163"/>
      <c r="E911" s="1564"/>
      <c r="F911" s="1163"/>
      <c r="G911" s="1163"/>
      <c r="H911" s="1163"/>
      <c r="I911" s="1163"/>
    </row>
    <row r="912" spans="1:9" s="2422" customFormat="1">
      <c r="A912" s="2427"/>
      <c r="C912" s="1163"/>
      <c r="D912" s="1163"/>
      <c r="E912" s="1564"/>
      <c r="F912" s="1163"/>
      <c r="G912" s="1163"/>
      <c r="H912" s="1163"/>
      <c r="I912" s="1163"/>
    </row>
    <row r="913" spans="1:9" s="2422" customFormat="1">
      <c r="A913" s="2427"/>
      <c r="C913" s="1163"/>
      <c r="D913" s="1163"/>
      <c r="E913" s="1564"/>
      <c r="F913" s="1163"/>
      <c r="G913" s="1163"/>
      <c r="H913" s="1163"/>
      <c r="I913" s="1163"/>
    </row>
    <row r="914" spans="1:9" s="2422" customFormat="1">
      <c r="A914" s="2427"/>
      <c r="C914" s="1163"/>
      <c r="D914" s="1163"/>
      <c r="E914" s="1564"/>
      <c r="F914" s="1163"/>
      <c r="G914" s="1163"/>
      <c r="H914" s="1163"/>
      <c r="I914" s="1163"/>
    </row>
    <row r="915" spans="1:9" s="2422" customFormat="1">
      <c r="A915" s="2427"/>
      <c r="C915" s="1163"/>
      <c r="D915" s="1163"/>
      <c r="E915" s="1564"/>
      <c r="F915" s="1163"/>
      <c r="G915" s="1163"/>
      <c r="H915" s="1163"/>
      <c r="I915" s="1163"/>
    </row>
    <row r="916" spans="1:9" s="2422" customFormat="1">
      <c r="A916" s="2427"/>
      <c r="C916" s="1163"/>
      <c r="D916" s="1163"/>
      <c r="E916" s="1564"/>
      <c r="F916" s="1163"/>
      <c r="G916" s="1163"/>
      <c r="H916" s="1163"/>
      <c r="I916" s="1163"/>
    </row>
    <row r="917" spans="1:9" s="2422" customFormat="1">
      <c r="A917" s="2427"/>
      <c r="C917" s="1163"/>
      <c r="D917" s="1163"/>
      <c r="E917" s="1564"/>
      <c r="F917" s="1163"/>
      <c r="G917" s="1163"/>
      <c r="H917" s="1163"/>
      <c r="I917" s="1163"/>
    </row>
    <row r="918" spans="1:9" s="2422" customFormat="1">
      <c r="A918" s="2427"/>
      <c r="C918" s="1163"/>
      <c r="D918" s="1163"/>
      <c r="E918" s="1564"/>
      <c r="F918" s="1163"/>
      <c r="G918" s="1163"/>
      <c r="H918" s="1163"/>
      <c r="I918" s="1163"/>
    </row>
    <row r="919" spans="1:9" s="2422" customFormat="1">
      <c r="A919" s="2427"/>
      <c r="C919" s="1163"/>
      <c r="D919" s="1163"/>
      <c r="E919" s="1564"/>
      <c r="F919" s="1163"/>
      <c r="G919" s="1163"/>
      <c r="H919" s="1163"/>
      <c r="I919" s="1163"/>
    </row>
    <row r="920" spans="1:9" s="2422" customFormat="1">
      <c r="A920" s="2427"/>
      <c r="C920" s="1163"/>
      <c r="D920" s="1163"/>
      <c r="E920" s="1564"/>
      <c r="F920" s="1163"/>
      <c r="G920" s="1163"/>
      <c r="H920" s="1163"/>
      <c r="I920" s="1163"/>
    </row>
    <row r="921" spans="1:9" s="2422" customFormat="1">
      <c r="A921" s="2427"/>
      <c r="C921" s="1163"/>
      <c r="D921" s="1163"/>
      <c r="E921" s="1564"/>
      <c r="F921" s="1163"/>
      <c r="G921" s="1163"/>
      <c r="H921" s="1163"/>
      <c r="I921" s="1163"/>
    </row>
    <row r="922" spans="1:9" s="2422" customFormat="1">
      <c r="A922" s="2427"/>
      <c r="C922" s="1163"/>
      <c r="D922" s="1163"/>
      <c r="E922" s="1564"/>
      <c r="F922" s="1163"/>
      <c r="G922" s="1163"/>
      <c r="H922" s="1163"/>
      <c r="I922" s="1163"/>
    </row>
    <row r="923" spans="1:9" s="2422" customFormat="1">
      <c r="A923" s="2427"/>
      <c r="C923" s="1163"/>
      <c r="D923" s="1163"/>
      <c r="E923" s="1564"/>
      <c r="F923" s="1163"/>
      <c r="G923" s="1163"/>
      <c r="H923" s="1163"/>
      <c r="I923" s="1163"/>
    </row>
    <row r="924" spans="1:9" s="2422" customFormat="1">
      <c r="A924" s="2427"/>
      <c r="C924" s="1163"/>
      <c r="D924" s="1163"/>
      <c r="E924" s="1564"/>
      <c r="F924" s="1163"/>
      <c r="G924" s="1163"/>
      <c r="H924" s="1163"/>
      <c r="I924" s="1163"/>
    </row>
    <row r="925" spans="1:9" s="2422" customFormat="1">
      <c r="A925" s="2427"/>
      <c r="C925" s="1163"/>
      <c r="D925" s="1163"/>
      <c r="E925" s="1564"/>
      <c r="F925" s="1163"/>
      <c r="G925" s="1163"/>
      <c r="H925" s="1163"/>
      <c r="I925" s="1163"/>
    </row>
    <row r="926" spans="1:9" s="2422" customFormat="1">
      <c r="A926" s="2427"/>
      <c r="C926" s="1163"/>
      <c r="D926" s="1163"/>
      <c r="E926" s="1564"/>
      <c r="F926" s="1163"/>
      <c r="G926" s="1163"/>
      <c r="H926" s="1163"/>
      <c r="I926" s="1163"/>
    </row>
    <row r="927" spans="1:9" s="2422" customFormat="1">
      <c r="A927" s="2427"/>
      <c r="C927" s="1163"/>
      <c r="D927" s="1163"/>
      <c r="E927" s="1564"/>
      <c r="F927" s="1163"/>
      <c r="G927" s="1163"/>
      <c r="H927" s="1163"/>
      <c r="I927" s="1163"/>
    </row>
    <row r="928" spans="1:9" s="2422" customFormat="1">
      <c r="A928" s="2427"/>
      <c r="C928" s="1163"/>
      <c r="D928" s="1163"/>
      <c r="E928" s="1564"/>
      <c r="F928" s="1163"/>
      <c r="G928" s="1163"/>
      <c r="H928" s="1163"/>
      <c r="I928" s="1163"/>
    </row>
    <row r="929" spans="1:9" s="2422" customFormat="1">
      <c r="A929" s="2427"/>
      <c r="C929" s="1163"/>
      <c r="D929" s="1163"/>
      <c r="E929" s="1564"/>
      <c r="F929" s="1163"/>
      <c r="G929" s="1163"/>
      <c r="H929" s="1163"/>
      <c r="I929" s="1163"/>
    </row>
    <row r="930" spans="1:9" s="2422" customFormat="1">
      <c r="A930" s="2427"/>
      <c r="C930" s="1163"/>
      <c r="D930" s="1163"/>
      <c r="E930" s="1564"/>
      <c r="F930" s="1163"/>
      <c r="G930" s="1163"/>
      <c r="H930" s="1163"/>
      <c r="I930" s="1163"/>
    </row>
    <row r="931" spans="1:9" s="2422" customFormat="1">
      <c r="A931" s="2427"/>
      <c r="C931" s="1163"/>
      <c r="D931" s="1163"/>
      <c r="E931" s="1564"/>
      <c r="F931" s="1163"/>
      <c r="G931" s="1163"/>
      <c r="H931" s="1163"/>
      <c r="I931" s="1163"/>
    </row>
    <row r="932" spans="1:9" s="2422" customFormat="1">
      <c r="A932" s="2427"/>
      <c r="C932" s="1163"/>
      <c r="D932" s="1163"/>
      <c r="E932" s="1564"/>
      <c r="F932" s="1163"/>
      <c r="G932" s="1163"/>
      <c r="H932" s="1163"/>
      <c r="I932" s="1163"/>
    </row>
    <row r="933" spans="1:9" s="2422" customFormat="1">
      <c r="A933" s="2427"/>
      <c r="C933" s="1163"/>
      <c r="D933" s="1163"/>
      <c r="E933" s="1564"/>
      <c r="F933" s="1163"/>
      <c r="G933" s="1163"/>
      <c r="H933" s="1163"/>
      <c r="I933" s="1163"/>
    </row>
    <row r="934" spans="1:9" s="2422" customFormat="1">
      <c r="A934" s="2427"/>
      <c r="C934" s="1163"/>
      <c r="D934" s="1163"/>
      <c r="E934" s="1564"/>
      <c r="F934" s="1163"/>
      <c r="G934" s="1163"/>
      <c r="H934" s="1163"/>
      <c r="I934" s="1163"/>
    </row>
    <row r="935" spans="1:9" s="2422" customFormat="1">
      <c r="A935" s="2427"/>
      <c r="C935" s="1163"/>
      <c r="D935" s="1163"/>
      <c r="E935" s="1564"/>
      <c r="F935" s="1163"/>
      <c r="G935" s="1163"/>
      <c r="H935" s="1163"/>
      <c r="I935" s="1163"/>
    </row>
    <row r="936" spans="1:9" s="2422" customFormat="1">
      <c r="A936" s="2427"/>
      <c r="C936" s="1163"/>
      <c r="D936" s="1163"/>
      <c r="E936" s="1564"/>
      <c r="F936" s="1163"/>
      <c r="G936" s="1163"/>
      <c r="H936" s="1163"/>
      <c r="I936" s="1163"/>
    </row>
    <row r="937" spans="1:9" s="2422" customFormat="1">
      <c r="A937" s="2427"/>
      <c r="C937" s="1163"/>
      <c r="D937" s="1163"/>
      <c r="E937" s="1564"/>
      <c r="F937" s="1163"/>
      <c r="G937" s="1163"/>
      <c r="H937" s="1163"/>
      <c r="I937" s="1163"/>
    </row>
    <row r="938" spans="1:9" s="2422" customFormat="1">
      <c r="A938" s="2427"/>
      <c r="C938" s="1163"/>
      <c r="D938" s="1163"/>
      <c r="E938" s="1564"/>
      <c r="F938" s="1163"/>
      <c r="G938" s="1163"/>
      <c r="H938" s="1163"/>
      <c r="I938" s="1163"/>
    </row>
    <row r="939" spans="1:9" s="2422" customFormat="1">
      <c r="A939" s="2427"/>
      <c r="C939" s="1163"/>
      <c r="D939" s="1163"/>
      <c r="E939" s="1564"/>
      <c r="F939" s="1163"/>
      <c r="G939" s="1163"/>
      <c r="H939" s="1163"/>
      <c r="I939" s="1163"/>
    </row>
    <row r="940" spans="1:9" s="2422" customFormat="1">
      <c r="A940" s="2427"/>
      <c r="C940" s="1163"/>
      <c r="D940" s="1163"/>
      <c r="E940" s="1564"/>
      <c r="F940" s="1163"/>
      <c r="G940" s="1163"/>
      <c r="H940" s="1163"/>
      <c r="I940" s="1163"/>
    </row>
    <row r="941" spans="1:9" s="2422" customFormat="1">
      <c r="A941" s="2427"/>
      <c r="C941" s="1163"/>
      <c r="D941" s="1163"/>
      <c r="E941" s="1564"/>
      <c r="F941" s="1163"/>
      <c r="G941" s="1163"/>
      <c r="H941" s="1163"/>
      <c r="I941" s="1163"/>
    </row>
    <row r="942" spans="1:9" s="2422" customFormat="1">
      <c r="A942" s="2427"/>
      <c r="C942" s="1163"/>
      <c r="D942" s="1163"/>
      <c r="E942" s="1564"/>
      <c r="F942" s="1163"/>
      <c r="G942" s="1163"/>
      <c r="H942" s="1163"/>
      <c r="I942" s="1163"/>
    </row>
    <row r="943" spans="1:9" s="2422" customFormat="1">
      <c r="A943" s="2427"/>
      <c r="C943" s="1163"/>
      <c r="D943" s="1163"/>
      <c r="E943" s="1564"/>
      <c r="F943" s="1163"/>
      <c r="G943" s="1163"/>
      <c r="H943" s="1163"/>
      <c r="I943" s="1163"/>
    </row>
    <row r="944" spans="1:9" s="2422" customFormat="1">
      <c r="A944" s="2427"/>
      <c r="C944" s="1163"/>
      <c r="D944" s="1163"/>
      <c r="E944" s="1564"/>
      <c r="F944" s="1163"/>
      <c r="G944" s="1163"/>
      <c r="H944" s="1163"/>
      <c r="I944" s="1163"/>
    </row>
    <row r="945" spans="1:9" s="2422" customFormat="1">
      <c r="A945" s="2427"/>
      <c r="C945" s="1163"/>
      <c r="D945" s="1163"/>
      <c r="E945" s="1564"/>
      <c r="F945" s="1163"/>
      <c r="G945" s="1163"/>
      <c r="H945" s="1163"/>
      <c r="I945" s="1163"/>
    </row>
    <row r="946" spans="1:9" s="2422" customFormat="1">
      <c r="A946" s="2427"/>
      <c r="C946" s="1163"/>
      <c r="D946" s="1163"/>
      <c r="E946" s="1564"/>
      <c r="F946" s="1163"/>
      <c r="G946" s="1163"/>
      <c r="H946" s="1163"/>
      <c r="I946" s="1163"/>
    </row>
    <row r="947" spans="1:9" s="2422" customFormat="1">
      <c r="A947" s="2427"/>
      <c r="C947" s="1163"/>
      <c r="D947" s="1163"/>
      <c r="E947" s="1564"/>
      <c r="F947" s="1163"/>
      <c r="G947" s="1163"/>
      <c r="H947" s="1163"/>
      <c r="I947" s="1163"/>
    </row>
    <row r="948" spans="1:9" s="2422" customFormat="1">
      <c r="A948" s="2427"/>
      <c r="C948" s="1163"/>
      <c r="D948" s="1163"/>
      <c r="E948" s="1564"/>
      <c r="F948" s="1163"/>
      <c r="G948" s="1163"/>
      <c r="H948" s="1163"/>
      <c r="I948" s="1163"/>
    </row>
    <row r="949" spans="1:9" s="2422" customFormat="1">
      <c r="A949" s="2427"/>
      <c r="C949" s="1163"/>
      <c r="D949" s="1163"/>
      <c r="E949" s="1564"/>
      <c r="F949" s="1163"/>
      <c r="G949" s="1163"/>
      <c r="H949" s="1163"/>
      <c r="I949" s="1163"/>
    </row>
    <row r="950" spans="1:9" s="2422" customFormat="1">
      <c r="A950" s="2427"/>
      <c r="C950" s="1163"/>
      <c r="D950" s="1163"/>
      <c r="E950" s="1564"/>
      <c r="F950" s="1163"/>
      <c r="G950" s="1163"/>
      <c r="H950" s="1163"/>
      <c r="I950" s="1163"/>
    </row>
    <row r="951" spans="1:9" s="2422" customFormat="1">
      <c r="A951" s="2427"/>
      <c r="C951" s="1163"/>
      <c r="D951" s="1163"/>
      <c r="E951" s="1564"/>
      <c r="F951" s="1163"/>
      <c r="G951" s="1163"/>
      <c r="H951" s="1163"/>
      <c r="I951" s="1163"/>
    </row>
    <row r="952" spans="1:9" s="2422" customFormat="1">
      <c r="A952" s="2427"/>
      <c r="C952" s="1163"/>
      <c r="D952" s="1163"/>
      <c r="E952" s="1564"/>
      <c r="F952" s="1163"/>
      <c r="G952" s="1163"/>
      <c r="H952" s="1163"/>
      <c r="I952" s="1163"/>
    </row>
    <row r="953" spans="1:9" s="2422" customFormat="1">
      <c r="A953" s="2427"/>
      <c r="C953" s="1163"/>
      <c r="D953" s="1163"/>
      <c r="E953" s="1564"/>
      <c r="F953" s="1163"/>
      <c r="G953" s="1163"/>
      <c r="H953" s="1163"/>
      <c r="I953" s="1163"/>
    </row>
    <row r="954" spans="1:9" s="2422" customFormat="1">
      <c r="A954" s="2427"/>
      <c r="C954" s="1163"/>
      <c r="D954" s="1163"/>
      <c r="E954" s="1564"/>
      <c r="F954" s="1163"/>
      <c r="G954" s="1163"/>
      <c r="H954" s="1163"/>
      <c r="I954" s="1163"/>
    </row>
    <row r="955" spans="1:9" s="2422" customFormat="1">
      <c r="A955" s="2427"/>
      <c r="C955" s="1163"/>
      <c r="D955" s="1163"/>
      <c r="E955" s="1564"/>
      <c r="F955" s="1163"/>
      <c r="G955" s="1163"/>
      <c r="H955" s="1163"/>
      <c r="I955" s="1163"/>
    </row>
    <row r="956" spans="1:9" s="2422" customFormat="1">
      <c r="A956" s="2427"/>
      <c r="C956" s="1163"/>
      <c r="D956" s="1163"/>
      <c r="E956" s="1564"/>
      <c r="F956" s="1163"/>
      <c r="G956" s="1163"/>
      <c r="H956" s="1163"/>
      <c r="I956" s="1163"/>
    </row>
    <row r="957" spans="1:9" s="2422" customFormat="1">
      <c r="A957" s="2427"/>
      <c r="C957" s="1163"/>
      <c r="D957" s="1163"/>
      <c r="E957" s="1564"/>
      <c r="F957" s="1163"/>
      <c r="G957" s="1163"/>
      <c r="H957" s="1163"/>
      <c r="I957" s="1163"/>
    </row>
    <row r="958" spans="1:9" s="2422" customFormat="1">
      <c r="A958" s="2427"/>
      <c r="C958" s="1163"/>
      <c r="D958" s="1163"/>
      <c r="E958" s="1564"/>
      <c r="F958" s="1163"/>
      <c r="G958" s="1163"/>
      <c r="H958" s="1163"/>
      <c r="I958" s="1163"/>
    </row>
    <row r="959" spans="1:9" s="2422" customFormat="1">
      <c r="A959" s="2427"/>
      <c r="C959" s="1163"/>
      <c r="D959" s="1163"/>
      <c r="E959" s="1564"/>
      <c r="F959" s="1163"/>
      <c r="G959" s="1163"/>
      <c r="H959" s="1163"/>
      <c r="I959" s="1163"/>
    </row>
    <row r="960" spans="1:9" s="2422" customFormat="1">
      <c r="A960" s="2427"/>
      <c r="C960" s="1163"/>
      <c r="D960" s="1163"/>
      <c r="E960" s="1564"/>
      <c r="F960" s="1163"/>
      <c r="G960" s="1163"/>
      <c r="H960" s="1163"/>
      <c r="I960" s="1163"/>
    </row>
    <row r="961" spans="1:9" s="2422" customFormat="1">
      <c r="A961" s="2427"/>
      <c r="C961" s="1163"/>
      <c r="D961" s="1163"/>
      <c r="E961" s="1564"/>
      <c r="F961" s="1163"/>
      <c r="G961" s="1163"/>
      <c r="H961" s="1163"/>
      <c r="I961" s="1163"/>
    </row>
    <row r="962" spans="1:9" s="2422" customFormat="1">
      <c r="A962" s="2427"/>
      <c r="C962" s="1163"/>
      <c r="D962" s="1163"/>
      <c r="E962" s="1564"/>
      <c r="F962" s="1163"/>
      <c r="G962" s="1163"/>
      <c r="H962" s="1163"/>
      <c r="I962" s="1163"/>
    </row>
    <row r="963" spans="1:9" s="2422" customFormat="1">
      <c r="A963" s="2427"/>
      <c r="C963" s="1163"/>
      <c r="D963" s="1163"/>
      <c r="E963" s="1564"/>
      <c r="F963" s="1163"/>
      <c r="G963" s="1163"/>
      <c r="H963" s="1163"/>
      <c r="I963" s="1163"/>
    </row>
    <row r="964" spans="1:9" s="2422" customFormat="1">
      <c r="A964" s="2427"/>
      <c r="C964" s="1163"/>
      <c r="D964" s="1163"/>
      <c r="E964" s="1564"/>
      <c r="F964" s="1163"/>
      <c r="G964" s="1163"/>
      <c r="H964" s="1163"/>
      <c r="I964" s="1163"/>
    </row>
    <row r="965" spans="1:9" s="2422" customFormat="1">
      <c r="A965" s="2427"/>
      <c r="C965" s="1163"/>
      <c r="D965" s="1163"/>
      <c r="E965" s="1564"/>
      <c r="F965" s="1163"/>
      <c r="G965" s="1163"/>
      <c r="H965" s="1163"/>
      <c r="I965" s="1163"/>
    </row>
    <row r="966" spans="1:9" s="2422" customFormat="1">
      <c r="A966" s="2427"/>
      <c r="C966" s="1163"/>
      <c r="D966" s="1163"/>
      <c r="E966" s="1564"/>
      <c r="F966" s="1163"/>
      <c r="G966" s="1163"/>
      <c r="H966" s="1163"/>
      <c r="I966" s="1163"/>
    </row>
    <row r="967" spans="1:9" s="2422" customFormat="1">
      <c r="A967" s="2427"/>
      <c r="C967" s="1163"/>
      <c r="D967" s="1163"/>
      <c r="E967" s="1564"/>
      <c r="F967" s="1163"/>
      <c r="G967" s="1163"/>
      <c r="H967" s="1163"/>
      <c r="I967" s="1163"/>
    </row>
    <row r="968" spans="1:9" s="2422" customFormat="1">
      <c r="A968" s="2427"/>
      <c r="C968" s="1163"/>
      <c r="D968" s="1163"/>
      <c r="E968" s="1564"/>
      <c r="F968" s="1163"/>
      <c r="G968" s="1163"/>
      <c r="H968" s="1163"/>
      <c r="I968" s="1163"/>
    </row>
    <row r="969" spans="1:9" s="2422" customFormat="1">
      <c r="A969" s="2427"/>
      <c r="C969" s="1163"/>
      <c r="D969" s="1163"/>
      <c r="E969" s="1564"/>
      <c r="F969" s="1163"/>
      <c r="G969" s="1163"/>
      <c r="H969" s="1163"/>
      <c r="I969" s="1163"/>
    </row>
    <row r="970" spans="1:9" s="2422" customFormat="1">
      <c r="A970" s="2427"/>
      <c r="C970" s="1163"/>
      <c r="D970" s="1163"/>
      <c r="E970" s="1564"/>
      <c r="F970" s="1163"/>
      <c r="G970" s="1163"/>
      <c r="H970" s="1163"/>
      <c r="I970" s="1163"/>
    </row>
    <row r="971" spans="1:9" s="2422" customFormat="1">
      <c r="A971" s="2427"/>
      <c r="C971" s="1163"/>
      <c r="D971" s="1163"/>
      <c r="E971" s="1564"/>
      <c r="F971" s="1163"/>
      <c r="G971" s="1163"/>
      <c r="H971" s="1163"/>
      <c r="I971" s="1163"/>
    </row>
    <row r="972" spans="1:9" s="2422" customFormat="1">
      <c r="A972" s="2427"/>
      <c r="C972" s="1163"/>
      <c r="D972" s="1163"/>
      <c r="E972" s="1564"/>
      <c r="F972" s="1163"/>
      <c r="G972" s="1163"/>
      <c r="H972" s="1163"/>
      <c r="I972" s="1163"/>
    </row>
    <row r="973" spans="1:9" s="2422" customFormat="1">
      <c r="A973" s="2427"/>
      <c r="C973" s="1163"/>
      <c r="D973" s="1163"/>
      <c r="E973" s="1564"/>
      <c r="F973" s="1163"/>
      <c r="G973" s="1163"/>
      <c r="H973" s="1163"/>
      <c r="I973" s="1163"/>
    </row>
    <row r="974" spans="1:9" s="2422" customFormat="1">
      <c r="A974" s="2427"/>
      <c r="C974" s="1163"/>
      <c r="D974" s="1163"/>
      <c r="E974" s="1564"/>
      <c r="F974" s="1163"/>
      <c r="G974" s="1163"/>
      <c r="H974" s="1163"/>
      <c r="I974" s="1163"/>
    </row>
    <row r="975" spans="1:9" s="2422" customFormat="1">
      <c r="A975" s="2427"/>
      <c r="C975" s="1163"/>
      <c r="D975" s="1163"/>
      <c r="E975" s="1564"/>
      <c r="F975" s="1163"/>
      <c r="G975" s="1163"/>
      <c r="H975" s="1163"/>
      <c r="I975" s="1163"/>
    </row>
    <row r="976" spans="1:9" s="2422" customFormat="1">
      <c r="A976" s="2427"/>
      <c r="C976" s="1163"/>
      <c r="D976" s="1163"/>
      <c r="E976" s="1564"/>
      <c r="F976" s="1163"/>
      <c r="G976" s="1163"/>
      <c r="H976" s="1163"/>
      <c r="I976" s="1163"/>
    </row>
    <row r="977" spans="1:9" s="2422" customFormat="1">
      <c r="A977" s="2427"/>
      <c r="C977" s="1163"/>
      <c r="D977" s="1163"/>
      <c r="E977" s="1564"/>
      <c r="F977" s="1163"/>
      <c r="G977" s="1163"/>
      <c r="H977" s="1163"/>
      <c r="I977" s="1163"/>
    </row>
    <row r="978" spans="1:9" s="2422" customFormat="1">
      <c r="A978" s="2427"/>
      <c r="C978" s="1163"/>
      <c r="D978" s="1163"/>
      <c r="E978" s="1564"/>
      <c r="F978" s="1163"/>
      <c r="G978" s="1163"/>
      <c r="H978" s="1163"/>
      <c r="I978" s="1163"/>
    </row>
    <row r="979" spans="1:9" s="2422" customFormat="1">
      <c r="A979" s="2427"/>
      <c r="C979" s="1163"/>
      <c r="D979" s="1163"/>
      <c r="E979" s="1564"/>
      <c r="F979" s="1163"/>
      <c r="G979" s="1163"/>
      <c r="H979" s="1163"/>
      <c r="I979" s="1163"/>
    </row>
    <row r="980" spans="1:9" s="2422" customFormat="1">
      <c r="A980" s="2427"/>
      <c r="C980" s="1163"/>
      <c r="D980" s="1163"/>
      <c r="E980" s="1564"/>
      <c r="F980" s="1163"/>
      <c r="G980" s="1163"/>
      <c r="H980" s="1163"/>
      <c r="I980" s="1163"/>
    </row>
    <row r="981" spans="1:9" s="2422" customFormat="1">
      <c r="A981" s="2427"/>
      <c r="C981" s="1163"/>
      <c r="D981" s="1163"/>
      <c r="E981" s="1564"/>
      <c r="F981" s="1163"/>
      <c r="G981" s="1163"/>
      <c r="H981" s="1163"/>
      <c r="I981" s="1163"/>
    </row>
    <row r="982" spans="1:9" s="2422" customFormat="1">
      <c r="A982" s="2427"/>
      <c r="C982" s="1163"/>
      <c r="D982" s="1163"/>
      <c r="E982" s="1564"/>
      <c r="F982" s="1163"/>
      <c r="G982" s="1163"/>
      <c r="H982" s="1163"/>
      <c r="I982" s="1163"/>
    </row>
    <row r="983" spans="1:9" s="2422" customFormat="1">
      <c r="A983" s="2427"/>
      <c r="C983" s="1163"/>
      <c r="D983" s="1163"/>
      <c r="E983" s="1564"/>
      <c r="F983" s="1163"/>
      <c r="G983" s="1163"/>
      <c r="H983" s="1163"/>
      <c r="I983" s="1163"/>
    </row>
    <row r="984" spans="1:9" s="2422" customFormat="1">
      <c r="A984" s="2427"/>
      <c r="C984" s="1163"/>
      <c r="D984" s="1163"/>
      <c r="E984" s="1564"/>
      <c r="F984" s="1163"/>
      <c r="G984" s="1163"/>
      <c r="H984" s="1163"/>
      <c r="I984" s="1163"/>
    </row>
    <row r="985" spans="1:9" s="2422" customFormat="1">
      <c r="A985" s="2427"/>
      <c r="C985" s="1163"/>
      <c r="D985" s="1163"/>
      <c r="E985" s="1564"/>
      <c r="F985" s="1163"/>
      <c r="G985" s="1163"/>
      <c r="H985" s="1163"/>
      <c r="I985" s="1163"/>
    </row>
    <row r="986" spans="1:9" s="2422" customFormat="1">
      <c r="A986" s="2427"/>
      <c r="C986" s="1163"/>
      <c r="D986" s="1163"/>
      <c r="E986" s="1564"/>
      <c r="F986" s="1163"/>
      <c r="G986" s="1163"/>
      <c r="H986" s="1163"/>
      <c r="I986" s="1163"/>
    </row>
    <row r="987" spans="1:9" s="2422" customFormat="1">
      <c r="A987" s="2427"/>
      <c r="C987" s="1163"/>
      <c r="D987" s="1163"/>
      <c r="E987" s="1564"/>
      <c r="F987" s="1163"/>
      <c r="G987" s="1163"/>
      <c r="H987" s="1163"/>
      <c r="I987" s="1163"/>
    </row>
    <row r="988" spans="1:9" s="2422" customFormat="1">
      <c r="A988" s="2427"/>
      <c r="C988" s="1163"/>
      <c r="D988" s="1163"/>
      <c r="E988" s="1564"/>
      <c r="F988" s="1163"/>
      <c r="G988" s="1163"/>
      <c r="H988" s="1163"/>
      <c r="I988" s="1163"/>
    </row>
    <row r="989" spans="1:9" s="2422" customFormat="1">
      <c r="A989" s="2427"/>
      <c r="C989" s="1163"/>
      <c r="D989" s="1163"/>
      <c r="E989" s="1564"/>
      <c r="F989" s="1163"/>
      <c r="G989" s="1163"/>
      <c r="H989" s="1163"/>
      <c r="I989" s="1163"/>
    </row>
    <row r="990" spans="1:9" s="2422" customFormat="1">
      <c r="A990" s="2427"/>
      <c r="C990" s="1163"/>
      <c r="D990" s="1163"/>
      <c r="E990" s="1564"/>
      <c r="F990" s="1163"/>
      <c r="G990" s="1163"/>
      <c r="H990" s="1163"/>
      <c r="I990" s="1163"/>
    </row>
    <row r="991" spans="1:9" s="2422" customFormat="1">
      <c r="A991" s="2427"/>
      <c r="C991" s="1163"/>
      <c r="D991" s="1163"/>
      <c r="E991" s="1564"/>
      <c r="F991" s="1163"/>
      <c r="G991" s="1163"/>
      <c r="H991" s="1163"/>
      <c r="I991" s="1163"/>
    </row>
    <row r="992" spans="1:9" s="2422" customFormat="1">
      <c r="A992" s="2427"/>
      <c r="C992" s="1163"/>
      <c r="D992" s="1163"/>
      <c r="E992" s="1564"/>
      <c r="F992" s="1163"/>
      <c r="G992" s="1163"/>
      <c r="H992" s="1163"/>
      <c r="I992" s="1163"/>
    </row>
    <row r="993" spans="1:9" s="2422" customFormat="1">
      <c r="A993" s="2427"/>
      <c r="C993" s="1163"/>
      <c r="D993" s="1163"/>
      <c r="E993" s="1564"/>
      <c r="F993" s="1163"/>
      <c r="G993" s="1163"/>
      <c r="H993" s="1163"/>
      <c r="I993" s="1163"/>
    </row>
    <row r="994" spans="1:9" s="2422" customFormat="1">
      <c r="A994" s="2427"/>
      <c r="C994" s="1163"/>
      <c r="D994" s="1163"/>
      <c r="E994" s="1564"/>
      <c r="F994" s="1163"/>
      <c r="G994" s="1163"/>
      <c r="H994" s="1163"/>
      <c r="I994" s="1163"/>
    </row>
    <row r="995" spans="1:9" s="2422" customFormat="1">
      <c r="A995" s="2427"/>
      <c r="C995" s="1163"/>
      <c r="D995" s="1163"/>
      <c r="E995" s="1564"/>
      <c r="F995" s="1163"/>
      <c r="G995" s="1163"/>
      <c r="H995" s="1163"/>
      <c r="I995" s="1163"/>
    </row>
    <row r="996" spans="1:9" s="2422" customFormat="1">
      <c r="A996" s="2427"/>
      <c r="C996" s="1163"/>
      <c r="D996" s="1163"/>
      <c r="E996" s="1564"/>
      <c r="F996" s="1163"/>
      <c r="G996" s="1163"/>
      <c r="H996" s="1163"/>
      <c r="I996" s="1163"/>
    </row>
    <row r="997" spans="1:9" s="2422" customFormat="1">
      <c r="A997" s="2427"/>
      <c r="C997" s="1163"/>
      <c r="D997" s="1163"/>
      <c r="E997" s="1564"/>
      <c r="F997" s="1163"/>
      <c r="G997" s="1163"/>
      <c r="H997" s="1163"/>
      <c r="I997" s="1163"/>
    </row>
    <row r="998" spans="1:9" s="2422" customFormat="1">
      <c r="A998" s="2427"/>
      <c r="C998" s="1163"/>
      <c r="D998" s="1163"/>
      <c r="E998" s="1564"/>
      <c r="F998" s="1163"/>
      <c r="G998" s="1163"/>
      <c r="H998" s="1163"/>
      <c r="I998" s="1163"/>
    </row>
    <row r="999" spans="1:9" s="2422" customFormat="1">
      <c r="A999" s="2427"/>
      <c r="C999" s="1163"/>
      <c r="D999" s="1163"/>
      <c r="E999" s="1564"/>
      <c r="F999" s="1163"/>
      <c r="G999" s="1163"/>
      <c r="H999" s="1163"/>
      <c r="I999" s="1163"/>
    </row>
    <row r="1000" spans="1:9" s="2422" customFormat="1">
      <c r="A1000" s="2427"/>
      <c r="C1000" s="1163"/>
      <c r="D1000" s="1163"/>
      <c r="E1000" s="1564"/>
      <c r="F1000" s="1163"/>
      <c r="G1000" s="1163"/>
      <c r="H1000" s="1163"/>
      <c r="I1000" s="1163"/>
    </row>
    <row r="1001" spans="1:9" s="2422" customFormat="1">
      <c r="A1001" s="2427"/>
      <c r="C1001" s="1163"/>
      <c r="D1001" s="1163"/>
      <c r="E1001" s="1564"/>
      <c r="F1001" s="1163"/>
      <c r="G1001" s="1163"/>
      <c r="H1001" s="1163"/>
      <c r="I1001" s="1163"/>
    </row>
    <row r="1002" spans="1:9" s="2422" customFormat="1">
      <c r="A1002" s="2427"/>
      <c r="C1002" s="1163"/>
      <c r="D1002" s="1163"/>
      <c r="E1002" s="1564"/>
      <c r="F1002" s="1163"/>
      <c r="G1002" s="1163"/>
      <c r="H1002" s="1163"/>
      <c r="I1002" s="1163"/>
    </row>
    <row r="1003" spans="1:9" s="2422" customFormat="1">
      <c r="A1003" s="2427"/>
      <c r="C1003" s="1163"/>
      <c r="D1003" s="1163"/>
      <c r="E1003" s="1564"/>
      <c r="F1003" s="1163"/>
      <c r="G1003" s="1163"/>
      <c r="H1003" s="1163"/>
      <c r="I1003" s="1163"/>
    </row>
    <row r="1004" spans="1:9" s="2422" customFormat="1">
      <c r="A1004" s="2427"/>
      <c r="C1004" s="1163"/>
      <c r="D1004" s="1163"/>
      <c r="E1004" s="1564"/>
      <c r="F1004" s="1163"/>
      <c r="G1004" s="1163"/>
      <c r="H1004" s="1163"/>
      <c r="I1004" s="1163"/>
    </row>
    <row r="1005" spans="1:9" s="2422" customFormat="1">
      <c r="A1005" s="2427"/>
      <c r="C1005" s="1163"/>
      <c r="D1005" s="1163"/>
      <c r="E1005" s="1564"/>
      <c r="F1005" s="1163"/>
      <c r="G1005" s="1163"/>
      <c r="H1005" s="1163"/>
      <c r="I1005" s="1163"/>
    </row>
    <row r="1006" spans="1:9" s="2422" customFormat="1">
      <c r="A1006" s="2427"/>
      <c r="C1006" s="1163"/>
      <c r="D1006" s="1163"/>
      <c r="E1006" s="1564"/>
      <c r="F1006" s="1163"/>
      <c r="G1006" s="1163"/>
      <c r="H1006" s="1163"/>
      <c r="I1006" s="1163"/>
    </row>
    <row r="1007" spans="1:9" s="2422" customFormat="1">
      <c r="A1007" s="2427"/>
      <c r="C1007" s="1163"/>
      <c r="D1007" s="1163"/>
      <c r="E1007" s="1564"/>
      <c r="F1007" s="1163"/>
      <c r="G1007" s="1163"/>
      <c r="H1007" s="1163"/>
      <c r="I1007" s="1163"/>
    </row>
    <row r="1008" spans="1:9" s="2422" customFormat="1">
      <c r="A1008" s="2427"/>
      <c r="C1008" s="1163"/>
      <c r="D1008" s="1163"/>
      <c r="E1008" s="1564"/>
      <c r="F1008" s="1163"/>
      <c r="G1008" s="1163"/>
      <c r="H1008" s="1163"/>
      <c r="I1008" s="1163"/>
    </row>
    <row r="1009" spans="1:9" s="2422" customFormat="1">
      <c r="A1009" s="2427"/>
      <c r="C1009" s="1163"/>
      <c r="D1009" s="1163"/>
      <c r="E1009" s="1564"/>
      <c r="F1009" s="1163"/>
      <c r="G1009" s="1163"/>
      <c r="H1009" s="1163"/>
      <c r="I1009" s="1163"/>
    </row>
    <row r="1010" spans="1:9" s="2422" customFormat="1">
      <c r="A1010" s="2427"/>
      <c r="C1010" s="1163"/>
      <c r="D1010" s="1163"/>
      <c r="E1010" s="1564"/>
      <c r="F1010" s="1163"/>
      <c r="G1010" s="1163"/>
      <c r="H1010" s="1163"/>
      <c r="I1010" s="1163"/>
    </row>
    <row r="1011" spans="1:9" s="2422" customFormat="1">
      <c r="A1011" s="2427"/>
      <c r="C1011" s="1163"/>
      <c r="D1011" s="1163"/>
      <c r="E1011" s="1564"/>
      <c r="F1011" s="1163"/>
      <c r="G1011" s="1163"/>
      <c r="H1011" s="1163"/>
      <c r="I1011" s="1163"/>
    </row>
    <row r="1012" spans="1:9" s="2422" customFormat="1">
      <c r="A1012" s="2427"/>
      <c r="C1012" s="1163"/>
      <c r="D1012" s="1163"/>
      <c r="E1012" s="1564"/>
      <c r="F1012" s="1163"/>
      <c r="G1012" s="1163"/>
      <c r="H1012" s="1163"/>
      <c r="I1012" s="1163"/>
    </row>
    <row r="1013" spans="1:9" s="2422" customFormat="1">
      <c r="A1013" s="2427"/>
      <c r="C1013" s="1163"/>
      <c r="D1013" s="1163"/>
      <c r="E1013" s="1564"/>
      <c r="F1013" s="1163"/>
      <c r="G1013" s="1163"/>
      <c r="H1013" s="1163"/>
      <c r="I1013" s="1163"/>
    </row>
    <row r="1014" spans="1:9" s="2422" customFormat="1">
      <c r="A1014" s="2427"/>
      <c r="C1014" s="1163"/>
      <c r="D1014" s="1163"/>
      <c r="E1014" s="1564"/>
      <c r="F1014" s="1163"/>
      <c r="G1014" s="1163"/>
      <c r="H1014" s="1163"/>
      <c r="I1014" s="1163"/>
    </row>
    <row r="1015" spans="1:9" s="2422" customFormat="1">
      <c r="A1015" s="2427"/>
      <c r="C1015" s="1163"/>
      <c r="D1015" s="1163"/>
      <c r="E1015" s="1564"/>
      <c r="F1015" s="1163"/>
      <c r="G1015" s="1163"/>
      <c r="H1015" s="1163"/>
      <c r="I1015" s="1163"/>
    </row>
    <row r="1016" spans="1:9" s="2422" customFormat="1">
      <c r="A1016" s="2427"/>
      <c r="C1016" s="1163"/>
      <c r="D1016" s="1163"/>
      <c r="E1016" s="1564"/>
      <c r="F1016" s="1163"/>
      <c r="G1016" s="1163"/>
      <c r="H1016" s="1163"/>
      <c r="I1016" s="1163"/>
    </row>
    <row r="1017" spans="1:9" s="2422" customFormat="1">
      <c r="A1017" s="2427"/>
      <c r="C1017" s="1163"/>
      <c r="D1017" s="1163"/>
      <c r="E1017" s="1564"/>
      <c r="F1017" s="1163"/>
      <c r="G1017" s="1163"/>
      <c r="H1017" s="1163"/>
      <c r="I1017" s="1163"/>
    </row>
    <row r="1018" spans="1:9" s="2422" customFormat="1">
      <c r="A1018" s="2427"/>
      <c r="C1018" s="1163"/>
      <c r="D1018" s="1163"/>
      <c r="E1018" s="1564"/>
      <c r="F1018" s="1163"/>
      <c r="G1018" s="1163"/>
      <c r="H1018" s="1163"/>
      <c r="I1018" s="1163"/>
    </row>
    <row r="1019" spans="1:9" s="2422" customFormat="1">
      <c r="A1019" s="2427"/>
      <c r="C1019" s="1163"/>
      <c r="D1019" s="1163"/>
      <c r="E1019" s="1564"/>
      <c r="F1019" s="1163"/>
      <c r="G1019" s="1163"/>
      <c r="H1019" s="1163"/>
      <c r="I1019" s="1163"/>
    </row>
    <row r="1020" spans="1:9" s="2422" customFormat="1">
      <c r="A1020" s="2427"/>
      <c r="C1020" s="1163"/>
      <c r="D1020" s="1163"/>
      <c r="E1020" s="1564"/>
      <c r="F1020" s="1163"/>
      <c r="G1020" s="1163"/>
      <c r="H1020" s="1163"/>
      <c r="I1020" s="1163"/>
    </row>
    <row r="1021" spans="1:9" s="2422" customFormat="1">
      <c r="A1021" s="2427"/>
      <c r="C1021" s="1163"/>
      <c r="D1021" s="1163"/>
      <c r="E1021" s="1564"/>
      <c r="F1021" s="1163"/>
      <c r="G1021" s="1163"/>
      <c r="H1021" s="1163"/>
      <c r="I1021" s="1163"/>
    </row>
    <row r="1022" spans="1:9" s="2422" customFormat="1">
      <c r="A1022" s="2427"/>
      <c r="C1022" s="1163"/>
      <c r="D1022" s="1163"/>
      <c r="E1022" s="1564"/>
      <c r="F1022" s="1163"/>
      <c r="G1022" s="1163"/>
      <c r="H1022" s="1163"/>
      <c r="I1022" s="1163"/>
    </row>
    <row r="1023" spans="1:9" s="2422" customFormat="1">
      <c r="A1023" s="2427"/>
      <c r="C1023" s="1163"/>
      <c r="D1023" s="1163"/>
      <c r="E1023" s="1564"/>
      <c r="F1023" s="1163"/>
      <c r="G1023" s="1163"/>
      <c r="H1023" s="1163"/>
      <c r="I1023" s="1163"/>
    </row>
    <row r="1024" spans="1:9" s="2422" customFormat="1">
      <c r="A1024" s="2427"/>
      <c r="C1024" s="1163"/>
      <c r="D1024" s="1163"/>
      <c r="E1024" s="1564"/>
      <c r="F1024" s="1163"/>
      <c r="G1024" s="1163"/>
      <c r="H1024" s="1163"/>
      <c r="I1024" s="1163"/>
    </row>
    <row r="1025" spans="1:9" s="2422" customFormat="1">
      <c r="A1025" s="2427"/>
      <c r="C1025" s="1163"/>
      <c r="D1025" s="1163"/>
      <c r="E1025" s="1564"/>
      <c r="F1025" s="1163"/>
      <c r="G1025" s="1163"/>
      <c r="H1025" s="1163"/>
      <c r="I1025" s="1163"/>
    </row>
    <row r="1026" spans="1:9" s="2422" customFormat="1">
      <c r="A1026" s="2427"/>
      <c r="C1026" s="1163"/>
      <c r="D1026" s="1163"/>
      <c r="E1026" s="1564"/>
      <c r="F1026" s="1163"/>
      <c r="G1026" s="1163"/>
      <c r="H1026" s="1163"/>
      <c r="I1026" s="1163"/>
    </row>
    <row r="1027" spans="1:9" s="2422" customFormat="1">
      <c r="A1027" s="2427"/>
      <c r="C1027" s="1163"/>
      <c r="D1027" s="1163"/>
      <c r="E1027" s="1564"/>
      <c r="F1027" s="1163"/>
      <c r="G1027" s="1163"/>
      <c r="H1027" s="1163"/>
      <c r="I1027" s="1163"/>
    </row>
    <row r="1028" spans="1:9" s="2422" customFormat="1">
      <c r="A1028" s="2427"/>
      <c r="C1028" s="1163"/>
      <c r="D1028" s="1163"/>
      <c r="E1028" s="1564"/>
      <c r="F1028" s="1163"/>
      <c r="G1028" s="1163"/>
      <c r="H1028" s="1163"/>
      <c r="I1028" s="1163"/>
    </row>
    <row r="1029" spans="1:9" s="2422" customFormat="1">
      <c r="A1029" s="2427"/>
      <c r="C1029" s="1163"/>
      <c r="D1029" s="1163"/>
      <c r="E1029" s="1564"/>
      <c r="F1029" s="1163"/>
      <c r="G1029" s="1163"/>
      <c r="H1029" s="1163"/>
      <c r="I1029" s="1163"/>
    </row>
    <row r="1030" spans="1:9" s="2422" customFormat="1">
      <c r="A1030" s="2427"/>
      <c r="C1030" s="1163"/>
      <c r="D1030" s="1163"/>
      <c r="E1030" s="1564"/>
      <c r="F1030" s="1163"/>
      <c r="G1030" s="1163"/>
      <c r="H1030" s="1163"/>
      <c r="I1030" s="1163"/>
    </row>
    <row r="1031" spans="1:9" s="2422" customFormat="1">
      <c r="A1031" s="2427"/>
      <c r="C1031" s="1163"/>
      <c r="D1031" s="1163"/>
      <c r="E1031" s="1564"/>
      <c r="F1031" s="1163"/>
      <c r="G1031" s="1163"/>
      <c r="H1031" s="1163"/>
      <c r="I1031" s="1163"/>
    </row>
    <row r="1032" spans="1:9" s="2422" customFormat="1">
      <c r="A1032" s="2427"/>
      <c r="C1032" s="1163"/>
      <c r="D1032" s="1163"/>
      <c r="E1032" s="1564"/>
      <c r="F1032" s="1163"/>
      <c r="G1032" s="1163"/>
      <c r="H1032" s="1163"/>
      <c r="I1032" s="1163"/>
    </row>
    <row r="1033" spans="1:9" s="2422" customFormat="1">
      <c r="A1033" s="2427"/>
      <c r="C1033" s="1163"/>
      <c r="D1033" s="1163"/>
      <c r="E1033" s="1564"/>
      <c r="F1033" s="1163"/>
      <c r="G1033" s="1163"/>
      <c r="H1033" s="1163"/>
      <c r="I1033" s="1163"/>
    </row>
    <row r="1034" spans="1:9" s="2422" customFormat="1">
      <c r="A1034" s="2427"/>
      <c r="C1034" s="1163"/>
      <c r="D1034" s="1163"/>
      <c r="E1034" s="1564"/>
      <c r="F1034" s="1163"/>
      <c r="G1034" s="1163"/>
      <c r="H1034" s="1163"/>
      <c r="I1034" s="1163"/>
    </row>
    <row r="1035" spans="1:9" s="2422" customFormat="1">
      <c r="A1035" s="2427"/>
      <c r="C1035" s="1163"/>
      <c r="D1035" s="1163"/>
      <c r="E1035" s="1564"/>
      <c r="F1035" s="1163"/>
      <c r="G1035" s="1163"/>
      <c r="H1035" s="1163"/>
      <c r="I1035" s="1163"/>
    </row>
    <row r="1036" spans="1:9" s="2422" customFormat="1">
      <c r="A1036" s="2427"/>
      <c r="C1036" s="1163"/>
      <c r="D1036" s="1163"/>
      <c r="E1036" s="1564"/>
      <c r="F1036" s="1163"/>
      <c r="G1036" s="1163"/>
      <c r="H1036" s="1163"/>
      <c r="I1036" s="1163"/>
    </row>
    <row r="1037" spans="1:9" s="2422" customFormat="1">
      <c r="A1037" s="2427"/>
      <c r="C1037" s="1163"/>
      <c r="D1037" s="1163"/>
      <c r="E1037" s="1564"/>
      <c r="F1037" s="1163"/>
      <c r="G1037" s="1163"/>
      <c r="H1037" s="1163"/>
      <c r="I1037" s="1163"/>
    </row>
    <row r="1038" spans="1:9" s="2422" customFormat="1">
      <c r="A1038" s="2427"/>
      <c r="C1038" s="1163"/>
      <c r="D1038" s="1163"/>
      <c r="E1038" s="1564"/>
      <c r="F1038" s="1163"/>
      <c r="G1038" s="1163"/>
      <c r="H1038" s="1163"/>
      <c r="I1038" s="1163"/>
    </row>
    <row r="1039" spans="1:9" s="2422" customFormat="1">
      <c r="A1039" s="2427"/>
      <c r="C1039" s="1163"/>
      <c r="D1039" s="1163"/>
      <c r="E1039" s="1564"/>
      <c r="F1039" s="1163"/>
      <c r="G1039" s="1163"/>
      <c r="H1039" s="1163"/>
      <c r="I1039" s="1163"/>
    </row>
    <row r="1040" spans="1:9" s="2422" customFormat="1">
      <c r="A1040" s="2427"/>
      <c r="C1040" s="1163"/>
      <c r="D1040" s="1163"/>
      <c r="E1040" s="1564"/>
      <c r="F1040" s="1163"/>
      <c r="G1040" s="1163"/>
      <c r="H1040" s="1163"/>
      <c r="I1040" s="1163"/>
    </row>
    <row r="1041" spans="1:9" s="2422" customFormat="1">
      <c r="A1041" s="2427"/>
      <c r="C1041" s="1163"/>
      <c r="D1041" s="1163"/>
      <c r="E1041" s="1564"/>
      <c r="F1041" s="1163"/>
      <c r="G1041" s="1163"/>
      <c r="H1041" s="1163"/>
      <c r="I1041" s="1163"/>
    </row>
    <row r="1042" spans="1:9" s="2422" customFormat="1">
      <c r="A1042" s="2427"/>
      <c r="C1042" s="1163"/>
      <c r="D1042" s="1163"/>
      <c r="E1042" s="1564"/>
      <c r="F1042" s="1163"/>
      <c r="G1042" s="1163"/>
      <c r="H1042" s="1163"/>
      <c r="I1042" s="1163"/>
    </row>
    <row r="1043" spans="1:9" s="2422" customFormat="1">
      <c r="A1043" s="2427"/>
      <c r="C1043" s="1163"/>
      <c r="D1043" s="1163"/>
      <c r="E1043" s="1564"/>
      <c r="F1043" s="1163"/>
      <c r="G1043" s="1163"/>
      <c r="H1043" s="1163"/>
      <c r="I1043" s="1163"/>
    </row>
    <row r="1044" spans="1:9" s="2422" customFormat="1">
      <c r="A1044" s="2427"/>
      <c r="C1044" s="1163"/>
      <c r="D1044" s="1163"/>
      <c r="E1044" s="1564"/>
      <c r="F1044" s="1163"/>
      <c r="G1044" s="1163"/>
      <c r="H1044" s="1163"/>
      <c r="I1044" s="1163"/>
    </row>
    <row r="1045" spans="1:9" s="2422" customFormat="1">
      <c r="A1045" s="2427"/>
      <c r="C1045" s="1163"/>
      <c r="D1045" s="1163"/>
      <c r="E1045" s="1564"/>
      <c r="F1045" s="1163"/>
      <c r="G1045" s="1163"/>
      <c r="H1045" s="1163"/>
      <c r="I1045" s="1163"/>
    </row>
    <row r="1046" spans="1:9" s="2422" customFormat="1">
      <c r="A1046" s="2427"/>
      <c r="C1046" s="1163"/>
      <c r="D1046" s="1163"/>
      <c r="E1046" s="1564"/>
      <c r="F1046" s="1163"/>
      <c r="G1046" s="1163"/>
      <c r="H1046" s="1163"/>
      <c r="I1046" s="1163"/>
    </row>
    <row r="1047" spans="1:9" s="2422" customFormat="1">
      <c r="A1047" s="2427"/>
      <c r="C1047" s="1163"/>
      <c r="D1047" s="1163"/>
      <c r="E1047" s="1564"/>
      <c r="F1047" s="1163"/>
      <c r="G1047" s="1163"/>
      <c r="H1047" s="1163"/>
      <c r="I1047" s="1163"/>
    </row>
    <row r="1048" spans="1:9" s="2422" customFormat="1">
      <c r="A1048" s="2427"/>
      <c r="C1048" s="1163"/>
      <c r="D1048" s="1163"/>
      <c r="E1048" s="1564"/>
      <c r="F1048" s="1163"/>
      <c r="G1048" s="1163"/>
      <c r="H1048" s="1163"/>
      <c r="I1048" s="1163"/>
    </row>
    <row r="1049" spans="1:9" s="2422" customFormat="1">
      <c r="A1049" s="2427"/>
      <c r="C1049" s="1163"/>
      <c r="D1049" s="1163"/>
      <c r="E1049" s="1564"/>
      <c r="F1049" s="1163"/>
      <c r="G1049" s="1163"/>
      <c r="H1049" s="1163"/>
      <c r="I1049" s="1163"/>
    </row>
    <row r="1050" spans="1:9" s="2422" customFormat="1">
      <c r="A1050" s="2427"/>
      <c r="C1050" s="1163"/>
      <c r="D1050" s="1163"/>
      <c r="E1050" s="1564"/>
      <c r="F1050" s="1163"/>
      <c r="G1050" s="1163"/>
      <c r="H1050" s="1163"/>
      <c r="I1050" s="1163"/>
    </row>
    <row r="1051" spans="1:9" s="2422" customFormat="1">
      <c r="A1051" s="2427"/>
      <c r="C1051" s="1163"/>
      <c r="D1051" s="1163"/>
      <c r="E1051" s="1564"/>
      <c r="F1051" s="1163"/>
      <c r="G1051" s="1163"/>
      <c r="H1051" s="1163"/>
      <c r="I1051" s="1163"/>
    </row>
    <row r="1052" spans="1:9" s="2422" customFormat="1">
      <c r="A1052" s="2427"/>
      <c r="C1052" s="1163"/>
      <c r="D1052" s="1163"/>
      <c r="E1052" s="1564"/>
      <c r="F1052" s="1163"/>
      <c r="G1052" s="1163"/>
      <c r="H1052" s="1163"/>
      <c r="I1052" s="1163"/>
    </row>
    <row r="1053" spans="1:9" s="2422" customFormat="1">
      <c r="A1053" s="2427"/>
      <c r="C1053" s="1163"/>
      <c r="D1053" s="1163"/>
      <c r="E1053" s="1564"/>
      <c r="F1053" s="1163"/>
      <c r="G1053" s="1163"/>
      <c r="H1053" s="1163"/>
      <c r="I1053" s="1163"/>
    </row>
    <row r="1054" spans="1:9" s="2422" customFormat="1">
      <c r="A1054" s="2427"/>
      <c r="C1054" s="1163"/>
      <c r="D1054" s="1163"/>
      <c r="E1054" s="1564"/>
      <c r="F1054" s="1163"/>
      <c r="G1054" s="1163"/>
      <c r="H1054" s="1163"/>
      <c r="I1054" s="1163"/>
    </row>
    <row r="1055" spans="1:9" s="2422" customFormat="1">
      <c r="A1055" s="2427"/>
      <c r="C1055" s="1163"/>
      <c r="D1055" s="1163"/>
      <c r="E1055" s="1564"/>
      <c r="F1055" s="1163"/>
      <c r="G1055" s="1163"/>
      <c r="H1055" s="1163"/>
      <c r="I1055" s="1163"/>
    </row>
    <row r="1056" spans="1:9" s="2422" customFormat="1">
      <c r="A1056" s="2427"/>
      <c r="C1056" s="1163"/>
      <c r="D1056" s="1163"/>
      <c r="E1056" s="1564"/>
      <c r="F1056" s="1163"/>
      <c r="G1056" s="1163"/>
      <c r="H1056" s="1163"/>
      <c r="I1056" s="1163"/>
    </row>
    <row r="1057" spans="1:9" s="2422" customFormat="1">
      <c r="A1057" s="2427"/>
      <c r="C1057" s="1163"/>
      <c r="D1057" s="1163"/>
      <c r="E1057" s="1564"/>
      <c r="F1057" s="1163"/>
      <c r="G1057" s="1163"/>
      <c r="H1057" s="1163"/>
      <c r="I1057" s="1163"/>
    </row>
    <row r="1058" spans="1:9" s="2422" customFormat="1">
      <c r="A1058" s="2427"/>
      <c r="C1058" s="1163"/>
      <c r="D1058" s="1163"/>
      <c r="E1058" s="1564"/>
      <c r="F1058" s="1163"/>
      <c r="G1058" s="1163"/>
      <c r="H1058" s="1163"/>
      <c r="I1058" s="1163"/>
    </row>
    <row r="1059" spans="1:9" s="2422" customFormat="1">
      <c r="A1059" s="2427"/>
      <c r="C1059" s="1163"/>
      <c r="D1059" s="1163"/>
      <c r="E1059" s="1564"/>
      <c r="F1059" s="1163"/>
      <c r="G1059" s="1163"/>
      <c r="H1059" s="1163"/>
      <c r="I1059" s="1163"/>
    </row>
    <row r="1060" spans="1:9" s="2422" customFormat="1">
      <c r="A1060" s="2427"/>
      <c r="C1060" s="1163"/>
      <c r="D1060" s="1163"/>
      <c r="E1060" s="1564"/>
      <c r="F1060" s="1163"/>
      <c r="G1060" s="1163"/>
      <c r="H1060" s="1163"/>
      <c r="I1060" s="1163"/>
    </row>
    <row r="1061" spans="1:9" s="2422" customFormat="1">
      <c r="A1061" s="2427"/>
      <c r="C1061" s="1163"/>
      <c r="D1061" s="1163"/>
      <c r="E1061" s="1564"/>
      <c r="F1061" s="1163"/>
      <c r="G1061" s="1163"/>
      <c r="H1061" s="1163"/>
      <c r="I1061" s="1163"/>
    </row>
    <row r="1062" spans="1:9" s="2422" customFormat="1">
      <c r="A1062" s="2427"/>
      <c r="C1062" s="1163"/>
      <c r="D1062" s="1163"/>
      <c r="E1062" s="1564"/>
      <c r="F1062" s="1163"/>
      <c r="G1062" s="1163"/>
      <c r="H1062" s="1163"/>
      <c r="I1062" s="1163"/>
    </row>
    <row r="1063" spans="1:9" s="2422" customFormat="1">
      <c r="A1063" s="2427"/>
      <c r="C1063" s="1163"/>
      <c r="D1063" s="1163"/>
      <c r="E1063" s="1564"/>
      <c r="F1063" s="1163"/>
      <c r="G1063" s="1163"/>
      <c r="H1063" s="1163"/>
      <c r="I1063" s="1163"/>
    </row>
    <row r="1064" spans="1:9" s="2422" customFormat="1">
      <c r="A1064" s="2427"/>
      <c r="C1064" s="1163"/>
      <c r="D1064" s="1163"/>
      <c r="E1064" s="1564"/>
      <c r="F1064" s="1163"/>
      <c r="G1064" s="1163"/>
      <c r="H1064" s="1163"/>
      <c r="I1064" s="1163"/>
    </row>
    <row r="1065" spans="1:9" s="2422" customFormat="1">
      <c r="A1065" s="2427"/>
      <c r="C1065" s="1163"/>
      <c r="D1065" s="1163"/>
      <c r="E1065" s="1564"/>
      <c r="F1065" s="1163"/>
      <c r="G1065" s="1163"/>
      <c r="H1065" s="1163"/>
      <c r="I1065" s="1163"/>
    </row>
    <row r="1066" spans="1:9" s="2422" customFormat="1">
      <c r="A1066" s="2427"/>
      <c r="C1066" s="1163"/>
      <c r="D1066" s="1163"/>
      <c r="E1066" s="1564"/>
      <c r="F1066" s="1163"/>
      <c r="G1066" s="1163"/>
      <c r="H1066" s="1163"/>
      <c r="I1066" s="1163"/>
    </row>
    <row r="1067" spans="1:9" s="2422" customFormat="1">
      <c r="A1067" s="2427"/>
      <c r="C1067" s="1163"/>
      <c r="D1067" s="1163"/>
      <c r="E1067" s="1564"/>
      <c r="F1067" s="1163"/>
      <c r="G1067" s="1163"/>
      <c r="H1067" s="1163"/>
      <c r="I1067" s="1163"/>
    </row>
    <row r="1068" spans="1:9" s="2422" customFormat="1">
      <c r="A1068" s="2427"/>
      <c r="C1068" s="1163"/>
      <c r="D1068" s="1163"/>
      <c r="E1068" s="1564"/>
      <c r="F1068" s="1163"/>
      <c r="G1068" s="1163"/>
      <c r="H1068" s="1163"/>
      <c r="I1068" s="1163"/>
    </row>
    <row r="1069" spans="1:9" s="2422" customFormat="1">
      <c r="A1069" s="2427"/>
      <c r="C1069" s="1163"/>
      <c r="D1069" s="1163"/>
      <c r="E1069" s="1564"/>
      <c r="F1069" s="1163"/>
      <c r="G1069" s="1163"/>
      <c r="H1069" s="1163"/>
      <c r="I1069" s="1163"/>
    </row>
    <row r="1070" spans="1:9" s="2422" customFormat="1">
      <c r="A1070" s="2427"/>
      <c r="C1070" s="1163"/>
      <c r="D1070" s="1163"/>
      <c r="E1070" s="1564"/>
      <c r="F1070" s="1163"/>
      <c r="G1070" s="1163"/>
      <c r="H1070" s="1163"/>
      <c r="I1070" s="1163"/>
    </row>
    <row r="1071" spans="1:9" s="2422" customFormat="1">
      <c r="A1071" s="2427"/>
      <c r="C1071" s="1163"/>
      <c r="D1071" s="1163"/>
      <c r="E1071" s="1564"/>
      <c r="F1071" s="1163"/>
      <c r="G1071" s="1163"/>
      <c r="H1071" s="1163"/>
      <c r="I1071" s="1163"/>
    </row>
    <row r="1072" spans="1:9" s="2422" customFormat="1">
      <c r="A1072" s="2427"/>
      <c r="C1072" s="1163"/>
      <c r="D1072" s="1163"/>
      <c r="E1072" s="1564"/>
      <c r="F1072" s="1163"/>
      <c r="G1072" s="1163"/>
      <c r="H1072" s="1163"/>
      <c r="I1072" s="1163"/>
    </row>
    <row r="1073" spans="1:9" s="2422" customFormat="1">
      <c r="A1073" s="2427"/>
      <c r="C1073" s="1163"/>
      <c r="D1073" s="1163"/>
      <c r="E1073" s="1564"/>
      <c r="F1073" s="1163"/>
      <c r="G1073" s="1163"/>
      <c r="H1073" s="1163"/>
      <c r="I1073" s="1163"/>
    </row>
    <row r="1074" spans="1:9" s="2422" customFormat="1">
      <c r="A1074" s="2427"/>
      <c r="C1074" s="1163"/>
      <c r="D1074" s="1163"/>
      <c r="E1074" s="1564"/>
      <c r="F1074" s="1163"/>
      <c r="G1074" s="1163"/>
      <c r="H1074" s="1163"/>
      <c r="I1074" s="1163"/>
    </row>
    <row r="1075" spans="1:9" s="2422" customFormat="1">
      <c r="A1075" s="2427"/>
      <c r="C1075" s="1163"/>
      <c r="D1075" s="1163"/>
      <c r="E1075" s="1564"/>
      <c r="F1075" s="1163"/>
      <c r="G1075" s="1163"/>
      <c r="H1075" s="1163"/>
      <c r="I1075" s="1163"/>
    </row>
    <row r="1076" spans="1:9" s="2422" customFormat="1">
      <c r="A1076" s="2427"/>
      <c r="C1076" s="1163"/>
      <c r="D1076" s="1163"/>
      <c r="E1076" s="1564"/>
      <c r="F1076" s="1163"/>
      <c r="G1076" s="1163"/>
      <c r="H1076" s="1163"/>
      <c r="I1076" s="1163"/>
    </row>
    <row r="1077" spans="1:9" s="2422" customFormat="1">
      <c r="A1077" s="2427"/>
      <c r="C1077" s="1163"/>
      <c r="D1077" s="1163"/>
      <c r="E1077" s="1564"/>
      <c r="F1077" s="1163"/>
      <c r="G1077" s="1163"/>
      <c r="H1077" s="1163"/>
      <c r="I1077" s="1163"/>
    </row>
    <row r="1078" spans="1:9" s="2422" customFormat="1">
      <c r="A1078" s="2427"/>
      <c r="C1078" s="1163"/>
      <c r="D1078" s="1163"/>
      <c r="E1078" s="1564"/>
      <c r="F1078" s="1163"/>
      <c r="G1078" s="1163"/>
      <c r="H1078" s="1163"/>
      <c r="I1078" s="1163"/>
    </row>
    <row r="1079" spans="1:9" s="2422" customFormat="1">
      <c r="A1079" s="2427"/>
      <c r="C1079" s="1163"/>
      <c r="D1079" s="1163"/>
      <c r="E1079" s="1564"/>
      <c r="F1079" s="1163"/>
      <c r="G1079" s="1163"/>
      <c r="H1079" s="1163"/>
      <c r="I1079" s="1163"/>
    </row>
    <row r="1080" spans="1:9" s="2422" customFormat="1">
      <c r="A1080" s="2427"/>
      <c r="C1080" s="1163"/>
      <c r="D1080" s="1163"/>
      <c r="E1080" s="1564"/>
      <c r="F1080" s="1163"/>
      <c r="G1080" s="1163"/>
      <c r="H1080" s="1163"/>
      <c r="I1080" s="1163"/>
    </row>
    <row r="1081" spans="1:9" s="2422" customFormat="1">
      <c r="A1081" s="2427"/>
      <c r="C1081" s="1163"/>
      <c r="D1081" s="1163"/>
      <c r="E1081" s="1564"/>
      <c r="F1081" s="1163"/>
      <c r="G1081" s="1163"/>
      <c r="H1081" s="1163"/>
      <c r="I1081" s="1163"/>
    </row>
    <row r="1082" spans="1:9" s="2422" customFormat="1">
      <c r="A1082" s="2427"/>
      <c r="C1082" s="1163"/>
      <c r="D1082" s="1163"/>
      <c r="E1082" s="1564"/>
      <c r="F1082" s="1163"/>
      <c r="G1082" s="1163"/>
      <c r="H1082" s="1163"/>
      <c r="I1082" s="1163"/>
    </row>
    <row r="1083" spans="1:9" s="2422" customFormat="1">
      <c r="A1083" s="2427"/>
      <c r="C1083" s="1163"/>
      <c r="D1083" s="1163"/>
      <c r="E1083" s="1564"/>
      <c r="F1083" s="1163"/>
      <c r="G1083" s="1163"/>
      <c r="H1083" s="1163"/>
      <c r="I1083" s="1163"/>
    </row>
    <row r="1084" spans="1:9" s="2422" customFormat="1">
      <c r="A1084" s="2427"/>
      <c r="C1084" s="1163"/>
      <c r="D1084" s="1163"/>
      <c r="E1084" s="1564"/>
      <c r="F1084" s="1163"/>
      <c r="G1084" s="1163"/>
      <c r="H1084" s="1163"/>
      <c r="I1084" s="1163"/>
    </row>
    <row r="1085" spans="1:9" s="2422" customFormat="1">
      <c r="A1085" s="2427"/>
      <c r="C1085" s="1163"/>
      <c r="D1085" s="1163"/>
      <c r="E1085" s="1564"/>
      <c r="F1085" s="1163"/>
      <c r="G1085" s="1163"/>
      <c r="H1085" s="1163"/>
      <c r="I1085" s="1163"/>
    </row>
    <row r="1086" spans="1:9" s="2422" customFormat="1">
      <c r="A1086" s="2427"/>
      <c r="C1086" s="1163"/>
      <c r="D1086" s="1163"/>
      <c r="E1086" s="1564"/>
      <c r="F1086" s="1163"/>
      <c r="G1086" s="1163"/>
      <c r="H1086" s="1163"/>
      <c r="I1086" s="1163"/>
    </row>
    <row r="1087" spans="1:9" s="2422" customFormat="1">
      <c r="A1087" s="2427"/>
      <c r="C1087" s="1163"/>
      <c r="D1087" s="1163"/>
      <c r="E1087" s="1564"/>
      <c r="F1087" s="1163"/>
      <c r="G1087" s="1163"/>
      <c r="H1087" s="1163"/>
      <c r="I1087" s="1163"/>
    </row>
    <row r="1088" spans="1:9" s="2422" customFormat="1">
      <c r="A1088" s="2427"/>
      <c r="C1088" s="1163"/>
      <c r="D1088" s="1163"/>
      <c r="E1088" s="1564"/>
      <c r="F1088" s="1163"/>
      <c r="G1088" s="1163"/>
      <c r="H1088" s="1163"/>
      <c r="I1088" s="1163"/>
    </row>
    <row r="1089" spans="1:9" s="2422" customFormat="1">
      <c r="A1089" s="2427"/>
      <c r="C1089" s="1163"/>
      <c r="D1089" s="1163"/>
      <c r="E1089" s="1564"/>
      <c r="F1089" s="1163"/>
      <c r="G1089" s="1163"/>
      <c r="H1089" s="1163"/>
      <c r="I1089" s="1163"/>
    </row>
    <row r="1090" spans="1:9" s="2422" customFormat="1">
      <c r="A1090" s="2427"/>
      <c r="C1090" s="1163"/>
      <c r="D1090" s="1163"/>
      <c r="E1090" s="1564"/>
      <c r="F1090" s="1163"/>
      <c r="G1090" s="1163"/>
      <c r="H1090" s="1163"/>
      <c r="I1090" s="1163"/>
    </row>
    <row r="1091" spans="1:9" s="2422" customFormat="1">
      <c r="A1091" s="2427"/>
      <c r="C1091" s="1163"/>
      <c r="D1091" s="1163"/>
      <c r="E1091" s="1564"/>
      <c r="F1091" s="1163"/>
      <c r="G1091" s="1163"/>
      <c r="H1091" s="1163"/>
      <c r="I1091" s="1163"/>
    </row>
    <row r="1092" spans="1:9" s="2422" customFormat="1">
      <c r="A1092" s="2427"/>
      <c r="C1092" s="1163"/>
      <c r="D1092" s="1163"/>
      <c r="E1092" s="1564"/>
      <c r="F1092" s="1163"/>
      <c r="G1092" s="1163"/>
      <c r="H1092" s="1163"/>
      <c r="I1092" s="1163"/>
    </row>
    <row r="1093" spans="1:9" s="2422" customFormat="1">
      <c r="A1093" s="2427"/>
      <c r="C1093" s="1163"/>
      <c r="D1093" s="1163"/>
      <c r="E1093" s="1564"/>
      <c r="F1093" s="1163"/>
      <c r="G1093" s="1163"/>
      <c r="H1093" s="1163"/>
      <c r="I1093" s="1163"/>
    </row>
    <row r="1094" spans="1:9" s="2422" customFormat="1">
      <c r="A1094" s="2427"/>
      <c r="C1094" s="1163"/>
      <c r="D1094" s="1163"/>
      <c r="E1094" s="1564"/>
      <c r="F1094" s="1163"/>
      <c r="G1094" s="1163"/>
      <c r="H1094" s="1163"/>
      <c r="I1094" s="1163"/>
    </row>
    <row r="1095" spans="1:9" s="2422" customFormat="1">
      <c r="A1095" s="2427"/>
      <c r="C1095" s="1163"/>
      <c r="D1095" s="1163"/>
      <c r="E1095" s="1564"/>
      <c r="F1095" s="1163"/>
      <c r="G1095" s="1163"/>
      <c r="H1095" s="1163"/>
      <c r="I1095" s="1163"/>
    </row>
    <row r="1096" spans="1:9" s="2422" customFormat="1">
      <c r="A1096" s="2427"/>
      <c r="C1096" s="1163"/>
      <c r="D1096" s="1163"/>
      <c r="E1096" s="1564"/>
      <c r="F1096" s="1163"/>
      <c r="G1096" s="1163"/>
      <c r="H1096" s="1163"/>
      <c r="I1096" s="1163"/>
    </row>
    <row r="1097" spans="1:9" s="2422" customFormat="1">
      <c r="A1097" s="2427"/>
      <c r="C1097" s="1163"/>
      <c r="D1097" s="1163"/>
      <c r="E1097" s="1564"/>
      <c r="F1097" s="1163"/>
      <c r="G1097" s="1163"/>
      <c r="H1097" s="1163"/>
      <c r="I1097" s="1163"/>
    </row>
    <row r="1098" spans="1:9" s="2422" customFormat="1">
      <c r="A1098" s="2427"/>
      <c r="C1098" s="1163"/>
      <c r="D1098" s="1163"/>
      <c r="E1098" s="1564"/>
      <c r="F1098" s="1163"/>
      <c r="G1098" s="1163"/>
      <c r="H1098" s="1163"/>
      <c r="I1098" s="1163"/>
    </row>
    <row r="1099" spans="1:9" s="2422" customFormat="1">
      <c r="A1099" s="2427"/>
      <c r="C1099" s="1163"/>
      <c r="D1099" s="1163"/>
      <c r="E1099" s="1564"/>
      <c r="F1099" s="1163"/>
      <c r="G1099" s="1163"/>
      <c r="H1099" s="1163"/>
      <c r="I1099" s="1163"/>
    </row>
    <row r="1100" spans="1:9" s="2422" customFormat="1">
      <c r="A1100" s="2427"/>
      <c r="C1100" s="1163"/>
      <c r="D1100" s="1163"/>
      <c r="E1100" s="1564"/>
      <c r="F1100" s="1163"/>
      <c r="G1100" s="1163"/>
      <c r="H1100" s="1163"/>
      <c r="I1100" s="1163"/>
    </row>
    <row r="1101" spans="1:9" s="2422" customFormat="1">
      <c r="A1101" s="2427"/>
      <c r="C1101" s="1163"/>
      <c r="D1101" s="1163"/>
      <c r="E1101" s="1564"/>
      <c r="F1101" s="1163"/>
      <c r="G1101" s="1163"/>
      <c r="H1101" s="1163"/>
      <c r="I1101" s="1163"/>
    </row>
    <row r="1102" spans="1:9" s="2422" customFormat="1">
      <c r="A1102" s="2427"/>
      <c r="C1102" s="1163"/>
      <c r="D1102" s="1163"/>
      <c r="E1102" s="1564"/>
      <c r="F1102" s="1163"/>
      <c r="G1102" s="1163"/>
      <c r="H1102" s="1163"/>
      <c r="I1102" s="1163"/>
    </row>
    <row r="1103" spans="1:9" s="2422" customFormat="1">
      <c r="A1103" s="2427"/>
      <c r="C1103" s="1163"/>
      <c r="D1103" s="1163"/>
      <c r="E1103" s="1564"/>
      <c r="F1103" s="1163"/>
      <c r="G1103" s="1163"/>
      <c r="H1103" s="1163"/>
      <c r="I1103" s="1163"/>
    </row>
    <row r="1104" spans="1:9" s="2422" customFormat="1">
      <c r="A1104" s="2427"/>
      <c r="C1104" s="1163"/>
      <c r="D1104" s="1163"/>
      <c r="E1104" s="1564"/>
      <c r="F1104" s="1163"/>
      <c r="G1104" s="1163"/>
      <c r="H1104" s="1163"/>
      <c r="I1104" s="1163"/>
    </row>
    <row r="1105" spans="1:9" s="2422" customFormat="1">
      <c r="A1105" s="2427"/>
      <c r="C1105" s="1163"/>
      <c r="D1105" s="1163"/>
      <c r="E1105" s="1564"/>
      <c r="F1105" s="1163"/>
      <c r="G1105" s="1163"/>
      <c r="H1105" s="1163"/>
      <c r="I1105" s="1163"/>
    </row>
    <row r="1106" spans="1:9" s="2422" customFormat="1">
      <c r="A1106" s="2427"/>
      <c r="C1106" s="1163"/>
      <c r="D1106" s="1163"/>
      <c r="E1106" s="1564"/>
      <c r="F1106" s="1163"/>
      <c r="G1106" s="1163"/>
      <c r="H1106" s="1163"/>
      <c r="I1106" s="1163"/>
    </row>
    <row r="1107" spans="1:9" s="2422" customFormat="1">
      <c r="A1107" s="2427"/>
      <c r="C1107" s="1163"/>
      <c r="D1107" s="1163"/>
      <c r="E1107" s="1564"/>
      <c r="F1107" s="1163"/>
      <c r="G1107" s="1163"/>
      <c r="H1107" s="1163"/>
      <c r="I1107" s="1163"/>
    </row>
    <row r="1108" spans="1:9" s="2422" customFormat="1">
      <c r="A1108" s="2427"/>
      <c r="C1108" s="1163"/>
      <c r="D1108" s="1163"/>
      <c r="E1108" s="1564"/>
      <c r="F1108" s="1163"/>
      <c r="G1108" s="1163"/>
      <c r="H1108" s="1163"/>
      <c r="I1108" s="1163"/>
    </row>
    <row r="1109" spans="1:9" s="2422" customFormat="1">
      <c r="A1109" s="2427"/>
      <c r="C1109" s="1163"/>
      <c r="D1109" s="1163"/>
      <c r="E1109" s="1564"/>
      <c r="F1109" s="1163"/>
      <c r="G1109" s="1163"/>
      <c r="H1109" s="1163"/>
      <c r="I1109" s="1163"/>
    </row>
    <row r="1110" spans="1:9" s="2422" customFormat="1">
      <c r="A1110" s="2427"/>
      <c r="C1110" s="1163"/>
      <c r="D1110" s="1163"/>
      <c r="E1110" s="1564"/>
      <c r="F1110" s="1163"/>
      <c r="G1110" s="1163"/>
      <c r="H1110" s="1163"/>
      <c r="I1110" s="1163"/>
    </row>
    <row r="1111" spans="1:9" s="2422" customFormat="1">
      <c r="A1111" s="2427"/>
      <c r="C1111" s="1163"/>
      <c r="D1111" s="1163"/>
      <c r="E1111" s="1564"/>
      <c r="F1111" s="1163"/>
      <c r="G1111" s="1163"/>
      <c r="H1111" s="1163"/>
      <c r="I1111" s="1163"/>
    </row>
    <row r="1112" spans="1:9" s="2422" customFormat="1">
      <c r="A1112" s="2427"/>
      <c r="C1112" s="1163"/>
      <c r="D1112" s="1163"/>
      <c r="E1112" s="1564"/>
      <c r="F1112" s="1163"/>
      <c r="G1112" s="1163"/>
      <c r="H1112" s="1163"/>
      <c r="I1112" s="1163"/>
    </row>
    <row r="1113" spans="1:9" s="2422" customFormat="1">
      <c r="A1113" s="2427"/>
      <c r="C1113" s="1163"/>
      <c r="D1113" s="1163"/>
      <c r="E1113" s="1564"/>
      <c r="F1113" s="1163"/>
      <c r="G1113" s="1163"/>
      <c r="H1113" s="1163"/>
      <c r="I1113" s="1163"/>
    </row>
    <row r="1114" spans="1:9" s="2422" customFormat="1">
      <c r="A1114" s="2427"/>
      <c r="C1114" s="1163"/>
      <c r="D1114" s="1163"/>
      <c r="E1114" s="1564"/>
      <c r="F1114" s="1163"/>
      <c r="G1114" s="1163"/>
      <c r="H1114" s="1163"/>
      <c r="I1114" s="1163"/>
    </row>
    <row r="1115" spans="1:9" s="2422" customFormat="1">
      <c r="A1115" s="2427"/>
      <c r="C1115" s="1163"/>
      <c r="D1115" s="1163"/>
      <c r="E1115" s="1564"/>
      <c r="F1115" s="1163"/>
      <c r="G1115" s="1163"/>
      <c r="H1115" s="1163"/>
      <c r="I1115" s="1163"/>
    </row>
    <row r="1116" spans="1:9" s="2422" customFormat="1">
      <c r="A1116" s="2427"/>
      <c r="C1116" s="1163"/>
      <c r="D1116" s="1163"/>
      <c r="E1116" s="1564"/>
      <c r="F1116" s="1163"/>
      <c r="G1116" s="1163"/>
      <c r="H1116" s="1163"/>
      <c r="I1116" s="1163"/>
    </row>
    <row r="1117" spans="1:9" s="2422" customFormat="1">
      <c r="A1117" s="2427"/>
      <c r="C1117" s="1163"/>
      <c r="D1117" s="1163"/>
      <c r="E1117" s="1564"/>
      <c r="F1117" s="1163"/>
      <c r="G1117" s="1163"/>
      <c r="H1117" s="1163"/>
      <c r="I1117" s="1163"/>
    </row>
    <row r="1118" spans="1:9" s="2422" customFormat="1">
      <c r="A1118" s="2427"/>
      <c r="C1118" s="1163"/>
      <c r="D1118" s="1163"/>
      <c r="E1118" s="1564"/>
      <c r="F1118" s="1163"/>
      <c r="G1118" s="1163"/>
      <c r="H1118" s="1163"/>
      <c r="I1118" s="1163"/>
    </row>
    <row r="1119" spans="1:9" s="2422" customFormat="1">
      <c r="A1119" s="2427"/>
      <c r="C1119" s="1163"/>
      <c r="D1119" s="1163"/>
      <c r="E1119" s="1564"/>
      <c r="F1119" s="1163"/>
      <c r="G1119" s="1163"/>
      <c r="H1119" s="1163"/>
      <c r="I1119" s="1163"/>
    </row>
    <row r="1120" spans="1:9" s="2422" customFormat="1">
      <c r="A1120" s="2427"/>
      <c r="C1120" s="1163"/>
      <c r="D1120" s="1163"/>
      <c r="E1120" s="1564"/>
      <c r="F1120" s="1163"/>
      <c r="G1120" s="1163"/>
      <c r="H1120" s="1163"/>
      <c r="I1120" s="1163"/>
    </row>
    <row r="1121" spans="1:9" s="2422" customFormat="1">
      <c r="A1121" s="2427"/>
      <c r="C1121" s="1163"/>
      <c r="D1121" s="1163"/>
      <c r="E1121" s="1564"/>
      <c r="F1121" s="1163"/>
      <c r="G1121" s="1163"/>
      <c r="H1121" s="1163"/>
      <c r="I1121" s="1163"/>
    </row>
    <row r="1122" spans="1:9" s="2422" customFormat="1">
      <c r="A1122" s="2427"/>
      <c r="C1122" s="1163"/>
      <c r="D1122" s="1163"/>
      <c r="E1122" s="1564"/>
      <c r="F1122" s="1163"/>
      <c r="G1122" s="1163"/>
      <c r="H1122" s="1163"/>
      <c r="I1122" s="1163"/>
    </row>
    <row r="1123" spans="1:9" s="2422" customFormat="1">
      <c r="A1123" s="2427"/>
      <c r="C1123" s="1163"/>
      <c r="D1123" s="1163"/>
      <c r="E1123" s="1564"/>
      <c r="F1123" s="1163"/>
      <c r="G1123" s="1163"/>
      <c r="H1123" s="1163"/>
      <c r="I1123" s="1163"/>
    </row>
    <row r="1124" spans="1:9" s="2422" customFormat="1">
      <c r="A1124" s="2427"/>
      <c r="C1124" s="1163"/>
      <c r="D1124" s="1163"/>
      <c r="E1124" s="1564"/>
      <c r="F1124" s="1163"/>
      <c r="G1124" s="1163"/>
      <c r="H1124" s="1163"/>
      <c r="I1124" s="1163"/>
    </row>
    <row r="1125" spans="1:9" s="2422" customFormat="1">
      <c r="A1125" s="2427"/>
      <c r="C1125" s="1163"/>
      <c r="D1125" s="1163"/>
      <c r="E1125" s="1564"/>
      <c r="F1125" s="1163"/>
      <c r="G1125" s="1163"/>
      <c r="H1125" s="1163"/>
      <c r="I1125" s="1163"/>
    </row>
    <row r="1126" spans="1:9" s="2422" customFormat="1">
      <c r="A1126" s="2427"/>
      <c r="C1126" s="1163"/>
      <c r="D1126" s="1163"/>
      <c r="E1126" s="1564"/>
      <c r="F1126" s="1163"/>
      <c r="G1126" s="1163"/>
      <c r="H1126" s="1163"/>
      <c r="I1126" s="1163"/>
    </row>
    <row r="1127" spans="1:9" s="2422" customFormat="1">
      <c r="A1127" s="2427"/>
      <c r="C1127" s="1163"/>
      <c r="D1127" s="1163"/>
      <c r="E1127" s="1564"/>
      <c r="F1127" s="1163"/>
      <c r="G1127" s="1163"/>
      <c r="H1127" s="1163"/>
      <c r="I1127" s="1163"/>
    </row>
    <row r="1128" spans="1:9" s="2422" customFormat="1">
      <c r="A1128" s="2427"/>
      <c r="C1128" s="1163"/>
      <c r="D1128" s="1163"/>
      <c r="E1128" s="1564"/>
      <c r="F1128" s="1163"/>
      <c r="G1128" s="1163"/>
      <c r="H1128" s="1163"/>
      <c r="I1128" s="1163"/>
    </row>
    <row r="1129" spans="1:9" s="2422" customFormat="1">
      <c r="A1129" s="2427"/>
      <c r="C1129" s="1163"/>
      <c r="D1129" s="1163"/>
      <c r="E1129" s="1564"/>
      <c r="F1129" s="1163"/>
      <c r="G1129" s="1163"/>
      <c r="H1129" s="1163"/>
      <c r="I1129" s="1163"/>
    </row>
    <row r="1130" spans="1:9" s="2422" customFormat="1">
      <c r="A1130" s="2427"/>
      <c r="C1130" s="1163"/>
      <c r="D1130" s="1163"/>
      <c r="E1130" s="1564"/>
      <c r="F1130" s="1163"/>
      <c r="G1130" s="1163"/>
      <c r="H1130" s="1163"/>
      <c r="I1130" s="1163"/>
    </row>
    <row r="1131" spans="1:9" s="2422" customFormat="1">
      <c r="A1131" s="2427"/>
      <c r="C1131" s="1163"/>
      <c r="D1131" s="1163"/>
      <c r="E1131" s="1564"/>
      <c r="F1131" s="1163"/>
      <c r="G1131" s="1163"/>
      <c r="H1131" s="1163"/>
      <c r="I1131" s="1163"/>
    </row>
    <row r="1132" spans="1:9" s="2422" customFormat="1">
      <c r="A1132" s="2427"/>
      <c r="C1132" s="1163"/>
      <c r="D1132" s="1163"/>
      <c r="E1132" s="1564"/>
      <c r="F1132" s="1163"/>
      <c r="G1132" s="1163"/>
      <c r="H1132" s="1163"/>
      <c r="I1132" s="1163"/>
    </row>
    <row r="1133" spans="1:9" s="2422" customFormat="1">
      <c r="A1133" s="2427"/>
      <c r="C1133" s="1163"/>
      <c r="D1133" s="1163"/>
      <c r="E1133" s="1564"/>
      <c r="F1133" s="1163"/>
      <c r="G1133" s="1163"/>
      <c r="H1133" s="1163"/>
      <c r="I1133" s="1163"/>
    </row>
    <row r="1134" spans="1:9" s="2422" customFormat="1">
      <c r="A1134" s="2427"/>
      <c r="C1134" s="1163"/>
      <c r="D1134" s="1163"/>
      <c r="E1134" s="1564"/>
      <c r="F1134" s="1163"/>
      <c r="G1134" s="1163"/>
      <c r="H1134" s="1163"/>
      <c r="I1134" s="1163"/>
    </row>
    <row r="1135" spans="1:9" s="2422" customFormat="1">
      <c r="A1135" s="2427"/>
      <c r="C1135" s="1163"/>
      <c r="D1135" s="1163"/>
      <c r="E1135" s="1564"/>
      <c r="F1135" s="1163"/>
      <c r="G1135" s="1163"/>
      <c r="H1135" s="1163"/>
      <c r="I1135" s="1163"/>
    </row>
    <row r="1136" spans="1:9" s="2422" customFormat="1">
      <c r="A1136" s="2427"/>
      <c r="C1136" s="1163"/>
      <c r="D1136" s="1163"/>
      <c r="E1136" s="1564"/>
      <c r="F1136" s="1163"/>
      <c r="G1136" s="1163"/>
      <c r="H1136" s="1163"/>
      <c r="I1136" s="1163"/>
    </row>
    <row r="1137" spans="1:9" s="2422" customFormat="1">
      <c r="A1137" s="2427"/>
      <c r="C1137" s="1163"/>
      <c r="D1137" s="1163"/>
      <c r="E1137" s="1564"/>
      <c r="F1137" s="1163"/>
      <c r="G1137" s="1163"/>
      <c r="H1137" s="1163"/>
      <c r="I1137" s="1163"/>
    </row>
    <row r="1138" spans="1:9" s="2422" customFormat="1">
      <c r="A1138" s="2427"/>
      <c r="C1138" s="1163"/>
      <c r="D1138" s="1163"/>
      <c r="E1138" s="1564"/>
      <c r="F1138" s="1163"/>
      <c r="G1138" s="1163"/>
      <c r="H1138" s="1163"/>
      <c r="I1138" s="1163"/>
    </row>
    <row r="1139" spans="1:9" s="2422" customFormat="1">
      <c r="A1139" s="2427"/>
      <c r="C1139" s="1163"/>
      <c r="D1139" s="1163"/>
      <c r="E1139" s="1564"/>
      <c r="F1139" s="1163"/>
      <c r="G1139" s="1163"/>
      <c r="H1139" s="1163"/>
      <c r="I1139" s="1163"/>
    </row>
    <row r="1140" spans="1:9" s="2422" customFormat="1">
      <c r="A1140" s="2427"/>
      <c r="C1140" s="1163"/>
      <c r="D1140" s="1163"/>
      <c r="E1140" s="1564"/>
      <c r="F1140" s="1163"/>
      <c r="G1140" s="1163"/>
      <c r="H1140" s="1163"/>
      <c r="I1140" s="1163"/>
    </row>
    <row r="1141" spans="1:9" s="2422" customFormat="1">
      <c r="A1141" s="2427"/>
      <c r="C1141" s="1163"/>
      <c r="D1141" s="1163"/>
      <c r="E1141" s="1564"/>
      <c r="F1141" s="1163"/>
      <c r="G1141" s="1163"/>
      <c r="H1141" s="1163"/>
      <c r="I1141" s="1163"/>
    </row>
    <row r="1142" spans="1:9" s="2422" customFormat="1">
      <c r="A1142" s="2427"/>
      <c r="C1142" s="1163"/>
      <c r="D1142" s="1163"/>
      <c r="E1142" s="1564"/>
      <c r="F1142" s="1163"/>
      <c r="G1142" s="1163"/>
      <c r="H1142" s="1163"/>
      <c r="I1142" s="1163"/>
    </row>
    <row r="1143" spans="1:9" s="2422" customFormat="1">
      <c r="A1143" s="2427"/>
      <c r="C1143" s="1163"/>
      <c r="D1143" s="1163"/>
      <c r="E1143" s="1564"/>
      <c r="F1143" s="1163"/>
      <c r="G1143" s="1163"/>
      <c r="H1143" s="1163"/>
      <c r="I1143" s="1163"/>
    </row>
    <row r="1144" spans="1:9" s="2422" customFormat="1">
      <c r="A1144" s="2427"/>
      <c r="C1144" s="1163"/>
      <c r="D1144" s="1163"/>
      <c r="E1144" s="1564"/>
      <c r="F1144" s="1163"/>
      <c r="G1144" s="1163"/>
      <c r="H1144" s="1163"/>
      <c r="I1144" s="1163"/>
    </row>
    <row r="1145" spans="1:9" s="2422" customFormat="1">
      <c r="A1145" s="2427"/>
      <c r="C1145" s="1163"/>
      <c r="D1145" s="1163"/>
      <c r="E1145" s="1564"/>
      <c r="F1145" s="1163"/>
      <c r="G1145" s="1163"/>
      <c r="H1145" s="1163"/>
      <c r="I1145" s="1163"/>
    </row>
    <row r="1146" spans="1:9" s="2422" customFormat="1">
      <c r="A1146" s="2427"/>
      <c r="C1146" s="1163"/>
      <c r="D1146" s="1163"/>
      <c r="E1146" s="1564"/>
      <c r="F1146" s="1163"/>
      <c r="G1146" s="1163"/>
      <c r="H1146" s="1163"/>
      <c r="I1146" s="1163"/>
    </row>
    <row r="1147" spans="1:9" s="2422" customFormat="1">
      <c r="A1147" s="2427"/>
      <c r="C1147" s="1163"/>
      <c r="D1147" s="1163"/>
      <c r="E1147" s="1564"/>
      <c r="F1147" s="1163"/>
      <c r="G1147" s="1163"/>
      <c r="H1147" s="1163"/>
      <c r="I1147" s="1163"/>
    </row>
    <row r="1148" spans="1:9" s="2422" customFormat="1">
      <c r="A1148" s="2427"/>
      <c r="C1148" s="1163"/>
      <c r="D1148" s="1163"/>
      <c r="E1148" s="1564"/>
      <c r="F1148" s="1163"/>
      <c r="G1148" s="1163"/>
      <c r="H1148" s="1163"/>
      <c r="I1148" s="1163"/>
    </row>
    <row r="1149" spans="1:9" s="2422" customFormat="1">
      <c r="A1149" s="2427"/>
      <c r="C1149" s="1163"/>
      <c r="D1149" s="1163"/>
      <c r="E1149" s="1564"/>
      <c r="F1149" s="1163"/>
      <c r="G1149" s="1163"/>
      <c r="H1149" s="1163"/>
      <c r="I1149" s="1163"/>
    </row>
    <row r="1150" spans="1:9" s="2422" customFormat="1">
      <c r="A1150" s="2427"/>
      <c r="C1150" s="1163"/>
      <c r="D1150" s="1163"/>
      <c r="E1150" s="1564"/>
      <c r="F1150" s="1163"/>
      <c r="G1150" s="1163"/>
      <c r="H1150" s="1163"/>
      <c r="I1150" s="1163"/>
    </row>
    <row r="1151" spans="1:9" s="2422" customFormat="1">
      <c r="A1151" s="2427"/>
      <c r="C1151" s="1163"/>
      <c r="D1151" s="1163"/>
      <c r="E1151" s="1564"/>
      <c r="F1151" s="1163"/>
      <c r="G1151" s="1163"/>
      <c r="H1151" s="1163"/>
      <c r="I1151" s="1163"/>
    </row>
    <row r="1152" spans="1:9" s="2422" customFormat="1">
      <c r="A1152" s="2427"/>
      <c r="C1152" s="1163"/>
      <c r="D1152" s="1163"/>
      <c r="E1152" s="1564"/>
      <c r="F1152" s="1163"/>
      <c r="G1152" s="1163"/>
      <c r="H1152" s="1163"/>
      <c r="I1152" s="1163"/>
    </row>
    <row r="1153" spans="1:9" s="2422" customFormat="1">
      <c r="A1153" s="2427"/>
      <c r="C1153" s="1163"/>
      <c r="D1153" s="1163"/>
      <c r="E1153" s="1564"/>
      <c r="F1153" s="1163"/>
      <c r="G1153" s="1163"/>
      <c r="H1153" s="1163"/>
      <c r="I1153" s="1163"/>
    </row>
    <row r="1154" spans="1:9" s="2422" customFormat="1">
      <c r="A1154" s="2427"/>
      <c r="C1154" s="1163"/>
      <c r="D1154" s="1163"/>
      <c r="E1154" s="1564"/>
      <c r="F1154" s="1163"/>
      <c r="G1154" s="1163"/>
      <c r="H1154" s="1163"/>
      <c r="I1154" s="1163"/>
    </row>
    <row r="1155" spans="1:9" s="2422" customFormat="1">
      <c r="A1155" s="2427"/>
      <c r="C1155" s="1163"/>
      <c r="D1155" s="1163"/>
      <c r="E1155" s="1564"/>
      <c r="F1155" s="1163"/>
      <c r="G1155" s="1163"/>
      <c r="H1155" s="1163"/>
      <c r="I1155" s="1163"/>
    </row>
    <row r="1156" spans="1:9" s="2422" customFormat="1">
      <c r="A1156" s="2427"/>
      <c r="C1156" s="1163"/>
      <c r="D1156" s="1163"/>
      <c r="E1156" s="1564"/>
      <c r="F1156" s="1163"/>
      <c r="G1156" s="1163"/>
      <c r="H1156" s="1163"/>
      <c r="I1156" s="1163"/>
    </row>
    <row r="1157" spans="1:9" s="2422" customFormat="1">
      <c r="A1157" s="2427"/>
      <c r="C1157" s="1163"/>
      <c r="D1157" s="1163"/>
      <c r="E1157" s="1564"/>
      <c r="F1157" s="1163"/>
      <c r="G1157" s="1163"/>
      <c r="H1157" s="1163"/>
      <c r="I1157" s="1163"/>
    </row>
    <row r="1158" spans="1:9" s="2422" customFormat="1">
      <c r="A1158" s="2427"/>
      <c r="C1158" s="1163"/>
      <c r="D1158" s="1163"/>
      <c r="E1158" s="1564"/>
      <c r="F1158" s="1163"/>
      <c r="G1158" s="1163"/>
      <c r="H1158" s="1163"/>
      <c r="I1158" s="1163"/>
    </row>
    <row r="1159" spans="1:9" s="2422" customFormat="1">
      <c r="A1159" s="2427"/>
      <c r="C1159" s="1163"/>
      <c r="D1159" s="1163"/>
      <c r="E1159" s="1564"/>
      <c r="F1159" s="1163"/>
      <c r="G1159" s="1163"/>
      <c r="H1159" s="1163"/>
      <c r="I1159" s="1163"/>
    </row>
    <row r="1160" spans="1:9" s="2422" customFormat="1">
      <c r="A1160" s="2427"/>
      <c r="C1160" s="1163"/>
      <c r="D1160" s="1163"/>
      <c r="E1160" s="1564"/>
      <c r="F1160" s="1163"/>
      <c r="G1160" s="1163"/>
      <c r="H1160" s="1163"/>
      <c r="I1160" s="1163"/>
    </row>
    <row r="1161" spans="1:9" s="2422" customFormat="1">
      <c r="A1161" s="2427"/>
      <c r="C1161" s="1163"/>
      <c r="D1161" s="1163"/>
      <c r="E1161" s="1564"/>
      <c r="F1161" s="1163"/>
      <c r="G1161" s="1163"/>
      <c r="H1161" s="1163"/>
      <c r="I1161" s="1163"/>
    </row>
    <row r="1162" spans="1:9" s="2422" customFormat="1">
      <c r="A1162" s="2427"/>
      <c r="C1162" s="1163"/>
      <c r="D1162" s="1163"/>
      <c r="E1162" s="1564"/>
      <c r="F1162" s="1163"/>
      <c r="G1162" s="1163"/>
      <c r="H1162" s="1163"/>
      <c r="I1162" s="1163"/>
    </row>
    <row r="1163" spans="1:9" s="2422" customFormat="1">
      <c r="A1163" s="2427"/>
      <c r="C1163" s="1163"/>
      <c r="D1163" s="1163"/>
      <c r="E1163" s="1564"/>
      <c r="F1163" s="1163"/>
      <c r="G1163" s="1163"/>
      <c r="H1163" s="1163"/>
      <c r="I1163" s="1163"/>
    </row>
    <row r="1164" spans="1:9" s="2422" customFormat="1">
      <c r="A1164" s="2427"/>
      <c r="C1164" s="1163"/>
      <c r="D1164" s="1163"/>
      <c r="E1164" s="1564"/>
      <c r="F1164" s="1163"/>
      <c r="G1164" s="1163"/>
      <c r="H1164" s="1163"/>
      <c r="I1164" s="1163"/>
    </row>
    <row r="1165" spans="1:9" s="2422" customFormat="1">
      <c r="A1165" s="2427"/>
      <c r="C1165" s="1163"/>
      <c r="D1165" s="1163"/>
      <c r="E1165" s="1564"/>
      <c r="F1165" s="1163"/>
      <c r="G1165" s="1163"/>
      <c r="H1165" s="1163"/>
      <c r="I1165" s="1163"/>
    </row>
    <row r="1166" spans="1:9" s="2422" customFormat="1">
      <c r="A1166" s="2427"/>
      <c r="C1166" s="1163"/>
      <c r="D1166" s="1163"/>
      <c r="E1166" s="1564"/>
      <c r="F1166" s="1163"/>
      <c r="G1166" s="1163"/>
      <c r="H1166" s="1163"/>
      <c r="I1166" s="1163"/>
    </row>
    <row r="1167" spans="1:9" s="2422" customFormat="1">
      <c r="A1167" s="2427"/>
      <c r="C1167" s="1163"/>
      <c r="D1167" s="1163"/>
      <c r="E1167" s="1564"/>
      <c r="F1167" s="1163"/>
      <c r="G1167" s="1163"/>
      <c r="H1167" s="1163"/>
      <c r="I1167" s="1163"/>
    </row>
    <row r="1168" spans="1:9" s="2422" customFormat="1">
      <c r="A1168" s="2427"/>
      <c r="C1168" s="1163"/>
      <c r="D1168" s="1163"/>
      <c r="E1168" s="1564"/>
      <c r="F1168" s="1163"/>
      <c r="G1168" s="1163"/>
      <c r="H1168" s="1163"/>
      <c r="I1168" s="1163"/>
    </row>
    <row r="1169" spans="1:9" s="2422" customFormat="1">
      <c r="A1169" s="2427"/>
      <c r="C1169" s="1163"/>
      <c r="D1169" s="1163"/>
      <c r="E1169" s="1564"/>
      <c r="F1169" s="1163"/>
      <c r="G1169" s="1163"/>
      <c r="H1169" s="1163"/>
      <c r="I1169" s="1163"/>
    </row>
    <row r="1170" spans="1:9" s="2422" customFormat="1">
      <c r="A1170" s="2427"/>
      <c r="C1170" s="1163"/>
      <c r="D1170" s="1163"/>
      <c r="E1170" s="1564"/>
      <c r="F1170" s="1163"/>
      <c r="G1170" s="1163"/>
      <c r="H1170" s="1163"/>
      <c r="I1170" s="1163"/>
    </row>
    <row r="1171" spans="1:9" s="2422" customFormat="1">
      <c r="A1171" s="2427"/>
      <c r="C1171" s="1163"/>
      <c r="D1171" s="1163"/>
      <c r="E1171" s="1564"/>
      <c r="F1171" s="1163"/>
      <c r="G1171" s="1163"/>
      <c r="H1171" s="1163"/>
      <c r="I1171" s="1163"/>
    </row>
    <row r="1172" spans="1:9" s="2422" customFormat="1">
      <c r="A1172" s="2427"/>
      <c r="C1172" s="1163"/>
      <c r="D1172" s="1163"/>
      <c r="E1172" s="1564"/>
      <c r="F1172" s="1163"/>
      <c r="G1172" s="1163"/>
      <c r="H1172" s="1163"/>
      <c r="I1172" s="1163"/>
    </row>
    <row r="1173" spans="1:9" s="2422" customFormat="1">
      <c r="A1173" s="2427"/>
      <c r="C1173" s="1163"/>
      <c r="D1173" s="1163"/>
      <c r="E1173" s="1564"/>
      <c r="F1173" s="1163"/>
      <c r="G1173" s="1163"/>
      <c r="H1173" s="1163"/>
      <c r="I1173" s="1163"/>
    </row>
    <row r="1174" spans="1:9" s="2422" customFormat="1">
      <c r="A1174" s="2427"/>
      <c r="C1174" s="1163"/>
      <c r="D1174" s="1163"/>
      <c r="E1174" s="1564"/>
      <c r="F1174" s="1163"/>
      <c r="G1174" s="1163"/>
      <c r="H1174" s="1163"/>
      <c r="I1174" s="1163"/>
    </row>
    <row r="1175" spans="1:9" s="2422" customFormat="1">
      <c r="A1175" s="2427"/>
      <c r="C1175" s="1163"/>
      <c r="D1175" s="1163"/>
      <c r="E1175" s="1564"/>
      <c r="F1175" s="1163"/>
      <c r="G1175" s="1163"/>
      <c r="H1175" s="1163"/>
      <c r="I1175" s="1163"/>
    </row>
    <row r="1176" spans="1:9" s="2422" customFormat="1">
      <c r="A1176" s="2427"/>
      <c r="C1176" s="1163"/>
      <c r="D1176" s="1163"/>
      <c r="E1176" s="1564"/>
      <c r="F1176" s="1163"/>
      <c r="G1176" s="1163"/>
      <c r="H1176" s="1163"/>
      <c r="I1176" s="1163"/>
    </row>
    <row r="1177" spans="1:9" s="2422" customFormat="1">
      <c r="A1177" s="2427"/>
      <c r="C1177" s="1163"/>
      <c r="D1177" s="1163"/>
      <c r="E1177" s="1564"/>
      <c r="F1177" s="1163"/>
      <c r="G1177" s="1163"/>
      <c r="H1177" s="1163"/>
      <c r="I1177" s="1163"/>
    </row>
    <row r="1178" spans="1:9" s="2422" customFormat="1">
      <c r="A1178" s="2427"/>
      <c r="C1178" s="1163"/>
      <c r="D1178" s="1163"/>
      <c r="E1178" s="1564"/>
      <c r="F1178" s="1163"/>
      <c r="G1178" s="1163"/>
      <c r="H1178" s="1163"/>
      <c r="I1178" s="1163"/>
    </row>
    <row r="1179" spans="1:9" s="2422" customFormat="1">
      <c r="A1179" s="2427"/>
      <c r="C1179" s="1163"/>
      <c r="D1179" s="1163"/>
      <c r="E1179" s="1564"/>
      <c r="F1179" s="1163"/>
      <c r="G1179" s="1163"/>
      <c r="H1179" s="1163"/>
      <c r="I1179" s="1163"/>
    </row>
    <row r="1180" spans="1:9" s="2422" customFormat="1">
      <c r="A1180" s="2427"/>
      <c r="C1180" s="1163"/>
      <c r="D1180" s="1163"/>
      <c r="E1180" s="1564"/>
      <c r="F1180" s="1163"/>
      <c r="G1180" s="1163"/>
      <c r="H1180" s="1163"/>
      <c r="I1180" s="1163"/>
    </row>
    <row r="1181" spans="1:9" s="2422" customFormat="1">
      <c r="A1181" s="2427"/>
      <c r="C1181" s="1163"/>
      <c r="D1181" s="1163"/>
      <c r="E1181" s="1564"/>
      <c r="F1181" s="1163"/>
      <c r="G1181" s="1163"/>
      <c r="H1181" s="1163"/>
      <c r="I1181" s="1163"/>
    </row>
    <row r="1182" spans="1:9" s="2422" customFormat="1">
      <c r="A1182" s="2427"/>
      <c r="C1182" s="1163"/>
      <c r="D1182" s="1163"/>
      <c r="E1182" s="1564"/>
      <c r="F1182" s="1163"/>
      <c r="G1182" s="1163"/>
      <c r="H1182" s="1163"/>
      <c r="I1182" s="1163"/>
    </row>
    <row r="1183" spans="1:9" s="2422" customFormat="1">
      <c r="A1183" s="2427"/>
      <c r="C1183" s="1163"/>
      <c r="D1183" s="1163"/>
      <c r="E1183" s="1564"/>
      <c r="F1183" s="1163"/>
      <c r="G1183" s="1163"/>
      <c r="H1183" s="1163"/>
      <c r="I1183" s="1163"/>
    </row>
    <row r="1184" spans="1:9" s="2422" customFormat="1">
      <c r="A1184" s="2427"/>
      <c r="C1184" s="1163"/>
      <c r="D1184" s="1163"/>
      <c r="E1184" s="1564"/>
      <c r="F1184" s="1163"/>
      <c r="G1184" s="1163"/>
      <c r="H1184" s="1163"/>
      <c r="I1184" s="1163"/>
    </row>
    <row r="1185" spans="1:9" s="2422" customFormat="1">
      <c r="A1185" s="2427"/>
      <c r="C1185" s="1163"/>
      <c r="D1185" s="1163"/>
      <c r="E1185" s="1564"/>
      <c r="F1185" s="1163"/>
      <c r="G1185" s="1163"/>
      <c r="H1185" s="1163"/>
      <c r="I1185" s="1163"/>
    </row>
    <row r="1186" spans="1:9" s="2422" customFormat="1">
      <c r="A1186" s="2427"/>
      <c r="C1186" s="1163"/>
      <c r="D1186" s="1163"/>
      <c r="E1186" s="1564"/>
      <c r="F1186" s="1163"/>
      <c r="G1186" s="1163"/>
      <c r="H1186" s="1163"/>
      <c r="I1186" s="1163"/>
    </row>
    <row r="1187" spans="1:9" s="2422" customFormat="1">
      <c r="A1187" s="2427"/>
      <c r="C1187" s="1163"/>
      <c r="D1187" s="1163"/>
      <c r="E1187" s="1564"/>
      <c r="F1187" s="1163"/>
      <c r="G1187" s="1163"/>
      <c r="H1187" s="1163"/>
      <c r="I1187" s="1163"/>
    </row>
    <row r="1188" spans="1:9" s="2422" customFormat="1">
      <c r="A1188" s="2427"/>
      <c r="C1188" s="1163"/>
      <c r="D1188" s="1163"/>
      <c r="E1188" s="1564"/>
      <c r="F1188" s="1163"/>
      <c r="G1188" s="1163"/>
      <c r="H1188" s="1163"/>
      <c r="I1188" s="1163"/>
    </row>
    <row r="1189" spans="1:9" s="2422" customFormat="1">
      <c r="A1189" s="2427"/>
      <c r="C1189" s="1163"/>
      <c r="D1189" s="1163"/>
      <c r="E1189" s="1564"/>
      <c r="F1189" s="1163"/>
      <c r="G1189" s="1163"/>
      <c r="H1189" s="1163"/>
      <c r="I1189" s="1163"/>
    </row>
    <row r="1190" spans="1:9" s="2422" customFormat="1">
      <c r="A1190" s="2427"/>
      <c r="C1190" s="1163"/>
      <c r="D1190" s="1163"/>
      <c r="E1190" s="1564"/>
      <c r="F1190" s="1163"/>
      <c r="G1190" s="1163"/>
      <c r="H1190" s="1163"/>
      <c r="I1190" s="1163"/>
    </row>
    <row r="1191" spans="1:9" s="2422" customFormat="1">
      <c r="A1191" s="2427"/>
      <c r="C1191" s="1163"/>
      <c r="D1191" s="1163"/>
      <c r="E1191" s="1564"/>
      <c r="F1191" s="1163"/>
      <c r="G1191" s="1163"/>
      <c r="H1191" s="1163"/>
      <c r="I1191" s="1163"/>
    </row>
    <row r="1192" spans="1:9" s="2422" customFormat="1">
      <c r="A1192" s="2427"/>
      <c r="C1192" s="1163"/>
      <c r="D1192" s="1163"/>
      <c r="E1192" s="1564"/>
      <c r="F1192" s="1163"/>
      <c r="G1192" s="1163"/>
      <c r="H1192" s="1163"/>
      <c r="I1192" s="1163"/>
    </row>
    <row r="1193" spans="1:9" s="2422" customFormat="1">
      <c r="A1193" s="2427"/>
      <c r="C1193" s="1163"/>
      <c r="D1193" s="1163"/>
      <c r="E1193" s="1564"/>
      <c r="F1193" s="1163"/>
      <c r="G1193" s="1163"/>
      <c r="H1193" s="1163"/>
      <c r="I1193" s="1163"/>
    </row>
    <row r="1194" spans="1:9" s="2422" customFormat="1">
      <c r="A1194" s="2427"/>
      <c r="C1194" s="1163"/>
      <c r="D1194" s="1163"/>
      <c r="E1194" s="1564"/>
      <c r="F1194" s="1163"/>
      <c r="G1194" s="1163"/>
      <c r="H1194" s="1163"/>
      <c r="I1194" s="1163"/>
    </row>
    <row r="1195" spans="1:9" s="2422" customFormat="1">
      <c r="A1195" s="2427"/>
      <c r="C1195" s="1163"/>
      <c r="D1195" s="1163"/>
      <c r="E1195" s="1564"/>
      <c r="F1195" s="1163"/>
      <c r="G1195" s="1163"/>
      <c r="H1195" s="1163"/>
      <c r="I1195" s="1163"/>
    </row>
    <row r="1196" spans="1:9" s="2422" customFormat="1">
      <c r="A1196" s="2427"/>
      <c r="C1196" s="1163"/>
      <c r="D1196" s="1163"/>
      <c r="E1196" s="1564"/>
      <c r="F1196" s="1163"/>
      <c r="G1196" s="1163"/>
      <c r="H1196" s="1163"/>
      <c r="I1196" s="1163"/>
    </row>
    <row r="1197" spans="1:9" s="2422" customFormat="1">
      <c r="A1197" s="2427"/>
      <c r="C1197" s="1163"/>
      <c r="D1197" s="1163"/>
      <c r="E1197" s="1564"/>
      <c r="F1197" s="1163"/>
      <c r="G1197" s="1163"/>
      <c r="H1197" s="1163"/>
      <c r="I1197" s="1163"/>
    </row>
    <row r="1198" spans="1:9" s="2422" customFormat="1">
      <c r="A1198" s="2427"/>
      <c r="C1198" s="1163"/>
      <c r="D1198" s="1163"/>
      <c r="E1198" s="1564"/>
      <c r="F1198" s="1163"/>
      <c r="G1198" s="1163"/>
      <c r="H1198" s="1163"/>
      <c r="I1198" s="1163"/>
    </row>
    <row r="1199" spans="1:9" s="2422" customFormat="1">
      <c r="A1199" s="2427"/>
      <c r="C1199" s="1163"/>
      <c r="D1199" s="1163"/>
      <c r="E1199" s="1564"/>
      <c r="F1199" s="1163"/>
      <c r="G1199" s="1163"/>
      <c r="H1199" s="1163"/>
      <c r="I1199" s="1163"/>
    </row>
    <row r="1200" spans="1:9" s="2422" customFormat="1">
      <c r="A1200" s="2427"/>
      <c r="C1200" s="1163"/>
      <c r="D1200" s="1163"/>
      <c r="E1200" s="1564"/>
      <c r="F1200" s="1163"/>
      <c r="G1200" s="1163"/>
      <c r="H1200" s="1163"/>
      <c r="I1200" s="1163"/>
    </row>
    <row r="1201" spans="1:9" s="2422" customFormat="1">
      <c r="A1201" s="2427"/>
      <c r="C1201" s="1163"/>
      <c r="D1201" s="1163"/>
      <c r="E1201" s="1564"/>
      <c r="F1201" s="1163"/>
      <c r="G1201" s="1163"/>
      <c r="H1201" s="1163"/>
      <c r="I1201" s="1163"/>
    </row>
    <row r="1202" spans="1:9" s="2422" customFormat="1">
      <c r="A1202" s="2427"/>
      <c r="C1202" s="1163"/>
      <c r="D1202" s="1163"/>
      <c r="E1202" s="1564"/>
      <c r="F1202" s="1163"/>
      <c r="G1202" s="1163"/>
      <c r="H1202" s="1163"/>
      <c r="I1202" s="1163"/>
    </row>
    <row r="1203" spans="1:9" s="2422" customFormat="1">
      <c r="A1203" s="2427"/>
      <c r="C1203" s="1163"/>
      <c r="D1203" s="1163"/>
      <c r="E1203" s="1564"/>
      <c r="F1203" s="1163"/>
      <c r="G1203" s="1163"/>
      <c r="H1203" s="1163"/>
      <c r="I1203" s="1163"/>
    </row>
    <row r="1204" spans="1:9" s="2422" customFormat="1">
      <c r="A1204" s="2427"/>
      <c r="C1204" s="1163"/>
      <c r="D1204" s="1163"/>
      <c r="E1204" s="1564"/>
      <c r="F1204" s="1163"/>
      <c r="G1204" s="1163"/>
      <c r="H1204" s="1163"/>
      <c r="I1204" s="1163"/>
    </row>
    <row r="1205" spans="1:9" s="2422" customFormat="1">
      <c r="A1205" s="2427"/>
      <c r="C1205" s="1163"/>
      <c r="D1205" s="1163"/>
      <c r="E1205" s="1564"/>
      <c r="F1205" s="1163"/>
      <c r="G1205" s="1163"/>
      <c r="H1205" s="1163"/>
      <c r="I1205" s="1163"/>
    </row>
    <row r="1206" spans="1:9" s="2422" customFormat="1">
      <c r="A1206" s="2427"/>
      <c r="C1206" s="1163"/>
      <c r="D1206" s="1163"/>
      <c r="E1206" s="1564"/>
      <c r="F1206" s="1163"/>
      <c r="G1206" s="1163"/>
      <c r="H1206" s="1163"/>
      <c r="I1206" s="1163"/>
    </row>
    <row r="1207" spans="1:9" s="2422" customFormat="1">
      <c r="A1207" s="2427"/>
      <c r="C1207" s="1163"/>
      <c r="D1207" s="1163"/>
      <c r="E1207" s="1564"/>
      <c r="F1207" s="1163"/>
      <c r="G1207" s="1163"/>
      <c r="H1207" s="1163"/>
      <c r="I1207" s="1163"/>
    </row>
    <row r="1208" spans="1:9" s="2422" customFormat="1">
      <c r="A1208" s="2427"/>
      <c r="C1208" s="1163"/>
      <c r="D1208" s="1163"/>
      <c r="E1208" s="1564"/>
      <c r="F1208" s="1163"/>
      <c r="G1208" s="1163"/>
      <c r="H1208" s="1163"/>
      <c r="I1208" s="1163"/>
    </row>
    <row r="1209" spans="1:9" s="2422" customFormat="1">
      <c r="A1209" s="2427"/>
      <c r="C1209" s="1163"/>
      <c r="D1209" s="1163"/>
      <c r="E1209" s="1564"/>
      <c r="F1209" s="1163"/>
      <c r="G1209" s="1163"/>
      <c r="H1209" s="1163"/>
      <c r="I1209" s="1163"/>
    </row>
    <row r="1210" spans="1:9" s="2422" customFormat="1">
      <c r="A1210" s="2427"/>
      <c r="C1210" s="1163"/>
      <c r="D1210" s="1163"/>
      <c r="E1210" s="1564"/>
      <c r="F1210" s="1163"/>
      <c r="G1210" s="1163"/>
      <c r="H1210" s="1163"/>
      <c r="I1210" s="1163"/>
    </row>
    <row r="1211" spans="1:9" s="2422" customFormat="1">
      <c r="A1211" s="2427"/>
      <c r="C1211" s="1163"/>
      <c r="D1211" s="1163"/>
      <c r="E1211" s="1564"/>
      <c r="F1211" s="1163"/>
      <c r="G1211" s="1163"/>
      <c r="H1211" s="1163"/>
      <c r="I1211" s="1163"/>
    </row>
    <row r="1212" spans="1:9" s="2422" customFormat="1">
      <c r="A1212" s="2427"/>
      <c r="C1212" s="1163"/>
      <c r="D1212" s="1163"/>
      <c r="E1212" s="1564"/>
      <c r="F1212" s="1163"/>
      <c r="G1212" s="1163"/>
      <c r="H1212" s="1163"/>
      <c r="I1212" s="1163"/>
    </row>
    <row r="1213" spans="1:9" s="2422" customFormat="1">
      <c r="A1213" s="2427"/>
      <c r="C1213" s="1163"/>
      <c r="D1213" s="1163"/>
      <c r="E1213" s="1564"/>
      <c r="F1213" s="1163"/>
      <c r="G1213" s="1163"/>
      <c r="H1213" s="1163"/>
      <c r="I1213" s="1163"/>
    </row>
    <row r="1214" spans="1:9" s="2422" customFormat="1">
      <c r="A1214" s="2427"/>
      <c r="C1214" s="1163"/>
      <c r="D1214" s="1163"/>
      <c r="E1214" s="1564"/>
      <c r="F1214" s="1163"/>
      <c r="G1214" s="1163"/>
      <c r="H1214" s="1163"/>
      <c r="I1214" s="1163"/>
    </row>
    <row r="1215" spans="1:9" s="2422" customFormat="1">
      <c r="A1215" s="2427"/>
      <c r="C1215" s="1163"/>
      <c r="D1215" s="1163"/>
      <c r="E1215" s="1564"/>
      <c r="F1215" s="1163"/>
      <c r="G1215" s="1163"/>
      <c r="H1215" s="1163"/>
      <c r="I1215" s="1163"/>
    </row>
    <row r="1216" spans="1:9" s="2422" customFormat="1">
      <c r="A1216" s="2427"/>
      <c r="C1216" s="1163"/>
      <c r="D1216" s="1163"/>
      <c r="E1216" s="1564"/>
      <c r="F1216" s="1163"/>
      <c r="G1216" s="1163"/>
      <c r="H1216" s="1163"/>
      <c r="I1216" s="1163"/>
    </row>
    <row r="1217" spans="1:9" s="2422" customFormat="1">
      <c r="A1217" s="2427"/>
      <c r="C1217" s="1163"/>
      <c r="D1217" s="1163"/>
      <c r="E1217" s="1564"/>
      <c r="F1217" s="1163"/>
      <c r="G1217" s="1163"/>
      <c r="H1217" s="1163"/>
      <c r="I1217" s="1163"/>
    </row>
    <row r="1218" spans="1:9" s="2422" customFormat="1">
      <c r="A1218" s="2427"/>
      <c r="C1218" s="1163"/>
      <c r="D1218" s="1163"/>
      <c r="E1218" s="1564"/>
      <c r="F1218" s="1163"/>
      <c r="G1218" s="1163"/>
      <c r="H1218" s="1163"/>
      <c r="I1218" s="1163"/>
    </row>
    <row r="1219" spans="1:9" s="2422" customFormat="1">
      <c r="A1219" s="2427"/>
      <c r="C1219" s="1163"/>
      <c r="D1219" s="1163"/>
      <c r="E1219" s="1564"/>
      <c r="F1219" s="1163"/>
      <c r="G1219" s="1163"/>
      <c r="H1219" s="1163"/>
      <c r="I1219" s="1163"/>
    </row>
    <row r="1220" spans="1:9" s="2422" customFormat="1">
      <c r="A1220" s="2427"/>
      <c r="C1220" s="1163"/>
      <c r="D1220" s="1163"/>
      <c r="E1220" s="1564"/>
      <c r="F1220" s="1163"/>
      <c r="G1220" s="1163"/>
      <c r="H1220" s="1163"/>
      <c r="I1220" s="1163"/>
    </row>
    <row r="1221" spans="1:9" s="2422" customFormat="1">
      <c r="A1221" s="2427"/>
      <c r="C1221" s="1163"/>
      <c r="D1221" s="1163"/>
      <c r="E1221" s="1564"/>
      <c r="F1221" s="1163"/>
      <c r="G1221" s="1163"/>
      <c r="H1221" s="1163"/>
      <c r="I1221" s="1163"/>
    </row>
    <row r="1222" spans="1:9" s="2422" customFormat="1">
      <c r="A1222" s="2427"/>
      <c r="C1222" s="1163"/>
      <c r="D1222" s="1163"/>
      <c r="E1222" s="1564"/>
      <c r="F1222" s="1163"/>
      <c r="G1222" s="1163"/>
      <c r="H1222" s="1163"/>
      <c r="I1222" s="1163"/>
    </row>
    <row r="1223" spans="1:9" s="2422" customFormat="1">
      <c r="A1223" s="2427"/>
      <c r="C1223" s="1163"/>
      <c r="D1223" s="1163"/>
      <c r="E1223" s="1564"/>
      <c r="F1223" s="1163"/>
      <c r="G1223" s="1163"/>
      <c r="H1223" s="1163"/>
      <c r="I1223" s="1163"/>
    </row>
    <row r="1224" spans="1:9" s="2422" customFormat="1">
      <c r="A1224" s="2427"/>
      <c r="C1224" s="1163"/>
      <c r="D1224" s="1163"/>
      <c r="E1224" s="1564"/>
      <c r="F1224" s="1163"/>
      <c r="G1224" s="1163"/>
      <c r="H1224" s="1163"/>
      <c r="I1224" s="1163"/>
    </row>
    <row r="1225" spans="1:9" s="2422" customFormat="1">
      <c r="A1225" s="2427"/>
      <c r="C1225" s="1163"/>
      <c r="D1225" s="1163"/>
      <c r="E1225" s="1564"/>
      <c r="F1225" s="1163"/>
      <c r="G1225" s="1163"/>
      <c r="H1225" s="1163"/>
      <c r="I1225" s="1163"/>
    </row>
    <row r="1226" spans="1:9" s="2422" customFormat="1">
      <c r="A1226" s="2427"/>
      <c r="C1226" s="1163"/>
      <c r="D1226" s="1163"/>
      <c r="E1226" s="1564"/>
      <c r="F1226" s="1163"/>
      <c r="G1226" s="1163"/>
      <c r="H1226" s="1163"/>
      <c r="I1226" s="1163"/>
    </row>
    <row r="1227" spans="1:9" s="2422" customFormat="1">
      <c r="A1227" s="2427"/>
      <c r="C1227" s="1163"/>
      <c r="D1227" s="1163"/>
      <c r="E1227" s="1564"/>
      <c r="F1227" s="1163"/>
      <c r="G1227" s="1163"/>
      <c r="H1227" s="1163"/>
      <c r="I1227" s="1163"/>
    </row>
    <row r="1228" spans="1:9" s="2422" customFormat="1">
      <c r="A1228" s="2427"/>
      <c r="C1228" s="1163"/>
      <c r="D1228" s="1163"/>
      <c r="E1228" s="1564"/>
      <c r="F1228" s="1163"/>
      <c r="G1228" s="1163"/>
      <c r="H1228" s="1163"/>
      <c r="I1228" s="1163"/>
    </row>
    <row r="1229" spans="1:9" s="2422" customFormat="1">
      <c r="A1229" s="2427"/>
      <c r="C1229" s="1163"/>
      <c r="D1229" s="1163"/>
      <c r="E1229" s="1564"/>
      <c r="F1229" s="1163"/>
      <c r="G1229" s="1163"/>
      <c r="H1229" s="1163"/>
      <c r="I1229" s="1163"/>
    </row>
    <row r="1230" spans="1:9" s="2422" customFormat="1">
      <c r="A1230" s="2427"/>
      <c r="C1230" s="1163"/>
      <c r="D1230" s="1163"/>
      <c r="E1230" s="1564"/>
      <c r="F1230" s="1163"/>
      <c r="G1230" s="1163"/>
      <c r="H1230" s="1163"/>
      <c r="I1230" s="1163"/>
    </row>
    <row r="1231" spans="1:9" s="2422" customFormat="1">
      <c r="A1231" s="2427"/>
      <c r="C1231" s="1163"/>
      <c r="D1231" s="1163"/>
      <c r="E1231" s="1564"/>
      <c r="F1231" s="1163"/>
      <c r="G1231" s="1163"/>
      <c r="H1231" s="1163"/>
      <c r="I1231" s="1163"/>
    </row>
    <row r="1232" spans="1:9" s="2422" customFormat="1">
      <c r="A1232" s="2427"/>
      <c r="C1232" s="1163"/>
      <c r="D1232" s="1163"/>
      <c r="E1232" s="1564"/>
      <c r="F1232" s="1163"/>
      <c r="G1232" s="1163"/>
      <c r="H1232" s="1163"/>
      <c r="I1232" s="1163"/>
    </row>
    <row r="1233" spans="1:9" s="2422" customFormat="1">
      <c r="A1233" s="2427"/>
      <c r="C1233" s="1163"/>
      <c r="D1233" s="1163"/>
      <c r="E1233" s="1564"/>
      <c r="F1233" s="1163"/>
      <c r="G1233" s="1163"/>
      <c r="H1233" s="1163"/>
      <c r="I1233" s="1163"/>
    </row>
    <row r="1234" spans="1:9" s="2422" customFormat="1">
      <c r="A1234" s="2427"/>
      <c r="C1234" s="1163"/>
      <c r="D1234" s="1163"/>
      <c r="E1234" s="1564"/>
      <c r="F1234" s="1163"/>
      <c r="G1234" s="1163"/>
      <c r="H1234" s="1163"/>
      <c r="I1234" s="1163"/>
    </row>
    <row r="1235" spans="1:9" s="2422" customFormat="1">
      <c r="A1235" s="2427"/>
      <c r="C1235" s="1163"/>
      <c r="D1235" s="1163"/>
      <c r="E1235" s="1564"/>
      <c r="F1235" s="1163"/>
      <c r="G1235" s="1163"/>
      <c r="H1235" s="1163"/>
      <c r="I1235" s="1163"/>
    </row>
    <row r="1236" spans="1:9" s="2422" customFormat="1">
      <c r="A1236" s="2427"/>
      <c r="C1236" s="1163"/>
      <c r="D1236" s="1163"/>
      <c r="E1236" s="1564"/>
      <c r="F1236" s="1163"/>
      <c r="G1236" s="1163"/>
      <c r="H1236" s="1163"/>
      <c r="I1236" s="1163"/>
    </row>
    <row r="1237" spans="1:9" s="2422" customFormat="1">
      <c r="A1237" s="2427"/>
      <c r="C1237" s="1163"/>
      <c r="D1237" s="1163"/>
      <c r="E1237" s="1564"/>
      <c r="F1237" s="1163"/>
      <c r="G1237" s="1163"/>
      <c r="H1237" s="1163"/>
      <c r="I1237" s="1163"/>
    </row>
    <row r="1238" spans="1:9" s="2422" customFormat="1">
      <c r="A1238" s="2427"/>
      <c r="C1238" s="1163"/>
      <c r="D1238" s="1163"/>
      <c r="E1238" s="1564"/>
      <c r="F1238" s="1163"/>
      <c r="G1238" s="1163"/>
      <c r="H1238" s="1163"/>
      <c r="I1238" s="1163"/>
    </row>
    <row r="1239" spans="1:9" s="2422" customFormat="1">
      <c r="A1239" s="2427"/>
      <c r="C1239" s="1163"/>
      <c r="D1239" s="1163"/>
      <c r="E1239" s="1564"/>
      <c r="F1239" s="1163"/>
      <c r="G1239" s="1163"/>
      <c r="H1239" s="1163"/>
      <c r="I1239" s="1163"/>
    </row>
    <row r="1240" spans="1:9" s="2422" customFormat="1">
      <c r="A1240" s="2427"/>
      <c r="C1240" s="1163"/>
      <c r="D1240" s="1163"/>
      <c r="E1240" s="1564"/>
      <c r="F1240" s="1163"/>
      <c r="G1240" s="1163"/>
      <c r="H1240" s="1163"/>
      <c r="I1240" s="1163"/>
    </row>
    <row r="1241" spans="1:9" s="2422" customFormat="1">
      <c r="A1241" s="2427"/>
      <c r="C1241" s="1163"/>
      <c r="D1241" s="1163"/>
      <c r="E1241" s="1564"/>
      <c r="F1241" s="1163"/>
      <c r="G1241" s="1163"/>
      <c r="H1241" s="1163"/>
      <c r="I1241" s="1163"/>
    </row>
    <row r="1242" spans="1:9" s="2422" customFormat="1">
      <c r="A1242" s="2427"/>
      <c r="C1242" s="1163"/>
      <c r="D1242" s="1163"/>
      <c r="E1242" s="1564"/>
      <c r="F1242" s="1163"/>
      <c r="G1242" s="1163"/>
      <c r="H1242" s="1163"/>
      <c r="I1242" s="1163"/>
    </row>
    <row r="1243" spans="1:9" s="2422" customFormat="1">
      <c r="A1243" s="2427"/>
      <c r="C1243" s="1163"/>
      <c r="D1243" s="1163"/>
      <c r="E1243" s="1564"/>
      <c r="F1243" s="1163"/>
      <c r="G1243" s="1163"/>
      <c r="H1243" s="1163"/>
      <c r="I1243" s="1163"/>
    </row>
    <row r="1244" spans="1:9" s="2422" customFormat="1">
      <c r="A1244" s="2427"/>
      <c r="C1244" s="1163"/>
      <c r="D1244" s="1163"/>
      <c r="E1244" s="1564"/>
      <c r="F1244" s="1163"/>
      <c r="G1244" s="1163"/>
      <c r="H1244" s="1163"/>
      <c r="I1244" s="1163"/>
    </row>
    <row r="1245" spans="1:9" s="2422" customFormat="1">
      <c r="A1245" s="2427"/>
      <c r="C1245" s="1163"/>
      <c r="D1245" s="1163"/>
      <c r="E1245" s="1564"/>
      <c r="F1245" s="1163"/>
      <c r="G1245" s="1163"/>
      <c r="H1245" s="1163"/>
      <c r="I1245" s="1163"/>
    </row>
    <row r="1246" spans="1:9" s="2422" customFormat="1">
      <c r="A1246" s="2427"/>
      <c r="C1246" s="1163"/>
      <c r="D1246" s="1163"/>
      <c r="E1246" s="1564"/>
      <c r="F1246" s="1163"/>
      <c r="G1246" s="1163"/>
      <c r="H1246" s="1163"/>
      <c r="I1246" s="1163"/>
    </row>
    <row r="1247" spans="1:9" s="2422" customFormat="1">
      <c r="A1247" s="2427"/>
      <c r="C1247" s="1163"/>
      <c r="D1247" s="1163"/>
      <c r="E1247" s="1564"/>
      <c r="F1247" s="1163"/>
      <c r="G1247" s="1163"/>
      <c r="H1247" s="1163"/>
      <c r="I1247" s="1163"/>
    </row>
    <row r="1248" spans="1:9" s="2422" customFormat="1">
      <c r="A1248" s="2427"/>
      <c r="C1248" s="1163"/>
      <c r="D1248" s="1163"/>
      <c r="E1248" s="1564"/>
      <c r="F1248" s="1163"/>
      <c r="G1248" s="1163"/>
      <c r="H1248" s="1163"/>
      <c r="I1248" s="1163"/>
    </row>
    <row r="1249" spans="1:9" s="2422" customFormat="1">
      <c r="A1249" s="2427"/>
      <c r="C1249" s="1163"/>
      <c r="D1249" s="1163"/>
      <c r="E1249" s="1564"/>
      <c r="F1249" s="1163"/>
      <c r="G1249" s="1163"/>
      <c r="H1249" s="1163"/>
      <c r="I1249" s="1163"/>
    </row>
    <row r="1250" spans="1:9" s="2422" customFormat="1">
      <c r="A1250" s="2427"/>
      <c r="C1250" s="1163"/>
      <c r="D1250" s="1163"/>
      <c r="E1250" s="1564"/>
      <c r="F1250" s="1163"/>
      <c r="G1250" s="1163"/>
      <c r="H1250" s="1163"/>
      <c r="I1250" s="1163"/>
    </row>
    <row r="1251" spans="1:9" s="2422" customFormat="1">
      <c r="A1251" s="2427"/>
      <c r="C1251" s="1163"/>
      <c r="D1251" s="1163"/>
      <c r="E1251" s="1564"/>
      <c r="F1251" s="1163"/>
      <c r="G1251" s="1163"/>
      <c r="H1251" s="1163"/>
      <c r="I1251" s="1163"/>
    </row>
    <row r="1252" spans="1:9" s="2422" customFormat="1">
      <c r="A1252" s="2427"/>
      <c r="C1252" s="1163"/>
      <c r="D1252" s="1163"/>
      <c r="E1252" s="1564"/>
      <c r="F1252" s="1163"/>
      <c r="G1252" s="1163"/>
      <c r="H1252" s="1163"/>
      <c r="I1252" s="1163"/>
    </row>
    <row r="1253" spans="1:9" s="2422" customFormat="1">
      <c r="A1253" s="2427"/>
      <c r="C1253" s="1163"/>
      <c r="D1253" s="1163"/>
      <c r="E1253" s="1564"/>
      <c r="F1253" s="1163"/>
      <c r="G1253" s="1163"/>
      <c r="H1253" s="1163"/>
      <c r="I1253" s="1163"/>
    </row>
    <row r="1254" spans="1:9" s="2422" customFormat="1">
      <c r="A1254" s="2427"/>
      <c r="C1254" s="1163"/>
      <c r="D1254" s="1163"/>
      <c r="E1254" s="1564"/>
      <c r="F1254" s="1163"/>
      <c r="G1254" s="1163"/>
      <c r="H1254" s="1163"/>
      <c r="I1254" s="1163"/>
    </row>
    <row r="1255" spans="1:9" s="2422" customFormat="1">
      <c r="A1255" s="2427"/>
      <c r="C1255" s="1163"/>
      <c r="D1255" s="1163"/>
      <c r="E1255" s="1564"/>
      <c r="F1255" s="1163"/>
      <c r="G1255" s="1163"/>
      <c r="H1255" s="1163"/>
      <c r="I1255" s="1163"/>
    </row>
    <row r="1256" spans="1:9" s="2422" customFormat="1">
      <c r="A1256" s="2427"/>
      <c r="C1256" s="1163"/>
      <c r="D1256" s="1163"/>
      <c r="E1256" s="1564"/>
      <c r="F1256" s="1163"/>
      <c r="G1256" s="1163"/>
      <c r="H1256" s="1163"/>
      <c r="I1256" s="1163"/>
    </row>
    <row r="1257" spans="1:9" s="2422" customFormat="1">
      <c r="A1257" s="2427"/>
      <c r="C1257" s="1163"/>
      <c r="D1257" s="1163"/>
      <c r="E1257" s="1564"/>
      <c r="F1257" s="1163"/>
      <c r="G1257" s="1163"/>
      <c r="H1257" s="1163"/>
      <c r="I1257" s="1163"/>
    </row>
    <row r="1258" spans="1:9" s="2422" customFormat="1">
      <c r="A1258" s="2427"/>
      <c r="C1258" s="1163"/>
      <c r="D1258" s="1163"/>
      <c r="E1258" s="1564"/>
      <c r="F1258" s="1163"/>
      <c r="G1258" s="1163"/>
      <c r="H1258" s="1163"/>
      <c r="I1258" s="1163"/>
    </row>
    <row r="1259" spans="1:9" s="2422" customFormat="1">
      <c r="A1259" s="2427"/>
      <c r="C1259" s="1163"/>
      <c r="D1259" s="1163"/>
      <c r="E1259" s="1564"/>
      <c r="F1259" s="1163"/>
      <c r="G1259" s="1163"/>
      <c r="H1259" s="1163"/>
      <c r="I1259" s="1163"/>
    </row>
    <row r="1260" spans="1:9" s="2422" customFormat="1">
      <c r="A1260" s="2427"/>
      <c r="C1260" s="1163"/>
      <c r="D1260" s="1163"/>
      <c r="E1260" s="1564"/>
      <c r="F1260" s="1163"/>
      <c r="G1260" s="1163"/>
      <c r="H1260" s="1163"/>
      <c r="I1260" s="1163"/>
    </row>
    <row r="1261" spans="1:9" s="2422" customFormat="1">
      <c r="A1261" s="2427"/>
      <c r="C1261" s="1163"/>
      <c r="D1261" s="1163"/>
      <c r="E1261" s="1564"/>
      <c r="F1261" s="1163"/>
      <c r="G1261" s="1163"/>
      <c r="H1261" s="1163"/>
      <c r="I1261" s="1163"/>
    </row>
    <row r="1262" spans="1:9" s="2422" customFormat="1">
      <c r="A1262" s="2427"/>
      <c r="C1262" s="1163"/>
      <c r="D1262" s="1163"/>
      <c r="E1262" s="1564"/>
      <c r="F1262" s="1163"/>
      <c r="G1262" s="1163"/>
      <c r="H1262" s="1163"/>
      <c r="I1262" s="1163"/>
    </row>
    <row r="1263" spans="1:9" s="2422" customFormat="1">
      <c r="A1263" s="2427"/>
      <c r="C1263" s="1163"/>
      <c r="D1263" s="1163"/>
      <c r="E1263" s="1564"/>
      <c r="F1263" s="1163"/>
      <c r="G1263" s="1163"/>
      <c r="H1263" s="1163"/>
      <c r="I1263" s="1163"/>
    </row>
    <row r="1264" spans="1:9" s="2422" customFormat="1">
      <c r="A1264" s="2427"/>
      <c r="C1264" s="1163"/>
      <c r="D1264" s="1163"/>
      <c r="E1264" s="1564"/>
      <c r="F1264" s="1163"/>
      <c r="G1264" s="1163"/>
      <c r="H1264" s="1163"/>
      <c r="I1264" s="1163"/>
    </row>
    <row r="1265" spans="1:9" s="2422" customFormat="1">
      <c r="A1265" s="2427"/>
      <c r="C1265" s="1163"/>
      <c r="D1265" s="1163"/>
      <c r="E1265" s="1564"/>
      <c r="F1265" s="1163"/>
      <c r="G1265" s="1163"/>
      <c r="H1265" s="1163"/>
      <c r="I1265" s="1163"/>
    </row>
    <row r="1266" spans="1:9" s="2422" customFormat="1">
      <c r="A1266" s="2427"/>
      <c r="C1266" s="1163"/>
      <c r="D1266" s="1163"/>
      <c r="E1266" s="1564"/>
      <c r="F1266" s="1163"/>
      <c r="G1266" s="1163"/>
      <c r="H1266" s="1163"/>
      <c r="I1266" s="1163"/>
    </row>
    <row r="1267" spans="1:9" s="2422" customFormat="1">
      <c r="A1267" s="2427"/>
      <c r="C1267" s="1163"/>
      <c r="D1267" s="1163"/>
      <c r="E1267" s="1564"/>
      <c r="F1267" s="1163"/>
      <c r="G1267" s="1163"/>
      <c r="H1267" s="1163"/>
      <c r="I1267" s="1163"/>
    </row>
    <row r="1268" spans="1:9" s="2422" customFormat="1">
      <c r="A1268" s="2427"/>
      <c r="C1268" s="1163"/>
      <c r="D1268" s="1163"/>
      <c r="E1268" s="1564"/>
      <c r="F1268" s="1163"/>
      <c r="G1268" s="1163"/>
      <c r="H1268" s="1163"/>
      <c r="I1268" s="1163"/>
    </row>
    <row r="1269" spans="1:9" s="2422" customFormat="1">
      <c r="A1269" s="2427"/>
      <c r="C1269" s="1163"/>
      <c r="D1269" s="1163"/>
      <c r="E1269" s="1564"/>
      <c r="F1269" s="1163"/>
      <c r="G1269" s="1163"/>
      <c r="H1269" s="1163"/>
      <c r="I1269" s="1163"/>
    </row>
    <row r="1270" spans="1:9" s="2422" customFormat="1">
      <c r="A1270" s="2427"/>
      <c r="C1270" s="1163"/>
      <c r="D1270" s="1163"/>
      <c r="E1270" s="1564"/>
      <c r="F1270" s="1163"/>
      <c r="G1270" s="1163"/>
      <c r="H1270" s="1163"/>
      <c r="I1270" s="1163"/>
    </row>
    <row r="1271" spans="1:9" s="2422" customFormat="1">
      <c r="A1271" s="2427"/>
      <c r="C1271" s="1163"/>
      <c r="D1271" s="1163"/>
      <c r="E1271" s="1564"/>
      <c r="F1271" s="1163"/>
      <c r="G1271" s="1163"/>
      <c r="H1271" s="1163"/>
      <c r="I1271" s="1163"/>
    </row>
    <row r="1272" spans="1:9" s="2422" customFormat="1">
      <c r="A1272" s="2427"/>
      <c r="C1272" s="1163"/>
      <c r="D1272" s="1163"/>
      <c r="E1272" s="1564"/>
      <c r="F1272" s="1163"/>
      <c r="G1272" s="1163"/>
      <c r="H1272" s="1163"/>
      <c r="I1272" s="1163"/>
    </row>
    <row r="1273" spans="1:9" s="2422" customFormat="1">
      <c r="A1273" s="2427"/>
      <c r="C1273" s="1163"/>
      <c r="D1273" s="1163"/>
      <c r="E1273" s="1564"/>
      <c r="F1273" s="1163"/>
      <c r="G1273" s="1163"/>
      <c r="H1273" s="1163"/>
      <c r="I1273" s="1163"/>
    </row>
    <row r="1274" spans="1:9" s="2422" customFormat="1">
      <c r="A1274" s="2427"/>
      <c r="C1274" s="1163"/>
      <c r="D1274" s="1163"/>
      <c r="E1274" s="1564"/>
      <c r="F1274" s="1163"/>
      <c r="G1274" s="1163"/>
      <c r="H1274" s="1163"/>
      <c r="I1274" s="1163"/>
    </row>
    <row r="1275" spans="1:9" s="2422" customFormat="1">
      <c r="A1275" s="2427"/>
      <c r="C1275" s="1163"/>
      <c r="D1275" s="1163"/>
      <c r="E1275" s="1564"/>
      <c r="F1275" s="1163"/>
      <c r="G1275" s="1163"/>
      <c r="H1275" s="1163"/>
      <c r="I1275" s="1163"/>
    </row>
    <row r="1276" spans="1:9" s="2422" customFormat="1">
      <c r="A1276" s="2427"/>
      <c r="C1276" s="1163"/>
      <c r="D1276" s="1163"/>
      <c r="E1276" s="1564"/>
      <c r="F1276" s="1163"/>
      <c r="G1276" s="1163"/>
      <c r="H1276" s="1163"/>
      <c r="I1276" s="1163"/>
    </row>
    <row r="1277" spans="1:9" s="2422" customFormat="1">
      <c r="A1277" s="2427"/>
      <c r="C1277" s="1163"/>
      <c r="D1277" s="1163"/>
      <c r="E1277" s="1564"/>
      <c r="F1277" s="1163"/>
      <c r="G1277" s="1163"/>
      <c r="H1277" s="1163"/>
      <c r="I1277" s="1163"/>
    </row>
    <row r="1278" spans="1:9" s="2422" customFormat="1">
      <c r="A1278" s="2427"/>
      <c r="C1278" s="1163"/>
      <c r="D1278" s="1163"/>
      <c r="E1278" s="1564"/>
      <c r="F1278" s="1163"/>
      <c r="G1278" s="1163"/>
      <c r="H1278" s="1163"/>
      <c r="I1278" s="1163"/>
    </row>
    <row r="1279" spans="1:9" s="2422" customFormat="1">
      <c r="A1279" s="2427"/>
      <c r="C1279" s="1163"/>
      <c r="D1279" s="1163"/>
      <c r="E1279" s="1564"/>
      <c r="F1279" s="1163"/>
      <c r="G1279" s="1163"/>
      <c r="H1279" s="1163"/>
      <c r="I1279" s="1163"/>
    </row>
    <row r="1280" spans="1:9" s="2422" customFormat="1">
      <c r="A1280" s="2427"/>
      <c r="C1280" s="1163"/>
      <c r="D1280" s="1163"/>
      <c r="E1280" s="1564"/>
      <c r="F1280" s="1163"/>
      <c r="G1280" s="1163"/>
      <c r="H1280" s="1163"/>
      <c r="I1280" s="1163"/>
    </row>
    <row r="1281" spans="1:9" s="2422" customFormat="1">
      <c r="A1281" s="2427"/>
      <c r="C1281" s="1163"/>
      <c r="D1281" s="1163"/>
      <c r="E1281" s="1564"/>
      <c r="F1281" s="1163"/>
      <c r="G1281" s="1163"/>
      <c r="H1281" s="1163"/>
      <c r="I1281" s="1163"/>
    </row>
    <row r="1282" spans="1:9" s="2422" customFormat="1">
      <c r="A1282" s="2427"/>
      <c r="C1282" s="1163"/>
      <c r="D1282" s="1163"/>
      <c r="E1282" s="1564"/>
      <c r="F1282" s="1163"/>
      <c r="G1282" s="1163"/>
      <c r="H1282" s="1163"/>
      <c r="I1282" s="1163"/>
    </row>
    <row r="1283" spans="1:9" s="2422" customFormat="1">
      <c r="A1283" s="2427"/>
      <c r="C1283" s="1163"/>
      <c r="D1283" s="1163"/>
      <c r="E1283" s="1564"/>
      <c r="F1283" s="1163"/>
      <c r="G1283" s="1163"/>
      <c r="H1283" s="1163"/>
      <c r="I1283" s="1163"/>
    </row>
    <row r="1284" spans="1:9" s="2422" customFormat="1">
      <c r="A1284" s="2427"/>
      <c r="C1284" s="1163"/>
      <c r="D1284" s="1163"/>
      <c r="E1284" s="1564"/>
      <c r="F1284" s="1163"/>
      <c r="G1284" s="1163"/>
      <c r="H1284" s="1163"/>
      <c r="I1284" s="1163"/>
    </row>
    <row r="1285" spans="1:9" s="2422" customFormat="1">
      <c r="A1285" s="2427"/>
      <c r="C1285" s="1163"/>
      <c r="D1285" s="1163"/>
      <c r="E1285" s="1564"/>
      <c r="F1285" s="1163"/>
      <c r="G1285" s="1163"/>
      <c r="H1285" s="1163"/>
      <c r="I1285" s="1163"/>
    </row>
    <row r="1286" spans="1:9" s="2422" customFormat="1">
      <c r="A1286" s="2427"/>
      <c r="C1286" s="1163"/>
      <c r="D1286" s="1163"/>
      <c r="E1286" s="1564"/>
      <c r="F1286" s="1163"/>
      <c r="G1286" s="1163"/>
      <c r="H1286" s="1163"/>
      <c r="I1286" s="1163"/>
    </row>
    <row r="1287" spans="1:9" s="2422" customFormat="1">
      <c r="A1287" s="2427"/>
      <c r="C1287" s="1163"/>
      <c r="D1287" s="1163"/>
      <c r="E1287" s="1564"/>
      <c r="F1287" s="1163"/>
      <c r="G1287" s="1163"/>
      <c r="H1287" s="1163"/>
      <c r="I1287" s="1163"/>
    </row>
    <row r="1288" spans="1:9" s="2422" customFormat="1">
      <c r="A1288" s="2427"/>
      <c r="C1288" s="1163"/>
      <c r="D1288" s="1163"/>
      <c r="E1288" s="1564"/>
      <c r="F1288" s="1163"/>
      <c r="G1288" s="1163"/>
      <c r="H1288" s="1163"/>
      <c r="I1288" s="1163"/>
    </row>
    <row r="1289" spans="1:9" s="2422" customFormat="1">
      <c r="A1289" s="2427"/>
      <c r="C1289" s="1163"/>
      <c r="D1289" s="1163"/>
      <c r="E1289" s="1564"/>
      <c r="F1289" s="1163"/>
      <c r="G1289" s="1163"/>
      <c r="H1289" s="1163"/>
      <c r="I1289" s="1163"/>
    </row>
    <row r="1290" spans="1:9" s="2422" customFormat="1">
      <c r="A1290" s="2427"/>
      <c r="C1290" s="1163"/>
      <c r="D1290" s="1163"/>
      <c r="E1290" s="1564"/>
      <c r="F1290" s="1163"/>
      <c r="G1290" s="1163"/>
      <c r="H1290" s="1163"/>
      <c r="I1290" s="1163"/>
    </row>
    <row r="1291" spans="1:9" s="2422" customFormat="1">
      <c r="A1291" s="2427"/>
      <c r="C1291" s="1163"/>
      <c r="D1291" s="1163"/>
      <c r="E1291" s="1564"/>
      <c r="F1291" s="1163"/>
      <c r="G1291" s="1163"/>
      <c r="H1291" s="1163"/>
      <c r="I1291" s="1163"/>
    </row>
    <row r="1292" spans="1:9" s="2422" customFormat="1">
      <c r="A1292" s="2427"/>
      <c r="C1292" s="1163"/>
      <c r="D1292" s="1163"/>
      <c r="E1292" s="1564"/>
      <c r="F1292" s="1163"/>
      <c r="G1292" s="1163"/>
      <c r="H1292" s="1163"/>
      <c r="I1292" s="1163"/>
    </row>
    <row r="1293" spans="1:9" s="2422" customFormat="1">
      <c r="A1293" s="2427"/>
      <c r="C1293" s="1163"/>
      <c r="D1293" s="1163"/>
      <c r="E1293" s="1564"/>
      <c r="F1293" s="1163"/>
      <c r="G1293" s="1163"/>
      <c r="H1293" s="1163"/>
      <c r="I1293" s="1163"/>
    </row>
    <row r="1294" spans="1:9" s="2422" customFormat="1">
      <c r="A1294" s="2427"/>
      <c r="C1294" s="1163"/>
      <c r="D1294" s="1163"/>
      <c r="E1294" s="1564"/>
      <c r="F1294" s="1163"/>
      <c r="G1294" s="1163"/>
      <c r="H1294" s="1163"/>
      <c r="I1294" s="1163"/>
    </row>
    <row r="1295" spans="1:9" s="2422" customFormat="1">
      <c r="A1295" s="2427"/>
      <c r="C1295" s="1163"/>
      <c r="D1295" s="1163"/>
      <c r="E1295" s="1564"/>
      <c r="F1295" s="1163"/>
      <c r="G1295" s="1163"/>
      <c r="H1295" s="1163"/>
      <c r="I1295" s="1163"/>
    </row>
    <row r="1296" spans="1:9" s="2422" customFormat="1">
      <c r="A1296" s="2427"/>
      <c r="C1296" s="1163"/>
      <c r="D1296" s="1163"/>
      <c r="E1296" s="1564"/>
      <c r="F1296" s="1163"/>
      <c r="G1296" s="1163"/>
      <c r="H1296" s="1163"/>
      <c r="I1296" s="1163"/>
    </row>
    <row r="1297" spans="1:9" s="2422" customFormat="1">
      <c r="A1297" s="2427"/>
      <c r="C1297" s="1163"/>
      <c r="D1297" s="1163"/>
      <c r="E1297" s="1564"/>
      <c r="F1297" s="1163"/>
      <c r="G1297" s="1163"/>
      <c r="H1297" s="1163"/>
      <c r="I1297" s="1163"/>
    </row>
    <row r="1298" spans="1:9" s="2422" customFormat="1">
      <c r="A1298" s="2427"/>
      <c r="C1298" s="1163"/>
      <c r="D1298" s="1163"/>
      <c r="E1298" s="1564"/>
      <c r="F1298" s="1163"/>
      <c r="G1298" s="1163"/>
      <c r="H1298" s="1163"/>
      <c r="I1298" s="1163"/>
    </row>
    <row r="1299" spans="1:9" s="2422" customFormat="1">
      <c r="A1299" s="2427"/>
      <c r="C1299" s="1163"/>
      <c r="D1299" s="1163"/>
      <c r="E1299" s="1564"/>
      <c r="F1299" s="1163"/>
      <c r="G1299" s="1163"/>
      <c r="H1299" s="1163"/>
      <c r="I1299" s="1163"/>
    </row>
    <row r="1300" spans="1:9" s="2422" customFormat="1">
      <c r="A1300" s="2427"/>
      <c r="C1300" s="1163"/>
      <c r="D1300" s="1163"/>
      <c r="E1300" s="1564"/>
      <c r="F1300" s="1163"/>
      <c r="G1300" s="1163"/>
      <c r="H1300" s="1163"/>
      <c r="I1300" s="1163"/>
    </row>
    <row r="1301" spans="1:9" s="2422" customFormat="1">
      <c r="A1301" s="2427"/>
      <c r="C1301" s="1163"/>
      <c r="D1301" s="1163"/>
      <c r="E1301" s="1564"/>
      <c r="F1301" s="1163"/>
      <c r="G1301" s="1163"/>
      <c r="H1301" s="1163"/>
      <c r="I1301" s="1163"/>
    </row>
    <row r="1302" spans="1:9" s="2422" customFormat="1">
      <c r="A1302" s="2427"/>
      <c r="C1302" s="1163"/>
      <c r="D1302" s="1163"/>
      <c r="E1302" s="1564"/>
      <c r="F1302" s="1163"/>
      <c r="G1302" s="1163"/>
      <c r="H1302" s="1163"/>
      <c r="I1302" s="1163"/>
    </row>
    <row r="1303" spans="1:9" s="2422" customFormat="1">
      <c r="A1303" s="2427"/>
      <c r="C1303" s="1163"/>
      <c r="D1303" s="1163"/>
      <c r="E1303" s="1564"/>
      <c r="F1303" s="1163"/>
      <c r="G1303" s="1163"/>
      <c r="H1303" s="1163"/>
      <c r="I1303" s="1163"/>
    </row>
    <row r="1304" spans="1:9" s="2422" customFormat="1">
      <c r="A1304" s="2427"/>
      <c r="C1304" s="1163"/>
      <c r="D1304" s="1163"/>
      <c r="E1304" s="1564"/>
      <c r="F1304" s="1163"/>
      <c r="G1304" s="1163"/>
      <c r="H1304" s="1163"/>
      <c r="I1304" s="1163"/>
    </row>
    <row r="1305" spans="1:9" s="2422" customFormat="1">
      <c r="A1305" s="2427"/>
      <c r="C1305" s="1163"/>
      <c r="D1305" s="1163"/>
      <c r="E1305" s="1564"/>
      <c r="F1305" s="1163"/>
      <c r="G1305" s="1163"/>
      <c r="H1305" s="1163"/>
      <c r="I1305" s="1163"/>
    </row>
    <row r="1306" spans="1:9" s="2422" customFormat="1">
      <c r="A1306" s="2427"/>
      <c r="C1306" s="1163"/>
      <c r="D1306" s="1163"/>
      <c r="E1306" s="1564"/>
      <c r="F1306" s="1163"/>
      <c r="G1306" s="1163"/>
      <c r="H1306" s="1163"/>
      <c r="I1306" s="1163"/>
    </row>
    <row r="1307" spans="1:9" s="2422" customFormat="1">
      <c r="A1307" s="2427"/>
      <c r="C1307" s="1163"/>
      <c r="D1307" s="1163"/>
      <c r="E1307" s="1564"/>
      <c r="F1307" s="1163"/>
      <c r="G1307" s="1163"/>
      <c r="H1307" s="1163"/>
      <c r="I1307" s="1163"/>
    </row>
    <row r="1308" spans="1:9" s="2422" customFormat="1">
      <c r="A1308" s="2427"/>
      <c r="C1308" s="1163"/>
      <c r="D1308" s="1163"/>
      <c r="E1308" s="1564"/>
      <c r="F1308" s="1163"/>
      <c r="G1308" s="1163"/>
      <c r="H1308" s="1163"/>
      <c r="I1308" s="1163"/>
    </row>
    <row r="1309" spans="1:9" s="2422" customFormat="1">
      <c r="A1309" s="2427"/>
      <c r="C1309" s="1163"/>
      <c r="D1309" s="1163"/>
      <c r="E1309" s="1564"/>
      <c r="F1309" s="1163"/>
      <c r="G1309" s="1163"/>
      <c r="H1309" s="1163"/>
      <c r="I1309" s="1163"/>
    </row>
    <row r="1310" spans="1:9" s="2422" customFormat="1">
      <c r="A1310" s="2427"/>
      <c r="C1310" s="1163"/>
      <c r="D1310" s="1163"/>
      <c r="E1310" s="1564"/>
      <c r="F1310" s="1163"/>
      <c r="G1310" s="1163"/>
      <c r="H1310" s="1163"/>
      <c r="I1310" s="1163"/>
    </row>
    <row r="1311" spans="1:9" s="2422" customFormat="1">
      <c r="A1311" s="2427"/>
      <c r="C1311" s="1163"/>
      <c r="D1311" s="1163"/>
      <c r="E1311" s="1564"/>
      <c r="F1311" s="1163"/>
      <c r="G1311" s="1163"/>
      <c r="H1311" s="1163"/>
      <c r="I1311" s="1163"/>
    </row>
    <row r="1312" spans="1:9" s="2422" customFormat="1">
      <c r="A1312" s="2427"/>
      <c r="C1312" s="1163"/>
      <c r="D1312" s="1163"/>
      <c r="E1312" s="1564"/>
      <c r="F1312" s="1163"/>
      <c r="G1312" s="1163"/>
      <c r="H1312" s="1163"/>
      <c r="I1312" s="1163"/>
    </row>
    <row r="1313" spans="1:9" s="2422" customFormat="1">
      <c r="A1313" s="2427"/>
      <c r="C1313" s="1163"/>
      <c r="D1313" s="1163"/>
      <c r="E1313" s="1564"/>
      <c r="F1313" s="1163"/>
      <c r="G1313" s="1163"/>
      <c r="H1313" s="1163"/>
      <c r="I1313" s="1163"/>
    </row>
    <row r="1314" spans="1:9" s="2422" customFormat="1">
      <c r="A1314" s="2427"/>
      <c r="C1314" s="1163"/>
      <c r="D1314" s="1163"/>
      <c r="E1314" s="1564"/>
      <c r="F1314" s="1163"/>
      <c r="G1314" s="1163"/>
      <c r="H1314" s="1163"/>
      <c r="I1314" s="1163"/>
    </row>
    <row r="1315" spans="1:9" s="2422" customFormat="1">
      <c r="A1315" s="2427"/>
      <c r="C1315" s="1163"/>
      <c r="D1315" s="1163"/>
      <c r="E1315" s="1564"/>
      <c r="F1315" s="1163"/>
      <c r="G1315" s="1163"/>
      <c r="H1315" s="1163"/>
      <c r="I1315" s="1163"/>
    </row>
    <row r="1316" spans="1:9" s="2422" customFormat="1">
      <c r="A1316" s="2427"/>
      <c r="C1316" s="1163"/>
      <c r="D1316" s="1163"/>
      <c r="E1316" s="1564"/>
      <c r="F1316" s="1163"/>
      <c r="G1316" s="1163"/>
      <c r="H1316" s="1163"/>
      <c r="I1316" s="1163"/>
    </row>
    <row r="1317" spans="1:9" s="2422" customFormat="1">
      <c r="A1317" s="2427"/>
      <c r="C1317" s="1163"/>
      <c r="D1317" s="1163"/>
      <c r="E1317" s="1564"/>
      <c r="F1317" s="1163"/>
      <c r="G1317" s="1163"/>
      <c r="H1317" s="1163"/>
      <c r="I1317" s="1163"/>
    </row>
    <row r="1318" spans="1:9" s="2422" customFormat="1">
      <c r="A1318" s="2427"/>
      <c r="C1318" s="1163"/>
      <c r="D1318" s="1163"/>
      <c r="E1318" s="1564"/>
      <c r="F1318" s="1163"/>
      <c r="G1318" s="1163"/>
      <c r="H1318" s="1163"/>
      <c r="I1318" s="1163"/>
    </row>
    <row r="1319" spans="1:9" s="2422" customFormat="1">
      <c r="A1319" s="2427"/>
      <c r="C1319" s="1163"/>
      <c r="D1319" s="1163"/>
      <c r="E1319" s="1564"/>
      <c r="F1319" s="1163"/>
      <c r="G1319" s="1163"/>
      <c r="H1319" s="1163"/>
      <c r="I1319" s="1163"/>
    </row>
    <row r="1320" spans="1:9" s="2422" customFormat="1">
      <c r="A1320" s="2427"/>
      <c r="C1320" s="1163"/>
      <c r="D1320" s="1163"/>
      <c r="E1320" s="1564"/>
      <c r="F1320" s="1163"/>
      <c r="G1320" s="1163"/>
      <c r="H1320" s="1163"/>
      <c r="I1320" s="1163"/>
    </row>
    <row r="1321" spans="1:9" s="2422" customFormat="1">
      <c r="A1321" s="2427"/>
      <c r="C1321" s="1163"/>
      <c r="D1321" s="1163"/>
      <c r="E1321" s="1564"/>
      <c r="F1321" s="1163"/>
      <c r="G1321" s="1163"/>
      <c r="H1321" s="1163"/>
      <c r="I1321" s="1163"/>
    </row>
    <row r="1322" spans="1:9" s="2422" customFormat="1">
      <c r="A1322" s="2427"/>
      <c r="C1322" s="1163"/>
      <c r="D1322" s="1163"/>
      <c r="E1322" s="1564"/>
      <c r="F1322" s="1163"/>
      <c r="G1322" s="1163"/>
      <c r="H1322" s="1163"/>
      <c r="I1322" s="1163"/>
    </row>
    <row r="1323" spans="1:9" s="2422" customFormat="1">
      <c r="A1323" s="2427"/>
      <c r="C1323" s="1163"/>
      <c r="D1323" s="1163"/>
      <c r="E1323" s="1564"/>
      <c r="F1323" s="1163"/>
      <c r="G1323" s="1163"/>
      <c r="H1323" s="1163"/>
      <c r="I1323" s="1163"/>
    </row>
    <row r="1324" spans="1:9" s="2422" customFormat="1">
      <c r="A1324" s="2427"/>
      <c r="C1324" s="1163"/>
      <c r="D1324" s="1163"/>
      <c r="E1324" s="1564"/>
      <c r="F1324" s="1163"/>
      <c r="G1324" s="1163"/>
      <c r="H1324" s="1163"/>
      <c r="I1324" s="1163"/>
    </row>
    <row r="1325" spans="1:9" s="2422" customFormat="1">
      <c r="A1325" s="2427"/>
      <c r="C1325" s="1163"/>
      <c r="D1325" s="1163"/>
      <c r="E1325" s="1564"/>
      <c r="F1325" s="1163"/>
      <c r="G1325" s="1163"/>
      <c r="H1325" s="1163"/>
      <c r="I1325" s="1163"/>
    </row>
    <row r="1326" spans="1:9" s="2422" customFormat="1">
      <c r="A1326" s="2427"/>
      <c r="C1326" s="1163"/>
      <c r="D1326" s="1163"/>
      <c r="E1326" s="1564"/>
      <c r="F1326" s="1163"/>
      <c r="G1326" s="1163"/>
      <c r="H1326" s="1163"/>
      <c r="I1326" s="1163"/>
    </row>
    <row r="1327" spans="1:9" s="2422" customFormat="1">
      <c r="A1327" s="2427"/>
      <c r="C1327" s="1163"/>
      <c r="D1327" s="1163"/>
      <c r="E1327" s="1564"/>
      <c r="F1327" s="1163"/>
      <c r="G1327" s="1163"/>
      <c r="H1327" s="1163"/>
      <c r="I1327" s="1163"/>
    </row>
    <row r="1328" spans="1:9" s="2422" customFormat="1">
      <c r="A1328" s="2427"/>
      <c r="C1328" s="1163"/>
      <c r="D1328" s="1163"/>
      <c r="E1328" s="1564"/>
      <c r="F1328" s="1163"/>
      <c r="G1328" s="1163"/>
      <c r="H1328" s="1163"/>
      <c r="I1328" s="1163"/>
    </row>
    <row r="1329" spans="1:9" s="2422" customFormat="1">
      <c r="A1329" s="2427"/>
      <c r="C1329" s="1163"/>
      <c r="D1329" s="1163"/>
      <c r="E1329" s="1564"/>
      <c r="F1329" s="1163"/>
      <c r="G1329" s="1163"/>
      <c r="H1329" s="1163"/>
      <c r="I1329" s="1163"/>
    </row>
    <row r="1330" spans="1:9" s="2422" customFormat="1">
      <c r="A1330" s="2427"/>
      <c r="C1330" s="1163"/>
      <c r="D1330" s="1163"/>
      <c r="E1330" s="1564"/>
      <c r="F1330" s="1163"/>
      <c r="G1330" s="1163"/>
      <c r="H1330" s="1163"/>
      <c r="I1330" s="1163"/>
    </row>
    <row r="1331" spans="1:9" s="2422" customFormat="1">
      <c r="A1331" s="2427"/>
      <c r="C1331" s="1163"/>
      <c r="D1331" s="1163"/>
      <c r="E1331" s="1564"/>
      <c r="F1331" s="1163"/>
      <c r="G1331" s="1163"/>
      <c r="H1331" s="1163"/>
      <c r="I1331" s="1163"/>
    </row>
    <row r="1332" spans="1:9" s="2422" customFormat="1">
      <c r="A1332" s="2427"/>
      <c r="C1332" s="1163"/>
      <c r="D1332" s="1163"/>
      <c r="E1332" s="1564"/>
      <c r="F1332" s="1163"/>
      <c r="G1332" s="1163"/>
      <c r="H1332" s="1163"/>
      <c r="I1332" s="1163"/>
    </row>
    <row r="1333" spans="1:9" s="2422" customFormat="1">
      <c r="A1333" s="2427"/>
      <c r="C1333" s="1163"/>
      <c r="D1333" s="1163"/>
      <c r="E1333" s="1564"/>
      <c r="F1333" s="1163"/>
      <c r="G1333" s="1163"/>
      <c r="H1333" s="1163"/>
      <c r="I1333" s="1163"/>
    </row>
    <row r="1334" spans="1:9" s="2422" customFormat="1">
      <c r="A1334" s="2427"/>
      <c r="C1334" s="1163"/>
      <c r="D1334" s="1163"/>
      <c r="E1334" s="1564"/>
      <c r="F1334" s="1163"/>
      <c r="G1334" s="1163"/>
      <c r="H1334" s="1163"/>
      <c r="I1334" s="1163"/>
    </row>
    <row r="1335" spans="1:9" s="2422" customFormat="1">
      <c r="A1335" s="2427"/>
      <c r="C1335" s="1163"/>
      <c r="D1335" s="1163"/>
      <c r="E1335" s="1564"/>
      <c r="F1335" s="1163"/>
      <c r="G1335" s="1163"/>
      <c r="H1335" s="1163"/>
      <c r="I1335" s="1163"/>
    </row>
    <row r="1336" spans="1:9" s="2422" customFormat="1">
      <c r="A1336" s="2427"/>
      <c r="C1336" s="1163"/>
      <c r="D1336" s="1163"/>
      <c r="E1336" s="1564"/>
      <c r="F1336" s="1163"/>
      <c r="G1336" s="1163"/>
      <c r="H1336" s="1163"/>
      <c r="I1336" s="1163"/>
    </row>
    <row r="1337" spans="1:9" s="2422" customFormat="1">
      <c r="A1337" s="2427"/>
      <c r="C1337" s="1163"/>
      <c r="D1337" s="1163"/>
      <c r="E1337" s="1564"/>
      <c r="F1337" s="1163"/>
      <c r="G1337" s="1163"/>
      <c r="H1337" s="1163"/>
      <c r="I1337" s="1163"/>
    </row>
    <row r="1338" spans="1:9" s="2422" customFormat="1">
      <c r="A1338" s="2427"/>
      <c r="C1338" s="1163"/>
      <c r="D1338" s="1163"/>
      <c r="E1338" s="1564"/>
      <c r="F1338" s="1163"/>
      <c r="G1338" s="1163"/>
      <c r="H1338" s="1163"/>
      <c r="I1338" s="1163"/>
    </row>
    <row r="1339" spans="1:9" s="2422" customFormat="1">
      <c r="A1339" s="2427"/>
      <c r="C1339" s="1163"/>
      <c r="D1339" s="1163"/>
      <c r="E1339" s="1564"/>
      <c r="F1339" s="1163"/>
      <c r="G1339" s="1163"/>
      <c r="H1339" s="1163"/>
      <c r="I1339" s="1163"/>
    </row>
    <row r="1340" spans="1:9" s="2422" customFormat="1">
      <c r="A1340" s="2427"/>
      <c r="C1340" s="1163"/>
      <c r="D1340" s="1163"/>
      <c r="E1340" s="1564"/>
      <c r="F1340" s="1163"/>
      <c r="G1340" s="1163"/>
      <c r="H1340" s="1163"/>
      <c r="I1340" s="1163"/>
    </row>
    <row r="1341" spans="1:9" s="2422" customFormat="1">
      <c r="A1341" s="2427"/>
      <c r="C1341" s="1163"/>
      <c r="D1341" s="1163"/>
      <c r="E1341" s="1564"/>
      <c r="F1341" s="1163"/>
      <c r="G1341" s="1163"/>
      <c r="H1341" s="1163"/>
      <c r="I1341" s="1163"/>
    </row>
    <row r="1342" spans="1:9" s="2422" customFormat="1">
      <c r="A1342" s="2427"/>
      <c r="C1342" s="1163"/>
      <c r="D1342" s="1163"/>
      <c r="E1342" s="1564"/>
      <c r="F1342" s="1163"/>
      <c r="G1342" s="1163"/>
      <c r="H1342" s="1163"/>
      <c r="I1342" s="1163"/>
    </row>
    <row r="1343" spans="1:9" s="2422" customFormat="1">
      <c r="A1343" s="2427"/>
      <c r="E1343" s="1564"/>
    </row>
    <row r="1344" spans="1:9" s="2422" customFormat="1">
      <c r="A1344" s="2427"/>
      <c r="E1344" s="1564"/>
    </row>
    <row r="1345" spans="1:5" s="2422" customFormat="1">
      <c r="A1345" s="2427"/>
      <c r="E1345" s="1564"/>
    </row>
    <row r="1346" spans="1:5" s="2422" customFormat="1">
      <c r="A1346" s="2427"/>
      <c r="E1346" s="1564"/>
    </row>
    <row r="1347" spans="1:5" s="2422" customFormat="1">
      <c r="A1347" s="2427"/>
      <c r="E1347" s="1564"/>
    </row>
    <row r="1348" spans="1:5" s="2422" customFormat="1">
      <c r="A1348" s="2427"/>
      <c r="E1348" s="1564"/>
    </row>
    <row r="1349" spans="1:5" s="2422" customFormat="1">
      <c r="A1349" s="2427"/>
      <c r="E1349" s="1564"/>
    </row>
    <row r="1350" spans="1:5" s="2422" customFormat="1">
      <c r="A1350" s="2427"/>
      <c r="E1350" s="1564"/>
    </row>
    <row r="1351" spans="1:5" s="2422" customFormat="1">
      <c r="A1351" s="2427"/>
      <c r="E1351" s="1564"/>
    </row>
    <row r="1352" spans="1:5" s="2422" customFormat="1">
      <c r="A1352" s="2427"/>
      <c r="E1352" s="1564"/>
    </row>
    <row r="1353" spans="1:5" s="2422" customFormat="1">
      <c r="A1353" s="2427"/>
      <c r="E1353" s="1564"/>
    </row>
    <row r="1354" spans="1:5" s="2422" customFormat="1">
      <c r="A1354" s="2427"/>
      <c r="E1354" s="1564"/>
    </row>
    <row r="1355" spans="1:5" s="2422" customFormat="1">
      <c r="A1355" s="2427"/>
      <c r="E1355" s="1564"/>
    </row>
    <row r="1356" spans="1:5" s="2422" customFormat="1">
      <c r="A1356" s="2427"/>
      <c r="E1356" s="1564"/>
    </row>
    <row r="1357" spans="1:5" s="2422" customFormat="1">
      <c r="A1357" s="2427"/>
      <c r="E1357" s="1564"/>
    </row>
    <row r="1358" spans="1:5" s="2422" customFormat="1">
      <c r="A1358" s="2427"/>
      <c r="E1358" s="1564"/>
    </row>
    <row r="1359" spans="1:5" s="2422" customFormat="1">
      <c r="A1359" s="2427"/>
      <c r="E1359" s="1564"/>
    </row>
    <row r="1360" spans="1:5" s="2422" customFormat="1">
      <c r="A1360" s="2427"/>
      <c r="E1360" s="1564"/>
    </row>
    <row r="1361" spans="1:5" s="2422" customFormat="1">
      <c r="A1361" s="2427"/>
      <c r="E1361" s="1564"/>
    </row>
    <row r="1362" spans="1:5" s="2422" customFormat="1">
      <c r="A1362" s="2427"/>
      <c r="E1362" s="1564"/>
    </row>
    <row r="1363" spans="1:5" s="2422" customFormat="1">
      <c r="A1363" s="2427"/>
      <c r="E1363" s="1564"/>
    </row>
    <row r="1364" spans="1:5" s="2422" customFormat="1">
      <c r="A1364" s="2427"/>
      <c r="E1364" s="1564"/>
    </row>
    <row r="1365" spans="1:5" s="2422" customFormat="1">
      <c r="A1365" s="2427"/>
      <c r="E1365" s="1564"/>
    </row>
    <row r="1366" spans="1:5" s="2422" customFormat="1">
      <c r="A1366" s="2427"/>
      <c r="E1366" s="1564"/>
    </row>
    <row r="1367" spans="1:5" s="2422" customFormat="1">
      <c r="A1367" s="2427"/>
      <c r="E1367" s="1564"/>
    </row>
    <row r="1368" spans="1:5" s="2422" customFormat="1">
      <c r="A1368" s="2427"/>
      <c r="E1368" s="1564"/>
    </row>
    <row r="1369" spans="1:5" s="2422" customFormat="1">
      <c r="A1369" s="2427"/>
      <c r="E1369" s="1564"/>
    </row>
  </sheetData>
  <sheetProtection algorithmName="SHA-512" hashValue="ujUH2s9deG/8GeH4YRFW3U/cQlJacAoaq8gw2U5fsyF1g4FubyFXsiA91LL6oLmA6JUw8Nd31/b/rcPqTbfB4A==" saltValue="Z3gzYkyT6IDvTT+KT3ouIg==" spinCount="100000" sheet="1" objects="1" scenarios="1" formatColumns="0" formatRows="0" autoFilter="0"/>
  <autoFilter ref="C7:J7"/>
  <customSheetViews>
    <customSheetView guid="{3769259D-9653-4B34-A2F6-4FB6F9F4E533}" showGridLines="0" showAutoFilter="1" hiddenRows="1" hiddenColumns="1">
      <pane xSplit="4" ySplit="7" topLeftCell="E8" activePane="bottomRight" state="frozen"/>
      <selection pane="bottomRight" activeCell="E36" sqref="E36"/>
      <pageMargins left="0.7" right="0.7" top="0.75" bottom="0.75" header="0.3" footer="0.3"/>
      <autoFilter ref="B1:F1"/>
    </customSheetView>
    <customSheetView guid="{40D7A2BB-326C-4ED3-999C-17852F56D6F4}" showGridLines="0" showAutoFilter="1" hiddenRows="1" hiddenColumns="1">
      <pane xSplit="4" ySplit="7" topLeftCell="E8" activePane="bottomRight" state="frozen"/>
      <selection pane="bottomRight" activeCell="E36" sqref="E36"/>
      <pageMargins left="0.7" right="0.7" top="0.75" bottom="0.75" header="0.3" footer="0.3"/>
      <autoFilter ref="B1:F1"/>
    </customSheetView>
    <customSheetView guid="{5D121940-0CE8-4A0E-A493-67FAAA6E0FF8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autoFilter ref="B1:F1"/>
    </customSheetView>
    <customSheetView guid="{47AEACC4-6EA5-412C-AF39-A6C5357B313A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autoFilter ref="B1:F1"/>
    </customSheetView>
    <customSheetView guid="{4D957B38-5430-481E-B791-E0A66F913B50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6" topLeftCell="E8" activePane="bottomRight" state="frozen"/>
      <selection pane="bottomRight" activeCell="C7" sqref="C7:G7"/>
      <pageMargins left="0.7" right="0.7" top="0.75" bottom="0.75" header="0.3" footer="0.3"/>
      <autoFilter ref="B1:F1"/>
    </customSheetView>
  </customSheetViews>
  <mergeCells count="3">
    <mergeCell ref="I5:I6"/>
    <mergeCell ref="J5:J6"/>
    <mergeCell ref="K5:K6"/>
  </mergeCells>
  <phoneticPr fontId="0" type="noConversion"/>
  <dataValidations count="2">
    <dataValidation type="list" allowBlank="1" showInputMessage="1" showErrorMessage="1" sqref="F9:F21">
      <formula1>_9058</formula1>
    </dataValidation>
    <dataValidation type="list" allowBlank="1" showInputMessage="1" showErrorMessage="1" sqref="C9:C21">
      <formula1>_index</formula1>
    </dataValidation>
  </dataValidations>
  <hyperlinks>
    <hyperlink ref="E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94" r:id="rId4" name="Button 6">
              <controlPr defaultSize="0" print="0" autoFill="0" autoPict="0" macro="[0]!AddButtonsRowAdd">
                <anchor moveWithCells="1">
                  <from>
                    <xdr:col>5</xdr:col>
                    <xdr:colOff>800100</xdr:colOff>
                    <xdr:row>1</xdr:row>
                    <xdr:rowOff>146050</xdr:rowOff>
                  </from>
                  <to>
                    <xdr:col>5</xdr:col>
                    <xdr:colOff>2241550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pageSetUpPr fitToPage="1"/>
  </sheetPr>
  <dimension ref="A1:AP66"/>
  <sheetViews>
    <sheetView topLeftCell="R24" zoomScale="50" zoomScaleNormal="50" workbookViewId="0">
      <selection activeCell="AE35" sqref="AE35"/>
    </sheetView>
  </sheetViews>
  <sheetFormatPr defaultColWidth="11.453125" defaultRowHeight="14.5"/>
  <cols>
    <col min="1" max="1" width="20.81640625" style="7" hidden="1" customWidth="1"/>
    <col min="2" max="2" width="4.453125" style="32" customWidth="1"/>
    <col min="3" max="3" width="83.453125" style="32" customWidth="1"/>
    <col min="4" max="5" width="15.453125" style="32" customWidth="1"/>
    <col min="6" max="6" width="18.54296875" style="32" customWidth="1"/>
    <col min="7" max="8" width="18.453125" style="32" customWidth="1"/>
    <col min="9" max="9" width="19.453125" style="32" customWidth="1"/>
    <col min="10" max="11" width="15.453125" style="32" customWidth="1"/>
    <col min="12" max="15" width="20.453125" style="32" customWidth="1"/>
    <col min="16" max="19" width="15.453125" style="32" customWidth="1"/>
    <col min="20" max="20" width="16.453125" style="32" customWidth="1"/>
    <col min="21" max="21" width="9.453125" style="617" customWidth="1"/>
    <col min="22" max="22" width="27.453125" style="32" customWidth="1"/>
    <col min="23" max="23" width="23.54296875" style="32" customWidth="1"/>
    <col min="24" max="24" width="15.54296875" style="32" customWidth="1"/>
    <col min="25" max="25" width="20.453125" style="32" customWidth="1"/>
    <col min="26" max="26" width="12" style="32" customWidth="1"/>
    <col min="27" max="27" width="10.453125" style="32" bestFit="1" customWidth="1"/>
    <col min="28" max="28" width="22.54296875" style="32" customWidth="1"/>
    <col min="29" max="29" width="9.453125" style="32" customWidth="1"/>
    <col min="30" max="30" width="13.54296875" style="32" customWidth="1"/>
    <col min="31" max="31" width="25.54296875" style="32" customWidth="1"/>
    <col min="32" max="32" width="9.453125" style="32" customWidth="1"/>
    <col min="33" max="33" width="21" style="32" customWidth="1"/>
    <col min="34" max="34" width="18.81640625" style="32" customWidth="1"/>
    <col min="35" max="35" width="31.54296875" style="32" customWidth="1"/>
    <col min="36" max="36" width="9.453125" style="32" customWidth="1"/>
    <col min="37" max="37" width="16.54296875" style="32" customWidth="1"/>
    <col min="38" max="38" width="21.453125" style="32" customWidth="1"/>
    <col min="39" max="39" width="17.453125" style="32" customWidth="1"/>
    <col min="40" max="40" width="12.54296875" style="32" customWidth="1"/>
    <col min="41" max="41" width="14.453125" style="32" customWidth="1"/>
    <col min="42" max="228" width="9.453125" style="32" customWidth="1"/>
    <col min="229" max="229" width="5.54296875" style="32" customWidth="1"/>
    <col min="230" max="230" width="51" style="32" customWidth="1"/>
    <col min="231" max="242" width="15.453125" style="32" customWidth="1"/>
    <col min="243" max="243" width="16.453125" style="32" customWidth="1"/>
    <col min="244" max="254" width="15.453125" style="32" customWidth="1"/>
    <col min="255" max="16384" width="11.453125" style="32"/>
  </cols>
  <sheetData>
    <row r="1" spans="1:41" customFormat="1" ht="24.75" hidden="1" customHeight="1">
      <c r="A1" s="167" t="s">
        <v>576</v>
      </c>
      <c r="B1" s="5"/>
      <c r="C1" s="5"/>
      <c r="D1" s="6"/>
      <c r="E1" s="6" t="s">
        <v>5097</v>
      </c>
      <c r="F1" s="6" t="s">
        <v>577</v>
      </c>
      <c r="G1" s="6" t="s">
        <v>578</v>
      </c>
      <c r="H1" s="6" t="s">
        <v>579</v>
      </c>
      <c r="I1" s="6" t="s">
        <v>585</v>
      </c>
      <c r="J1" s="6" t="s">
        <v>580</v>
      </c>
      <c r="K1" s="6" t="s">
        <v>581</v>
      </c>
      <c r="L1" s="6" t="s">
        <v>582</v>
      </c>
      <c r="M1" s="6" t="s">
        <v>583</v>
      </c>
      <c r="N1" s="6" t="s">
        <v>584</v>
      </c>
      <c r="O1" s="6" t="s">
        <v>5420</v>
      </c>
      <c r="P1" s="6"/>
      <c r="Q1" s="6" t="s">
        <v>5096</v>
      </c>
      <c r="R1" s="6" t="s">
        <v>586</v>
      </c>
      <c r="S1" s="6" t="s">
        <v>587</v>
      </c>
      <c r="T1" s="6"/>
      <c r="U1" s="611"/>
      <c r="AD1" s="2968"/>
    </row>
    <row r="2" spans="1:41" s="1778" customFormat="1">
      <c r="A2" s="7"/>
      <c r="D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R2" s="1778" t="s">
        <v>1648</v>
      </c>
      <c r="S2" s="1778" t="s">
        <v>1648</v>
      </c>
      <c r="U2" s="1944"/>
    </row>
    <row r="3" spans="1:41" s="24" customFormat="1" ht="26">
      <c r="A3" s="9"/>
      <c r="C3" s="105" t="s">
        <v>5185</v>
      </c>
      <c r="D3"/>
      <c r="E3"/>
      <c r="F3" s="1897" t="s">
        <v>2067</v>
      </c>
      <c r="G3" s="1244">
        <f>Содержание!$D$2</f>
        <v>0</v>
      </c>
      <c r="U3" s="612"/>
    </row>
    <row r="4" spans="1:41" s="24" customFormat="1" ht="15" thickBot="1">
      <c r="A4" s="9"/>
      <c r="C4"/>
      <c r="E4" s="3044" t="s">
        <v>1436</v>
      </c>
      <c r="F4" s="1897" t="s">
        <v>2075</v>
      </c>
      <c r="G4" s="1244" t="str">
        <f>Содержание!$D$15</f>
        <v>2022 год</v>
      </c>
      <c r="U4" s="612"/>
    </row>
    <row r="5" spans="1:41" s="24" customFormat="1" ht="12.75" customHeight="1">
      <c r="A5" s="9"/>
      <c r="B5" s="262"/>
      <c r="C5" s="3963" t="s">
        <v>5186</v>
      </c>
      <c r="D5" s="3851" t="s">
        <v>5225</v>
      </c>
      <c r="E5" s="3851" t="s">
        <v>5087</v>
      </c>
      <c r="F5" s="3851" t="s">
        <v>5088</v>
      </c>
      <c r="G5" s="3851" t="s">
        <v>5089</v>
      </c>
      <c r="H5" s="3740" t="s">
        <v>1690</v>
      </c>
      <c r="I5" s="3851" t="s">
        <v>1693</v>
      </c>
      <c r="J5" s="3851" t="s">
        <v>5162</v>
      </c>
      <c r="K5" s="3851" t="s">
        <v>5163</v>
      </c>
      <c r="L5" s="3851" t="s">
        <v>2778</v>
      </c>
      <c r="M5" s="3851" t="s">
        <v>2976</v>
      </c>
      <c r="N5" s="3851" t="s">
        <v>8362</v>
      </c>
      <c r="O5" s="3851" t="s">
        <v>9951</v>
      </c>
      <c r="P5" s="3851" t="s">
        <v>5233</v>
      </c>
      <c r="Q5" s="3851" t="s">
        <v>5090</v>
      </c>
      <c r="R5" s="3851" t="s">
        <v>5091</v>
      </c>
      <c r="S5" s="3851" t="s">
        <v>5092</v>
      </c>
      <c r="T5" s="3987" t="s">
        <v>4183</v>
      </c>
      <c r="U5" s="612"/>
      <c r="V5" s="3789" t="s">
        <v>8603</v>
      </c>
      <c r="W5" s="3789" t="s">
        <v>8744</v>
      </c>
      <c r="X5" s="3789" t="s">
        <v>8603</v>
      </c>
      <c r="Y5" s="3789" t="s">
        <v>8744</v>
      </c>
    </row>
    <row r="6" spans="1:41" s="24" customFormat="1" ht="60.75" customHeight="1">
      <c r="A6" s="9"/>
      <c r="B6" s="262"/>
      <c r="C6" s="3965"/>
      <c r="D6" s="3717"/>
      <c r="E6" s="3717"/>
      <c r="F6" s="3717"/>
      <c r="G6" s="3717"/>
      <c r="H6" s="3741"/>
      <c r="I6" s="3717"/>
      <c r="J6" s="3717"/>
      <c r="K6" s="3717"/>
      <c r="L6" s="3717"/>
      <c r="M6" s="3717"/>
      <c r="N6" s="3717"/>
      <c r="O6" s="3717"/>
      <c r="P6" s="3717"/>
      <c r="Q6" s="3717" t="s">
        <v>1195</v>
      </c>
      <c r="R6" s="3717"/>
      <c r="S6" s="3717"/>
      <c r="T6" s="3988"/>
      <c r="U6" s="612"/>
      <c r="V6" s="3789"/>
      <c r="W6" s="3789"/>
      <c r="X6" s="3789"/>
      <c r="Y6" s="3789"/>
      <c r="AE6" s="485"/>
      <c r="AG6" s="3203" t="s">
        <v>8363</v>
      </c>
      <c r="AH6" s="3203" t="s">
        <v>9950</v>
      </c>
      <c r="AI6" s="3203" t="s">
        <v>8871</v>
      </c>
      <c r="AK6" s="3203" t="s">
        <v>9905</v>
      </c>
      <c r="AL6" s="3203" t="s">
        <v>9906</v>
      </c>
      <c r="AM6" s="3203" t="s">
        <v>9907</v>
      </c>
      <c r="AN6" s="3203" t="s">
        <v>9908</v>
      </c>
      <c r="AO6" s="3203" t="s">
        <v>9909</v>
      </c>
    </row>
    <row r="7" spans="1:41" s="24" customFormat="1" ht="15.75" customHeight="1">
      <c r="A7" s="9"/>
      <c r="B7" s="263"/>
      <c r="C7" s="99" t="s">
        <v>4150</v>
      </c>
      <c r="D7" s="247" t="s">
        <v>674</v>
      </c>
      <c r="E7" s="247" t="s">
        <v>4142</v>
      </c>
      <c r="F7" s="247" t="s">
        <v>4142</v>
      </c>
      <c r="G7" s="247" t="s">
        <v>4142</v>
      </c>
      <c r="H7" s="264" t="s">
        <v>5187</v>
      </c>
      <c r="I7" s="264" t="s">
        <v>1692</v>
      </c>
      <c r="J7" s="264" t="s">
        <v>4239</v>
      </c>
      <c r="K7" s="264" t="s">
        <v>4240</v>
      </c>
      <c r="L7" s="16" t="s">
        <v>3519</v>
      </c>
      <c r="M7" s="16" t="s">
        <v>430</v>
      </c>
      <c r="N7" s="16" t="s">
        <v>1305</v>
      </c>
      <c r="O7" s="16" t="s">
        <v>5098</v>
      </c>
      <c r="P7" s="247" t="s">
        <v>694</v>
      </c>
      <c r="Q7" s="247" t="s">
        <v>4142</v>
      </c>
      <c r="R7" s="247" t="s">
        <v>4142</v>
      </c>
      <c r="S7" s="247" t="s">
        <v>4142</v>
      </c>
      <c r="T7" s="618"/>
      <c r="U7" s="612"/>
      <c r="AG7" s="2959" t="b">
        <f>(SUM(ABS(N10),ABS(SUM(N36,N63)),ABS(N49))&lt;=5)</f>
        <v>1</v>
      </c>
      <c r="AH7" s="2959" t="b">
        <f>IF((SUM(ABS(O11),ABS(O12),ABS(O15),ABS(O18),ABS(O21),ABS(O24),ABS(O27),ABS(O33),ABS(O36),ABS(O49))&gt;=5),((-SUMIFS('91_01'!H:H,'91_01'!C:C,"{1200200} Доходы в виде курсовых разниц по обязательствам и активам, выраженным в иностранной валюте")-SUMIFS('91_01_ВГО'!K:K,'91_01_ВГО'!C:C,"{1200200} Доходы в виде курсовых разниц по обязательствам и активам, выраженным в иностранной валюте")-(SUMIFS('91_01'!H:H,'91_01'!C:C,"{1200100} Доходы в виде курсовых разниц по дог. в у.е.")-SUMIFS('91_01_ВГО'!K:K,'91_01_ВГО'!C:C,"{1200100} Доходы в виде курсовых разниц по дог. в у.е."))+SUMIFS('91_02'!F:F,'91_02'!C:C,"{2200200} Расходы в виде курсовых разниц по обязательствам и активам, выраженным в иностранной валюте")+SUMIFS('91_02_ВГО'!I:I,'91_02_ВГО'!C:C,"{2200200} Расходы в виде курсовых разниц по обязательствам и активам, выраженным в иностранной валюте")+SUMIFS('91_02'!F:F,'91_02'!C:C,"{2200100} Расходы в виде курсовых разниц по дог. в у.е.")+SUMIFS('91_02_ВГО'!I:I,'91_02_ВГО'!C:C,"{2200100} Расходы в виде курсовых разниц по дог. в у.е.")))&gt;0,TRUE)</f>
        <v>1</v>
      </c>
      <c r="AI7" s="2979" t="b">
        <f>IF(OR(Содержание!D3="0000000002",Содержание!D3=4110000000,Содержание!D3=3010000000),TRUE,ABS((SUMIFS('50_51_52_55_57_движ'!J7:J65536,'50_51_52_55_57_движ'!C7:C65536,"{1290900_~_~_~} Перечисление средств отраслевых резервов")+I9))&lt;=5)</f>
        <v>1</v>
      </c>
      <c r="AK7" s="2258" t="b">
        <f>AND(AK9:AK63)</f>
        <v>1</v>
      </c>
      <c r="AL7" s="2258" t="b">
        <f>AND(AL9:AL63)</f>
        <v>1</v>
      </c>
      <c r="AM7" s="2258" t="b">
        <f>AND(AM9:AM63)</f>
        <v>1</v>
      </c>
      <c r="AN7" s="2258" t="b">
        <f>AND(AN9:AN63)</f>
        <v>1</v>
      </c>
      <c r="AO7" s="2258" t="b">
        <f>AND(AO9:AO63)</f>
        <v>1</v>
      </c>
    </row>
    <row r="8" spans="1:41" s="698" customFormat="1" ht="11.25" customHeight="1">
      <c r="A8" s="668"/>
      <c r="B8" s="712"/>
      <c r="C8" s="709" t="s">
        <v>4164</v>
      </c>
      <c r="D8" s="1373" t="s">
        <v>4165</v>
      </c>
      <c r="E8" s="1373" t="s">
        <v>4166</v>
      </c>
      <c r="F8" s="1373" t="s">
        <v>5500</v>
      </c>
      <c r="G8" s="1373" t="s">
        <v>4169</v>
      </c>
      <c r="H8" s="1373" t="s">
        <v>4168</v>
      </c>
      <c r="I8" s="1373" t="s">
        <v>4178</v>
      </c>
      <c r="J8" s="1373" t="s">
        <v>4179</v>
      </c>
      <c r="K8" s="1373" t="s">
        <v>4167</v>
      </c>
      <c r="L8" s="1373" t="s">
        <v>5501</v>
      </c>
      <c r="M8" s="1373" t="s">
        <v>4701</v>
      </c>
      <c r="N8" s="1373" t="s">
        <v>4702</v>
      </c>
      <c r="O8" s="1373" t="s">
        <v>4703</v>
      </c>
      <c r="P8" s="1373" t="s">
        <v>5502</v>
      </c>
      <c r="Q8" s="1373" t="s">
        <v>5503</v>
      </c>
      <c r="R8" s="1373" t="s">
        <v>5504</v>
      </c>
      <c r="S8" s="1373" t="s">
        <v>4853</v>
      </c>
      <c r="T8" s="1373" t="s">
        <v>4852</v>
      </c>
      <c r="U8" s="732"/>
      <c r="V8" s="2103" t="b">
        <f>AND(V9:V61)</f>
        <v>1</v>
      </c>
      <c r="W8" s="2103" t="b">
        <f>AND(W45:W61)</f>
        <v>1</v>
      </c>
    </row>
    <row r="9" spans="1:41" s="24" customFormat="1" ht="13">
      <c r="A9" s="9"/>
      <c r="C9" s="265" t="s">
        <v>4170</v>
      </c>
      <c r="D9" s="1151">
        <f>D10+D36+D49+D63</f>
        <v>0</v>
      </c>
      <c r="E9" s="1151">
        <f>E49+E18+E63+E11</f>
        <v>0</v>
      </c>
      <c r="F9" s="1151">
        <f t="shared" ref="F9:P9" si="0">F10+F36+F49+F63</f>
        <v>0</v>
      </c>
      <c r="G9" s="1151">
        <f t="shared" si="0"/>
        <v>0</v>
      </c>
      <c r="H9" s="1151">
        <f t="shared" si="0"/>
        <v>0</v>
      </c>
      <c r="I9" s="1151">
        <f t="shared" si="0"/>
        <v>0</v>
      </c>
      <c r="J9" s="1151">
        <f t="shared" si="0"/>
        <v>0</v>
      </c>
      <c r="K9" s="1151">
        <f t="shared" si="0"/>
        <v>0</v>
      </c>
      <c r="L9" s="1151">
        <f t="shared" si="0"/>
        <v>0</v>
      </c>
      <c r="M9" s="1151">
        <f t="shared" si="0"/>
        <v>0</v>
      </c>
      <c r="N9" s="1151">
        <f t="shared" si="0"/>
        <v>0</v>
      </c>
      <c r="O9" s="1151">
        <f t="shared" si="0"/>
        <v>0</v>
      </c>
      <c r="P9" s="1151">
        <f t="shared" si="0"/>
        <v>0</v>
      </c>
      <c r="Q9" s="1151">
        <f>Q49+Q18+Q63+Q11</f>
        <v>0</v>
      </c>
      <c r="R9" s="1151">
        <f>R10+R36+R49+R63</f>
        <v>0</v>
      </c>
      <c r="S9" s="1151">
        <f>S10+S36+S49+S63</f>
        <v>0</v>
      </c>
      <c r="T9" s="1150" t="s">
        <v>3066</v>
      </c>
      <c r="U9" s="613"/>
      <c r="V9" s="2103"/>
      <c r="W9" s="2103"/>
      <c r="AK9" s="3010" t="b">
        <f t="shared" ref="AK9:AK29" si="1">H9&gt;=0</f>
        <v>1</v>
      </c>
      <c r="AL9" s="3010" t="b">
        <f t="shared" ref="AL9:AL29" si="2">I9&gt;=0</f>
        <v>1</v>
      </c>
      <c r="AM9" s="3010" t="b">
        <f t="shared" ref="AM9:AM29" si="3">J9&gt;=0</f>
        <v>1</v>
      </c>
      <c r="AN9" s="3010" t="b">
        <f t="shared" ref="AN9:AN29" si="4">K9&lt;=0</f>
        <v>1</v>
      </c>
      <c r="AO9" s="3010" t="b">
        <f t="shared" ref="AO9:AO29" si="5">M9&lt;=0</f>
        <v>1</v>
      </c>
    </row>
    <row r="10" spans="1:41" s="194" customFormat="1" ht="13">
      <c r="A10" s="2427" t="str">
        <f ca="1">IF(CELL("защита",T10),"","R1="&amp;IFERROR(MID(C10,FIND("{",C10)+1,FIND("}",C10)-FIND("{",C10)-1),"")&amp;";COM="&amp;T10)</f>
        <v/>
      </c>
      <c r="B10" s="114"/>
      <c r="C10" s="1122" t="s">
        <v>1757</v>
      </c>
      <c r="D10" s="1151">
        <f>D11+D18+D21+D24+D27+D30+D33</f>
        <v>0</v>
      </c>
      <c r="E10" s="1151">
        <f>E11+E18</f>
        <v>0</v>
      </c>
      <c r="F10" s="1151">
        <f>F11+F18+F21+F24+F27+F30+F33</f>
        <v>0</v>
      </c>
      <c r="G10" s="1151">
        <f t="shared" ref="G10:S10" si="6">G11+G18+G21+G24+G27+G30+G33</f>
        <v>0</v>
      </c>
      <c r="H10" s="1151">
        <f t="shared" si="6"/>
        <v>0</v>
      </c>
      <c r="I10" s="1151">
        <f t="shared" si="6"/>
        <v>0</v>
      </c>
      <c r="J10" s="1151">
        <f t="shared" si="6"/>
        <v>0</v>
      </c>
      <c r="K10" s="1151">
        <f t="shared" si="6"/>
        <v>0</v>
      </c>
      <c r="L10" s="1151">
        <f t="shared" si="6"/>
        <v>0</v>
      </c>
      <c r="M10" s="1151">
        <f t="shared" si="6"/>
        <v>0</v>
      </c>
      <c r="N10" s="1151">
        <f t="shared" si="6"/>
        <v>0</v>
      </c>
      <c r="O10" s="1151">
        <f t="shared" si="6"/>
        <v>0</v>
      </c>
      <c r="P10" s="1151">
        <f t="shared" si="6"/>
        <v>0</v>
      </c>
      <c r="Q10" s="1151">
        <f>Q11+Q18</f>
        <v>0</v>
      </c>
      <c r="R10" s="1151">
        <f t="shared" si="6"/>
        <v>0</v>
      </c>
      <c r="S10" s="1151">
        <f t="shared" si="6"/>
        <v>0</v>
      </c>
      <c r="T10" s="1151" t="s">
        <v>3066</v>
      </c>
      <c r="U10" s="613"/>
      <c r="V10" s="2103"/>
      <c r="W10" s="2109"/>
      <c r="AK10" s="3010" t="b">
        <f t="shared" si="1"/>
        <v>1</v>
      </c>
      <c r="AL10" s="3010" t="b">
        <f t="shared" si="2"/>
        <v>1</v>
      </c>
      <c r="AM10" s="3010" t="b">
        <f t="shared" si="3"/>
        <v>1</v>
      </c>
      <c r="AN10" s="3010" t="b">
        <f t="shared" si="4"/>
        <v>1</v>
      </c>
      <c r="AO10" s="3010" t="b">
        <f t="shared" si="5"/>
        <v>1</v>
      </c>
    </row>
    <row r="11" spans="1:41" s="24" customFormat="1" ht="12.5">
      <c r="A11" s="2427" t="str">
        <f t="shared" ref="A11:A66" ca="1" si="7">IF(CELL("защита",T11),"","R1="&amp;IFERROR(MID(C11,FIND("{",C11)+1,FIND("}",C11)-FIND("{",C11)-1),"")&amp;";COM="&amp;T11)</f>
        <v/>
      </c>
      <c r="B11" s="114"/>
      <c r="C11" s="390" t="s">
        <v>747</v>
      </c>
      <c r="D11" s="1151">
        <f t="shared" ref="D11:S11" si="8">D12+D15</f>
        <v>0</v>
      </c>
      <c r="E11" s="1151">
        <f t="shared" si="8"/>
        <v>0</v>
      </c>
      <c r="F11" s="1151">
        <f>F12+F15</f>
        <v>0</v>
      </c>
      <c r="G11" s="1151">
        <f>G12+G15</f>
        <v>0</v>
      </c>
      <c r="H11" s="1151">
        <f t="shared" si="8"/>
        <v>0</v>
      </c>
      <c r="I11" s="1151">
        <f t="shared" si="8"/>
        <v>0</v>
      </c>
      <c r="J11" s="1151">
        <f t="shared" si="8"/>
        <v>0</v>
      </c>
      <c r="K11" s="1151">
        <f t="shared" si="8"/>
        <v>0</v>
      </c>
      <c r="L11" s="1151">
        <f t="shared" si="8"/>
        <v>0</v>
      </c>
      <c r="M11" s="1151">
        <f t="shared" si="8"/>
        <v>0</v>
      </c>
      <c r="N11" s="1151">
        <f t="shared" si="8"/>
        <v>0</v>
      </c>
      <c r="O11" s="1151">
        <f>O12+O15</f>
        <v>0</v>
      </c>
      <c r="P11" s="1151">
        <f t="shared" si="8"/>
        <v>0</v>
      </c>
      <c r="Q11" s="1151">
        <f t="shared" si="8"/>
        <v>0</v>
      </c>
      <c r="R11" s="1151">
        <f t="shared" si="8"/>
        <v>0</v>
      </c>
      <c r="S11" s="1151">
        <f t="shared" si="8"/>
        <v>0</v>
      </c>
      <c r="T11" s="1150" t="s">
        <v>3066</v>
      </c>
      <c r="U11" s="613"/>
      <c r="V11" s="2103"/>
      <c r="W11" s="2103"/>
      <c r="AK11" s="3010" t="b">
        <f t="shared" si="1"/>
        <v>1</v>
      </c>
      <c r="AL11" s="3010" t="b">
        <f t="shared" si="2"/>
        <v>1</v>
      </c>
      <c r="AM11" s="3010" t="b">
        <f t="shared" si="3"/>
        <v>1</v>
      </c>
      <c r="AN11" s="3010" t="b">
        <f t="shared" si="4"/>
        <v>1</v>
      </c>
      <c r="AO11" s="3010" t="b">
        <f t="shared" si="5"/>
        <v>1</v>
      </c>
    </row>
    <row r="12" spans="1:41" s="24" customFormat="1" ht="25">
      <c r="A12" s="2427" t="str">
        <f t="shared" ca="1" si="7"/>
        <v/>
      </c>
      <c r="B12" s="114"/>
      <c r="C12" s="609" t="s">
        <v>748</v>
      </c>
      <c r="D12" s="1153">
        <f t="shared" ref="D12:S12" si="9">SUM(D13:D14)</f>
        <v>0</v>
      </c>
      <c r="E12" s="1915">
        <f t="shared" si="9"/>
        <v>0</v>
      </c>
      <c r="F12" s="1153">
        <f>SUM(F13:F14)</f>
        <v>0</v>
      </c>
      <c r="G12" s="1153">
        <f>SUM(G13:G14)</f>
        <v>0</v>
      </c>
      <c r="H12" s="1153">
        <f t="shared" si="9"/>
        <v>0</v>
      </c>
      <c r="I12" s="1153">
        <f t="shared" si="9"/>
        <v>0</v>
      </c>
      <c r="J12" s="1153">
        <f t="shared" si="9"/>
        <v>0</v>
      </c>
      <c r="K12" s="1153">
        <f>SUM(K13:K14)</f>
        <v>0</v>
      </c>
      <c r="L12" s="1153">
        <f t="shared" si="9"/>
        <v>0</v>
      </c>
      <c r="M12" s="1153">
        <f t="shared" si="9"/>
        <v>0</v>
      </c>
      <c r="N12" s="1153">
        <f t="shared" si="9"/>
        <v>0</v>
      </c>
      <c r="O12" s="1153">
        <f>SUM(O13:O14)</f>
        <v>0</v>
      </c>
      <c r="P12" s="1153">
        <f t="shared" si="9"/>
        <v>0</v>
      </c>
      <c r="Q12" s="1915">
        <f t="shared" si="9"/>
        <v>0</v>
      </c>
      <c r="R12" s="1153">
        <f t="shared" si="9"/>
        <v>0</v>
      </c>
      <c r="S12" s="1153">
        <f t="shared" si="9"/>
        <v>0</v>
      </c>
      <c r="T12" s="1152" t="s">
        <v>3066</v>
      </c>
      <c r="U12" s="614"/>
      <c r="V12" s="2103"/>
      <c r="W12" s="2103"/>
      <c r="AK12" s="3010" t="b">
        <f t="shared" si="1"/>
        <v>1</v>
      </c>
      <c r="AL12" s="3010" t="b">
        <f t="shared" si="2"/>
        <v>1</v>
      </c>
      <c r="AM12" s="3010" t="b">
        <f t="shared" si="3"/>
        <v>1</v>
      </c>
      <c r="AN12" s="3010" t="b">
        <f t="shared" si="4"/>
        <v>1</v>
      </c>
      <c r="AO12" s="3010" t="b">
        <f t="shared" si="5"/>
        <v>1</v>
      </c>
    </row>
    <row r="13" spans="1:41" s="24" customFormat="1" ht="25">
      <c r="A13" s="2427" t="str">
        <f t="shared" ca="1" si="7"/>
        <v>R1=10111;COM=</v>
      </c>
      <c r="B13" s="114"/>
      <c r="C13" s="610" t="s">
        <v>749</v>
      </c>
      <c r="D13" s="1434"/>
      <c r="E13" s="1325"/>
      <c r="F13" s="1325"/>
      <c r="G13" s="1915">
        <f t="shared" ref="G13:G16" si="10">D13-F13-E13</f>
        <v>0</v>
      </c>
      <c r="H13" s="1325"/>
      <c r="I13" s="1151" t="s">
        <v>3389</v>
      </c>
      <c r="J13" s="1434"/>
      <c r="K13" s="1434"/>
      <c r="L13" s="1325"/>
      <c r="M13" s="1325"/>
      <c r="N13" s="1325"/>
      <c r="O13" s="1325"/>
      <c r="P13" s="1153">
        <f>SUM(D13,H13:O13)</f>
        <v>0</v>
      </c>
      <c r="Q13" s="1325"/>
      <c r="R13" s="1325"/>
      <c r="S13" s="1915">
        <f>P13-R13-Q13</f>
        <v>0</v>
      </c>
      <c r="T13" s="1367"/>
      <c r="U13" s="615"/>
      <c r="V13" s="2103" t="b">
        <f>IF(OR(F13&gt;1,G13&gt;1,R13&gt;1,S13&gt;1),FALSE,TRUE)</f>
        <v>1</v>
      </c>
      <c r="W13" s="2103"/>
      <c r="AK13" s="3010" t="b">
        <f t="shared" si="1"/>
        <v>1</v>
      </c>
      <c r="AL13" s="3010" t="b">
        <f t="shared" si="2"/>
        <v>1</v>
      </c>
      <c r="AM13" s="3010" t="b">
        <f t="shared" si="3"/>
        <v>1</v>
      </c>
      <c r="AN13" s="3010" t="b">
        <f t="shared" si="4"/>
        <v>1</v>
      </c>
      <c r="AO13" s="3010" t="b">
        <f t="shared" si="5"/>
        <v>1</v>
      </c>
    </row>
    <row r="14" spans="1:41" s="24" customFormat="1" ht="25">
      <c r="A14" s="2427" t="str">
        <f t="shared" ca="1" si="7"/>
        <v>R1=10112;COM=</v>
      </c>
      <c r="B14" s="114"/>
      <c r="C14" s="610" t="s">
        <v>750</v>
      </c>
      <c r="D14" s="1325"/>
      <c r="E14" s="1325"/>
      <c r="F14" s="1325"/>
      <c r="G14" s="1915">
        <f t="shared" si="10"/>
        <v>0</v>
      </c>
      <c r="H14" s="1434"/>
      <c r="I14" s="1151" t="s">
        <v>3389</v>
      </c>
      <c r="J14" s="1434"/>
      <c r="K14" s="1434"/>
      <c r="L14" s="1325"/>
      <c r="M14" s="1325"/>
      <c r="N14" s="1325"/>
      <c r="O14" s="1325"/>
      <c r="P14" s="1153">
        <f>SUM(D14,H14:O14)</f>
        <v>0</v>
      </c>
      <c r="Q14" s="1325"/>
      <c r="R14" s="1325"/>
      <c r="S14" s="1915">
        <f>P14-R14-Q14</f>
        <v>0</v>
      </c>
      <c r="T14" s="1367"/>
      <c r="U14" s="615"/>
      <c r="V14" s="2103" t="b">
        <f>IF(OR(F14&gt;1,G14&gt;1,R14&gt;1,S14&gt;1),FALSE,TRUE)</f>
        <v>1</v>
      </c>
      <c r="W14" s="2103"/>
      <c r="AK14" s="3010" t="b">
        <f t="shared" si="1"/>
        <v>1</v>
      </c>
      <c r="AL14" s="3010" t="b">
        <f t="shared" si="2"/>
        <v>1</v>
      </c>
      <c r="AM14" s="3010" t="b">
        <f t="shared" si="3"/>
        <v>1</v>
      </c>
      <c r="AN14" s="3010" t="b">
        <f t="shared" si="4"/>
        <v>1</v>
      </c>
      <c r="AO14" s="3010" t="b">
        <f t="shared" si="5"/>
        <v>1</v>
      </c>
    </row>
    <row r="15" spans="1:41" s="24" customFormat="1" ht="25">
      <c r="A15" s="2427" t="str">
        <f t="shared" ca="1" si="7"/>
        <v/>
      </c>
      <c r="B15" s="114"/>
      <c r="C15" s="609" t="s">
        <v>751</v>
      </c>
      <c r="D15" s="1153">
        <f t="shared" ref="D15:S15" si="11">SUM(D16:D17)</f>
        <v>0</v>
      </c>
      <c r="E15" s="1915">
        <f t="shared" si="11"/>
        <v>0</v>
      </c>
      <c r="F15" s="1153">
        <f>SUM(F16:F17)</f>
        <v>0</v>
      </c>
      <c r="G15" s="1915">
        <f>SUM(G16:G17)</f>
        <v>0</v>
      </c>
      <c r="H15" s="1153">
        <f t="shared" si="11"/>
        <v>0</v>
      </c>
      <c r="I15" s="1153">
        <f t="shared" si="11"/>
        <v>0</v>
      </c>
      <c r="J15" s="1153">
        <f t="shared" si="11"/>
        <v>0</v>
      </c>
      <c r="K15" s="1153">
        <f t="shared" si="11"/>
        <v>0</v>
      </c>
      <c r="L15" s="1153">
        <f t="shared" si="11"/>
        <v>0</v>
      </c>
      <c r="M15" s="1153">
        <f t="shared" si="11"/>
        <v>0</v>
      </c>
      <c r="N15" s="1153">
        <f t="shared" si="11"/>
        <v>0</v>
      </c>
      <c r="O15" s="1153">
        <f t="shared" si="11"/>
        <v>0</v>
      </c>
      <c r="P15" s="1153">
        <f t="shared" si="11"/>
        <v>0</v>
      </c>
      <c r="Q15" s="1915">
        <f t="shared" si="11"/>
        <v>0</v>
      </c>
      <c r="R15" s="1153">
        <f t="shared" si="11"/>
        <v>0</v>
      </c>
      <c r="S15" s="1153">
        <f t="shared" si="11"/>
        <v>0</v>
      </c>
      <c r="T15" s="1152" t="s">
        <v>3066</v>
      </c>
      <c r="U15" s="614"/>
      <c r="V15" s="2103"/>
      <c r="W15" s="2103"/>
      <c r="AK15" s="3010" t="b">
        <f t="shared" si="1"/>
        <v>1</v>
      </c>
      <c r="AL15" s="3010" t="b">
        <f t="shared" si="2"/>
        <v>1</v>
      </c>
      <c r="AM15" s="3010" t="b">
        <f t="shared" si="3"/>
        <v>1</v>
      </c>
      <c r="AN15" s="3010" t="b">
        <f t="shared" si="4"/>
        <v>1</v>
      </c>
      <c r="AO15" s="3010" t="b">
        <f t="shared" si="5"/>
        <v>1</v>
      </c>
    </row>
    <row r="16" spans="1:41" s="24" customFormat="1" ht="25">
      <c r="A16" s="2427" t="str">
        <f t="shared" ca="1" si="7"/>
        <v>R1=10121;COM=</v>
      </c>
      <c r="B16" s="114"/>
      <c r="C16" s="610" t="s">
        <v>752</v>
      </c>
      <c r="D16" s="1434"/>
      <c r="E16" s="1325"/>
      <c r="F16" s="1325"/>
      <c r="G16" s="1915">
        <f t="shared" si="10"/>
        <v>0</v>
      </c>
      <c r="H16" s="1325"/>
      <c r="I16" s="1151" t="s">
        <v>3389</v>
      </c>
      <c r="J16" s="1434"/>
      <c r="K16" s="1434"/>
      <c r="L16" s="1325"/>
      <c r="M16" s="1325"/>
      <c r="N16" s="1325"/>
      <c r="O16" s="1325"/>
      <c r="P16" s="1153">
        <f>SUM(D16,H16:O16)</f>
        <v>0</v>
      </c>
      <c r="Q16" s="1325"/>
      <c r="R16" s="1325"/>
      <c r="S16" s="1915">
        <f>P16-R16-Q16</f>
        <v>0</v>
      </c>
      <c r="T16" s="1367"/>
      <c r="U16" s="615"/>
      <c r="V16" s="2103" t="b">
        <f>IF(OR(F16&gt;1,G16&gt;1,R16&gt;1,S16&gt;1),FALSE,TRUE)</f>
        <v>1</v>
      </c>
      <c r="W16" s="2103"/>
      <c r="AK16" s="3010" t="b">
        <f t="shared" si="1"/>
        <v>1</v>
      </c>
      <c r="AL16" s="3010" t="b">
        <f t="shared" si="2"/>
        <v>1</v>
      </c>
      <c r="AM16" s="3010" t="b">
        <f t="shared" si="3"/>
        <v>1</v>
      </c>
      <c r="AN16" s="3010" t="b">
        <f t="shared" si="4"/>
        <v>1</v>
      </c>
      <c r="AO16" s="3010" t="b">
        <f t="shared" si="5"/>
        <v>1</v>
      </c>
    </row>
    <row r="17" spans="1:42" s="24" customFormat="1" ht="25">
      <c r="A17" s="2427" t="str">
        <f t="shared" ca="1" si="7"/>
        <v>R1=10122;COM=</v>
      </c>
      <c r="B17" s="114"/>
      <c r="C17" s="610" t="s">
        <v>753</v>
      </c>
      <c r="D17" s="1325"/>
      <c r="E17" s="1325"/>
      <c r="F17" s="1325"/>
      <c r="G17" s="1915">
        <f>D17-F17-E17</f>
        <v>0</v>
      </c>
      <c r="H17" s="1434"/>
      <c r="I17" s="1151" t="s">
        <v>3389</v>
      </c>
      <c r="J17" s="1434"/>
      <c r="K17" s="1434"/>
      <c r="L17" s="1325"/>
      <c r="M17" s="1325"/>
      <c r="N17" s="1325"/>
      <c r="O17" s="1325"/>
      <c r="P17" s="2069">
        <f>SUM(D17,H17:O17)</f>
        <v>0</v>
      </c>
      <c r="Q17" s="1325"/>
      <c r="R17" s="2071"/>
      <c r="S17" s="1915">
        <f>P17-R17-Q17</f>
        <v>0</v>
      </c>
      <c r="T17" s="1367"/>
      <c r="U17" s="615"/>
      <c r="V17" s="2103" t="b">
        <f>IF(OR(F17&gt;1,G17&gt;1,R17&gt;1,S17&gt;1),FALSE,TRUE)</f>
        <v>1</v>
      </c>
      <c r="W17" s="2103"/>
      <c r="AK17" s="3010" t="b">
        <f t="shared" si="1"/>
        <v>1</v>
      </c>
      <c r="AL17" s="3010" t="b">
        <f t="shared" si="2"/>
        <v>1</v>
      </c>
      <c r="AM17" s="3010" t="b">
        <f t="shared" si="3"/>
        <v>1</v>
      </c>
      <c r="AN17" s="3010" t="b">
        <f t="shared" si="4"/>
        <v>1</v>
      </c>
      <c r="AO17" s="3010" t="b">
        <f t="shared" si="5"/>
        <v>1</v>
      </c>
    </row>
    <row r="18" spans="1:42" s="24" customFormat="1" ht="12.5">
      <c r="A18" s="2427" t="str">
        <f t="shared" ca="1" si="7"/>
        <v/>
      </c>
      <c r="B18" s="114"/>
      <c r="C18" s="390" t="s">
        <v>754</v>
      </c>
      <c r="D18" s="1151">
        <f t="shared" ref="D18:S18" si="12">SUM(D19:D20)</f>
        <v>0</v>
      </c>
      <c r="E18" s="1151">
        <f>SUM(E19:E20)</f>
        <v>0</v>
      </c>
      <c r="F18" s="1151">
        <f>SUM(F19:F20)</f>
        <v>0</v>
      </c>
      <c r="G18" s="1915">
        <f>D18-F18-E18</f>
        <v>0</v>
      </c>
      <c r="H18" s="1151">
        <f t="shared" si="12"/>
        <v>0</v>
      </c>
      <c r="I18" s="1151">
        <f t="shared" si="12"/>
        <v>0</v>
      </c>
      <c r="J18" s="1151">
        <f t="shared" si="12"/>
        <v>0</v>
      </c>
      <c r="K18" s="1151">
        <f t="shared" si="12"/>
        <v>0</v>
      </c>
      <c r="L18" s="1151">
        <f t="shared" si="12"/>
        <v>0</v>
      </c>
      <c r="M18" s="1151">
        <f t="shared" si="12"/>
        <v>0</v>
      </c>
      <c r="N18" s="1151">
        <f t="shared" si="12"/>
        <v>0</v>
      </c>
      <c r="O18" s="1151">
        <f t="shared" si="12"/>
        <v>0</v>
      </c>
      <c r="P18" s="2070">
        <f t="shared" si="12"/>
        <v>0</v>
      </c>
      <c r="Q18" s="2074">
        <f>SUM(Q19:Q20)</f>
        <v>0</v>
      </c>
      <c r="R18" s="2072">
        <f t="shared" si="12"/>
        <v>0</v>
      </c>
      <c r="S18" s="1365">
        <f t="shared" si="12"/>
        <v>0</v>
      </c>
      <c r="T18" s="1150" t="s">
        <v>3066</v>
      </c>
      <c r="U18" s="614"/>
      <c r="V18" s="2103"/>
      <c r="W18" s="2103"/>
      <c r="AK18" s="3010" t="b">
        <f t="shared" si="1"/>
        <v>1</v>
      </c>
      <c r="AL18" s="3010" t="b">
        <f t="shared" si="2"/>
        <v>1</v>
      </c>
      <c r="AM18" s="3010" t="b">
        <f t="shared" si="3"/>
        <v>1</v>
      </c>
      <c r="AN18" s="3010" t="b">
        <f t="shared" si="4"/>
        <v>1</v>
      </c>
      <c r="AO18" s="3010" t="b">
        <f t="shared" si="5"/>
        <v>1</v>
      </c>
    </row>
    <row r="19" spans="1:42" s="24" customFormat="1" ht="12.5">
      <c r="A19" s="2427" t="str">
        <f t="shared" ca="1" si="7"/>
        <v>R1=10210;COM=</v>
      </c>
      <c r="B19" s="114"/>
      <c r="C19" s="609" t="s">
        <v>755</v>
      </c>
      <c r="D19" s="1434"/>
      <c r="E19" s="1325"/>
      <c r="F19" s="1325"/>
      <c r="G19" s="1915">
        <f>D19-F19-E19</f>
        <v>0</v>
      </c>
      <c r="H19" s="1434"/>
      <c r="I19" s="1151" t="s">
        <v>3389</v>
      </c>
      <c r="J19" s="1325"/>
      <c r="K19" s="1434"/>
      <c r="L19" s="1325"/>
      <c r="M19" s="1325"/>
      <c r="N19" s="1325"/>
      <c r="O19" s="1325"/>
      <c r="P19" s="1153">
        <f>SUM(D19,H19:O19)</f>
        <v>0</v>
      </c>
      <c r="Q19" s="2073"/>
      <c r="R19" s="1325"/>
      <c r="S19" s="1153">
        <f>P19-R19-Q19</f>
        <v>0</v>
      </c>
      <c r="T19" s="1367"/>
      <c r="U19" s="615"/>
      <c r="V19" s="2103" t="b">
        <f>IF(OR(F19&gt;1,G19&gt;1,R19&gt;1,S19&gt;1),FALSE,TRUE)</f>
        <v>1</v>
      </c>
      <c r="W19" s="2103"/>
      <c r="AK19" s="3010" t="b">
        <f t="shared" si="1"/>
        <v>1</v>
      </c>
      <c r="AL19" s="3010" t="b">
        <f t="shared" si="2"/>
        <v>1</v>
      </c>
      <c r="AM19" s="3010" t="b">
        <f t="shared" si="3"/>
        <v>1</v>
      </c>
      <c r="AN19" s="3010" t="b">
        <f t="shared" si="4"/>
        <v>1</v>
      </c>
      <c r="AO19" s="3010" t="b">
        <f t="shared" si="5"/>
        <v>1</v>
      </c>
    </row>
    <row r="20" spans="1:42" s="24" customFormat="1" ht="25">
      <c r="A20" s="2427" t="str">
        <f t="shared" ca="1" si="7"/>
        <v>R1=10220;COM=</v>
      </c>
      <c r="B20" s="114"/>
      <c r="C20" s="609" t="s">
        <v>756</v>
      </c>
      <c r="D20" s="1434"/>
      <c r="E20" s="1325"/>
      <c r="F20" s="1325"/>
      <c r="G20" s="1915">
        <f>D20-F20-E20</f>
        <v>0</v>
      </c>
      <c r="H20" s="1434"/>
      <c r="I20" s="1151" t="s">
        <v>3389</v>
      </c>
      <c r="J20" s="1325"/>
      <c r="K20" s="1434"/>
      <c r="L20" s="1325"/>
      <c r="M20" s="1325"/>
      <c r="N20" s="1325"/>
      <c r="O20" s="1325"/>
      <c r="P20" s="1153">
        <f>SUM(D20,H20:O20)</f>
        <v>0</v>
      </c>
      <c r="Q20" s="1325"/>
      <c r="R20" s="1325"/>
      <c r="S20" s="1153">
        <f>P20-R20-Q20</f>
        <v>0</v>
      </c>
      <c r="T20" s="1367"/>
      <c r="U20" s="615"/>
      <c r="V20" s="2103" t="b">
        <f>IF(OR(F20&gt;1,G20&gt;1,R20&gt;1,S20&gt;1),FALSE,TRUE)</f>
        <v>1</v>
      </c>
      <c r="W20" s="2103"/>
      <c r="AK20" s="3010" t="b">
        <f t="shared" si="1"/>
        <v>1</v>
      </c>
      <c r="AL20" s="3010" t="b">
        <f t="shared" si="2"/>
        <v>1</v>
      </c>
      <c r="AM20" s="3010" t="b">
        <f t="shared" si="3"/>
        <v>1</v>
      </c>
      <c r="AN20" s="3010" t="b">
        <f t="shared" si="4"/>
        <v>1</v>
      </c>
      <c r="AO20" s="3010" t="b">
        <f t="shared" si="5"/>
        <v>1</v>
      </c>
    </row>
    <row r="21" spans="1:42" s="24" customFormat="1" ht="12.5">
      <c r="A21" s="2427" t="str">
        <f t="shared" ca="1" si="7"/>
        <v/>
      </c>
      <c r="B21" s="114"/>
      <c r="C21" s="390" t="s">
        <v>1758</v>
      </c>
      <c r="D21" s="1151">
        <f t="shared" ref="D21:S21" si="13">SUM(D22:D23)</f>
        <v>0</v>
      </c>
      <c r="E21" s="1151" t="s">
        <v>3389</v>
      </c>
      <c r="F21" s="1151">
        <f>SUM(F22:F23)</f>
        <v>0</v>
      </c>
      <c r="G21" s="1365">
        <f t="shared" ref="G21:G48" si="14">D21-F21</f>
        <v>0</v>
      </c>
      <c r="H21" s="1151">
        <f t="shared" si="13"/>
        <v>0</v>
      </c>
      <c r="I21" s="1151">
        <f t="shared" si="13"/>
        <v>0</v>
      </c>
      <c r="J21" s="1151">
        <f t="shared" si="13"/>
        <v>0</v>
      </c>
      <c r="K21" s="1151">
        <f t="shared" si="13"/>
        <v>0</v>
      </c>
      <c r="L21" s="1151">
        <f t="shared" si="13"/>
        <v>0</v>
      </c>
      <c r="M21" s="1151">
        <f t="shared" si="13"/>
        <v>0</v>
      </c>
      <c r="N21" s="1151">
        <f t="shared" si="13"/>
        <v>0</v>
      </c>
      <c r="O21" s="1151">
        <f t="shared" si="13"/>
        <v>0</v>
      </c>
      <c r="P21" s="1365">
        <f t="shared" si="13"/>
        <v>0</v>
      </c>
      <c r="Q21" s="1151" t="s">
        <v>3389</v>
      </c>
      <c r="R21" s="1151">
        <f t="shared" si="13"/>
        <v>0</v>
      </c>
      <c r="S21" s="1365">
        <f t="shared" si="13"/>
        <v>0</v>
      </c>
      <c r="T21" s="1150" t="s">
        <v>3066</v>
      </c>
      <c r="U21" s="613"/>
      <c r="V21" s="2103"/>
      <c r="W21" s="2103"/>
      <c r="AK21" s="3010" t="b">
        <f t="shared" si="1"/>
        <v>1</v>
      </c>
      <c r="AL21" s="3010" t="b">
        <f t="shared" si="2"/>
        <v>1</v>
      </c>
      <c r="AM21" s="3010" t="b">
        <f t="shared" si="3"/>
        <v>1</v>
      </c>
      <c r="AN21" s="3010" t="b">
        <f t="shared" si="4"/>
        <v>1</v>
      </c>
      <c r="AO21" s="3010" t="b">
        <f t="shared" si="5"/>
        <v>1</v>
      </c>
    </row>
    <row r="22" spans="1:42" s="24" customFormat="1" ht="25">
      <c r="A22" s="2427" t="str">
        <f t="shared" ca="1" si="7"/>
        <v>R1=10310;COM=</v>
      </c>
      <c r="B22" s="114"/>
      <c r="C22" s="609" t="s">
        <v>5188</v>
      </c>
      <c r="D22" s="1325"/>
      <c r="E22" s="1151" t="s">
        <v>3389</v>
      </c>
      <c r="F22" s="1325"/>
      <c r="G22" s="1153">
        <f t="shared" si="14"/>
        <v>0</v>
      </c>
      <c r="H22" s="1325"/>
      <c r="I22" s="1151" t="s">
        <v>3389</v>
      </c>
      <c r="J22" s="1325"/>
      <c r="K22" s="1325"/>
      <c r="L22" s="1325"/>
      <c r="M22" s="1325"/>
      <c r="N22" s="1325"/>
      <c r="O22" s="1325"/>
      <c r="P22" s="1153">
        <f>SUM(D22,H22:O22)</f>
        <v>0</v>
      </c>
      <c r="Q22" s="1151" t="s">
        <v>3389</v>
      </c>
      <c r="R22" s="1325"/>
      <c r="S22" s="1153">
        <f>P22-R22</f>
        <v>0</v>
      </c>
      <c r="T22" s="1367"/>
      <c r="U22" s="615"/>
      <c r="V22" s="2103" t="b">
        <f>IF(OR(F22&gt;1,G22&gt;1,R22&gt;1,S22&gt;1),FALSE,TRUE)</f>
        <v>1</v>
      </c>
      <c r="W22" s="2103"/>
      <c r="AK22" s="3010" t="b">
        <f t="shared" si="1"/>
        <v>1</v>
      </c>
      <c r="AL22" s="3010" t="b">
        <f t="shared" si="2"/>
        <v>1</v>
      </c>
      <c r="AM22" s="3010" t="b">
        <f t="shared" si="3"/>
        <v>1</v>
      </c>
      <c r="AN22" s="3010" t="b">
        <f t="shared" si="4"/>
        <v>1</v>
      </c>
      <c r="AO22" s="3010" t="b">
        <f t="shared" si="5"/>
        <v>1</v>
      </c>
    </row>
    <row r="23" spans="1:42" s="24" customFormat="1" ht="25">
      <c r="A23" s="2427" t="str">
        <f t="shared" ca="1" si="7"/>
        <v>R1=10320;COM=</v>
      </c>
      <c r="B23" s="114"/>
      <c r="C23" s="609" t="s">
        <v>5189</v>
      </c>
      <c r="D23" s="1325"/>
      <c r="E23" s="1151" t="s">
        <v>3389</v>
      </c>
      <c r="F23" s="1325"/>
      <c r="G23" s="1153">
        <f t="shared" si="14"/>
        <v>0</v>
      </c>
      <c r="H23" s="1325"/>
      <c r="I23" s="1151" t="s">
        <v>3389</v>
      </c>
      <c r="J23" s="1325"/>
      <c r="K23" s="1325"/>
      <c r="L23" s="1325"/>
      <c r="M23" s="1325"/>
      <c r="N23" s="1325"/>
      <c r="O23" s="1325"/>
      <c r="P23" s="1153">
        <f>SUM(D23,H23:O23)</f>
        <v>0</v>
      </c>
      <c r="Q23" s="1151" t="s">
        <v>3389</v>
      </c>
      <c r="R23" s="1325"/>
      <c r="S23" s="1153">
        <f>P23-R23</f>
        <v>0</v>
      </c>
      <c r="T23" s="1367"/>
      <c r="U23" s="615"/>
      <c r="V23" s="2103" t="b">
        <f>IF(OR(F23&gt;1,G23&gt;1,R23&gt;1,S23&gt;1),FALSE,TRUE)</f>
        <v>1</v>
      </c>
      <c r="W23" s="2103"/>
      <c r="AK23" s="3010" t="b">
        <f t="shared" si="1"/>
        <v>1</v>
      </c>
      <c r="AL23" s="3010" t="b">
        <f t="shared" si="2"/>
        <v>1</v>
      </c>
      <c r="AM23" s="3010" t="b">
        <f t="shared" si="3"/>
        <v>1</v>
      </c>
      <c r="AN23" s="3010" t="b">
        <f t="shared" si="4"/>
        <v>1</v>
      </c>
      <c r="AO23" s="3010" t="b">
        <f t="shared" si="5"/>
        <v>1</v>
      </c>
    </row>
    <row r="24" spans="1:42" s="24" customFormat="1" ht="12.5">
      <c r="A24" s="2427" t="str">
        <f t="shared" ca="1" si="7"/>
        <v/>
      </c>
      <c r="B24" s="114"/>
      <c r="C24" s="390" t="s">
        <v>65</v>
      </c>
      <c r="D24" s="1151">
        <f t="shared" ref="D24:S24" si="15">SUM(D25:D26)</f>
        <v>0</v>
      </c>
      <c r="E24" s="1151" t="s">
        <v>3389</v>
      </c>
      <c r="F24" s="1151">
        <f>SUM(F25:F26)</f>
        <v>0</v>
      </c>
      <c r="G24" s="1365">
        <f t="shared" si="14"/>
        <v>0</v>
      </c>
      <c r="H24" s="1151">
        <f t="shared" si="15"/>
        <v>0</v>
      </c>
      <c r="I24" s="1151">
        <f t="shared" si="15"/>
        <v>0</v>
      </c>
      <c r="J24" s="1151">
        <f t="shared" si="15"/>
        <v>0</v>
      </c>
      <c r="K24" s="1151">
        <f t="shared" si="15"/>
        <v>0</v>
      </c>
      <c r="L24" s="1151">
        <f t="shared" si="15"/>
        <v>0</v>
      </c>
      <c r="M24" s="1151">
        <f t="shared" si="15"/>
        <v>0</v>
      </c>
      <c r="N24" s="1151">
        <f t="shared" si="15"/>
        <v>0</v>
      </c>
      <c r="O24" s="1151">
        <f t="shared" si="15"/>
        <v>0</v>
      </c>
      <c r="P24" s="1365">
        <f t="shared" si="15"/>
        <v>0</v>
      </c>
      <c r="Q24" s="1151" t="s">
        <v>3389</v>
      </c>
      <c r="R24" s="1151">
        <f t="shared" si="15"/>
        <v>0</v>
      </c>
      <c r="S24" s="1365">
        <f t="shared" si="15"/>
        <v>0</v>
      </c>
      <c r="T24" s="1150" t="s">
        <v>3066</v>
      </c>
      <c r="U24" s="613"/>
      <c r="V24" s="2103"/>
      <c r="W24" s="2103"/>
      <c r="AE24" s="24" t="s">
        <v>5900</v>
      </c>
      <c r="AK24" s="3010" t="b">
        <f t="shared" si="1"/>
        <v>1</v>
      </c>
      <c r="AL24" s="3010" t="b">
        <f t="shared" si="2"/>
        <v>1</v>
      </c>
      <c r="AM24" s="3010" t="b">
        <f t="shared" si="3"/>
        <v>1</v>
      </c>
      <c r="AN24" s="3010" t="b">
        <f t="shared" si="4"/>
        <v>1</v>
      </c>
      <c r="AO24" s="3010" t="b">
        <f t="shared" si="5"/>
        <v>1</v>
      </c>
    </row>
    <row r="25" spans="1:42" s="24" customFormat="1" ht="12.5">
      <c r="A25" s="2427" t="str">
        <f t="shared" ca="1" si="7"/>
        <v>R1=10510;COM=</v>
      </c>
      <c r="B25" s="114"/>
      <c r="C25" s="609" t="s">
        <v>66</v>
      </c>
      <c r="D25" s="1325"/>
      <c r="E25" s="1151" t="s">
        <v>3389</v>
      </c>
      <c r="F25" s="1325"/>
      <c r="G25" s="1153">
        <f t="shared" si="14"/>
        <v>0</v>
      </c>
      <c r="H25" s="1325"/>
      <c r="I25" s="1151" t="s">
        <v>3389</v>
      </c>
      <c r="J25" s="1325"/>
      <c r="K25" s="1325"/>
      <c r="L25" s="1325"/>
      <c r="M25" s="1325"/>
      <c r="N25" s="1325"/>
      <c r="O25" s="1325"/>
      <c r="P25" s="1153">
        <f>SUM(D25,H25:O25)</f>
        <v>0</v>
      </c>
      <c r="Q25" s="1151" t="s">
        <v>3389</v>
      </c>
      <c r="R25" s="1325"/>
      <c r="S25" s="1153">
        <f>P25-R25</f>
        <v>0</v>
      </c>
      <c r="T25" s="1367"/>
      <c r="U25" s="615"/>
      <c r="V25" s="2103" t="b">
        <f>IF(OR(F25&gt;1,G25&gt;1,R25&gt;1,S25&gt;1),FALSE,TRUE)</f>
        <v>1</v>
      </c>
      <c r="W25" s="2103"/>
      <c r="AE25" s="24" t="s">
        <v>9698</v>
      </c>
      <c r="AK25" s="3010" t="b">
        <f t="shared" si="1"/>
        <v>1</v>
      </c>
      <c r="AL25" s="3010" t="b">
        <f t="shared" si="2"/>
        <v>1</v>
      </c>
      <c r="AM25" s="3010" t="b">
        <f t="shared" si="3"/>
        <v>1</v>
      </c>
      <c r="AN25" s="3010" t="b">
        <f t="shared" si="4"/>
        <v>1</v>
      </c>
      <c r="AO25" s="3010" t="b">
        <f t="shared" si="5"/>
        <v>1</v>
      </c>
    </row>
    <row r="26" spans="1:42" s="24" customFormat="1" ht="25">
      <c r="A26" s="2427" t="str">
        <f t="shared" ca="1" si="7"/>
        <v>R1=10520;COM=</v>
      </c>
      <c r="B26" s="114"/>
      <c r="C26" s="609" t="s">
        <v>67</v>
      </c>
      <c r="D26" s="1325"/>
      <c r="E26" s="1151" t="s">
        <v>3389</v>
      </c>
      <c r="F26" s="1325"/>
      <c r="G26" s="1153">
        <f t="shared" si="14"/>
        <v>0</v>
      </c>
      <c r="H26" s="1325"/>
      <c r="I26" s="1151" t="s">
        <v>3389</v>
      </c>
      <c r="J26" s="1325"/>
      <c r="K26" s="1325"/>
      <c r="L26" s="1325"/>
      <c r="M26" s="1325"/>
      <c r="N26" s="1325"/>
      <c r="O26" s="1325"/>
      <c r="P26" s="1153">
        <f>SUM(D26,H26:O26)</f>
        <v>0</v>
      </c>
      <c r="Q26" s="1151" t="s">
        <v>3389</v>
      </c>
      <c r="R26" s="1325"/>
      <c r="S26" s="1153">
        <f>P26-R26</f>
        <v>0</v>
      </c>
      <c r="T26" s="1367"/>
      <c r="U26" s="615"/>
      <c r="V26" s="2103" t="b">
        <f>IF(OR(F26&gt;1,G26&gt;1,R26&gt;1,S26&gt;1),FALSE,TRUE)</f>
        <v>1</v>
      </c>
      <c r="W26" s="2103"/>
      <c r="AE26" s="3211" t="b">
        <f ca="1">ABS(Y31+AA31+Y32+AA32+Y33+AA33+AC33+AC35+Y34+AA34+Y35+AA35+Y36+AA36+Y37+AA37+Y38+Y39+AA38+AA39+AC38+Y41+AC43+AA41+Y42+AA42+W31+AD36+W33+Y40+AA40+Y43+AA43+Y44+AA44+AE35)&lt;=5</f>
        <v>1</v>
      </c>
      <c r="AK26" s="3010" t="b">
        <f t="shared" si="1"/>
        <v>1</v>
      </c>
      <c r="AL26" s="3010" t="b">
        <f t="shared" si="2"/>
        <v>1</v>
      </c>
      <c r="AM26" s="3010" t="b">
        <f t="shared" si="3"/>
        <v>1</v>
      </c>
      <c r="AN26" s="3010" t="b">
        <f t="shared" si="4"/>
        <v>1</v>
      </c>
      <c r="AO26" s="3010" t="b">
        <f t="shared" si="5"/>
        <v>1</v>
      </c>
    </row>
    <row r="27" spans="1:42" s="173" customFormat="1" ht="12.5">
      <c r="A27" s="2427" t="str">
        <f t="shared" ca="1" si="7"/>
        <v/>
      </c>
      <c r="B27" s="114"/>
      <c r="C27" s="390" t="s">
        <v>6924</v>
      </c>
      <c r="D27" s="1365">
        <f t="shared" ref="D27" si="16">SUM(D28:D29)</f>
        <v>0</v>
      </c>
      <c r="E27" s="1365" t="s">
        <v>3389</v>
      </c>
      <c r="F27" s="1365">
        <f>SUM(F28:F29)</f>
        <v>0</v>
      </c>
      <c r="G27" s="1153">
        <f t="shared" si="14"/>
        <v>0</v>
      </c>
      <c r="H27" s="1365">
        <f t="shared" ref="H27:P27" si="17">SUM(H28:H29)</f>
        <v>0</v>
      </c>
      <c r="I27" s="1365">
        <f t="shared" si="17"/>
        <v>0</v>
      </c>
      <c r="J27" s="1365">
        <f t="shared" si="17"/>
        <v>0</v>
      </c>
      <c r="K27" s="1365">
        <f t="shared" si="17"/>
        <v>0</v>
      </c>
      <c r="L27" s="1365">
        <f t="shared" si="17"/>
        <v>0</v>
      </c>
      <c r="M27" s="1365">
        <f t="shared" si="17"/>
        <v>0</v>
      </c>
      <c r="N27" s="1365">
        <f t="shared" si="17"/>
        <v>0</v>
      </c>
      <c r="O27" s="1365">
        <f t="shared" si="17"/>
        <v>0</v>
      </c>
      <c r="P27" s="1365">
        <f t="shared" si="17"/>
        <v>0</v>
      </c>
      <c r="Q27" s="1365" t="s">
        <v>3389</v>
      </c>
      <c r="R27" s="1365">
        <f t="shared" ref="R27:S27" si="18">SUM(R28:R29)</f>
        <v>0</v>
      </c>
      <c r="S27" s="1365">
        <f t="shared" si="18"/>
        <v>0</v>
      </c>
      <c r="T27" s="2495" t="s">
        <v>3066</v>
      </c>
      <c r="U27" s="2494"/>
      <c r="V27" s="2493"/>
      <c r="W27" s="2493"/>
      <c r="AK27" s="3010" t="b">
        <f t="shared" si="1"/>
        <v>1</v>
      </c>
      <c r="AL27" s="3010" t="b">
        <f t="shared" si="2"/>
        <v>1</v>
      </c>
      <c r="AM27" s="3010" t="b">
        <f t="shared" si="3"/>
        <v>1</v>
      </c>
      <c r="AN27" s="3010" t="b">
        <f t="shared" si="4"/>
        <v>1</v>
      </c>
      <c r="AO27" s="3010" t="b">
        <f t="shared" si="5"/>
        <v>1</v>
      </c>
    </row>
    <row r="28" spans="1:42" s="24" customFormat="1" ht="12.5">
      <c r="A28" s="2427" t="str">
        <f t="shared" ca="1" si="7"/>
        <v>R1=10610;COM=</v>
      </c>
      <c r="B28" s="114"/>
      <c r="C28" s="609" t="s">
        <v>6922</v>
      </c>
      <c r="D28" s="1325"/>
      <c r="E28" s="1151" t="s">
        <v>3389</v>
      </c>
      <c r="F28" s="1325"/>
      <c r="G28" s="1153">
        <f t="shared" si="14"/>
        <v>0</v>
      </c>
      <c r="H28" s="1325"/>
      <c r="I28" s="1151" t="s">
        <v>3389</v>
      </c>
      <c r="J28" s="1325"/>
      <c r="K28" s="1325"/>
      <c r="L28" s="1325"/>
      <c r="M28" s="1325"/>
      <c r="N28" s="1325"/>
      <c r="O28" s="1325"/>
      <c r="P28" s="1153">
        <f>SUM(D28,H28:O28)</f>
        <v>0</v>
      </c>
      <c r="Q28" s="1151" t="s">
        <v>3389</v>
      </c>
      <c r="R28" s="1325"/>
      <c r="S28" s="1153">
        <f>P28-R28</f>
        <v>0</v>
      </c>
      <c r="T28" s="1367"/>
      <c r="U28" s="615"/>
      <c r="V28" s="2103" t="b">
        <f>IF(OR(F28&gt;1,G28&gt;1,R28&gt;1,S28&gt;1),FALSE,TRUE)</f>
        <v>1</v>
      </c>
      <c r="W28" s="2103"/>
      <c r="AK28" s="3010" t="b">
        <f t="shared" si="1"/>
        <v>1</v>
      </c>
      <c r="AL28" s="3010" t="b">
        <f t="shared" si="2"/>
        <v>1</v>
      </c>
      <c r="AM28" s="3010" t="b">
        <f t="shared" si="3"/>
        <v>1</v>
      </c>
      <c r="AN28" s="3010" t="b">
        <f t="shared" si="4"/>
        <v>1</v>
      </c>
      <c r="AO28" s="3010" t="b">
        <f t="shared" si="5"/>
        <v>1</v>
      </c>
    </row>
    <row r="29" spans="1:42" s="24" customFormat="1" ht="12.5">
      <c r="A29" s="2427" t="str">
        <f t="shared" ca="1" si="7"/>
        <v>R1=10620;COM=</v>
      </c>
      <c r="B29" s="114"/>
      <c r="C29" s="609" t="s">
        <v>6923</v>
      </c>
      <c r="D29" s="1325"/>
      <c r="E29" s="1151" t="s">
        <v>3389</v>
      </c>
      <c r="F29" s="1325"/>
      <c r="G29" s="1153">
        <f t="shared" si="14"/>
        <v>0</v>
      </c>
      <c r="H29" s="1325"/>
      <c r="I29" s="1151" t="s">
        <v>3389</v>
      </c>
      <c r="J29" s="1325"/>
      <c r="K29" s="1325"/>
      <c r="L29" s="1325"/>
      <c r="M29" s="1325"/>
      <c r="N29" s="1325"/>
      <c r="O29" s="1325"/>
      <c r="P29" s="1153">
        <f>SUM(D29,H29:O29)</f>
        <v>0</v>
      </c>
      <c r="Q29" s="1151" t="s">
        <v>3389</v>
      </c>
      <c r="R29" s="1325"/>
      <c r="S29" s="1153">
        <f>P29-R29</f>
        <v>0</v>
      </c>
      <c r="T29" s="1367"/>
      <c r="U29" s="615"/>
      <c r="V29" s="2103" t="b">
        <f>IF(OR(F29&gt;1,G29&gt;1,R29&gt;1,S29&gt;1),FALSE,TRUE)</f>
        <v>1</v>
      </c>
      <c r="W29" s="2103"/>
      <c r="AK29" s="3010" t="b">
        <f t="shared" si="1"/>
        <v>1</v>
      </c>
      <c r="AL29" s="3010" t="b">
        <f t="shared" si="2"/>
        <v>1</v>
      </c>
      <c r="AM29" s="3010" t="b">
        <f t="shared" si="3"/>
        <v>1</v>
      </c>
      <c r="AN29" s="3010" t="b">
        <f t="shared" si="4"/>
        <v>1</v>
      </c>
      <c r="AO29" s="3010" t="b">
        <f t="shared" si="5"/>
        <v>1</v>
      </c>
    </row>
    <row r="30" spans="1:42" s="24" customFormat="1" ht="100">
      <c r="A30" s="2427" t="str">
        <f t="shared" ca="1" si="7"/>
        <v/>
      </c>
      <c r="B30" s="114"/>
      <c r="C30" s="390" t="s">
        <v>7648</v>
      </c>
      <c r="D30" s="1365">
        <f t="shared" ref="D30" si="19">SUM(D31:D32)</f>
        <v>0</v>
      </c>
      <c r="E30" s="1365" t="s">
        <v>3389</v>
      </c>
      <c r="F30" s="1365">
        <f>SUM(F31:F32)</f>
        <v>0</v>
      </c>
      <c r="G30" s="1915">
        <f t="shared" si="14"/>
        <v>0</v>
      </c>
      <c r="H30" s="1365">
        <f t="shared" ref="H30:P30" si="20">SUM(H31:H32)</f>
        <v>0</v>
      </c>
      <c r="I30" s="1365">
        <f t="shared" si="20"/>
        <v>0</v>
      </c>
      <c r="J30" s="1365">
        <f t="shared" si="20"/>
        <v>0</v>
      </c>
      <c r="K30" s="1365">
        <f t="shared" si="20"/>
        <v>0</v>
      </c>
      <c r="L30" s="1365">
        <f t="shared" si="20"/>
        <v>0</v>
      </c>
      <c r="M30" s="1365">
        <f t="shared" si="20"/>
        <v>0</v>
      </c>
      <c r="N30" s="1365">
        <f t="shared" si="20"/>
        <v>0</v>
      </c>
      <c r="O30" s="1365">
        <f t="shared" si="20"/>
        <v>0</v>
      </c>
      <c r="P30" s="1365">
        <f t="shared" si="20"/>
        <v>0</v>
      </c>
      <c r="Q30" s="1365" t="s">
        <v>3389</v>
      </c>
      <c r="R30" s="1365">
        <f t="shared" ref="R30:S30" si="21">SUM(R31:R32)</f>
        <v>0</v>
      </c>
      <c r="S30" s="1365">
        <f t="shared" si="21"/>
        <v>0</v>
      </c>
      <c r="T30" s="2495" t="s">
        <v>3066</v>
      </c>
      <c r="U30" s="614"/>
      <c r="V30" s="3010"/>
      <c r="W30" s="2103" t="s">
        <v>2843</v>
      </c>
      <c r="X30" s="3984">
        <v>96</v>
      </c>
      <c r="Y30" s="3985"/>
      <c r="Z30" s="3984" t="s">
        <v>3526</v>
      </c>
      <c r="AA30" s="3985"/>
      <c r="AB30" s="3984" t="s">
        <v>220</v>
      </c>
      <c r="AC30" s="3985"/>
      <c r="AD30" s="2969" t="s">
        <v>8796</v>
      </c>
      <c r="AE30" s="3573" t="s">
        <v>15096</v>
      </c>
      <c r="AF30" s="3103" t="s">
        <v>9697</v>
      </c>
      <c r="AL30" s="3010" t="b">
        <f t="shared" ref="AL30:AL44" si="22">H30&gt;=0</f>
        <v>1</v>
      </c>
      <c r="AM30" s="3010" t="b">
        <f t="shared" ref="AM30:AM44" si="23">I30&gt;=0</f>
        <v>1</v>
      </c>
      <c r="AN30" s="3010" t="b">
        <f t="shared" ref="AN30:AN44" si="24">J30&gt;=0</f>
        <v>1</v>
      </c>
      <c r="AO30" s="3010" t="b">
        <f t="shared" ref="AO30:AO44" si="25">K30&lt;=0</f>
        <v>1</v>
      </c>
      <c r="AP30" s="3010" t="b">
        <f t="shared" ref="AP30:AP44" si="26">M30&lt;=0</f>
        <v>1</v>
      </c>
    </row>
    <row r="31" spans="1:42" s="24" customFormat="1" ht="25">
      <c r="A31" s="2427" t="str">
        <f t="shared" ca="1" si="7"/>
        <v>R1=10710;COM=</v>
      </c>
      <c r="B31" s="114"/>
      <c r="C31" s="609" t="s">
        <v>7649</v>
      </c>
      <c r="D31" s="1325"/>
      <c r="E31" s="1365" t="s">
        <v>3389</v>
      </c>
      <c r="F31" s="1325"/>
      <c r="G31" s="1915">
        <f t="shared" si="14"/>
        <v>0</v>
      </c>
      <c r="H31" s="1325"/>
      <c r="I31" s="1151" t="s">
        <v>3389</v>
      </c>
      <c r="J31" s="1325"/>
      <c r="K31" s="1325"/>
      <c r="L31" s="1325"/>
      <c r="M31" s="1325"/>
      <c r="N31" s="1325"/>
      <c r="O31" s="1325"/>
      <c r="P31" s="1915">
        <f>SUM(D31,H31:O31)</f>
        <v>0</v>
      </c>
      <c r="Q31" s="1365" t="s">
        <v>3389</v>
      </c>
      <c r="R31" s="1325"/>
      <c r="S31" s="1915">
        <f>P31-R31</f>
        <v>0</v>
      </c>
      <c r="T31" s="1367"/>
      <c r="U31" s="615"/>
      <c r="V31" s="3010" t="b">
        <f>IF(OR(F31&gt;1,G31&gt;1,R31&gt;1,S31&gt;1),FALSE,TRUE)</f>
        <v>1</v>
      </c>
      <c r="W31" s="24">
        <f>SUMIFS('84_расш'!D9:D100,'84_расш'!H9:H100,"96*",'84_расш'!D9:D100,"&gt;0")+SUMIFS('84_расш'!E9:E100,'84_расш'!H9:H100,"96*",'84_расш'!E9:E100,"&lt;0")+SUMIFS('84_расш'!F9:F100,'84_расш'!H9:H100,"96*",'84_расш'!F9:F100,"&gt;0")</f>
        <v>0</v>
      </c>
      <c r="X31" s="2187" t="s">
        <v>5890</v>
      </c>
      <c r="Y31" s="2186">
        <f>K37</f>
        <v>0</v>
      </c>
      <c r="Z31" s="2187" t="s">
        <v>1463</v>
      </c>
      <c r="AA31" s="2186">
        <f ca="1">SUMIF('91_02'!$C$46:$F$65547,Z31,'91_02'!$F$46:$F$65547)</f>
        <v>0</v>
      </c>
      <c r="AB31" s="3992" t="s">
        <v>3389</v>
      </c>
      <c r="AC31" s="3993"/>
      <c r="AD31" s="2970" t="s">
        <v>3389</v>
      </c>
      <c r="AE31" s="3574"/>
      <c r="AF31" s="3114" t="b">
        <f ca="1">ABS(Y31+AA31)&lt;=5</f>
        <v>1</v>
      </c>
      <c r="AL31" s="3010" t="b">
        <f t="shared" si="22"/>
        <v>1</v>
      </c>
      <c r="AM31" s="3010" t="b">
        <f t="shared" si="23"/>
        <v>1</v>
      </c>
      <c r="AN31" s="3010" t="b">
        <f t="shared" si="24"/>
        <v>1</v>
      </c>
      <c r="AO31" s="3010" t="b">
        <f t="shared" si="25"/>
        <v>1</v>
      </c>
      <c r="AP31" s="3010" t="b">
        <f t="shared" si="26"/>
        <v>1</v>
      </c>
    </row>
    <row r="32" spans="1:42" s="24" customFormat="1" ht="25">
      <c r="A32" s="2427" t="str">
        <f t="shared" ca="1" si="7"/>
        <v>R1=10720;COM=</v>
      </c>
      <c r="B32" s="114"/>
      <c r="C32" s="609" t="s">
        <v>7650</v>
      </c>
      <c r="D32" s="1325"/>
      <c r="E32" s="1365" t="s">
        <v>3389</v>
      </c>
      <c r="F32" s="1325"/>
      <c r="G32" s="1915">
        <f t="shared" si="14"/>
        <v>0</v>
      </c>
      <c r="H32" s="1325"/>
      <c r="I32" s="1151" t="s">
        <v>3389</v>
      </c>
      <c r="J32" s="1325"/>
      <c r="K32" s="1325"/>
      <c r="L32" s="1325"/>
      <c r="M32" s="1325"/>
      <c r="N32" s="1325"/>
      <c r="O32" s="1325"/>
      <c r="P32" s="1915">
        <f>SUM(D32,H32:O32)</f>
        <v>0</v>
      </c>
      <c r="Q32" s="1365" t="s">
        <v>3389</v>
      </c>
      <c r="R32" s="1325"/>
      <c r="S32" s="1915">
        <f>P32-R32</f>
        <v>0</v>
      </c>
      <c r="T32" s="1367"/>
      <c r="U32" s="615"/>
      <c r="V32" s="3010" t="b">
        <f t="shared" ref="V32" si="27">IF(OR(F32&gt;1,G32&gt;1,R32&gt;1,S32&gt;1),FALSE,TRUE)</f>
        <v>1</v>
      </c>
      <c r="W32" s="3102" t="s">
        <v>9678</v>
      </c>
      <c r="X32" s="2187" t="s">
        <v>5891</v>
      </c>
      <c r="Y32" s="2186">
        <f>K38</f>
        <v>0</v>
      </c>
      <c r="Z32" s="2187" t="s">
        <v>1407</v>
      </c>
      <c r="AA32" s="2186">
        <f ca="1">SUMIF('91_02'!$C$46:$F$65547,Z32,'91_02'!$F$46:$F$65547)</f>
        <v>0</v>
      </c>
      <c r="AB32" s="3992" t="s">
        <v>3389</v>
      </c>
      <c r="AC32" s="3993"/>
      <c r="AD32" s="2970" t="s">
        <v>3389</v>
      </c>
      <c r="AE32" s="3574"/>
      <c r="AF32" s="3114" t="b">
        <f ca="1">ABS(Y32+AA32)&lt;=5</f>
        <v>1</v>
      </c>
      <c r="AL32" s="3010" t="b">
        <f t="shared" si="22"/>
        <v>1</v>
      </c>
      <c r="AM32" s="3010" t="b">
        <f t="shared" si="23"/>
        <v>1</v>
      </c>
      <c r="AN32" s="3010" t="b">
        <f t="shared" si="24"/>
        <v>1</v>
      </c>
      <c r="AO32" s="3010" t="b">
        <f t="shared" si="25"/>
        <v>1</v>
      </c>
      <c r="AP32" s="3010" t="b">
        <f t="shared" si="26"/>
        <v>1</v>
      </c>
    </row>
    <row r="33" spans="1:42" s="24" customFormat="1" ht="12.5">
      <c r="A33" s="2427" t="str">
        <f t="shared" ca="1" si="7"/>
        <v/>
      </c>
      <c r="B33" s="114"/>
      <c r="C33" s="390" t="s">
        <v>10022</v>
      </c>
      <c r="D33" s="1365">
        <f t="shared" ref="D33" si="28">SUM(D34:D35)</f>
        <v>0</v>
      </c>
      <c r="E33" s="1365" t="s">
        <v>3389</v>
      </c>
      <c r="F33" s="1365">
        <f>SUM(F34:F35)</f>
        <v>0</v>
      </c>
      <c r="G33" s="1153">
        <f t="shared" ref="G33:G35" si="29">D33-F33</f>
        <v>0</v>
      </c>
      <c r="H33" s="1365">
        <f t="shared" ref="H33:P33" si="30">SUM(H34:H35)</f>
        <v>0</v>
      </c>
      <c r="I33" s="1365">
        <f t="shared" si="30"/>
        <v>0</v>
      </c>
      <c r="J33" s="1365">
        <f t="shared" si="30"/>
        <v>0</v>
      </c>
      <c r="K33" s="1365">
        <f t="shared" si="30"/>
        <v>0</v>
      </c>
      <c r="L33" s="1365">
        <f t="shared" si="30"/>
        <v>0</v>
      </c>
      <c r="M33" s="1365">
        <f t="shared" si="30"/>
        <v>0</v>
      </c>
      <c r="N33" s="1365">
        <f t="shared" si="30"/>
        <v>0</v>
      </c>
      <c r="O33" s="1365">
        <f t="shared" si="30"/>
        <v>0</v>
      </c>
      <c r="P33" s="1365">
        <f t="shared" si="30"/>
        <v>0</v>
      </c>
      <c r="Q33" s="1365" t="s">
        <v>3389</v>
      </c>
      <c r="R33" s="1365">
        <f t="shared" ref="R33:S33" si="31">SUM(R34:R35)</f>
        <v>0</v>
      </c>
      <c r="S33" s="1365">
        <f t="shared" si="31"/>
        <v>0</v>
      </c>
      <c r="T33" s="2495" t="s">
        <v>3066</v>
      </c>
      <c r="U33" s="614"/>
      <c r="V33" s="2103"/>
      <c r="W33" s="24">
        <f>SUMIFS(Прочие_расш!$J$34:$J$1502,Прочие_расш!$G$34:$G$1502,"{52359900} Прочие оценочные обязательства")</f>
        <v>0</v>
      </c>
      <c r="X33" s="2187" t="s">
        <v>5859</v>
      </c>
      <c r="Y33" s="2186">
        <f t="shared" ref="Y33:Y39" si="32">K39</f>
        <v>0</v>
      </c>
      <c r="Z33" s="2187" t="s">
        <v>1415</v>
      </c>
      <c r="AA33" s="2186">
        <f ca="1">SUMIF('91_02'!$C$46:$F$65547,Z33,'91_02'!$F$46:$F$65547)</f>
        <v>0</v>
      </c>
      <c r="AB33" s="2187" t="s">
        <v>206</v>
      </c>
      <c r="AC33" s="2186">
        <f>SUMIF(Затраты_Вход_1!$C$17:$C$65536,"{52350300} Оценочные обязательства по обращению с радиоактивными и прочими отходами",Затраты_Вход_1!$H$17:$H$65536)</f>
        <v>0</v>
      </c>
      <c r="AD33" s="2970" t="s">
        <v>3389</v>
      </c>
      <c r="AE33" s="3574"/>
      <c r="AF33" s="3114" t="b">
        <f ca="1">ABS(Y33+AA33+AC33)&lt;=5</f>
        <v>1</v>
      </c>
      <c r="AL33" s="3010" t="b">
        <f t="shared" si="22"/>
        <v>1</v>
      </c>
      <c r="AM33" s="3010" t="b">
        <f t="shared" si="23"/>
        <v>1</v>
      </c>
      <c r="AN33" s="3010" t="b">
        <f t="shared" si="24"/>
        <v>1</v>
      </c>
      <c r="AO33" s="3010" t="b">
        <f t="shared" si="25"/>
        <v>1</v>
      </c>
      <c r="AP33" s="3010" t="b">
        <f t="shared" si="26"/>
        <v>1</v>
      </c>
    </row>
    <row r="34" spans="1:42" s="24" customFormat="1" ht="12.5">
      <c r="A34" s="2427" t="str">
        <f t="shared" ca="1" si="7"/>
        <v>R1=10810;COM=</v>
      </c>
      <c r="B34" s="114"/>
      <c r="C34" s="609" t="s">
        <v>10023</v>
      </c>
      <c r="D34" s="1325"/>
      <c r="E34" s="1365" t="s">
        <v>3389</v>
      </c>
      <c r="F34" s="1325"/>
      <c r="G34" s="1153">
        <f t="shared" si="29"/>
        <v>0</v>
      </c>
      <c r="H34" s="1325"/>
      <c r="I34" s="1151" t="s">
        <v>3389</v>
      </c>
      <c r="J34" s="1325"/>
      <c r="K34" s="1325"/>
      <c r="L34" s="1325"/>
      <c r="M34" s="1325"/>
      <c r="N34" s="1325"/>
      <c r="O34" s="1325"/>
      <c r="P34" s="1153">
        <f>SUM(D34,H34:O34)</f>
        <v>0</v>
      </c>
      <c r="Q34" s="1365" t="s">
        <v>3389</v>
      </c>
      <c r="R34" s="1325"/>
      <c r="S34" s="1153">
        <f>P34-R34</f>
        <v>0</v>
      </c>
      <c r="T34" s="1367"/>
      <c r="U34" s="615"/>
      <c r="V34" s="2103" t="b">
        <f>IF(OR(F34&gt;1,G34&gt;1,R34&gt;1,S34&gt;1),FALSE,TRUE)</f>
        <v>1</v>
      </c>
      <c r="W34" s="2103"/>
      <c r="X34" s="2187" t="s">
        <v>5892</v>
      </c>
      <c r="Y34" s="2186">
        <f t="shared" si="32"/>
        <v>0</v>
      </c>
      <c r="Z34" s="2187" t="s">
        <v>1408</v>
      </c>
      <c r="AA34" s="2186">
        <f ca="1">SUMIF('91_02'!$C$46:$F$65547,Z34,'91_02'!$F$46:$F$65547)</f>
        <v>0</v>
      </c>
      <c r="AB34" s="3986" t="s">
        <v>3389</v>
      </c>
      <c r="AC34" s="3986"/>
      <c r="AD34" s="2970" t="s">
        <v>3389</v>
      </c>
      <c r="AE34" s="3574"/>
      <c r="AF34" s="3114" t="b">
        <f ca="1">ABS(Y34+AA34)&lt;=5</f>
        <v>1</v>
      </c>
      <c r="AL34" s="3010" t="b">
        <f t="shared" si="22"/>
        <v>1</v>
      </c>
      <c r="AM34" s="3010" t="b">
        <f t="shared" si="23"/>
        <v>1</v>
      </c>
      <c r="AN34" s="3010" t="b">
        <f t="shared" si="24"/>
        <v>1</v>
      </c>
      <c r="AO34" s="3010" t="b">
        <f t="shared" si="25"/>
        <v>1</v>
      </c>
      <c r="AP34" s="3010" t="b">
        <f t="shared" si="26"/>
        <v>1</v>
      </c>
    </row>
    <row r="35" spans="1:42" s="24" customFormat="1" ht="37.5">
      <c r="A35" s="2427" t="str">
        <f t="shared" ca="1" si="7"/>
        <v>R1=10820;COM=</v>
      </c>
      <c r="B35" s="114"/>
      <c r="C35" s="609" t="s">
        <v>10024</v>
      </c>
      <c r="D35" s="1325"/>
      <c r="E35" s="1365" t="s">
        <v>3389</v>
      </c>
      <c r="F35" s="1325"/>
      <c r="G35" s="1153">
        <f t="shared" si="29"/>
        <v>0</v>
      </c>
      <c r="H35" s="1325"/>
      <c r="I35" s="1151" t="s">
        <v>3389</v>
      </c>
      <c r="J35" s="1325"/>
      <c r="K35" s="1325"/>
      <c r="L35" s="1325"/>
      <c r="M35" s="1325"/>
      <c r="N35" s="1325"/>
      <c r="O35" s="1325"/>
      <c r="P35" s="1153">
        <f>SUM(D35,H35:O35)</f>
        <v>0</v>
      </c>
      <c r="Q35" s="1365" t="s">
        <v>3389</v>
      </c>
      <c r="R35" s="1325"/>
      <c r="S35" s="1153">
        <f>P35-R35</f>
        <v>0</v>
      </c>
      <c r="T35" s="1367"/>
      <c r="U35" s="615"/>
      <c r="V35" s="2103" t="b">
        <f t="shared" ref="V35:V48" si="33">IF(OR(F35&gt;1,G35&gt;1,R35&gt;1,S35&gt;1),FALSE,TRUE)</f>
        <v>1</v>
      </c>
      <c r="W35" s="2103"/>
      <c r="X35" s="2187" t="s">
        <v>5893</v>
      </c>
      <c r="Y35" s="2186">
        <f t="shared" si="32"/>
        <v>0</v>
      </c>
      <c r="Z35" s="2187" t="s">
        <v>1409</v>
      </c>
      <c r="AA35" s="2186">
        <f ca="1">SUMIF('91_02'!$C$46:$F$65547,Z35,'91_02'!$F$46:$F$65547)</f>
        <v>0</v>
      </c>
      <c r="AB35" s="3210" t="s">
        <v>9802</v>
      </c>
      <c r="AC35" s="3210">
        <f ca="1">SUMIF(Затраты_Вход_1!$C$17:$H$65536,AB35,Затраты_Вход_1!$H$17:$H$65536)</f>
        <v>0</v>
      </c>
      <c r="AD35" s="2970" t="s">
        <v>3389</v>
      </c>
      <c r="AE35" s="2186">
        <f>Затраты_Выход!K22</f>
        <v>0</v>
      </c>
      <c r="AF35" s="3114" t="b">
        <f ca="1">ABS(Y35+AA35+AC35+AE35)&lt;=5</f>
        <v>1</v>
      </c>
      <c r="AL35" s="3010" t="b">
        <f t="shared" si="22"/>
        <v>1</v>
      </c>
      <c r="AM35" s="3010" t="b">
        <f t="shared" si="23"/>
        <v>1</v>
      </c>
      <c r="AN35" s="3010" t="b">
        <f t="shared" si="24"/>
        <v>1</v>
      </c>
      <c r="AO35" s="3010" t="b">
        <f t="shared" si="25"/>
        <v>1</v>
      </c>
      <c r="AP35" s="3010" t="b">
        <f t="shared" si="26"/>
        <v>1</v>
      </c>
    </row>
    <row r="36" spans="1:42" s="24" customFormat="1" ht="13">
      <c r="A36" s="2427" t="str">
        <f t="shared" ca="1" si="7"/>
        <v/>
      </c>
      <c r="B36" s="114"/>
      <c r="C36" s="608" t="s">
        <v>1759</v>
      </c>
      <c r="D36" s="1151">
        <f t="shared" ref="D36:O36" si="34">SUM(D37:D48)</f>
        <v>0</v>
      </c>
      <c r="E36" s="1151" t="s">
        <v>3389</v>
      </c>
      <c r="F36" s="1151">
        <f>SUM(F37:F48)</f>
        <v>0</v>
      </c>
      <c r="G36" s="1365">
        <f t="shared" si="14"/>
        <v>0</v>
      </c>
      <c r="H36" s="1151">
        <f>SUM(H37:H48)</f>
        <v>0</v>
      </c>
      <c r="I36" s="1151">
        <f t="shared" si="34"/>
        <v>0</v>
      </c>
      <c r="J36" s="1151">
        <f t="shared" si="34"/>
        <v>0</v>
      </c>
      <c r="K36" s="1151">
        <f t="shared" si="34"/>
        <v>0</v>
      </c>
      <c r="L36" s="1151">
        <f t="shared" si="34"/>
        <v>0</v>
      </c>
      <c r="M36" s="1151">
        <f t="shared" si="34"/>
        <v>0</v>
      </c>
      <c r="N36" s="1151">
        <f t="shared" si="34"/>
        <v>0</v>
      </c>
      <c r="O36" s="1151">
        <f t="shared" si="34"/>
        <v>0</v>
      </c>
      <c r="P36" s="1365">
        <f>SUM(P37:P48)</f>
        <v>0</v>
      </c>
      <c r="Q36" s="1151" t="s">
        <v>3389</v>
      </c>
      <c r="R36" s="1151">
        <f>SUM(R37:R48)</f>
        <v>0</v>
      </c>
      <c r="S36" s="1365">
        <f>SUM(S37:S48)</f>
        <v>0</v>
      </c>
      <c r="T36" s="1150" t="s">
        <v>3066</v>
      </c>
      <c r="U36" s="615"/>
      <c r="V36" s="2103" t="b">
        <f t="shared" si="33"/>
        <v>1</v>
      </c>
      <c r="W36" s="2103"/>
      <c r="X36" s="2187" t="s">
        <v>5894</v>
      </c>
      <c r="Y36" s="2186">
        <f t="shared" si="32"/>
        <v>0</v>
      </c>
      <c r="Z36" s="2187" t="s">
        <v>1410</v>
      </c>
      <c r="AA36" s="2186">
        <f ca="1">SUMIF('91_02'!$C$46:$F$65547,Z36,'91_02'!$F$46:$F$65547)</f>
        <v>0</v>
      </c>
      <c r="AB36" s="3986" t="s">
        <v>3389</v>
      </c>
      <c r="AC36" s="3986"/>
      <c r="AD36" s="2186">
        <f ca="1">SUMIF(Затраты_Вход_1!$C$17:$H$65536,"{52359900} Прочие оценочные обязательства",Затраты_Вход_1!$I$17:$I$65536)</f>
        <v>0</v>
      </c>
      <c r="AE36" s="3574"/>
      <c r="AF36" s="3114" t="b">
        <f ca="1">ABS(Y36+AA36+AD36)&lt;=5</f>
        <v>1</v>
      </c>
      <c r="AL36" s="3010" t="b">
        <f t="shared" si="22"/>
        <v>1</v>
      </c>
      <c r="AM36" s="3010" t="b">
        <f t="shared" si="23"/>
        <v>1</v>
      </c>
      <c r="AN36" s="3010" t="b">
        <f t="shared" si="24"/>
        <v>1</v>
      </c>
      <c r="AO36" s="3010" t="b">
        <f t="shared" si="25"/>
        <v>1</v>
      </c>
      <c r="AP36" s="3010" t="b">
        <f t="shared" si="26"/>
        <v>1</v>
      </c>
    </row>
    <row r="37" spans="1:42" s="24" customFormat="1" ht="12.5">
      <c r="A37" s="2427" t="str">
        <f t="shared" ca="1" si="7"/>
        <v>R1=20100;COM=</v>
      </c>
      <c r="B37" s="114"/>
      <c r="C37" s="390" t="s">
        <v>757</v>
      </c>
      <c r="D37" s="1325"/>
      <c r="E37" s="1151" t="s">
        <v>3389</v>
      </c>
      <c r="F37" s="1325"/>
      <c r="G37" s="1153">
        <f t="shared" si="14"/>
        <v>0</v>
      </c>
      <c r="H37" s="1325"/>
      <c r="I37" s="1151" t="s">
        <v>3389</v>
      </c>
      <c r="J37" s="1325"/>
      <c r="K37" s="1325"/>
      <c r="L37" s="1325"/>
      <c r="M37" s="1325"/>
      <c r="N37" s="1325"/>
      <c r="O37" s="1325"/>
      <c r="P37" s="1153">
        <f t="shared" ref="P37:P48" si="35">SUM(D37,H37:O37)</f>
        <v>0</v>
      </c>
      <c r="Q37" s="1151" t="s">
        <v>3389</v>
      </c>
      <c r="R37" s="1325"/>
      <c r="S37" s="1153">
        <f t="shared" ref="S37:S48" si="36">P37-R37</f>
        <v>0</v>
      </c>
      <c r="T37" s="1367"/>
      <c r="U37" s="615"/>
      <c r="V37" s="2103" t="b">
        <f t="shared" si="33"/>
        <v>1</v>
      </c>
      <c r="W37" s="2103"/>
      <c r="X37" s="2187" t="s">
        <v>5895</v>
      </c>
      <c r="Y37" s="2186">
        <f t="shared" si="32"/>
        <v>0</v>
      </c>
      <c r="Z37" s="2187" t="s">
        <v>1411</v>
      </c>
      <c r="AA37" s="2186">
        <f ca="1">SUMIF('91_02'!$C$46:$F$65547,Z37,'91_02'!$F$46:$F$65547)</f>
        <v>0</v>
      </c>
      <c r="AB37" s="3986" t="s">
        <v>3389</v>
      </c>
      <c r="AC37" s="3986"/>
      <c r="AD37" s="2970" t="s">
        <v>3389</v>
      </c>
      <c r="AE37" s="3574"/>
      <c r="AF37" s="3114" t="b">
        <f ca="1">ABS(Y37+AA37)&lt;=5</f>
        <v>1</v>
      </c>
      <c r="AL37" s="3010" t="b">
        <f t="shared" si="22"/>
        <v>1</v>
      </c>
      <c r="AM37" s="3010" t="b">
        <f t="shared" si="23"/>
        <v>1</v>
      </c>
      <c r="AN37" s="3010" t="b">
        <f t="shared" si="24"/>
        <v>1</v>
      </c>
      <c r="AO37" s="3010" t="b">
        <f t="shared" si="25"/>
        <v>1</v>
      </c>
      <c r="AP37" s="3010" t="b">
        <f t="shared" si="26"/>
        <v>1</v>
      </c>
    </row>
    <row r="38" spans="1:42" s="24" customFormat="1" ht="12.5">
      <c r="A38" s="2427" t="str">
        <f t="shared" ca="1" si="7"/>
        <v>R1=20200;COM=</v>
      </c>
      <c r="B38" s="114"/>
      <c r="C38" s="390" t="s">
        <v>758</v>
      </c>
      <c r="D38" s="1325"/>
      <c r="E38" s="1151" t="s">
        <v>3389</v>
      </c>
      <c r="F38" s="1325"/>
      <c r="G38" s="1153">
        <f t="shared" si="14"/>
        <v>0</v>
      </c>
      <c r="H38" s="1325"/>
      <c r="I38" s="1151" t="s">
        <v>3389</v>
      </c>
      <c r="J38" s="1325"/>
      <c r="K38" s="1325"/>
      <c r="L38" s="1325"/>
      <c r="M38" s="1325"/>
      <c r="N38" s="1325"/>
      <c r="O38" s="1325"/>
      <c r="P38" s="1153">
        <f t="shared" si="35"/>
        <v>0</v>
      </c>
      <c r="Q38" s="1151" t="s">
        <v>3389</v>
      </c>
      <c r="R38" s="1325"/>
      <c r="S38" s="1153">
        <f t="shared" si="36"/>
        <v>0</v>
      </c>
      <c r="T38" s="1367"/>
      <c r="U38" s="615"/>
      <c r="V38" s="2103" t="b">
        <f t="shared" si="33"/>
        <v>1</v>
      </c>
      <c r="W38" s="2103"/>
      <c r="X38" s="2187" t="s">
        <v>5896</v>
      </c>
      <c r="Y38" s="2186">
        <f t="shared" si="32"/>
        <v>0</v>
      </c>
      <c r="Z38" s="2187" t="s">
        <v>1412</v>
      </c>
      <c r="AA38" s="2186">
        <f ca="1">SUMIF('91_02'!$C$46:$F$65547,Z38,'91_02'!$F$46:$F$65547)</f>
        <v>0</v>
      </c>
      <c r="AB38" s="3997" t="s">
        <v>207</v>
      </c>
      <c r="AC38" s="3994">
        <f ca="1">SUMIF(Затраты_Вход_1!$C$17:$H$65536,"{52359900} Прочие оценочные обязательства",Затраты_Вход_1!$H$17:$H$65536)</f>
        <v>0</v>
      </c>
      <c r="AD38" s="2970" t="s">
        <v>3389</v>
      </c>
      <c r="AE38" s="3575"/>
      <c r="AF38" s="3989" t="b">
        <f ca="1">ABS(Y38+Y39+AA38+AA39+AC38+Y40+AA40)&lt;=5</f>
        <v>1</v>
      </c>
      <c r="AL38" s="3010" t="b">
        <f t="shared" si="22"/>
        <v>1</v>
      </c>
      <c r="AM38" s="3010" t="b">
        <f t="shared" si="23"/>
        <v>1</v>
      </c>
      <c r="AN38" s="3010" t="b">
        <f t="shared" si="24"/>
        <v>1</v>
      </c>
      <c r="AO38" s="3010" t="b">
        <f t="shared" si="25"/>
        <v>1</v>
      </c>
      <c r="AP38" s="3010" t="b">
        <f t="shared" si="26"/>
        <v>1</v>
      </c>
    </row>
    <row r="39" spans="1:42" s="24" customFormat="1" ht="15" customHeight="1">
      <c r="A39" s="2427" t="str">
        <f t="shared" ca="1" si="7"/>
        <v>R1=20300;COM=</v>
      </c>
      <c r="B39" s="114"/>
      <c r="C39" s="390" t="s">
        <v>759</v>
      </c>
      <c r="D39" s="1325"/>
      <c r="E39" s="1151" t="s">
        <v>3389</v>
      </c>
      <c r="F39" s="1325"/>
      <c r="G39" s="1153">
        <f t="shared" si="14"/>
        <v>0</v>
      </c>
      <c r="H39" s="1915">
        <f>SUMIFS('96_движ'!L:L,'96_движ'!$C:$C,$C39)</f>
        <v>0</v>
      </c>
      <c r="I39" s="1151" t="s">
        <v>3389</v>
      </c>
      <c r="J39" s="1325"/>
      <c r="K39" s="1325"/>
      <c r="L39" s="1325"/>
      <c r="M39" s="1325"/>
      <c r="N39" s="1325"/>
      <c r="O39" s="1325"/>
      <c r="P39" s="1153">
        <f t="shared" si="35"/>
        <v>0</v>
      </c>
      <c r="Q39" s="1151" t="s">
        <v>3389</v>
      </c>
      <c r="R39" s="1325"/>
      <c r="S39" s="1153">
        <f t="shared" si="36"/>
        <v>0</v>
      </c>
      <c r="T39" s="1367"/>
      <c r="U39" s="615"/>
      <c r="V39" s="2103" t="b">
        <f t="shared" si="33"/>
        <v>1</v>
      </c>
      <c r="W39" s="2103"/>
      <c r="X39" s="2187" t="s">
        <v>5897</v>
      </c>
      <c r="Y39" s="2186">
        <f t="shared" si="32"/>
        <v>0</v>
      </c>
      <c r="Z39" s="2187" t="s">
        <v>1413</v>
      </c>
      <c r="AA39" s="2186">
        <f ca="1">SUMIF('91_02'!$C$46:$F$65547,Z39,'91_02'!$F$46:$F$65547)</f>
        <v>0</v>
      </c>
      <c r="AB39" s="3998"/>
      <c r="AC39" s="3995"/>
      <c r="AD39" s="2970" t="s">
        <v>3389</v>
      </c>
      <c r="AE39" s="3576"/>
      <c r="AF39" s="3990"/>
      <c r="AL39" s="3010" t="b">
        <f t="shared" si="22"/>
        <v>1</v>
      </c>
      <c r="AM39" s="3010" t="b">
        <f t="shared" si="23"/>
        <v>1</v>
      </c>
      <c r="AN39" s="3010" t="b">
        <f t="shared" si="24"/>
        <v>1</v>
      </c>
      <c r="AO39" s="3010" t="b">
        <f t="shared" si="25"/>
        <v>1</v>
      </c>
      <c r="AP39" s="3010" t="b">
        <f t="shared" si="26"/>
        <v>1</v>
      </c>
    </row>
    <row r="40" spans="1:42" s="24" customFormat="1" ht="12.5">
      <c r="A40" s="2427" t="str">
        <f t="shared" ca="1" si="7"/>
        <v>R1=20400;COM=</v>
      </c>
      <c r="B40" s="114"/>
      <c r="C40" s="390" t="s">
        <v>760</v>
      </c>
      <c r="D40" s="1325"/>
      <c r="E40" s="1151" t="s">
        <v>3389</v>
      </c>
      <c r="F40" s="1325"/>
      <c r="G40" s="1153">
        <f t="shared" si="14"/>
        <v>0</v>
      </c>
      <c r="H40" s="1325"/>
      <c r="I40" s="1151" t="s">
        <v>3389</v>
      </c>
      <c r="J40" s="1325"/>
      <c r="K40" s="1325"/>
      <c r="L40" s="1325"/>
      <c r="M40" s="1325"/>
      <c r="N40" s="1325"/>
      <c r="O40" s="1325"/>
      <c r="P40" s="1153">
        <f t="shared" si="35"/>
        <v>0</v>
      </c>
      <c r="Q40" s="1151" t="s">
        <v>3389</v>
      </c>
      <c r="R40" s="1325"/>
      <c r="S40" s="1153">
        <f t="shared" si="36"/>
        <v>0</v>
      </c>
      <c r="T40" s="1367"/>
      <c r="U40" s="615"/>
      <c r="V40" s="2103" t="b">
        <f t="shared" si="33"/>
        <v>1</v>
      </c>
      <c r="W40" s="2103"/>
      <c r="X40" s="3208"/>
      <c r="Y40" s="3209"/>
      <c r="Z40" s="3208"/>
      <c r="AA40" s="3209"/>
      <c r="AB40" s="3999"/>
      <c r="AC40" s="3996"/>
      <c r="AD40" s="3115" t="s">
        <v>3389</v>
      </c>
      <c r="AE40" s="3577"/>
      <c r="AF40" s="3991"/>
      <c r="AL40" s="3010" t="b">
        <f t="shared" si="22"/>
        <v>1</v>
      </c>
      <c r="AM40" s="3010" t="b">
        <f t="shared" si="23"/>
        <v>1</v>
      </c>
      <c r="AN40" s="3010" t="b">
        <f t="shared" si="24"/>
        <v>1</v>
      </c>
      <c r="AO40" s="3010" t="b">
        <f t="shared" si="25"/>
        <v>1</v>
      </c>
      <c r="AP40" s="3010" t="b">
        <f t="shared" si="26"/>
        <v>1</v>
      </c>
    </row>
    <row r="41" spans="1:42" s="24" customFormat="1" ht="12.5">
      <c r="A41" s="2427" t="str">
        <f t="shared" ca="1" si="7"/>
        <v>R1=20500;COM=</v>
      </c>
      <c r="B41" s="114"/>
      <c r="C41" s="390" t="s">
        <v>761</v>
      </c>
      <c r="D41" s="1915">
        <f>SUMIFS('96_движ'!I:I,'96_движ'!$C:$C,$C41)</f>
        <v>0</v>
      </c>
      <c r="E41" s="1151" t="s">
        <v>3389</v>
      </c>
      <c r="F41" s="1915">
        <f>SUMIFS('96_движ'!J:J,'96_движ'!$C:$C,$C41)</f>
        <v>0</v>
      </c>
      <c r="G41" s="1153">
        <f t="shared" si="14"/>
        <v>0</v>
      </c>
      <c r="H41" s="1915">
        <f>SUMIFS('96_движ'!L:L,'96_движ'!$C:$C,$C41)</f>
        <v>0</v>
      </c>
      <c r="I41" s="1151" t="s">
        <v>3389</v>
      </c>
      <c r="J41" s="1915">
        <f>SUMIFS('96_движ'!M:M,'96_движ'!$C:$C,$C41)</f>
        <v>0</v>
      </c>
      <c r="K41" s="1915">
        <f>SUMIFS('96_движ'!N:N,'96_движ'!$C:$C,$C41)</f>
        <v>0</v>
      </c>
      <c r="L41" s="1325"/>
      <c r="M41" s="1915">
        <f>SUMIFS('96_движ'!O:O,'96_движ'!$C:$C,$C41)</f>
        <v>0</v>
      </c>
      <c r="N41" s="1915">
        <f>SUMIFS('96_движ'!P:P,'96_движ'!$C:$C,$C41)</f>
        <v>0</v>
      </c>
      <c r="O41" s="1915">
        <f>SUMIFS('96_движ'!Q:Q,'96_движ'!$C:$C,$C41)</f>
        <v>0</v>
      </c>
      <c r="P41" s="1153">
        <f t="shared" si="35"/>
        <v>0</v>
      </c>
      <c r="Q41" s="1151" t="s">
        <v>3389</v>
      </c>
      <c r="R41" s="1915">
        <f>SUMIFS('96_движ'!S:S,'96_движ'!$C:$C,$C41)</f>
        <v>0</v>
      </c>
      <c r="S41" s="1915">
        <f>SUMIFS('96_движ'!T:T,'96_движ'!$C:$C,$C41)</f>
        <v>0</v>
      </c>
      <c r="T41" s="1367"/>
      <c r="U41" s="616"/>
      <c r="V41" s="2103" t="b">
        <f t="shared" si="33"/>
        <v>1</v>
      </c>
      <c r="W41" s="2103"/>
      <c r="X41" s="2187" t="s">
        <v>5898</v>
      </c>
      <c r="Y41" s="2186">
        <f>K46</f>
        <v>0</v>
      </c>
      <c r="Z41" s="2187" t="s">
        <v>1414</v>
      </c>
      <c r="AA41" s="2186">
        <f ca="1">SUMIF('91_02'!$C$46:$F$65547,Z41,'91_02'!$F$46:$F$65547)</f>
        <v>0</v>
      </c>
      <c r="AB41" s="3986" t="s">
        <v>3389</v>
      </c>
      <c r="AC41" s="3986"/>
      <c r="AD41" s="2970" t="s">
        <v>3389</v>
      </c>
      <c r="AE41" s="3574"/>
      <c r="AF41" s="3114" t="b">
        <f ca="1">ABS(Y41+AA41)&lt;=5</f>
        <v>1</v>
      </c>
      <c r="AL41" s="3010" t="b">
        <f t="shared" si="22"/>
        <v>1</v>
      </c>
      <c r="AM41" s="3010" t="b">
        <f t="shared" si="23"/>
        <v>1</v>
      </c>
      <c r="AN41" s="3010" t="b">
        <f t="shared" si="24"/>
        <v>1</v>
      </c>
      <c r="AO41" s="3010" t="b">
        <f t="shared" si="25"/>
        <v>1</v>
      </c>
      <c r="AP41" s="3010" t="b">
        <f t="shared" si="26"/>
        <v>1</v>
      </c>
    </row>
    <row r="42" spans="1:42" s="24" customFormat="1" ht="12.5">
      <c r="A42" s="2427" t="str">
        <f t="shared" ca="1" si="7"/>
        <v>R1=20600;COM=</v>
      </c>
      <c r="B42" s="114"/>
      <c r="C42" s="390" t="s">
        <v>762</v>
      </c>
      <c r="D42" s="1915">
        <f>SUMIFS('96_движ'!I:I,'96_движ'!$C:$C,$C42)</f>
        <v>0</v>
      </c>
      <c r="E42" s="1151" t="s">
        <v>3389</v>
      </c>
      <c r="F42" s="1915">
        <f>SUMIFS('96_движ'!J:J,'96_движ'!$C:$C,$C42)</f>
        <v>0</v>
      </c>
      <c r="G42" s="1153">
        <f t="shared" si="14"/>
        <v>0</v>
      </c>
      <c r="H42" s="1915">
        <f>SUMIFS('96_движ'!L:L,'96_движ'!$C:$C,$C42)</f>
        <v>0</v>
      </c>
      <c r="I42" s="1151" t="s">
        <v>3389</v>
      </c>
      <c r="J42" s="1915">
        <f>SUMIFS('96_движ'!M:M,'96_движ'!$C:$C,$C42)</f>
        <v>0</v>
      </c>
      <c r="K42" s="1915">
        <f>SUMIFS('96_движ'!N:N,'96_движ'!$C:$C,$C42)</f>
        <v>0</v>
      </c>
      <c r="L42" s="1325"/>
      <c r="M42" s="1915">
        <f>SUMIFS('96_движ'!O:O,'96_движ'!$C:$C,$C42)</f>
        <v>0</v>
      </c>
      <c r="N42" s="1915">
        <f>SUMIFS('96_движ'!P:P,'96_движ'!$C:$C,$C42)</f>
        <v>0</v>
      </c>
      <c r="O42" s="1915">
        <f>SUMIFS('96_движ'!Q:Q,'96_движ'!$C:$C,$C42)</f>
        <v>0</v>
      </c>
      <c r="P42" s="1915">
        <f t="shared" ref="P42" si="37">SUM(D42,H42:O42)</f>
        <v>0</v>
      </c>
      <c r="Q42" s="1151" t="s">
        <v>3389</v>
      </c>
      <c r="R42" s="1915">
        <f>SUMIFS('96_движ'!S:S,'96_движ'!$C:$C,$C42)</f>
        <v>0</v>
      </c>
      <c r="S42" s="1915">
        <f>SUMIFS('96_движ'!T:T,'96_движ'!$C:$C,$C42)</f>
        <v>0</v>
      </c>
      <c r="T42" s="1367"/>
      <c r="U42" s="616"/>
      <c r="V42" s="2103" t="b">
        <f t="shared" si="33"/>
        <v>1</v>
      </c>
      <c r="W42" s="2103"/>
      <c r="X42" s="2187" t="s">
        <v>5899</v>
      </c>
      <c r="Y42" s="2186">
        <f>K47</f>
        <v>0</v>
      </c>
      <c r="Z42" s="2187" t="s">
        <v>1416</v>
      </c>
      <c r="AA42" s="2186">
        <f ca="1">SUMIF('91_02'!$C$46:$F$65547,Z42,'91_02'!$F$46:$F$65547)</f>
        <v>0</v>
      </c>
      <c r="AB42" s="3986" t="s">
        <v>3389</v>
      </c>
      <c r="AC42" s="3986"/>
      <c r="AD42" s="2970" t="s">
        <v>3389</v>
      </c>
      <c r="AE42" s="3574"/>
      <c r="AF42" s="3114" t="b">
        <f ca="1">ABS(Y42+AA42)&lt;=5</f>
        <v>1</v>
      </c>
      <c r="AL42" s="3010" t="b">
        <f t="shared" si="22"/>
        <v>1</v>
      </c>
      <c r="AM42" s="3010" t="b">
        <f t="shared" si="23"/>
        <v>1</v>
      </c>
      <c r="AN42" s="3010" t="b">
        <f t="shared" si="24"/>
        <v>1</v>
      </c>
      <c r="AO42" s="3010" t="b">
        <f t="shared" si="25"/>
        <v>1</v>
      </c>
      <c r="AP42" s="3010" t="b">
        <f t="shared" si="26"/>
        <v>1</v>
      </c>
    </row>
    <row r="43" spans="1:42" s="24" customFormat="1" ht="12.5">
      <c r="A43" s="2427" t="str">
        <f t="shared" ca="1" si="7"/>
        <v>R1=20700;COM=</v>
      </c>
      <c r="B43" s="114"/>
      <c r="C43" s="390" t="s">
        <v>763</v>
      </c>
      <c r="D43" s="1434"/>
      <c r="E43" s="1151" t="s">
        <v>3389</v>
      </c>
      <c r="F43" s="1325"/>
      <c r="G43" s="1915">
        <f t="shared" si="14"/>
        <v>0</v>
      </c>
      <c r="H43" s="1434"/>
      <c r="I43" s="1151" t="s">
        <v>3389</v>
      </c>
      <c r="J43" s="1325"/>
      <c r="K43" s="1325"/>
      <c r="L43" s="1325"/>
      <c r="M43" s="1325"/>
      <c r="N43" s="1325"/>
      <c r="O43" s="1325"/>
      <c r="P43" s="1153">
        <f t="shared" si="35"/>
        <v>0</v>
      </c>
      <c r="Q43" s="1151" t="s">
        <v>3389</v>
      </c>
      <c r="R43" s="1325"/>
      <c r="S43" s="1153">
        <f t="shared" si="36"/>
        <v>0</v>
      </c>
      <c r="T43" s="1367"/>
      <c r="U43" s="615"/>
      <c r="V43" s="2103" t="b">
        <f t="shared" si="33"/>
        <v>1</v>
      </c>
      <c r="W43" s="2103"/>
      <c r="X43" s="2187" t="s">
        <v>10100</v>
      </c>
      <c r="Y43" s="2186">
        <f>K48</f>
        <v>0</v>
      </c>
      <c r="Z43" s="2187" t="s">
        <v>10093</v>
      </c>
      <c r="AA43" s="2186">
        <f ca="1">SUMIF('91_02'!$C$46:$F$65547,Z43,'91_02'!$F$46:$F$65547)</f>
        <v>0</v>
      </c>
      <c r="AB43" s="2187" t="s">
        <v>4155</v>
      </c>
      <c r="AC43" s="2186">
        <f>SUMIF(Затраты_Вход_1!$C$17:$C$65536,"{11030000} Ядерное топливо",Затраты_Вход_1!$H$17:$H$65536)</f>
        <v>0</v>
      </c>
      <c r="AD43" s="3287" t="s">
        <v>3389</v>
      </c>
      <c r="AE43" s="3574"/>
      <c r="AF43" s="3114" t="b">
        <f ca="1">ABS(Y43+AA43+AC43)&lt;=5</f>
        <v>1</v>
      </c>
      <c r="AL43" s="3010" t="b">
        <f t="shared" si="22"/>
        <v>1</v>
      </c>
      <c r="AM43" s="3010" t="b">
        <f t="shared" si="23"/>
        <v>1</v>
      </c>
      <c r="AN43" s="3010" t="b">
        <f t="shared" si="24"/>
        <v>1</v>
      </c>
      <c r="AO43" s="3010" t="b">
        <f t="shared" si="25"/>
        <v>1</v>
      </c>
      <c r="AP43" s="3010" t="b">
        <f t="shared" si="26"/>
        <v>1</v>
      </c>
    </row>
    <row r="44" spans="1:42" s="24" customFormat="1" ht="12.5">
      <c r="A44" s="2427" t="str">
        <f t="shared" ca="1" si="7"/>
        <v>R1=20800;COM=</v>
      </c>
      <c r="B44" s="114"/>
      <c r="C44" s="390" t="s">
        <v>764</v>
      </c>
      <c r="D44" s="1368"/>
      <c r="E44" s="1151" t="s">
        <v>3389</v>
      </c>
      <c r="F44" s="1368"/>
      <c r="G44" s="1365">
        <f t="shared" si="14"/>
        <v>0</v>
      </c>
      <c r="H44" s="1915">
        <f>SUMIFS('96_движ'!L:L,'96_движ'!$C:$C,$C44)</f>
        <v>0</v>
      </c>
      <c r="I44" s="1151" t="s">
        <v>3389</v>
      </c>
      <c r="J44" s="1368"/>
      <c r="K44" s="1325"/>
      <c r="L44" s="1368"/>
      <c r="M44" s="1368"/>
      <c r="N44" s="1368"/>
      <c r="O44" s="1368"/>
      <c r="P44" s="1153">
        <f t="shared" si="35"/>
        <v>0</v>
      </c>
      <c r="Q44" s="1151" t="s">
        <v>3389</v>
      </c>
      <c r="R44" s="1368"/>
      <c r="S44" s="1153">
        <f t="shared" si="36"/>
        <v>0</v>
      </c>
      <c r="T44" s="1369"/>
      <c r="U44" s="615"/>
      <c r="V44" s="2103" t="b">
        <f t="shared" si="33"/>
        <v>1</v>
      </c>
      <c r="W44" s="2103"/>
      <c r="X44" s="2187" t="s">
        <v>8750</v>
      </c>
      <c r="Y44" s="2186">
        <f>K63</f>
        <v>0</v>
      </c>
      <c r="Z44" s="2187" t="s">
        <v>8759</v>
      </c>
      <c r="AA44" s="2186">
        <f>SUMIF('91_02'!C:C,Z44,'91_02'!F:F)</f>
        <v>0</v>
      </c>
      <c r="AB44" s="3986"/>
      <c r="AC44" s="3986"/>
      <c r="AD44" s="3486"/>
      <c r="AE44" s="3574"/>
      <c r="AF44" s="3114" t="b">
        <f>ABS(Y44+AA44+W31)&lt;=5</f>
        <v>1</v>
      </c>
      <c r="AL44" s="3010" t="b">
        <f t="shared" si="22"/>
        <v>1</v>
      </c>
      <c r="AM44" s="3010" t="b">
        <f t="shared" si="23"/>
        <v>1</v>
      </c>
      <c r="AN44" s="3010" t="b">
        <f t="shared" si="24"/>
        <v>1</v>
      </c>
      <c r="AO44" s="3010" t="b">
        <f t="shared" si="25"/>
        <v>1</v>
      </c>
      <c r="AP44" s="3010" t="b">
        <f t="shared" si="26"/>
        <v>1</v>
      </c>
    </row>
    <row r="45" spans="1:42" s="24" customFormat="1" ht="12.5">
      <c r="A45" s="2427" t="str">
        <f t="shared" ca="1" si="7"/>
        <v>R1=20900;COM=</v>
      </c>
      <c r="B45" s="114"/>
      <c r="C45" s="390" t="s">
        <v>765</v>
      </c>
      <c r="D45" s="1368"/>
      <c r="E45" s="1151" t="s">
        <v>3389</v>
      </c>
      <c r="F45" s="1368"/>
      <c r="G45" s="1365">
        <f t="shared" si="14"/>
        <v>0</v>
      </c>
      <c r="H45" s="1368"/>
      <c r="I45" s="1151" t="s">
        <v>3389</v>
      </c>
      <c r="J45" s="1368"/>
      <c r="K45" s="1915">
        <f>SUMIFS('96_движ'!N:N,'96_движ'!$C:$C,$C45)</f>
        <v>0</v>
      </c>
      <c r="L45" s="1368"/>
      <c r="M45" s="1368"/>
      <c r="N45" s="1368"/>
      <c r="O45" s="1368"/>
      <c r="P45" s="1153">
        <f t="shared" si="35"/>
        <v>0</v>
      </c>
      <c r="Q45" s="1151" t="s">
        <v>3389</v>
      </c>
      <c r="R45" s="1368"/>
      <c r="S45" s="1153">
        <f t="shared" si="36"/>
        <v>0</v>
      </c>
      <c r="T45" s="1369"/>
      <c r="U45" s="615"/>
      <c r="V45" s="2103" t="b">
        <f t="shared" si="33"/>
        <v>1</v>
      </c>
      <c r="W45" s="2103"/>
      <c r="AK45" s="3010" t="b">
        <f t="shared" ref="AK45:AK61" si="38">H45&gt;=0</f>
        <v>1</v>
      </c>
      <c r="AL45" s="3010" t="b">
        <f t="shared" ref="AL45:AL61" si="39">I45&gt;=0</f>
        <v>1</v>
      </c>
      <c r="AM45" s="3010" t="b">
        <f t="shared" ref="AM45:AM61" si="40">J45&gt;=0</f>
        <v>1</v>
      </c>
      <c r="AN45" s="3010" t="b">
        <f t="shared" ref="AN45:AN61" si="41">K45&lt;=0</f>
        <v>1</v>
      </c>
      <c r="AO45" s="3010" t="b">
        <f t="shared" ref="AO45:AO61" si="42">M45&lt;=0</f>
        <v>1</v>
      </c>
    </row>
    <row r="46" spans="1:42" s="24" customFormat="1" ht="12.5">
      <c r="A46" s="2427" t="str">
        <f t="shared" ca="1" si="7"/>
        <v>R1=21000;COM=</v>
      </c>
      <c r="B46" s="114"/>
      <c r="C46" s="390" t="s">
        <v>766</v>
      </c>
      <c r="D46" s="1325"/>
      <c r="E46" s="1151" t="s">
        <v>3389</v>
      </c>
      <c r="F46" s="1325"/>
      <c r="G46" s="1153">
        <f t="shared" si="14"/>
        <v>0</v>
      </c>
      <c r="H46" s="1325"/>
      <c r="I46" s="1151" t="s">
        <v>3389</v>
      </c>
      <c r="J46" s="1325"/>
      <c r="K46" s="1325"/>
      <c r="L46" s="1325"/>
      <c r="M46" s="1325"/>
      <c r="N46" s="1325"/>
      <c r="O46" s="1325"/>
      <c r="P46" s="1153">
        <f t="shared" si="35"/>
        <v>0</v>
      </c>
      <c r="Q46" s="1151" t="s">
        <v>3389</v>
      </c>
      <c r="R46" s="1325"/>
      <c r="S46" s="1153">
        <f t="shared" si="36"/>
        <v>0</v>
      </c>
      <c r="T46" s="1367"/>
      <c r="U46" s="614"/>
      <c r="V46" s="2103" t="b">
        <f t="shared" si="33"/>
        <v>1</v>
      </c>
      <c r="W46" s="3010"/>
      <c r="AK46" s="3010" t="b">
        <f t="shared" si="38"/>
        <v>1</v>
      </c>
      <c r="AL46" s="3010" t="b">
        <f t="shared" si="39"/>
        <v>1</v>
      </c>
      <c r="AM46" s="3010" t="b">
        <f t="shared" si="40"/>
        <v>1</v>
      </c>
      <c r="AN46" s="3010" t="b">
        <f t="shared" si="41"/>
        <v>1</v>
      </c>
      <c r="AO46" s="3010" t="b">
        <f t="shared" si="42"/>
        <v>1</v>
      </c>
    </row>
    <row r="47" spans="1:42" s="24" customFormat="1" ht="12.5">
      <c r="A47" s="2427" t="str">
        <f t="shared" ca="1" si="7"/>
        <v>R1=21100;COM=</v>
      </c>
      <c r="B47" s="114"/>
      <c r="C47" s="390" t="s">
        <v>767</v>
      </c>
      <c r="D47" s="1325"/>
      <c r="E47" s="1151" t="s">
        <v>3389</v>
      </c>
      <c r="F47" s="1325"/>
      <c r="G47" s="1153">
        <f t="shared" si="14"/>
        <v>0</v>
      </c>
      <c r="H47" s="1325"/>
      <c r="I47" s="1151" t="s">
        <v>3389</v>
      </c>
      <c r="J47" s="1325"/>
      <c r="K47" s="1325"/>
      <c r="L47" s="1325"/>
      <c r="M47" s="1325"/>
      <c r="N47" s="1325"/>
      <c r="O47" s="1325"/>
      <c r="P47" s="1153">
        <f t="shared" si="35"/>
        <v>0</v>
      </c>
      <c r="Q47" s="1151" t="s">
        <v>3389</v>
      </c>
      <c r="R47" s="1325"/>
      <c r="S47" s="1153">
        <f t="shared" si="36"/>
        <v>0</v>
      </c>
      <c r="T47" s="1367"/>
      <c r="U47" s="613"/>
      <c r="V47" s="2103" t="b">
        <f t="shared" si="33"/>
        <v>1</v>
      </c>
      <c r="W47" s="3010"/>
      <c r="Y47" s="2103"/>
      <c r="AK47" s="3010" t="b">
        <f t="shared" si="38"/>
        <v>1</v>
      </c>
      <c r="AL47" s="3010" t="b">
        <f t="shared" si="39"/>
        <v>1</v>
      </c>
      <c r="AM47" s="3010" t="b">
        <f t="shared" si="40"/>
        <v>1</v>
      </c>
      <c r="AN47" s="3010" t="b">
        <f t="shared" si="41"/>
        <v>1</v>
      </c>
      <c r="AO47" s="3010" t="b">
        <f t="shared" si="42"/>
        <v>1</v>
      </c>
    </row>
    <row r="48" spans="1:42" s="24" customFormat="1" ht="12.5">
      <c r="A48" s="2427" t="str">
        <f t="shared" ca="1" si="7"/>
        <v>R1=21200;COM=</v>
      </c>
      <c r="B48" s="114"/>
      <c r="C48" s="390" t="s">
        <v>1428</v>
      </c>
      <c r="D48" s="1325"/>
      <c r="E48" s="1151" t="s">
        <v>3389</v>
      </c>
      <c r="F48" s="1325"/>
      <c r="G48" s="1153">
        <f t="shared" si="14"/>
        <v>0</v>
      </c>
      <c r="H48" s="1915">
        <f>SUMIFS('96_движ'!L:L,'96_движ'!$C:$C,$C48)</f>
        <v>0</v>
      </c>
      <c r="I48" s="1151" t="s">
        <v>3389</v>
      </c>
      <c r="J48" s="1325"/>
      <c r="K48" s="1325"/>
      <c r="L48" s="1325"/>
      <c r="M48" s="1325"/>
      <c r="N48" s="1325"/>
      <c r="O48" s="1325"/>
      <c r="P48" s="1153">
        <f t="shared" si="35"/>
        <v>0</v>
      </c>
      <c r="Q48" s="1151" t="s">
        <v>3389</v>
      </c>
      <c r="R48" s="1325"/>
      <c r="S48" s="1153">
        <f t="shared" si="36"/>
        <v>0</v>
      </c>
      <c r="T48" s="1367"/>
      <c r="U48" s="616"/>
      <c r="V48" s="2103" t="b">
        <f t="shared" si="33"/>
        <v>1</v>
      </c>
      <c r="W48" s="3010"/>
      <c r="Y48" s="2103"/>
      <c r="AK48" s="3010" t="b">
        <f t="shared" si="38"/>
        <v>1</v>
      </c>
      <c r="AL48" s="3010" t="b">
        <f t="shared" si="39"/>
        <v>1</v>
      </c>
      <c r="AM48" s="3010" t="b">
        <f t="shared" si="40"/>
        <v>1</v>
      </c>
      <c r="AN48" s="3010" t="b">
        <f t="shared" si="41"/>
        <v>1</v>
      </c>
      <c r="AO48" s="3010" t="b">
        <f t="shared" si="42"/>
        <v>1</v>
      </c>
    </row>
    <row r="49" spans="1:41" s="24" customFormat="1" ht="13">
      <c r="A49" s="2427" t="str">
        <f t="shared" ca="1" si="7"/>
        <v/>
      </c>
      <c r="B49" s="114"/>
      <c r="C49" s="608" t="s">
        <v>1760</v>
      </c>
      <c r="D49" s="1151">
        <f>D50+D53+D56+D59+D62</f>
        <v>0</v>
      </c>
      <c r="E49" s="1151">
        <f>E50+E53+E56+E59+E62</f>
        <v>0</v>
      </c>
      <c r="F49" s="1151">
        <v>0</v>
      </c>
      <c r="G49" s="1151">
        <f>G50+G53+G56+G59+G62</f>
        <v>0</v>
      </c>
      <c r="H49" s="1151">
        <f>H50+H53+H56+H59</f>
        <v>0</v>
      </c>
      <c r="I49" s="1151">
        <f t="shared" ref="I49:S49" si="43">I50+I53+I56+I59+I62</f>
        <v>0</v>
      </c>
      <c r="J49" s="1151">
        <f t="shared" si="43"/>
        <v>0</v>
      </c>
      <c r="K49" s="1151">
        <f t="shared" si="43"/>
        <v>0</v>
      </c>
      <c r="L49" s="1151">
        <f t="shared" si="43"/>
        <v>0</v>
      </c>
      <c r="M49" s="1151">
        <f t="shared" si="43"/>
        <v>0</v>
      </c>
      <c r="N49" s="1151">
        <f t="shared" si="43"/>
        <v>0</v>
      </c>
      <c r="O49" s="1151">
        <f t="shared" si="43"/>
        <v>0</v>
      </c>
      <c r="P49" s="1365">
        <f t="shared" si="43"/>
        <v>0</v>
      </c>
      <c r="Q49" s="1365">
        <f t="shared" si="43"/>
        <v>0</v>
      </c>
      <c r="R49" s="1151">
        <v>0</v>
      </c>
      <c r="S49" s="1365">
        <f t="shared" si="43"/>
        <v>0</v>
      </c>
      <c r="T49" s="1150" t="s">
        <v>3066</v>
      </c>
      <c r="U49" s="615"/>
      <c r="V49" s="2103"/>
      <c r="W49" s="3010"/>
      <c r="Y49" s="3010"/>
      <c r="AK49" s="3010" t="b">
        <f t="shared" si="38"/>
        <v>1</v>
      </c>
      <c r="AL49" s="3010" t="b">
        <f t="shared" si="39"/>
        <v>1</v>
      </c>
      <c r="AM49" s="3010" t="b">
        <f t="shared" si="40"/>
        <v>1</v>
      </c>
      <c r="AN49" s="3010" t="b">
        <f t="shared" si="41"/>
        <v>1</v>
      </c>
      <c r="AO49" s="3010" t="b">
        <f t="shared" si="42"/>
        <v>1</v>
      </c>
    </row>
    <row r="50" spans="1:41" s="24" customFormat="1" ht="12.5">
      <c r="A50" s="2427" t="str">
        <f t="shared" ca="1" si="7"/>
        <v/>
      </c>
      <c r="B50" s="114"/>
      <c r="C50" s="390" t="s">
        <v>1761</v>
      </c>
      <c r="D50" s="1151">
        <f>SUM(D51:D52)</f>
        <v>0</v>
      </c>
      <c r="E50" s="1151">
        <f>SUM(E51:E52)</f>
        <v>0</v>
      </c>
      <c r="F50" s="1151">
        <v>0</v>
      </c>
      <c r="G50" s="1151">
        <f>SUM(G51:G52)</f>
        <v>0</v>
      </c>
      <c r="H50" s="1151">
        <f t="shared" ref="H50:Q50" si="44">SUM(H51:H52)</f>
        <v>0</v>
      </c>
      <c r="I50" s="1151">
        <f t="shared" si="44"/>
        <v>0</v>
      </c>
      <c r="J50" s="1151">
        <f t="shared" si="44"/>
        <v>0</v>
      </c>
      <c r="K50" s="1151">
        <f t="shared" si="44"/>
        <v>0</v>
      </c>
      <c r="L50" s="1151">
        <f t="shared" si="44"/>
        <v>0</v>
      </c>
      <c r="M50" s="1151">
        <f t="shared" si="44"/>
        <v>0</v>
      </c>
      <c r="N50" s="1151">
        <f t="shared" si="44"/>
        <v>0</v>
      </c>
      <c r="O50" s="1151">
        <f t="shared" si="44"/>
        <v>0</v>
      </c>
      <c r="P50" s="1151">
        <f t="shared" si="44"/>
        <v>0</v>
      </c>
      <c r="Q50" s="1151">
        <f t="shared" si="44"/>
        <v>0</v>
      </c>
      <c r="R50" s="1151">
        <v>0</v>
      </c>
      <c r="S50" s="1151">
        <f t="shared" ref="S50" si="45">SUM(S51:S52)</f>
        <v>0</v>
      </c>
      <c r="T50" s="1150" t="s">
        <v>3066</v>
      </c>
      <c r="U50" s="615"/>
      <c r="V50" s="2103"/>
      <c r="W50" s="3010"/>
      <c r="Y50" s="3010"/>
      <c r="AK50" s="3010" t="b">
        <f t="shared" si="38"/>
        <v>1</v>
      </c>
      <c r="AL50" s="3010" t="b">
        <f t="shared" si="39"/>
        <v>1</v>
      </c>
      <c r="AM50" s="3010" t="b">
        <f t="shared" si="40"/>
        <v>1</v>
      </c>
      <c r="AN50" s="3010" t="b">
        <f t="shared" si="41"/>
        <v>1</v>
      </c>
      <c r="AO50" s="3010" t="b">
        <f t="shared" si="42"/>
        <v>1</v>
      </c>
    </row>
    <row r="51" spans="1:41" s="24" customFormat="1" ht="12.5">
      <c r="A51" s="2427" t="str">
        <f t="shared" ca="1" si="7"/>
        <v>R1=30198;COM=</v>
      </c>
      <c r="B51" s="114"/>
      <c r="C51" s="609" t="s">
        <v>10025</v>
      </c>
      <c r="D51" s="1325"/>
      <c r="E51" s="1325"/>
      <c r="F51" s="1151" t="s">
        <v>3389</v>
      </c>
      <c r="G51" s="1365">
        <f t="shared" ref="G51:G52" si="46">D51-E51</f>
        <v>0</v>
      </c>
      <c r="H51" s="1915">
        <f>SUMIFS('96_движ'!L:L,'96_движ'!$C:$C,$C51)</f>
        <v>0</v>
      </c>
      <c r="I51" s="1434"/>
      <c r="J51" s="1325"/>
      <c r="K51" s="1434"/>
      <c r="L51" s="1325"/>
      <c r="M51" s="1325"/>
      <c r="N51" s="1325"/>
      <c r="O51" s="1325"/>
      <c r="P51" s="1153">
        <f t="shared" ref="P51:P52" si="47">SUM(D51,H51:O51)</f>
        <v>0</v>
      </c>
      <c r="Q51" s="1370"/>
      <c r="R51" s="1151" t="s">
        <v>3389</v>
      </c>
      <c r="S51" s="1365">
        <f>P51-Q51</f>
        <v>0</v>
      </c>
      <c r="T51" s="1367"/>
      <c r="U51" s="615"/>
      <c r="V51" s="3010" t="b">
        <f t="shared" ref="V51:V52" si="48">IF(OR(G51&gt;1,S51&gt;1),FALSE,TRUE)</f>
        <v>1</v>
      </c>
      <c r="W51" s="3010" t="b">
        <f t="shared" ref="W51:W66" si="49">IF(OR(E51&lt;0,Q51&lt;0),FALSE,TRUE)</f>
        <v>1</v>
      </c>
      <c r="Y51" s="3010" t="b">
        <f>ABS(SUMIFS('96_движ'!L:L,'96_движ'!C:C,C51,'96_движ'!L:L,"&gt;0")-H51)&lt;1</f>
        <v>1</v>
      </c>
      <c r="AK51" s="3010" t="b">
        <f t="shared" si="38"/>
        <v>1</v>
      </c>
      <c r="AL51" s="3010" t="b">
        <f t="shared" si="39"/>
        <v>1</v>
      </c>
      <c r="AM51" s="3010" t="b">
        <f t="shared" si="40"/>
        <v>1</v>
      </c>
      <c r="AN51" s="3010" t="b">
        <f t="shared" si="41"/>
        <v>1</v>
      </c>
      <c r="AO51" s="3010" t="b">
        <f t="shared" si="42"/>
        <v>1</v>
      </c>
    </row>
    <row r="52" spans="1:41" s="24" customFormat="1" ht="12.5">
      <c r="A52" s="2427" t="str">
        <f t="shared" ca="1" si="7"/>
        <v>R1=30199;COM=</v>
      </c>
      <c r="B52" s="114"/>
      <c r="C52" s="609" t="s">
        <v>10026</v>
      </c>
      <c r="D52" s="1325"/>
      <c r="E52" s="1325"/>
      <c r="F52" s="1151" t="s">
        <v>3389</v>
      </c>
      <c r="G52" s="1365">
        <f t="shared" si="46"/>
        <v>0</v>
      </c>
      <c r="H52" s="1915">
        <f>SUMIFS('96_движ'!L:L,'96_движ'!$C:$C,$C52)</f>
        <v>0</v>
      </c>
      <c r="I52" s="1434"/>
      <c r="J52" s="1325"/>
      <c r="K52" s="1434"/>
      <c r="L52" s="1325"/>
      <c r="M52" s="1325"/>
      <c r="N52" s="1325"/>
      <c r="O52" s="1325"/>
      <c r="P52" s="1915">
        <f t="shared" si="47"/>
        <v>0</v>
      </c>
      <c r="Q52" s="1370"/>
      <c r="R52" s="1151" t="s">
        <v>3389</v>
      </c>
      <c r="S52" s="1365">
        <f>P52-Q52</f>
        <v>0</v>
      </c>
      <c r="T52" s="1367"/>
      <c r="U52" s="615"/>
      <c r="V52" s="3010" t="b">
        <f t="shared" si="48"/>
        <v>1</v>
      </c>
      <c r="W52" s="3010" t="b">
        <f t="shared" si="49"/>
        <v>1</v>
      </c>
      <c r="Y52" s="3010" t="b">
        <f>ABS(SUMIFS('96_движ'!L:L,'96_движ'!C:C,C52,'96_движ'!L:L,"&gt;0")-H52)&lt;1</f>
        <v>1</v>
      </c>
      <c r="AK52" s="3010" t="b">
        <f t="shared" si="38"/>
        <v>1</v>
      </c>
      <c r="AL52" s="3010" t="b">
        <f t="shared" si="39"/>
        <v>1</v>
      </c>
      <c r="AM52" s="3010" t="b">
        <f t="shared" si="40"/>
        <v>1</v>
      </c>
      <c r="AN52" s="3010" t="b">
        <f t="shared" si="41"/>
        <v>1</v>
      </c>
      <c r="AO52" s="3010" t="b">
        <f t="shared" si="42"/>
        <v>1</v>
      </c>
    </row>
    <row r="53" spans="1:41" s="24" customFormat="1">
      <c r="A53" s="2427" t="str">
        <f t="shared" ca="1" si="7"/>
        <v/>
      </c>
      <c r="B53" s="114"/>
      <c r="C53" s="390" t="s">
        <v>1762</v>
      </c>
      <c r="D53" s="1151">
        <f>SUM(D54:D55)</f>
        <v>0</v>
      </c>
      <c r="E53" s="1151">
        <f>SUM(E54:E55)</f>
        <v>0</v>
      </c>
      <c r="F53" s="1151">
        <v>0</v>
      </c>
      <c r="G53" s="1151">
        <f>SUM(G54:G55)</f>
        <v>0</v>
      </c>
      <c r="H53" s="1151">
        <f t="shared" ref="H53:P53" si="50">SUM(H54:H55)</f>
        <v>0</v>
      </c>
      <c r="I53" s="1151">
        <f t="shared" si="50"/>
        <v>0</v>
      </c>
      <c r="J53" s="1151">
        <f t="shared" si="50"/>
        <v>0</v>
      </c>
      <c r="K53" s="1151">
        <f t="shared" si="50"/>
        <v>0</v>
      </c>
      <c r="L53" s="1151">
        <f t="shared" si="50"/>
        <v>0</v>
      </c>
      <c r="M53" s="1151">
        <f t="shared" si="50"/>
        <v>0</v>
      </c>
      <c r="N53" s="1151">
        <f t="shared" si="50"/>
        <v>0</v>
      </c>
      <c r="O53" s="1151">
        <f t="shared" si="50"/>
        <v>0</v>
      </c>
      <c r="P53" s="1151">
        <f t="shared" si="50"/>
        <v>0</v>
      </c>
      <c r="Q53" s="1151">
        <f t="shared" ref="Q53" si="51">SUM(Q54:Q55)</f>
        <v>0</v>
      </c>
      <c r="R53" s="1151">
        <v>0</v>
      </c>
      <c r="S53" s="1151">
        <f t="shared" ref="S53" si="52">SUM(S54:S55)</f>
        <v>0</v>
      </c>
      <c r="T53" s="1150" t="s">
        <v>3066</v>
      </c>
      <c r="U53" s="615"/>
      <c r="V53" s="3010"/>
      <c r="W53" s="3010"/>
      <c r="X53" s="32"/>
      <c r="Y53" s="3010"/>
      <c r="AK53" s="3010" t="b">
        <f t="shared" si="38"/>
        <v>1</v>
      </c>
      <c r="AL53" s="3010" t="b">
        <f t="shared" si="39"/>
        <v>1</v>
      </c>
      <c r="AM53" s="3010" t="b">
        <f t="shared" si="40"/>
        <v>1</v>
      </c>
      <c r="AN53" s="3010" t="b">
        <f t="shared" si="41"/>
        <v>1</v>
      </c>
      <c r="AO53" s="3010" t="b">
        <f t="shared" si="42"/>
        <v>1</v>
      </c>
    </row>
    <row r="54" spans="1:41" s="24" customFormat="1">
      <c r="A54" s="2427" t="str">
        <f t="shared" ca="1" si="7"/>
        <v>R1=30298;COM=</v>
      </c>
      <c r="B54" s="114"/>
      <c r="C54" s="609" t="s">
        <v>10027</v>
      </c>
      <c r="D54" s="1325"/>
      <c r="E54" s="1325"/>
      <c r="F54" s="1151" t="s">
        <v>3389</v>
      </c>
      <c r="G54" s="1365">
        <f t="shared" ref="G54:G55" si="53">D54-E54</f>
        <v>0</v>
      </c>
      <c r="H54" s="1915">
        <f>SUMIFS('96_движ'!L:L,'96_движ'!$C:$C,$C54)</f>
        <v>0</v>
      </c>
      <c r="I54" s="1434"/>
      <c r="J54" s="1325"/>
      <c r="K54" s="1434"/>
      <c r="L54" s="1325"/>
      <c r="M54" s="1325"/>
      <c r="N54" s="1325"/>
      <c r="O54" s="1325"/>
      <c r="P54" s="1153">
        <f t="shared" ref="P54" si="54">SUM(D54,H54:O54)</f>
        <v>0</v>
      </c>
      <c r="Q54" s="1370"/>
      <c r="R54" s="1151" t="s">
        <v>3389</v>
      </c>
      <c r="S54" s="1365">
        <f>P54-Q54</f>
        <v>0</v>
      </c>
      <c r="T54" s="1367"/>
      <c r="U54" s="615"/>
      <c r="V54" s="3010" t="b">
        <f t="shared" ref="V54:V55" si="55">IF(OR(G54&gt;1,S54&gt;1),FALSE,TRUE)</f>
        <v>1</v>
      </c>
      <c r="W54" s="3010" t="b">
        <f t="shared" si="49"/>
        <v>1</v>
      </c>
      <c r="X54" s="32"/>
      <c r="Y54" s="3010" t="b">
        <f>ABS(SUMIFS('96_движ'!L:L,'96_движ'!C:C,C54,'96_движ'!L:L,"&gt;0")-H54)&lt;1</f>
        <v>1</v>
      </c>
      <c r="AK54" s="3010" t="b">
        <f t="shared" si="38"/>
        <v>1</v>
      </c>
      <c r="AL54" s="3010" t="b">
        <f t="shared" si="39"/>
        <v>1</v>
      </c>
      <c r="AM54" s="3010" t="b">
        <f t="shared" si="40"/>
        <v>1</v>
      </c>
      <c r="AN54" s="3010" t="b">
        <f t="shared" si="41"/>
        <v>1</v>
      </c>
      <c r="AO54" s="3010" t="b">
        <f t="shared" si="42"/>
        <v>1</v>
      </c>
    </row>
    <row r="55" spans="1:41" s="24" customFormat="1">
      <c r="A55" s="2427" t="str">
        <f t="shared" ca="1" si="7"/>
        <v>R1=30299;COM=</v>
      </c>
      <c r="B55" s="114"/>
      <c r="C55" s="609" t="s">
        <v>10030</v>
      </c>
      <c r="D55" s="1325"/>
      <c r="E55" s="1325"/>
      <c r="F55" s="1151" t="s">
        <v>3389</v>
      </c>
      <c r="G55" s="1365">
        <f t="shared" si="53"/>
        <v>0</v>
      </c>
      <c r="H55" s="1915">
        <f>SUMIFS('96_движ'!L:L,'96_движ'!$C:$C,$C55)</f>
        <v>0</v>
      </c>
      <c r="I55" s="1325"/>
      <c r="J55" s="1325"/>
      <c r="K55" s="1325"/>
      <c r="L55" s="1325"/>
      <c r="M55" s="1325"/>
      <c r="N55" s="1325"/>
      <c r="O55" s="1325"/>
      <c r="P55" s="1915">
        <f t="shared" ref="P55" si="56">SUM(D55,H55:O55)</f>
        <v>0</v>
      </c>
      <c r="Q55" s="1370"/>
      <c r="R55" s="1151" t="s">
        <v>3389</v>
      </c>
      <c r="S55" s="1365">
        <f>P55-Q55</f>
        <v>0</v>
      </c>
      <c r="T55" s="1367"/>
      <c r="U55" s="616"/>
      <c r="V55" s="3010" t="b">
        <f t="shared" si="55"/>
        <v>1</v>
      </c>
      <c r="W55" s="3010" t="b">
        <f t="shared" si="49"/>
        <v>1</v>
      </c>
      <c r="X55" s="32"/>
      <c r="Y55" s="3010" t="b">
        <f>ABS(SUMIFS('96_движ'!L:L,'96_движ'!C:C,C55,'96_движ'!L:L,"&gt;0")-H55)&lt;1</f>
        <v>1</v>
      </c>
      <c r="AK55" s="3010" t="b">
        <f t="shared" si="38"/>
        <v>1</v>
      </c>
      <c r="AL55" s="3010" t="b">
        <f t="shared" si="39"/>
        <v>1</v>
      </c>
      <c r="AM55" s="3010" t="b">
        <f t="shared" si="40"/>
        <v>1</v>
      </c>
      <c r="AN55" s="3010" t="b">
        <f t="shared" si="41"/>
        <v>1</v>
      </c>
      <c r="AO55" s="3010" t="b">
        <f t="shared" si="42"/>
        <v>1</v>
      </c>
    </row>
    <row r="56" spans="1:41">
      <c r="A56" s="2427" t="str">
        <f t="shared" ca="1" si="7"/>
        <v/>
      </c>
      <c r="C56" s="390" t="s">
        <v>1763</v>
      </c>
      <c r="D56" s="1151">
        <f>SUM(D57:D58)</f>
        <v>0</v>
      </c>
      <c r="E56" s="1151">
        <f>SUM(E57:E58)</f>
        <v>0</v>
      </c>
      <c r="F56" s="1151">
        <v>0</v>
      </c>
      <c r="G56" s="1151">
        <f>SUM(G57:G58)</f>
        <v>0</v>
      </c>
      <c r="H56" s="1151">
        <f t="shared" ref="H56:P56" si="57">SUM(H57:H58)</f>
        <v>0</v>
      </c>
      <c r="I56" s="1151">
        <f t="shared" si="57"/>
        <v>0</v>
      </c>
      <c r="J56" s="1151">
        <f t="shared" si="57"/>
        <v>0</v>
      </c>
      <c r="K56" s="1151">
        <f t="shared" si="57"/>
        <v>0</v>
      </c>
      <c r="L56" s="1151">
        <f t="shared" si="57"/>
        <v>0</v>
      </c>
      <c r="M56" s="1151">
        <f t="shared" si="57"/>
        <v>0</v>
      </c>
      <c r="N56" s="1151">
        <f t="shared" si="57"/>
        <v>0</v>
      </c>
      <c r="O56" s="1151">
        <f t="shared" si="57"/>
        <v>0</v>
      </c>
      <c r="P56" s="1151">
        <f t="shared" si="57"/>
        <v>0</v>
      </c>
      <c r="Q56" s="1151">
        <f t="shared" ref="Q56" si="58">SUM(Q57:Q58)</f>
        <v>0</v>
      </c>
      <c r="R56" s="1151">
        <v>0</v>
      </c>
      <c r="S56" s="1151">
        <f t="shared" ref="S56" si="59">SUM(S57:S58)</f>
        <v>0</v>
      </c>
      <c r="T56" s="1150" t="s">
        <v>3066</v>
      </c>
      <c r="U56" s="616"/>
      <c r="V56" s="3010"/>
      <c r="W56" s="3010"/>
      <c r="Y56" s="3010"/>
      <c r="AK56" s="3010" t="b">
        <f t="shared" si="38"/>
        <v>1</v>
      </c>
      <c r="AL56" s="3010" t="b">
        <f t="shared" si="39"/>
        <v>1</v>
      </c>
      <c r="AM56" s="3010" t="b">
        <f t="shared" si="40"/>
        <v>1</v>
      </c>
      <c r="AN56" s="3010" t="b">
        <f t="shared" si="41"/>
        <v>1</v>
      </c>
      <c r="AO56" s="3010" t="b">
        <f t="shared" si="42"/>
        <v>1</v>
      </c>
    </row>
    <row r="57" spans="1:41">
      <c r="A57" s="2427" t="str">
        <f t="shared" ca="1" si="7"/>
        <v>R1=30398;COM=</v>
      </c>
      <c r="C57" s="609" t="s">
        <v>10031</v>
      </c>
      <c r="D57" s="1325"/>
      <c r="E57" s="1325"/>
      <c r="F57" s="1151" t="s">
        <v>3389</v>
      </c>
      <c r="G57" s="1365">
        <f t="shared" ref="G57:G58" si="60">D57-E57</f>
        <v>0</v>
      </c>
      <c r="H57" s="1915">
        <f>SUMIFS('96_движ'!L:L,'96_движ'!$C:$C,$C57)</f>
        <v>0</v>
      </c>
      <c r="I57" s="1434"/>
      <c r="J57" s="1325"/>
      <c r="K57" s="1434"/>
      <c r="L57" s="1325"/>
      <c r="M57" s="1325"/>
      <c r="N57" s="1325"/>
      <c r="O57" s="1325"/>
      <c r="P57" s="1153">
        <f t="shared" ref="P57:P58" si="61">SUM(D57,H57:O57)</f>
        <v>0</v>
      </c>
      <c r="Q57" s="1370"/>
      <c r="R57" s="1151" t="s">
        <v>3389</v>
      </c>
      <c r="S57" s="1365">
        <f>P57-Q57</f>
        <v>0</v>
      </c>
      <c r="T57" s="1367"/>
      <c r="U57" s="615"/>
      <c r="V57" s="3010" t="b">
        <f t="shared" ref="V57:V58" si="62">IF(OR(G57&gt;1,S57&gt;1),FALSE,TRUE)</f>
        <v>1</v>
      </c>
      <c r="W57" s="3010" t="b">
        <f t="shared" si="49"/>
        <v>1</v>
      </c>
      <c r="Y57" s="3010" t="b">
        <f>ABS(SUMIFS('96_движ'!L:L,'96_движ'!C:C,C57,'96_движ'!L:L,"&gt;0")-H57)&lt;1</f>
        <v>1</v>
      </c>
      <c r="AK57" s="3010" t="b">
        <f t="shared" si="38"/>
        <v>1</v>
      </c>
      <c r="AL57" s="3010" t="b">
        <f t="shared" si="39"/>
        <v>1</v>
      </c>
      <c r="AM57" s="3010" t="b">
        <f t="shared" si="40"/>
        <v>1</v>
      </c>
      <c r="AN57" s="3010" t="b">
        <f t="shared" si="41"/>
        <v>1</v>
      </c>
      <c r="AO57" s="3010" t="b">
        <f t="shared" si="42"/>
        <v>1</v>
      </c>
    </row>
    <row r="58" spans="1:41">
      <c r="A58" s="2427" t="str">
        <f t="shared" ca="1" si="7"/>
        <v>R1=30399;COM=</v>
      </c>
      <c r="C58" s="609" t="s">
        <v>10029</v>
      </c>
      <c r="D58" s="1325"/>
      <c r="E58" s="1325"/>
      <c r="F58" s="1151" t="s">
        <v>3389</v>
      </c>
      <c r="G58" s="1365">
        <f t="shared" si="60"/>
        <v>0</v>
      </c>
      <c r="H58" s="1915">
        <f>SUMIFS('96_движ'!L:L,'96_движ'!$C:$C,$C58)</f>
        <v>0</v>
      </c>
      <c r="I58" s="1325"/>
      <c r="J58" s="1325"/>
      <c r="K58" s="1325"/>
      <c r="L58" s="1325"/>
      <c r="M58" s="1325"/>
      <c r="N58" s="1325"/>
      <c r="O58" s="1325"/>
      <c r="P58" s="1915">
        <f t="shared" si="61"/>
        <v>0</v>
      </c>
      <c r="Q58" s="1370"/>
      <c r="R58" s="1151" t="s">
        <v>3389</v>
      </c>
      <c r="S58" s="1365">
        <f>P58-Q58</f>
        <v>0</v>
      </c>
      <c r="T58" s="1367"/>
      <c r="U58" s="615"/>
      <c r="V58" s="3010" t="b">
        <f t="shared" si="62"/>
        <v>1</v>
      </c>
      <c r="W58" s="3010" t="b">
        <f t="shared" si="49"/>
        <v>1</v>
      </c>
      <c r="Y58" s="3010" t="b">
        <f>ABS(SUMIFS('96_движ'!L:L,'96_движ'!C:C,C58,'96_движ'!L:L,"&gt;0")-H58)&lt;1</f>
        <v>1</v>
      </c>
      <c r="AK58" s="3010" t="b">
        <f t="shared" si="38"/>
        <v>1</v>
      </c>
      <c r="AL58" s="3010" t="b">
        <f t="shared" si="39"/>
        <v>1</v>
      </c>
      <c r="AM58" s="3010" t="b">
        <f t="shared" si="40"/>
        <v>1</v>
      </c>
      <c r="AN58" s="3010" t="b">
        <f t="shared" si="41"/>
        <v>1</v>
      </c>
      <c r="AO58" s="3010" t="b">
        <f t="shared" si="42"/>
        <v>1</v>
      </c>
    </row>
    <row r="59" spans="1:41">
      <c r="A59" s="2427" t="str">
        <f t="shared" ca="1" si="7"/>
        <v/>
      </c>
      <c r="C59" s="390" t="s">
        <v>2061</v>
      </c>
      <c r="D59" s="1151">
        <f>SUM(D60:D61)</f>
        <v>0</v>
      </c>
      <c r="E59" s="1151">
        <f>SUM(E60:E61)</f>
        <v>0</v>
      </c>
      <c r="F59" s="1151">
        <v>0</v>
      </c>
      <c r="G59" s="1151">
        <f>SUM(G60:G61)</f>
        <v>0</v>
      </c>
      <c r="H59" s="1151">
        <f t="shared" ref="H59:P59" si="63">SUM(H60:H61)</f>
        <v>0</v>
      </c>
      <c r="I59" s="1151">
        <f t="shared" si="63"/>
        <v>0</v>
      </c>
      <c r="J59" s="1151">
        <f t="shared" si="63"/>
        <v>0</v>
      </c>
      <c r="K59" s="1151">
        <f t="shared" si="63"/>
        <v>0</v>
      </c>
      <c r="L59" s="1151">
        <f t="shared" si="63"/>
        <v>0</v>
      </c>
      <c r="M59" s="1151">
        <f t="shared" si="63"/>
        <v>0</v>
      </c>
      <c r="N59" s="1151">
        <f t="shared" si="63"/>
        <v>0</v>
      </c>
      <c r="O59" s="1151">
        <f t="shared" si="63"/>
        <v>0</v>
      </c>
      <c r="P59" s="1151">
        <f t="shared" si="63"/>
        <v>0</v>
      </c>
      <c r="Q59" s="1151">
        <f t="shared" ref="Q59:S59" si="64">SUM(Q60:Q61)</f>
        <v>0</v>
      </c>
      <c r="R59" s="1151">
        <v>0</v>
      </c>
      <c r="S59" s="1151">
        <f t="shared" si="64"/>
        <v>0</v>
      </c>
      <c r="T59" s="1150" t="s">
        <v>3066</v>
      </c>
      <c r="U59" s="615"/>
      <c r="V59" s="3010"/>
      <c r="W59" s="3010"/>
      <c r="Y59" s="3010"/>
      <c r="AK59" s="3010" t="b">
        <f t="shared" si="38"/>
        <v>1</v>
      </c>
      <c r="AL59" s="3010" t="b">
        <f t="shared" si="39"/>
        <v>1</v>
      </c>
      <c r="AM59" s="3010" t="b">
        <f t="shared" si="40"/>
        <v>1</v>
      </c>
      <c r="AN59" s="3010" t="b">
        <f t="shared" si="41"/>
        <v>1</v>
      </c>
      <c r="AO59" s="3010" t="b">
        <f t="shared" si="42"/>
        <v>1</v>
      </c>
    </row>
    <row r="60" spans="1:41">
      <c r="A60" s="2427" t="str">
        <f t="shared" ca="1" si="7"/>
        <v>R1=30498;COM=</v>
      </c>
      <c r="C60" s="609" t="s">
        <v>10032</v>
      </c>
      <c r="D60" s="1370"/>
      <c r="E60" s="1370"/>
      <c r="F60" s="1151" t="s">
        <v>3389</v>
      </c>
      <c r="G60" s="1365">
        <f t="shared" ref="G60:G61" si="65">D60-E60</f>
        <v>0</v>
      </c>
      <c r="H60" s="1915">
        <f>SUMIFS('96_движ'!L:L,'96_движ'!$C:$C,$C60)</f>
        <v>0</v>
      </c>
      <c r="I60" s="1500"/>
      <c r="J60" s="1370"/>
      <c r="K60" s="1500"/>
      <c r="L60" s="1370"/>
      <c r="M60" s="1370"/>
      <c r="N60" s="1370"/>
      <c r="O60" s="1370"/>
      <c r="P60" s="1366">
        <f t="shared" ref="P60:P61" si="66">SUM(D60,H60:O60)</f>
        <v>0</v>
      </c>
      <c r="Q60" s="1370"/>
      <c r="R60" s="1151" t="s">
        <v>3389</v>
      </c>
      <c r="S60" s="1365">
        <f>P60-Q60</f>
        <v>0</v>
      </c>
      <c r="T60" s="1371"/>
      <c r="U60" s="615"/>
      <c r="V60" s="3010" t="b">
        <f t="shared" ref="V60:V62" si="67">IF(OR(G60&gt;1,S60&gt;1),FALSE,TRUE)</f>
        <v>1</v>
      </c>
      <c r="W60" s="3010" t="b">
        <f t="shared" si="49"/>
        <v>1</v>
      </c>
      <c r="Y60" s="3010" t="b">
        <f>ABS(SUMIFS('96_движ'!L:L,'96_движ'!C:C,C60,'96_движ'!L:L,"&gt;0")-H60)&lt;1</f>
        <v>1</v>
      </c>
      <c r="AK60" s="3010" t="b">
        <f t="shared" si="38"/>
        <v>1</v>
      </c>
      <c r="AL60" s="3010" t="b">
        <f t="shared" si="39"/>
        <v>1</v>
      </c>
      <c r="AM60" s="3010" t="b">
        <f t="shared" si="40"/>
        <v>1</v>
      </c>
      <c r="AN60" s="3010" t="b">
        <f t="shared" si="41"/>
        <v>1</v>
      </c>
      <c r="AO60" s="3010" t="b">
        <f t="shared" si="42"/>
        <v>1</v>
      </c>
    </row>
    <row r="61" spans="1:41">
      <c r="A61" s="2427" t="str">
        <f t="shared" ca="1" si="7"/>
        <v>R1=30499;COM=</v>
      </c>
      <c r="C61" s="609" t="s">
        <v>10028</v>
      </c>
      <c r="D61" s="1370"/>
      <c r="E61" s="1370"/>
      <c r="F61" s="1151" t="s">
        <v>3389</v>
      </c>
      <c r="G61" s="1365">
        <f t="shared" si="65"/>
        <v>0</v>
      </c>
      <c r="H61" s="1915">
        <f>SUMIFS('96_движ'!L:L,'96_движ'!$C:$C,$C61)</f>
        <v>0</v>
      </c>
      <c r="I61" s="1370"/>
      <c r="J61" s="1370"/>
      <c r="K61" s="1370"/>
      <c r="L61" s="1370"/>
      <c r="M61" s="1370"/>
      <c r="N61" s="1370"/>
      <c r="O61" s="1370"/>
      <c r="P61" s="1366">
        <f t="shared" si="66"/>
        <v>0</v>
      </c>
      <c r="Q61" s="1370"/>
      <c r="R61" s="1151" t="s">
        <v>3389</v>
      </c>
      <c r="S61" s="1365">
        <f>P61-Q61</f>
        <v>0</v>
      </c>
      <c r="T61" s="1371"/>
      <c r="V61" s="3010" t="b">
        <f t="shared" si="67"/>
        <v>1</v>
      </c>
      <c r="W61" s="3010" t="b">
        <f t="shared" si="49"/>
        <v>1</v>
      </c>
      <c r="Y61" s="3010" t="b">
        <f>ABS(SUMIFS('96_движ'!L:L,'96_движ'!C:C,C61,'96_движ'!L:L,"&gt;0")-H61)&lt;1</f>
        <v>1</v>
      </c>
      <c r="AK61" s="3010" t="b">
        <f t="shared" si="38"/>
        <v>1</v>
      </c>
      <c r="AL61" s="3010" t="b">
        <f t="shared" si="39"/>
        <v>1</v>
      </c>
      <c r="AM61" s="3010" t="b">
        <f t="shared" si="40"/>
        <v>1</v>
      </c>
      <c r="AN61" s="3010" t="b">
        <f t="shared" si="41"/>
        <v>1</v>
      </c>
      <c r="AO61" s="3010" t="b">
        <f t="shared" si="42"/>
        <v>1</v>
      </c>
    </row>
    <row r="62" spans="1:41">
      <c r="A62" s="2427" t="str">
        <f t="shared" ca="1" si="7"/>
        <v>R1=30500;COM=</v>
      </c>
      <c r="C62" s="390" t="s">
        <v>2062</v>
      </c>
      <c r="D62" s="1370"/>
      <c r="E62" s="1370"/>
      <c r="F62" s="1151" t="s">
        <v>3389</v>
      </c>
      <c r="G62" s="1365">
        <f>D62-E62</f>
        <v>0</v>
      </c>
      <c r="H62" s="1151" t="s">
        <v>3389</v>
      </c>
      <c r="I62" s="1370"/>
      <c r="J62" s="1370"/>
      <c r="K62" s="1370"/>
      <c r="L62" s="1370"/>
      <c r="M62" s="1370"/>
      <c r="N62" s="1370"/>
      <c r="O62" s="1370"/>
      <c r="P62" s="1151">
        <f>SUM(D62,I62:O62)</f>
        <v>0</v>
      </c>
      <c r="Q62" s="1370"/>
      <c r="R62" s="1151" t="s">
        <v>3389</v>
      </c>
      <c r="S62" s="1365">
        <f>P62-Q62</f>
        <v>0</v>
      </c>
      <c r="T62" s="1371"/>
      <c r="U62" s="615"/>
      <c r="V62" s="3010" t="b">
        <f t="shared" si="67"/>
        <v>1</v>
      </c>
      <c r="W62" s="3010" t="b">
        <f t="shared" si="49"/>
        <v>1</v>
      </c>
      <c r="Y62" s="3010"/>
      <c r="AK62" s="3010" t="b">
        <f t="shared" ref="AK62:AK63" si="68">H62&gt;=0</f>
        <v>1</v>
      </c>
      <c r="AL62" s="3010" t="b">
        <f t="shared" ref="AL62:AL63" si="69">I62&gt;=0</f>
        <v>1</v>
      </c>
      <c r="AM62" s="3010" t="b">
        <f t="shared" ref="AM62:AM63" si="70">J62&gt;=0</f>
        <v>1</v>
      </c>
      <c r="AN62" s="3010" t="b">
        <f t="shared" ref="AN62:AN63" si="71">K62&lt;=0</f>
        <v>1</v>
      </c>
      <c r="AO62" s="3010" t="b">
        <f t="shared" ref="AO62:AO63" si="72">M62&lt;=0</f>
        <v>1</v>
      </c>
    </row>
    <row r="63" spans="1:41">
      <c r="A63" s="2427" t="str">
        <f t="shared" ca="1" si="7"/>
        <v/>
      </c>
      <c r="C63" s="1122" t="s">
        <v>8750</v>
      </c>
      <c r="D63" s="1151">
        <f>SUM(D64:D66)</f>
        <v>0</v>
      </c>
      <c r="E63" s="1151">
        <f>SUM(E64:E66)</f>
        <v>0</v>
      </c>
      <c r="F63" s="1151">
        <f>SUM(F64:F66)</f>
        <v>0</v>
      </c>
      <c r="G63" s="1365">
        <f>D63-F63-E63</f>
        <v>0</v>
      </c>
      <c r="H63" s="1151">
        <f>SUM(H64:H66)</f>
        <v>0</v>
      </c>
      <c r="I63" s="1151">
        <f t="shared" ref="I63:O63" si="73">SUM(I64:I66)</f>
        <v>0</v>
      </c>
      <c r="J63" s="1151">
        <f t="shared" si="73"/>
        <v>0</v>
      </c>
      <c r="K63" s="1151">
        <f t="shared" si="73"/>
        <v>0</v>
      </c>
      <c r="L63" s="1151">
        <f t="shared" si="73"/>
        <v>0</v>
      </c>
      <c r="M63" s="1151">
        <f t="shared" si="73"/>
        <v>0</v>
      </c>
      <c r="N63" s="1151">
        <f t="shared" si="73"/>
        <v>0</v>
      </c>
      <c r="O63" s="1151">
        <f t="shared" si="73"/>
        <v>0</v>
      </c>
      <c r="P63" s="1151">
        <f>SUM(P64:P166)</f>
        <v>0</v>
      </c>
      <c r="Q63" s="1151">
        <f>SUM(Q64:Q66)</f>
        <v>0</v>
      </c>
      <c r="R63" s="1151">
        <f>SUM(R64:R66)</f>
        <v>0</v>
      </c>
      <c r="S63" s="1151">
        <f>SUM(S64:S66)</f>
        <v>0</v>
      </c>
      <c r="T63" s="1150" t="s">
        <v>3066</v>
      </c>
      <c r="U63" s="615"/>
      <c r="V63" s="2103"/>
      <c r="W63" s="3010"/>
      <c r="Y63" s="3010"/>
      <c r="AK63" s="3010" t="b">
        <f t="shared" si="68"/>
        <v>1</v>
      </c>
      <c r="AL63" s="3010" t="b">
        <f t="shared" si="69"/>
        <v>1</v>
      </c>
      <c r="AM63" s="3010" t="b">
        <f t="shared" si="70"/>
        <v>1</v>
      </c>
      <c r="AN63" s="3010" t="b">
        <f t="shared" si="71"/>
        <v>1</v>
      </c>
      <c r="AO63" s="3010" t="b">
        <f t="shared" si="72"/>
        <v>1</v>
      </c>
    </row>
    <row r="64" spans="1:41">
      <c r="A64" s="2427" t="str">
        <f t="shared" ca="1" si="7"/>
        <v>R1=100;COM=</v>
      </c>
      <c r="C64" s="609" t="s">
        <v>8751</v>
      </c>
      <c r="D64" s="1370"/>
      <c r="E64" s="1370"/>
      <c r="F64" s="1370"/>
      <c r="G64" s="1365">
        <f t="shared" ref="G64:G66" si="74">D64-F64-E64</f>
        <v>0</v>
      </c>
      <c r="H64" s="1370"/>
      <c r="I64" s="1500"/>
      <c r="J64" s="1370"/>
      <c r="K64" s="1500"/>
      <c r="L64" s="1370"/>
      <c r="M64" s="1370"/>
      <c r="N64" s="1370"/>
      <c r="O64" s="1370"/>
      <c r="P64" s="1366">
        <f t="shared" ref="P64:P66" si="75">SUM(D64,H64:O64)</f>
        <v>0</v>
      </c>
      <c r="Q64" s="1370"/>
      <c r="R64" s="1370"/>
      <c r="S64" s="1915">
        <f t="shared" ref="S64:S66" si="76">P64-R64-Q64</f>
        <v>0</v>
      </c>
      <c r="T64" s="1371"/>
      <c r="U64" s="615"/>
      <c r="V64" s="2103" t="b">
        <f t="shared" ref="V64:V66" si="77">IF(OR(F64&gt;1,G64&gt;1,R64&gt;1,S64&gt;1),FALSE,TRUE)</f>
        <v>1</v>
      </c>
      <c r="W64" s="3010" t="b">
        <f t="shared" si="49"/>
        <v>1</v>
      </c>
      <c r="Y64" s="3010"/>
      <c r="AK64" s="3010" t="b">
        <f t="shared" ref="AK64:AK66" si="78">H64&gt;=0</f>
        <v>1</v>
      </c>
      <c r="AL64" s="3010" t="b">
        <f t="shared" ref="AL64:AL66" si="79">I64&gt;=0</f>
        <v>1</v>
      </c>
      <c r="AM64" s="3010" t="b">
        <f t="shared" ref="AM64:AM66" si="80">J64&gt;=0</f>
        <v>1</v>
      </c>
      <c r="AN64" s="3010" t="b">
        <f t="shared" ref="AN64:AN66" si="81">K64&lt;=0</f>
        <v>1</v>
      </c>
      <c r="AO64" s="3010" t="b">
        <f t="shared" ref="AO64:AO66" si="82">M64&lt;=0</f>
        <v>1</v>
      </c>
    </row>
    <row r="65" spans="1:41">
      <c r="A65" s="2427" t="str">
        <f t="shared" ca="1" si="7"/>
        <v>R1=101;COM=</v>
      </c>
      <c r="C65" s="609" t="s">
        <v>8752</v>
      </c>
      <c r="D65" s="1370"/>
      <c r="E65" s="1370"/>
      <c r="F65" s="1370"/>
      <c r="G65" s="1365">
        <f t="shared" si="74"/>
        <v>0</v>
      </c>
      <c r="H65" s="1370"/>
      <c r="I65" s="1370"/>
      <c r="J65" s="1370"/>
      <c r="K65" s="1370"/>
      <c r="L65" s="1370"/>
      <c r="M65" s="1370"/>
      <c r="N65" s="1370"/>
      <c r="O65" s="1370"/>
      <c r="P65" s="1366">
        <f t="shared" si="75"/>
        <v>0</v>
      </c>
      <c r="Q65" s="1370"/>
      <c r="R65" s="1370"/>
      <c r="S65" s="1915">
        <f t="shared" si="76"/>
        <v>0</v>
      </c>
      <c r="T65" s="1371"/>
      <c r="V65" s="2103" t="b">
        <f t="shared" si="77"/>
        <v>1</v>
      </c>
      <c r="W65" s="3010" t="b">
        <f t="shared" si="49"/>
        <v>1</v>
      </c>
      <c r="Y65" s="3010"/>
      <c r="AK65" s="3010" t="b">
        <f t="shared" si="78"/>
        <v>1</v>
      </c>
      <c r="AL65" s="3010" t="b">
        <f t="shared" si="79"/>
        <v>1</v>
      </c>
      <c r="AM65" s="3010" t="b">
        <f t="shared" si="80"/>
        <v>1</v>
      </c>
      <c r="AN65" s="3010" t="b">
        <f t="shared" si="81"/>
        <v>1</v>
      </c>
      <c r="AO65" s="3010" t="b">
        <f t="shared" si="82"/>
        <v>1</v>
      </c>
    </row>
    <row r="66" spans="1:41" ht="15" thickBot="1">
      <c r="A66" s="2427" t="str">
        <f t="shared" ca="1" si="7"/>
        <v>R1=102;COM=</v>
      </c>
      <c r="C66" s="2960" t="s">
        <v>8753</v>
      </c>
      <c r="D66" s="1328"/>
      <c r="E66" s="1328"/>
      <c r="F66" s="1328"/>
      <c r="G66" s="2961">
        <f t="shared" si="74"/>
        <v>0</v>
      </c>
      <c r="H66" s="1328"/>
      <c r="I66" s="1328"/>
      <c r="J66" s="1328"/>
      <c r="K66" s="1328"/>
      <c r="L66" s="1328"/>
      <c r="M66" s="1328"/>
      <c r="N66" s="1328"/>
      <c r="O66" s="1328"/>
      <c r="P66" s="1327">
        <f t="shared" si="75"/>
        <v>0</v>
      </c>
      <c r="Q66" s="1328"/>
      <c r="R66" s="1328"/>
      <c r="S66" s="1327">
        <f t="shared" si="76"/>
        <v>0</v>
      </c>
      <c r="T66" s="1372"/>
      <c r="V66" s="2103" t="b">
        <f t="shared" si="77"/>
        <v>1</v>
      </c>
      <c r="W66" s="3010" t="b">
        <f t="shared" si="49"/>
        <v>1</v>
      </c>
      <c r="Y66" s="3010"/>
      <c r="AK66" s="3010" t="b">
        <f t="shared" si="78"/>
        <v>1</v>
      </c>
      <c r="AL66" s="3010" t="b">
        <f t="shared" si="79"/>
        <v>1</v>
      </c>
      <c r="AM66" s="3010" t="b">
        <f t="shared" si="80"/>
        <v>1</v>
      </c>
      <c r="AN66" s="3010" t="b">
        <f t="shared" si="81"/>
        <v>1</v>
      </c>
      <c r="AO66" s="3010" t="b">
        <f t="shared" si="82"/>
        <v>1</v>
      </c>
    </row>
  </sheetData>
  <sheetProtection algorithmName="SHA-512" hashValue="6kbllAuyg4fKJrUXSEv4YpXvI6uTk0QM8T1KgLFXDBw6cYh5ow03oE1q2UD3gE+BMr9pZvjLLBdSWHN0v7SVOA==" saltValue="R1vQZlAiWCisyKTiEo7XrA==" spinCount="100000" sheet="1" objects="1" scenarios="1" formatColumns="0" formatRows="0" autoFilter="0"/>
  <autoFilter ref="C8:T66"/>
  <customSheetViews>
    <customSheetView guid="{3769259D-9653-4B34-A2F6-4FB6F9F4E533}" scale="70" showGridLines="0" showAutoFilter="1" hiddenRows="1" hiddenColumns="1" topLeftCell="B17">
      <selection activeCell="E36" sqref="E36"/>
      <pageMargins left="0.7" right="0.7" top="0.75" bottom="0.75" header="0.3" footer="0.3"/>
      <autoFilter ref="B1:Q1"/>
    </customSheetView>
    <customSheetView guid="{40D7A2BB-326C-4ED3-999C-17852F56D6F4}" scale="70" showGridLines="0" showAutoFilter="1" hiddenRows="1" hiddenColumns="1" topLeftCell="B17">
      <selection activeCell="E36" sqref="E36"/>
      <pageMargins left="0.7" right="0.7" top="0.75" bottom="0.75" header="0.3" footer="0.3"/>
      <autoFilter ref="B1:Q1"/>
    </customSheetView>
    <customSheetView guid="{5D121940-0CE8-4A0E-A493-67FAAA6E0FF8}" scale="70" showGridLines="0" showAutoFilter="1" hiddenRows="1" hiddenColumns="1" topLeftCell="I2">
      <selection activeCell="Y29" sqref="Y29"/>
      <pageMargins left="0.7" right="0.7" top="0.75" bottom="0.75" header="0.3" footer="0.3"/>
      <autoFilter ref="B1:Q1"/>
    </customSheetView>
    <customSheetView guid="{47AEACC4-6EA5-412C-AF39-A6C5357B313A}" scale="70" showGridLines="0" showAutoFilter="1" hiddenRows="1" hiddenColumns="1" topLeftCell="E2">
      <selection activeCell="C8" sqref="C8:R8"/>
      <pageMargins left="0.7" right="0.7" top="0.75" bottom="0.75" header="0.3" footer="0.3"/>
      <autoFilter ref="B1:Q1"/>
    </customSheetView>
    <customSheetView guid="{4D957B38-5430-481E-B791-E0A66F913B50}" scale="70">
      <selection activeCell="G8" sqref="G8:G9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cale="70" showGridLines="0" showAutoFilter="1" hiddenRows="1" hiddenColumns="1" topLeftCell="E2">
      <selection activeCell="C8" sqref="C8:R8"/>
      <pageMargins left="0.7" right="0.7" top="0.75" bottom="0.75" header="0.3" footer="0.3"/>
      <autoFilter ref="B1:Q1"/>
    </customSheetView>
  </customSheetViews>
  <mergeCells count="36">
    <mergeCell ref="P5:P6"/>
    <mergeCell ref="O5:O6"/>
    <mergeCell ref="W5:W6"/>
    <mergeCell ref="C5:C6"/>
    <mergeCell ref="D5:D6"/>
    <mergeCell ref="N5:N6"/>
    <mergeCell ref="K5:K6"/>
    <mergeCell ref="J5:J6"/>
    <mergeCell ref="E5:E6"/>
    <mergeCell ref="F5:F6"/>
    <mergeCell ref="G5:G6"/>
    <mergeCell ref="I5:I6"/>
    <mergeCell ref="M5:M6"/>
    <mergeCell ref="H5:H6"/>
    <mergeCell ref="L5:L6"/>
    <mergeCell ref="Q5:Q6"/>
    <mergeCell ref="AB44:AC44"/>
    <mergeCell ref="AB41:AC41"/>
    <mergeCell ref="AB42:AC42"/>
    <mergeCell ref="AF38:AF40"/>
    <mergeCell ref="AB31:AC31"/>
    <mergeCell ref="AB36:AC36"/>
    <mergeCell ref="AB32:AC32"/>
    <mergeCell ref="AC38:AC40"/>
    <mergeCell ref="AB37:AC37"/>
    <mergeCell ref="AB38:AB40"/>
    <mergeCell ref="S5:S6"/>
    <mergeCell ref="R5:R6"/>
    <mergeCell ref="T5:T6"/>
    <mergeCell ref="V5:V6"/>
    <mergeCell ref="X5:X6"/>
    <mergeCell ref="Y5:Y6"/>
    <mergeCell ref="X30:Y30"/>
    <mergeCell ref="AB30:AC30"/>
    <mergeCell ref="AB34:AC34"/>
    <mergeCell ref="Z30:AA30"/>
  </mergeCells>
  <phoneticPr fontId="0" type="noConversion"/>
  <dataValidations disablePrompts="1" count="1">
    <dataValidation type="list" operator="equal" allowBlank="1" showErrorMessage="1" errorTitle="Выбор элемента списка" error="Данного элемента нет в списке" sqref="Z44">
      <formula1>IF(OR($G$4="Атомфонд",$G$4="Атомгарант",),_2240_9220_Р,_2240_Расходы)</formula1>
    </dataValidation>
  </dataValidations>
  <hyperlinks>
    <hyperlink ref="E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2" orientation="landscape"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pageSetUpPr fitToPage="1"/>
  </sheetPr>
  <dimension ref="A1:AM21"/>
  <sheetViews>
    <sheetView topLeftCell="G2" zoomScale="59" zoomScaleNormal="59" workbookViewId="0">
      <selection activeCell="N2" sqref="N1:N1048576"/>
    </sheetView>
  </sheetViews>
  <sheetFormatPr defaultColWidth="9.453125" defaultRowHeight="14.5"/>
  <cols>
    <col min="1" max="1" width="20.81640625" style="1598" hidden="1" customWidth="1"/>
    <col min="2" max="2" width="1.54296875" style="1163" customWidth="1"/>
    <col min="3" max="3" width="62.453125" style="1163" customWidth="1"/>
    <col min="4" max="4" width="31.54296875" style="1163" customWidth="1"/>
    <col min="5" max="5" width="58.54296875" style="1163" customWidth="1"/>
    <col min="6" max="6" width="25.453125" style="1163" customWidth="1"/>
    <col min="7" max="7" width="18.453125" style="1163" customWidth="1"/>
    <col min="8" max="8" width="20.453125" style="1163" customWidth="1"/>
    <col min="9" max="10" width="17.54296875" style="1163" customWidth="1"/>
    <col min="11" max="11" width="21" style="1163" customWidth="1"/>
    <col min="12" max="13" width="17.54296875" style="1163" customWidth="1"/>
    <col min="14" max="15" width="17.54296875" style="2130" customWidth="1"/>
    <col min="16" max="19" width="17.54296875" style="1163" customWidth="1"/>
    <col min="20" max="20" width="19.54296875" style="1163" customWidth="1"/>
    <col min="21" max="22" width="22.453125" style="1163" customWidth="1"/>
    <col min="23" max="23" width="25.1796875" style="1163" customWidth="1"/>
    <col min="24" max="24" width="33.54296875" style="1163" customWidth="1"/>
    <col min="25" max="25" width="26.54296875" style="1163" customWidth="1"/>
    <col min="26" max="26" width="24.81640625" style="1163" customWidth="1"/>
    <col min="27" max="27" width="19" style="1163" customWidth="1"/>
    <col min="28" max="28" width="9.453125" style="1163"/>
    <col min="29" max="29" width="15.81640625" style="1163" customWidth="1"/>
    <col min="30" max="30" width="18.54296875" style="1163" customWidth="1"/>
    <col min="31" max="31" width="15.54296875" style="1163" customWidth="1"/>
    <col min="32" max="32" width="15.81640625" style="1163" customWidth="1"/>
    <col min="33" max="33" width="17.1796875" style="1163" customWidth="1"/>
    <col min="34" max="34" width="16.1796875" style="1163" customWidth="1"/>
    <col min="35" max="35" width="15.81640625" style="1163" customWidth="1"/>
    <col min="36" max="36" width="17.81640625" style="1163" customWidth="1"/>
    <col min="37" max="37" width="16.1796875" style="1163" customWidth="1"/>
    <col min="38" max="38" width="17.81640625" style="1163" customWidth="1"/>
    <col min="39" max="39" width="18.81640625" style="1163" customWidth="1"/>
    <col min="40" max="16384" width="9.453125" style="1163"/>
  </cols>
  <sheetData>
    <row r="1" spans="1:39" ht="23.25" hidden="1" customHeight="1">
      <c r="A1" s="1945" t="s">
        <v>5264</v>
      </c>
      <c r="B1" s="5"/>
      <c r="C1" s="5"/>
      <c r="D1" s="5"/>
      <c r="E1" s="6"/>
      <c r="F1" s="6"/>
      <c r="G1" s="6"/>
      <c r="H1" s="6"/>
      <c r="J1" s="2438" t="s">
        <v>14665</v>
      </c>
      <c r="K1" s="2438" t="s">
        <v>14666</v>
      </c>
      <c r="L1" s="6" t="s">
        <v>6426</v>
      </c>
      <c r="M1" s="2438" t="s">
        <v>14660</v>
      </c>
      <c r="N1" s="2438" t="s">
        <v>14661</v>
      </c>
      <c r="O1" s="2438" t="s">
        <v>14662</v>
      </c>
      <c r="P1" s="2438" t="s">
        <v>14663</v>
      </c>
      <c r="Q1" s="2438" t="s">
        <v>14664</v>
      </c>
      <c r="S1" s="2438" t="s">
        <v>14667</v>
      </c>
      <c r="T1" s="2438" t="s">
        <v>14668</v>
      </c>
    </row>
    <row r="2" spans="1:39" s="32" customFormat="1" ht="15" customHeight="1" thickBot="1">
      <c r="A2" s="555"/>
      <c r="E2"/>
      <c r="I2" s="1778" t="s">
        <v>1648</v>
      </c>
      <c r="N2" s="2130"/>
      <c r="O2" s="2130"/>
    </row>
    <row r="3" spans="1:39" s="32" customFormat="1">
      <c r="A3" s="555"/>
      <c r="C3" s="4003" t="s">
        <v>14640</v>
      </c>
      <c r="D3" s="4003"/>
      <c r="E3" s="4003"/>
      <c r="F3" s="1897" t="s">
        <v>2067</v>
      </c>
      <c r="G3" s="1244">
        <f>Содержание!$D$2</f>
        <v>0</v>
      </c>
      <c r="I3" s="498" t="s">
        <v>2202</v>
      </c>
      <c r="N3" s="2130"/>
      <c r="O3" s="2130"/>
    </row>
    <row r="4" spans="1:39" s="32" customFormat="1" ht="15" thickBot="1">
      <c r="A4" s="555"/>
      <c r="C4" s="4003"/>
      <c r="D4" s="4003"/>
      <c r="E4" s="4003"/>
      <c r="F4" s="1897" t="s">
        <v>2075</v>
      </c>
      <c r="G4" s="1244" t="str">
        <f>Содержание!$D$15</f>
        <v>2022 год</v>
      </c>
      <c r="I4" s="325" t="b">
        <f>AND('96'!Y47:Y61)</f>
        <v>1</v>
      </c>
      <c r="V4" s="2130"/>
      <c r="W4" s="2130"/>
    </row>
    <row r="5" spans="1:39" ht="51.65" customHeight="1">
      <c r="A5" s="555"/>
      <c r="C5" s="4003"/>
      <c r="D5" s="4003"/>
      <c r="E5" s="4003"/>
      <c r="F5" s="12"/>
      <c r="H5" s="12"/>
      <c r="I5" s="4002" t="s">
        <v>14725</v>
      </c>
      <c r="J5" s="4002"/>
      <c r="K5" s="4002"/>
      <c r="R5" s="4002" t="s">
        <v>14725</v>
      </c>
      <c r="S5" s="4002"/>
      <c r="T5" s="4002"/>
      <c r="V5" s="2130"/>
      <c r="W5" s="2130"/>
    </row>
    <row r="6" spans="1:39" ht="15" thickBot="1">
      <c r="A6" s="555"/>
      <c r="C6" s="1202"/>
      <c r="D6" s="1202"/>
      <c r="E6" s="10"/>
      <c r="F6" s="10"/>
      <c r="G6" s="10"/>
      <c r="H6" s="10"/>
      <c r="I6" s="3044" t="s">
        <v>1436</v>
      </c>
      <c r="J6" s="209"/>
      <c r="V6" s="2130"/>
      <c r="W6" s="8" t="s">
        <v>2139</v>
      </c>
      <c r="X6" s="2082">
        <f ca="1">IF($G$3="Росэнергоатом",SUMIF(E:I,W6,I:I)/5,SUMIF(E:I,W6,I:I))</f>
        <v>0</v>
      </c>
      <c r="AJ6" s="2130" t="s">
        <v>10217</v>
      </c>
    </row>
    <row r="7" spans="1:39" ht="82.5" customHeight="1">
      <c r="A7" s="555"/>
      <c r="C7" s="3046" t="s">
        <v>5186</v>
      </c>
      <c r="D7" s="3047" t="s">
        <v>6189</v>
      </c>
      <c r="E7" s="3048" t="s">
        <v>2977</v>
      </c>
      <c r="F7" s="3049" t="s">
        <v>5381</v>
      </c>
      <c r="G7" s="3048" t="s">
        <v>5531</v>
      </c>
      <c r="H7" s="3048" t="s">
        <v>8394</v>
      </c>
      <c r="I7" s="3049" t="s">
        <v>5225</v>
      </c>
      <c r="J7" s="3049" t="s">
        <v>5088</v>
      </c>
      <c r="K7" s="3049" t="s">
        <v>5089</v>
      </c>
      <c r="L7" s="3049" t="s">
        <v>1690</v>
      </c>
      <c r="M7" s="3049" t="s">
        <v>5162</v>
      </c>
      <c r="N7" s="3049" t="s">
        <v>5163</v>
      </c>
      <c r="O7" s="3049" t="s">
        <v>2976</v>
      </c>
      <c r="P7" s="3049" t="s">
        <v>8362</v>
      </c>
      <c r="Q7" s="3049" t="s">
        <v>9951</v>
      </c>
      <c r="R7" s="3049" t="s">
        <v>5233</v>
      </c>
      <c r="S7" s="3049" t="s">
        <v>5091</v>
      </c>
      <c r="T7" s="3049" t="s">
        <v>5092</v>
      </c>
      <c r="U7" s="3050" t="s">
        <v>4183</v>
      </c>
      <c r="V7" s="2830"/>
      <c r="W7" s="3003" t="s">
        <v>4513</v>
      </c>
      <c r="X7" s="2082">
        <f ca="1">IF($G$3="Росэнергоатом",SUMIF(E:I,W7,I:I)/5,SUMIF(E:I,W7,I:I))</f>
        <v>0</v>
      </c>
      <c r="Y7" s="2130"/>
      <c r="Z7" s="3789" t="s">
        <v>8604</v>
      </c>
      <c r="AA7" s="3789" t="s">
        <v>6190</v>
      </c>
      <c r="AB7" s="705"/>
      <c r="AC7" s="3789" t="s">
        <v>7504</v>
      </c>
      <c r="AD7" s="3789" t="s">
        <v>7505</v>
      </c>
      <c r="AE7" s="3789" t="s">
        <v>7506</v>
      </c>
      <c r="AF7" s="4001" t="s">
        <v>8441</v>
      </c>
      <c r="AG7" s="4000" t="s">
        <v>8609</v>
      </c>
      <c r="AH7" s="4000" t="s">
        <v>10234</v>
      </c>
      <c r="AI7" s="4000" t="s">
        <v>9983</v>
      </c>
      <c r="AJ7" s="4000" t="s">
        <v>14582</v>
      </c>
      <c r="AK7" s="3979" t="s">
        <v>14298</v>
      </c>
      <c r="AL7" s="3979" t="s">
        <v>14871</v>
      </c>
      <c r="AM7" s="3979" t="s">
        <v>14639</v>
      </c>
    </row>
    <row r="8" spans="1:39" s="646" customFormat="1" ht="26.9" customHeight="1">
      <c r="A8" s="644"/>
      <c r="C8" s="3051" t="s">
        <v>4150</v>
      </c>
      <c r="D8" s="1510"/>
      <c r="E8" s="443">
        <v>10019</v>
      </c>
      <c r="F8" s="443" t="s">
        <v>5247</v>
      </c>
      <c r="G8" s="443" t="s">
        <v>5247</v>
      </c>
      <c r="H8" s="443" t="s">
        <v>5247</v>
      </c>
      <c r="I8" s="443" t="s">
        <v>674</v>
      </c>
      <c r="J8" s="443" t="s">
        <v>4142</v>
      </c>
      <c r="K8" s="443" t="s">
        <v>4142</v>
      </c>
      <c r="L8" s="443" t="s">
        <v>5187</v>
      </c>
      <c r="M8" s="443" t="s">
        <v>4239</v>
      </c>
      <c r="N8" s="443" t="s">
        <v>4240</v>
      </c>
      <c r="O8" s="443" t="s">
        <v>430</v>
      </c>
      <c r="P8" s="443" t="s">
        <v>1305</v>
      </c>
      <c r="Q8" s="443" t="s">
        <v>5098</v>
      </c>
      <c r="R8" s="443" t="s">
        <v>694</v>
      </c>
      <c r="S8" s="443" t="s">
        <v>4142</v>
      </c>
      <c r="T8" s="443" t="s">
        <v>4142</v>
      </c>
      <c r="U8" s="443"/>
      <c r="V8" s="3789" t="s">
        <v>8738</v>
      </c>
      <c r="W8" s="3003" t="s">
        <v>3258</v>
      </c>
      <c r="X8" s="2082">
        <f ca="1">IF($G$3="Росэнергоатом",SUMIF(E:I,W8,I:I)/5,SUMIF(E:I,W8,I:I))</f>
        <v>0</v>
      </c>
      <c r="Y8" s="2195"/>
      <c r="Z8" s="3789"/>
      <c r="AA8" s="3789"/>
      <c r="AB8" s="705"/>
      <c r="AC8" s="3789"/>
      <c r="AD8" s="3789"/>
      <c r="AE8" s="3789"/>
      <c r="AF8" s="4001"/>
      <c r="AG8" s="4000"/>
      <c r="AH8" s="4000"/>
      <c r="AI8" s="4000"/>
      <c r="AJ8" s="4000"/>
      <c r="AK8" s="3979"/>
      <c r="AL8" s="3979"/>
      <c r="AM8" s="3979"/>
    </row>
    <row r="9" spans="1:39" s="705" customFormat="1">
      <c r="A9" s="700"/>
      <c r="C9" s="3052" t="s">
        <v>4164</v>
      </c>
      <c r="D9" s="1758" t="s">
        <v>4165</v>
      </c>
      <c r="E9" s="1758" t="s">
        <v>4166</v>
      </c>
      <c r="F9" s="1758" t="s">
        <v>5500</v>
      </c>
      <c r="G9" s="1758" t="s">
        <v>4169</v>
      </c>
      <c r="H9" s="1758" t="s">
        <v>4168</v>
      </c>
      <c r="I9" s="1758" t="s">
        <v>4178</v>
      </c>
      <c r="J9" s="1758" t="s">
        <v>4179</v>
      </c>
      <c r="K9" s="1758" t="s">
        <v>4167</v>
      </c>
      <c r="L9" s="1758" t="s">
        <v>5501</v>
      </c>
      <c r="M9" s="1758" t="s">
        <v>4701</v>
      </c>
      <c r="N9" s="1758" t="s">
        <v>4702</v>
      </c>
      <c r="O9" s="1758" t="s">
        <v>4703</v>
      </c>
      <c r="P9" s="1758" t="s">
        <v>5502</v>
      </c>
      <c r="Q9" s="1758" t="s">
        <v>5503</v>
      </c>
      <c r="R9" s="1758" t="s">
        <v>5504</v>
      </c>
      <c r="S9" s="1758" t="s">
        <v>4853</v>
      </c>
      <c r="T9" s="1758" t="s">
        <v>4852</v>
      </c>
      <c r="U9" s="1758" t="s">
        <v>5505</v>
      </c>
      <c r="V9" s="3789"/>
      <c r="W9" s="3003" t="s">
        <v>4473</v>
      </c>
      <c r="X9" s="2082">
        <f ca="1">IF($G$3="Росэнергоатом",SUMIF(E:I,W9,I:I)/5,SUMIF(E:I,W9,I:I))</f>
        <v>0</v>
      </c>
      <c r="Y9" s="2196"/>
      <c r="Z9" s="2196"/>
      <c r="AA9" s="2196"/>
      <c r="AB9" s="2196"/>
      <c r="AC9" s="2196"/>
      <c r="AD9" s="2196"/>
      <c r="AE9" s="2196"/>
      <c r="AF9" s="2196"/>
      <c r="AG9" s="2196"/>
      <c r="AH9" s="2196"/>
      <c r="AI9" s="2196"/>
      <c r="AJ9" s="2196"/>
      <c r="AK9" s="2196"/>
      <c r="AL9" s="2196"/>
      <c r="AM9" s="2196"/>
    </row>
    <row r="10" spans="1:39">
      <c r="A10" s="556"/>
      <c r="C10" s="3053" t="s">
        <v>4170</v>
      </c>
      <c r="D10" s="438" t="s">
        <v>3389</v>
      </c>
      <c r="E10" s="438" t="s">
        <v>3389</v>
      </c>
      <c r="F10" s="438" t="s">
        <v>3389</v>
      </c>
      <c r="G10" s="438" t="s">
        <v>3389</v>
      </c>
      <c r="H10" s="438" t="s">
        <v>3389</v>
      </c>
      <c r="I10" s="3496">
        <f>SUM(I11:I2000)</f>
        <v>0</v>
      </c>
      <c r="J10" s="3496">
        <f>SUM(J11:J2000)</f>
        <v>0</v>
      </c>
      <c r="K10" s="3496">
        <f t="shared" ref="K10:T10" si="0">SUM(K11:K2000)</f>
        <v>0</v>
      </c>
      <c r="L10" s="3496">
        <f t="shared" si="0"/>
        <v>0</v>
      </c>
      <c r="M10" s="3496">
        <f t="shared" si="0"/>
        <v>0</v>
      </c>
      <c r="N10" s="3496">
        <f t="shared" si="0"/>
        <v>0</v>
      </c>
      <c r="O10" s="3496">
        <f t="shared" si="0"/>
        <v>0</v>
      </c>
      <c r="P10" s="3496">
        <f t="shared" si="0"/>
        <v>0</v>
      </c>
      <c r="Q10" s="3496">
        <f t="shared" si="0"/>
        <v>0</v>
      </c>
      <c r="R10" s="3496">
        <f t="shared" si="0"/>
        <v>0</v>
      </c>
      <c r="S10" s="3496">
        <f t="shared" si="0"/>
        <v>0</v>
      </c>
      <c r="T10" s="3496">
        <f t="shared" si="0"/>
        <v>0</v>
      </c>
      <c r="U10" s="438" t="s">
        <v>3389</v>
      </c>
      <c r="V10" s="2193" t="b">
        <f>ABS((SUMIFS('96'!H:H,'96'!C:C,"*20600*")+SUMIFS('96'!H:H,'96'!C:C,"*20900*")+SUMIFS('96'!K:K,'96'!C:C,"*20600*")+SUMIFS('96'!K:K,'96'!C:C,"*20900*"))-(SUMIFS('96_движ'!N:N,'96_движ'!C:C,"*20600*")+SUMIFS('96_движ'!N:N,'96_движ'!C:C,"*20900*")+SUMIFS('96_движ'!L:L,'96_движ'!C:C,"*20900*")+SUMIFS('96_движ'!L:L,'96_движ'!C:C,"*20600*")))&lt;=5</f>
        <v>1</v>
      </c>
      <c r="W10" s="2830"/>
      <c r="X10" s="2193" t="b">
        <f>AND(X11:X65536)</f>
        <v>1</v>
      </c>
      <c r="Y10" s="2193" t="b">
        <f>AND(Y11:Y65536)</f>
        <v>1</v>
      </c>
      <c r="Z10" s="2193" t="b">
        <f t="shared" ref="Z10:AC10" si="1">AND(Z11:Z65536)</f>
        <v>1</v>
      </c>
      <c r="AA10" s="2193" t="b">
        <f t="shared" si="1"/>
        <v>0</v>
      </c>
      <c r="AB10" s="2830"/>
      <c r="AC10" s="2193" t="b">
        <f t="shared" si="1"/>
        <v>1</v>
      </c>
      <c r="AD10" s="2193" t="b">
        <f t="shared" ref="AD10" si="2">AND(AD11:AD65536)</f>
        <v>1</v>
      </c>
      <c r="AE10" s="2193" t="b">
        <f t="shared" ref="AE10" si="3">AND(AE11:AE65536)</f>
        <v>1</v>
      </c>
      <c r="AF10" s="2193" t="b">
        <f t="shared" ref="AF10" si="4">AND(AF11:AF65536)</f>
        <v>1</v>
      </c>
      <c r="AG10" s="2193" t="b">
        <f t="shared" ref="AG10" si="5">AND(AG11:AG65536)</f>
        <v>1</v>
      </c>
      <c r="AH10" s="2193" t="b">
        <f t="shared" ref="AH10" si="6">AND(AH11:AH65536)</f>
        <v>1</v>
      </c>
      <c r="AI10" s="2193" t="b">
        <f t="shared" ref="AI10" si="7">AND(AI11:AI65536)</f>
        <v>1</v>
      </c>
      <c r="AJ10" s="2193" t="b">
        <f t="shared" ref="AJ10" si="8">AND(AJ11:AJ65536)</f>
        <v>1</v>
      </c>
      <c r="AK10" s="2193" t="b">
        <f t="shared" ref="AK10" si="9">AND(AK11:AK65536)</f>
        <v>1</v>
      </c>
      <c r="AL10" s="2193" t="b">
        <f>AND(AL11:AL65536)</f>
        <v>1</v>
      </c>
      <c r="AM10" s="2193" t="b">
        <f>AND(AM11:AM65536)</f>
        <v>1</v>
      </c>
    </row>
    <row r="11" spans="1:39" s="1564" customFormat="1" ht="25">
      <c r="A11" s="556" t="str">
        <f>"R1="&amp;MID(C11,2,5)&amp;";R2="&amp;IF(E11="","","2210"&amp;MID(E11,2,8))&amp;";R31="&amp;D11&amp;";R42="&amp;MID(IF(H11="-",IF(G11="-","",G11),H11),1,30)&amp;";R57="&amp;MID(F11,1,60)&amp;";R36="&amp;MID(H11,1,30)&amp;";R43="&amp;MID(G11,1,30)&amp;";COM="&amp;U11</f>
        <v>R1=;R2=;R31=;R42=;R57=;R36=;R43=;COM=</v>
      </c>
      <c r="C11" s="3054"/>
      <c r="D11" s="2304"/>
      <c r="E11" s="2450"/>
      <c r="F11" s="543"/>
      <c r="G11" s="2269"/>
      <c r="H11" s="1001"/>
      <c r="I11" s="1151">
        <f>SUM(J11:K11)</f>
        <v>0</v>
      </c>
      <c r="J11" s="3512"/>
      <c r="K11" s="3512"/>
      <c r="L11" s="490"/>
      <c r="M11" s="490"/>
      <c r="N11" s="490"/>
      <c r="O11" s="490"/>
      <c r="P11" s="490"/>
      <c r="Q11" s="490"/>
      <c r="R11" s="1151">
        <f>SUM(S11:T11)</f>
        <v>0</v>
      </c>
      <c r="S11" s="3512"/>
      <c r="T11" s="3512"/>
      <c r="U11" s="3055"/>
      <c r="V11" s="2130"/>
      <c r="X11" s="1564" t="b">
        <f t="shared" ref="X11:X21" si="10">IF(ISBLANK(C11),TRUE,IF(AND(COUNTIF(C11,"*20900*"),N11&lt;0),AND(D11="X",E11="X"),IF(ISERROR(VLOOKUP(D11,_96_Кс,1,0)),FALSE,TRUE)))</f>
        <v>1</v>
      </c>
      <c r="Y11" s="2130" t="b">
        <f>IF(OR(E11="{52390100} Услуги по формированию технологического резерва мощностей",E11="{40040000} Амортизация ОС, приобретенных за счет отраслевых резервов, субсидий и МТП",E11="{40050000} Амортизация НМА, приобретенных за счет отраслевых резервов, субсидий и МТП"),TRUE,IF(ISERR(SEARCH("Резерв",E11))=TRUE,TRUE,FALSE))</f>
        <v>1</v>
      </c>
      <c r="Z11" s="2451" t="b">
        <f>IF(C11&gt;0,AND(F11&gt;0,G11&gt;0,H11&gt;0),TRUE)</f>
        <v>1</v>
      </c>
      <c r="AA11" s="2451" t="b">
        <f>IFERROR(F11&lt;&gt;$G$3,"ложь")</f>
        <v>0</v>
      </c>
      <c r="AC11" s="2451" t="b">
        <f t="shared" ref="AC11:AC20" si="11">IF(ISBLANK(C11),TRUE,IF(ISERROR(VLOOKUP(C11,_2620_96,1,0)),FALSE,TRUE))</f>
        <v>1</v>
      </c>
      <c r="AD11" s="2451" t="b">
        <f t="shared" ref="AD11:AD20" si="12">IF(OR(COUNTIF(C11,"*20600*"),ISBLANK(C11)),TRUE,IF(ISERROR(VLOOKUP(D11,_96_X,1,0)),FALSE,TRUE))</f>
        <v>1</v>
      </c>
      <c r="AE11" s="2451" t="b">
        <f t="shared" ref="AE11:AE20" si="13">IF(OR(E11="{14260400} Расходы (услуги) по разработке и анализу нормативно-технической документации, связанной с инженерно-техническим сопровождением"&amp;" работ по совершенствованию систем, условий эксплуатации, по разработке учебно-методических материалов по подготовке оперативного, эксплуатационного и ремонтного персонала",E11="{14270500} Услуги по обеспечению надежности функционирования электроэнергетики путем организации отбора исполнителей и оплаты услуг по"&amp;" обеспечению системной надежности, услуг по обеспечению вывода Единой энергетической системы России из аварийных ситуаций и услуг по формированию технологического резерва мощностей",E11="{52410000} Расходы на услуги по предоставлению работников (технического и управленческого персонала) сторонними организациями для участия в производственном процессе,"&amp;" управлении производством либо для выполнения иных функций, связанных с производством и (или) реализацией"),TRUE,IF(OR(COUNTIF(C11,"*20600*"),COUNTIF(C11,"*20900*"),ISBLANK(C11)),TRUE,AND(IF(OR(C11="{20300} Оценочные обязательства по обращению с радиоактивными и прочими отходами",C11="{20800} Оценочные обязательства по реструктуризации"),IF(ISERROR(INDEX(_10019_1_96_движ,MATCH(E11,_10019_1_96_движ,0),1)),FALSE,TRUE),TRUE),IF(OR(C11="{20300} Оценочные обязательства по обращению с радиоактивными и прочими отходами",C11="{20800} Оценочные обязательства по реструктуризации"),TRUE,IF(OR($D11="20_23_25_29",$D11=26,$D11=44),IF(ISERROR(INDEX(_X,MATCH(E11,_X,0),1)),FALSE,TRUE),TRUE)),IF(OR($D11="20_23_25_29",$D11=26,$D11=44,$C11=OR(C11="{20300} Оценочные обязательства по обращению с радиоактивными и прочими отходами",C11="{20800} Оценочные обязательства по реструктуризации")),TRUE,IF(ISERROR(INDEX(_10019_1_96,MATCH(E11,_10019_1_96,0),1)),FALSE,TRUE)))))</f>
        <v>1</v>
      </c>
      <c r="AF11" s="2451" t="b">
        <f>AND(IF(D11="02",NOT(ISNA(VLOOKUP(E11,'02'!$AJ$4:$AJ$11,1,0))),TRUE),IF(D11="05",NOT(ISNA(VLOOKUP(E11,'05'!$AC$7:$AC$11,1,0))),TRUE))</f>
        <v>1</v>
      </c>
      <c r="AG11" s="2451" t="b">
        <f>IF(LEFT(C11,2)="{3",IF(OR(LEFT(E11,5)="{2003",LEFT(E11,4)="{305"),TRUE,L11&gt;=-1),TRUE)</f>
        <v>1</v>
      </c>
      <c r="AH11" s="2451" t="b">
        <f t="shared" ref="AH11:AH20" si="14">IF(IF(IF(COUNTIF(C11,"*20600*"),_X,IF(COUNTIF(C11,"*20900*"),_10019_1_96_движХ,IF(OR(COUNTIF(C11,"*20300*"),COUNTIF(C11,"*20800*")),_10019_1_96_движ,IF(OR($D11="20_23_25_29",$D11=26,$D11=44,$D11="01"),_X,"Да"))))="Да",IF(E11="X","X",TRUE),TRUE)="X",IF((OR(D11=71,D11=91)),TRUE,FALSE),TRUE)</f>
        <v>1</v>
      </c>
      <c r="AI11" s="2451" t="b">
        <f>IF(COUNTIF(C11,"*20600*"),IF(OR(L11&gt;0,N11&lt;0),IF(AND(L11&gt;0,D11=76),TRUE,IF(AND(N11&lt;0,D11="X"),TRUE,FALSE)),TRUE),TRUE)</f>
        <v>1</v>
      </c>
      <c r="AJ11" s="2451" t="b">
        <f t="shared" ref="AJ11:AJ20" si="15">IF(IFERROR(VLOOKUP(E11,_10019_96_движ,1,0),0)=0,TRUE,OR(D11=70,D11="08",D11="20_23_25_29"))</f>
        <v>1</v>
      </c>
      <c r="AK11" s="2451" t="b">
        <f>IF(COUNTIF(C11,"*20700*"),IF(N11&lt;0,D11=99,IF(L11&gt;0,D11=99,D11="X")),TRUE)</f>
        <v>1</v>
      </c>
      <c r="AL11" s="2451" t="b">
        <f>IF(OR(C11="{20600} Оценочные обязательства по судебным искам",C11="{20500} Оценочные обязательства по обременительным договорам"),TRUE,COUNTA(L11:Q11)&lt;2)</f>
        <v>1</v>
      </c>
      <c r="AM11" s="2451" t="b">
        <f>IF(OR(COUNTIF(C11,"*20500*"),COUNTIF(C11,"*20600*")),NOT(OR(F11="Внешние контрагенты",H11=10015)),TRUE)</f>
        <v>1</v>
      </c>
    </row>
    <row r="12" spans="1:39" ht="25">
      <c r="A12" s="556" t="str">
        <f t="shared" ref="A12:A20" si="16">"R1="&amp;MID(C12,2,5)&amp;";R2="&amp;IF(E12="","","2210"&amp;MID(E12,2,8))&amp;";R31="&amp;D12&amp;";R42="&amp;MID(IF(H12="-",IF(G12="-","",G12),H12),1,30)&amp;";R57="&amp;MID(F12,1,60)&amp;";R36="&amp;MID(H12,1,30)&amp;";R43="&amp;MID(G12,1,30)&amp;";COM="&amp;U12</f>
        <v>R1=;R2=;R31=;R42=;R57=;R36=;R43=;COM=</v>
      </c>
      <c r="C12" s="3054"/>
      <c r="D12" s="2304"/>
      <c r="E12" s="2450"/>
      <c r="F12" s="543"/>
      <c r="G12" s="2269"/>
      <c r="H12" s="1001"/>
      <c r="I12" s="1151">
        <f t="shared" ref="I12:I20" si="17">SUM(J12:K12)</f>
        <v>0</v>
      </c>
      <c r="J12" s="3512"/>
      <c r="K12" s="3512"/>
      <c r="L12" s="490"/>
      <c r="M12" s="490"/>
      <c r="N12" s="490"/>
      <c r="O12" s="490"/>
      <c r="P12" s="490"/>
      <c r="Q12" s="490"/>
      <c r="R12" s="1151">
        <f t="shared" ref="R12:R20" si="18">SUM(S12:T12)</f>
        <v>0</v>
      </c>
      <c r="S12" s="3512"/>
      <c r="T12" s="3512"/>
      <c r="U12" s="3055"/>
      <c r="V12" s="2130"/>
      <c r="W12" s="2830"/>
      <c r="X12" s="1564" t="b">
        <f t="shared" si="10"/>
        <v>1</v>
      </c>
      <c r="Y12" s="2130" t="b">
        <f t="shared" ref="Y12:Y20" si="19">IF(OR(E12="{52390100} Услуги по формированию технологического резерва мощностей",E12="{40040000} Амортизация ОС, приобретенных за счет отраслевых резервов, субсидий и МТП",E12="{40050000} Амортизация НМА, приобретенных за счет отраслевых резервов, субсидий и МТП"),TRUE,IF(ISERR(SEARCH("Резерв",E12))=TRUE,TRUE,FALSE))</f>
        <v>1</v>
      </c>
      <c r="Z12" s="2451" t="b">
        <f t="shared" ref="Z12:Z20" si="20">IF(C12&gt;0,AND(F12&gt;0,G12&gt;0,H12&gt;0),TRUE)</f>
        <v>1</v>
      </c>
      <c r="AA12" s="2451" t="b">
        <f t="shared" ref="AA12:AA20" si="21">IFERROR(F12&lt;&gt;$G$3,"ложь")</f>
        <v>0</v>
      </c>
      <c r="AB12" s="1564"/>
      <c r="AC12" s="2451" t="b">
        <f t="shared" si="11"/>
        <v>1</v>
      </c>
      <c r="AD12" s="2451" t="b">
        <f t="shared" si="12"/>
        <v>1</v>
      </c>
      <c r="AE12" s="2451" t="b">
        <f t="shared" si="13"/>
        <v>1</v>
      </c>
      <c r="AF12" s="2451" t="b">
        <f>AND(IF(D12="02",NOT(ISNA(VLOOKUP(E12,'02'!$AJ$4:$AJ$11,1,0))),TRUE),IF(D12="05",NOT(ISNA(VLOOKUP(E12,'05'!$AC$7:$AC$11,1,0))),TRUE))</f>
        <v>1</v>
      </c>
      <c r="AG12" s="2451" t="b">
        <f t="shared" ref="AG12:AG20" si="22">IF(LEFT(C12,2)="{3",IF(OR(LEFT(E12,5)="{2003",LEFT(E12,4)="{305"),TRUE,L12&gt;=-1),TRUE)</f>
        <v>1</v>
      </c>
      <c r="AH12" s="2451" t="b">
        <f t="shared" si="14"/>
        <v>1</v>
      </c>
      <c r="AI12" s="2451" t="b">
        <f t="shared" ref="AI12:AI20" si="23">IF(COUNTIF(C12,"*20600*"),IF(OR(L12&gt;0,N12&lt;0),IF(AND(L12&gt;0,D12=76),TRUE,IF(AND(N12&lt;0,D12="X"),TRUE,FALSE)),TRUE),TRUE)</f>
        <v>1</v>
      </c>
      <c r="AJ12" s="2451" t="b">
        <f t="shared" si="15"/>
        <v>1</v>
      </c>
      <c r="AK12" s="2451" t="b">
        <f t="shared" ref="AK12:AK20" si="24">IF(COUNTIF(C12,"*20700*"),IF(N12&lt;0,D12=99,IF(L12&gt;0,D12=99,D12="X")),TRUE)</f>
        <v>1</v>
      </c>
      <c r="AL12" s="2451" t="b">
        <f t="shared" ref="AL12:AL20" si="25">IF(OR(C12="{20600} Оценочные обязательства по судебным искам",C12="{20500} Оценочные обязательства по обременительным договорам"),TRUE,COUNTA(L12:Q12)&lt;2)</f>
        <v>1</v>
      </c>
      <c r="AM12" s="2451" t="b">
        <f t="shared" ref="AM12:AM20" si="26">IF(OR(COUNTIF(C12,"*20500*"),COUNTIF(C12,"*20600*")),NOT(OR(F12="Внешние контрагенты",H12=10015)),TRUE)</f>
        <v>1</v>
      </c>
    </row>
    <row r="13" spans="1:39" ht="25">
      <c r="A13" s="556" t="str">
        <f t="shared" si="16"/>
        <v>R1=;R2=;R31=;R42=;R57=;R36=;R43=;COM=</v>
      </c>
      <c r="C13" s="3054"/>
      <c r="D13" s="2304"/>
      <c r="E13" s="2450"/>
      <c r="F13" s="543"/>
      <c r="G13" s="2269"/>
      <c r="H13" s="1001"/>
      <c r="I13" s="1151">
        <f t="shared" si="17"/>
        <v>0</v>
      </c>
      <c r="J13" s="3512"/>
      <c r="K13" s="3512"/>
      <c r="L13" s="490"/>
      <c r="M13" s="490"/>
      <c r="N13" s="490"/>
      <c r="O13" s="490"/>
      <c r="P13" s="490"/>
      <c r="Q13" s="490"/>
      <c r="R13" s="1151">
        <f t="shared" si="18"/>
        <v>0</v>
      </c>
      <c r="S13" s="3512"/>
      <c r="T13" s="3512"/>
      <c r="U13" s="3055"/>
      <c r="V13" s="2130"/>
      <c r="W13" s="2830"/>
      <c r="X13" s="1564" t="b">
        <f t="shared" si="10"/>
        <v>1</v>
      </c>
      <c r="Y13" s="2130" t="b">
        <f t="shared" si="19"/>
        <v>1</v>
      </c>
      <c r="Z13" s="2451" t="b">
        <f t="shared" si="20"/>
        <v>1</v>
      </c>
      <c r="AA13" s="2451" t="b">
        <f t="shared" si="21"/>
        <v>0</v>
      </c>
      <c r="AB13" s="1564"/>
      <c r="AC13" s="2451" t="b">
        <f t="shared" si="11"/>
        <v>1</v>
      </c>
      <c r="AD13" s="2451" t="b">
        <f t="shared" si="12"/>
        <v>1</v>
      </c>
      <c r="AE13" s="2451" t="b">
        <f t="shared" si="13"/>
        <v>1</v>
      </c>
      <c r="AF13" s="2451" t="b">
        <f>AND(IF(D13="02",NOT(ISNA(VLOOKUP(E13,'02'!$AJ$4:$AJ$11,1,0))),TRUE),IF(D13="05",NOT(ISNA(VLOOKUP(E13,'05'!$AC$7:$AC$11,1,0))),TRUE))</f>
        <v>1</v>
      </c>
      <c r="AG13" s="2451" t="b">
        <f t="shared" si="22"/>
        <v>1</v>
      </c>
      <c r="AH13" s="2451" t="b">
        <f t="shared" si="14"/>
        <v>1</v>
      </c>
      <c r="AI13" s="2451" t="b">
        <f t="shared" si="23"/>
        <v>1</v>
      </c>
      <c r="AJ13" s="2451" t="b">
        <f t="shared" si="15"/>
        <v>1</v>
      </c>
      <c r="AK13" s="2451" t="b">
        <f t="shared" si="24"/>
        <v>1</v>
      </c>
      <c r="AL13" s="2451" t="b">
        <f t="shared" si="25"/>
        <v>1</v>
      </c>
      <c r="AM13" s="2451" t="b">
        <f t="shared" si="26"/>
        <v>1</v>
      </c>
    </row>
    <row r="14" spans="1:39" ht="25">
      <c r="A14" s="556" t="str">
        <f t="shared" si="16"/>
        <v>R1=;R2=;R31=;R42=;R57=;R36=;R43=;COM=</v>
      </c>
      <c r="C14" s="3054"/>
      <c r="D14" s="2304"/>
      <c r="E14" s="2450"/>
      <c r="F14" s="543"/>
      <c r="G14" s="2269"/>
      <c r="H14" s="1001"/>
      <c r="I14" s="1151">
        <f t="shared" si="17"/>
        <v>0</v>
      </c>
      <c r="J14" s="3512"/>
      <c r="K14" s="3512"/>
      <c r="L14" s="490"/>
      <c r="M14" s="490"/>
      <c r="N14" s="490"/>
      <c r="O14" s="490"/>
      <c r="P14" s="490"/>
      <c r="Q14" s="490"/>
      <c r="R14" s="1151">
        <f t="shared" si="18"/>
        <v>0</v>
      </c>
      <c r="S14" s="3512"/>
      <c r="T14" s="3512"/>
      <c r="U14" s="3055"/>
      <c r="V14" s="2130"/>
      <c r="W14" s="2830"/>
      <c r="X14" s="1564" t="b">
        <f t="shared" si="10"/>
        <v>1</v>
      </c>
      <c r="Y14" s="2130" t="b">
        <f t="shared" si="19"/>
        <v>1</v>
      </c>
      <c r="Z14" s="2451" t="b">
        <f t="shared" si="20"/>
        <v>1</v>
      </c>
      <c r="AA14" s="2451" t="b">
        <f t="shared" si="21"/>
        <v>0</v>
      </c>
      <c r="AB14" s="1564"/>
      <c r="AC14" s="2451" t="b">
        <f t="shared" si="11"/>
        <v>1</v>
      </c>
      <c r="AD14" s="2451" t="b">
        <f t="shared" si="12"/>
        <v>1</v>
      </c>
      <c r="AE14" s="2451" t="b">
        <f t="shared" si="13"/>
        <v>1</v>
      </c>
      <c r="AF14" s="2451" t="b">
        <f>AND(IF(D14="02",NOT(ISNA(VLOOKUP(E14,'02'!$AJ$4:$AJ$11,1,0))),TRUE),IF(D14="05",NOT(ISNA(VLOOKUP(E14,'05'!$AC$7:$AC$11,1,0))),TRUE))</f>
        <v>1</v>
      </c>
      <c r="AG14" s="2451" t="b">
        <f t="shared" si="22"/>
        <v>1</v>
      </c>
      <c r="AH14" s="2451" t="b">
        <f t="shared" si="14"/>
        <v>1</v>
      </c>
      <c r="AI14" s="2451" t="b">
        <f t="shared" si="23"/>
        <v>1</v>
      </c>
      <c r="AJ14" s="2451" t="b">
        <f t="shared" si="15"/>
        <v>1</v>
      </c>
      <c r="AK14" s="2451" t="b">
        <f t="shared" si="24"/>
        <v>1</v>
      </c>
      <c r="AL14" s="2451" t="b">
        <f t="shared" si="25"/>
        <v>1</v>
      </c>
      <c r="AM14" s="2451" t="b">
        <f t="shared" si="26"/>
        <v>1</v>
      </c>
    </row>
    <row r="15" spans="1:39" ht="25">
      <c r="A15" s="556" t="str">
        <f t="shared" si="16"/>
        <v>R1=;R2=;R31=;R42=;R57=;R36=;R43=;COM=</v>
      </c>
      <c r="C15" s="3054"/>
      <c r="D15" s="2304"/>
      <c r="E15" s="2450"/>
      <c r="F15" s="543"/>
      <c r="G15" s="2269"/>
      <c r="H15" s="1001"/>
      <c r="I15" s="1151">
        <f t="shared" si="17"/>
        <v>0</v>
      </c>
      <c r="J15" s="3512"/>
      <c r="K15" s="3512"/>
      <c r="L15" s="490"/>
      <c r="M15" s="490"/>
      <c r="N15" s="490"/>
      <c r="O15" s="490"/>
      <c r="P15" s="490"/>
      <c r="Q15" s="490"/>
      <c r="R15" s="1151">
        <f t="shared" si="18"/>
        <v>0</v>
      </c>
      <c r="S15" s="3512"/>
      <c r="T15" s="3512"/>
      <c r="U15" s="3055"/>
      <c r="V15" s="2130"/>
      <c r="W15" s="2830"/>
      <c r="X15" s="1564" t="b">
        <f t="shared" si="10"/>
        <v>1</v>
      </c>
      <c r="Y15" s="2130" t="b">
        <f t="shared" si="19"/>
        <v>1</v>
      </c>
      <c r="Z15" s="2451" t="b">
        <f t="shared" si="20"/>
        <v>1</v>
      </c>
      <c r="AA15" s="2451" t="b">
        <f t="shared" si="21"/>
        <v>0</v>
      </c>
      <c r="AB15" s="1564"/>
      <c r="AC15" s="2451" t="b">
        <f t="shared" si="11"/>
        <v>1</v>
      </c>
      <c r="AD15" s="2451" t="b">
        <f t="shared" si="12"/>
        <v>1</v>
      </c>
      <c r="AE15" s="2451" t="b">
        <f t="shared" si="13"/>
        <v>1</v>
      </c>
      <c r="AF15" s="2451" t="b">
        <f>AND(IF(D15="02",NOT(ISNA(VLOOKUP(E15,'02'!$AJ$4:$AJ$11,1,0))),TRUE),IF(D15="05",NOT(ISNA(VLOOKUP(E15,'05'!$AC$7:$AC$11,1,0))),TRUE))</f>
        <v>1</v>
      </c>
      <c r="AG15" s="2451" t="b">
        <f t="shared" si="22"/>
        <v>1</v>
      </c>
      <c r="AH15" s="2451" t="b">
        <f t="shared" si="14"/>
        <v>1</v>
      </c>
      <c r="AI15" s="2451" t="b">
        <f t="shared" si="23"/>
        <v>1</v>
      </c>
      <c r="AJ15" s="2451" t="b">
        <f t="shared" si="15"/>
        <v>1</v>
      </c>
      <c r="AK15" s="2451" t="b">
        <f t="shared" si="24"/>
        <v>1</v>
      </c>
      <c r="AL15" s="2451" t="b">
        <f t="shared" si="25"/>
        <v>1</v>
      </c>
      <c r="AM15" s="2451" t="b">
        <f t="shared" si="26"/>
        <v>1</v>
      </c>
    </row>
    <row r="16" spans="1:39" ht="25">
      <c r="A16" s="556" t="str">
        <f t="shared" si="16"/>
        <v>R1=;R2=;R31=;R42=;R57=;R36=;R43=;COM=</v>
      </c>
      <c r="C16" s="3054"/>
      <c r="D16" s="2304"/>
      <c r="E16" s="2450"/>
      <c r="F16" s="543"/>
      <c r="G16" s="2269"/>
      <c r="H16" s="1001"/>
      <c r="I16" s="1151">
        <f t="shared" si="17"/>
        <v>0</v>
      </c>
      <c r="J16" s="3512"/>
      <c r="K16" s="3512"/>
      <c r="L16" s="490"/>
      <c r="M16" s="490"/>
      <c r="N16" s="490"/>
      <c r="O16" s="490"/>
      <c r="P16" s="490"/>
      <c r="Q16" s="490"/>
      <c r="R16" s="1151">
        <f t="shared" si="18"/>
        <v>0</v>
      </c>
      <c r="S16" s="3512"/>
      <c r="T16" s="3512"/>
      <c r="U16" s="3055"/>
      <c r="V16" s="2130"/>
      <c r="W16" s="2830"/>
      <c r="X16" s="1564" t="b">
        <f t="shared" si="10"/>
        <v>1</v>
      </c>
      <c r="Y16" s="2130" t="b">
        <f t="shared" si="19"/>
        <v>1</v>
      </c>
      <c r="Z16" s="2451" t="b">
        <f t="shared" si="20"/>
        <v>1</v>
      </c>
      <c r="AA16" s="2451" t="b">
        <f t="shared" si="21"/>
        <v>0</v>
      </c>
      <c r="AB16" s="1564"/>
      <c r="AC16" s="2451" t="b">
        <f t="shared" si="11"/>
        <v>1</v>
      </c>
      <c r="AD16" s="2451" t="b">
        <f t="shared" si="12"/>
        <v>1</v>
      </c>
      <c r="AE16" s="2451" t="b">
        <f t="shared" si="13"/>
        <v>1</v>
      </c>
      <c r="AF16" s="2451" t="b">
        <f>AND(IF(D16="02",NOT(ISNA(VLOOKUP(E16,'02'!$AJ$4:$AJ$11,1,0))),TRUE),IF(D16="05",NOT(ISNA(VLOOKUP(E16,'05'!$AC$7:$AC$11,1,0))),TRUE))</f>
        <v>1</v>
      </c>
      <c r="AG16" s="2451" t="b">
        <f t="shared" si="22"/>
        <v>1</v>
      </c>
      <c r="AH16" s="2451" t="b">
        <f t="shared" si="14"/>
        <v>1</v>
      </c>
      <c r="AI16" s="2451" t="b">
        <f t="shared" si="23"/>
        <v>1</v>
      </c>
      <c r="AJ16" s="2451" t="b">
        <f t="shared" si="15"/>
        <v>1</v>
      </c>
      <c r="AK16" s="2451" t="b">
        <f t="shared" si="24"/>
        <v>1</v>
      </c>
      <c r="AL16" s="2451" t="b">
        <f t="shared" si="25"/>
        <v>1</v>
      </c>
      <c r="AM16" s="2451" t="b">
        <f t="shared" si="26"/>
        <v>1</v>
      </c>
    </row>
    <row r="17" spans="1:39" ht="25">
      <c r="A17" s="556" t="str">
        <f t="shared" si="16"/>
        <v>R1=;R2=;R31=;R42=;R57=;R36=;R43=;COM=</v>
      </c>
      <c r="C17" s="3054"/>
      <c r="D17" s="2304"/>
      <c r="E17" s="2450"/>
      <c r="F17" s="543"/>
      <c r="G17" s="2269"/>
      <c r="H17" s="1001"/>
      <c r="I17" s="1151">
        <f t="shared" si="17"/>
        <v>0</v>
      </c>
      <c r="J17" s="3512"/>
      <c r="K17" s="3512"/>
      <c r="L17" s="490"/>
      <c r="M17" s="490"/>
      <c r="N17" s="490"/>
      <c r="O17" s="490"/>
      <c r="P17" s="490"/>
      <c r="Q17" s="490"/>
      <c r="R17" s="1151">
        <f t="shared" si="18"/>
        <v>0</v>
      </c>
      <c r="S17" s="3512"/>
      <c r="T17" s="3512"/>
      <c r="U17" s="3055"/>
      <c r="V17" s="2130"/>
      <c r="W17" s="2830"/>
      <c r="X17" s="1564" t="b">
        <f t="shared" si="10"/>
        <v>1</v>
      </c>
      <c r="Y17" s="2130" t="b">
        <f t="shared" si="19"/>
        <v>1</v>
      </c>
      <c r="Z17" s="2451" t="b">
        <f t="shared" si="20"/>
        <v>1</v>
      </c>
      <c r="AA17" s="2451" t="b">
        <f t="shared" si="21"/>
        <v>0</v>
      </c>
      <c r="AB17" s="1564"/>
      <c r="AC17" s="2451" t="b">
        <f t="shared" si="11"/>
        <v>1</v>
      </c>
      <c r="AD17" s="2451" t="b">
        <f t="shared" si="12"/>
        <v>1</v>
      </c>
      <c r="AE17" s="2451" t="b">
        <f t="shared" si="13"/>
        <v>1</v>
      </c>
      <c r="AF17" s="2451" t="b">
        <f>AND(IF(D17="02",NOT(ISNA(VLOOKUP(E17,'02'!$AJ$4:$AJ$11,1,0))),TRUE),IF(D17="05",NOT(ISNA(VLOOKUP(E17,'05'!$AC$7:$AC$11,1,0))),TRUE))</f>
        <v>1</v>
      </c>
      <c r="AG17" s="2451" t="b">
        <f t="shared" si="22"/>
        <v>1</v>
      </c>
      <c r="AH17" s="2451" t="b">
        <f t="shared" si="14"/>
        <v>1</v>
      </c>
      <c r="AI17" s="2451" t="b">
        <f t="shared" si="23"/>
        <v>1</v>
      </c>
      <c r="AJ17" s="2451" t="b">
        <f t="shared" si="15"/>
        <v>1</v>
      </c>
      <c r="AK17" s="2451" t="b">
        <f t="shared" si="24"/>
        <v>1</v>
      </c>
      <c r="AL17" s="2451" t="b">
        <f t="shared" si="25"/>
        <v>1</v>
      </c>
      <c r="AM17" s="2451" t="b">
        <f t="shared" si="26"/>
        <v>1</v>
      </c>
    </row>
    <row r="18" spans="1:39" ht="25">
      <c r="A18" s="556" t="str">
        <f t="shared" si="16"/>
        <v>R1=;R2=;R31=;R42=;R57=;R36=;R43=;COM=</v>
      </c>
      <c r="C18" s="3054"/>
      <c r="D18" s="2304"/>
      <c r="E18" s="2450"/>
      <c r="F18" s="543"/>
      <c r="G18" s="2269"/>
      <c r="H18" s="1001"/>
      <c r="I18" s="1151">
        <f t="shared" si="17"/>
        <v>0</v>
      </c>
      <c r="J18" s="3512"/>
      <c r="K18" s="3512"/>
      <c r="L18" s="490"/>
      <c r="M18" s="490"/>
      <c r="N18" s="490"/>
      <c r="O18" s="490"/>
      <c r="P18" s="490"/>
      <c r="Q18" s="490"/>
      <c r="R18" s="1151">
        <f t="shared" si="18"/>
        <v>0</v>
      </c>
      <c r="S18" s="3512"/>
      <c r="T18" s="3512"/>
      <c r="U18" s="3055"/>
      <c r="V18" s="2130"/>
      <c r="W18" s="2830"/>
      <c r="X18" s="1564" t="b">
        <f t="shared" si="10"/>
        <v>1</v>
      </c>
      <c r="Y18" s="2130" t="b">
        <f t="shared" si="19"/>
        <v>1</v>
      </c>
      <c r="Z18" s="2451" t="b">
        <f t="shared" si="20"/>
        <v>1</v>
      </c>
      <c r="AA18" s="2451" t="b">
        <f t="shared" si="21"/>
        <v>0</v>
      </c>
      <c r="AB18" s="1564"/>
      <c r="AC18" s="2451" t="b">
        <f t="shared" si="11"/>
        <v>1</v>
      </c>
      <c r="AD18" s="2451" t="b">
        <f t="shared" si="12"/>
        <v>1</v>
      </c>
      <c r="AE18" s="2451" t="b">
        <f t="shared" si="13"/>
        <v>1</v>
      </c>
      <c r="AF18" s="2451" t="b">
        <f>AND(IF(D18="02",NOT(ISNA(VLOOKUP(E18,'02'!$AJ$4:$AJ$11,1,0))),TRUE),IF(D18="05",NOT(ISNA(VLOOKUP(E18,'05'!$AC$7:$AC$11,1,0))),TRUE))</f>
        <v>1</v>
      </c>
      <c r="AG18" s="2451" t="b">
        <f t="shared" si="22"/>
        <v>1</v>
      </c>
      <c r="AH18" s="2451" t="b">
        <f t="shared" si="14"/>
        <v>1</v>
      </c>
      <c r="AI18" s="2451" t="b">
        <f t="shared" si="23"/>
        <v>1</v>
      </c>
      <c r="AJ18" s="2451" t="b">
        <f t="shared" si="15"/>
        <v>1</v>
      </c>
      <c r="AK18" s="2451" t="b">
        <f t="shared" si="24"/>
        <v>1</v>
      </c>
      <c r="AL18" s="2451" t="b">
        <f t="shared" si="25"/>
        <v>1</v>
      </c>
      <c r="AM18" s="2451" t="b">
        <f t="shared" si="26"/>
        <v>1</v>
      </c>
    </row>
    <row r="19" spans="1:39" ht="25">
      <c r="A19" s="556" t="str">
        <f t="shared" si="16"/>
        <v>R1=;R2=;R31=;R42=;R57=;R36=;R43=;COM=</v>
      </c>
      <c r="C19" s="3054"/>
      <c r="D19" s="2304"/>
      <c r="E19" s="2450"/>
      <c r="F19" s="543"/>
      <c r="G19" s="2269"/>
      <c r="H19" s="1001"/>
      <c r="I19" s="1151">
        <f t="shared" si="17"/>
        <v>0</v>
      </c>
      <c r="J19" s="3512"/>
      <c r="K19" s="3512"/>
      <c r="L19" s="490"/>
      <c r="M19" s="490"/>
      <c r="N19" s="490"/>
      <c r="O19" s="490"/>
      <c r="P19" s="490"/>
      <c r="Q19" s="490"/>
      <c r="R19" s="1151">
        <f t="shared" si="18"/>
        <v>0</v>
      </c>
      <c r="S19" s="3512"/>
      <c r="T19" s="3512"/>
      <c r="U19" s="3055"/>
      <c r="V19" s="2130"/>
      <c r="W19" s="2830"/>
      <c r="X19" s="1564" t="b">
        <f t="shared" si="10"/>
        <v>1</v>
      </c>
      <c r="Y19" s="2130" t="b">
        <f t="shared" si="19"/>
        <v>1</v>
      </c>
      <c r="Z19" s="2451" t="b">
        <f t="shared" si="20"/>
        <v>1</v>
      </c>
      <c r="AA19" s="2451" t="b">
        <f t="shared" si="21"/>
        <v>0</v>
      </c>
      <c r="AB19" s="1564"/>
      <c r="AC19" s="2451" t="b">
        <f t="shared" si="11"/>
        <v>1</v>
      </c>
      <c r="AD19" s="2451" t="b">
        <f t="shared" si="12"/>
        <v>1</v>
      </c>
      <c r="AE19" s="2451" t="b">
        <f t="shared" si="13"/>
        <v>1</v>
      </c>
      <c r="AF19" s="2451" t="b">
        <f>AND(IF(D19="02",NOT(ISNA(VLOOKUP(E19,'02'!$AJ$4:$AJ$11,1,0))),TRUE),IF(D19="05",NOT(ISNA(VLOOKUP(E19,'05'!$AC$7:$AC$11,1,0))),TRUE))</f>
        <v>1</v>
      </c>
      <c r="AG19" s="2451" t="b">
        <f t="shared" si="22"/>
        <v>1</v>
      </c>
      <c r="AH19" s="2451" t="b">
        <f t="shared" si="14"/>
        <v>1</v>
      </c>
      <c r="AI19" s="2451" t="b">
        <f t="shared" si="23"/>
        <v>1</v>
      </c>
      <c r="AJ19" s="2451" t="b">
        <f t="shared" si="15"/>
        <v>1</v>
      </c>
      <c r="AK19" s="2451" t="b">
        <f t="shared" si="24"/>
        <v>1</v>
      </c>
      <c r="AL19" s="2451" t="b">
        <f t="shared" si="25"/>
        <v>1</v>
      </c>
      <c r="AM19" s="2451" t="b">
        <f t="shared" si="26"/>
        <v>1</v>
      </c>
    </row>
    <row r="20" spans="1:39" s="2830" customFormat="1" ht="25">
      <c r="A20" s="556" t="str">
        <f t="shared" si="16"/>
        <v>R1=;R2=;R31=;R42=;R57=;R36=;R43=;COM=</v>
      </c>
      <c r="C20" s="3054"/>
      <c r="D20" s="2304"/>
      <c r="E20" s="2450"/>
      <c r="F20" s="543"/>
      <c r="G20" s="2269"/>
      <c r="H20" s="1001"/>
      <c r="I20" s="1151">
        <f t="shared" si="17"/>
        <v>0</v>
      </c>
      <c r="J20" s="3512"/>
      <c r="K20" s="3512"/>
      <c r="L20" s="490"/>
      <c r="M20" s="490"/>
      <c r="N20" s="490"/>
      <c r="O20" s="490"/>
      <c r="P20" s="490"/>
      <c r="Q20" s="490"/>
      <c r="R20" s="1151">
        <f t="shared" si="18"/>
        <v>0</v>
      </c>
      <c r="S20" s="3512"/>
      <c r="T20" s="3512"/>
      <c r="U20" s="3055"/>
      <c r="V20" s="2130"/>
      <c r="X20" s="1564" t="b">
        <f t="shared" si="10"/>
        <v>1</v>
      </c>
      <c r="Y20" s="2130" t="b">
        <f t="shared" si="19"/>
        <v>1</v>
      </c>
      <c r="Z20" s="2451" t="b">
        <f t="shared" si="20"/>
        <v>1</v>
      </c>
      <c r="AA20" s="2451" t="b">
        <f t="shared" si="21"/>
        <v>0</v>
      </c>
      <c r="AB20" s="1564"/>
      <c r="AC20" s="2451" t="b">
        <f t="shared" si="11"/>
        <v>1</v>
      </c>
      <c r="AD20" s="2451" t="b">
        <f t="shared" si="12"/>
        <v>1</v>
      </c>
      <c r="AE20" s="2451" t="b">
        <f t="shared" si="13"/>
        <v>1</v>
      </c>
      <c r="AF20" s="2451" t="b">
        <f>AND(IF(D20="02",NOT(ISNA(VLOOKUP(E20,'02'!$AJ$4:$AJ$11,1,0))),TRUE),IF(D20="05",NOT(ISNA(VLOOKUP(E20,'05'!$AC$7:$AC$11,1,0))),TRUE))</f>
        <v>1</v>
      </c>
      <c r="AG20" s="2451" t="b">
        <f t="shared" si="22"/>
        <v>1</v>
      </c>
      <c r="AH20" s="2451" t="b">
        <f t="shared" si="14"/>
        <v>1</v>
      </c>
      <c r="AI20" s="2451" t="b">
        <f t="shared" si="23"/>
        <v>1</v>
      </c>
      <c r="AJ20" s="2451" t="b">
        <f t="shared" si="15"/>
        <v>1</v>
      </c>
      <c r="AK20" s="2451" t="b">
        <f t="shared" si="24"/>
        <v>1</v>
      </c>
      <c r="AL20" s="2451" t="b">
        <f t="shared" si="25"/>
        <v>1</v>
      </c>
      <c r="AM20" s="2451" t="b">
        <f t="shared" si="26"/>
        <v>1</v>
      </c>
    </row>
    <row r="21" spans="1:39" s="2830" customFormat="1" ht="25.5" thickBot="1">
      <c r="A21" s="556" t="str">
        <f t="shared" ref="A21" si="27">"R1="&amp;MID(C21,2,5)&amp;";R2="&amp;IF(E21="","","2210"&amp;MID(E21,2,8))&amp;";R31="&amp;D21&amp;";R42="&amp;MID(IF(H21="-",IF(G21="-","",G21),H21),1,30)&amp;";R57="&amp;MID(F21,1,60)&amp;";R36="&amp;MID(H21,1,30)&amp;";R43="&amp;MID(G21,1,30)&amp;";COM="&amp;U21</f>
        <v>R1=;R2=;R31=;R42=;R57=;R36=;R43=;COM=</v>
      </c>
      <c r="C21" s="3056"/>
      <c r="D21" s="2304"/>
      <c r="E21" s="3057"/>
      <c r="F21" s="3058"/>
      <c r="G21" s="2269"/>
      <c r="H21" s="1001"/>
      <c r="I21" s="1151">
        <f t="shared" ref="I21" si="28">SUM(J21:K21)</f>
        <v>0</v>
      </c>
      <c r="J21" s="3512"/>
      <c r="K21" s="3512"/>
      <c r="L21" s="3059"/>
      <c r="M21" s="490"/>
      <c r="N21" s="490"/>
      <c r="O21" s="490"/>
      <c r="P21" s="490"/>
      <c r="Q21" s="490"/>
      <c r="R21" s="1151">
        <f t="shared" ref="R21" si="29">SUM(S21:T21)</f>
        <v>0</v>
      </c>
      <c r="S21" s="3512"/>
      <c r="T21" s="3512"/>
      <c r="U21" s="3060"/>
      <c r="V21" s="2130"/>
      <c r="X21" s="1564" t="b">
        <f t="shared" si="10"/>
        <v>1</v>
      </c>
      <c r="Y21" s="2130" t="b">
        <f t="shared" ref="Y21" si="30">IF(OR(E21="{52390100} Услуги по формированию технологического резерва мощностей",E21="{40040000} Амортизация ОС, приобретенных за счет отраслевых резервов, субсидий и МТП",E21="{40050000} Амортизация НМА, приобретенных за счет отраслевых резервов, субсидий и МТП"),TRUE,IF(ISERR(SEARCH("Резерв",E21))=TRUE,TRUE,FALSE))</f>
        <v>1</v>
      </c>
      <c r="Z21" s="2451" t="b">
        <f t="shared" ref="Z21" si="31">IF(C21&gt;0,AND(F21&gt;0,G21&gt;0,H21&gt;0),TRUE)</f>
        <v>1</v>
      </c>
      <c r="AA21" s="2451" t="b">
        <f t="shared" ref="AA21" si="32">IFERROR(F21&lt;&gt;$G$3,"ложь")</f>
        <v>0</v>
      </c>
      <c r="AB21" s="1564"/>
      <c r="AC21" s="2451" t="b">
        <f t="shared" ref="AC21" si="33">IF(ISBLANK(C21),TRUE,IF(ISERROR(VLOOKUP(C21,_2620_96,1,0)),FALSE,TRUE))</f>
        <v>1</v>
      </c>
      <c r="AD21" s="2451" t="b">
        <f t="shared" ref="AD21" si="34">IF(OR(COUNTIF(C21,"*20600*"),ISBLANK(C21)),TRUE,IF(ISERROR(VLOOKUP(D21,_96_X,1,0)),FALSE,TRUE))</f>
        <v>1</v>
      </c>
      <c r="AE21" s="2451" t="b">
        <f t="shared" ref="AE21" si="35">IF(OR(E21="{14260400} Расходы (услуги) по разработке и анализу нормативно-технической документации, связанной с инженерно-техническим сопровождением"&amp;" работ по совершенствованию систем, условий эксплуатации, по разработке учебно-методических материалов по подготовке оперативного, эксплуатационного и ремонтного персонала",E21="{14270500} Услуги по обеспечению надежности функционирования электроэнергетики путем организации отбора исполнителей и оплаты услуг по"&amp;" обеспечению системной надежности, услуг по обеспечению вывода Единой энергетической системы России из аварийных ситуаций и услуг по формированию технологического резерва мощностей",E21="{52410000} Расходы на услуги по предоставлению работников (технического и управленческого персонала) сторонними организациями для участия в производственном процессе,"&amp;" управлении производством либо для выполнения иных функций, связанных с производством и (или) реализацией"),TRUE,IF(OR(COUNTIF(C21,"*20600*"),COUNTIF(C21,"*20900*"),ISBLANK(C21)),TRUE,AND(IF(OR(C21="{20300} Оценочные обязательства по обращению с радиоактивными и прочими отходами",C21="{20800} Оценочные обязательства по реструктуризации"),IF(ISERROR(INDEX(_10019_1_96_движ,MATCH(E21,_10019_1_96_движ,0),1)),FALSE,TRUE),TRUE),IF(OR(C21="{20300} Оценочные обязательства по обращению с радиоактивными и прочими отходами",C21="{20800} Оценочные обязательства по реструктуризации"),TRUE,IF(OR($D21="20_23_25_29",$D21=26,$D21=44),IF(ISERROR(INDEX(_X,MATCH(E21,_X,0),1)),FALSE,TRUE),TRUE)),IF(OR($D21="20_23_25_29",$D21=26,$D21=44,$C21=OR(C21="{20300} Оценочные обязательства по обращению с радиоактивными и прочими отходами",C21="{20800} Оценочные обязательства по реструктуризации")),TRUE,IF(ISERROR(INDEX(_10019_1_96,MATCH(E21,_10019_1_96,0),1)),FALSE,TRUE)))))</f>
        <v>1</v>
      </c>
      <c r="AF21" s="2451" t="b">
        <f>AND(IF(D21="02",NOT(ISNA(VLOOKUP(E21,'02'!$AJ$4:$AJ$11,1,0))),TRUE),IF(D21="05",NOT(ISNA(VLOOKUP(E21,'05'!$AC$7:$AC$11,1,0))),TRUE))</f>
        <v>1</v>
      </c>
      <c r="AG21" s="2451" t="b">
        <f t="shared" ref="AG21" si="36">IF(LEFT(C21,2)="{3",IF(OR(LEFT(E21,5)="{2003",LEFT(E21,4)="{305"),TRUE,L21&gt;=-1),TRUE)</f>
        <v>1</v>
      </c>
      <c r="AH21" s="2451" t="b">
        <f t="shared" ref="AH21" si="37">IF(IF(IF(COUNTIF(C21,"*20600*"),_X,IF(COUNTIF(C21,"*20900*"),_10019_1_96_движХ,IF(OR(COUNTIF(C21,"*20300*"),COUNTIF(C21,"*20800*")),_10019_1_96_движ,IF(OR($D21="20_23_25_29",$D21=26,$D21=44,$D21="01"),_X,"Да"))))="Да",IF(E21="X","X",TRUE),TRUE)="X",IF((OR(D21=71,D21=91)),TRUE,FALSE),TRUE)</f>
        <v>1</v>
      </c>
      <c r="AI21" s="2451" t="b">
        <f t="shared" ref="AI21" si="38">IF(COUNTIF(C21,"*20600*"),IF(OR(L21&gt;0,N21&lt;0),IF(AND(L21&gt;0,D21=76),TRUE,IF(AND(N21&lt;0,D21="X"),TRUE,FALSE)),TRUE),TRUE)</f>
        <v>1</v>
      </c>
      <c r="AJ21" s="2451" t="b">
        <f t="shared" ref="AJ21" si="39">IF(IFERROR(VLOOKUP(E21,_10019_96_движ,1,0),0)=0,TRUE,OR(D21=70,D21="08",D21="20_23_25_29"))</f>
        <v>1</v>
      </c>
      <c r="AK21" s="2451" t="b">
        <f t="shared" ref="AK21" si="40">IF(COUNTIF(C21,"*20700*"),IF(N21&lt;0,D21=99,IF(L21&gt;0,D21=99,D21="X")),TRUE)</f>
        <v>1</v>
      </c>
      <c r="AL21" s="2451" t="b">
        <f t="shared" ref="AL21" si="41">IF(OR(C21="{20600} Оценочные обязательства по судебным искам",C21="{20500} Оценочные обязательства по обременительным договорам"),TRUE,COUNTA(L21:Q21)&lt;2)</f>
        <v>1</v>
      </c>
      <c r="AM21" s="2451" t="b">
        <f t="shared" ref="AM21" si="42">IF(OR(COUNTIF(C21,"*20500*"),COUNTIF(C21,"*20600*")),NOT(OR(F21="Внешние контрагенты",H21=10015)),TRUE)</f>
        <v>1</v>
      </c>
    </row>
  </sheetData>
  <sheetProtection algorithmName="SHA-512" hashValue="3ECN7vUKZH9lafw8OtzTQ58xctRQFTbP5XhqacB070svMniQ/SAMcwVAedR0QSnM38LJIehvxzKmPkV+862PHg==" saltValue="UUGYNm5ri6Jep7sqS2MY5Q==" spinCount="100000" sheet="1" objects="1" scenarios="1" formatColumns="0" formatRows="0" autoFilter="0"/>
  <autoFilter ref="C9:J9"/>
  <customSheetViews>
    <customSheetView guid="{3769259D-9653-4B34-A2F6-4FB6F9F4E533}" showGridLines="0" showAutoFilter="1" hiddenRows="1" hiddenColumns="1" topLeftCell="B2">
      <selection activeCell="F28" sqref="F28"/>
      <pageMargins left="0.7" right="0.7" top="0.75" bottom="0.75" header="0.3" footer="0.3"/>
      <pageSetup paperSize="9" orientation="portrait" horizontalDpi="0" verticalDpi="0" r:id="rId1"/>
      <autoFilter ref="B1:G1"/>
    </customSheetView>
    <customSheetView guid="{40D7A2BB-326C-4ED3-999C-17852F56D6F4}" showGridLines="0" showAutoFilter="1" hiddenRows="1" hiddenColumns="1" topLeftCell="B2">
      <selection activeCell="F28" sqref="F28"/>
      <pageMargins left="0.7" right="0.7" top="0.75" bottom="0.75" header="0.3" footer="0.3"/>
      <pageSetup paperSize="9" orientation="portrait" horizontalDpi="0" verticalDpi="0" r:id="rId2"/>
      <autoFilter ref="B1:G1"/>
    </customSheetView>
    <customSheetView guid="{5D121940-0CE8-4A0E-A493-67FAAA6E0FF8}" showGridLines="0" showAutoFilter="1" hiddenRows="1" hiddenColumns="1" topLeftCell="B2">
      <selection activeCell="E22" sqref="E22"/>
      <pageMargins left="0.7" right="0.7" top="0.75" bottom="0.75" header="0.3" footer="0.3"/>
      <pageSetup paperSize="9" orientation="portrait" horizontalDpi="0" verticalDpi="0" r:id="rId3"/>
      <autoFilter ref="B1:G1"/>
    </customSheetView>
    <customSheetView guid="{47AEACC4-6EA5-412C-AF39-A6C5357B313A}" showGridLines="0" showAutoFilter="1" hiddenRows="1" hiddenColumns="1" topLeftCell="B2">
      <selection activeCell="C9" sqref="C9:H9"/>
      <pageMargins left="0.7" right="0.7" top="0.75" bottom="0.75" header="0.3" footer="0.3"/>
      <autoFilter ref="B1:G1"/>
    </customSheetView>
    <customSheetView guid="{4D957B38-5430-481E-B791-E0A66F913B50}" scale="70">
      <selection activeCell="N21" sqref="N21"/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selection activeCell="D8" sqref="D8"/>
      <pageMargins left="0.7" right="0.7" top="0.75" bottom="0.75" header="0.3" footer="0.3"/>
      <autoFilter ref="B1:G1"/>
    </customSheetView>
  </customSheetViews>
  <mergeCells count="17">
    <mergeCell ref="V8:V9"/>
    <mergeCell ref="I5:K5"/>
    <mergeCell ref="R5:T5"/>
    <mergeCell ref="AL7:AL8"/>
    <mergeCell ref="C3:E5"/>
    <mergeCell ref="AM7:AM8"/>
    <mergeCell ref="Z7:Z8"/>
    <mergeCell ref="AA7:AA8"/>
    <mergeCell ref="AC7:AC8"/>
    <mergeCell ref="AG7:AG8"/>
    <mergeCell ref="AH7:AH8"/>
    <mergeCell ref="AI7:AI8"/>
    <mergeCell ref="AJ7:AJ8"/>
    <mergeCell ref="AK7:AK8"/>
    <mergeCell ref="AD7:AD8"/>
    <mergeCell ref="AE7:AE8"/>
    <mergeCell ref="AF7:AF8"/>
  </mergeCells>
  <phoneticPr fontId="0" type="noConversion"/>
  <conditionalFormatting sqref="J11:K19 J21:K2000">
    <cfRule type="expression" dxfId="15" priority="5">
      <formula>OR($C11="{20500} Оценочные обязательства по обременительным договорам",$C11="{20600} Оценочные обязательства по судебным искам")</formula>
    </cfRule>
    <cfRule type="expression" dxfId="14" priority="6">
      <formula>OR($C11="{20500} Оценочные обязательства по обременительным договорам",$C11="{20600} Оценочные обязательства по судебным искам)")</formula>
    </cfRule>
  </conditionalFormatting>
  <conditionalFormatting sqref="S11:T19 S21:T2000">
    <cfRule type="expression" dxfId="13" priority="4">
      <formula>OR($C11="{20500} Оценочные обязательства по обременительным договорам",$C11="{20600} Оценочные обязательства по судебным искам")</formula>
    </cfRule>
  </conditionalFormatting>
  <conditionalFormatting sqref="J20:K20">
    <cfRule type="expression" dxfId="12" priority="2">
      <formula>OR($C20="{20500} Оценочные обязательства по обременительным договорам",$C20="{20600} Оценочные обязательства по судебным искам")</formula>
    </cfRule>
    <cfRule type="expression" dxfId="11" priority="3">
      <formula>OR($C20="{20500} Оценочные обязательства по обременительным договорам",$C20="{20600} Оценочные обязательства по судебным искам)")</formula>
    </cfRule>
  </conditionalFormatting>
  <conditionalFormatting sqref="S20:T20">
    <cfRule type="expression" dxfId="10" priority="1">
      <formula>OR($C20="{20500} Оценочные обязательства по обременительным договорам",$C20="{20600} Оценочные обязательства по судебным искам")</formula>
    </cfRule>
  </conditionalFormatting>
  <dataValidations count="3">
    <dataValidation type="list" allowBlank="1" showInputMessage="1" showErrorMessage="1" sqref="C11:C21">
      <formula1>_2620_96</formula1>
    </dataValidation>
    <dataValidation type="list" allowBlank="1" showInputMessage="1" showErrorMessage="1" sqref="E11:E21">
      <formula1>IF(COUNTIF(C11,"*20600*"),_X,IF(COUNTIF(C11,"*20900*"),_10019_1_96_движХ,IF(OR(COUNTIF(C11,"*20300*"),COUNTIF(C11,"*20800*")),_10019_1_96_движ,IF(OR($D11="20_23_25_29",$D11=26,$D11=44,$D11="01"),_X,_10019_1_96))))</formula1>
    </dataValidation>
    <dataValidation type="list" allowBlank="1" showInputMessage="1" showErrorMessage="1" sqref="D11:D21">
      <formula1>IF(COUNTIF(C11,"*20600*"),_Х76,IF(COUNTIF(C11,"*20900*"),_96_X,IF(COUNTIF(C11,"*20700*"),_99_X,_96_Кс)))</formula1>
    </dataValidation>
  </dataValidations>
  <hyperlinks>
    <hyperlink ref="I6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7" name="Button 1">
              <controlPr defaultSize="0" print="0" autoFill="0" autoPict="0" macro="[0]!AddButtonsRowAdd">
                <anchor moveWithCells="1">
                  <from>
                    <xdr:col>5</xdr:col>
                    <xdr:colOff>184150</xdr:colOff>
                    <xdr:row>4</xdr:row>
                    <xdr:rowOff>69850</xdr:rowOff>
                  </from>
                  <to>
                    <xdr:col>5</xdr:col>
                    <xdr:colOff>1593850</xdr:colOff>
                    <xdr:row>4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>
    <pageSetUpPr fitToPage="1"/>
  </sheetPr>
  <dimension ref="A1:AB24"/>
  <sheetViews>
    <sheetView topLeftCell="P2" zoomScale="71" zoomScaleNormal="71" workbookViewId="0">
      <selection activeCell="Z8" sqref="Z8"/>
    </sheetView>
  </sheetViews>
  <sheetFormatPr defaultColWidth="14" defaultRowHeight="14.5"/>
  <cols>
    <col min="1" max="1" width="16" style="1163" hidden="1" customWidth="1"/>
    <col min="2" max="2" width="2.54296875" style="1163" customWidth="1"/>
    <col min="3" max="3" width="38.54296875" style="1163" customWidth="1"/>
    <col min="4" max="4" width="13.453125" style="1163" customWidth="1"/>
    <col min="5" max="6" width="17.453125" style="1163" customWidth="1"/>
    <col min="7" max="7" width="15.453125" style="1163" customWidth="1"/>
    <col min="8" max="8" width="14" style="1163"/>
    <col min="9" max="9" width="15.54296875" style="1163" customWidth="1"/>
    <col min="10" max="10" width="14" style="1163"/>
    <col min="11" max="11" width="19.54296875" style="1163" customWidth="1"/>
    <col min="12" max="14" width="18.54296875" style="1163" customWidth="1"/>
    <col min="15" max="15" width="17.54296875" style="1163" customWidth="1"/>
    <col min="16" max="16" width="17.453125" style="1163" customWidth="1"/>
    <col min="17" max="17" width="16.453125" style="1163" customWidth="1"/>
    <col min="18" max="18" width="16.54296875" style="1163" bestFit="1" customWidth="1"/>
    <col min="19" max="20" width="21.54296875" style="1163" bestFit="1" customWidth="1"/>
    <col min="21" max="21" width="23.453125" style="1163" customWidth="1"/>
    <col min="22" max="22" width="15.453125" style="1163" customWidth="1"/>
    <col min="23" max="23" width="25" style="1163" customWidth="1"/>
    <col min="24" max="25" width="15" style="1698" customWidth="1"/>
    <col min="26" max="26" width="15" style="1163" customWidth="1"/>
    <col min="27" max="16384" width="14" style="1163"/>
  </cols>
  <sheetData>
    <row r="1" spans="1:28" ht="22.5" hidden="1" customHeight="1">
      <c r="A1" s="1924" t="s">
        <v>1441</v>
      </c>
      <c r="B1" s="22"/>
      <c r="C1" s="6"/>
      <c r="D1" s="6"/>
      <c r="E1" s="6" t="s">
        <v>588</v>
      </c>
      <c r="F1" s="6" t="s">
        <v>589</v>
      </c>
      <c r="G1" s="6" t="s">
        <v>1248</v>
      </c>
      <c r="H1" s="6" t="s">
        <v>5903</v>
      </c>
      <c r="I1" s="6" t="s">
        <v>590</v>
      </c>
      <c r="J1" s="6" t="s">
        <v>591</v>
      </c>
      <c r="K1" s="6" t="s">
        <v>592</v>
      </c>
      <c r="L1" s="6" t="s">
        <v>593</v>
      </c>
      <c r="M1" s="6" t="s">
        <v>594</v>
      </c>
      <c r="N1" s="6" t="s">
        <v>595</v>
      </c>
      <c r="O1" s="6" t="s">
        <v>596</v>
      </c>
      <c r="P1" s="6" t="s">
        <v>597</v>
      </c>
      <c r="Q1" s="6" t="s">
        <v>598</v>
      </c>
      <c r="R1" s="6"/>
      <c r="S1" s="6" t="s">
        <v>599</v>
      </c>
      <c r="T1" s="6" t="s">
        <v>600</v>
      </c>
      <c r="U1" s="6"/>
    </row>
    <row r="2" spans="1:28" s="1778" customFormat="1">
      <c r="A2" s="534"/>
      <c r="B2" s="1920"/>
      <c r="C2" s="1919"/>
      <c r="D2" s="1778" t="s">
        <v>1648</v>
      </c>
      <c r="E2" s="1778" t="s">
        <v>1648</v>
      </c>
      <c r="F2" s="1778" t="s">
        <v>1648</v>
      </c>
      <c r="G2" s="1778" t="s">
        <v>1648</v>
      </c>
      <c r="H2" s="1778" t="s">
        <v>1648</v>
      </c>
      <c r="I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  <c r="Q2" s="1778" t="s">
        <v>1648</v>
      </c>
      <c r="R2" s="1778" t="s">
        <v>1648</v>
      </c>
      <c r="S2" s="1778" t="s">
        <v>1648</v>
      </c>
      <c r="T2" s="1778" t="s">
        <v>1648</v>
      </c>
      <c r="X2" s="3094"/>
      <c r="Y2" s="3094"/>
    </row>
    <row r="3" spans="1:28" ht="26">
      <c r="A3" s="534"/>
      <c r="B3" s="23"/>
      <c r="C3" s="523" t="s">
        <v>2853</v>
      </c>
      <c r="D3"/>
      <c r="E3" s="1897" t="s">
        <v>2067</v>
      </c>
      <c r="F3" s="1244">
        <f>Содержание!$D$2</f>
        <v>0</v>
      </c>
    </row>
    <row r="4" spans="1:28" ht="15" thickBot="1">
      <c r="A4" s="534"/>
      <c r="C4"/>
      <c r="D4" s="33"/>
      <c r="E4" s="1897" t="s">
        <v>2075</v>
      </c>
      <c r="F4" s="1244" t="str">
        <f>Содержание!$D$15</f>
        <v>2022 год</v>
      </c>
      <c r="G4" s="3044" t="s">
        <v>1436</v>
      </c>
      <c r="H4" s="34"/>
      <c r="I4" s="1076"/>
      <c r="J4" s="1076"/>
      <c r="K4" s="1076"/>
      <c r="L4" s="1076"/>
      <c r="M4" s="33"/>
      <c r="N4" s="33"/>
      <c r="O4" s="34"/>
      <c r="P4" s="34"/>
      <c r="Q4" s="34"/>
      <c r="R4" s="10"/>
      <c r="S4" s="10"/>
      <c r="T4" s="10"/>
      <c r="U4" s="10"/>
      <c r="V4" s="10"/>
    </row>
    <row r="5" spans="1:28" ht="28.5" customHeight="1">
      <c r="A5" s="538"/>
      <c r="C5" s="3675" t="s">
        <v>3382</v>
      </c>
      <c r="D5" s="3713" t="s">
        <v>5225</v>
      </c>
      <c r="E5" s="3713" t="s">
        <v>414</v>
      </c>
      <c r="F5" s="3713" t="s">
        <v>926</v>
      </c>
      <c r="G5" s="3677" t="s">
        <v>4189</v>
      </c>
      <c r="H5" s="3677" t="s">
        <v>5226</v>
      </c>
      <c r="I5" s="3677" t="s">
        <v>437</v>
      </c>
      <c r="J5" s="3713" t="s">
        <v>3392</v>
      </c>
      <c r="K5" s="3713"/>
      <c r="L5" s="3713" t="s">
        <v>440</v>
      </c>
      <c r="M5" s="3713" t="s">
        <v>2851</v>
      </c>
      <c r="N5" s="3713" t="s">
        <v>2852</v>
      </c>
      <c r="O5" s="3713" t="s">
        <v>5227</v>
      </c>
      <c r="P5" s="3713" t="s">
        <v>1660</v>
      </c>
      <c r="Q5" s="3713" t="s">
        <v>1661</v>
      </c>
      <c r="R5" s="3713" t="s">
        <v>5233</v>
      </c>
      <c r="S5" s="3713" t="s">
        <v>4081</v>
      </c>
      <c r="T5" s="3713" t="s">
        <v>5396</v>
      </c>
      <c r="U5" s="3711" t="s">
        <v>4183</v>
      </c>
      <c r="V5" s="3711" t="s">
        <v>14685</v>
      </c>
      <c r="W5" s="2830"/>
      <c r="Z5" s="2830"/>
      <c r="AA5" s="2830"/>
      <c r="AB5" s="2830"/>
    </row>
    <row r="6" spans="1:28" ht="51.75" customHeight="1">
      <c r="A6" s="538"/>
      <c r="C6" s="3804"/>
      <c r="D6" s="3710"/>
      <c r="E6" s="3710"/>
      <c r="F6" s="3710"/>
      <c r="G6" s="3775"/>
      <c r="H6" s="3775"/>
      <c r="I6" s="3775"/>
      <c r="J6" s="15" t="s">
        <v>438</v>
      </c>
      <c r="K6" s="15" t="s">
        <v>439</v>
      </c>
      <c r="L6" s="3710"/>
      <c r="M6" s="3710"/>
      <c r="N6" s="3710"/>
      <c r="O6" s="3710"/>
      <c r="P6" s="3710"/>
      <c r="Q6" s="3710"/>
      <c r="R6" s="3710"/>
      <c r="S6" s="3710"/>
      <c r="T6" s="3710"/>
      <c r="U6" s="3712"/>
      <c r="V6" s="3712" t="s">
        <v>14685</v>
      </c>
      <c r="W6" s="3089"/>
      <c r="X6" s="3095"/>
      <c r="Y6" s="3095"/>
      <c r="Z6" s="3089"/>
      <c r="AA6" s="2830"/>
      <c r="AB6" s="2830"/>
    </row>
    <row r="7" spans="1:28">
      <c r="A7" s="538"/>
      <c r="C7" s="99" t="s">
        <v>3383</v>
      </c>
      <c r="D7" s="15" t="s">
        <v>672</v>
      </c>
      <c r="E7" s="15" t="s">
        <v>4142</v>
      </c>
      <c r="F7" s="15" t="s">
        <v>4142</v>
      </c>
      <c r="G7" s="16" t="s">
        <v>4192</v>
      </c>
      <c r="H7" s="16" t="s">
        <v>5236</v>
      </c>
      <c r="I7" s="15" t="s">
        <v>431</v>
      </c>
      <c r="J7" s="15" t="s">
        <v>432</v>
      </c>
      <c r="K7" s="15" t="s">
        <v>433</v>
      </c>
      <c r="L7" s="15" t="s">
        <v>434</v>
      </c>
      <c r="M7" s="15" t="s">
        <v>435</v>
      </c>
      <c r="N7" s="15" t="s">
        <v>436</v>
      </c>
      <c r="O7" s="16" t="s">
        <v>3384</v>
      </c>
      <c r="P7" s="16" t="s">
        <v>3385</v>
      </c>
      <c r="Q7" s="16" t="s">
        <v>3386</v>
      </c>
      <c r="R7" s="15" t="s">
        <v>673</v>
      </c>
      <c r="S7" s="15" t="s">
        <v>4142</v>
      </c>
      <c r="T7" s="15" t="s">
        <v>4142</v>
      </c>
      <c r="U7" s="25"/>
      <c r="V7" s="3501"/>
      <c r="W7" s="4004" t="s">
        <v>9676</v>
      </c>
      <c r="X7" s="4005"/>
      <c r="Y7" s="4005"/>
      <c r="Z7" s="4006"/>
      <c r="AA7" s="2830"/>
      <c r="AB7" s="2830"/>
    </row>
    <row r="8" spans="1:28" s="674" customFormat="1" ht="15" customHeight="1">
      <c r="A8" s="538"/>
      <c r="B8" s="1581"/>
      <c r="C8" s="1759" t="s">
        <v>4164</v>
      </c>
      <c r="D8" s="1759" t="s">
        <v>4165</v>
      </c>
      <c r="E8" s="1759" t="s">
        <v>4166</v>
      </c>
      <c r="F8" s="1759" t="s">
        <v>5500</v>
      </c>
      <c r="G8" s="1759" t="s">
        <v>4169</v>
      </c>
      <c r="H8" s="1759" t="s">
        <v>4168</v>
      </c>
      <c r="I8" s="1759" t="s">
        <v>4178</v>
      </c>
      <c r="J8" s="1759" t="s">
        <v>4179</v>
      </c>
      <c r="K8" s="1759" t="s">
        <v>4167</v>
      </c>
      <c r="L8" s="1759" t="s">
        <v>5501</v>
      </c>
      <c r="M8" s="1759" t="s">
        <v>4701</v>
      </c>
      <c r="N8" s="1759" t="s">
        <v>4702</v>
      </c>
      <c r="O8" s="1759" t="s">
        <v>4703</v>
      </c>
      <c r="P8" s="1759" t="s">
        <v>5502</v>
      </c>
      <c r="Q8" s="1759" t="s">
        <v>5503</v>
      </c>
      <c r="R8" s="1759" t="s">
        <v>5504</v>
      </c>
      <c r="S8" s="1759" t="s">
        <v>4853</v>
      </c>
      <c r="T8" s="1759" t="s">
        <v>4852</v>
      </c>
      <c r="U8" s="1759" t="s">
        <v>5505</v>
      </c>
      <c r="W8" s="3091"/>
      <c r="X8" s="3101" t="s">
        <v>220</v>
      </c>
      <c r="Y8" s="3101" t="s">
        <v>9675</v>
      </c>
      <c r="Z8" s="3093" t="b">
        <f>AND(Z9:Z11)</f>
        <v>1</v>
      </c>
    </row>
    <row r="9" spans="1:28" ht="15" customHeight="1">
      <c r="A9" s="700"/>
      <c r="C9" s="955" t="s">
        <v>4184</v>
      </c>
      <c r="D9" s="1154">
        <f>SUM(D10:D9993)</f>
        <v>0</v>
      </c>
      <c r="E9" s="1154">
        <f>SUM(E10:E9993)</f>
        <v>0</v>
      </c>
      <c r="F9" s="1154">
        <f>SUM(F10:F9993)</f>
        <v>0</v>
      </c>
      <c r="G9" s="1154">
        <f t="shared" ref="G9:T9" si="0">SUM(G10:G9993)</f>
        <v>0</v>
      </c>
      <c r="H9" s="1154">
        <f>SUM(H10:H9993)</f>
        <v>0</v>
      </c>
      <c r="I9" s="1154">
        <f>SUM(I10:I9993)</f>
        <v>0</v>
      </c>
      <c r="J9" s="1154">
        <f t="shared" si="0"/>
        <v>0</v>
      </c>
      <c r="K9" s="1154">
        <f t="shared" si="0"/>
        <v>0</v>
      </c>
      <c r="L9" s="1154">
        <f t="shared" si="0"/>
        <v>0</v>
      </c>
      <c r="M9" s="1154">
        <f t="shared" si="0"/>
        <v>0</v>
      </c>
      <c r="N9" s="1154">
        <f t="shared" si="0"/>
        <v>0</v>
      </c>
      <c r="O9" s="1154">
        <f t="shared" si="0"/>
        <v>0</v>
      </c>
      <c r="P9" s="1154">
        <f t="shared" si="0"/>
        <v>0</v>
      </c>
      <c r="Q9" s="1154">
        <f t="shared" si="0"/>
        <v>0</v>
      </c>
      <c r="R9" s="1154">
        <f>SUM(R10:R9993)</f>
        <v>0</v>
      </c>
      <c r="S9" s="1154">
        <f t="shared" si="0"/>
        <v>0</v>
      </c>
      <c r="T9" s="1154">
        <f t="shared" si="0"/>
        <v>0</v>
      </c>
      <c r="U9" s="960" t="s">
        <v>4184</v>
      </c>
      <c r="V9" s="3502" t="b">
        <f>AND(V10:V1900)</f>
        <v>1</v>
      </c>
      <c r="W9" s="3098" t="s">
        <v>9674</v>
      </c>
      <c r="X9" s="3099">
        <f>SUMIF(Затраты_Вход_1!C:C,W13,Затраты_Вход_1!D:D)+SUMIF(Затраты_Вход_1!C:C,W14,Затраты_Вход_1!D:D)+SUMIF(Затраты_Вход_1!C:C,W15,Затраты_Вход_1!D:D)+SUMIF(Затраты_Вход_1!C:C,W16,Затраты_Вход_1!D:D)</f>
        <v>0</v>
      </c>
      <c r="Y9" s="3099">
        <f>SUMIF(C:C,"{2200}  Расходы на разработку и внедрение программных продуктов",I:I)+SUMIF(C:C,"{2100}  Лицензии на программные продукты",I:I)</f>
        <v>0</v>
      </c>
      <c r="Z9" s="3100" t="b">
        <f>X9+Y9&gt;=0</f>
        <v>1</v>
      </c>
      <c r="AA9" s="2830"/>
      <c r="AB9" s="2830"/>
    </row>
    <row r="10" spans="1:28">
      <c r="A10" s="538" t="str">
        <f>"R10="&amp;IFERROR(MID(C10,FIND("{",C10)+1,FIND("}",C10)-FIND("{",C10)-1),"")&amp;";COM="&amp;U10</f>
        <v>R10=;COM=</v>
      </c>
      <c r="B10" s="1583" t="s">
        <v>5536</v>
      </c>
      <c r="C10" s="1885"/>
      <c r="D10" s="1779"/>
      <c r="E10" s="1779"/>
      <c r="F10" s="1154">
        <f>D10-E10</f>
        <v>0</v>
      </c>
      <c r="G10" s="1779"/>
      <c r="H10" s="1780"/>
      <c r="I10" s="1779"/>
      <c r="J10" s="1779"/>
      <c r="K10" s="1779"/>
      <c r="L10" s="1779"/>
      <c r="M10" s="1779"/>
      <c r="N10" s="1779"/>
      <c r="O10" s="1780"/>
      <c r="P10" s="1780"/>
      <c r="Q10" s="1780"/>
      <c r="R10" s="1154">
        <f t="shared" ref="R10:R19" si="1">SUM(D10,G10:Q10)</f>
        <v>0</v>
      </c>
      <c r="S10" s="1779"/>
      <c r="T10" s="1154">
        <f>R10-S10</f>
        <v>0</v>
      </c>
      <c r="U10" s="1781"/>
      <c r="V10" s="2830" t="b">
        <f>AND(R10&gt;=0,T10&gt;=0)</f>
        <v>1</v>
      </c>
      <c r="W10" s="3090" t="s">
        <v>3392</v>
      </c>
      <c r="X10" s="3096">
        <f>SUMIF(Затраты_Вход_1!C:C,W13,Затраты_Вход_1!E:E)+SUMIF(Затраты_Вход_1!C:C,W14,Затраты_Вход_1!E:E)+SUMIF(Затраты_Вход_1!C:C,W15,Затраты_Вход_1!E:E)+SUMIF(Затраты_Вход_1!C:C,W16,Затраты_Вход_1!E:E)+SUMIF(Затраты_Вход_1!C:C,W13,Затраты_Вход_1!F:F)+SUMIF(Затраты_Вход_1!C:C,W14,Затраты_Вход_1!F:F)+SUMIF(Затраты_Вход_1!C:C,W15,Затраты_Вход_1!F:F)+SUMIF(Затраты_Вход_1!C:C,W16,Затраты_Вход_1!F:F)</f>
        <v>0</v>
      </c>
      <c r="Y10" s="3096">
        <f>SUMIF(C:C,"{2200}  Расходы на разработку и внедрение программных продуктов",J:J)+SUMIF(C:C,"{2100}  Лицензии на программные продукты",J:J)+SUMIF(C:C,"{2200}  Расходы на разработку и внедрение программных продуктов",K:K)+SUMIF(C:C,"{2100}  Лицензии на программные продукты",K:K)</f>
        <v>0</v>
      </c>
      <c r="Z10" s="3092" t="b">
        <f t="shared" ref="Z10:Z11" si="2">X10+Y10&gt;=0</f>
        <v>1</v>
      </c>
      <c r="AA10" s="2830"/>
      <c r="AB10" s="2830"/>
    </row>
    <row r="11" spans="1:28">
      <c r="A11" s="2425" t="str">
        <f t="shared" ref="A11:A19" si="3">"R10="&amp;IFERROR(MID(C11,FIND("{",C11)+1,FIND("}",C11)-FIND("{",C11)-1),"")&amp;";COM="&amp;U11</f>
        <v>R10=;COM=</v>
      </c>
      <c r="B11" s="1583"/>
      <c r="C11" s="1885"/>
      <c r="D11" s="1779"/>
      <c r="E11" s="1779"/>
      <c r="F11" s="1154">
        <f t="shared" ref="F11:F17" si="4">D11-E11</f>
        <v>0</v>
      </c>
      <c r="G11" s="1779"/>
      <c r="H11" s="1779"/>
      <c r="I11" s="1779"/>
      <c r="J11" s="1779"/>
      <c r="K11" s="1779"/>
      <c r="L11" s="1779"/>
      <c r="M11" s="1779"/>
      <c r="N11" s="1779"/>
      <c r="O11" s="1779"/>
      <c r="P11" s="1779"/>
      <c r="Q11" s="1780"/>
      <c r="R11" s="1154">
        <f t="shared" si="1"/>
        <v>0</v>
      </c>
      <c r="S11" s="1779"/>
      <c r="T11" s="1154">
        <f t="shared" ref="T11:T16" si="5">R11-S11</f>
        <v>0</v>
      </c>
      <c r="U11" s="1781"/>
      <c r="V11" s="2830" t="b">
        <f t="shared" ref="V11:V19" si="6">AND(R11&gt;=0,T11&gt;=0)</f>
        <v>1</v>
      </c>
      <c r="W11" s="3091" t="s">
        <v>3393</v>
      </c>
      <c r="X11" s="3097">
        <f>SUMIF(Затраты_Вход_1!C:C,W13,Затраты_Вход_1!G:G)+SUMIF(Затраты_Вход_1!C:C,W14,Затраты_Вход_1!G:G)+SUMIF(Затраты_Вход_1!C:C,W15,Затраты_Вход_1!G:G)+SUMIF(Затраты_Вход_1!C:C,W16,Затраты_Вход_1!G:G)</f>
        <v>0</v>
      </c>
      <c r="Y11" s="3097">
        <f>SUMIF(C:C,"{2200}  Расходы на разработку и внедрение программных продуктов",L:L)+SUMIF(C:C,"{2100}  Лицензии на программные продукты",L:L)</f>
        <v>0</v>
      </c>
      <c r="Z11" s="3093" t="b">
        <f t="shared" si="2"/>
        <v>1</v>
      </c>
      <c r="AA11" s="2830"/>
      <c r="AB11" s="2830"/>
    </row>
    <row r="12" spans="1:28">
      <c r="A12" s="2425" t="str">
        <f t="shared" si="3"/>
        <v>R10=;COM=</v>
      </c>
      <c r="C12" s="1885"/>
      <c r="D12" s="1498"/>
      <c r="E12" s="1498"/>
      <c r="F12" s="1154">
        <f t="shared" si="4"/>
        <v>0</v>
      </c>
      <c r="G12" s="1779"/>
      <c r="H12" s="1779"/>
      <c r="I12" s="1779"/>
      <c r="J12" s="1779"/>
      <c r="K12" s="1779"/>
      <c r="L12" s="1779"/>
      <c r="M12" s="1779"/>
      <c r="N12" s="1779"/>
      <c r="O12" s="1779"/>
      <c r="P12" s="1779"/>
      <c r="Q12" s="1780"/>
      <c r="R12" s="1154">
        <f t="shared" si="1"/>
        <v>0</v>
      </c>
      <c r="S12" s="1779"/>
      <c r="T12" s="1154">
        <f t="shared" si="5"/>
        <v>0</v>
      </c>
      <c r="U12" s="1781"/>
      <c r="V12" s="2830" t="b">
        <f t="shared" si="6"/>
        <v>1</v>
      </c>
      <c r="W12" s="2830"/>
      <c r="Z12" s="2830"/>
      <c r="AA12" s="2830"/>
      <c r="AB12" s="2830"/>
    </row>
    <row r="13" spans="1:28">
      <c r="A13" s="2425" t="str">
        <f t="shared" si="3"/>
        <v>R10=;COM=</v>
      </c>
      <c r="C13" s="1885"/>
      <c r="D13" s="1498"/>
      <c r="E13" s="1498"/>
      <c r="F13" s="1154">
        <f t="shared" si="4"/>
        <v>0</v>
      </c>
      <c r="G13" s="1779"/>
      <c r="H13" s="1779"/>
      <c r="I13" s="1779"/>
      <c r="J13" s="1779"/>
      <c r="K13" s="1779"/>
      <c r="L13" s="1779"/>
      <c r="M13" s="1779"/>
      <c r="N13" s="1779"/>
      <c r="O13" s="1779"/>
      <c r="P13" s="1779"/>
      <c r="Q13" s="1780"/>
      <c r="R13" s="1154">
        <f t="shared" si="1"/>
        <v>0</v>
      </c>
      <c r="S13" s="1779"/>
      <c r="T13" s="1154">
        <f t="shared" si="5"/>
        <v>0</v>
      </c>
      <c r="U13" s="1781"/>
      <c r="V13" s="2830" t="b">
        <f t="shared" si="6"/>
        <v>1</v>
      </c>
      <c r="W13" s="3088" t="s">
        <v>3528</v>
      </c>
      <c r="Z13" s="2830"/>
      <c r="AA13" s="2830"/>
      <c r="AB13" s="2830"/>
    </row>
    <row r="14" spans="1:28">
      <c r="A14" s="2425" t="str">
        <f t="shared" si="3"/>
        <v>R10=;COM=</v>
      </c>
      <c r="C14" s="1885"/>
      <c r="D14" s="1498"/>
      <c r="E14" s="1498"/>
      <c r="F14" s="1154">
        <f t="shared" si="4"/>
        <v>0</v>
      </c>
      <c r="G14" s="1779"/>
      <c r="H14" s="1779"/>
      <c r="I14" s="1779"/>
      <c r="J14" s="1779"/>
      <c r="K14" s="1779"/>
      <c r="L14" s="1779"/>
      <c r="M14" s="1779"/>
      <c r="N14" s="1779"/>
      <c r="O14" s="1779"/>
      <c r="P14" s="1779"/>
      <c r="Q14" s="1780"/>
      <c r="R14" s="1154">
        <f t="shared" si="1"/>
        <v>0</v>
      </c>
      <c r="S14" s="1779"/>
      <c r="T14" s="1154">
        <f t="shared" si="5"/>
        <v>0</v>
      </c>
      <c r="U14" s="1781"/>
      <c r="V14" s="2830" t="b">
        <f t="shared" si="6"/>
        <v>1</v>
      </c>
      <c r="W14" s="3088" t="s">
        <v>3530</v>
      </c>
      <c r="Z14" s="2830"/>
      <c r="AA14" s="2830"/>
      <c r="AB14" s="2830"/>
    </row>
    <row r="15" spans="1:28">
      <c r="A15" s="2425" t="str">
        <f t="shared" si="3"/>
        <v>R10=;COM=</v>
      </c>
      <c r="C15" s="1885"/>
      <c r="D15" s="1779"/>
      <c r="E15" s="1779"/>
      <c r="F15" s="1154">
        <f t="shared" si="4"/>
        <v>0</v>
      </c>
      <c r="G15" s="1779"/>
      <c r="H15" s="1779"/>
      <c r="I15" s="1779"/>
      <c r="J15" s="1779"/>
      <c r="K15" s="1779"/>
      <c r="L15" s="1779"/>
      <c r="M15" s="1779"/>
      <c r="N15" s="1779"/>
      <c r="O15" s="1779"/>
      <c r="P15" s="1779"/>
      <c r="Q15" s="1780"/>
      <c r="R15" s="1154">
        <f t="shared" si="1"/>
        <v>0</v>
      </c>
      <c r="S15" s="1779"/>
      <c r="T15" s="1154">
        <f t="shared" si="5"/>
        <v>0</v>
      </c>
      <c r="U15" s="1781"/>
      <c r="V15" s="2830" t="b">
        <f t="shared" si="6"/>
        <v>1</v>
      </c>
      <c r="W15" s="3088" t="s">
        <v>3531</v>
      </c>
      <c r="Z15" s="2830"/>
      <c r="AA15" s="2830"/>
      <c r="AB15" s="2830"/>
    </row>
    <row r="16" spans="1:28">
      <c r="A16" s="2425" t="str">
        <f t="shared" si="3"/>
        <v>R10=;COM=</v>
      </c>
      <c r="C16" s="1885"/>
      <c r="D16" s="1779"/>
      <c r="E16" s="1779"/>
      <c r="F16" s="1154">
        <f t="shared" si="4"/>
        <v>0</v>
      </c>
      <c r="G16" s="1779"/>
      <c r="H16" s="1779"/>
      <c r="I16" s="1779"/>
      <c r="J16" s="1779"/>
      <c r="K16" s="1779"/>
      <c r="L16" s="1779"/>
      <c r="M16" s="1779"/>
      <c r="N16" s="1779"/>
      <c r="O16" s="1779"/>
      <c r="P16" s="1779"/>
      <c r="Q16" s="1780"/>
      <c r="R16" s="1154">
        <f t="shared" si="1"/>
        <v>0</v>
      </c>
      <c r="S16" s="1779"/>
      <c r="T16" s="1154">
        <f t="shared" si="5"/>
        <v>0</v>
      </c>
      <c r="U16" s="1781"/>
      <c r="V16" s="2830" t="b">
        <f t="shared" si="6"/>
        <v>1</v>
      </c>
      <c r="W16" s="3088" t="s">
        <v>3529</v>
      </c>
      <c r="Z16" s="2830"/>
      <c r="AA16" s="2830"/>
      <c r="AB16" s="2830"/>
    </row>
    <row r="17" spans="1:28">
      <c r="A17" s="2425" t="str">
        <f t="shared" si="3"/>
        <v>R10=;COM=</v>
      </c>
      <c r="C17" s="1885"/>
      <c r="D17" s="1779"/>
      <c r="E17" s="1779"/>
      <c r="F17" s="1154">
        <f t="shared" si="4"/>
        <v>0</v>
      </c>
      <c r="G17" s="1779"/>
      <c r="H17" s="1779"/>
      <c r="I17" s="1779"/>
      <c r="J17" s="1779"/>
      <c r="K17" s="1779"/>
      <c r="L17" s="1779"/>
      <c r="M17" s="1779"/>
      <c r="N17" s="1779"/>
      <c r="O17" s="1779"/>
      <c r="P17" s="1779"/>
      <c r="Q17" s="1780"/>
      <c r="R17" s="1154">
        <f t="shared" si="1"/>
        <v>0</v>
      </c>
      <c r="S17" s="1779"/>
      <c r="T17" s="1154">
        <f>R17-S17</f>
        <v>0</v>
      </c>
      <c r="U17" s="1781"/>
      <c r="V17" s="2830" t="b">
        <f t="shared" si="6"/>
        <v>1</v>
      </c>
      <c r="W17" s="2830"/>
      <c r="Z17" s="2830"/>
      <c r="AA17" s="2830"/>
      <c r="AB17" s="2830"/>
    </row>
    <row r="18" spans="1:28">
      <c r="A18" s="2425" t="str">
        <f t="shared" si="3"/>
        <v>R10=;COM=</v>
      </c>
      <c r="C18" s="1885"/>
      <c r="D18" s="1779"/>
      <c r="E18" s="1779"/>
      <c r="F18" s="1154">
        <f>D18-E18</f>
        <v>0</v>
      </c>
      <c r="G18" s="1779"/>
      <c r="H18" s="1779"/>
      <c r="I18" s="1779"/>
      <c r="J18" s="1779"/>
      <c r="K18" s="1779"/>
      <c r="L18" s="1779"/>
      <c r="M18" s="1779"/>
      <c r="N18" s="1779"/>
      <c r="O18" s="1779"/>
      <c r="P18" s="1779"/>
      <c r="Q18" s="1780"/>
      <c r="R18" s="1154">
        <f t="shared" si="1"/>
        <v>0</v>
      </c>
      <c r="S18" s="1779"/>
      <c r="T18" s="1154">
        <f>R18-S18</f>
        <v>0</v>
      </c>
      <c r="U18" s="1781"/>
      <c r="V18" s="2830" t="b">
        <f t="shared" si="6"/>
        <v>1</v>
      </c>
      <c r="W18" s="2830"/>
      <c r="Z18" s="2830"/>
      <c r="AA18" s="2830"/>
      <c r="AB18" s="2830"/>
    </row>
    <row r="19" spans="1:28" s="2830" customFormat="1">
      <c r="A19" s="2425" t="str">
        <f t="shared" si="3"/>
        <v>R10=;COM=</v>
      </c>
      <c r="C19" s="1885"/>
      <c r="D19" s="1779"/>
      <c r="E19" s="1779"/>
      <c r="F19" s="1154">
        <f>D19-E19</f>
        <v>0</v>
      </c>
      <c r="G19" s="1779"/>
      <c r="H19" s="1779"/>
      <c r="I19" s="1779"/>
      <c r="J19" s="1779"/>
      <c r="K19" s="1779"/>
      <c r="L19" s="1779"/>
      <c r="M19" s="1779"/>
      <c r="N19" s="1779"/>
      <c r="O19" s="1779"/>
      <c r="P19" s="1779"/>
      <c r="Q19" s="1780"/>
      <c r="R19" s="1154">
        <f t="shared" si="1"/>
        <v>0</v>
      </c>
      <c r="S19" s="1779"/>
      <c r="T19" s="1154">
        <f>R19-S19</f>
        <v>0</v>
      </c>
      <c r="U19" s="1781"/>
      <c r="V19" s="2830" t="b">
        <f t="shared" si="6"/>
        <v>1</v>
      </c>
      <c r="X19" s="1698"/>
      <c r="Y19" s="1698"/>
    </row>
    <row r="20" spans="1:28" s="2830" customFormat="1" ht="15" thickBot="1">
      <c r="A20" s="2425" t="str">
        <f t="shared" ref="A20" si="7">"R10="&amp;IFERROR(MID(C20,FIND("{",C20)+1,FIND("}",C20)-FIND("{",C20)-1),"")&amp;";COM="&amp;U20</f>
        <v>R10=;COM=</v>
      </c>
      <c r="C20" s="1886"/>
      <c r="D20" s="1887"/>
      <c r="E20" s="1887"/>
      <c r="F20" s="1888">
        <f>D20-E20</f>
        <v>0</v>
      </c>
      <c r="G20" s="1887"/>
      <c r="H20" s="1887"/>
      <c r="I20" s="1887"/>
      <c r="J20" s="1887"/>
      <c r="K20" s="1887"/>
      <c r="L20" s="1887"/>
      <c r="M20" s="1887"/>
      <c r="N20" s="1887"/>
      <c r="O20" s="1887"/>
      <c r="P20" s="1887"/>
      <c r="Q20" s="1887"/>
      <c r="R20" s="1888">
        <f t="shared" ref="R20" si="8">SUM(D20,G20:Q20)</f>
        <v>0</v>
      </c>
      <c r="S20" s="1889"/>
      <c r="T20" s="1888">
        <f>R20-S20</f>
        <v>0</v>
      </c>
      <c r="U20" s="1890"/>
      <c r="V20" s="2830" t="b">
        <f t="shared" ref="V20" si="9">AND(R20&gt;=0,T20&gt;=0)</f>
        <v>1</v>
      </c>
      <c r="X20" s="1698"/>
      <c r="Y20" s="1698"/>
    </row>
    <row r="21" spans="1:28">
      <c r="V21" s="2830"/>
      <c r="W21" s="2830"/>
      <c r="Z21" s="2830"/>
      <c r="AA21" s="2830"/>
      <c r="AB21" s="2830"/>
    </row>
    <row r="22" spans="1:28">
      <c r="V22" s="2830"/>
      <c r="W22" s="2830"/>
      <c r="Z22" s="2830"/>
      <c r="AA22" s="2830"/>
      <c r="AB22" s="2830"/>
    </row>
    <row r="23" spans="1:28">
      <c r="V23" s="2830"/>
      <c r="W23" s="2830"/>
      <c r="Z23" s="2830"/>
      <c r="AA23" s="2830"/>
      <c r="AB23" s="2830"/>
    </row>
    <row r="24" spans="1:28">
      <c r="V24" s="2830"/>
      <c r="W24" s="2830"/>
      <c r="Z24" s="2830"/>
      <c r="AA24" s="2830"/>
      <c r="AB24" s="2830"/>
    </row>
  </sheetData>
  <sheetProtection algorithmName="SHA-512" hashValue="D8PgDPr784IaSkYSTQ5lo7G4z4dS/QWMdyLWFviHNHSQcE4NT87pYiYiJ9h8sn2XeUWJ8a0hxr+MABTslILenw==" saltValue="myegpTMhhvMf6YvY3MiS5Q==" spinCount="100000" sheet="1" objects="1" scenarios="1" formatColumns="0" formatRows="0" autoFilter="0"/>
  <autoFilter ref="C8:V8"/>
  <dataConsolidate/>
  <customSheetViews>
    <customSheetView guid="{3769259D-9653-4B34-A2F6-4FB6F9F4E533}" scale="60" showGridLines="0" showAutoFilter="1" hiddenRows="1" hiddenColumns="1">
      <pane xSplit="4" ySplit="9" topLeftCell="E10" activePane="bottomRight" state="frozen"/>
      <selection pane="bottomRight" activeCell="E36" sqref="E36"/>
      <pageMargins left="0.7" right="0.7" top="0.75" bottom="0.75" header="0.3" footer="0.3"/>
      <autoFilter ref="B1:S1"/>
    </customSheetView>
    <customSheetView guid="{40D7A2BB-326C-4ED3-999C-17852F56D6F4}" scale="60" showGridLines="0" showAutoFilter="1" hiddenRows="1" hiddenColumns="1">
      <pane xSplit="4" ySplit="9" topLeftCell="E10" activePane="bottomRight" state="frozen"/>
      <selection pane="bottomRight" activeCell="E36" sqref="E36"/>
      <pageMargins left="0.7" right="0.7" top="0.75" bottom="0.75" header="0.3" footer="0.3"/>
      <autoFilter ref="B1:S1"/>
    </customSheetView>
    <customSheetView guid="{5D121940-0CE8-4A0E-A493-67FAAA6E0FF8}" scale="60" showGridLines="0" showAutoFilter="1" hiddenRows="1" hiddenColumns="1" topLeftCell="B2">
      <pane xSplit="3" ySplit="8" topLeftCell="H10" activePane="bottomRight" state="frozen"/>
      <selection pane="bottomRight" activeCell="C8" sqref="C8:T8"/>
      <pageMargins left="0.7" right="0.7" top="0.75" bottom="0.75" header="0.3" footer="0.3"/>
      <autoFilter ref="B1:S1"/>
    </customSheetView>
    <customSheetView guid="{47AEACC4-6EA5-412C-AF39-A6C5357B313A}" scale="60" showGridLines="0" showAutoFilter="1" hiddenRows="1" hiddenColumns="1">
      <pane xSplit="3" ySplit="8" topLeftCell="H9" activePane="bottomRight" state="frozen"/>
      <selection pane="bottomRight" activeCell="C8" sqref="C8:T8"/>
      <pageMargins left="0.7" right="0.7" top="0.75" bottom="0.75" header="0.3" footer="0.3"/>
      <autoFilter ref="B1:S1"/>
    </customSheetView>
    <customSheetView guid="{C913A9E8-661B-40A4-A3C9-1BC5F2B2E9F0}" scale="60" showGridLines="0" showAutoFilter="1" hiddenRows="1" hiddenColumns="1">
      <pane xSplit="3" ySplit="8" topLeftCell="H9" activePane="bottomRight" state="frozen"/>
      <selection pane="bottomRight" activeCell="C8" sqref="C8:T8"/>
      <pageMargins left="0.7" right="0.7" top="0.75" bottom="0.75" header="0.3" footer="0.3"/>
      <autoFilter ref="B1:S1"/>
    </customSheetView>
  </customSheetViews>
  <mergeCells count="20">
    <mergeCell ref="C5:C6"/>
    <mergeCell ref="D5:D6"/>
    <mergeCell ref="G5:G6"/>
    <mergeCell ref="I5:I6"/>
    <mergeCell ref="E5:E6"/>
    <mergeCell ref="F5:F6"/>
    <mergeCell ref="H5:H6"/>
    <mergeCell ref="W7:Z7"/>
    <mergeCell ref="R5:R6"/>
    <mergeCell ref="T5:T6"/>
    <mergeCell ref="U5:U6"/>
    <mergeCell ref="J5:K5"/>
    <mergeCell ref="L5:L6"/>
    <mergeCell ref="M5:M6"/>
    <mergeCell ref="N5:N6"/>
    <mergeCell ref="O5:O6"/>
    <mergeCell ref="P5:P6"/>
    <mergeCell ref="S5:S6"/>
    <mergeCell ref="Q5:Q6"/>
    <mergeCell ref="V5:V6"/>
  </mergeCells>
  <phoneticPr fontId="0" type="noConversion"/>
  <dataValidations disablePrompts="1" count="1">
    <dataValidation type="list" operator="equal" allowBlank="1" showErrorMessage="1" errorTitle="Выбор элемента списка" error="Данного элемента нет в списке" sqref="C10:C20">
      <formula1>_2250</formula1>
    </dataValidation>
  </dataValidations>
  <hyperlinks>
    <hyperlink ref="G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55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ButtonsRowAdd">
                <anchor moveWithCells="1">
                  <from>
                    <xdr:col>6</xdr:col>
                    <xdr:colOff>107950</xdr:colOff>
                    <xdr:row>1</xdr:row>
                    <xdr:rowOff>184150</xdr:rowOff>
                  </from>
                  <to>
                    <xdr:col>7</xdr:col>
                    <xdr:colOff>488950</xdr:colOff>
                    <xdr:row>2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>
    <pageSetUpPr fitToPage="1"/>
  </sheetPr>
  <dimension ref="A1:AE366"/>
  <sheetViews>
    <sheetView topLeftCell="Q2" zoomScale="59" zoomScaleNormal="59" workbookViewId="0">
      <selection activeCell="F17" sqref="F17"/>
    </sheetView>
  </sheetViews>
  <sheetFormatPr defaultColWidth="20.453125" defaultRowHeight="14.5"/>
  <cols>
    <col min="1" max="1" width="7.453125" style="564" hidden="1" customWidth="1"/>
    <col min="2" max="2" width="4.453125" style="522" customWidth="1"/>
    <col min="3" max="3" width="46.453125" style="522" customWidth="1"/>
    <col min="4" max="5" width="20.453125" style="522" customWidth="1"/>
    <col min="6" max="6" width="71" style="522" customWidth="1"/>
    <col min="7" max="7" width="33.453125" style="522" customWidth="1"/>
    <col min="8" max="10" width="24" style="522" customWidth="1"/>
    <col min="11" max="11" width="27" style="522" customWidth="1"/>
    <col min="12" max="12" width="23.453125" style="522" customWidth="1"/>
    <col min="13" max="15" width="20.453125" style="522" customWidth="1"/>
    <col min="16" max="16" width="15" style="522" customWidth="1"/>
    <col min="17" max="21" width="20.453125" style="522" customWidth="1"/>
    <col min="22" max="23" width="16.54296875" style="522" customWidth="1"/>
    <col min="24" max="25" width="20.453125" style="522" customWidth="1"/>
    <col min="26" max="26" width="53.54296875" style="522" customWidth="1"/>
    <col min="27" max="27" width="25.453125" style="522" customWidth="1"/>
    <col min="28" max="28" width="15" style="522" customWidth="1"/>
    <col min="29" max="29" width="15.54296875" style="522" customWidth="1"/>
    <col min="30" max="30" width="18.54296875" style="522" customWidth="1"/>
    <col min="31" max="31" width="26.54296875" style="522" customWidth="1"/>
    <col min="32" max="238" width="9.453125" style="522" customWidth="1"/>
    <col min="239" max="239" width="5.54296875" style="522" customWidth="1"/>
    <col min="240" max="240" width="33.453125" style="522" customWidth="1"/>
    <col min="241" max="245" width="15.453125" style="522" customWidth="1"/>
    <col min="246" max="16384" width="20.453125" style="522"/>
  </cols>
  <sheetData>
    <row r="1" spans="1:31" s="448" customFormat="1" ht="35.25" hidden="1" customHeight="1">
      <c r="A1" s="167" t="s">
        <v>2845</v>
      </c>
      <c r="B1" s="521"/>
      <c r="C1" s="571"/>
      <c r="D1" s="571"/>
      <c r="E1" s="571"/>
      <c r="F1" s="571"/>
      <c r="G1" s="571"/>
      <c r="H1" s="6"/>
      <c r="I1" s="2438" t="s">
        <v>8029</v>
      </c>
      <c r="J1" s="2438" t="s">
        <v>8030</v>
      </c>
      <c r="K1" s="6" t="s">
        <v>601</v>
      </c>
      <c r="L1" s="6" t="s">
        <v>602</v>
      </c>
      <c r="M1" s="6" t="s">
        <v>603</v>
      </c>
      <c r="N1" s="6" t="s">
        <v>604</v>
      </c>
      <c r="O1" s="6" t="s">
        <v>605</v>
      </c>
      <c r="P1" s="6" t="s">
        <v>606</v>
      </c>
      <c r="Q1" s="6" t="s">
        <v>607</v>
      </c>
      <c r="R1" s="6" t="s">
        <v>615</v>
      </c>
      <c r="S1" s="6" t="s">
        <v>609</v>
      </c>
      <c r="T1" s="6" t="s">
        <v>610</v>
      </c>
      <c r="U1" s="6" t="s">
        <v>611</v>
      </c>
      <c r="V1" s="6" t="s">
        <v>612</v>
      </c>
      <c r="W1" s="6"/>
      <c r="X1" s="6" t="s">
        <v>614</v>
      </c>
      <c r="Y1" s="6" t="s">
        <v>613</v>
      </c>
      <c r="Z1" s="571"/>
    </row>
    <row r="2" spans="1:31" s="1952" customFormat="1">
      <c r="A2" s="1936"/>
      <c r="H2" s="1952" t="s">
        <v>1648</v>
      </c>
      <c r="K2" s="1952" t="s">
        <v>1648</v>
      </c>
      <c r="L2" s="1952" t="s">
        <v>1648</v>
      </c>
      <c r="M2" s="1952" t="s">
        <v>1648</v>
      </c>
      <c r="N2" s="1952" t="s">
        <v>1648</v>
      </c>
      <c r="O2" s="1952" t="s">
        <v>1648</v>
      </c>
      <c r="P2" s="1952" t="s">
        <v>1648</v>
      </c>
      <c r="Q2" s="1952" t="s">
        <v>1648</v>
      </c>
      <c r="R2" s="1952" t="s">
        <v>1648</v>
      </c>
      <c r="S2" s="1952" t="s">
        <v>1648</v>
      </c>
      <c r="T2" s="1952" t="s">
        <v>1648</v>
      </c>
      <c r="U2" s="1952" t="s">
        <v>1648</v>
      </c>
      <c r="V2" s="1952" t="s">
        <v>1648</v>
      </c>
      <c r="W2" s="1952" t="s">
        <v>1648</v>
      </c>
      <c r="X2" s="1952" t="s">
        <v>1648</v>
      </c>
      <c r="Y2" s="1952" t="s">
        <v>1648</v>
      </c>
    </row>
    <row r="3" spans="1:31">
      <c r="D3"/>
      <c r="E3" s="2358"/>
      <c r="G3" s="1897" t="s">
        <v>2067</v>
      </c>
      <c r="H3" s="1244">
        <f>Содержание!$D$2</f>
        <v>0</v>
      </c>
    </row>
    <row r="4" spans="1:31" s="524" customFormat="1">
      <c r="A4" s="564"/>
      <c r="C4" s="523" t="s">
        <v>5190</v>
      </c>
      <c r="D4" s="12"/>
      <c r="E4" s="12"/>
      <c r="F4" s="12"/>
      <c r="G4" s="1897" t="s">
        <v>2075</v>
      </c>
      <c r="H4" s="1244" t="str">
        <f>Содержание!$D$15</f>
        <v>2022 год</v>
      </c>
      <c r="I4" s="3044" t="s">
        <v>1436</v>
      </c>
      <c r="J4" s="52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31" s="524" customFormat="1" ht="15" thickBot="1">
      <c r="A5" s="9"/>
      <c r="B5" s="33"/>
      <c r="C5"/>
      <c r="D5" s="572"/>
      <c r="E5" s="572"/>
      <c r="F5" s="572"/>
      <c r="G5" s="269"/>
      <c r="H5" s="572"/>
      <c r="I5" s="572"/>
      <c r="J5" s="572"/>
      <c r="K5" s="572"/>
      <c r="L5" s="573"/>
      <c r="M5" s="573"/>
      <c r="N5" s="573"/>
      <c r="O5" s="210"/>
      <c r="P5" s="572"/>
      <c r="Q5" s="572"/>
      <c r="R5" s="572"/>
      <c r="S5" s="572"/>
      <c r="T5" s="572"/>
      <c r="U5" s="210"/>
      <c r="V5" s="572"/>
      <c r="W5" s="572"/>
      <c r="X5" s="572"/>
      <c r="Y5" s="12"/>
      <c r="Z5" s="12"/>
    </row>
    <row r="6" spans="1:31" s="524" customFormat="1" ht="16.5" customHeight="1" thickBot="1">
      <c r="A6" s="9"/>
      <c r="B6" s="287"/>
      <c r="C6" s="3747" t="s">
        <v>5539</v>
      </c>
      <c r="D6" s="3713" t="s">
        <v>5540</v>
      </c>
      <c r="E6" s="3851" t="s">
        <v>8394</v>
      </c>
      <c r="F6" s="3713" t="s">
        <v>5541</v>
      </c>
      <c r="G6" s="3713" t="s">
        <v>3395</v>
      </c>
      <c r="H6" s="3713" t="s">
        <v>5225</v>
      </c>
      <c r="I6" s="3851" t="s">
        <v>7889</v>
      </c>
      <c r="J6" s="3851" t="s">
        <v>7890</v>
      </c>
      <c r="K6" s="4007"/>
      <c r="L6" s="4008"/>
      <c r="M6" s="4008"/>
      <c r="N6" s="4008"/>
      <c r="O6" s="4008"/>
      <c r="P6" s="4009"/>
      <c r="Q6" s="4007"/>
      <c r="R6" s="4008"/>
      <c r="S6" s="4008"/>
      <c r="T6" s="4008"/>
      <c r="U6" s="4008"/>
      <c r="V6" s="4009"/>
      <c r="W6" s="4010" t="s">
        <v>5233</v>
      </c>
      <c r="X6" s="4010"/>
      <c r="Y6" s="4010"/>
      <c r="Z6" s="4011" t="s">
        <v>4183</v>
      </c>
    </row>
    <row r="7" spans="1:31" s="778" customFormat="1" ht="117">
      <c r="A7" s="9"/>
      <c r="B7" s="775"/>
      <c r="C7" s="3747"/>
      <c r="D7" s="3713"/>
      <c r="E7" s="3807"/>
      <c r="F7" s="3713"/>
      <c r="G7" s="3713"/>
      <c r="H7" s="3713"/>
      <c r="I7" s="3717"/>
      <c r="J7" s="3717"/>
      <c r="K7" s="776" t="s">
        <v>1662</v>
      </c>
      <c r="L7" s="776" t="s">
        <v>1663</v>
      </c>
      <c r="M7" s="776" t="s">
        <v>5191</v>
      </c>
      <c r="N7" s="776" t="s">
        <v>5192</v>
      </c>
      <c r="O7" s="776" t="s">
        <v>5193</v>
      </c>
      <c r="P7" s="776" t="s">
        <v>5194</v>
      </c>
      <c r="Q7" s="776" t="s">
        <v>8605</v>
      </c>
      <c r="R7" s="776" t="s">
        <v>8613</v>
      </c>
      <c r="S7" s="776" t="s">
        <v>5195</v>
      </c>
      <c r="T7" s="776" t="s">
        <v>8606</v>
      </c>
      <c r="U7" s="776" t="s">
        <v>8607</v>
      </c>
      <c r="V7" s="776" t="s">
        <v>5550</v>
      </c>
      <c r="W7" s="777" t="s">
        <v>5244</v>
      </c>
      <c r="X7" s="776" t="s">
        <v>8608</v>
      </c>
      <c r="Y7" s="776" t="s">
        <v>5552</v>
      </c>
      <c r="Z7" s="4011"/>
    </row>
    <row r="8" spans="1:31" s="524" customFormat="1" ht="13">
      <c r="A8" s="748"/>
      <c r="B8" s="287"/>
      <c r="C8" s="270" t="s">
        <v>5247</v>
      </c>
      <c r="D8" s="247" t="s">
        <v>5247</v>
      </c>
      <c r="E8" s="2361" t="s">
        <v>5247</v>
      </c>
      <c r="F8" s="247" t="s">
        <v>3397</v>
      </c>
      <c r="G8" s="247" t="s">
        <v>4097</v>
      </c>
      <c r="H8" s="247" t="s">
        <v>674</v>
      </c>
      <c r="I8" s="247" t="s">
        <v>4142</v>
      </c>
      <c r="J8" s="247" t="s">
        <v>4142</v>
      </c>
      <c r="K8" s="247" t="s">
        <v>5196</v>
      </c>
      <c r="L8" s="247" t="s">
        <v>5197</v>
      </c>
      <c r="M8" s="247" t="s">
        <v>5198</v>
      </c>
      <c r="N8" s="247" t="s">
        <v>5199</v>
      </c>
      <c r="O8" s="247" t="s">
        <v>5200</v>
      </c>
      <c r="P8" s="247" t="s">
        <v>5201</v>
      </c>
      <c r="Q8" s="247" t="s">
        <v>5202</v>
      </c>
      <c r="R8" s="247" t="s">
        <v>5209</v>
      </c>
      <c r="S8" s="247" t="s">
        <v>5204</v>
      </c>
      <c r="T8" s="247" t="s">
        <v>5205</v>
      </c>
      <c r="U8" s="247" t="s">
        <v>5206</v>
      </c>
      <c r="V8" s="247" t="s">
        <v>5207</v>
      </c>
      <c r="W8" s="264" t="s">
        <v>694</v>
      </c>
      <c r="X8" s="247" t="s">
        <v>3387</v>
      </c>
      <c r="Y8" s="247" t="s">
        <v>3388</v>
      </c>
      <c r="Z8" s="248"/>
    </row>
    <row r="9" spans="1:31" s="698" customFormat="1" ht="12.5">
      <c r="A9" s="9"/>
      <c r="B9" s="679"/>
      <c r="C9" s="1760" t="s">
        <v>4164</v>
      </c>
      <c r="D9" s="1761" t="s">
        <v>4165</v>
      </c>
      <c r="E9" s="1761" t="s">
        <v>4166</v>
      </c>
      <c r="F9" s="1761" t="s">
        <v>5500</v>
      </c>
      <c r="G9" s="1761" t="s">
        <v>4169</v>
      </c>
      <c r="H9" s="1761" t="s">
        <v>4168</v>
      </c>
      <c r="I9" s="1761" t="s">
        <v>4178</v>
      </c>
      <c r="J9" s="1761" t="s">
        <v>4179</v>
      </c>
      <c r="K9" s="1761" t="s">
        <v>4167</v>
      </c>
      <c r="L9" s="1761" t="s">
        <v>5501</v>
      </c>
      <c r="M9" s="1761" t="s">
        <v>4701</v>
      </c>
      <c r="N9" s="1761" t="s">
        <v>4702</v>
      </c>
      <c r="O9" s="1761" t="s">
        <v>4703</v>
      </c>
      <c r="P9" s="1761" t="s">
        <v>5502</v>
      </c>
      <c r="Q9" s="1761" t="s">
        <v>5503</v>
      </c>
      <c r="R9" s="1761" t="s">
        <v>5504</v>
      </c>
      <c r="S9" s="1761" t="s">
        <v>4853</v>
      </c>
      <c r="T9" s="1761" t="s">
        <v>4852</v>
      </c>
      <c r="U9" s="1761" t="s">
        <v>5505</v>
      </c>
      <c r="V9" s="1761" t="s">
        <v>4851</v>
      </c>
      <c r="W9" s="1761" t="s">
        <v>5506</v>
      </c>
      <c r="X9" s="1761" t="s">
        <v>4850</v>
      </c>
      <c r="Y9" s="1761" t="s">
        <v>3303</v>
      </c>
      <c r="Z9" s="1761" t="s">
        <v>3304</v>
      </c>
    </row>
    <row r="10" spans="1:31" s="524" customFormat="1" ht="13">
      <c r="A10" s="668"/>
      <c r="B10" s="287"/>
      <c r="C10" s="1078" t="s">
        <v>4170</v>
      </c>
      <c r="D10" s="1079" t="s">
        <v>3389</v>
      </c>
      <c r="E10" s="1079" t="s">
        <v>3389</v>
      </c>
      <c r="F10" s="1079" t="s">
        <v>3389</v>
      </c>
      <c r="G10" s="1079" t="s">
        <v>3389</v>
      </c>
      <c r="H10" s="1080">
        <f>SUM(H15:H20005)</f>
        <v>0</v>
      </c>
      <c r="I10" s="1080">
        <f>SUM(I15:I20005)</f>
        <v>0</v>
      </c>
      <c r="J10" s="1080">
        <f>SUM(J15:J20005)</f>
        <v>0</v>
      </c>
      <c r="K10" s="1080">
        <f t="shared" ref="K10:Y10" si="0">SUM(K15:K20005)</f>
        <v>0</v>
      </c>
      <c r="L10" s="1080">
        <f t="shared" si="0"/>
        <v>0</v>
      </c>
      <c r="M10" s="1080">
        <f t="shared" si="0"/>
        <v>0</v>
      </c>
      <c r="N10" s="1080">
        <f t="shared" si="0"/>
        <v>0</v>
      </c>
      <c r="O10" s="1080">
        <f t="shared" si="0"/>
        <v>0</v>
      </c>
      <c r="P10" s="1080">
        <f t="shared" si="0"/>
        <v>0</v>
      </c>
      <c r="Q10" s="1080">
        <f t="shared" si="0"/>
        <v>0</v>
      </c>
      <c r="R10" s="1080">
        <f t="shared" si="0"/>
        <v>0</v>
      </c>
      <c r="S10" s="1080">
        <f t="shared" si="0"/>
        <v>0</v>
      </c>
      <c r="T10" s="1080">
        <f t="shared" si="0"/>
        <v>0</v>
      </c>
      <c r="U10" s="1080">
        <f t="shared" si="0"/>
        <v>0</v>
      </c>
      <c r="V10" s="1080">
        <f t="shared" si="0"/>
        <v>0</v>
      </c>
      <c r="W10" s="1080">
        <f t="shared" si="0"/>
        <v>0</v>
      </c>
      <c r="X10" s="1080">
        <f t="shared" si="0"/>
        <v>0</v>
      </c>
      <c r="Y10" s="1080">
        <f t="shared" si="0"/>
        <v>0</v>
      </c>
      <c r="Z10" s="1155" t="s">
        <v>3389</v>
      </c>
    </row>
    <row r="11" spans="1:31" s="524" customFormat="1" ht="13">
      <c r="A11" s="9"/>
      <c r="B11" s="287"/>
      <c r="C11" s="1078" t="s">
        <v>4849</v>
      </c>
      <c r="D11" s="1079" t="s">
        <v>3389</v>
      </c>
      <c r="E11" s="1079" t="s">
        <v>3389</v>
      </c>
      <c r="F11" s="1079" t="s">
        <v>3389</v>
      </c>
      <c r="G11" s="1079" t="s">
        <v>3389</v>
      </c>
      <c r="H11" s="1080">
        <f>SUMIF($F:$F,"{121100} Федеральный бюджет",H:H)+SUMIF($F:$F,"{121200} Бюджет субъектов РФ",H:H)+SUMIF($F:$F,"{121300} Местный бюджет",H:H)</f>
        <v>0</v>
      </c>
      <c r="I11" s="1080">
        <f>SUMIF($F:$F,"{121100} Федеральный бюджет",I:I)+SUMIF($F:$F,"{121200} Бюджет субъектов РФ",I:I)+SUMIF($F:$F,"{121300} Местный бюджет",I:I)</f>
        <v>0</v>
      </c>
      <c r="J11" s="1080">
        <f t="shared" ref="J11:J20" si="1">H11-I11</f>
        <v>0</v>
      </c>
      <c r="K11" s="1080">
        <f t="shared" ref="K11:Y11" si="2">SUMIF($F:$F,"{121100} Федеральный бюджет",K:K)+SUMIF($F:$F,"{121200} Бюджет субъектов РФ",K:K)+SUMIF($F:$F,"{121300} Местный бюджет",K:K)</f>
        <v>0</v>
      </c>
      <c r="L11" s="1080">
        <f t="shared" si="2"/>
        <v>0</v>
      </c>
      <c r="M11" s="1080">
        <f t="shared" si="2"/>
        <v>0</v>
      </c>
      <c r="N11" s="1080">
        <f t="shared" si="2"/>
        <v>0</v>
      </c>
      <c r="O11" s="1080">
        <f t="shared" si="2"/>
        <v>0</v>
      </c>
      <c r="P11" s="1080">
        <f t="shared" si="2"/>
        <v>0</v>
      </c>
      <c r="Q11" s="1080">
        <f t="shared" si="2"/>
        <v>0</v>
      </c>
      <c r="R11" s="1080">
        <f t="shared" si="2"/>
        <v>0</v>
      </c>
      <c r="S11" s="1080">
        <f t="shared" si="2"/>
        <v>0</v>
      </c>
      <c r="T11" s="1080">
        <f t="shared" si="2"/>
        <v>0</v>
      </c>
      <c r="U11" s="1080">
        <f t="shared" si="2"/>
        <v>0</v>
      </c>
      <c r="V11" s="1080">
        <f t="shared" si="2"/>
        <v>0</v>
      </c>
      <c r="W11" s="1080">
        <f t="shared" si="2"/>
        <v>0</v>
      </c>
      <c r="X11" s="1080">
        <f t="shared" si="2"/>
        <v>0</v>
      </c>
      <c r="Y11" s="1080">
        <f t="shared" si="2"/>
        <v>0</v>
      </c>
      <c r="Z11" s="1081"/>
      <c r="AE11" s="2038" t="b">
        <f>AND(AE15:AE1000)</f>
        <v>1</v>
      </c>
    </row>
    <row r="12" spans="1:31" s="524" customFormat="1" ht="13">
      <c r="A12" s="9"/>
      <c r="B12" s="287"/>
      <c r="C12" s="1078" t="s">
        <v>4848</v>
      </c>
      <c r="D12" s="1079" t="s">
        <v>3389</v>
      </c>
      <c r="E12" s="1079" t="s">
        <v>3389</v>
      </c>
      <c r="F12" s="1079" t="s">
        <v>3389</v>
      </c>
      <c r="G12" s="1079" t="s">
        <v>3389</v>
      </c>
      <c r="H12" s="1080">
        <f>SUMIF($F:$F,"{124100} Международная техническая помощь",H:H)</f>
        <v>0</v>
      </c>
      <c r="I12" s="1080">
        <f>SUMIF($F:$F,"{124100} Международная техническая помощь",I:I)</f>
        <v>0</v>
      </c>
      <c r="J12" s="1080">
        <f t="shared" si="1"/>
        <v>0</v>
      </c>
      <c r="K12" s="1080">
        <f t="shared" ref="K12:Y12" si="3">SUMIF($F:$F,"{124100} Международная техническая помощь",K:K)</f>
        <v>0</v>
      </c>
      <c r="L12" s="1080">
        <f t="shared" si="3"/>
        <v>0</v>
      </c>
      <c r="M12" s="1080">
        <f t="shared" si="3"/>
        <v>0</v>
      </c>
      <c r="N12" s="1080">
        <f t="shared" si="3"/>
        <v>0</v>
      </c>
      <c r="O12" s="1080">
        <f t="shared" si="3"/>
        <v>0</v>
      </c>
      <c r="P12" s="1080">
        <f t="shared" si="3"/>
        <v>0</v>
      </c>
      <c r="Q12" s="1080">
        <f t="shared" si="3"/>
        <v>0</v>
      </c>
      <c r="R12" s="1080">
        <f t="shared" si="3"/>
        <v>0</v>
      </c>
      <c r="S12" s="1080">
        <f t="shared" si="3"/>
        <v>0</v>
      </c>
      <c r="T12" s="1080">
        <f t="shared" si="3"/>
        <v>0</v>
      </c>
      <c r="U12" s="1080">
        <f t="shared" si="3"/>
        <v>0</v>
      </c>
      <c r="V12" s="1080">
        <f t="shared" si="3"/>
        <v>0</v>
      </c>
      <c r="W12" s="1080">
        <f t="shared" si="3"/>
        <v>0</v>
      </c>
      <c r="X12" s="1080">
        <f t="shared" si="3"/>
        <v>0</v>
      </c>
      <c r="Y12" s="1080">
        <f t="shared" si="3"/>
        <v>0</v>
      </c>
      <c r="Z12" s="1081"/>
      <c r="AA12" s="3789" t="s">
        <v>8610</v>
      </c>
      <c r="AB12" s="3789" t="s">
        <v>8611</v>
      </c>
      <c r="AC12" s="3789" t="s">
        <v>8566</v>
      </c>
      <c r="AD12" s="3789" t="s">
        <v>8593</v>
      </c>
      <c r="AE12" s="3789" t="s">
        <v>7532</v>
      </c>
    </row>
    <row r="13" spans="1:31" s="524" customFormat="1" ht="13">
      <c r="A13" s="9"/>
      <c r="B13" s="287"/>
      <c r="C13" s="1078" t="s">
        <v>4847</v>
      </c>
      <c r="D13" s="1079" t="s">
        <v>3389</v>
      </c>
      <c r="E13" s="1079" t="s">
        <v>3389</v>
      </c>
      <c r="F13" s="1079" t="s">
        <v>3389</v>
      </c>
      <c r="G13" s="1079" t="s">
        <v>3389</v>
      </c>
      <c r="H13" s="1080">
        <f>SUMIF($F:$F,"{125*",H:H)+SUMIF($F:$F,"{126*",H:H)</f>
        <v>0</v>
      </c>
      <c r="I13" s="1080">
        <f>SUMIF($F:$F,"{125*",I:I)+SUMIF($F:$F,"{126*",I:I)</f>
        <v>0</v>
      </c>
      <c r="J13" s="1080">
        <f t="shared" si="1"/>
        <v>0</v>
      </c>
      <c r="K13" s="1080">
        <f t="shared" ref="K13:Y13" si="4">SUMIF($F:$F,"{125*",K:K)+SUMIF($F:$F,"{126*",K:K)</f>
        <v>0</v>
      </c>
      <c r="L13" s="1080">
        <f t="shared" si="4"/>
        <v>0</v>
      </c>
      <c r="M13" s="1080">
        <f t="shared" si="4"/>
        <v>0</v>
      </c>
      <c r="N13" s="1080">
        <f t="shared" si="4"/>
        <v>0</v>
      </c>
      <c r="O13" s="1080">
        <f t="shared" si="4"/>
        <v>0</v>
      </c>
      <c r="P13" s="1080">
        <f t="shared" si="4"/>
        <v>0</v>
      </c>
      <c r="Q13" s="1080">
        <f t="shared" si="4"/>
        <v>0</v>
      </c>
      <c r="R13" s="1080">
        <f t="shared" si="4"/>
        <v>0</v>
      </c>
      <c r="S13" s="1080">
        <f t="shared" si="4"/>
        <v>0</v>
      </c>
      <c r="T13" s="1080">
        <f t="shared" si="4"/>
        <v>0</v>
      </c>
      <c r="U13" s="1080">
        <f t="shared" si="4"/>
        <v>0</v>
      </c>
      <c r="V13" s="1080">
        <f t="shared" si="4"/>
        <v>0</v>
      </c>
      <c r="W13" s="1080">
        <f t="shared" si="4"/>
        <v>0</v>
      </c>
      <c r="X13" s="1080">
        <f t="shared" si="4"/>
        <v>0</v>
      </c>
      <c r="Y13" s="1080">
        <f t="shared" si="4"/>
        <v>0</v>
      </c>
      <c r="Z13" s="1081"/>
      <c r="AA13" s="3789"/>
      <c r="AB13" s="3789"/>
      <c r="AC13" s="3789"/>
      <c r="AD13" s="3789"/>
      <c r="AE13" s="3789"/>
    </row>
    <row r="14" spans="1:31" s="524" customFormat="1" ht="13">
      <c r="A14" s="9"/>
      <c r="B14" s="287"/>
      <c r="C14" s="1078" t="s">
        <v>4846</v>
      </c>
      <c r="D14" s="1079" t="s">
        <v>3389</v>
      </c>
      <c r="E14" s="1079" t="s">
        <v>3389</v>
      </c>
      <c r="F14" s="1079" t="s">
        <v>3389</v>
      </c>
      <c r="G14" s="1079" t="s">
        <v>3389</v>
      </c>
      <c r="H14" s="1080">
        <f>H10-H11-H12-H13</f>
        <v>0</v>
      </c>
      <c r="I14" s="1080">
        <f>I10-I11-I12-I13</f>
        <v>0</v>
      </c>
      <c r="J14" s="1080">
        <f t="shared" si="1"/>
        <v>0</v>
      </c>
      <c r="K14" s="1080">
        <f t="shared" ref="K14:Y14" si="5">K10-K11-K12-K13</f>
        <v>0</v>
      </c>
      <c r="L14" s="1080">
        <f t="shared" si="5"/>
        <v>0</v>
      </c>
      <c r="M14" s="1080">
        <f t="shared" si="5"/>
        <v>0</v>
      </c>
      <c r="N14" s="1080">
        <f t="shared" si="5"/>
        <v>0</v>
      </c>
      <c r="O14" s="1080">
        <f t="shared" si="5"/>
        <v>0</v>
      </c>
      <c r="P14" s="1080">
        <f t="shared" si="5"/>
        <v>0</v>
      </c>
      <c r="Q14" s="1080">
        <f t="shared" si="5"/>
        <v>0</v>
      </c>
      <c r="R14" s="1080">
        <f t="shared" si="5"/>
        <v>0</v>
      </c>
      <c r="S14" s="1080">
        <f t="shared" si="5"/>
        <v>0</v>
      </c>
      <c r="T14" s="1080">
        <f t="shared" si="5"/>
        <v>0</v>
      </c>
      <c r="U14" s="1080">
        <f t="shared" si="5"/>
        <v>0</v>
      </c>
      <c r="V14" s="1080">
        <f t="shared" si="5"/>
        <v>0</v>
      </c>
      <c r="W14" s="1080">
        <f>W10-W11-W12-W13</f>
        <v>0</v>
      </c>
      <c r="X14" s="1080">
        <f t="shared" si="5"/>
        <v>0</v>
      </c>
      <c r="Y14" s="1080">
        <f t="shared" si="5"/>
        <v>0</v>
      </c>
      <c r="Z14" s="1081"/>
      <c r="AA14" s="3789"/>
      <c r="AB14" s="3789"/>
      <c r="AC14" s="3789"/>
      <c r="AD14" s="3789"/>
      <c r="AE14" s="3789"/>
    </row>
    <row r="15" spans="1:31" s="524" customFormat="1" ht="12.5">
      <c r="A15" s="9" t="str">
        <f t="shared" ref="A15:A20" si="6">"R42="&amp;IF(E15&lt;&gt;"",E15,D15)&amp;";R22="&amp;IFERROR(MID(F15,FIND("{",F15)+1,FIND("}",F15)-FIND("{",F15)-3),"")&amp;";R20="&amp;IFERROR(MID(F15,FIND("{",F15)+5,FIND("}",F15)-FIND("{",F15)-5),"")&amp;";R23="&amp;IFERROR(MID(G15,FIND("{",G15)+1,FIND("}",G15)-FIND("{",G15)-1),"")&amp;";R57="&amp;MID(C15,1,60)&amp;";R36="&amp;E15&amp;";R43="&amp;D15&amp;";COM="&amp;Z15</f>
        <v>R42=;R22=;R20=;R23=;R57=;R36=;R43=;COM=</v>
      </c>
      <c r="B15" s="574"/>
      <c r="C15" s="1082"/>
      <c r="D15" s="1083"/>
      <c r="E15" s="1083"/>
      <c r="F15" s="1084"/>
      <c r="G15" s="1085"/>
      <c r="H15" s="1086"/>
      <c r="I15" s="1086"/>
      <c r="J15" s="1762">
        <f t="shared" si="1"/>
        <v>0</v>
      </c>
      <c r="K15" s="1086"/>
      <c r="L15" s="1086"/>
      <c r="M15" s="1086"/>
      <c r="N15" s="1086"/>
      <c r="O15" s="1086"/>
      <c r="P15" s="1086"/>
      <c r="Q15" s="1086"/>
      <c r="R15" s="1086"/>
      <c r="S15" s="1086"/>
      <c r="T15" s="1086"/>
      <c r="U15" s="1086"/>
      <c r="V15" s="1086"/>
      <c r="W15" s="1080">
        <f>SUM(I15:V15)</f>
        <v>0</v>
      </c>
      <c r="X15" s="1086"/>
      <c r="Y15" s="1762">
        <f t="shared" ref="Y15:Y20" si="7">W15-X15</f>
        <v>0</v>
      </c>
      <c r="Z15" s="1424"/>
      <c r="AA15" s="2040" t="b">
        <f t="shared" ref="AA15:AA20" si="8">AND(H15&lt;=0,Q15&lt;=0,R15&lt;=0,S15&lt;=0,T15&lt;=0,U15&lt;=0,V15&lt;=0,W15&lt;=0,X15&lt;=0,Y15&lt;=0)</f>
        <v>1</v>
      </c>
      <c r="AB15" s="2040" t="b">
        <f t="shared" ref="AB15:AB20" si="9">AND(K15&gt;=0,L15&gt;=0,M15&gt;=0,N15&gt;=0,O15&gt;=0,P15&gt;=0)</f>
        <v>1</v>
      </c>
      <c r="AC15" s="2038" t="b">
        <f>IF(C15&gt;0,OR(AND($D15&lt;&gt;"",$E15=""),AND($D15="",$E15&lt;&gt;""),AND($D15&lt;&gt;"",$E15&lt;&gt;"")),TRUE)</f>
        <v>1</v>
      </c>
      <c r="AD15" s="2038" t="b">
        <f>NOT(OR(TEXT(E15,"#")="10015",TEXT(E15,"#")="10000",D15="Внешние контрагенты"))</f>
        <v>1</v>
      </c>
      <c r="AE15" s="2038" t="b">
        <f>IF(OR(P15&lt;&gt;0,V15&lt;&gt;0),IF(LEN(Z15)&gt;5,TRUE,FALSE),TRUE)</f>
        <v>1</v>
      </c>
    </row>
    <row r="16" spans="1:31" s="524" customFormat="1" ht="12.5">
      <c r="A16" s="2427" t="str">
        <f t="shared" si="6"/>
        <v>R42=;R22=;R20=;R23=;R57=;R36=;R43=;COM=</v>
      </c>
      <c r="B16" s="574"/>
      <c r="C16" s="1082"/>
      <c r="D16" s="1083"/>
      <c r="E16" s="1083"/>
      <c r="F16" s="1084"/>
      <c r="G16" s="1085"/>
      <c r="H16" s="1086"/>
      <c r="I16" s="1086"/>
      <c r="J16" s="1762">
        <f t="shared" si="1"/>
        <v>0</v>
      </c>
      <c r="K16" s="1086"/>
      <c r="L16" s="1086"/>
      <c r="M16" s="1086"/>
      <c r="N16" s="1086"/>
      <c r="O16" s="1086"/>
      <c r="P16" s="1086"/>
      <c r="Q16" s="1086"/>
      <c r="R16" s="1086"/>
      <c r="S16" s="1086"/>
      <c r="T16" s="1086"/>
      <c r="U16" s="1086"/>
      <c r="V16" s="1086"/>
      <c r="W16" s="1080">
        <f t="shared" ref="W16:W20" si="10">SUM(I16:V16)</f>
        <v>0</v>
      </c>
      <c r="X16" s="1086"/>
      <c r="Y16" s="1762">
        <f t="shared" si="7"/>
        <v>0</v>
      </c>
      <c r="Z16" s="1424"/>
      <c r="AA16" s="2040" t="b">
        <f t="shared" si="8"/>
        <v>1</v>
      </c>
      <c r="AB16" s="2040" t="b">
        <f t="shared" si="9"/>
        <v>1</v>
      </c>
      <c r="AC16" s="2038" t="b">
        <f t="shared" ref="AC16:AC20" si="11">IF(C16&gt;0,OR(AND($D16&lt;&gt;"",$E16=""),AND($D16="",$E16&lt;&gt;""),AND($D16&lt;&gt;"",$E16&lt;&gt;"")),TRUE)</f>
        <v>1</v>
      </c>
      <c r="AD16" s="2038" t="b">
        <f t="shared" ref="AD16:AD20" si="12">NOT(OR(TEXT(E16,"#")="10015",TEXT(E16,"#")="10000",D16="Внешние контрагенты"))</f>
        <v>1</v>
      </c>
      <c r="AE16" s="2038" t="b">
        <f t="shared" ref="AE16:AE20" si="13">IF(OR(P16&lt;&gt;0,V16&lt;&gt;0),IF(LEN(Z16)&gt;5,TRUE,FALSE),TRUE)</f>
        <v>1</v>
      </c>
    </row>
    <row r="17" spans="1:31" s="524" customFormat="1" ht="12.5">
      <c r="A17" s="2427" t="str">
        <f t="shared" si="6"/>
        <v>R42=;R22=;R20=;R23=;R57=;R36=;R43=;COM=</v>
      </c>
      <c r="B17" s="574"/>
      <c r="C17" s="1082"/>
      <c r="D17" s="1083"/>
      <c r="E17" s="1083"/>
      <c r="F17" s="1084"/>
      <c r="G17" s="1085"/>
      <c r="H17" s="1086"/>
      <c r="I17" s="1086"/>
      <c r="J17" s="1762">
        <f t="shared" si="1"/>
        <v>0</v>
      </c>
      <c r="K17" s="1086"/>
      <c r="L17" s="1086"/>
      <c r="M17" s="1086"/>
      <c r="N17" s="1086"/>
      <c r="O17" s="1086"/>
      <c r="P17" s="1086"/>
      <c r="Q17" s="1086"/>
      <c r="R17" s="1086"/>
      <c r="S17" s="1086"/>
      <c r="T17" s="1086"/>
      <c r="U17" s="1086"/>
      <c r="V17" s="1086"/>
      <c r="W17" s="1080">
        <f t="shared" si="10"/>
        <v>0</v>
      </c>
      <c r="X17" s="1086"/>
      <c r="Y17" s="1762">
        <f t="shared" si="7"/>
        <v>0</v>
      </c>
      <c r="Z17" s="1424"/>
      <c r="AA17" s="2040" t="b">
        <f t="shared" si="8"/>
        <v>1</v>
      </c>
      <c r="AB17" s="2040" t="b">
        <f t="shared" si="9"/>
        <v>1</v>
      </c>
      <c r="AC17" s="2038" t="b">
        <f t="shared" si="11"/>
        <v>1</v>
      </c>
      <c r="AD17" s="2038" t="b">
        <f t="shared" si="12"/>
        <v>1</v>
      </c>
      <c r="AE17" s="2038" t="b">
        <f>IF(OR(P17&lt;&gt;0,V17&lt;&gt;0),IF(LEN(Z17)&gt;5,TRUE,FALSE),TRUE)</f>
        <v>1</v>
      </c>
    </row>
    <row r="18" spans="1:31" s="524" customFormat="1" ht="12.5">
      <c r="A18" s="2427" t="str">
        <f t="shared" si="6"/>
        <v>R42=;R22=;R20=;R23=;R57=;R36=;R43=;COM=</v>
      </c>
      <c r="B18" s="574"/>
      <c r="C18" s="1082"/>
      <c r="D18" s="1083"/>
      <c r="E18" s="1083"/>
      <c r="F18" s="1084"/>
      <c r="G18" s="1085"/>
      <c r="H18" s="1086"/>
      <c r="I18" s="1086"/>
      <c r="J18" s="1762">
        <f t="shared" si="1"/>
        <v>0</v>
      </c>
      <c r="K18" s="1086"/>
      <c r="L18" s="1086"/>
      <c r="M18" s="1086"/>
      <c r="N18" s="1086"/>
      <c r="O18" s="1086"/>
      <c r="P18" s="1086"/>
      <c r="Q18" s="1086"/>
      <c r="R18" s="1086"/>
      <c r="S18" s="1086"/>
      <c r="T18" s="1086"/>
      <c r="U18" s="1086"/>
      <c r="V18" s="1086"/>
      <c r="W18" s="1080">
        <f t="shared" si="10"/>
        <v>0</v>
      </c>
      <c r="X18" s="1086"/>
      <c r="Y18" s="1762">
        <f t="shared" si="7"/>
        <v>0</v>
      </c>
      <c r="Z18" s="1424"/>
      <c r="AA18" s="2040" t="b">
        <f t="shared" si="8"/>
        <v>1</v>
      </c>
      <c r="AB18" s="2040" t="b">
        <f t="shared" si="9"/>
        <v>1</v>
      </c>
      <c r="AC18" s="2038" t="b">
        <f t="shared" si="11"/>
        <v>1</v>
      </c>
      <c r="AD18" s="2038" t="b">
        <f t="shared" si="12"/>
        <v>1</v>
      </c>
      <c r="AE18" s="2038" t="b">
        <f t="shared" si="13"/>
        <v>1</v>
      </c>
    </row>
    <row r="19" spans="1:31" s="524" customFormat="1" ht="12.5">
      <c r="A19" s="2427" t="str">
        <f t="shared" si="6"/>
        <v>R42=;R22=;R20=;R23=;R57=;R36=;R43=;COM=</v>
      </c>
      <c r="B19" s="574"/>
      <c r="C19" s="1082"/>
      <c r="D19" s="1083"/>
      <c r="E19" s="1083"/>
      <c r="F19" s="1084"/>
      <c r="G19" s="1085"/>
      <c r="H19" s="1086"/>
      <c r="I19" s="1086"/>
      <c r="J19" s="1762">
        <f t="shared" si="1"/>
        <v>0</v>
      </c>
      <c r="K19" s="1086"/>
      <c r="L19" s="1086"/>
      <c r="M19" s="1086"/>
      <c r="N19" s="1086"/>
      <c r="O19" s="1086"/>
      <c r="P19" s="1086"/>
      <c r="Q19" s="1086"/>
      <c r="R19" s="1086"/>
      <c r="S19" s="1086"/>
      <c r="T19" s="1086"/>
      <c r="U19" s="1086"/>
      <c r="V19" s="1086"/>
      <c r="W19" s="1080">
        <f t="shared" si="10"/>
        <v>0</v>
      </c>
      <c r="X19" s="1086"/>
      <c r="Y19" s="1762">
        <f t="shared" si="7"/>
        <v>0</v>
      </c>
      <c r="Z19" s="1424"/>
      <c r="AA19" s="2040" t="b">
        <f t="shared" si="8"/>
        <v>1</v>
      </c>
      <c r="AB19" s="2040" t="b">
        <f t="shared" si="9"/>
        <v>1</v>
      </c>
      <c r="AC19" s="2038" t="b">
        <f>IF(C19&gt;0,OR(AND($D19&lt;&gt;"",$E19=""),AND($D19="",$E19&lt;&gt;""),AND($D19&lt;&gt;"",$E19&lt;&gt;"")),TRUE)</f>
        <v>1</v>
      </c>
      <c r="AD19" s="2038" t="b">
        <f t="shared" si="12"/>
        <v>1</v>
      </c>
      <c r="AE19" s="2038" t="b">
        <f t="shared" si="13"/>
        <v>1</v>
      </c>
    </row>
    <row r="20" spans="1:31" ht="15" thickBot="1">
      <c r="A20" s="2427" t="str">
        <f t="shared" si="6"/>
        <v>R42=;R22=;R20=;R23=;R57=;R36=;R43=;COM=</v>
      </c>
      <c r="B20" s="574"/>
      <c r="C20" s="1087"/>
      <c r="D20" s="1088"/>
      <c r="E20" s="1088"/>
      <c r="F20" s="2462"/>
      <c r="G20" s="1089"/>
      <c r="H20" s="1090"/>
      <c r="I20" s="1090"/>
      <c r="J20" s="1763">
        <f t="shared" si="1"/>
        <v>0</v>
      </c>
      <c r="K20" s="1090"/>
      <c r="L20" s="1090"/>
      <c r="M20" s="1090"/>
      <c r="N20" s="1090"/>
      <c r="O20" s="1090"/>
      <c r="P20" s="1090"/>
      <c r="Q20" s="1090"/>
      <c r="R20" s="1090"/>
      <c r="S20" s="1090"/>
      <c r="T20" s="1090"/>
      <c r="U20" s="1090"/>
      <c r="V20" s="1090"/>
      <c r="W20" s="1763">
        <f t="shared" si="10"/>
        <v>0</v>
      </c>
      <c r="X20" s="1090"/>
      <c r="Y20" s="1763">
        <f t="shared" si="7"/>
        <v>0</v>
      </c>
      <c r="Z20" s="1039"/>
      <c r="AA20" s="2040" t="b">
        <f t="shared" si="8"/>
        <v>1</v>
      </c>
      <c r="AB20" s="2040" t="b">
        <f t="shared" si="9"/>
        <v>1</v>
      </c>
      <c r="AC20" s="2038" t="b">
        <f t="shared" si="11"/>
        <v>1</v>
      </c>
      <c r="AD20" s="2038" t="b">
        <f t="shared" si="12"/>
        <v>1</v>
      </c>
      <c r="AE20" s="2038" t="b">
        <f t="shared" si="13"/>
        <v>1</v>
      </c>
    </row>
    <row r="21" spans="1:31">
      <c r="A21" s="9"/>
    </row>
    <row r="22" spans="1:31">
      <c r="A22" s="9"/>
    </row>
    <row r="23" spans="1:31">
      <c r="A23" s="9"/>
    </row>
    <row r="24" spans="1:31">
      <c r="A24" s="9"/>
    </row>
    <row r="25" spans="1:31">
      <c r="A25" s="9"/>
    </row>
    <row r="26" spans="1:31">
      <c r="A26" s="9"/>
    </row>
    <row r="27" spans="1:31">
      <c r="A27" s="9"/>
    </row>
    <row r="28" spans="1:31">
      <c r="A28" s="9"/>
    </row>
    <row r="29" spans="1:31">
      <c r="A29" s="9"/>
    </row>
    <row r="30" spans="1:31">
      <c r="A30" s="9"/>
    </row>
    <row r="31" spans="1:31">
      <c r="A31" s="9"/>
    </row>
    <row r="32" spans="1:31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522"/>
    </row>
    <row r="52" spans="1:1">
      <c r="A52" s="522"/>
    </row>
    <row r="53" spans="1:1">
      <c r="A53" s="522"/>
    </row>
    <row r="54" spans="1:1">
      <c r="A54" s="522"/>
    </row>
    <row r="55" spans="1:1">
      <c r="A55" s="522"/>
    </row>
    <row r="56" spans="1:1">
      <c r="A56" s="522"/>
    </row>
    <row r="57" spans="1:1">
      <c r="A57" s="522"/>
    </row>
    <row r="58" spans="1:1">
      <c r="A58" s="522"/>
    </row>
    <row r="59" spans="1:1">
      <c r="A59" s="522"/>
    </row>
    <row r="60" spans="1:1">
      <c r="A60" s="522"/>
    </row>
    <row r="61" spans="1:1">
      <c r="A61" s="522"/>
    </row>
    <row r="62" spans="1:1">
      <c r="A62" s="522"/>
    </row>
    <row r="63" spans="1:1">
      <c r="A63" s="522"/>
    </row>
    <row r="64" spans="1:1">
      <c r="A64" s="522"/>
    </row>
    <row r="65" spans="1:1">
      <c r="A65" s="522"/>
    </row>
    <row r="66" spans="1:1">
      <c r="A66" s="522"/>
    </row>
    <row r="67" spans="1:1">
      <c r="A67" s="522"/>
    </row>
    <row r="68" spans="1:1">
      <c r="A68" s="522"/>
    </row>
    <row r="69" spans="1:1">
      <c r="A69" s="522"/>
    </row>
    <row r="70" spans="1:1">
      <c r="A70" s="522"/>
    </row>
    <row r="71" spans="1:1">
      <c r="A71" s="522"/>
    </row>
    <row r="72" spans="1:1">
      <c r="A72" s="522"/>
    </row>
    <row r="73" spans="1:1">
      <c r="A73" s="522"/>
    </row>
    <row r="74" spans="1:1">
      <c r="A74" s="522"/>
    </row>
    <row r="75" spans="1:1">
      <c r="A75" s="522"/>
    </row>
    <row r="76" spans="1:1">
      <c r="A76" s="522"/>
    </row>
    <row r="77" spans="1:1">
      <c r="A77" s="522"/>
    </row>
    <row r="78" spans="1:1">
      <c r="A78" s="522"/>
    </row>
    <row r="79" spans="1:1">
      <c r="A79" s="522"/>
    </row>
    <row r="80" spans="1:1">
      <c r="A80" s="522"/>
    </row>
    <row r="81" spans="1:1">
      <c r="A81" s="522"/>
    </row>
    <row r="82" spans="1:1">
      <c r="A82" s="522"/>
    </row>
    <row r="83" spans="1:1">
      <c r="A83" s="522"/>
    </row>
    <row r="84" spans="1:1">
      <c r="A84" s="522"/>
    </row>
    <row r="85" spans="1:1">
      <c r="A85" s="522"/>
    </row>
    <row r="86" spans="1:1">
      <c r="A86" s="522"/>
    </row>
    <row r="87" spans="1:1">
      <c r="A87" s="522"/>
    </row>
    <row r="88" spans="1:1">
      <c r="A88" s="522"/>
    </row>
    <row r="89" spans="1:1">
      <c r="A89" s="522"/>
    </row>
    <row r="90" spans="1:1">
      <c r="A90" s="522"/>
    </row>
    <row r="91" spans="1:1">
      <c r="A91" s="522"/>
    </row>
    <row r="92" spans="1:1">
      <c r="A92" s="522"/>
    </row>
    <row r="93" spans="1:1">
      <c r="A93" s="522"/>
    </row>
    <row r="94" spans="1:1">
      <c r="A94" s="522"/>
    </row>
    <row r="95" spans="1:1">
      <c r="A95" s="522"/>
    </row>
    <row r="96" spans="1:1">
      <c r="A96" s="522"/>
    </row>
    <row r="97" spans="1:1">
      <c r="A97" s="522"/>
    </row>
    <row r="98" spans="1:1">
      <c r="A98" s="522"/>
    </row>
    <row r="99" spans="1:1">
      <c r="A99" s="522"/>
    </row>
    <row r="100" spans="1:1">
      <c r="A100" s="522"/>
    </row>
    <row r="101" spans="1:1">
      <c r="A101" s="522"/>
    </row>
    <row r="102" spans="1:1">
      <c r="A102" s="522"/>
    </row>
    <row r="103" spans="1:1">
      <c r="A103" s="522"/>
    </row>
    <row r="104" spans="1:1">
      <c r="A104" s="522"/>
    </row>
    <row r="105" spans="1:1">
      <c r="A105" s="522"/>
    </row>
    <row r="106" spans="1:1">
      <c r="A106" s="522"/>
    </row>
    <row r="107" spans="1:1">
      <c r="A107" s="522"/>
    </row>
    <row r="108" spans="1:1">
      <c r="A108" s="522"/>
    </row>
    <row r="109" spans="1:1">
      <c r="A109" s="522"/>
    </row>
    <row r="110" spans="1:1">
      <c r="A110" s="522"/>
    </row>
    <row r="111" spans="1:1">
      <c r="A111" s="522"/>
    </row>
    <row r="112" spans="1:1">
      <c r="A112" s="522"/>
    </row>
    <row r="113" spans="1:1">
      <c r="A113" s="522"/>
    </row>
    <row r="114" spans="1:1">
      <c r="A114" s="522"/>
    </row>
    <row r="115" spans="1:1">
      <c r="A115" s="522"/>
    </row>
    <row r="116" spans="1:1">
      <c r="A116" s="522"/>
    </row>
    <row r="117" spans="1:1">
      <c r="A117" s="522"/>
    </row>
    <row r="118" spans="1:1">
      <c r="A118" s="522"/>
    </row>
    <row r="119" spans="1:1">
      <c r="A119" s="522"/>
    </row>
    <row r="120" spans="1:1">
      <c r="A120" s="522"/>
    </row>
    <row r="121" spans="1:1">
      <c r="A121" s="522"/>
    </row>
    <row r="122" spans="1:1">
      <c r="A122" s="522"/>
    </row>
    <row r="123" spans="1:1">
      <c r="A123" s="522"/>
    </row>
    <row r="124" spans="1:1">
      <c r="A124" s="522"/>
    </row>
    <row r="125" spans="1:1">
      <c r="A125" s="522"/>
    </row>
    <row r="126" spans="1:1">
      <c r="A126" s="522"/>
    </row>
    <row r="127" spans="1:1">
      <c r="A127" s="522"/>
    </row>
    <row r="128" spans="1:1">
      <c r="A128" s="522"/>
    </row>
    <row r="129" spans="1:1">
      <c r="A129" s="522"/>
    </row>
    <row r="130" spans="1:1">
      <c r="A130" s="522"/>
    </row>
    <row r="131" spans="1:1">
      <c r="A131" s="522"/>
    </row>
    <row r="132" spans="1:1">
      <c r="A132" s="522"/>
    </row>
    <row r="133" spans="1:1">
      <c r="A133" s="522"/>
    </row>
    <row r="134" spans="1:1">
      <c r="A134" s="522"/>
    </row>
    <row r="135" spans="1:1">
      <c r="A135" s="522"/>
    </row>
    <row r="136" spans="1:1">
      <c r="A136" s="522"/>
    </row>
    <row r="137" spans="1:1">
      <c r="A137" s="522"/>
    </row>
    <row r="138" spans="1:1">
      <c r="A138" s="522"/>
    </row>
    <row r="139" spans="1:1">
      <c r="A139" s="522"/>
    </row>
    <row r="140" spans="1:1">
      <c r="A140" s="522"/>
    </row>
    <row r="141" spans="1:1">
      <c r="A141" s="522"/>
    </row>
    <row r="142" spans="1:1">
      <c r="A142" s="522"/>
    </row>
    <row r="143" spans="1:1">
      <c r="A143" s="522"/>
    </row>
    <row r="144" spans="1:1">
      <c r="A144" s="522"/>
    </row>
    <row r="145" spans="1:1">
      <c r="A145" s="522"/>
    </row>
    <row r="146" spans="1:1">
      <c r="A146" s="522"/>
    </row>
    <row r="147" spans="1:1">
      <c r="A147" s="522"/>
    </row>
    <row r="148" spans="1:1">
      <c r="A148" s="522"/>
    </row>
    <row r="149" spans="1:1">
      <c r="A149" s="522"/>
    </row>
    <row r="150" spans="1:1">
      <c r="A150" s="522"/>
    </row>
    <row r="151" spans="1:1">
      <c r="A151" s="522"/>
    </row>
    <row r="152" spans="1:1">
      <c r="A152" s="522"/>
    </row>
    <row r="153" spans="1:1">
      <c r="A153" s="522"/>
    </row>
    <row r="154" spans="1:1">
      <c r="A154" s="522"/>
    </row>
    <row r="155" spans="1:1">
      <c r="A155" s="522"/>
    </row>
    <row r="156" spans="1:1">
      <c r="A156" s="522"/>
    </row>
    <row r="157" spans="1:1">
      <c r="A157" s="522"/>
    </row>
    <row r="158" spans="1:1">
      <c r="A158" s="522"/>
    </row>
    <row r="159" spans="1:1">
      <c r="A159" s="522"/>
    </row>
    <row r="160" spans="1:1">
      <c r="A160" s="522"/>
    </row>
    <row r="161" spans="1:1">
      <c r="A161" s="522"/>
    </row>
    <row r="162" spans="1:1">
      <c r="A162" s="522"/>
    </row>
    <row r="163" spans="1:1">
      <c r="A163" s="522"/>
    </row>
    <row r="164" spans="1:1">
      <c r="A164" s="522"/>
    </row>
    <row r="165" spans="1:1">
      <c r="A165" s="522"/>
    </row>
    <row r="166" spans="1:1">
      <c r="A166" s="522"/>
    </row>
    <row r="167" spans="1:1">
      <c r="A167" s="522"/>
    </row>
    <row r="168" spans="1:1">
      <c r="A168" s="522"/>
    </row>
    <row r="169" spans="1:1">
      <c r="A169" s="522"/>
    </row>
    <row r="170" spans="1:1">
      <c r="A170" s="522"/>
    </row>
    <row r="171" spans="1:1">
      <c r="A171" s="522"/>
    </row>
    <row r="172" spans="1:1">
      <c r="A172" s="522"/>
    </row>
    <row r="173" spans="1:1">
      <c r="A173" s="522"/>
    </row>
    <row r="174" spans="1:1">
      <c r="A174" s="522"/>
    </row>
    <row r="175" spans="1:1">
      <c r="A175" s="522"/>
    </row>
    <row r="176" spans="1:1">
      <c r="A176" s="522"/>
    </row>
    <row r="177" spans="1:1">
      <c r="A177" s="522"/>
    </row>
    <row r="178" spans="1:1">
      <c r="A178" s="522"/>
    </row>
    <row r="179" spans="1:1">
      <c r="A179" s="522"/>
    </row>
    <row r="180" spans="1:1">
      <c r="A180" s="522"/>
    </row>
    <row r="181" spans="1:1">
      <c r="A181" s="522"/>
    </row>
    <row r="182" spans="1:1">
      <c r="A182" s="522"/>
    </row>
    <row r="183" spans="1:1">
      <c r="A183" s="522"/>
    </row>
    <row r="184" spans="1:1">
      <c r="A184" s="522"/>
    </row>
    <row r="185" spans="1:1">
      <c r="A185" s="522"/>
    </row>
    <row r="186" spans="1:1">
      <c r="A186" s="522"/>
    </row>
    <row r="187" spans="1:1">
      <c r="A187" s="522"/>
    </row>
    <row r="188" spans="1:1">
      <c r="A188" s="522"/>
    </row>
    <row r="189" spans="1:1">
      <c r="A189" s="522"/>
    </row>
    <row r="190" spans="1:1">
      <c r="A190" s="522"/>
    </row>
    <row r="191" spans="1:1">
      <c r="A191" s="522"/>
    </row>
    <row r="192" spans="1:1">
      <c r="A192" s="522"/>
    </row>
    <row r="193" spans="1:1">
      <c r="A193" s="522"/>
    </row>
    <row r="194" spans="1:1">
      <c r="A194" s="522"/>
    </row>
    <row r="195" spans="1:1">
      <c r="A195" s="522"/>
    </row>
    <row r="196" spans="1:1">
      <c r="A196" s="522"/>
    </row>
    <row r="197" spans="1:1">
      <c r="A197" s="522"/>
    </row>
    <row r="198" spans="1:1">
      <c r="A198" s="522"/>
    </row>
    <row r="199" spans="1:1">
      <c r="A199" s="522"/>
    </row>
    <row r="200" spans="1:1">
      <c r="A200" s="522"/>
    </row>
    <row r="201" spans="1:1">
      <c r="A201" s="522"/>
    </row>
    <row r="202" spans="1:1">
      <c r="A202" s="522"/>
    </row>
    <row r="203" spans="1:1">
      <c r="A203" s="522"/>
    </row>
    <row r="204" spans="1:1">
      <c r="A204" s="522"/>
    </row>
    <row r="205" spans="1:1">
      <c r="A205" s="522"/>
    </row>
    <row r="206" spans="1:1">
      <c r="A206" s="522"/>
    </row>
    <row r="207" spans="1:1">
      <c r="A207" s="522"/>
    </row>
    <row r="208" spans="1:1">
      <c r="A208" s="522"/>
    </row>
    <row r="209" spans="1:1">
      <c r="A209" s="522"/>
    </row>
    <row r="210" spans="1:1">
      <c r="A210" s="522"/>
    </row>
    <row r="211" spans="1:1">
      <c r="A211" s="522"/>
    </row>
    <row r="212" spans="1:1">
      <c r="A212" s="522"/>
    </row>
    <row r="213" spans="1:1">
      <c r="A213" s="522"/>
    </row>
    <row r="214" spans="1:1">
      <c r="A214" s="522"/>
    </row>
    <row r="215" spans="1:1">
      <c r="A215" s="522"/>
    </row>
    <row r="216" spans="1:1">
      <c r="A216" s="522"/>
    </row>
    <row r="217" spans="1:1">
      <c r="A217" s="522"/>
    </row>
    <row r="218" spans="1:1">
      <c r="A218" s="522"/>
    </row>
    <row r="219" spans="1:1">
      <c r="A219" s="522"/>
    </row>
    <row r="220" spans="1:1">
      <c r="A220" s="522"/>
    </row>
    <row r="221" spans="1:1">
      <c r="A221" s="522"/>
    </row>
    <row r="222" spans="1:1">
      <c r="A222" s="522"/>
    </row>
    <row r="223" spans="1:1">
      <c r="A223" s="522"/>
    </row>
    <row r="224" spans="1:1">
      <c r="A224" s="522"/>
    </row>
    <row r="225" spans="1:1">
      <c r="A225" s="522"/>
    </row>
    <row r="226" spans="1:1">
      <c r="A226" s="522"/>
    </row>
    <row r="227" spans="1:1">
      <c r="A227" s="522"/>
    </row>
    <row r="228" spans="1:1">
      <c r="A228" s="522"/>
    </row>
    <row r="229" spans="1:1">
      <c r="A229" s="522"/>
    </row>
    <row r="230" spans="1:1">
      <c r="A230" s="522"/>
    </row>
    <row r="231" spans="1:1">
      <c r="A231" s="522"/>
    </row>
    <row r="232" spans="1:1">
      <c r="A232" s="522"/>
    </row>
    <row r="233" spans="1:1">
      <c r="A233" s="522"/>
    </row>
    <row r="234" spans="1:1">
      <c r="A234" s="522"/>
    </row>
    <row r="235" spans="1:1">
      <c r="A235" s="522"/>
    </row>
    <row r="236" spans="1:1">
      <c r="A236" s="522"/>
    </row>
    <row r="237" spans="1:1">
      <c r="A237" s="522"/>
    </row>
    <row r="238" spans="1:1">
      <c r="A238" s="522"/>
    </row>
    <row r="239" spans="1:1">
      <c r="A239" s="522"/>
    </row>
    <row r="240" spans="1:1">
      <c r="A240" s="522"/>
    </row>
    <row r="241" spans="1:1">
      <c r="A241" s="522"/>
    </row>
    <row r="242" spans="1:1">
      <c r="A242" s="522"/>
    </row>
    <row r="243" spans="1:1">
      <c r="A243" s="522"/>
    </row>
    <row r="244" spans="1:1">
      <c r="A244" s="522"/>
    </row>
    <row r="245" spans="1:1">
      <c r="A245" s="522"/>
    </row>
    <row r="246" spans="1:1">
      <c r="A246" s="522"/>
    </row>
    <row r="247" spans="1:1">
      <c r="A247" s="522"/>
    </row>
    <row r="248" spans="1:1">
      <c r="A248" s="522"/>
    </row>
    <row r="249" spans="1:1">
      <c r="A249" s="522"/>
    </row>
    <row r="250" spans="1:1">
      <c r="A250" s="522"/>
    </row>
    <row r="251" spans="1:1">
      <c r="A251" s="522"/>
    </row>
    <row r="252" spans="1:1">
      <c r="A252" s="522"/>
    </row>
    <row r="253" spans="1:1">
      <c r="A253" s="522"/>
    </row>
    <row r="254" spans="1:1">
      <c r="A254" s="522"/>
    </row>
    <row r="255" spans="1:1">
      <c r="A255" s="522"/>
    </row>
    <row r="256" spans="1:1">
      <c r="A256" s="522"/>
    </row>
    <row r="257" spans="1:1">
      <c r="A257" s="522"/>
    </row>
    <row r="258" spans="1:1">
      <c r="A258" s="522"/>
    </row>
    <row r="259" spans="1:1">
      <c r="A259" s="522"/>
    </row>
    <row r="260" spans="1:1">
      <c r="A260" s="522"/>
    </row>
    <row r="261" spans="1:1">
      <c r="A261" s="522"/>
    </row>
    <row r="262" spans="1:1">
      <c r="A262" s="522"/>
    </row>
    <row r="263" spans="1:1">
      <c r="A263" s="522"/>
    </row>
    <row r="264" spans="1:1">
      <c r="A264" s="522"/>
    </row>
    <row r="265" spans="1:1">
      <c r="A265" s="522"/>
    </row>
    <row r="266" spans="1:1">
      <c r="A266" s="522"/>
    </row>
    <row r="267" spans="1:1">
      <c r="A267" s="522"/>
    </row>
    <row r="268" spans="1:1">
      <c r="A268" s="522"/>
    </row>
    <row r="269" spans="1:1">
      <c r="A269" s="522"/>
    </row>
    <row r="270" spans="1:1">
      <c r="A270" s="522"/>
    </row>
    <row r="271" spans="1:1">
      <c r="A271" s="522"/>
    </row>
    <row r="272" spans="1:1">
      <c r="A272" s="522"/>
    </row>
    <row r="273" spans="1:1">
      <c r="A273" s="522"/>
    </row>
    <row r="274" spans="1:1">
      <c r="A274" s="522"/>
    </row>
    <row r="275" spans="1:1">
      <c r="A275" s="522"/>
    </row>
    <row r="276" spans="1:1">
      <c r="A276" s="522"/>
    </row>
    <row r="277" spans="1:1">
      <c r="A277" s="522"/>
    </row>
    <row r="278" spans="1:1">
      <c r="A278" s="522"/>
    </row>
    <row r="279" spans="1:1">
      <c r="A279" s="522"/>
    </row>
    <row r="280" spans="1:1">
      <c r="A280" s="522"/>
    </row>
    <row r="281" spans="1:1">
      <c r="A281" s="522"/>
    </row>
    <row r="282" spans="1:1">
      <c r="A282" s="522"/>
    </row>
    <row r="283" spans="1:1">
      <c r="A283" s="522"/>
    </row>
    <row r="284" spans="1:1">
      <c r="A284" s="522"/>
    </row>
    <row r="285" spans="1:1">
      <c r="A285" s="522"/>
    </row>
    <row r="286" spans="1:1">
      <c r="A286" s="522"/>
    </row>
    <row r="287" spans="1:1">
      <c r="A287" s="522"/>
    </row>
    <row r="288" spans="1:1">
      <c r="A288" s="522"/>
    </row>
    <row r="289" spans="1:1">
      <c r="A289" s="522"/>
    </row>
    <row r="290" spans="1:1">
      <c r="A290" s="522"/>
    </row>
    <row r="291" spans="1:1">
      <c r="A291" s="522"/>
    </row>
    <row r="292" spans="1:1">
      <c r="A292" s="522"/>
    </row>
    <row r="293" spans="1:1">
      <c r="A293" s="522"/>
    </row>
    <row r="294" spans="1:1">
      <c r="A294" s="522"/>
    </row>
    <row r="295" spans="1:1">
      <c r="A295" s="522"/>
    </row>
    <row r="296" spans="1:1">
      <c r="A296" s="522"/>
    </row>
    <row r="297" spans="1:1">
      <c r="A297" s="522"/>
    </row>
    <row r="298" spans="1:1">
      <c r="A298" s="522"/>
    </row>
    <row r="299" spans="1:1">
      <c r="A299" s="522"/>
    </row>
    <row r="300" spans="1:1">
      <c r="A300" s="522"/>
    </row>
    <row r="301" spans="1:1">
      <c r="A301" s="522"/>
    </row>
    <row r="302" spans="1:1">
      <c r="A302" s="522"/>
    </row>
    <row r="303" spans="1:1">
      <c r="A303" s="522"/>
    </row>
    <row r="304" spans="1:1">
      <c r="A304" s="522"/>
    </row>
    <row r="305" spans="1:1">
      <c r="A305" s="522"/>
    </row>
    <row r="306" spans="1:1">
      <c r="A306" s="522"/>
    </row>
    <row r="307" spans="1:1">
      <c r="A307" s="522"/>
    </row>
    <row r="308" spans="1:1">
      <c r="A308" s="522"/>
    </row>
    <row r="309" spans="1:1">
      <c r="A309" s="522"/>
    </row>
    <row r="310" spans="1:1">
      <c r="A310" s="522"/>
    </row>
    <row r="311" spans="1:1">
      <c r="A311" s="522"/>
    </row>
    <row r="312" spans="1:1">
      <c r="A312" s="522"/>
    </row>
    <row r="313" spans="1:1">
      <c r="A313" s="522"/>
    </row>
    <row r="314" spans="1:1">
      <c r="A314" s="522"/>
    </row>
    <row r="315" spans="1:1">
      <c r="A315" s="522"/>
    </row>
    <row r="316" spans="1:1">
      <c r="A316" s="522"/>
    </row>
    <row r="317" spans="1:1">
      <c r="A317" s="522"/>
    </row>
    <row r="318" spans="1:1">
      <c r="A318" s="522"/>
    </row>
    <row r="319" spans="1:1">
      <c r="A319" s="522"/>
    </row>
    <row r="320" spans="1:1">
      <c r="A320" s="522"/>
    </row>
    <row r="321" spans="1:1">
      <c r="A321" s="522"/>
    </row>
    <row r="322" spans="1:1">
      <c r="A322" s="522"/>
    </row>
    <row r="323" spans="1:1">
      <c r="A323" s="522"/>
    </row>
    <row r="324" spans="1:1">
      <c r="A324" s="522"/>
    </row>
    <row r="325" spans="1:1">
      <c r="A325" s="522"/>
    </row>
    <row r="326" spans="1:1">
      <c r="A326" s="522"/>
    </row>
    <row r="327" spans="1:1">
      <c r="A327" s="522"/>
    </row>
    <row r="328" spans="1:1">
      <c r="A328" s="522"/>
    </row>
    <row r="329" spans="1:1">
      <c r="A329" s="522"/>
    </row>
    <row r="330" spans="1:1">
      <c r="A330" s="522"/>
    </row>
    <row r="331" spans="1:1">
      <c r="A331" s="522"/>
    </row>
    <row r="332" spans="1:1">
      <c r="A332" s="522"/>
    </row>
    <row r="333" spans="1:1">
      <c r="A333" s="522"/>
    </row>
    <row r="334" spans="1:1">
      <c r="A334" s="522"/>
    </row>
    <row r="335" spans="1:1">
      <c r="A335" s="522"/>
    </row>
    <row r="336" spans="1:1">
      <c r="A336" s="522"/>
    </row>
    <row r="337" spans="1:1">
      <c r="A337" s="522"/>
    </row>
    <row r="338" spans="1:1">
      <c r="A338" s="522"/>
    </row>
    <row r="339" spans="1:1">
      <c r="A339" s="522"/>
    </row>
    <row r="340" spans="1:1">
      <c r="A340" s="522"/>
    </row>
    <row r="341" spans="1:1">
      <c r="A341" s="522"/>
    </row>
    <row r="342" spans="1:1">
      <c r="A342" s="522"/>
    </row>
    <row r="343" spans="1:1">
      <c r="A343" s="522"/>
    </row>
    <row r="344" spans="1:1">
      <c r="A344" s="522"/>
    </row>
    <row r="345" spans="1:1">
      <c r="A345" s="522"/>
    </row>
    <row r="346" spans="1:1">
      <c r="A346" s="522"/>
    </row>
    <row r="347" spans="1:1">
      <c r="A347" s="522"/>
    </row>
    <row r="348" spans="1:1">
      <c r="A348" s="522"/>
    </row>
    <row r="349" spans="1:1">
      <c r="A349" s="522"/>
    </row>
    <row r="350" spans="1:1">
      <c r="A350" s="522"/>
    </row>
    <row r="351" spans="1:1">
      <c r="A351" s="522"/>
    </row>
    <row r="352" spans="1:1">
      <c r="A352" s="522"/>
    </row>
    <row r="353" spans="1:1">
      <c r="A353" s="522"/>
    </row>
    <row r="354" spans="1:1">
      <c r="A354" s="522"/>
    </row>
    <row r="355" spans="1:1">
      <c r="A355" s="522"/>
    </row>
    <row r="356" spans="1:1">
      <c r="A356" s="522"/>
    </row>
    <row r="357" spans="1:1">
      <c r="A357" s="522"/>
    </row>
    <row r="358" spans="1:1">
      <c r="A358" s="522"/>
    </row>
    <row r="359" spans="1:1">
      <c r="A359" s="522"/>
    </row>
    <row r="360" spans="1:1">
      <c r="A360" s="522"/>
    </row>
    <row r="361" spans="1:1">
      <c r="A361" s="522"/>
    </row>
    <row r="362" spans="1:1">
      <c r="A362" s="522"/>
    </row>
    <row r="363" spans="1:1">
      <c r="A363" s="522"/>
    </row>
    <row r="364" spans="1:1">
      <c r="A364" s="522"/>
    </row>
    <row r="365" spans="1:1">
      <c r="A365" s="522"/>
    </row>
    <row r="366" spans="1:1">
      <c r="A366" s="522"/>
    </row>
  </sheetData>
  <sheetProtection algorithmName="SHA-512" hashValue="jX8PkII+FxwyCuxZf2BHPu1iAkeHWT7Hc6budEQJ8XNiWAT3FbYfgdK5Lhp85JFh5H/SD1m2cu6qN43bBfaT7w==" saltValue="RqK2TKD3I/7u8KQATbPrqQ==" spinCount="100000" sheet="1" objects="1" scenarios="1" formatColumns="0" formatRows="0" autoFilter="0"/>
  <autoFilter ref="C9:Z9"/>
  <customSheetViews>
    <customSheetView guid="{3769259D-9653-4B34-A2F6-4FB6F9F4E533}" scale="80" showGridLines="0" showAutoFilter="1" hiddenRows="1" hiddenColumns="1" topLeftCell="B2">
      <selection activeCell="E36" sqref="E36"/>
      <pageMargins left="0.7" right="0.7" top="0.75" bottom="0.75" header="0.3" footer="0.3"/>
      <autoFilter ref="B1:V1"/>
    </customSheetView>
    <customSheetView guid="{40D7A2BB-326C-4ED3-999C-17852F56D6F4}" scale="80" showGridLines="0" showAutoFilter="1" hiddenRows="1" hiddenColumns="1" topLeftCell="B2">
      <selection activeCell="E36" sqref="E36"/>
      <pageMargins left="0.7" right="0.7" top="0.75" bottom="0.75" header="0.3" footer="0.3"/>
      <autoFilter ref="B1:V1"/>
    </customSheetView>
    <customSheetView guid="{5D121940-0CE8-4A0E-A493-67FAAA6E0FF8}" scale="80" showGridLines="0" showAutoFilter="1" hiddenRows="1" hiddenColumns="1" topLeftCell="I2">
      <selection activeCell="P27" sqref="P27"/>
      <pageMargins left="0.7" right="0.7" top="0.75" bottom="0.75" header="0.3" footer="0.3"/>
      <autoFilter ref="B1:V1"/>
    </customSheetView>
    <customSheetView guid="{47AEACC4-6EA5-412C-AF39-A6C5357B313A}" scale="80" showGridLines="0" showAutoFilter="1" hiddenRows="1" hiddenColumns="1" topLeftCell="O2">
      <selection activeCell="C9" sqref="C9:W9"/>
      <pageMargins left="0.7" right="0.7" top="0.75" bottom="0.75" header="0.3" footer="0.3"/>
      <autoFilter ref="B1:V1"/>
    </customSheetView>
    <customSheetView guid="{4D957B38-5430-481E-B791-E0A66F913B50}" scale="70">
      <pageMargins left="0.7" right="0.7" top="0.75" bottom="0.75" header="0.3" footer="0.3"/>
    </customSheetView>
    <customSheetView guid="{1C36793E-2B7E-411E-AA99-985D5D59B75A}" scale="70" topLeftCell="A279">
      <selection activeCell="C285" sqref="C285"/>
      <pageMargins left="0.7" right="0.7" top="0.75" bottom="0.75" header="0.3" footer="0.3"/>
    </customSheetView>
    <customSheetView guid="{C913A9E8-661B-40A4-A3C9-1BC5F2B2E9F0}" scale="80" showGridLines="0" showAutoFilter="1" hiddenRows="1" hiddenColumns="1" topLeftCell="O2">
      <selection activeCell="C9" sqref="C9:W9"/>
      <pageMargins left="0.7" right="0.7" top="0.75" bottom="0.75" header="0.3" footer="0.3"/>
      <autoFilter ref="B1:V1"/>
    </customSheetView>
  </customSheetViews>
  <mergeCells count="17">
    <mergeCell ref="AC12:AC14"/>
    <mergeCell ref="AD12:AD14"/>
    <mergeCell ref="AE12:AE14"/>
    <mergeCell ref="W6:Y6"/>
    <mergeCell ref="Z6:Z7"/>
    <mergeCell ref="AA12:AA14"/>
    <mergeCell ref="AB12:AB14"/>
    <mergeCell ref="C6:C7"/>
    <mergeCell ref="D6:D7"/>
    <mergeCell ref="F6:F7"/>
    <mergeCell ref="G6:G7"/>
    <mergeCell ref="H6:H7"/>
    <mergeCell ref="K6:P6"/>
    <mergeCell ref="Q6:V6"/>
    <mergeCell ref="E6:E7"/>
    <mergeCell ref="I6:I7"/>
    <mergeCell ref="J6:J7"/>
  </mergeCells>
  <phoneticPr fontId="0" type="noConversion"/>
  <dataValidations count="2">
    <dataValidation type="list" operator="equal" allowBlank="1" showErrorMessage="1" errorTitle="Выбор элемента списка" error="Данного элемента нет в списке" sqref="G15:G20">
      <formula1>_1010</formula1>
    </dataValidation>
    <dataValidation type="list" operator="equal" allowBlank="1" showErrorMessage="1" errorTitle="Выбор элемента списка" error="Данного элемента нет в списке" sqref="F15:F20">
      <formula1>IF($H$3="Госкорпорация ""Росатом""",_1015_86_ГК,_1015_86)</formula1>
    </dataValidation>
  </dataValidations>
  <hyperlinks>
    <hyperlink ref="I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4" fitToWidth="2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AddButtonsRowAdd">
                <anchor moveWithCells="1">
                  <from>
                    <xdr:col>3</xdr:col>
                    <xdr:colOff>908050</xdr:colOff>
                    <xdr:row>2</xdr:row>
                    <xdr:rowOff>0</xdr:rowOff>
                  </from>
                  <to>
                    <xdr:col>4</xdr:col>
                    <xdr:colOff>952500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>
    <pageSetUpPr fitToPage="1"/>
  </sheetPr>
  <dimension ref="A1:X46"/>
  <sheetViews>
    <sheetView topLeftCell="N2" zoomScale="83" zoomScaleNormal="83" workbookViewId="0">
      <selection activeCell="F17" sqref="F17"/>
    </sheetView>
  </sheetViews>
  <sheetFormatPr defaultColWidth="15.54296875" defaultRowHeight="14.5"/>
  <cols>
    <col min="1" max="1" width="63.453125" style="448" hidden="1" customWidth="1"/>
    <col min="2" max="2" width="2.54296875" style="522" customWidth="1"/>
    <col min="3" max="4" width="15.54296875" style="522"/>
    <col min="5" max="5" width="26.54296875" style="522" customWidth="1"/>
    <col min="6" max="6" width="22.54296875" style="522" customWidth="1"/>
    <col min="7" max="8" width="15.54296875" style="522"/>
    <col min="9" max="9" width="21.54296875" style="522" customWidth="1"/>
    <col min="10" max="10" width="15.54296875" style="522"/>
    <col min="11" max="11" width="21.54296875" style="522" customWidth="1"/>
    <col min="12" max="12" width="24.453125" style="522" customWidth="1"/>
    <col min="13" max="18" width="15.54296875" style="522"/>
    <col min="19" max="19" width="18.54296875" style="522" customWidth="1"/>
    <col min="20" max="20" width="8.54296875" style="522" bestFit="1" customWidth="1"/>
    <col min="21" max="23" width="15.54296875" style="522"/>
    <col min="24" max="24" width="36" style="522" customWidth="1"/>
    <col min="25" max="16384" width="15.54296875" style="522"/>
  </cols>
  <sheetData>
    <row r="1" spans="1:24" s="448" customFormat="1" ht="12.75" hidden="1" customHeight="1">
      <c r="A1" s="537" t="s">
        <v>2846</v>
      </c>
      <c r="B1" s="521"/>
      <c r="C1" s="571"/>
      <c r="D1" s="571"/>
      <c r="E1" s="571"/>
      <c r="F1" s="571"/>
      <c r="G1" s="571"/>
      <c r="H1" s="6"/>
      <c r="I1" s="2438" t="s">
        <v>8029</v>
      </c>
      <c r="J1" s="2438" t="s">
        <v>8030</v>
      </c>
      <c r="K1" s="6" t="s">
        <v>601</v>
      </c>
      <c r="L1" s="6" t="s">
        <v>602</v>
      </c>
      <c r="M1" s="6" t="s">
        <v>606</v>
      </c>
      <c r="N1" s="6" t="s">
        <v>615</v>
      </c>
      <c r="O1" s="6" t="s">
        <v>608</v>
      </c>
      <c r="P1" s="6" t="s">
        <v>612</v>
      </c>
      <c r="Q1" s="6"/>
      <c r="R1" s="6" t="s">
        <v>614</v>
      </c>
      <c r="S1" s="6" t="s">
        <v>613</v>
      </c>
      <c r="T1" s="571"/>
    </row>
    <row r="2" spans="1:24">
      <c r="A2" s="534"/>
      <c r="D2"/>
      <c r="E2" s="2358"/>
      <c r="H2" s="1937" t="s">
        <v>1648</v>
      </c>
      <c r="I2" s="1937" t="s">
        <v>1648</v>
      </c>
      <c r="J2" s="1937" t="s">
        <v>1648</v>
      </c>
      <c r="K2" s="1937" t="s">
        <v>1648</v>
      </c>
      <c r="L2" s="1937" t="s">
        <v>1648</v>
      </c>
      <c r="M2" s="1937" t="s">
        <v>1648</v>
      </c>
      <c r="N2" s="1937" t="s">
        <v>1648</v>
      </c>
      <c r="O2" s="1937" t="s">
        <v>1648</v>
      </c>
      <c r="P2" s="1937" t="s">
        <v>1648</v>
      </c>
      <c r="Q2" s="1937" t="s">
        <v>1648</v>
      </c>
    </row>
    <row r="3" spans="1:24" ht="26">
      <c r="A3" s="534"/>
      <c r="H3" s="1897" t="s">
        <v>2067</v>
      </c>
      <c r="I3" s="1244">
        <f>Содержание!$D$2</f>
        <v>0</v>
      </c>
    </row>
    <row r="4" spans="1:24" s="524" customFormat="1" ht="26">
      <c r="A4" s="538"/>
      <c r="C4" s="523" t="s">
        <v>5208</v>
      </c>
      <c r="H4" s="1897" t="s">
        <v>2075</v>
      </c>
      <c r="I4" s="1244" t="str">
        <f>Содержание!$D$15</f>
        <v>2022 год</v>
      </c>
      <c r="J4" s="3044" t="s">
        <v>1436</v>
      </c>
    </row>
    <row r="5" spans="1:24" s="524" customFormat="1" ht="15" thickBot="1">
      <c r="A5" s="538"/>
      <c r="C5"/>
      <c r="D5" s="573"/>
      <c r="E5" s="573"/>
      <c r="F5" s="573"/>
      <c r="G5" s="573"/>
      <c r="H5" s="573"/>
      <c r="I5" s="272"/>
      <c r="J5" s="272"/>
      <c r="K5" s="272"/>
      <c r="L5" s="272"/>
      <c r="M5" s="272"/>
      <c r="N5" s="272"/>
      <c r="O5" s="573"/>
      <c r="P5" s="272"/>
      <c r="Q5" s="272"/>
      <c r="R5" s="272"/>
    </row>
    <row r="6" spans="1:24" s="485" customFormat="1" ht="13.5" customHeight="1" thickBot="1">
      <c r="A6" s="538"/>
      <c r="B6" s="1130"/>
      <c r="C6" s="3732" t="s">
        <v>5381</v>
      </c>
      <c r="D6" s="3713" t="s">
        <v>5531</v>
      </c>
      <c r="E6" s="3851" t="s">
        <v>8394</v>
      </c>
      <c r="F6" s="3713" t="s">
        <v>5541</v>
      </c>
      <c r="G6" s="3713" t="s">
        <v>3395</v>
      </c>
      <c r="H6" s="3713" t="s">
        <v>5225</v>
      </c>
      <c r="I6" s="3851" t="s">
        <v>7889</v>
      </c>
      <c r="J6" s="3851" t="s">
        <v>7890</v>
      </c>
      <c r="K6" s="3713" t="s">
        <v>1662</v>
      </c>
      <c r="L6" s="3713" t="s">
        <v>1663</v>
      </c>
      <c r="M6" s="3713" t="s">
        <v>5194</v>
      </c>
      <c r="N6" s="3713" t="s">
        <v>8613</v>
      </c>
      <c r="O6" s="3713" t="s">
        <v>8612</v>
      </c>
      <c r="P6" s="3713" t="s">
        <v>5550</v>
      </c>
      <c r="Q6" s="3713" t="s">
        <v>5233</v>
      </c>
      <c r="R6" s="3713"/>
      <c r="S6" s="3713"/>
      <c r="T6" s="3711" t="s">
        <v>4183</v>
      </c>
      <c r="U6" s="248"/>
      <c r="V6" s="248"/>
      <c r="W6" s="248"/>
      <c r="X6" s="248"/>
    </row>
    <row r="7" spans="1:24" s="485" customFormat="1" ht="76.5" customHeight="1">
      <c r="A7" s="538"/>
      <c r="B7" s="1130"/>
      <c r="C7" s="3732"/>
      <c r="D7" s="3713"/>
      <c r="E7" s="3807"/>
      <c r="F7" s="3713"/>
      <c r="G7" s="3713"/>
      <c r="H7" s="3710"/>
      <c r="I7" s="3717"/>
      <c r="J7" s="3717"/>
      <c r="K7" s="3710"/>
      <c r="L7" s="3710"/>
      <c r="M7" s="3710"/>
      <c r="N7" s="3710"/>
      <c r="O7" s="3710"/>
      <c r="P7" s="3710"/>
      <c r="Q7" s="62" t="s">
        <v>5244</v>
      </c>
      <c r="R7" s="62" t="s">
        <v>8608</v>
      </c>
      <c r="S7" s="62" t="s">
        <v>5552</v>
      </c>
      <c r="T7" s="3711"/>
      <c r="U7" s="3142" t="s">
        <v>8610</v>
      </c>
      <c r="V7" s="3142" t="s">
        <v>8611</v>
      </c>
      <c r="W7" s="3142" t="s">
        <v>8566</v>
      </c>
      <c r="X7" s="3142" t="s">
        <v>9656</v>
      </c>
    </row>
    <row r="8" spans="1:24" s="524" customFormat="1" ht="13">
      <c r="A8" s="538"/>
      <c r="B8" s="287"/>
      <c r="C8" s="270"/>
      <c r="D8" s="247"/>
      <c r="E8" s="2361" t="s">
        <v>5247</v>
      </c>
      <c r="F8" s="247" t="s">
        <v>3397</v>
      </c>
      <c r="G8" s="247" t="s">
        <v>4097</v>
      </c>
      <c r="H8" s="247" t="s">
        <v>674</v>
      </c>
      <c r="I8" s="247" t="s">
        <v>4142</v>
      </c>
      <c r="J8" s="247" t="s">
        <v>4142</v>
      </c>
      <c r="K8" s="264" t="s">
        <v>5196</v>
      </c>
      <c r="L8" s="264" t="s">
        <v>5197</v>
      </c>
      <c r="M8" s="264" t="s">
        <v>5201</v>
      </c>
      <c r="N8" s="264" t="s">
        <v>5209</v>
      </c>
      <c r="O8" s="264" t="s">
        <v>5203</v>
      </c>
      <c r="P8" s="264" t="s">
        <v>5207</v>
      </c>
      <c r="Q8" s="247" t="s">
        <v>694</v>
      </c>
      <c r="R8" s="247" t="s">
        <v>3387</v>
      </c>
      <c r="S8" s="247" t="s">
        <v>3388</v>
      </c>
      <c r="T8" s="248"/>
      <c r="U8" s="248"/>
      <c r="V8" s="248"/>
      <c r="W8" s="248"/>
      <c r="X8" s="248"/>
    </row>
    <row r="9" spans="1:24" s="698" customFormat="1" ht="13">
      <c r="A9" s="700"/>
      <c r="B9" s="679"/>
      <c r="C9" s="1760" t="s">
        <v>4164</v>
      </c>
      <c r="D9" s="1761" t="s">
        <v>4165</v>
      </c>
      <c r="E9" s="1761" t="s">
        <v>4166</v>
      </c>
      <c r="F9" s="1761" t="s">
        <v>5500</v>
      </c>
      <c r="G9" s="1761" t="s">
        <v>4169</v>
      </c>
      <c r="H9" s="1761" t="s">
        <v>4168</v>
      </c>
      <c r="I9" s="1761" t="s">
        <v>4178</v>
      </c>
      <c r="J9" s="1761" t="s">
        <v>4179</v>
      </c>
      <c r="K9" s="1761" t="s">
        <v>4167</v>
      </c>
      <c r="L9" s="1761" t="s">
        <v>5501</v>
      </c>
      <c r="M9" s="1761" t="s">
        <v>4701</v>
      </c>
      <c r="N9" s="1761" t="s">
        <v>4702</v>
      </c>
      <c r="O9" s="1761" t="s">
        <v>4703</v>
      </c>
      <c r="P9" s="1761" t="s">
        <v>5502</v>
      </c>
      <c r="Q9" s="1761" t="s">
        <v>5503</v>
      </c>
      <c r="R9" s="1761" t="s">
        <v>5504</v>
      </c>
      <c r="S9" s="1761" t="s">
        <v>4853</v>
      </c>
      <c r="T9" s="1761" t="s">
        <v>4852</v>
      </c>
      <c r="U9" s="3143"/>
      <c r="V9" s="3143"/>
      <c r="W9" s="3143"/>
      <c r="X9" s="3143"/>
    </row>
    <row r="10" spans="1:24" s="524" customFormat="1" ht="13">
      <c r="A10" s="538"/>
      <c r="B10" s="207"/>
      <c r="C10" s="1092" t="s">
        <v>3389</v>
      </c>
      <c r="D10" s="1079" t="s">
        <v>3389</v>
      </c>
      <c r="E10" s="1079" t="s">
        <v>3389</v>
      </c>
      <c r="F10" s="1079" t="s">
        <v>3389</v>
      </c>
      <c r="G10" s="1079" t="s">
        <v>3389</v>
      </c>
      <c r="H10" s="1080">
        <f>SUM(H11:H1002)</f>
        <v>0</v>
      </c>
      <c r="I10" s="1080">
        <f t="shared" ref="I10:S10" si="0">SUM(I11:I1002)</f>
        <v>0</v>
      </c>
      <c r="J10" s="1080">
        <f>SUM(J11:J1002)</f>
        <v>0</v>
      </c>
      <c r="K10" s="1080">
        <f t="shared" si="0"/>
        <v>0</v>
      </c>
      <c r="L10" s="1080">
        <f t="shared" si="0"/>
        <v>0</v>
      </c>
      <c r="M10" s="1080">
        <f t="shared" si="0"/>
        <v>0</v>
      </c>
      <c r="N10" s="1080">
        <f t="shared" si="0"/>
        <v>0</v>
      </c>
      <c r="O10" s="1080">
        <f t="shared" si="0"/>
        <v>0</v>
      </c>
      <c r="P10" s="1080">
        <f t="shared" si="0"/>
        <v>0</v>
      </c>
      <c r="Q10" s="1080">
        <f t="shared" si="0"/>
        <v>0</v>
      </c>
      <c r="R10" s="1080">
        <f t="shared" si="0"/>
        <v>0</v>
      </c>
      <c r="S10" s="1080">
        <f t="shared" si="0"/>
        <v>0</v>
      </c>
      <c r="T10" s="1423" t="s">
        <v>3196</v>
      </c>
      <c r="U10" s="3143"/>
      <c r="V10" s="3143"/>
      <c r="W10" s="3143"/>
      <c r="X10" s="3143"/>
    </row>
    <row r="11" spans="1:24" s="524" customFormat="1" ht="19.5" customHeight="1">
      <c r="A11" s="538" t="str">
        <f t="shared" ref="A11:A16" si="1">"R42="&amp;MID(IF(E11&lt;&gt;"",E11,D11),1,30)&amp;";R22="&amp;IFERROR(MID(F11,FIND("{",F11)+1,FIND("}",F11)-FIND("{",F11)-3),"")&amp;";R20="&amp;IFERROR(MID(F11,FIND("{",F11)+5,FIND("}",F11)-FIND("{",F11)-5),"")&amp;";R23="&amp;IFERROR(MID(G11,FIND("{",G11)+1,FIND("}",G11)-FIND("{",G11)-1),"")&amp;";R57="&amp;MID(C11,1,60)&amp;";R36="&amp;MID(E11,1,30)&amp;";R43="&amp;MID(D11,1,30)&amp;";COM="&amp;T11</f>
        <v>R42=;R22=;R20=;R23=;R57=;R36=;R43=;COM=</v>
      </c>
      <c r="B11" s="575" t="s">
        <v>2903</v>
      </c>
      <c r="C11" s="1082"/>
      <c r="D11" s="1085"/>
      <c r="E11" s="1085"/>
      <c r="F11" s="1085"/>
      <c r="G11" s="1085"/>
      <c r="H11" s="1094"/>
      <c r="I11" s="1094"/>
      <c r="J11" s="1080">
        <f>H11-I11</f>
        <v>0</v>
      </c>
      <c r="K11" s="1094"/>
      <c r="L11" s="1086"/>
      <c r="M11" s="1472"/>
      <c r="N11" s="1086"/>
      <c r="O11" s="1086"/>
      <c r="P11" s="1086"/>
      <c r="Q11" s="1080">
        <f>SUM(I11:P11)</f>
        <v>0</v>
      </c>
      <c r="R11" s="1086"/>
      <c r="S11" s="1080">
        <f t="shared" ref="S11:S16" si="2">Q11-R11</f>
        <v>0</v>
      </c>
      <c r="T11" s="1093"/>
      <c r="U11" s="2040" t="b">
        <f>AND(H11&lt;=0,N11&lt;=0,O11&lt;=0,P11&lt;=0,Q11&lt;=0,R11&lt;=0,S11&lt;=0)</f>
        <v>1</v>
      </c>
      <c r="V11" s="2040" t="b">
        <f t="shared" ref="V11:V16" si="3">AND(K11&gt;=0,L11&gt;=0,M11&gt;=0)</f>
        <v>1</v>
      </c>
      <c r="W11" s="2038" t="b">
        <f t="shared" ref="W11:W16" si="4">IF(C11&gt;0,OR(AND($D11&lt;&gt;"",$E11=""),AND($D11="",$E11&lt;&gt;""),AND($D11&lt;&gt;"",$E11&lt;&gt;"")),TRUE)</f>
        <v>1</v>
      </c>
      <c r="X11" s="2038" t="b">
        <f>IF(C11&lt;&gt;0,NOT(OR(TEXT(E11,"#")="10015",TEXT(E11,"#")="10000",D11="Внешние контрагенты",IFERROR(VLOOKUP($I$3,Список_компаний!A:D,3,0)=E11,FALSE),IFERROR(VLOOKUP($I$3,Список_компаний!A:D,2,0)=D11,FALSE))),TRUE)</f>
        <v>1</v>
      </c>
    </row>
    <row r="12" spans="1:24" s="524" customFormat="1" ht="19.5" customHeight="1">
      <c r="A12" s="2425" t="str">
        <f t="shared" si="1"/>
        <v>R42=;R22=;R20=;R23=;R57=;R36=;R43=;COM=</v>
      </c>
      <c r="B12" s="575" t="s">
        <v>2903</v>
      </c>
      <c r="C12" s="1082"/>
      <c r="D12" s="1085"/>
      <c r="E12" s="1085"/>
      <c r="F12" s="1085"/>
      <c r="G12" s="1085"/>
      <c r="H12" s="1094"/>
      <c r="I12" s="1094"/>
      <c r="J12" s="1080">
        <f t="shared" ref="J12:J16" si="5">H12-I12</f>
        <v>0</v>
      </c>
      <c r="K12" s="1094"/>
      <c r="L12" s="1086"/>
      <c r="M12" s="1472"/>
      <c r="N12" s="1086"/>
      <c r="O12" s="1086"/>
      <c r="P12" s="1086"/>
      <c r="Q12" s="1080">
        <f t="shared" ref="Q12:Q16" si="6">SUM(I12:P12)</f>
        <v>0</v>
      </c>
      <c r="R12" s="1086"/>
      <c r="S12" s="1080">
        <f t="shared" si="2"/>
        <v>0</v>
      </c>
      <c r="T12" s="1093"/>
      <c r="U12" s="2040" t="b">
        <f>AND(H12&lt;=0,N12&lt;=0,O12&lt;=0,P12&lt;=0,Q12&lt;=0,R12&lt;=0,S12&lt;=0)</f>
        <v>1</v>
      </c>
      <c r="V12" s="2040" t="b">
        <f>AND(K12&gt;=0,L12&gt;=0,M12&gt;=0)</f>
        <v>1</v>
      </c>
      <c r="W12" s="2038" t="b">
        <f t="shared" si="4"/>
        <v>1</v>
      </c>
      <c r="X12" s="2038" t="b">
        <f>IF(C12&lt;&gt;0,NOT(OR(TEXT(E12,"#")="10015",TEXT(E12,"#")="10000",D12="Внешние контрагенты",IFERROR(VLOOKUP($I$3,Список_компаний!A:D,3,0)=E12,FALSE),IFERROR(VLOOKUP($I$3,Список_компаний!A:D,2,0)=D12,FALSE))),TRUE)</f>
        <v>1</v>
      </c>
    </row>
    <row r="13" spans="1:24" s="524" customFormat="1" ht="19.5" customHeight="1">
      <c r="A13" s="2425" t="str">
        <f t="shared" si="1"/>
        <v>R42=;R22=;R20=;R23=;R57=;R36=;R43=;COM=</v>
      </c>
      <c r="B13" s="575"/>
      <c r="C13" s="1082"/>
      <c r="D13" s="1085"/>
      <c r="E13" s="1085"/>
      <c r="F13" s="1085"/>
      <c r="G13" s="1085"/>
      <c r="H13" s="1094"/>
      <c r="I13" s="1094"/>
      <c r="J13" s="1080">
        <f t="shared" si="5"/>
        <v>0</v>
      </c>
      <c r="K13" s="1094"/>
      <c r="L13" s="1086"/>
      <c r="M13" s="1472"/>
      <c r="N13" s="1086"/>
      <c r="O13" s="1086"/>
      <c r="P13" s="1086"/>
      <c r="Q13" s="1080">
        <f t="shared" si="6"/>
        <v>0</v>
      </c>
      <c r="R13" s="1086"/>
      <c r="S13" s="1080">
        <f t="shared" si="2"/>
        <v>0</v>
      </c>
      <c r="T13" s="1093"/>
      <c r="U13" s="2040" t="b">
        <f t="shared" ref="U13:U16" si="7">AND(H13&lt;=0,N13&lt;=0,O13&lt;=0,P13&lt;=0,Q13&lt;=0,R13&lt;=0,S13&lt;=0)</f>
        <v>1</v>
      </c>
      <c r="V13" s="2040" t="b">
        <f t="shared" si="3"/>
        <v>1</v>
      </c>
      <c r="W13" s="2038" t="b">
        <f t="shared" si="4"/>
        <v>1</v>
      </c>
      <c r="X13" s="2038" t="b">
        <f>IF(C13&lt;&gt;0,NOT(OR(TEXT(E13,"#")="10015",TEXT(E13,"#")="10000",D13="Внешние контрагенты",IFERROR(VLOOKUP($I$3,Список_компаний!A:D,3,0)=E13,FALSE),IFERROR(VLOOKUP($I$3,Список_компаний!A:D,2,0)=D13,FALSE))),TRUE)</f>
        <v>1</v>
      </c>
    </row>
    <row r="14" spans="1:24" s="524" customFormat="1" ht="19.5" customHeight="1">
      <c r="A14" s="2425" t="str">
        <f t="shared" si="1"/>
        <v>R42=;R22=;R20=;R23=;R57=;R36=;R43=;COM=</v>
      </c>
      <c r="B14" s="575"/>
      <c r="C14" s="1082"/>
      <c r="D14" s="1085"/>
      <c r="E14" s="1085"/>
      <c r="F14" s="1085"/>
      <c r="G14" s="1085"/>
      <c r="H14" s="1094"/>
      <c r="I14" s="1094"/>
      <c r="J14" s="1080">
        <f t="shared" si="5"/>
        <v>0</v>
      </c>
      <c r="K14" s="1094"/>
      <c r="L14" s="1086"/>
      <c r="M14" s="1472"/>
      <c r="N14" s="1086"/>
      <c r="O14" s="1086"/>
      <c r="P14" s="1086"/>
      <c r="Q14" s="1080">
        <f t="shared" si="6"/>
        <v>0</v>
      </c>
      <c r="R14" s="1086"/>
      <c r="S14" s="1080">
        <f t="shared" si="2"/>
        <v>0</v>
      </c>
      <c r="T14" s="1093"/>
      <c r="U14" s="2040" t="b">
        <f t="shared" si="7"/>
        <v>1</v>
      </c>
      <c r="V14" s="2040" t="b">
        <f t="shared" si="3"/>
        <v>1</v>
      </c>
      <c r="W14" s="2038" t="b">
        <f t="shared" si="4"/>
        <v>1</v>
      </c>
      <c r="X14" s="2038" t="b">
        <f>IF(C14&lt;&gt;0,NOT(OR(TEXT(E14,"#")="10015",TEXT(E14,"#")="10000",D14="Внешние контрагенты",IFERROR(VLOOKUP($I$3,Список_компаний!A:D,3,0)=E14,FALSE),IFERROR(VLOOKUP($I$3,Список_компаний!A:D,2,0)=D14,FALSE))),TRUE)</f>
        <v>1</v>
      </c>
    </row>
    <row r="15" spans="1:24" s="524" customFormat="1" ht="19.5" customHeight="1">
      <c r="A15" s="2425" t="str">
        <f t="shared" si="1"/>
        <v>R42=;R22=;R20=;R23=;R57=;R36=;R43=;COM=</v>
      </c>
      <c r="B15" s="575"/>
      <c r="C15" s="1082"/>
      <c r="D15" s="1085"/>
      <c r="E15" s="1085"/>
      <c r="F15" s="1085"/>
      <c r="G15" s="1085"/>
      <c r="H15" s="1094"/>
      <c r="I15" s="1094"/>
      <c r="J15" s="1080">
        <f t="shared" si="5"/>
        <v>0</v>
      </c>
      <c r="K15" s="1094"/>
      <c r="L15" s="1086"/>
      <c r="M15" s="1472"/>
      <c r="N15" s="1086"/>
      <c r="O15" s="1086"/>
      <c r="P15" s="1086"/>
      <c r="Q15" s="1080">
        <f t="shared" si="6"/>
        <v>0</v>
      </c>
      <c r="R15" s="1086"/>
      <c r="S15" s="1080">
        <f t="shared" si="2"/>
        <v>0</v>
      </c>
      <c r="T15" s="1093"/>
      <c r="U15" s="2040" t="b">
        <f t="shared" si="7"/>
        <v>1</v>
      </c>
      <c r="V15" s="2040" t="b">
        <f t="shared" si="3"/>
        <v>1</v>
      </c>
      <c r="W15" s="2038" t="b">
        <f t="shared" si="4"/>
        <v>1</v>
      </c>
      <c r="X15" s="2038" t="b">
        <f>IF(C15&lt;&gt;0,NOT(OR(TEXT(E15,"#")="10015",TEXT(E15,"#")="10000",D15="Внешние контрагенты",IFERROR(VLOOKUP($I$3,Список_компаний!A:D,3,0)=E15,FALSE),IFERROR(VLOOKUP($I$3,Список_компаний!A:D,2,0)=D15,FALSE))),TRUE)</f>
        <v>1</v>
      </c>
    </row>
    <row r="16" spans="1:24" ht="19.5" customHeight="1" thickBot="1">
      <c r="A16" s="2425" t="str">
        <f t="shared" si="1"/>
        <v>R42=;R22=;R20=;R23=;R57=;R36=;R43=;COM=</v>
      </c>
      <c r="B16" s="575"/>
      <c r="C16" s="1087"/>
      <c r="D16" s="1089"/>
      <c r="E16" s="1089"/>
      <c r="F16" s="2463"/>
      <c r="G16" s="1089"/>
      <c r="H16" s="1095"/>
      <c r="I16" s="1095"/>
      <c r="J16" s="1091">
        <f t="shared" si="5"/>
        <v>0</v>
      </c>
      <c r="K16" s="1095"/>
      <c r="L16" s="1090"/>
      <c r="M16" s="1090"/>
      <c r="N16" s="1090"/>
      <c r="O16" s="1090"/>
      <c r="P16" s="1090"/>
      <c r="Q16" s="1091">
        <f t="shared" si="6"/>
        <v>0</v>
      </c>
      <c r="R16" s="1090"/>
      <c r="S16" s="1091">
        <f t="shared" si="2"/>
        <v>0</v>
      </c>
      <c r="T16" s="1096"/>
      <c r="U16" s="2040" t="b">
        <f t="shared" si="7"/>
        <v>1</v>
      </c>
      <c r="V16" s="2040" t="b">
        <f t="shared" si="3"/>
        <v>1</v>
      </c>
      <c r="W16" s="2038" t="b">
        <f t="shared" si="4"/>
        <v>1</v>
      </c>
      <c r="X16" s="2038" t="b">
        <f>IF(C16&lt;&gt;0,NOT(OR(TEXT(E16,"#")="10015",TEXT(E16,"#")="10000",D16="Внешние контрагенты",IFERROR(VLOOKUP($I$3,Список_компаний!A:D,3,0)=E16,FALSE),IFERROR(VLOOKUP($I$3,Список_компаний!A:D,2,0)=D16,FALSE))),TRUE)</f>
        <v>1</v>
      </c>
    </row>
    <row r="17" spans="1:1">
      <c r="A17" s="538"/>
    </row>
    <row r="18" spans="1:1">
      <c r="A18" s="538"/>
    </row>
    <row r="19" spans="1:1">
      <c r="A19" s="538"/>
    </row>
    <row r="20" spans="1:1">
      <c r="A20" s="538"/>
    </row>
    <row r="21" spans="1:1">
      <c r="A21" s="538"/>
    </row>
    <row r="22" spans="1:1">
      <c r="A22" s="538"/>
    </row>
    <row r="23" spans="1:1">
      <c r="A23" s="538"/>
    </row>
    <row r="24" spans="1:1">
      <c r="A24" s="522"/>
    </row>
    <row r="25" spans="1:1">
      <c r="A25" s="522"/>
    </row>
    <row r="26" spans="1:1">
      <c r="A26" s="522"/>
    </row>
    <row r="27" spans="1:1">
      <c r="A27" s="522"/>
    </row>
    <row r="28" spans="1:1">
      <c r="A28" s="522"/>
    </row>
    <row r="29" spans="1:1">
      <c r="A29" s="522"/>
    </row>
    <row r="30" spans="1:1">
      <c r="A30" s="522"/>
    </row>
    <row r="31" spans="1:1">
      <c r="A31" s="522"/>
    </row>
    <row r="32" spans="1:1">
      <c r="A32" s="522"/>
    </row>
    <row r="33" spans="1:1">
      <c r="A33" s="522"/>
    </row>
    <row r="34" spans="1:1">
      <c r="A34" s="522"/>
    </row>
    <row r="35" spans="1:1">
      <c r="A35" s="522"/>
    </row>
    <row r="36" spans="1:1">
      <c r="A36" s="522"/>
    </row>
    <row r="37" spans="1:1">
      <c r="A37" s="522"/>
    </row>
    <row r="38" spans="1:1">
      <c r="A38" s="522"/>
    </row>
    <row r="39" spans="1:1">
      <c r="A39" s="522"/>
    </row>
    <row r="40" spans="1:1">
      <c r="A40" s="522"/>
    </row>
    <row r="41" spans="1:1">
      <c r="A41" s="522"/>
    </row>
    <row r="42" spans="1:1">
      <c r="A42" s="522"/>
    </row>
    <row r="43" spans="1:1">
      <c r="A43" s="522"/>
    </row>
    <row r="44" spans="1:1">
      <c r="A44" s="522"/>
    </row>
    <row r="45" spans="1:1">
      <c r="A45" s="522"/>
    </row>
    <row r="46" spans="1:1">
      <c r="A46" s="522"/>
    </row>
  </sheetData>
  <sheetProtection algorithmName="SHA-512" hashValue="nM1komowjGN40a9T7/6+w27EKfODz94WNEHAoWousPBmI6SOhl3iOcNoa99pxewhRaoCAz8c3tj3RfFr3Zzn9A==" saltValue="yA1gSGHd5CVV/JdFykWZ7Q==" spinCount="100000" sheet="1" objects="1" scenarios="1" formatColumns="0" formatRows="0" autoFilter="0"/>
  <autoFilter ref="C9:X9"/>
  <customSheetViews>
    <customSheetView guid="{3769259D-9653-4B34-A2F6-4FB6F9F4E533}" scale="85" showGridLines="0" showAutoFilter="1" hiddenRows="1" hiddenColumns="1" topLeftCell="B2">
      <selection activeCell="E36" sqref="E36"/>
      <pageMargins left="0.7" right="0.7" top="0.75" bottom="0.75" header="0.3" footer="0.3"/>
      <autoFilter ref="B1:P1"/>
    </customSheetView>
    <customSheetView guid="{40D7A2BB-326C-4ED3-999C-17852F56D6F4}" scale="85" showGridLines="0" showAutoFilter="1" hiddenRows="1" hiddenColumns="1" topLeftCell="B2">
      <selection activeCell="E36" sqref="E36"/>
      <pageMargins left="0.7" right="0.7" top="0.75" bottom="0.75" header="0.3" footer="0.3"/>
      <autoFilter ref="B1:P1"/>
    </customSheetView>
    <customSheetView guid="{5D121940-0CE8-4A0E-A493-67FAAA6E0FF8}" scale="85" showGridLines="0" showAutoFilter="1" hiddenRows="1" hiddenColumns="1" topLeftCell="F2">
      <selection activeCell="J40" sqref="J40"/>
      <pageMargins left="0.7" right="0.7" top="0.75" bottom="0.75" header="0.3" footer="0.3"/>
      <autoFilter ref="B1:P1"/>
    </customSheetView>
    <customSheetView guid="{47AEACC4-6EA5-412C-AF39-A6C5357B313A}" scale="85" showGridLines="0" showAutoFilter="1" hiddenRows="1" hiddenColumns="1" topLeftCell="F2">
      <selection activeCell="C9" sqref="C9:Q9"/>
      <pageMargins left="0.7" right="0.7" top="0.75" bottom="0.75" header="0.3" footer="0.3"/>
      <autoFilter ref="B1:P1"/>
    </customSheetView>
    <customSheetView guid="{4D957B38-5430-481E-B791-E0A66F913B50}" scale="70">
      <pageMargins left="0.7" right="0.7" top="0.75" bottom="0.75" header="0.3" footer="0.3"/>
    </customSheetView>
    <customSheetView guid="{1C36793E-2B7E-411E-AA99-985D5D59B75A}" scale="70">
      <selection activeCell="N29" sqref="N29"/>
      <pageMargins left="0.7" right="0.7" top="0.75" bottom="0.75" header="0.3" footer="0.3"/>
    </customSheetView>
    <customSheetView guid="{C913A9E8-661B-40A4-A3C9-1BC5F2B2E9F0}" scale="85" showGridLines="0" showAutoFilter="1" hiddenRows="1" hiddenColumns="1" topLeftCell="F2">
      <selection activeCell="C9" sqref="C9:Q9"/>
      <pageMargins left="0.7" right="0.7" top="0.75" bottom="0.75" header="0.3" footer="0.3"/>
      <autoFilter ref="B1:P1"/>
    </customSheetView>
  </customSheetViews>
  <mergeCells count="16">
    <mergeCell ref="H6:H7"/>
    <mergeCell ref="C6:C7"/>
    <mergeCell ref="D6:D7"/>
    <mergeCell ref="F6:F7"/>
    <mergeCell ref="G6:G7"/>
    <mergeCell ref="E6:E7"/>
    <mergeCell ref="I6:I7"/>
    <mergeCell ref="J6:J7"/>
    <mergeCell ref="T6:T7"/>
    <mergeCell ref="K6:K7"/>
    <mergeCell ref="L6:L7"/>
    <mergeCell ref="M6:M7"/>
    <mergeCell ref="N6:N7"/>
    <mergeCell ref="O6:O7"/>
    <mergeCell ref="P6:P7"/>
    <mergeCell ref="Q6:S6"/>
  </mergeCells>
  <phoneticPr fontId="0" type="noConversion"/>
  <dataValidations count="2">
    <dataValidation type="list" allowBlank="1" showInputMessage="1" showErrorMessage="1" sqref="G11:G16">
      <formula1>_1010</formula1>
    </dataValidation>
    <dataValidation type="list" allowBlank="1" showInputMessage="1" showErrorMessage="1" sqref="F11:F16">
      <formula1>IF($I$3="Госкорпорация ""Росатом""",_1015_ГК,_1015)</formula1>
    </dataValidation>
  </dataValidations>
  <hyperlinks>
    <hyperlink ref="J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ButtonsRowAdd">
                <anchor moveWithCells="1">
                  <from>
                    <xdr:col>5</xdr:col>
                    <xdr:colOff>838200</xdr:colOff>
                    <xdr:row>2</xdr:row>
                    <xdr:rowOff>69850</xdr:rowOff>
                  </from>
                  <to>
                    <xdr:col>6</xdr:col>
                    <xdr:colOff>723900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>
    <pageSetUpPr fitToPage="1"/>
  </sheetPr>
  <dimension ref="A1:T16"/>
  <sheetViews>
    <sheetView topLeftCell="B2" zoomScale="76" zoomScaleNormal="76" workbookViewId="0">
      <selection activeCell="F17" sqref="F17"/>
    </sheetView>
  </sheetViews>
  <sheetFormatPr defaultColWidth="40.54296875" defaultRowHeight="14.5"/>
  <cols>
    <col min="1" max="1" width="41.453125" hidden="1" customWidth="1"/>
    <col min="2" max="2" width="2.54296875" style="32" customWidth="1"/>
    <col min="3" max="3" width="24.453125" style="32" customWidth="1"/>
    <col min="4" max="4" width="19.453125" style="32" customWidth="1"/>
    <col min="5" max="5" width="15.453125" style="32" customWidth="1"/>
    <col min="6" max="6" width="29.54296875" style="32" customWidth="1"/>
    <col min="7" max="9" width="15.453125" style="32" customWidth="1"/>
    <col min="10" max="11" width="16.54296875" style="32" customWidth="1"/>
    <col min="12" max="12" width="30.453125" style="32" customWidth="1"/>
    <col min="13" max="14" width="16.54296875" style="32" customWidth="1"/>
    <col min="15" max="16" width="23.453125" style="32" customWidth="1"/>
    <col min="17" max="17" width="26.453125" style="32" customWidth="1"/>
    <col min="18" max="18" width="12.453125" customWidth="1"/>
    <col min="19" max="19" width="15.54296875" style="32" customWidth="1"/>
    <col min="20" max="20" width="17.453125" style="32" customWidth="1"/>
    <col min="21" max="237" width="9.453125" style="32" customWidth="1"/>
    <col min="238" max="238" width="5.54296875" style="32" customWidth="1"/>
    <col min="239" max="16384" width="40.54296875" style="32"/>
  </cols>
  <sheetData>
    <row r="1" spans="1:20" customFormat="1" ht="10.5" hidden="1" customHeight="1">
      <c r="A1" s="167" t="s">
        <v>2848</v>
      </c>
      <c r="B1" s="5"/>
      <c r="C1" s="6"/>
      <c r="D1" s="6"/>
      <c r="E1" s="6"/>
      <c r="F1" s="6"/>
      <c r="G1" s="6"/>
      <c r="H1" s="2438" t="s">
        <v>8029</v>
      </c>
      <c r="I1" s="2438" t="s">
        <v>8030</v>
      </c>
      <c r="J1" s="6" t="s">
        <v>616</v>
      </c>
      <c r="K1" s="6" t="s">
        <v>606</v>
      </c>
      <c r="L1" s="6" t="s">
        <v>617</v>
      </c>
      <c r="M1" s="6" t="s">
        <v>612</v>
      </c>
      <c r="N1" s="6"/>
      <c r="O1" s="6" t="s">
        <v>614</v>
      </c>
      <c r="P1" s="6" t="s">
        <v>613</v>
      </c>
      <c r="Q1" s="6"/>
    </row>
    <row r="2" spans="1:20" s="1778" customFormat="1">
      <c r="A2" s="7"/>
      <c r="G2" s="1778" t="s">
        <v>1648</v>
      </c>
      <c r="J2" s="1778" t="s">
        <v>1648</v>
      </c>
      <c r="K2" s="1778" t="s">
        <v>1648</v>
      </c>
      <c r="L2" s="1778" t="s">
        <v>1648</v>
      </c>
      <c r="M2" s="1778" t="s">
        <v>1648</v>
      </c>
      <c r="N2" s="1778" t="s">
        <v>1648</v>
      </c>
      <c r="O2" s="1778" t="s">
        <v>1648</v>
      </c>
      <c r="P2" s="1778" t="s">
        <v>1648</v>
      </c>
    </row>
    <row r="3" spans="1:20" ht="26">
      <c r="A3" s="7"/>
      <c r="G3"/>
      <c r="H3" s="2730"/>
      <c r="I3" s="2730"/>
      <c r="P3" s="1897" t="s">
        <v>2067</v>
      </c>
      <c r="Q3" s="1244">
        <f>Содержание!$D$2</f>
        <v>0</v>
      </c>
    </row>
    <row r="4" spans="1:20" s="24" customFormat="1" ht="13">
      <c r="A4" s="9"/>
      <c r="C4" s="105" t="s">
        <v>9921</v>
      </c>
      <c r="P4" s="1897" t="s">
        <v>2075</v>
      </c>
      <c r="Q4" s="1244" t="str">
        <f>Содержание!$D$15</f>
        <v>2022 год</v>
      </c>
    </row>
    <row r="5" spans="1:20" s="24" customFormat="1" ht="15" thickBot="1">
      <c r="A5" s="9"/>
      <c r="C5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3044" t="s">
        <v>1436</v>
      </c>
    </row>
    <row r="6" spans="1:20" s="24" customFormat="1" ht="32.9" customHeight="1" thickBot="1">
      <c r="A6" s="9"/>
      <c r="B6" s="193"/>
      <c r="C6" s="3732" t="s">
        <v>5211</v>
      </c>
      <c r="D6" s="3713" t="s">
        <v>5381</v>
      </c>
      <c r="E6" s="3713" t="s">
        <v>5531</v>
      </c>
      <c r="F6" s="3851" t="s">
        <v>8394</v>
      </c>
      <c r="G6" s="3713" t="s">
        <v>5225</v>
      </c>
      <c r="H6" s="3851" t="s">
        <v>7889</v>
      </c>
      <c r="I6" s="3851" t="s">
        <v>7890</v>
      </c>
      <c r="J6" s="3713" t="s">
        <v>5212</v>
      </c>
      <c r="K6" s="3713" t="s">
        <v>5194</v>
      </c>
      <c r="L6" s="3713" t="s">
        <v>5213</v>
      </c>
      <c r="M6" s="3713" t="s">
        <v>5550</v>
      </c>
      <c r="N6" s="3713" t="s">
        <v>5233</v>
      </c>
      <c r="O6" s="3713"/>
      <c r="P6" s="3713"/>
      <c r="Q6" s="4012" t="s">
        <v>4183</v>
      </c>
      <c r="R6" s="3713"/>
      <c r="S6" s="3713"/>
      <c r="T6" s="3713"/>
    </row>
    <row r="7" spans="1:20" s="24" customFormat="1" ht="91">
      <c r="A7" s="9"/>
      <c r="B7" s="193"/>
      <c r="C7" s="3732"/>
      <c r="D7" s="3713"/>
      <c r="E7" s="3713"/>
      <c r="F7" s="3807"/>
      <c r="G7" s="3710"/>
      <c r="H7" s="3717"/>
      <c r="I7" s="3717"/>
      <c r="J7" s="3710"/>
      <c r="K7" s="3710"/>
      <c r="L7" s="3710"/>
      <c r="M7" s="3710"/>
      <c r="N7" s="62" t="s">
        <v>5244</v>
      </c>
      <c r="O7" s="62" t="s">
        <v>8608</v>
      </c>
      <c r="P7" s="62" t="s">
        <v>5552</v>
      </c>
      <c r="Q7" s="4013"/>
      <c r="R7" s="3144" t="s">
        <v>8609</v>
      </c>
      <c r="S7" s="3141" t="s">
        <v>8566</v>
      </c>
      <c r="T7" s="3141" t="s">
        <v>8593</v>
      </c>
    </row>
    <row r="8" spans="1:20" s="194" customFormat="1" ht="12.75" customHeight="1">
      <c r="A8" s="9"/>
      <c r="B8" s="273"/>
      <c r="C8" s="270" t="s">
        <v>2199</v>
      </c>
      <c r="D8" s="247"/>
      <c r="E8" s="247"/>
      <c r="F8" s="2361" t="s">
        <v>5247</v>
      </c>
      <c r="G8" s="247" t="s">
        <v>674</v>
      </c>
      <c r="H8" s="247" t="s">
        <v>4142</v>
      </c>
      <c r="I8" s="247" t="s">
        <v>4142</v>
      </c>
      <c r="J8" s="264" t="s">
        <v>1681</v>
      </c>
      <c r="K8" s="264" t="s">
        <v>5201</v>
      </c>
      <c r="L8" s="264" t="s">
        <v>1680</v>
      </c>
      <c r="M8" s="264" t="s">
        <v>5207</v>
      </c>
      <c r="N8" s="15" t="s">
        <v>694</v>
      </c>
      <c r="O8" s="15" t="s">
        <v>3387</v>
      </c>
      <c r="P8" s="15" t="s">
        <v>3388</v>
      </c>
      <c r="Q8" s="112"/>
      <c r="R8" s="112"/>
      <c r="S8" s="112"/>
      <c r="T8" s="112"/>
    </row>
    <row r="9" spans="1:20" s="698" customFormat="1" ht="11.25" customHeight="1">
      <c r="A9" s="668"/>
      <c r="B9" s="702"/>
      <c r="C9" s="1097" t="s">
        <v>4164</v>
      </c>
      <c r="D9" s="1097" t="s">
        <v>4165</v>
      </c>
      <c r="E9" s="1097" t="s">
        <v>4166</v>
      </c>
      <c r="F9" s="1097" t="s">
        <v>5500</v>
      </c>
      <c r="G9" s="1097" t="s">
        <v>4169</v>
      </c>
      <c r="H9" s="1097" t="s">
        <v>4168</v>
      </c>
      <c r="I9" s="1097" t="s">
        <v>4178</v>
      </c>
      <c r="J9" s="1097" t="s">
        <v>4179</v>
      </c>
      <c r="K9" s="1097" t="s">
        <v>4167</v>
      </c>
      <c r="L9" s="1097" t="s">
        <v>5501</v>
      </c>
      <c r="M9" s="1097" t="s">
        <v>4701</v>
      </c>
      <c r="N9" s="1097" t="s">
        <v>4702</v>
      </c>
      <c r="O9" s="1097" t="s">
        <v>4703</v>
      </c>
      <c r="P9" s="1097" t="s">
        <v>5502</v>
      </c>
      <c r="Q9" s="1097" t="s">
        <v>5503</v>
      </c>
      <c r="R9" s="3143"/>
      <c r="S9" s="3143"/>
      <c r="T9" s="3143"/>
    </row>
    <row r="10" spans="1:20" s="24" customFormat="1" ht="13">
      <c r="A10" s="9"/>
      <c r="B10" s="273"/>
      <c r="C10" s="1098" t="s">
        <v>4170</v>
      </c>
      <c r="D10" s="1099" t="s">
        <v>3389</v>
      </c>
      <c r="E10" s="1099" t="s">
        <v>3389</v>
      </c>
      <c r="F10" s="1099" t="s">
        <v>3389</v>
      </c>
      <c r="G10" s="1100">
        <f>SUM(G11:G10003)</f>
        <v>0</v>
      </c>
      <c r="H10" s="1100">
        <f t="shared" ref="H10:I10" si="0">SUM(H11:H10003)</f>
        <v>0</v>
      </c>
      <c r="I10" s="1100">
        <f t="shared" si="0"/>
        <v>0</v>
      </c>
      <c r="J10" s="1100">
        <f t="shared" ref="J10:P10" si="1">SUM(J11:J10003)</f>
        <v>0</v>
      </c>
      <c r="K10" s="1100">
        <f>SUM(K11:K10003)</f>
        <v>0</v>
      </c>
      <c r="L10" s="1100">
        <f t="shared" si="1"/>
        <v>0</v>
      </c>
      <c r="M10" s="1100">
        <f>SUM(M11:M10003)</f>
        <v>0</v>
      </c>
      <c r="N10" s="1100">
        <f t="shared" si="1"/>
        <v>0</v>
      </c>
      <c r="O10" s="1100">
        <f t="shared" si="1"/>
        <v>0</v>
      </c>
      <c r="P10" s="1100">
        <f t="shared" si="1"/>
        <v>0</v>
      </c>
      <c r="Q10" s="1101" t="s">
        <v>3389</v>
      </c>
      <c r="R10" s="3143"/>
      <c r="S10" s="3143"/>
      <c r="T10" s="3143"/>
    </row>
    <row r="11" spans="1:20" s="24" customFormat="1" ht="12.5">
      <c r="A11" s="9" t="str">
        <f t="shared" ref="A11:A14" si="2">"R24="&amp;IFERROR(MID(C11,FIND("{",C11)+1,FIND("}",C11)-FIND("{",C11)-1),"")&amp;";R42="&amp;MID(IF(F11&lt;&gt;"",F11,E11),1,30)&amp;";R57="&amp;MID(D11,1,60)&amp;";R36="&amp;MID(F11,1,30)&amp;";R43="&amp;MID(E11,1,30)&amp;";COM="&amp;Q11</f>
        <v>R24=;R42=;R57=;R36=;R43=;COM=</v>
      </c>
      <c r="B11" s="187"/>
      <c r="C11" s="1102"/>
      <c r="D11" s="1103"/>
      <c r="E11" s="1103"/>
      <c r="F11" s="1103"/>
      <c r="G11" s="1104"/>
      <c r="H11" s="1104"/>
      <c r="I11" s="1100">
        <f>G11-H11</f>
        <v>0</v>
      </c>
      <c r="J11" s="1104"/>
      <c r="K11" s="1104"/>
      <c r="L11" s="1104"/>
      <c r="M11" s="1104"/>
      <c r="N11" s="1100">
        <f>SUM(H11:M11)</f>
        <v>0</v>
      </c>
      <c r="O11" s="1104"/>
      <c r="P11" s="1100">
        <f>N11-O11</f>
        <v>0</v>
      </c>
      <c r="Q11" s="1105"/>
      <c r="R11" s="2038" t="b">
        <f>AND(G11&lt;=0,L11&lt;=0,M11&lt;=0,N11&lt;=0,O11&lt;=0,P11&lt;=0,J11&gt;=0,K11&gt;=0)</f>
        <v>1</v>
      </c>
      <c r="S11" s="2038" t="b">
        <f>IF(D11&gt;0,OR(AND($E11&lt;&gt;"",$F11=""),AND($E11="",$F11&lt;&gt;""),AND($E11&lt;&gt;"",$F11&lt;&gt;"")),TRUE)</f>
        <v>1</v>
      </c>
      <c r="T11" s="2038" t="b">
        <f>NOT(OR(TEXT(F11,"#")="10015",TEXT(F11,"#")="10000",E11="Внешние контрагенты"))</f>
        <v>1</v>
      </c>
    </row>
    <row r="12" spans="1:20" s="24" customFormat="1" ht="12.5">
      <c r="A12" s="2427" t="str">
        <f t="shared" si="2"/>
        <v>R24=;R42=;R57=;R36=;R43=;COM=</v>
      </c>
      <c r="B12" s="187"/>
      <c r="C12" s="1102"/>
      <c r="D12" s="1103"/>
      <c r="E12" s="1103"/>
      <c r="F12" s="1103"/>
      <c r="G12" s="1104"/>
      <c r="H12" s="1104"/>
      <c r="I12" s="1100">
        <f t="shared" ref="I12:I14" si="3">G12-H12</f>
        <v>0</v>
      </c>
      <c r="J12" s="1104"/>
      <c r="K12" s="1104"/>
      <c r="L12" s="1104"/>
      <c r="M12" s="1104"/>
      <c r="N12" s="1100">
        <f t="shared" ref="N12:N14" si="4">SUM(H12:M12)</f>
        <v>0</v>
      </c>
      <c r="O12" s="1104"/>
      <c r="P12" s="1100">
        <f>N12-O12</f>
        <v>0</v>
      </c>
      <c r="Q12" s="1105"/>
      <c r="R12" s="2038" t="b">
        <f>AND(G12&lt;=0,L12&lt;=0,M12&lt;=0,N12&lt;=0,O12&lt;=0,P12&lt;=0,J12&gt;=0,K12&gt;=0)</f>
        <v>1</v>
      </c>
      <c r="S12" s="2038" t="b">
        <f>IF(D12&gt;0,OR(AND($E12&lt;&gt;"",$F12=""),AND($E12="",$F12&lt;&gt;""),AND($E12&lt;&gt;"",$F12&lt;&gt;"")),TRUE)</f>
        <v>1</v>
      </c>
      <c r="T12" s="2038" t="b">
        <f t="shared" ref="T12:T14" si="5">NOT(OR(TEXT(F12,"#")="10015",TEXT(F12,"#")="10000",E12="Внешние контрагенты"))</f>
        <v>1</v>
      </c>
    </row>
    <row r="13" spans="1:20" s="24" customFormat="1" ht="12.5">
      <c r="A13" s="2427" t="str">
        <f t="shared" si="2"/>
        <v>R24=;R42=;R57=;R36=;R43=;COM=</v>
      </c>
      <c r="B13" s="187"/>
      <c r="C13" s="1102"/>
      <c r="D13" s="1103"/>
      <c r="E13" s="2037"/>
      <c r="F13" s="2037"/>
      <c r="G13" s="1104"/>
      <c r="H13" s="1104"/>
      <c r="I13" s="1100">
        <f t="shared" si="3"/>
        <v>0</v>
      </c>
      <c r="J13" s="1104"/>
      <c r="K13" s="1104"/>
      <c r="L13" s="1104"/>
      <c r="M13" s="1104"/>
      <c r="N13" s="1100">
        <f t="shared" si="4"/>
        <v>0</v>
      </c>
      <c r="O13" s="1104"/>
      <c r="P13" s="1100">
        <f>N13-O13</f>
        <v>0</v>
      </c>
      <c r="Q13" s="1105"/>
      <c r="R13" s="2038" t="b">
        <f>AND(G13&lt;=0,L13&lt;=0,M13&lt;=0,N13&lt;=0,O13&lt;=0,P13&lt;=0,J13&gt;=0,K13&gt;=0)</f>
        <v>1</v>
      </c>
      <c r="S13" s="2038" t="b">
        <f t="shared" ref="S13:S14" si="6">IF(D13&gt;0,OR(AND($E13&lt;&gt;"",$F13=""),AND($E13="",$F13&lt;&gt;""),AND($E13&lt;&gt;"",$F13&lt;&gt;"")),TRUE)</f>
        <v>1</v>
      </c>
      <c r="T13" s="2038" t="b">
        <f t="shared" si="5"/>
        <v>1</v>
      </c>
    </row>
    <row r="14" spans="1:20" s="24" customFormat="1" ht="13" thickBot="1">
      <c r="A14" s="2427" t="str">
        <f t="shared" si="2"/>
        <v>R24=;R42=;R57=;R36=;R43=;COM=</v>
      </c>
      <c r="B14" s="187"/>
      <c r="C14" s="1106"/>
      <c r="D14" s="1107"/>
      <c r="E14" s="1107"/>
      <c r="F14" s="1107"/>
      <c r="G14" s="1108"/>
      <c r="H14" s="1108"/>
      <c r="I14" s="1109">
        <f t="shared" si="3"/>
        <v>0</v>
      </c>
      <c r="J14" s="1108"/>
      <c r="K14" s="1108"/>
      <c r="L14" s="1108"/>
      <c r="M14" s="1108"/>
      <c r="N14" s="1109">
        <f t="shared" si="4"/>
        <v>0</v>
      </c>
      <c r="O14" s="1108"/>
      <c r="P14" s="1109">
        <f>N14-O14</f>
        <v>0</v>
      </c>
      <c r="Q14" s="1110"/>
      <c r="R14" s="2038" t="b">
        <f>AND(G14&lt;=0,L14&lt;=0,M14&lt;=0,N14&lt;=0,O14&lt;=0,P14&lt;=0,J14&gt;=0,K14&gt;=0)</f>
        <v>1</v>
      </c>
      <c r="S14" s="2038" t="b">
        <f t="shared" si="6"/>
        <v>1</v>
      </c>
      <c r="T14" s="2038" t="b">
        <f t="shared" si="5"/>
        <v>1</v>
      </c>
    </row>
    <row r="15" spans="1:20">
      <c r="A15" s="9"/>
    </row>
    <row r="16" spans="1:20">
      <c r="A16" s="9"/>
    </row>
  </sheetData>
  <sheetProtection algorithmName="SHA-512" hashValue="l/T27ajIQCIgZt+6VwWOntvwfBBoO/ZV6srXTdNlcI/DE39xrNnjJgkqhVIl8c6Vp4Qep078h7BHh5LL9ZN1pQ==" saltValue="ycFRpT91iSvbpIrN4sYt6g==" spinCount="100000" sheet="1" objects="1" scenarios="1" formatColumns="0" formatRows="0" autoFilter="0"/>
  <autoFilter ref="C9:T9"/>
  <customSheetViews>
    <customSheetView guid="{3769259D-9653-4B34-A2F6-4FB6F9F4E533}" showGridLines="0" showAutoFilter="1" hiddenRows="1" hiddenColumns="1">
      <pane xSplit="4" ySplit="10" topLeftCell="E11" activePane="bottomRight" state="frozen"/>
      <selection pane="bottomRight" activeCell="E36" sqref="E36"/>
      <pageMargins left="0.7" right="0.7" top="0.75" bottom="0.75" header="0.3" footer="0.3"/>
      <autoFilter ref="B1:M1"/>
    </customSheetView>
    <customSheetView guid="{40D7A2BB-326C-4ED3-999C-17852F56D6F4}" showGridLines="0" showAutoFilter="1" hiddenRows="1" hiddenColumns="1">
      <pane xSplit="4" ySplit="10" topLeftCell="E11" activePane="bottomRight" state="frozen"/>
      <selection pane="bottomRight" activeCell="E36" sqref="E36"/>
      <pageMargins left="0.7" right="0.7" top="0.75" bottom="0.75" header="0.3" footer="0.3"/>
      <autoFilter ref="B1:M1"/>
    </customSheetView>
    <customSheetView guid="{5D121940-0CE8-4A0E-A493-67FAAA6E0FF8}" showGridLines="0" showAutoFilter="1" hiddenRows="1" hiddenColumns="1" topLeftCell="B2">
      <pane xSplit="3" ySplit="9" topLeftCell="I11" activePane="bottomRight" state="frozen"/>
      <selection pane="bottomRight" activeCell="C9" sqref="C9:N9"/>
      <pageMargins left="0.7" right="0.7" top="0.75" bottom="0.75" header="0.3" footer="0.3"/>
      <autoFilter ref="B1:M1"/>
    </customSheetView>
    <customSheetView guid="{47AEACC4-6EA5-412C-AF39-A6C5357B313A}" showGridLines="0" showAutoFilter="1" hiddenRows="1" hiddenColumns="1" topLeftCell="B2">
      <pane xSplit="3" ySplit="9" topLeftCell="I11" activePane="bottomRight" state="frozen"/>
      <selection pane="bottomRight" activeCell="C9" sqref="C9:N9"/>
      <pageMargins left="0.7" right="0.7" top="0.75" bottom="0.75" header="0.3" footer="0.3"/>
      <autoFilter ref="B1:M1"/>
    </customSheetView>
    <customSheetView guid="{4D957B38-5430-481E-B791-E0A66F913B50}" scale="70">
      <selection activeCell="A12" sqref="A12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3" ySplit="9" topLeftCell="I11" activePane="bottomRight" state="frozen"/>
      <selection pane="bottomRight" activeCell="C9" sqref="C9:N9"/>
      <pageMargins left="0.7" right="0.7" top="0.75" bottom="0.75" header="0.3" footer="0.3"/>
      <autoFilter ref="B1:M1"/>
    </customSheetView>
  </customSheetViews>
  <mergeCells count="14">
    <mergeCell ref="R6:T6"/>
    <mergeCell ref="C6:C7"/>
    <mergeCell ref="D6:D7"/>
    <mergeCell ref="E6:E7"/>
    <mergeCell ref="G6:G7"/>
    <mergeCell ref="N6:P6"/>
    <mergeCell ref="F6:F7"/>
    <mergeCell ref="H6:H7"/>
    <mergeCell ref="I6:I7"/>
    <mergeCell ref="Q6:Q7"/>
    <mergeCell ref="J6:J7"/>
    <mergeCell ref="K6:K7"/>
    <mergeCell ref="L6:L7"/>
    <mergeCell ref="M6:M7"/>
  </mergeCells>
  <phoneticPr fontId="0" type="noConversion"/>
  <conditionalFormatting sqref="C8:G8 J8:P8">
    <cfRule type="duplicateValues" dxfId="9" priority="12" stopIfTrue="1"/>
  </conditionalFormatting>
  <conditionalFormatting sqref="A8">
    <cfRule type="duplicateValues" dxfId="8" priority="11" stopIfTrue="1"/>
  </conditionalFormatting>
  <conditionalFormatting sqref="A8">
    <cfRule type="duplicateValues" dxfId="7" priority="10" stopIfTrue="1"/>
  </conditionalFormatting>
  <conditionalFormatting sqref="A8">
    <cfRule type="duplicateValues" dxfId="6" priority="9" stopIfTrue="1"/>
  </conditionalFormatting>
  <conditionalFormatting sqref="A8">
    <cfRule type="duplicateValues" dxfId="5" priority="8" stopIfTrue="1"/>
  </conditionalFormatting>
  <conditionalFormatting sqref="A8">
    <cfRule type="duplicateValues" dxfId="4" priority="7" stopIfTrue="1"/>
  </conditionalFormatting>
  <conditionalFormatting sqref="U8:IX8 A8:B8 Q8">
    <cfRule type="duplicateValues" dxfId="3" priority="114" stopIfTrue="1"/>
  </conditionalFormatting>
  <conditionalFormatting sqref="R8">
    <cfRule type="duplicateValues" dxfId="2" priority="6" stopIfTrue="1"/>
  </conditionalFormatting>
  <conditionalFormatting sqref="S8">
    <cfRule type="duplicateValues" dxfId="1" priority="5" stopIfTrue="1"/>
  </conditionalFormatting>
  <conditionalFormatting sqref="T8">
    <cfRule type="duplicateValues" dxfId="0" priority="4" stopIfTrue="1"/>
  </conditionalFormatting>
  <dataValidations count="2">
    <dataValidation type="list" operator="equal" allowBlank="1" showErrorMessage="1" errorTitle="Выбор элемента списка" error="Данного элемента нет в списке" sqref="IE64812:IX64821">
      <formula1>_2330_98_</formula1>
    </dataValidation>
    <dataValidation type="list" operator="equal" allowBlank="1" showErrorMessage="1" errorTitle="Выбор элемента списка" error="Данного элемента нет в списке" sqref="C11:C14">
      <formula1>_2330</formula1>
    </dataValidation>
  </dataValidations>
  <hyperlinks>
    <hyperlink ref="Q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4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AddButtonsRowAdd">
                <anchor moveWithCells="1">
                  <from>
                    <xdr:col>17</xdr:col>
                    <xdr:colOff>107950</xdr:colOff>
                    <xdr:row>2</xdr:row>
                    <xdr:rowOff>31750</xdr:rowOff>
                  </from>
                  <to>
                    <xdr:col>18</xdr:col>
                    <xdr:colOff>717550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>
    <pageSetUpPr fitToPage="1"/>
  </sheetPr>
  <dimension ref="A1:Q26"/>
  <sheetViews>
    <sheetView topLeftCell="B2" zoomScale="70" zoomScaleNormal="70" workbookViewId="0">
      <selection activeCell="B1" sqref="A1:XFD1"/>
    </sheetView>
  </sheetViews>
  <sheetFormatPr defaultColWidth="14.54296875" defaultRowHeight="14.5"/>
  <cols>
    <col min="1" max="1" width="21.453125" style="32" hidden="1" customWidth="1"/>
    <col min="2" max="2" width="3.453125" style="32" customWidth="1"/>
    <col min="3" max="3" width="19.453125" style="32" customWidth="1"/>
    <col min="4" max="5" width="16.453125" style="320" customWidth="1"/>
    <col min="6" max="6" width="23" style="320" customWidth="1"/>
    <col min="7" max="11" width="23.453125" style="321" customWidth="1"/>
    <col min="12" max="16" width="17.453125" style="321" customWidth="1"/>
    <col min="17" max="17" width="17.453125" style="32" customWidth="1"/>
    <col min="18" max="243" width="9.453125" style="32" customWidth="1"/>
    <col min="244" max="244" width="5.54296875" style="32" customWidth="1"/>
    <col min="245" max="16384" width="14.54296875" style="32"/>
  </cols>
  <sheetData>
    <row r="1" spans="1:17" s="10" customFormat="1" ht="27" hidden="1" customHeight="1">
      <c r="A1" s="2550" t="s">
        <v>4645</v>
      </c>
      <c r="B1" s="6"/>
      <c r="C1" s="1869" t="s">
        <v>618</v>
      </c>
      <c r="D1" s="1869" t="s">
        <v>619</v>
      </c>
      <c r="E1" s="1869" t="s">
        <v>620</v>
      </c>
      <c r="F1" s="1869" t="s">
        <v>621</v>
      </c>
      <c r="G1" s="1869" t="s">
        <v>256</v>
      </c>
      <c r="H1" s="1869" t="s">
        <v>622</v>
      </c>
      <c r="I1" s="1869" t="s">
        <v>627</v>
      </c>
      <c r="J1" s="1869" t="s">
        <v>626</v>
      </c>
      <c r="K1" s="1869" t="s">
        <v>623</v>
      </c>
      <c r="L1" s="1869" t="s">
        <v>297</v>
      </c>
      <c r="M1" s="1869" t="s">
        <v>298</v>
      </c>
      <c r="N1" s="1869" t="s">
        <v>624</v>
      </c>
      <c r="O1" s="1869" t="s">
        <v>625</v>
      </c>
      <c r="P1" s="1869" t="s">
        <v>309</v>
      </c>
    </row>
    <row r="2" spans="1:17" s="774" customFormat="1" ht="12.5">
      <c r="A2" s="7"/>
      <c r="C2" s="774" t="s">
        <v>1648</v>
      </c>
      <c r="D2" s="774" t="s">
        <v>1648</v>
      </c>
      <c r="E2" s="774" t="s">
        <v>1648</v>
      </c>
      <c r="F2" s="774" t="s">
        <v>1648</v>
      </c>
      <c r="G2" s="774" t="s">
        <v>1648</v>
      </c>
      <c r="H2" s="774" t="s">
        <v>1648</v>
      </c>
      <c r="I2" s="774" t="s">
        <v>1648</v>
      </c>
      <c r="J2" s="774" t="s">
        <v>1648</v>
      </c>
      <c r="K2" s="774" t="s">
        <v>1648</v>
      </c>
      <c r="N2" s="774" t="s">
        <v>1648</v>
      </c>
      <c r="O2" s="774" t="s">
        <v>1648</v>
      </c>
      <c r="P2" s="1946"/>
    </row>
    <row r="3" spans="1:17" s="10" customFormat="1" ht="26">
      <c r="A3" s="30"/>
      <c r="D3"/>
      <c r="E3" s="319"/>
      <c r="F3" s="1897" t="s">
        <v>2067</v>
      </c>
      <c r="G3" s="1244">
        <f>Содержание!$D$2</f>
        <v>0</v>
      </c>
      <c r="H3" s="319"/>
      <c r="I3" s="319"/>
      <c r="J3" s="319"/>
      <c r="K3" s="319"/>
      <c r="L3" s="319"/>
      <c r="M3" s="319"/>
      <c r="N3" s="319"/>
      <c r="O3" s="319"/>
      <c r="P3" s="319"/>
    </row>
    <row r="4" spans="1:17" s="10" customFormat="1">
      <c r="A4" s="9"/>
      <c r="D4" s="340" t="s">
        <v>3522</v>
      </c>
      <c r="E4" s="340"/>
      <c r="F4" s="1897" t="s">
        <v>2075</v>
      </c>
      <c r="G4" s="1244" t="str">
        <f>Содержание!$D$15</f>
        <v>2022 год</v>
      </c>
      <c r="H4" s="3044" t="s">
        <v>1436</v>
      </c>
      <c r="I4" s="84"/>
      <c r="J4" s="84"/>
      <c r="K4" s="84"/>
      <c r="L4" s="84"/>
      <c r="M4" s="84"/>
      <c r="N4" s="84"/>
      <c r="O4" s="84"/>
      <c r="P4" s="84"/>
    </row>
    <row r="5" spans="1:17" s="10" customFormat="1" ht="15" thickBot="1">
      <c r="A5" s="9"/>
      <c r="C5"/>
      <c r="D5" s="84"/>
      <c r="E5" s="84"/>
      <c r="F5" s="2628" t="b">
        <f>IF(ROUND(F10,0)&gt;=0,TRUE)</f>
        <v>1</v>
      </c>
      <c r="G5" s="2628" t="b">
        <f>IF(ROUND(G10,0)&lt;=0,TRUE)</f>
        <v>1</v>
      </c>
      <c r="H5" s="84"/>
      <c r="I5" s="84"/>
      <c r="J5" s="84"/>
      <c r="K5" s="84"/>
      <c r="L5" s="2628" t="b">
        <f>IF(ROUND(L10,0)&gt;=0,TRUE)</f>
        <v>1</v>
      </c>
      <c r="M5" s="2628" t="b">
        <f>IF(ROUND(M10,0)&lt;=0,TRUE)</f>
        <v>1</v>
      </c>
      <c r="N5" s="2628" t="b">
        <f t="shared" ref="N5:O5" si="0">IF(ROUND(N10,0)&gt;=0,TRUE)</f>
        <v>1</v>
      </c>
      <c r="O5" s="2628" t="b">
        <f t="shared" si="0"/>
        <v>1</v>
      </c>
    </row>
    <row r="6" spans="1:17" s="10" customFormat="1" ht="104">
      <c r="A6" s="9"/>
      <c r="C6" s="85" t="s">
        <v>5225</v>
      </c>
      <c r="D6" s="216" t="s">
        <v>4854</v>
      </c>
      <c r="E6" s="28" t="s">
        <v>4855</v>
      </c>
      <c r="F6" s="28" t="s">
        <v>5680</v>
      </c>
      <c r="G6" s="28" t="s">
        <v>5681</v>
      </c>
      <c r="H6" s="28" t="s">
        <v>9840</v>
      </c>
      <c r="I6" s="216" t="s">
        <v>5682</v>
      </c>
      <c r="J6" s="28" t="s">
        <v>5683</v>
      </c>
      <c r="K6" s="28" t="s">
        <v>5684</v>
      </c>
      <c r="L6" s="28" t="s">
        <v>280</v>
      </c>
      <c r="M6" s="28" t="s">
        <v>281</v>
      </c>
      <c r="N6" s="28" t="s">
        <v>8614</v>
      </c>
      <c r="O6" s="28" t="s">
        <v>3523</v>
      </c>
      <c r="P6" s="216" t="s">
        <v>5233</v>
      </c>
      <c r="Q6" s="67" t="s">
        <v>4183</v>
      </c>
    </row>
    <row r="7" spans="1:17" s="10" customFormat="1" ht="13">
      <c r="A7" s="9"/>
      <c r="C7" s="99" t="s">
        <v>668</v>
      </c>
      <c r="D7" s="15" t="s">
        <v>4141</v>
      </c>
      <c r="E7" s="15" t="s">
        <v>2207</v>
      </c>
      <c r="F7" s="15" t="s">
        <v>2208</v>
      </c>
      <c r="G7" s="15" t="s">
        <v>5685</v>
      </c>
      <c r="H7" s="15" t="s">
        <v>2209</v>
      </c>
      <c r="I7" s="15" t="s">
        <v>704</v>
      </c>
      <c r="J7" s="15" t="s">
        <v>703</v>
      </c>
      <c r="K7" s="15" t="s">
        <v>2210</v>
      </c>
      <c r="L7" s="15" t="s">
        <v>282</v>
      </c>
      <c r="M7" s="15" t="s">
        <v>283</v>
      </c>
      <c r="N7" s="15" t="s">
        <v>2211</v>
      </c>
      <c r="O7" s="15" t="s">
        <v>2212</v>
      </c>
      <c r="P7" s="15" t="s">
        <v>669</v>
      </c>
      <c r="Q7" s="499"/>
    </row>
    <row r="8" spans="1:17" s="674" customFormat="1" ht="10.5">
      <c r="A8" s="717"/>
      <c r="C8" s="1720" t="s">
        <v>4164</v>
      </c>
      <c r="D8" s="1721" t="s">
        <v>4165</v>
      </c>
      <c r="E8" s="1721" t="s">
        <v>4166</v>
      </c>
      <c r="F8" s="1721" t="s">
        <v>5500</v>
      </c>
      <c r="G8" s="1721" t="s">
        <v>4169</v>
      </c>
      <c r="H8" s="1721" t="s">
        <v>4168</v>
      </c>
      <c r="I8" s="1721" t="s">
        <v>4178</v>
      </c>
      <c r="J8" s="1721" t="s">
        <v>4179</v>
      </c>
      <c r="K8" s="1721" t="s">
        <v>4167</v>
      </c>
      <c r="L8" s="1721" t="s">
        <v>5501</v>
      </c>
      <c r="M8" s="1721" t="s">
        <v>4701</v>
      </c>
      <c r="N8" s="1721" t="s">
        <v>4702</v>
      </c>
      <c r="O8" s="1721" t="s">
        <v>4703</v>
      </c>
      <c r="P8" s="1721" t="s">
        <v>5502</v>
      </c>
      <c r="Q8" s="1721" t="s">
        <v>5503</v>
      </c>
    </row>
    <row r="9" spans="1:17" s="674" customFormat="1" ht="10.5">
      <c r="A9" s="717"/>
      <c r="C9" s="2094"/>
      <c r="D9" s="2095">
        <f t="shared" ref="D9:P9" si="1">D10</f>
        <v>0</v>
      </c>
      <c r="E9" s="2095">
        <f t="shared" si="1"/>
        <v>0</v>
      </c>
      <c r="F9" s="2095">
        <f t="shared" si="1"/>
        <v>0</v>
      </c>
      <c r="G9" s="2095">
        <f t="shared" si="1"/>
        <v>0</v>
      </c>
      <c r="H9" s="2095">
        <f t="shared" si="1"/>
        <v>0</v>
      </c>
      <c r="I9" s="2095">
        <f t="shared" si="1"/>
        <v>0</v>
      </c>
      <c r="J9" s="2095">
        <f t="shared" si="1"/>
        <v>0</v>
      </c>
      <c r="K9" s="2095">
        <f t="shared" si="1"/>
        <v>0</v>
      </c>
      <c r="L9" s="2095">
        <f>L10</f>
        <v>0</v>
      </c>
      <c r="M9" s="2095">
        <f>M10</f>
        <v>0</v>
      </c>
      <c r="N9" s="2095">
        <f t="shared" si="1"/>
        <v>0</v>
      </c>
      <c r="O9" s="2095">
        <f t="shared" si="1"/>
        <v>0</v>
      </c>
      <c r="P9" s="2095">
        <f t="shared" si="1"/>
        <v>0</v>
      </c>
      <c r="Q9" s="2096" t="s">
        <v>3066</v>
      </c>
    </row>
    <row r="10" spans="1:17" ht="15" thickBot="1">
      <c r="A10" s="7" t="str">
        <f>"R60=1;COM="&amp;Q10</f>
        <v>R60=1;COM=</v>
      </c>
      <c r="C10" s="2929"/>
      <c r="D10" s="2097"/>
      <c r="E10" s="2097"/>
      <c r="F10" s="2097"/>
      <c r="G10" s="2097"/>
      <c r="H10" s="2097"/>
      <c r="I10" s="2098"/>
      <c r="J10" s="2098"/>
      <c r="K10" s="2098"/>
      <c r="L10" s="2098"/>
      <c r="M10" s="2098"/>
      <c r="N10" s="2098"/>
      <c r="O10" s="2098"/>
      <c r="P10" s="2099">
        <f>SUM(C10:O10)</f>
        <v>0</v>
      </c>
      <c r="Q10" s="2100"/>
    </row>
    <row r="11" spans="1:17">
      <c r="C11" s="320"/>
      <c r="F11" s="321"/>
      <c r="P11" s="32"/>
    </row>
    <row r="26" ht="12" customHeight="1"/>
  </sheetData>
  <sheetProtection algorithmName="SHA-512" hashValue="1MtDF8cL8uE7plU+svsM/B8WPmIc6pRHj59ywiDWk+j5RnVnCJgKNJxLl4Ds4CwSjbqxLKPAbAI0w/l5Xzfbtg==" saltValue="UsNBJn8KFLHLjA9+UnvcyQ==" spinCount="100000" sheet="1" objects="1" scenarios="1" formatColumns="0" formatRows="0" autoFilter="0"/>
  <customSheetViews>
    <customSheetView guid="{3769259D-9653-4B34-A2F6-4FB6F9F4E533}" showGridLines="0" showAutoFilter="1" hiddenRows="1" hiddenColumns="1">
      <pane xSplit="3" ySplit="8" topLeftCell="H9" activePane="bottomRight" state="frozen"/>
      <selection pane="bottomRight" activeCell="E36" sqref="E36"/>
      <pageMargins left="0.7" right="0.7" top="0.75" bottom="0.75" header="0.3" footer="0.3"/>
      <autoFilter ref="B1:N1"/>
    </customSheetView>
    <customSheetView guid="{40D7A2BB-326C-4ED3-999C-17852F56D6F4}" showGridLines="0" showAutoFilter="1" hiddenRows="1" hiddenColumns="1">
      <pane xSplit="3" ySplit="8" topLeftCell="H9" activePane="bottomRight" state="frozen"/>
      <selection pane="bottomRight" activeCell="E36" sqref="E36"/>
      <pageMargins left="0.7" right="0.7" top="0.75" bottom="0.75" header="0.3" footer="0.3"/>
      <autoFilter ref="B1:N1"/>
    </customSheetView>
    <customSheetView guid="{5D121940-0CE8-4A0E-A493-67FAAA6E0FF8}" showGridLines="0" showAutoFilter="1" hiddenRows="1" hiddenColumns="1" topLeftCell="B2">
      <pane xSplit="2" ySplit="7" topLeftCell="D9" activePane="bottomRight" state="frozen"/>
      <selection pane="bottomRight" activeCell="I30" sqref="I30"/>
      <pageMargins left="0.7" right="0.7" top="0.75" bottom="0.75" header="0.3" footer="0.3"/>
      <autoFilter ref="B1:N1"/>
    </customSheetView>
    <customSheetView guid="{47AEACC4-6EA5-412C-AF39-A6C5357B313A}" showGridLines="0" showAutoFilter="1" hiddenRows="1" hiddenColumns="1" topLeftCell="B2">
      <pane xSplit="2" ySplit="7" topLeftCell="K9" activePane="bottomRight" state="frozen"/>
      <selection pane="bottomRight" activeCell="N10" sqref="N10"/>
      <pageMargins left="0.7" right="0.7" top="0.75" bottom="0.75" header="0.3" footer="0.3"/>
      <autoFilter ref="B1:N1"/>
    </customSheetView>
    <customSheetView guid="{4D957B38-5430-481E-B791-E0A66F913B50}" scale="70">
      <selection activeCell="G25" sqref="G25"/>
      <pageMargins left="0.7" right="0.7" top="0.75" bottom="0.75" header="0.3" footer="0.3"/>
    </customSheetView>
    <customSheetView guid="{1C36793E-2B7E-411E-AA99-985D5D59B75A}" scale="70">
      <pageMargins left="0.7" right="0.7" top="0.75" bottom="0.75" header="0.3" footer="0.3"/>
    </customSheetView>
    <customSheetView guid="{C913A9E8-661B-40A4-A3C9-1BC5F2B2E9F0}" showGridLines="0" showAutoFilter="1" hiddenRows="1" hiddenColumns="1" topLeftCell="B2">
      <pane xSplit="2" ySplit="7" topLeftCell="J9" activePane="bottomRight" state="frozen"/>
      <selection pane="bottomRight" activeCell="A11" sqref="A11:IV11"/>
      <pageMargins left="0.7" right="0.7" top="0.75" bottom="0.75" header="0.3" footer="0.3"/>
      <autoFilter ref="B1:N1"/>
    </customSheetView>
  </customSheetViews>
  <phoneticPr fontId="0" type="noConversion"/>
  <hyperlinks>
    <hyperlink ref="H4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41" orientation="landscape" horizontalDpi="4294967294" verticalDpi="4294967294"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pageSetUpPr fitToPage="1"/>
  </sheetPr>
  <dimension ref="A1:Y32"/>
  <sheetViews>
    <sheetView topLeftCell="B5" zoomScale="70" zoomScaleNormal="70" workbookViewId="0">
      <selection activeCell="F17" sqref="F17"/>
    </sheetView>
  </sheetViews>
  <sheetFormatPr defaultColWidth="4.453125" defaultRowHeight="14.5"/>
  <cols>
    <col min="1" max="1" width="32" style="2830" hidden="1" customWidth="1"/>
    <col min="2" max="2" width="5.1796875" style="12" customWidth="1"/>
    <col min="3" max="3" width="20.54296875" style="12" customWidth="1"/>
    <col min="4" max="4" width="19.453125" style="12" customWidth="1"/>
    <col min="5" max="6" width="19.54296875" style="12" customWidth="1"/>
    <col min="7" max="7" width="20" style="12" customWidth="1"/>
    <col min="8" max="9" width="15.453125" style="12" customWidth="1"/>
    <col min="10" max="10" width="20.453125" style="12" customWidth="1"/>
    <col min="11" max="11" width="14.81640625" style="12" customWidth="1"/>
    <col min="12" max="12" width="31.1796875" style="12" bestFit="1" customWidth="1"/>
    <col min="13" max="13" width="21.54296875" style="12" bestFit="1" customWidth="1"/>
    <col min="14" max="14" width="43.1796875" style="12" customWidth="1"/>
    <col min="15" max="15" width="19.453125" style="12" customWidth="1"/>
    <col min="16" max="17" width="13.81640625" style="12" customWidth="1"/>
    <col min="18" max="19" width="20.54296875" style="12" customWidth="1"/>
    <col min="20" max="20" width="17.54296875" style="12" customWidth="1"/>
    <col min="21" max="21" width="20.81640625" style="12" customWidth="1"/>
    <col min="22" max="22" width="26" style="12" customWidth="1"/>
    <col min="23" max="23" width="13.453125" style="12" customWidth="1"/>
    <col min="24" max="24" width="21.1796875" style="12" customWidth="1"/>
    <col min="25" max="25" width="6.453125" style="12" bestFit="1" customWidth="1"/>
    <col min="26" max="26" width="8.1796875" style="12" bestFit="1" customWidth="1"/>
    <col min="27" max="16384" width="4.453125" style="12"/>
  </cols>
  <sheetData>
    <row r="1" spans="1:25" s="2830" customFormat="1" ht="30" hidden="1" customHeight="1">
      <c r="A1" s="70" t="s">
        <v>10300</v>
      </c>
      <c r="B1" s="22"/>
      <c r="C1" s="2438" t="s">
        <v>572</v>
      </c>
      <c r="D1" s="2438" t="s">
        <v>10301</v>
      </c>
      <c r="E1" s="2438"/>
      <c r="F1" s="2438"/>
      <c r="G1" s="2438"/>
      <c r="H1" s="2438"/>
      <c r="I1" s="37"/>
      <c r="J1" s="37"/>
      <c r="K1" s="37"/>
      <c r="L1" s="2438"/>
      <c r="M1" s="2438"/>
      <c r="N1" s="2438" t="s">
        <v>10302</v>
      </c>
      <c r="O1" s="2438" t="s">
        <v>10303</v>
      </c>
    </row>
    <row r="2" spans="1:25" s="763" customFormat="1" ht="12.5">
      <c r="A2" s="2804"/>
      <c r="B2" s="3360"/>
      <c r="C2" s="1926"/>
      <c r="D2" s="1926"/>
      <c r="E2" s="1926"/>
      <c r="F2" s="1926"/>
      <c r="G2" s="1926"/>
      <c r="K2" s="763" t="s">
        <v>1648</v>
      </c>
    </row>
    <row r="3" spans="1:25" ht="13">
      <c r="A3" s="2804"/>
      <c r="C3" s="38"/>
      <c r="D3" s="38"/>
      <c r="E3" s="38"/>
      <c r="F3" s="38"/>
      <c r="G3" s="38"/>
      <c r="H3" s="440"/>
      <c r="I3" s="440"/>
      <c r="J3" s="440"/>
      <c r="K3" s="38"/>
      <c r="L3" s="440"/>
    </row>
    <row r="4" spans="1:25" ht="26">
      <c r="A4" s="2804"/>
      <c r="C4" s="38" t="s">
        <v>10294</v>
      </c>
      <c r="D4" s="38"/>
      <c r="E4" s="38"/>
      <c r="F4" s="38"/>
      <c r="G4" s="38"/>
      <c r="H4" s="440"/>
      <c r="I4" s="440"/>
      <c r="J4" s="440"/>
      <c r="K4" s="38"/>
      <c r="L4" s="440"/>
      <c r="M4" s="1897" t="s">
        <v>2067</v>
      </c>
      <c r="N4" s="1244">
        <f>Содержание!$D$2</f>
        <v>0</v>
      </c>
      <c r="O4" s="319"/>
    </row>
    <row r="5" spans="1:25">
      <c r="A5" s="2804"/>
      <c r="C5" s="3361" t="s">
        <v>10281</v>
      </c>
      <c r="D5" s="3361"/>
      <c r="E5" s="3361"/>
      <c r="F5" s="3361"/>
      <c r="G5" s="3361"/>
      <c r="H5" s="3354"/>
      <c r="K5" s="3044"/>
      <c r="L5" s="3354"/>
      <c r="M5" s="1897" t="s">
        <v>2075</v>
      </c>
      <c r="N5" s="1244" t="str">
        <f>Содержание!$D$15</f>
        <v>2022 год</v>
      </c>
      <c r="O5" s="3044" t="s">
        <v>1436</v>
      </c>
      <c r="P5" s="3354"/>
      <c r="Q5" s="3383"/>
      <c r="R5" s="3354"/>
      <c r="S5" s="3354"/>
      <c r="T5" s="3354"/>
      <c r="U5" s="3354"/>
      <c r="V5" s="3354"/>
    </row>
    <row r="6" spans="1:25">
      <c r="A6" s="2804"/>
      <c r="C6" s="3361"/>
      <c r="D6" s="3361"/>
      <c r="E6" s="3361"/>
      <c r="F6" s="3361"/>
      <c r="G6" s="3361"/>
      <c r="H6" s="3354"/>
      <c r="K6" s="3044"/>
      <c r="L6" s="3354"/>
      <c r="M6" s="2353"/>
      <c r="N6" s="3381"/>
      <c r="O6" s="3354"/>
      <c r="P6" s="3354"/>
      <c r="Q6" s="3383"/>
      <c r="R6" s="3354"/>
      <c r="S6" s="3354"/>
      <c r="T6" s="3354"/>
      <c r="U6" s="3354"/>
      <c r="V6" s="3354"/>
    </row>
    <row r="7" spans="1:25" ht="15" thickBot="1">
      <c r="A7" s="2804"/>
      <c r="C7" s="3361"/>
      <c r="D7" s="3361"/>
      <c r="E7" s="3361"/>
      <c r="F7" s="3361"/>
      <c r="G7" s="3361"/>
      <c r="H7" s="3354"/>
      <c r="K7" s="3044"/>
      <c r="L7" s="3354"/>
      <c r="M7" s="2353"/>
      <c r="N7" s="3359"/>
      <c r="P7" s="3354"/>
      <c r="Q7" s="3383"/>
      <c r="R7" s="3354"/>
      <c r="S7" s="3354"/>
      <c r="T7" s="3354"/>
      <c r="U7" s="3354"/>
      <c r="V7" s="3354"/>
    </row>
    <row r="8" spans="1:25" ht="27.65" customHeight="1" thickBot="1">
      <c r="A8" s="2804"/>
      <c r="C8" s="3361"/>
      <c r="D8" s="3361"/>
      <c r="E8" s="3361"/>
      <c r="F8" s="3361"/>
      <c r="G8" s="3361"/>
      <c r="H8" s="3354"/>
      <c r="K8" s="3044"/>
      <c r="L8" s="3362"/>
      <c r="M8" s="1897" t="s">
        <v>2071</v>
      </c>
      <c r="N8" s="49" t="str">
        <f>IF(ISNA(VLOOKUP($N$4,Список_компаний!A2:R525,18,FALSE)),"",VLOOKUP($N$4,Список_компаний!A2:R525,18,FALSE))</f>
        <v/>
      </c>
      <c r="P8" s="3354"/>
      <c r="Q8" s="3383"/>
      <c r="R8" s="3354"/>
      <c r="S8" s="3354"/>
      <c r="T8" s="3354"/>
      <c r="U8" s="3354"/>
      <c r="V8" s="3405" t="s">
        <v>14240</v>
      </c>
    </row>
    <row r="9" spans="1:25" ht="117">
      <c r="A9" s="2804"/>
      <c r="C9" s="3356" t="s">
        <v>10282</v>
      </c>
      <c r="D9" s="3356" t="s">
        <v>10283</v>
      </c>
      <c r="E9" s="3356" t="s">
        <v>6112</v>
      </c>
      <c r="F9" s="3357" t="s">
        <v>3395</v>
      </c>
      <c r="G9" s="3356" t="s">
        <v>10284</v>
      </c>
      <c r="H9" s="3356" t="s">
        <v>10285</v>
      </c>
      <c r="I9" s="3358" t="s">
        <v>10286</v>
      </c>
      <c r="J9" s="3356" t="s">
        <v>10287</v>
      </c>
      <c r="K9" s="3356" t="s">
        <v>10288</v>
      </c>
      <c r="L9" s="3356" t="s">
        <v>5260</v>
      </c>
      <c r="M9" s="3355" t="s">
        <v>10289</v>
      </c>
      <c r="N9" s="3355" t="s">
        <v>14300</v>
      </c>
      <c r="O9" s="3356" t="s">
        <v>10290</v>
      </c>
      <c r="P9" s="3384" t="s">
        <v>1846</v>
      </c>
      <c r="R9" s="3356" t="s">
        <v>10291</v>
      </c>
      <c r="S9" s="3356" t="s">
        <v>10292</v>
      </c>
      <c r="T9" s="3393" t="s">
        <v>10318</v>
      </c>
      <c r="U9" s="3403" t="s">
        <v>14229</v>
      </c>
      <c r="V9" s="3433" t="s">
        <v>14265</v>
      </c>
      <c r="W9" s="3432" t="s">
        <v>14295</v>
      </c>
      <c r="X9" s="2985" t="s">
        <v>57</v>
      </c>
    </row>
    <row r="10" spans="1:25" ht="33" customHeight="1">
      <c r="A10" s="2804"/>
      <c r="C10" s="3363" t="str">
        <f>N8</f>
        <v/>
      </c>
      <c r="D10" s="3363" t="s">
        <v>10293</v>
      </c>
      <c r="E10" s="3364">
        <v>2145</v>
      </c>
      <c r="F10" s="3176" t="s">
        <v>4097</v>
      </c>
      <c r="G10" s="3363" t="s">
        <v>4219</v>
      </c>
      <c r="H10" s="3364" t="s">
        <v>5247</v>
      </c>
      <c r="I10" s="3364" t="s">
        <v>5247</v>
      </c>
      <c r="J10" s="3363" t="s">
        <v>5247</v>
      </c>
      <c r="K10" s="3363">
        <v>6001</v>
      </c>
      <c r="L10" s="3363">
        <v>6003</v>
      </c>
      <c r="M10" s="3363" t="s">
        <v>4219</v>
      </c>
      <c r="N10" s="3363" t="s">
        <v>10293</v>
      </c>
      <c r="O10" s="3363" t="s">
        <v>10293</v>
      </c>
      <c r="P10" s="3385">
        <v>2310</v>
      </c>
      <c r="R10" s="3365" t="b">
        <f t="shared" ref="R10:W10" si="0">AND(R12:R1000)</f>
        <v>1</v>
      </c>
      <c r="S10" s="3365" t="b">
        <f t="shared" si="0"/>
        <v>1</v>
      </c>
      <c r="T10" s="3365" t="b">
        <f t="shared" si="0"/>
        <v>1</v>
      </c>
      <c r="U10" s="3365" t="b">
        <f t="shared" si="0"/>
        <v>1</v>
      </c>
      <c r="V10" s="3365" t="b">
        <f t="shared" ca="1" si="0"/>
        <v>1</v>
      </c>
      <c r="W10" s="3365" t="b">
        <f t="shared" si="0"/>
        <v>1</v>
      </c>
      <c r="X10" s="2987" t="s">
        <v>4219</v>
      </c>
    </row>
    <row r="11" spans="1:25" s="698" customFormat="1" ht="10">
      <c r="A11" s="3366"/>
      <c r="B11" s="703"/>
      <c r="C11" s="1751" t="s">
        <v>4164</v>
      </c>
      <c r="D11" s="1751" t="s">
        <v>4165</v>
      </c>
      <c r="E11" s="1751" t="s">
        <v>4166</v>
      </c>
      <c r="F11" s="1751" t="s">
        <v>5500</v>
      </c>
      <c r="G11" s="1751" t="s">
        <v>4169</v>
      </c>
      <c r="H11" s="1751" t="s">
        <v>4168</v>
      </c>
      <c r="I11" s="1751" t="s">
        <v>4178</v>
      </c>
      <c r="J11" s="1751" t="s">
        <v>4179</v>
      </c>
      <c r="K11" s="1751" t="s">
        <v>4167</v>
      </c>
      <c r="L11" s="1751" t="s">
        <v>5501</v>
      </c>
      <c r="M11" s="1751" t="s">
        <v>4701</v>
      </c>
      <c r="N11" s="1751" t="s">
        <v>4702</v>
      </c>
      <c r="O11" s="1751" t="s">
        <v>4703</v>
      </c>
      <c r="P11" s="1751" t="s">
        <v>5502</v>
      </c>
      <c r="R11" s="3367"/>
      <c r="S11" s="3367"/>
    </row>
    <row r="12" spans="1:25" ht="12.65" customHeight="1">
      <c r="A12" s="2425" t="str">
        <f>"R1="&amp;IFERROR(MID(E12,FIND("{",E12)+1,FIND("}",E12)-FIND("{",E12)-1),"")&amp;";R6="&amp;IFERROR(MID(F12,FIND("{",F12)+1,FIND("}",F12)-FIND("{",F12)-1),"")&amp;";R55="&amp;LEFT(G12,100)&amp;";R13="&amp;M12&amp;";R7="&amp;IFERROR(MID(L12,FIND("{",L12)+1,FIND("}",L12)-FIND("{",L12)-1),"")&amp;";R42="&amp;MID(IF(I12&lt;&gt;"",I12,J12),1,60)&amp;";R30="&amp;IFERROR(MID(K12,FIND("{",K12)+1,FIND("}",K12)-FIND("{",K12)-1),"")&amp;";R9="&amp;IFERROR(MID(P12,FIND("{",P12)+1,FIND("}",P12)-FIND("{",P12)-1),"")&amp;";R57="&amp;MID(H12,1,60)&amp;";R36="&amp;MID(I12,1,30)&amp;";R43="&amp;MID(J12,1,60)</f>
        <v>R1=;R6=;R55=;R13=;R7=;R42=;R30=;R9=;R57=;R36=;R43=</v>
      </c>
      <c r="B12" s="439"/>
      <c r="C12" s="3368"/>
      <c r="D12" s="3368"/>
      <c r="E12" s="3372"/>
      <c r="F12" s="3372"/>
      <c r="G12" s="3369"/>
      <c r="H12" s="3370"/>
      <c r="I12" s="3370"/>
      <c r="J12" s="3370"/>
      <c r="K12" s="3373"/>
      <c r="L12" s="3373"/>
      <c r="M12" s="3371"/>
      <c r="N12" s="3368"/>
      <c r="O12" s="3368"/>
      <c r="P12" s="3346"/>
      <c r="R12" s="3365" t="b">
        <f xml:space="preserve"> IF(AND(C12="",D12=""),TRUE,AND(C12&lt;=0,D12&lt;=0))</f>
        <v>1</v>
      </c>
      <c r="S12" s="3365" t="b">
        <f>IF(AND(N12="",O12=""),TRUE,AND(N12&gt;=0,O12&gt;=0))</f>
        <v>1</v>
      </c>
      <c r="T12" s="3365" t="b">
        <f>IF(O12="",TRUE,N12&lt;&gt;"")</f>
        <v>1</v>
      </c>
      <c r="U12" s="3365" t="b">
        <f>IF(AND(C12="",D12=""),TRUE,AND(C12&lt;&gt;"",D12&lt;&gt;""))</f>
        <v>1</v>
      </c>
      <c r="V12" s="3365" t="b">
        <f ca="1">IF(ISBLANK(M12),TRUE,IF(CELL("формат",M12)="D1",NOT(ISERR(SEARCH("??.??.????",TEXT(M12,"ДД.мм.ГГГГ")))),AND(NOT(ISERROR(DATEVALUE(M12))),LEN(M12)=10,NOT(ISERR(SEARCH("??.??.????",TEXT(M12,"ДД.мм.ГГГГ")))))))</f>
        <v>1</v>
      </c>
      <c r="W12" s="3365" t="b">
        <f>IF(COUNTIF(G12,"*№*")=1,FALSE,IF(COUNTIF(G12,"*договор*")=1,FALSE,IF(COUNTIF(G12,"*контракт*")=1,FALSE,TRUE)))</f>
        <v>1</v>
      </c>
      <c r="X12" s="12" t="str">
        <f>LEFT(IF(C12="","",G12&amp;" "&amp;J12&amp;" "&amp;TEXT(M12,"дд.ММ.гггг")),20)</f>
        <v/>
      </c>
      <c r="Y12" s="3526">
        <f>C12</f>
        <v>0</v>
      </c>
    </row>
    <row r="13" spans="1:25" ht="12.75" customHeight="1">
      <c r="A13" s="2425" t="str">
        <f t="shared" ref="A13:A31" si="1">"R1="&amp;IFERROR(MID(E13,FIND("{",E13)+1,FIND("}",E13)-FIND("{",E13)-1),"")&amp;";R6="&amp;IFERROR(MID(F13,FIND("{",F13)+1,FIND("}",F13)-FIND("{",F13)-1),"")&amp;";R55="&amp;LEFT(G13,100)&amp;";R13="&amp;M13&amp;";R7="&amp;IFERROR(MID(L13,FIND("{",L13)+1,FIND("}",L13)-FIND("{",L13)-1),"")&amp;";R42="&amp;MID(IF(I13&lt;&gt;"",I13,J13),1,60)&amp;";R30="&amp;IFERROR(MID(K13,FIND("{",K13)+1,FIND("}",K13)-FIND("{",K13)-1),"")&amp;";R9="&amp;IFERROR(MID(P13,FIND("{",P13)+1,FIND("}",P13)-FIND("{",P13)-1),"")&amp;";R57="&amp;MID(H13,1,60)&amp;";R36="&amp;MID(I13,1,30)&amp;";R43="&amp;MID(J13,1,60)</f>
        <v>R1=;R6=;R55=;R13=;R7=;R42=;R30=;R9=;R57=;R36=;R43=</v>
      </c>
      <c r="B13" s="439"/>
      <c r="C13" s="3368"/>
      <c r="D13" s="3368"/>
      <c r="E13" s="3372"/>
      <c r="F13" s="3372"/>
      <c r="G13" s="3369"/>
      <c r="H13" s="3370"/>
      <c r="I13" s="3370"/>
      <c r="J13" s="3370"/>
      <c r="K13" s="3373"/>
      <c r="L13" s="3373"/>
      <c r="M13" s="3371"/>
      <c r="N13" s="3368"/>
      <c r="O13" s="3368"/>
      <c r="P13" s="3346"/>
      <c r="R13" s="3365" t="b">
        <f t="shared" ref="R13:R29" si="2" xml:space="preserve"> IF(AND(C13="",D13=""),TRUE,AND(C13&lt;=0,D13&lt;=0))</f>
        <v>1</v>
      </c>
      <c r="S13" s="3365" t="b">
        <f t="shared" ref="S13:S29" si="3">IF(AND(N13="",O13=""),TRUE,AND(N13&gt;=0,O13&gt;=0))</f>
        <v>1</v>
      </c>
      <c r="T13" s="3365" t="b">
        <f t="shared" ref="T13:T31" si="4">IF(O13="",TRUE,N13&lt;&gt;"")</f>
        <v>1</v>
      </c>
      <c r="U13" s="3365" t="b">
        <f t="shared" ref="U13:U31" si="5">IF(AND(C13="",D13=""),TRUE,AND(C13&lt;&gt;"",D13&lt;&gt;""))</f>
        <v>1</v>
      </c>
      <c r="V13" s="3365" t="b">
        <f t="shared" ref="V13:V31" ca="1" si="6">IF(ISBLANK(M13),TRUE,IF(CELL("формат",M13)="D1",NOT(ISERR(SEARCH("??.??.????",TEXT(M13,"ДД.мм.ГГГГ")))),AND(NOT(ISERROR(DATEVALUE(M13))),LEN(M13)=10,NOT(ISERR(SEARCH("??.??.????",TEXT(M13,"ДД.мм.ГГГГ")))))))</f>
        <v>1</v>
      </c>
      <c r="W13" s="3365" t="b">
        <f t="shared" ref="W13:W31" si="7">IF(COUNTIF(G13,"*№*")=1,FALSE,IF(COUNTIF(G13,"*договор*")=1,FALSE,IF(COUNTIF(G13,"*контракт*")=1,FALSE,TRUE)))</f>
        <v>1</v>
      </c>
      <c r="X13" s="12" t="str">
        <f t="shared" ref="X13:X31" si="8">LEFT(IF(C13="","",G13&amp;" "&amp;J13&amp;" "&amp;TEXT(M13,"дд.ММ.гггг")),20)</f>
        <v/>
      </c>
      <c r="Y13" s="3526">
        <f t="shared" ref="Y13:Y31" si="9">C13</f>
        <v>0</v>
      </c>
    </row>
    <row r="14" spans="1:25" ht="12.75" customHeight="1">
      <c r="A14" s="2425" t="str">
        <f t="shared" si="1"/>
        <v>R1=;R6=;R55=;R13=;R7=;R42=;R30=;R9=;R57=;R36=;R43=</v>
      </c>
      <c r="B14" s="439"/>
      <c r="C14" s="3368"/>
      <c r="D14" s="3368"/>
      <c r="E14" s="3372"/>
      <c r="F14" s="3372"/>
      <c r="G14" s="3369"/>
      <c r="H14" s="3370"/>
      <c r="I14" s="3370"/>
      <c r="J14" s="3370"/>
      <c r="K14" s="3373"/>
      <c r="L14" s="3373"/>
      <c r="M14" s="3371"/>
      <c r="N14" s="3368"/>
      <c r="O14" s="3368"/>
      <c r="P14" s="3346"/>
      <c r="R14" s="3365" t="b">
        <f t="shared" si="2"/>
        <v>1</v>
      </c>
      <c r="S14" s="3365" t="b">
        <f t="shared" si="3"/>
        <v>1</v>
      </c>
      <c r="T14" s="3365" t="b">
        <f t="shared" si="4"/>
        <v>1</v>
      </c>
      <c r="U14" s="3365" t="b">
        <f t="shared" si="5"/>
        <v>1</v>
      </c>
      <c r="V14" s="3365" t="b">
        <f t="shared" ca="1" si="6"/>
        <v>1</v>
      </c>
      <c r="W14" s="3365" t="b">
        <f t="shared" si="7"/>
        <v>1</v>
      </c>
      <c r="X14" s="12" t="str">
        <f t="shared" si="8"/>
        <v/>
      </c>
      <c r="Y14" s="3526">
        <f t="shared" si="9"/>
        <v>0</v>
      </c>
    </row>
    <row r="15" spans="1:25" ht="12.75" customHeight="1">
      <c r="A15" s="2425" t="str">
        <f t="shared" si="1"/>
        <v>R1=;R6=;R55=;R13=;R7=;R42=;R30=;R9=;R57=;R36=;R43=</v>
      </c>
      <c r="B15" s="439"/>
      <c r="C15" s="3368"/>
      <c r="D15" s="3368"/>
      <c r="E15" s="3372"/>
      <c r="F15" s="3372"/>
      <c r="G15" s="3369"/>
      <c r="H15" s="3370"/>
      <c r="I15" s="3370"/>
      <c r="J15" s="3370"/>
      <c r="K15" s="3373"/>
      <c r="L15" s="3373"/>
      <c r="M15" s="3371"/>
      <c r="N15" s="3368"/>
      <c r="O15" s="3368"/>
      <c r="P15" s="3346"/>
      <c r="R15" s="3365" t="b">
        <f t="shared" si="2"/>
        <v>1</v>
      </c>
      <c r="S15" s="3365" t="b">
        <f t="shared" si="3"/>
        <v>1</v>
      </c>
      <c r="T15" s="3365" t="b">
        <f t="shared" si="4"/>
        <v>1</v>
      </c>
      <c r="U15" s="3365" t="b">
        <f t="shared" si="5"/>
        <v>1</v>
      </c>
      <c r="V15" s="3365" t="b">
        <f t="shared" ca="1" si="6"/>
        <v>1</v>
      </c>
      <c r="W15" s="3365" t="b">
        <f t="shared" si="7"/>
        <v>1</v>
      </c>
      <c r="X15" s="12" t="str">
        <f t="shared" si="8"/>
        <v/>
      </c>
      <c r="Y15" s="3526">
        <f t="shared" si="9"/>
        <v>0</v>
      </c>
    </row>
    <row r="16" spans="1:25" ht="12.75" customHeight="1">
      <c r="A16" s="2425" t="str">
        <f t="shared" si="1"/>
        <v>R1=;R6=;R55=;R13=;R7=;R42=;R30=;R9=;R57=;R36=;R43=</v>
      </c>
      <c r="B16" s="439"/>
      <c r="C16" s="3368"/>
      <c r="D16" s="3368"/>
      <c r="E16" s="3372"/>
      <c r="F16" s="3372"/>
      <c r="G16" s="3369"/>
      <c r="H16" s="3370"/>
      <c r="I16" s="3370"/>
      <c r="J16" s="3370"/>
      <c r="K16" s="3373"/>
      <c r="L16" s="3373"/>
      <c r="M16" s="3371"/>
      <c r="N16" s="3368"/>
      <c r="O16" s="3368"/>
      <c r="P16" s="3346"/>
      <c r="R16" s="3365" t="b">
        <f t="shared" si="2"/>
        <v>1</v>
      </c>
      <c r="S16" s="3365" t="b">
        <f t="shared" si="3"/>
        <v>1</v>
      </c>
      <c r="T16" s="3365" t="b">
        <f t="shared" si="4"/>
        <v>1</v>
      </c>
      <c r="U16" s="3365" t="b">
        <f t="shared" si="5"/>
        <v>1</v>
      </c>
      <c r="V16" s="3365" t="b">
        <f t="shared" ca="1" si="6"/>
        <v>1</v>
      </c>
      <c r="W16" s="3365" t="b">
        <f t="shared" si="7"/>
        <v>1</v>
      </c>
      <c r="X16" s="12" t="str">
        <f t="shared" si="8"/>
        <v/>
      </c>
      <c r="Y16" s="3526">
        <f t="shared" si="9"/>
        <v>0</v>
      </c>
    </row>
    <row r="17" spans="1:25" ht="12.75" customHeight="1">
      <c r="A17" s="2425" t="str">
        <f t="shared" si="1"/>
        <v>R1=;R6=;R55=;R13=;R7=;R42=;R30=;R9=;R57=;R36=;R43=</v>
      </c>
      <c r="B17" s="439"/>
      <c r="C17" s="3368"/>
      <c r="D17" s="3368"/>
      <c r="E17" s="3372"/>
      <c r="F17" s="3372"/>
      <c r="G17" s="3369"/>
      <c r="H17" s="3370"/>
      <c r="I17" s="3370"/>
      <c r="J17" s="3370"/>
      <c r="K17" s="3373"/>
      <c r="L17" s="3373"/>
      <c r="M17" s="3371"/>
      <c r="N17" s="3368"/>
      <c r="O17" s="3368"/>
      <c r="P17" s="3346"/>
      <c r="R17" s="3365" t="b">
        <f t="shared" si="2"/>
        <v>1</v>
      </c>
      <c r="S17" s="3365" t="b">
        <f t="shared" si="3"/>
        <v>1</v>
      </c>
      <c r="T17" s="3365" t="b">
        <f t="shared" si="4"/>
        <v>1</v>
      </c>
      <c r="U17" s="3365" t="b">
        <f t="shared" si="5"/>
        <v>1</v>
      </c>
      <c r="V17" s="3365" t="b">
        <f t="shared" ca="1" si="6"/>
        <v>1</v>
      </c>
      <c r="W17" s="3365" t="b">
        <f t="shared" si="7"/>
        <v>1</v>
      </c>
      <c r="X17" s="12" t="str">
        <f t="shared" si="8"/>
        <v/>
      </c>
      <c r="Y17" s="3526">
        <f t="shared" si="9"/>
        <v>0</v>
      </c>
    </row>
    <row r="18" spans="1:25" ht="12.75" customHeight="1">
      <c r="A18" s="2425" t="str">
        <f t="shared" si="1"/>
        <v>R1=;R6=;R55=;R13=;R7=;R42=;R30=;R9=;R57=;R36=;R43=</v>
      </c>
      <c r="B18" s="439"/>
      <c r="C18" s="3368"/>
      <c r="D18" s="3368"/>
      <c r="E18" s="3372"/>
      <c r="F18" s="3372"/>
      <c r="G18" s="3369"/>
      <c r="H18" s="3370"/>
      <c r="I18" s="3370"/>
      <c r="J18" s="3370"/>
      <c r="K18" s="3373"/>
      <c r="L18" s="3373"/>
      <c r="M18" s="3371"/>
      <c r="N18" s="3368"/>
      <c r="O18" s="3368"/>
      <c r="P18" s="3346"/>
      <c r="R18" s="3365" t="b">
        <f t="shared" si="2"/>
        <v>1</v>
      </c>
      <c r="S18" s="3365" t="b">
        <f t="shared" si="3"/>
        <v>1</v>
      </c>
      <c r="T18" s="3365" t="b">
        <f t="shared" si="4"/>
        <v>1</v>
      </c>
      <c r="U18" s="3365" t="b">
        <f t="shared" si="5"/>
        <v>1</v>
      </c>
      <c r="V18" s="3365" t="b">
        <f t="shared" ca="1" si="6"/>
        <v>1</v>
      </c>
      <c r="W18" s="3365" t="b">
        <f t="shared" si="7"/>
        <v>1</v>
      </c>
      <c r="X18" s="12" t="str">
        <f t="shared" si="8"/>
        <v/>
      </c>
      <c r="Y18" s="3526">
        <f t="shared" si="9"/>
        <v>0</v>
      </c>
    </row>
    <row r="19" spans="1:25" ht="12.75" customHeight="1">
      <c r="A19" s="2425" t="str">
        <f t="shared" si="1"/>
        <v>R1=;R6=;R55=;R13=;R7=;R42=;R30=;R9=;R57=;R36=;R43=</v>
      </c>
      <c r="B19" s="439"/>
      <c r="C19" s="3368"/>
      <c r="D19" s="3368"/>
      <c r="E19" s="3372"/>
      <c r="F19" s="3372"/>
      <c r="G19" s="3369"/>
      <c r="H19" s="3370"/>
      <c r="I19" s="3370"/>
      <c r="J19" s="3370"/>
      <c r="K19" s="3373"/>
      <c r="L19" s="3373"/>
      <c r="M19" s="3371"/>
      <c r="N19" s="3368"/>
      <c r="O19" s="3368"/>
      <c r="P19" s="3346"/>
      <c r="R19" s="3365" t="b">
        <f t="shared" si="2"/>
        <v>1</v>
      </c>
      <c r="S19" s="3365" t="b">
        <f t="shared" si="3"/>
        <v>1</v>
      </c>
      <c r="T19" s="3365" t="b">
        <f t="shared" si="4"/>
        <v>1</v>
      </c>
      <c r="U19" s="3365" t="b">
        <f t="shared" si="5"/>
        <v>1</v>
      </c>
      <c r="V19" s="3365" t="b">
        <f t="shared" ca="1" si="6"/>
        <v>1</v>
      </c>
      <c r="W19" s="3365" t="b">
        <f t="shared" si="7"/>
        <v>1</v>
      </c>
      <c r="X19" s="12" t="str">
        <f t="shared" si="8"/>
        <v/>
      </c>
      <c r="Y19" s="3526">
        <f t="shared" si="9"/>
        <v>0</v>
      </c>
    </row>
    <row r="20" spans="1:25" ht="12.75" customHeight="1">
      <c r="A20" s="2425" t="str">
        <f t="shared" si="1"/>
        <v>R1=;R6=;R55=;R13=;R7=;R42=;R30=;R9=;R57=;R36=;R43=</v>
      </c>
      <c r="B20" s="439"/>
      <c r="C20" s="3368"/>
      <c r="D20" s="3368"/>
      <c r="E20" s="3372"/>
      <c r="F20" s="3372"/>
      <c r="G20" s="3369"/>
      <c r="H20" s="3370"/>
      <c r="I20" s="3370"/>
      <c r="J20" s="3370"/>
      <c r="K20" s="3373"/>
      <c r="L20" s="3373"/>
      <c r="M20" s="3371"/>
      <c r="N20" s="3368"/>
      <c r="O20" s="3368"/>
      <c r="P20" s="3346"/>
      <c r="R20" s="3365" t="b">
        <f t="shared" si="2"/>
        <v>1</v>
      </c>
      <c r="S20" s="3365" t="b">
        <f t="shared" si="3"/>
        <v>1</v>
      </c>
      <c r="T20" s="3365" t="b">
        <f t="shared" si="4"/>
        <v>1</v>
      </c>
      <c r="U20" s="3365" t="b">
        <f t="shared" si="5"/>
        <v>1</v>
      </c>
      <c r="V20" s="3365" t="b">
        <f t="shared" ca="1" si="6"/>
        <v>1</v>
      </c>
      <c r="W20" s="3365" t="b">
        <f t="shared" si="7"/>
        <v>1</v>
      </c>
      <c r="X20" s="12" t="str">
        <f t="shared" si="8"/>
        <v/>
      </c>
      <c r="Y20" s="3526">
        <f t="shared" si="9"/>
        <v>0</v>
      </c>
    </row>
    <row r="21" spans="1:25" ht="12.75" customHeight="1">
      <c r="A21" s="2425" t="str">
        <f t="shared" si="1"/>
        <v>R1=;R6=;R55=;R13=;R7=;R42=;R30=;R9=;R57=;R36=;R43=</v>
      </c>
      <c r="B21" s="439"/>
      <c r="C21" s="3368"/>
      <c r="D21" s="3368"/>
      <c r="E21" s="3372"/>
      <c r="F21" s="3372"/>
      <c r="G21" s="3369"/>
      <c r="H21" s="3370"/>
      <c r="I21" s="3370"/>
      <c r="J21" s="3370"/>
      <c r="K21" s="3373"/>
      <c r="L21" s="3373"/>
      <c r="M21" s="3371"/>
      <c r="N21" s="3368"/>
      <c r="O21" s="3368"/>
      <c r="P21" s="3346"/>
      <c r="R21" s="3365" t="b">
        <f t="shared" si="2"/>
        <v>1</v>
      </c>
      <c r="S21" s="3365" t="b">
        <f t="shared" si="3"/>
        <v>1</v>
      </c>
      <c r="T21" s="3365" t="b">
        <f t="shared" si="4"/>
        <v>1</v>
      </c>
      <c r="U21" s="3365" t="b">
        <f t="shared" si="5"/>
        <v>1</v>
      </c>
      <c r="V21" s="3365" t="b">
        <f t="shared" ca="1" si="6"/>
        <v>1</v>
      </c>
      <c r="W21" s="3365" t="b">
        <f t="shared" si="7"/>
        <v>1</v>
      </c>
      <c r="X21" s="12" t="str">
        <f t="shared" si="8"/>
        <v/>
      </c>
      <c r="Y21" s="3526">
        <f t="shared" si="9"/>
        <v>0</v>
      </c>
    </row>
    <row r="22" spans="1:25" ht="12.75" customHeight="1">
      <c r="A22" s="2425" t="str">
        <f t="shared" si="1"/>
        <v>R1=;R6=;R55=;R13=;R7=;R42=;R30=;R9=;R57=;R36=;R43=</v>
      </c>
      <c r="B22" s="439"/>
      <c r="C22" s="3368"/>
      <c r="D22" s="3368"/>
      <c r="E22" s="3372"/>
      <c r="F22" s="3372"/>
      <c r="G22" s="3369"/>
      <c r="H22" s="3370"/>
      <c r="I22" s="3370"/>
      <c r="J22" s="3370"/>
      <c r="K22" s="3373"/>
      <c r="L22" s="3373"/>
      <c r="M22" s="3371"/>
      <c r="N22" s="3368"/>
      <c r="O22" s="3368"/>
      <c r="P22" s="3346"/>
      <c r="R22" s="3365" t="b">
        <f t="shared" si="2"/>
        <v>1</v>
      </c>
      <c r="S22" s="3365" t="b">
        <f t="shared" si="3"/>
        <v>1</v>
      </c>
      <c r="T22" s="3365" t="b">
        <f t="shared" si="4"/>
        <v>1</v>
      </c>
      <c r="U22" s="3365" t="b">
        <f t="shared" si="5"/>
        <v>1</v>
      </c>
      <c r="V22" s="3365" t="b">
        <f t="shared" ca="1" si="6"/>
        <v>1</v>
      </c>
      <c r="W22" s="3365" t="b">
        <f t="shared" si="7"/>
        <v>1</v>
      </c>
      <c r="X22" s="12" t="str">
        <f t="shared" si="8"/>
        <v/>
      </c>
      <c r="Y22" s="3526">
        <f t="shared" si="9"/>
        <v>0</v>
      </c>
    </row>
    <row r="23" spans="1:25" ht="12.75" customHeight="1">
      <c r="A23" s="2425" t="str">
        <f t="shared" si="1"/>
        <v>R1=;R6=;R55=;R13=;R7=;R42=;R30=;R9=;R57=;R36=;R43=</v>
      </c>
      <c r="B23" s="439"/>
      <c r="C23" s="3368"/>
      <c r="D23" s="3368"/>
      <c r="E23" s="3372"/>
      <c r="F23" s="3372"/>
      <c r="G23" s="3369"/>
      <c r="H23" s="3370"/>
      <c r="I23" s="3370"/>
      <c r="J23" s="3370"/>
      <c r="K23" s="3373"/>
      <c r="L23" s="3373"/>
      <c r="M23" s="3371"/>
      <c r="N23" s="3368"/>
      <c r="O23" s="3368"/>
      <c r="P23" s="3346"/>
      <c r="R23" s="3365" t="b">
        <f t="shared" si="2"/>
        <v>1</v>
      </c>
      <c r="S23" s="3365" t="b">
        <f t="shared" si="3"/>
        <v>1</v>
      </c>
      <c r="T23" s="3365" t="b">
        <f t="shared" si="4"/>
        <v>1</v>
      </c>
      <c r="U23" s="3365" t="b">
        <f t="shared" si="5"/>
        <v>1</v>
      </c>
      <c r="V23" s="3365" t="b">
        <f t="shared" ca="1" si="6"/>
        <v>1</v>
      </c>
      <c r="W23" s="3365" t="b">
        <f t="shared" si="7"/>
        <v>1</v>
      </c>
      <c r="X23" s="12" t="str">
        <f t="shared" si="8"/>
        <v/>
      </c>
      <c r="Y23" s="3526">
        <f t="shared" si="9"/>
        <v>0</v>
      </c>
    </row>
    <row r="24" spans="1:25" ht="12.75" customHeight="1">
      <c r="A24" s="2425" t="str">
        <f t="shared" si="1"/>
        <v>R1=;R6=;R55=;R13=;R7=;R42=;R30=;R9=;R57=;R36=;R43=</v>
      </c>
      <c r="B24" s="439"/>
      <c r="C24" s="3368"/>
      <c r="D24" s="3368"/>
      <c r="E24" s="3372"/>
      <c r="F24" s="3372"/>
      <c r="G24" s="3369"/>
      <c r="H24" s="3370"/>
      <c r="I24" s="3370"/>
      <c r="J24" s="3370"/>
      <c r="K24" s="3373"/>
      <c r="L24" s="3373"/>
      <c r="M24" s="3371"/>
      <c r="N24" s="3368"/>
      <c r="O24" s="3368"/>
      <c r="P24" s="3346"/>
      <c r="R24" s="3365" t="b">
        <f t="shared" si="2"/>
        <v>1</v>
      </c>
      <c r="S24" s="3365" t="b">
        <f t="shared" si="3"/>
        <v>1</v>
      </c>
      <c r="T24" s="3365" t="b">
        <f t="shared" si="4"/>
        <v>1</v>
      </c>
      <c r="U24" s="3365" t="b">
        <f t="shared" si="5"/>
        <v>1</v>
      </c>
      <c r="V24" s="3365" t="b">
        <f t="shared" ca="1" si="6"/>
        <v>1</v>
      </c>
      <c r="W24" s="3365" t="b">
        <f t="shared" si="7"/>
        <v>1</v>
      </c>
      <c r="X24" s="12" t="str">
        <f t="shared" si="8"/>
        <v/>
      </c>
      <c r="Y24" s="3526">
        <f t="shared" si="9"/>
        <v>0</v>
      </c>
    </row>
    <row r="25" spans="1:25" ht="12.75" customHeight="1">
      <c r="A25" s="2425" t="str">
        <f t="shared" si="1"/>
        <v>R1=;R6=;R55=;R13=;R7=;R42=;R30=;R9=;R57=;R36=;R43=</v>
      </c>
      <c r="B25" s="439"/>
      <c r="C25" s="3368"/>
      <c r="D25" s="3368"/>
      <c r="E25" s="3372"/>
      <c r="F25" s="3372"/>
      <c r="G25" s="3369"/>
      <c r="H25" s="3370"/>
      <c r="I25" s="3370"/>
      <c r="J25" s="3370"/>
      <c r="K25" s="3373"/>
      <c r="L25" s="3373"/>
      <c r="M25" s="3371"/>
      <c r="N25" s="3368"/>
      <c r="O25" s="3368"/>
      <c r="P25" s="3346"/>
      <c r="R25" s="3365" t="b">
        <f t="shared" si="2"/>
        <v>1</v>
      </c>
      <c r="S25" s="3365" t="b">
        <f t="shared" si="3"/>
        <v>1</v>
      </c>
      <c r="T25" s="3365" t="b">
        <f t="shared" si="4"/>
        <v>1</v>
      </c>
      <c r="U25" s="3365" t="b">
        <f t="shared" si="5"/>
        <v>1</v>
      </c>
      <c r="V25" s="3365" t="b">
        <f t="shared" ca="1" si="6"/>
        <v>1</v>
      </c>
      <c r="W25" s="3365" t="b">
        <f t="shared" si="7"/>
        <v>1</v>
      </c>
      <c r="X25" s="12" t="str">
        <f t="shared" si="8"/>
        <v/>
      </c>
      <c r="Y25" s="3526">
        <f t="shared" si="9"/>
        <v>0</v>
      </c>
    </row>
    <row r="26" spans="1:25" ht="12.75" customHeight="1">
      <c r="A26" s="2425" t="str">
        <f t="shared" si="1"/>
        <v>R1=;R6=;R55=;R13=;R7=;R42=;R30=;R9=;R57=;R36=;R43=</v>
      </c>
      <c r="B26" s="439"/>
      <c r="C26" s="3368"/>
      <c r="D26" s="3368"/>
      <c r="E26" s="3372"/>
      <c r="F26" s="3372"/>
      <c r="G26" s="3369"/>
      <c r="H26" s="3370"/>
      <c r="I26" s="3370"/>
      <c r="J26" s="3370"/>
      <c r="K26" s="3373"/>
      <c r="L26" s="3373"/>
      <c r="M26" s="3371"/>
      <c r="N26" s="3368"/>
      <c r="O26" s="3368"/>
      <c r="P26" s="3346"/>
      <c r="R26" s="3365" t="b">
        <f t="shared" si="2"/>
        <v>1</v>
      </c>
      <c r="S26" s="3365" t="b">
        <f t="shared" si="3"/>
        <v>1</v>
      </c>
      <c r="T26" s="3365" t="b">
        <f t="shared" si="4"/>
        <v>1</v>
      </c>
      <c r="U26" s="3365" t="b">
        <f t="shared" si="5"/>
        <v>1</v>
      </c>
      <c r="V26" s="3365" t="b">
        <f t="shared" ca="1" si="6"/>
        <v>1</v>
      </c>
      <c r="W26" s="3365" t="b">
        <f t="shared" si="7"/>
        <v>1</v>
      </c>
      <c r="X26" s="12" t="str">
        <f t="shared" si="8"/>
        <v/>
      </c>
      <c r="Y26" s="3526">
        <f t="shared" si="9"/>
        <v>0</v>
      </c>
    </row>
    <row r="27" spans="1:25" ht="12.75" customHeight="1">
      <c r="A27" s="2425" t="str">
        <f t="shared" si="1"/>
        <v>R1=;R6=;R55=;R13=;R7=;R42=;R30=;R9=;R57=;R36=;R43=</v>
      </c>
      <c r="B27" s="439"/>
      <c r="C27" s="3368"/>
      <c r="D27" s="3368"/>
      <c r="E27" s="3372"/>
      <c r="F27" s="3372"/>
      <c r="G27" s="3369"/>
      <c r="H27" s="3370"/>
      <c r="I27" s="3370"/>
      <c r="J27" s="3370"/>
      <c r="K27" s="3373"/>
      <c r="L27" s="3373"/>
      <c r="M27" s="3371"/>
      <c r="N27" s="3368"/>
      <c r="O27" s="3368"/>
      <c r="P27" s="3346"/>
      <c r="R27" s="3365" t="b">
        <f t="shared" si="2"/>
        <v>1</v>
      </c>
      <c r="S27" s="3365" t="b">
        <f t="shared" si="3"/>
        <v>1</v>
      </c>
      <c r="T27" s="3365" t="b">
        <f t="shared" si="4"/>
        <v>1</v>
      </c>
      <c r="U27" s="3365" t="b">
        <f t="shared" si="5"/>
        <v>1</v>
      </c>
      <c r="V27" s="3365" t="b">
        <f t="shared" ca="1" si="6"/>
        <v>1</v>
      </c>
      <c r="W27" s="3365" t="b">
        <f t="shared" si="7"/>
        <v>1</v>
      </c>
      <c r="X27" s="12" t="str">
        <f t="shared" si="8"/>
        <v/>
      </c>
      <c r="Y27" s="3526">
        <f t="shared" si="9"/>
        <v>0</v>
      </c>
    </row>
    <row r="28" spans="1:25" ht="12.75" customHeight="1">
      <c r="A28" s="2425" t="str">
        <f t="shared" si="1"/>
        <v>R1=;R6=;R55=;R13=;R7=;R42=;R30=;R9=;R57=;R36=;R43=</v>
      </c>
      <c r="B28" s="439"/>
      <c r="C28" s="3368"/>
      <c r="D28" s="3368"/>
      <c r="E28" s="3372"/>
      <c r="F28" s="3372"/>
      <c r="G28" s="3369"/>
      <c r="H28" s="3370"/>
      <c r="I28" s="3370"/>
      <c r="J28" s="3370"/>
      <c r="K28" s="3373"/>
      <c r="L28" s="3373"/>
      <c r="M28" s="3371"/>
      <c r="N28" s="3368"/>
      <c r="O28" s="3368"/>
      <c r="P28" s="3346"/>
      <c r="R28" s="3365" t="b">
        <f t="shared" si="2"/>
        <v>1</v>
      </c>
      <c r="S28" s="3365" t="b">
        <f t="shared" si="3"/>
        <v>1</v>
      </c>
      <c r="T28" s="3365" t="b">
        <f t="shared" si="4"/>
        <v>1</v>
      </c>
      <c r="U28" s="3365" t="b">
        <f t="shared" si="5"/>
        <v>1</v>
      </c>
      <c r="V28" s="3365" t="b">
        <f t="shared" ca="1" si="6"/>
        <v>1</v>
      </c>
      <c r="W28" s="3365" t="b">
        <f t="shared" si="7"/>
        <v>1</v>
      </c>
      <c r="X28" s="12" t="str">
        <f t="shared" si="8"/>
        <v/>
      </c>
      <c r="Y28" s="3526">
        <f t="shared" si="9"/>
        <v>0</v>
      </c>
    </row>
    <row r="29" spans="1:25" ht="12.75" customHeight="1">
      <c r="A29" s="2425" t="str">
        <f t="shared" si="1"/>
        <v>R1=;R6=;R55=;R13=;R7=;R42=;R30=;R9=;R57=;R36=;R43=</v>
      </c>
      <c r="B29" s="439"/>
      <c r="C29" s="3368"/>
      <c r="D29" s="3368"/>
      <c r="E29" s="3372"/>
      <c r="F29" s="3372"/>
      <c r="G29" s="3369"/>
      <c r="H29" s="3370"/>
      <c r="I29" s="3370"/>
      <c r="J29" s="3370"/>
      <c r="K29" s="3373"/>
      <c r="L29" s="3373"/>
      <c r="M29" s="3371"/>
      <c r="N29" s="3368"/>
      <c r="O29" s="3368"/>
      <c r="P29" s="3346"/>
      <c r="R29" s="3365" t="b">
        <f t="shared" si="2"/>
        <v>1</v>
      </c>
      <c r="S29" s="3365" t="b">
        <f t="shared" si="3"/>
        <v>1</v>
      </c>
      <c r="T29" s="3365" t="b">
        <f t="shared" si="4"/>
        <v>1</v>
      </c>
      <c r="U29" s="3365" t="b">
        <f t="shared" si="5"/>
        <v>1</v>
      </c>
      <c r="V29" s="3365" t="b">
        <f t="shared" ca="1" si="6"/>
        <v>1</v>
      </c>
      <c r="W29" s="3365" t="b">
        <f t="shared" si="7"/>
        <v>1</v>
      </c>
      <c r="X29" s="12" t="str">
        <f t="shared" si="8"/>
        <v/>
      </c>
      <c r="Y29" s="3526">
        <f t="shared" si="9"/>
        <v>0</v>
      </c>
    </row>
    <row r="30" spans="1:25" ht="12.75" customHeight="1">
      <c r="A30" s="2425" t="str">
        <f t="shared" si="1"/>
        <v>R1=;R6=;R55=;R13=;R7=;R42=;R30=;R9=;R57=;R36=;R43=</v>
      </c>
      <c r="B30" s="439"/>
      <c r="C30" s="3368"/>
      <c r="D30" s="3368"/>
      <c r="E30" s="3372"/>
      <c r="F30" s="3372"/>
      <c r="G30" s="3369"/>
      <c r="H30" s="3370"/>
      <c r="I30" s="3370"/>
      <c r="J30" s="3370"/>
      <c r="K30" s="3373"/>
      <c r="L30" s="3373"/>
      <c r="M30" s="3371"/>
      <c r="N30" s="3368"/>
      <c r="O30" s="3368"/>
      <c r="P30" s="3346"/>
      <c r="R30" s="3365" t="b">
        <f t="shared" ref="R30" si="10" xml:space="preserve"> IF(AND(C30="",D30=""),TRUE,AND(C30&lt;=0,D30&lt;=0))</f>
        <v>1</v>
      </c>
      <c r="S30" s="3365" t="b">
        <f t="shared" ref="S30" si="11">IF(AND(N30="",O30=""),TRUE,AND(N30&gt;=0,O30&gt;=0))</f>
        <v>1</v>
      </c>
      <c r="T30" s="3365" t="b">
        <f t="shared" si="4"/>
        <v>1</v>
      </c>
      <c r="U30" s="3365" t="b">
        <f t="shared" si="5"/>
        <v>1</v>
      </c>
      <c r="V30" s="3365" t="b">
        <f t="shared" ca="1" si="6"/>
        <v>1</v>
      </c>
      <c r="W30" s="3365" t="b">
        <f t="shared" si="7"/>
        <v>1</v>
      </c>
      <c r="X30" s="12" t="str">
        <f t="shared" si="8"/>
        <v/>
      </c>
      <c r="Y30" s="3526">
        <f t="shared" si="9"/>
        <v>0</v>
      </c>
    </row>
    <row r="31" spans="1:25" ht="12.75" customHeight="1">
      <c r="A31" s="2425" t="str">
        <f t="shared" si="1"/>
        <v>R1=;R6=;R55=;R13=;R7=;R42=;R30=;R9=;R57=;R36=;R43=</v>
      </c>
      <c r="B31" s="439"/>
      <c r="C31" s="3368"/>
      <c r="D31" s="3368"/>
      <c r="E31" s="3372"/>
      <c r="F31" s="3372"/>
      <c r="G31" s="3369"/>
      <c r="H31" s="3370"/>
      <c r="I31" s="3370"/>
      <c r="J31" s="3370"/>
      <c r="K31" s="3373"/>
      <c r="L31" s="3373"/>
      <c r="M31" s="3371"/>
      <c r="N31" s="3368"/>
      <c r="O31" s="3368"/>
      <c r="P31" s="3346"/>
      <c r="R31" s="3365" t="b">
        <f t="shared" ref="R31" si="12" xml:space="preserve"> IF(AND(C31="",D31=""),TRUE,AND(C31&lt;=0,D31&lt;=0))</f>
        <v>1</v>
      </c>
      <c r="S31" s="3365" t="b">
        <f t="shared" ref="S31" si="13">IF(AND(N31="",O31=""),TRUE,AND(N31&gt;=0,O31&gt;=0))</f>
        <v>1</v>
      </c>
      <c r="T31" s="3365" t="b">
        <f t="shared" si="4"/>
        <v>1</v>
      </c>
      <c r="U31" s="3365" t="b">
        <f t="shared" si="5"/>
        <v>1</v>
      </c>
      <c r="V31" s="3365" t="b">
        <f t="shared" ca="1" si="6"/>
        <v>1</v>
      </c>
      <c r="W31" s="3365" t="b">
        <f t="shared" si="7"/>
        <v>1</v>
      </c>
      <c r="X31" s="12" t="str">
        <f t="shared" si="8"/>
        <v/>
      </c>
      <c r="Y31" s="3526">
        <f t="shared" si="9"/>
        <v>0</v>
      </c>
    </row>
    <row r="32" spans="1:25" ht="12.75" customHeight="1" thickBot="1">
      <c r="A32" s="2425" t="str">
        <f t="shared" ref="A32" si="14">"R1="&amp;IFERROR(MID(E32,FIND("{",E32)+1,FIND("}",E32)-FIND("{",E32)-1),"")&amp;";R6="&amp;IFERROR(MID(F32,FIND("{",F32)+1,FIND("}",F32)-FIND("{",F32)-1),"")&amp;";R55="&amp;LEFT(G32,100)&amp;";R13="&amp;M32&amp;";R7="&amp;IFERROR(MID(L32,FIND("{",L32)+1,FIND("}",L32)-FIND("{",L32)-1),"")&amp;";R42="&amp;MID(IF(I32&lt;&gt;"",I32,J32),1,60)&amp;";R30="&amp;IFERROR(MID(K32,FIND("{",K32)+1,FIND("}",K32)-FIND("{",K32)-1),"")&amp;";R9="&amp;IFERROR(MID(P32,FIND("{",P32)+1,FIND("}",P32)-FIND("{",P32)-1),"")&amp;";R57="&amp;MID(H32,1,60)&amp;";R36="&amp;MID(I32,1,30)&amp;";R43="&amp;MID(J32,1,60)</f>
        <v>R1=;R6=;R55=;R13=;R7=;R42=;R30=;R9=;R57=;R36=;R43=</v>
      </c>
      <c r="B32" s="439"/>
      <c r="C32" s="3374"/>
      <c r="D32" s="3374"/>
      <c r="E32" s="3375"/>
      <c r="F32" s="3375"/>
      <c r="G32" s="3376"/>
      <c r="H32" s="3377"/>
      <c r="I32" s="3378"/>
      <c r="J32" s="3377"/>
      <c r="K32" s="3377"/>
      <c r="L32" s="3379"/>
      <c r="M32" s="3380"/>
      <c r="N32" s="3374"/>
      <c r="O32" s="3374"/>
      <c r="P32" s="3386"/>
      <c r="R32" s="3365" t="b">
        <f t="shared" ref="R32" si="15" xml:space="preserve"> IF(AND(C32="",D32=""),TRUE,AND(C32&lt;=0,D32&lt;=0))</f>
        <v>1</v>
      </c>
      <c r="S32" s="3365" t="b">
        <f t="shared" ref="S32" si="16">IF(AND(N32="",O32=""),TRUE,AND(N32&gt;=0,O32&gt;=0))</f>
        <v>1</v>
      </c>
      <c r="T32" s="3365" t="b">
        <f t="shared" ref="T32" si="17">IF(O32="",TRUE,N32&lt;&gt;"")</f>
        <v>1</v>
      </c>
      <c r="U32" s="3365" t="b">
        <f t="shared" ref="U32" si="18">IF(AND(C32="",D32=""),TRUE,AND(C32&lt;&gt;"",D32&lt;&gt;""))</f>
        <v>1</v>
      </c>
      <c r="V32" s="3365" t="b">
        <f t="shared" ref="V32" ca="1" si="19">IF(ISBLANK(M32),TRUE,IF(CELL("формат",M32)="D1",NOT(ISERR(SEARCH("??.??.????",TEXT(M32,"ДД.мм.ГГГГ")))),AND(NOT(ISERROR(DATEVALUE(M32))),LEN(M32)=10,NOT(ISERR(SEARCH("??.??.????",TEXT(M32,"ДД.мм.ГГГГ")))))))</f>
        <v>1</v>
      </c>
      <c r="W32" s="3365" t="b">
        <f t="shared" ref="W32" si="20">IF(COUNTIF(G32,"*№*")=1,FALSE,IF(COUNTIF(G32,"*договор*")=1,FALSE,IF(COUNTIF(G32,"*контракт*")=1,FALSE,TRUE)))</f>
        <v>1</v>
      </c>
      <c r="X32" s="12" t="str">
        <f t="shared" ref="X32" si="21">LEFT(IF(C32="","",G32&amp;" "&amp;J32&amp;" "&amp;TEXT(M32,"дд.ММ.гггг")),20)</f>
        <v/>
      </c>
      <c r="Y32" s="3526">
        <f t="shared" ref="Y32" si="22">C32</f>
        <v>0</v>
      </c>
    </row>
  </sheetData>
  <sheetProtection algorithmName="SHA-512" hashValue="271FdHSKqrWvAdBszqITlXLsGzh9S8kjEK67w3PAZ2ewZLCHuR0tPb2LB+R4WnBFFx+64LZM1bT8Ov9zSATH5w==" saltValue="tmFFcV64qv0FLH+tL0Tltg==" spinCount="100000" sheet="1" objects="1" scenarios="1" formatColumns="0" formatRows="0" autoFilter="0"/>
  <autoFilter ref="A11:W11"/>
  <dataValidations count="9">
    <dataValidation type="list" operator="equal" allowBlank="1" showErrorMessage="1" errorTitle="Выбор элемента списка" error="Данного элемента нет в списке" sqref="F12:F32">
      <formula1>_1010</formula1>
    </dataValidation>
    <dataValidation operator="equal" allowBlank="1" showErrorMessage="1" errorTitle="Выбор элемента списка" error="Данного элемента нет в списке" sqref="G12:G32 C12:D32"/>
    <dataValidation type="list" allowBlank="1" showInputMessage="1" showErrorMessage="1" sqref="L12:L32">
      <formula1>_6003</formula1>
    </dataValidation>
    <dataValidation type="list" operator="equal" allowBlank="1" showErrorMessage="1" errorTitle="Выбор элемента списка" error="Данного элемента нет в списке" sqref="E12:E32">
      <formula1>_2145</formula1>
    </dataValidation>
    <dataValidation type="list" allowBlank="1" showInputMessage="1" showErrorMessage="1" sqref="N5">
      <formula1>_период</formula1>
    </dataValidation>
    <dataValidation type="list" operator="equal" allowBlank="1" showErrorMessage="1" errorTitle="Выбор элемента списка" error="Данного элемента нет в списке" sqref="C63465:H63925">
      <formula1>_2140_2141_</formula1>
    </dataValidation>
    <dataValidation operator="equal" allowBlank="1" showErrorMessage="1" errorTitle="Ошибка" error="Вы должны ввести целое число" sqref="B63448:L63448">
      <formula1>0</formula1>
      <formula2>0</formula2>
    </dataValidation>
    <dataValidation type="list" allowBlank="1" showInputMessage="1" showErrorMessage="1" sqref="K12:K32">
      <formula1>_6001</formula1>
    </dataValidation>
    <dataValidation type="list" allowBlank="1" showInputMessage="1" showErrorMessage="1" sqref="P12:P32">
      <formula1>IF(RIGHT(LEFT(E12,5),1)="1",_2310_товары,_2310_услуги)</formula1>
    </dataValidation>
  </dataValidations>
  <hyperlinks>
    <hyperlink ref="O5" location="Содержание!A1" display="Содержание"/>
  </hyperlinks>
  <pageMargins left="0.70866141732283472" right="0.70866141732283472" top="0.74803149606299213" bottom="0.74803149606299213" header="0.31496062992125984" footer="0.31496062992125984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04" r:id="rId4" name="Button 4">
              <controlPr defaultSize="0" print="0" autoFill="0" autoPict="0" macro="[0]!AddButtonsRowAdd">
                <anchor moveWithCells="1">
                  <from>
                    <xdr:col>11</xdr:col>
                    <xdr:colOff>222250</xdr:colOff>
                    <xdr:row>3</xdr:row>
                    <xdr:rowOff>69850</xdr:rowOff>
                  </from>
                  <to>
                    <xdr:col>11</xdr:col>
                    <xdr:colOff>1670050</xdr:colOff>
                    <xdr:row>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327"/>
  <sheetViews>
    <sheetView topLeftCell="A325" zoomScale="69" zoomScaleNormal="69" workbookViewId="0">
      <selection activeCell="F326" sqref="F326"/>
    </sheetView>
  </sheetViews>
  <sheetFormatPr defaultRowHeight="14.5"/>
  <cols>
    <col min="1" max="1" width="9.54296875" customWidth="1"/>
    <col min="2" max="2" width="8.81640625" style="2857" customWidth="1"/>
    <col min="3" max="3" width="14.453125" style="2857" customWidth="1"/>
    <col min="4" max="4" width="16.7265625" style="2857" customWidth="1"/>
    <col min="5" max="5" width="24.90625" style="2857" customWidth="1"/>
    <col min="6" max="6" width="80.81640625" style="2857" customWidth="1"/>
    <col min="7" max="7" width="35.81640625" style="2857" customWidth="1"/>
    <col min="8" max="8" width="26.81640625" style="2857" customWidth="1"/>
    <col min="9" max="9" width="82.54296875" style="101" customWidth="1"/>
    <col min="10" max="10" width="22.54296875" style="2857" customWidth="1"/>
  </cols>
  <sheetData>
    <row r="1" spans="1:10" ht="20.25" hidden="1" customHeight="1">
      <c r="A1" s="2498"/>
      <c r="B1" s="2499"/>
      <c r="C1" s="2499"/>
      <c r="D1" s="2499"/>
      <c r="E1" s="2499"/>
      <c r="F1" s="2500"/>
      <c r="G1" s="2501"/>
      <c r="H1" s="2499"/>
      <c r="J1" s="2830" t="s">
        <v>1436</v>
      </c>
    </row>
    <row r="2" spans="1:10">
      <c r="A2" s="2502"/>
      <c r="B2" s="2502"/>
      <c r="C2" s="2502"/>
      <c r="D2" s="2502"/>
      <c r="E2" s="2502"/>
      <c r="F2" s="2503"/>
      <c r="G2" s="2504"/>
      <c r="H2" s="2502"/>
    </row>
    <row r="3" spans="1:10">
      <c r="A3" s="2502"/>
      <c r="B3" s="2" t="s">
        <v>1436</v>
      </c>
      <c r="G3" s="2858"/>
      <c r="H3" s="2502"/>
    </row>
    <row r="4" spans="1:10" ht="46.5">
      <c r="A4" s="2502"/>
      <c r="B4" s="2860" t="s">
        <v>7110</v>
      </c>
      <c r="C4" s="2860" t="s">
        <v>7111</v>
      </c>
      <c r="D4" s="2860" t="s">
        <v>7112</v>
      </c>
      <c r="E4" s="2860" t="s">
        <v>7113</v>
      </c>
      <c r="F4" s="2581" t="s">
        <v>7114</v>
      </c>
      <c r="G4" s="2860" t="s">
        <v>7115</v>
      </c>
      <c r="H4" s="2860" t="s">
        <v>7492</v>
      </c>
      <c r="I4" s="2860" t="s">
        <v>8672</v>
      </c>
      <c r="J4" s="2859" t="s">
        <v>7513</v>
      </c>
    </row>
    <row r="5" spans="1:10" s="2516" customFormat="1" ht="15" customHeight="1">
      <c r="A5" s="2502"/>
      <c r="B5" s="2582"/>
      <c r="C5" s="2582"/>
      <c r="D5" s="2582"/>
      <c r="E5" s="2582"/>
      <c r="F5" s="2583"/>
      <c r="G5" s="2582"/>
      <c r="H5" s="2582"/>
      <c r="I5" s="2582"/>
      <c r="J5" s="2582"/>
    </row>
    <row r="6" spans="1:10" ht="13.5" customHeight="1">
      <c r="A6" t="s">
        <v>2903</v>
      </c>
      <c r="B6" s="2940" t="s">
        <v>14349</v>
      </c>
      <c r="C6" s="2506"/>
      <c r="D6" s="2746"/>
      <c r="E6" s="2507"/>
      <c r="F6" s="2507"/>
      <c r="G6" s="2508"/>
      <c r="H6" s="2508"/>
      <c r="I6" s="2585"/>
      <c r="J6" s="3437"/>
    </row>
    <row r="7" spans="1:10" ht="138">
      <c r="B7" s="2505">
        <v>1</v>
      </c>
      <c r="C7" s="2506">
        <v>44573</v>
      </c>
      <c r="D7" s="2746" t="s">
        <v>2085</v>
      </c>
      <c r="E7" s="2507" t="s">
        <v>14234</v>
      </c>
      <c r="F7" s="2507" t="s">
        <v>14514</v>
      </c>
      <c r="G7" s="2508" t="s">
        <v>8722</v>
      </c>
      <c r="H7" s="2508" t="s">
        <v>14351</v>
      </c>
      <c r="I7" s="2585" t="str">
        <f>IF(ISNA(VLOOKUP($D7,Справочник!DK:DM,3,0)),"-",VLOOKUP($D7,Справочник!DK:DM,3,0))</f>
        <v>Козлов Николай Викторович  NiVKozlov@rosatom.ru  (499) 949-47-02</v>
      </c>
    </row>
    <row r="8" spans="1:10" ht="26">
      <c r="B8" s="2505">
        <v>2</v>
      </c>
      <c r="C8" s="2506">
        <v>44573</v>
      </c>
      <c r="D8" s="2746" t="s">
        <v>7502</v>
      </c>
      <c r="E8" s="3439" t="s">
        <v>10033</v>
      </c>
      <c r="F8" s="2507" t="s">
        <v>14350</v>
      </c>
      <c r="G8" s="2508" t="s">
        <v>8722</v>
      </c>
      <c r="H8" s="2508" t="s">
        <v>14355</v>
      </c>
      <c r="I8" s="2585" t="str">
        <f>IF(ISNA(VLOOKUP($D8,Справочник!DK:DM,3,0)),"-",VLOOKUP($D8,Справочник!DK:DM,3,0))</f>
        <v>Козлов Николай Викторович  NiVKozlov@rosatom.ru  (499) 949-47-02</v>
      </c>
    </row>
    <row r="9" spans="1:10" ht="100">
      <c r="B9" s="2505">
        <v>3</v>
      </c>
      <c r="C9" s="2506">
        <v>44573</v>
      </c>
      <c r="D9" s="2746" t="s">
        <v>3430</v>
      </c>
      <c r="E9" s="3149" t="s">
        <v>10036</v>
      </c>
      <c r="F9" s="2507" t="s">
        <v>14356</v>
      </c>
      <c r="G9" s="2508" t="s">
        <v>8722</v>
      </c>
      <c r="H9" s="2508" t="s">
        <v>14355</v>
      </c>
      <c r="I9" s="2585" t="str">
        <f>IF(ISNA(VLOOKUP($D9,Справочник!DK:DM,3,0)),"-",VLOOKUP($D9,Справочник!DK:DM,3,0))</f>
        <v>Новик Екатерина Михайловна &lt;EMNovik@rosatom.ru&gt;  (499) 949-27-01</v>
      </c>
    </row>
    <row r="10" spans="1:10" s="3437" customFormat="1" ht="88">
      <c r="B10" s="2505">
        <v>2</v>
      </c>
      <c r="C10" s="2506">
        <v>44573</v>
      </c>
      <c r="D10" s="2746" t="s">
        <v>7502</v>
      </c>
      <c r="E10" s="3439" t="s">
        <v>10033</v>
      </c>
      <c r="F10" s="2507" t="s">
        <v>14361</v>
      </c>
      <c r="G10" s="2508" t="s">
        <v>8722</v>
      </c>
      <c r="H10" s="2508" t="s">
        <v>14355</v>
      </c>
      <c r="I10" s="2585" t="str">
        <f>IF(ISNA(VLOOKUP($D10,Справочник!DK:DM,3,0)),"-",VLOOKUP($D10,Справочник!DK:DM,3,0))</f>
        <v>Козлов Николай Викторович  NiVKozlov@rosatom.ru  (499) 949-47-02</v>
      </c>
    </row>
    <row r="11" spans="1:10" ht="75">
      <c r="B11" s="2505">
        <v>4</v>
      </c>
      <c r="C11" s="2506">
        <v>44573</v>
      </c>
      <c r="D11" s="2746">
        <v>14</v>
      </c>
      <c r="E11" s="3149" t="s">
        <v>10036</v>
      </c>
      <c r="F11" s="2507" t="s">
        <v>14360</v>
      </c>
      <c r="G11" s="2508" t="s">
        <v>8722</v>
      </c>
      <c r="H11" s="2508" t="s">
        <v>14355</v>
      </c>
      <c r="I11" s="2585" t="str">
        <f>IF(ISNA(VLOOKUP($D11,Справочник!DK:DM,3,0)),"-",VLOOKUP($D11,Справочник!DK:DM,3,0))</f>
        <v>Малахай Виктория Николаевна  VNMalakhay@rosatom.ru  (499) 949-48-22</v>
      </c>
    </row>
    <row r="12" spans="1:10" ht="75">
      <c r="B12" s="2505">
        <v>5</v>
      </c>
      <c r="C12" s="2506">
        <v>44573</v>
      </c>
      <c r="D12" s="2746">
        <v>15</v>
      </c>
      <c r="E12" s="3149" t="s">
        <v>10036</v>
      </c>
      <c r="F12" s="2507" t="s">
        <v>14360</v>
      </c>
      <c r="G12" s="2508" t="s">
        <v>8722</v>
      </c>
      <c r="H12" s="2508" t="s">
        <v>14355</v>
      </c>
      <c r="I12" s="2585" t="str">
        <f>IF(ISNA(VLOOKUP($D12,Справочник!DK:DM,3,0)),"-",VLOOKUP($D12,Справочник!DK:DM,3,0))</f>
        <v>Малахай Виктория Николаевна  VNMalakhay@rosatom.ru  (499) 949-48-22</v>
      </c>
    </row>
    <row r="13" spans="1:10" ht="75">
      <c r="B13" s="2505">
        <v>6</v>
      </c>
      <c r="C13" s="2506">
        <v>44573</v>
      </c>
      <c r="D13" s="2746">
        <v>16</v>
      </c>
      <c r="E13" s="3149" t="s">
        <v>10036</v>
      </c>
      <c r="F13" s="2507" t="s">
        <v>14360</v>
      </c>
      <c r="G13" s="2508" t="s">
        <v>8722</v>
      </c>
      <c r="H13" s="2508" t="s">
        <v>14355</v>
      </c>
      <c r="I13" s="2585" t="str">
        <f>IF(ISNA(VLOOKUP($D13,Справочник!DK:DM,3,0)),"-",VLOOKUP($D13,Справочник!DK:DM,3,0))</f>
        <v>Малахай Виктория Николаевна  VNMalakhay@rosatom.ru  (499) 949-48-22</v>
      </c>
    </row>
    <row r="14" spans="1:10" ht="26">
      <c r="B14" s="2505">
        <v>7</v>
      </c>
      <c r="C14" s="2506">
        <v>44573</v>
      </c>
      <c r="D14" s="2746" t="s">
        <v>7502</v>
      </c>
      <c r="E14" s="3439" t="s">
        <v>10033</v>
      </c>
      <c r="F14" s="2507" t="s">
        <v>10085</v>
      </c>
      <c r="G14" s="2508" t="s">
        <v>8722</v>
      </c>
      <c r="H14" s="2508" t="s">
        <v>14355</v>
      </c>
      <c r="I14" s="2585" t="str">
        <f>IF(ISNA(VLOOKUP($D14,Справочник!DK:DM,3,0)),"-",VLOOKUP($D14,Справочник!DK:DM,3,0))</f>
        <v>Козлов Николай Викторович  NiVKozlov@rosatom.ru  (499) 949-47-02</v>
      </c>
    </row>
    <row r="15" spans="1:10" ht="26">
      <c r="B15" s="2505">
        <v>8</v>
      </c>
      <c r="C15" s="2506">
        <v>44573</v>
      </c>
      <c r="D15" s="2746" t="s">
        <v>7502</v>
      </c>
      <c r="E15" s="3439" t="s">
        <v>10033</v>
      </c>
      <c r="F15" s="2507" t="s">
        <v>10094</v>
      </c>
      <c r="G15" s="2508" t="s">
        <v>8722</v>
      </c>
      <c r="H15" s="2508" t="s">
        <v>14355</v>
      </c>
      <c r="I15" s="2585" t="str">
        <f>IF(ISNA(VLOOKUP($D15,Справочник!DK:DM,3,0)),"-",VLOOKUP($D15,Справочник!DK:DM,3,0))</f>
        <v>Козлов Николай Викторович  NiVKozlov@rosatom.ru  (499) 949-47-02</v>
      </c>
    </row>
    <row r="16" spans="1:10" ht="26">
      <c r="B16" s="2505">
        <v>9</v>
      </c>
      <c r="C16" s="2506">
        <v>44573</v>
      </c>
      <c r="D16" s="2746" t="s">
        <v>7502</v>
      </c>
      <c r="E16" s="3439" t="s">
        <v>10033</v>
      </c>
      <c r="F16" s="2507" t="s">
        <v>14465</v>
      </c>
      <c r="G16" s="2508" t="s">
        <v>8722</v>
      </c>
      <c r="H16" s="2508" t="s">
        <v>14355</v>
      </c>
      <c r="I16" s="2585" t="str">
        <f>IF(ISNA(VLOOKUP($D16,Справочник!DK:DM,3,0)),"-",VLOOKUP($D16,Справочник!DK:DM,3,0))</f>
        <v>Козлов Николай Викторович  NiVKozlov@rosatom.ru  (499) 949-47-02</v>
      </c>
    </row>
    <row r="17" spans="2:9" ht="26">
      <c r="B17" s="2505">
        <v>10</v>
      </c>
      <c r="C17" s="2506">
        <v>44573</v>
      </c>
      <c r="D17" s="2746" t="s">
        <v>7502</v>
      </c>
      <c r="E17" s="3439" t="s">
        <v>10033</v>
      </c>
      <c r="F17" s="2507" t="s">
        <v>10096</v>
      </c>
      <c r="G17" s="2508" t="s">
        <v>8722</v>
      </c>
      <c r="H17" s="2508" t="s">
        <v>14355</v>
      </c>
      <c r="I17" s="2585" t="str">
        <f>IF(ISNA(VLOOKUP($D17,Справочник!DK:DM,3,0)),"-",VLOOKUP($D17,Справочник!DK:DM,3,0))</f>
        <v>Козлов Николай Викторович  NiVKozlov@rosatom.ru  (499) 949-47-02</v>
      </c>
    </row>
    <row r="18" spans="2:9" ht="26">
      <c r="B18" s="2505">
        <v>11</v>
      </c>
      <c r="C18" s="2506">
        <v>44573</v>
      </c>
      <c r="D18" s="2746" t="s">
        <v>7502</v>
      </c>
      <c r="E18" s="3439" t="s">
        <v>10033</v>
      </c>
      <c r="F18" s="2507" t="s">
        <v>14476</v>
      </c>
      <c r="G18" s="2508" t="s">
        <v>8722</v>
      </c>
      <c r="H18" s="2508" t="s">
        <v>14355</v>
      </c>
      <c r="I18" s="2585" t="str">
        <f>IF(ISNA(VLOOKUP($D18,Справочник!DK:DM,3,0)),"-",VLOOKUP($D18,Справочник!DK:DM,3,0))</f>
        <v>Козлов Николай Викторович  NiVKozlov@rosatom.ru  (499) 949-47-02</v>
      </c>
    </row>
    <row r="19" spans="2:9" ht="50.5">
      <c r="B19" s="2505">
        <v>12</v>
      </c>
      <c r="C19" s="2506">
        <v>44573</v>
      </c>
      <c r="D19" s="2746" t="s">
        <v>3432</v>
      </c>
      <c r="E19" s="3149" t="s">
        <v>10036</v>
      </c>
      <c r="F19" s="2507" t="s">
        <v>14505</v>
      </c>
      <c r="G19" s="2508" t="s">
        <v>8722</v>
      </c>
      <c r="H19" s="2508" t="s">
        <v>14355</v>
      </c>
      <c r="I19" s="2585" t="str">
        <f>IF(ISNA(VLOOKUP($D19,Справочник!DK:DM,3,0)),"-",VLOOKUP($D19,Справочник!DK:DM,3,0))</f>
        <v>Денисова Ольга Александровна  OAlDenisova@rosatom.ru  (499) 949-41-89</v>
      </c>
    </row>
    <row r="20" spans="2:9" ht="50.5">
      <c r="B20" s="2505">
        <v>13</v>
      </c>
      <c r="C20" s="2506">
        <v>44573</v>
      </c>
      <c r="D20" s="2746">
        <v>77</v>
      </c>
      <c r="E20" s="3149" t="s">
        <v>10036</v>
      </c>
      <c r="F20" s="2507" t="s">
        <v>14506</v>
      </c>
      <c r="G20" s="2508" t="s">
        <v>8722</v>
      </c>
      <c r="H20" s="2508" t="s">
        <v>14355</v>
      </c>
      <c r="I20" s="2585" t="str">
        <f>IF(ISNA(VLOOKUP($D20,Справочник!DK:DM,3,0)),"-",VLOOKUP($D20,Справочник!DK:DM,3,0))</f>
        <v>Денисова Ольга Александровна  OAlDenisova@rosatom.ru  (499) 949-41-89</v>
      </c>
    </row>
    <row r="21" spans="2:9" ht="63.5">
      <c r="B21" s="2505">
        <v>14</v>
      </c>
      <c r="C21" s="2506">
        <v>44574</v>
      </c>
      <c r="D21" s="2746" t="s">
        <v>7888</v>
      </c>
      <c r="E21" s="3149" t="s">
        <v>10036</v>
      </c>
      <c r="F21" s="2507" t="s">
        <v>14507</v>
      </c>
      <c r="G21" s="2508" t="s">
        <v>8722</v>
      </c>
      <c r="H21" s="2508" t="s">
        <v>14504</v>
      </c>
      <c r="I21" s="2585" t="str">
        <f>IF(ISNA(VLOOKUP($D21,Справочник!DK:DM,3,0)),"-",VLOOKUP($D21,Справочник!DK:DM,3,0))</f>
        <v>Новик Екатерина Михайловна &lt;EMNovik@rosatom.ru&gt;  (499) 949-27-01</v>
      </c>
    </row>
    <row r="22" spans="2:9" ht="38">
      <c r="B22" s="2505">
        <v>15</v>
      </c>
      <c r="C22" s="2506">
        <v>44574</v>
      </c>
      <c r="D22" s="2746" t="s">
        <v>14511</v>
      </c>
      <c r="E22" s="3149" t="s">
        <v>10036</v>
      </c>
      <c r="F22" s="2507" t="s">
        <v>14509</v>
      </c>
      <c r="G22" s="2508" t="s">
        <v>8722</v>
      </c>
      <c r="H22" s="2508" t="s">
        <v>14504</v>
      </c>
      <c r="I22" s="2585" t="str">
        <f>IF(ISNA(VLOOKUP($D22,Справочник!DK:DM,3,0)),"-",VLOOKUP($D22,Справочник!DK:DM,3,0))</f>
        <v>Малахай Виктория Николаевна  VNMalakhay@rosatom.ru  (499) 949-48-22</v>
      </c>
    </row>
    <row r="23" spans="2:9" ht="38">
      <c r="B23" s="2505">
        <v>16</v>
      </c>
      <c r="C23" s="2506">
        <v>44574</v>
      </c>
      <c r="D23" s="2746" t="s">
        <v>14511</v>
      </c>
      <c r="E23" s="3149" t="s">
        <v>10036</v>
      </c>
      <c r="F23" s="2507" t="s">
        <v>14510</v>
      </c>
      <c r="G23" s="2508" t="s">
        <v>8722</v>
      </c>
      <c r="H23" s="2508" t="s">
        <v>14504</v>
      </c>
      <c r="I23" s="2585" t="str">
        <f>IF(ISNA(VLOOKUP($D23,Справочник!DK:DM,3,0)),"-",VLOOKUP($D23,Справочник!DK:DM,3,0))</f>
        <v>Малахай Виктория Николаевна  VNMalakhay@rosatom.ru  (499) 949-48-22</v>
      </c>
    </row>
    <row r="24" spans="2:9" ht="25.5">
      <c r="B24" s="2505">
        <v>17</v>
      </c>
      <c r="C24" s="2506">
        <v>44574</v>
      </c>
      <c r="D24" s="2746" t="s">
        <v>2085</v>
      </c>
      <c r="E24" s="2507" t="s">
        <v>14234</v>
      </c>
      <c r="F24" s="2507" t="s">
        <v>14515</v>
      </c>
      <c r="G24" s="2508" t="s">
        <v>8722</v>
      </c>
      <c r="H24" s="2508"/>
      <c r="I24" s="2585" t="str">
        <f>IF(ISNA(VLOOKUP($D24,Справочник!DK:DM,3,0)),"-",VLOOKUP($D24,Справочник!DK:DM,3,0))</f>
        <v>Козлов Николай Викторович  NiVKozlov@rosatom.ru  (499) 949-47-02</v>
      </c>
    </row>
    <row r="25" spans="2:9" ht="38">
      <c r="B25" s="2505">
        <v>18</v>
      </c>
      <c r="C25" s="2506">
        <v>44574</v>
      </c>
      <c r="D25" s="2746">
        <v>84</v>
      </c>
      <c r="E25" s="3149" t="s">
        <v>14516</v>
      </c>
      <c r="F25" s="3457" t="s">
        <v>14517</v>
      </c>
      <c r="G25" s="2508" t="s">
        <v>8722</v>
      </c>
      <c r="H25" s="2508" t="s">
        <v>14355</v>
      </c>
      <c r="I25" s="2585" t="str">
        <f>IF(ISNA(VLOOKUP($D25,Справочник!DK:DM,3,0)),"-",VLOOKUP($D25,Справочник!DK:DM,3,0))</f>
        <v>Храмченко Светлана Игоревна SIKhramchenko@rosatom.ru  (499) 949-4193</v>
      </c>
    </row>
    <row r="26" spans="2:9" ht="33" customHeight="1">
      <c r="B26" s="2505">
        <v>19</v>
      </c>
      <c r="C26" s="2506">
        <v>44578</v>
      </c>
      <c r="D26" s="2746" t="s">
        <v>3525</v>
      </c>
      <c r="E26" s="2507" t="s">
        <v>14534</v>
      </c>
      <c r="F26" s="2746" t="s">
        <v>14542</v>
      </c>
      <c r="G26" s="2508" t="s">
        <v>8722</v>
      </c>
      <c r="H26" s="2508" t="s">
        <v>14504</v>
      </c>
      <c r="I26" s="2585" t="str">
        <f>IF(ISNA(VLOOKUP($D26,Справочник!DK:DM,3,0)),"-",VLOOKUP($D26,Справочник!DK:DM,3,0))</f>
        <v>Храмченко Светлана Игоревна SIKhramchenko@rosatom.ru  (499) 949-4193</v>
      </c>
    </row>
    <row r="27" spans="2:9" ht="36" customHeight="1">
      <c r="B27" s="2505">
        <v>20</v>
      </c>
      <c r="C27" s="2506">
        <v>44578</v>
      </c>
      <c r="D27" s="2746" t="s">
        <v>3525</v>
      </c>
      <c r="E27" s="2507" t="s">
        <v>14534</v>
      </c>
      <c r="F27" s="2746" t="s">
        <v>14538</v>
      </c>
      <c r="G27" s="2508" t="s">
        <v>8722</v>
      </c>
      <c r="H27" s="2508" t="s">
        <v>14504</v>
      </c>
      <c r="I27" s="2585" t="str">
        <f>IF(ISNA(VLOOKUP($D27,Справочник!DK:DM,3,0)),"-",VLOOKUP($D27,Справочник!DK:DM,3,0))</f>
        <v>Храмченко Светлана Игоревна SIKhramchenko@rosatom.ru  (499) 949-4193</v>
      </c>
    </row>
    <row r="28" spans="2:9" ht="29.9" customHeight="1">
      <c r="B28" s="2505">
        <v>21</v>
      </c>
      <c r="C28" s="2506">
        <v>44578</v>
      </c>
      <c r="D28" s="2746" t="s">
        <v>5436</v>
      </c>
      <c r="E28" s="2507" t="s">
        <v>14534</v>
      </c>
      <c r="F28" s="2746" t="s">
        <v>14537</v>
      </c>
      <c r="G28" s="2508" t="s">
        <v>8722</v>
      </c>
      <c r="H28" s="2508" t="s">
        <v>14504</v>
      </c>
      <c r="I28" s="2585" t="str">
        <f>IF(ISNA(VLOOKUP($D28,Справочник!DK:DM,3,0)),"-",VLOOKUP($D28,Справочник!DK:DM,3,0))</f>
        <v>Храмченко Светлана Игоревна SIKhramchenko@rosatom.ru  (499) 949-4193</v>
      </c>
    </row>
    <row r="29" spans="2:9" ht="88">
      <c r="B29" s="2505">
        <v>22</v>
      </c>
      <c r="C29" s="2506">
        <v>44579</v>
      </c>
      <c r="D29" s="2746" t="s">
        <v>3405</v>
      </c>
      <c r="E29" s="3149" t="s">
        <v>10036</v>
      </c>
      <c r="F29" s="2507" t="s">
        <v>14553</v>
      </c>
      <c r="G29" s="2508" t="s">
        <v>8722</v>
      </c>
      <c r="H29" s="2508" t="s">
        <v>14504</v>
      </c>
      <c r="I29" s="2585" t="str">
        <f>IF(ISNA(VLOOKUP($D29,Справочник!DK:DM,3,0)),"-",VLOOKUP($D29,Справочник!DK:DM,3,0))</f>
        <v>Новик Екатерина Михайловна &lt;EMNovik@rosatom.ru&gt;  (499) 949-27-01</v>
      </c>
    </row>
    <row r="30" spans="2:9" ht="88">
      <c r="B30" s="2505">
        <v>23</v>
      </c>
      <c r="C30" s="2506">
        <v>44579</v>
      </c>
      <c r="D30" s="2746" t="s">
        <v>3407</v>
      </c>
      <c r="E30" s="3149" t="s">
        <v>10036</v>
      </c>
      <c r="F30" s="2507" t="s">
        <v>14566</v>
      </c>
      <c r="G30" s="2508" t="s">
        <v>8722</v>
      </c>
      <c r="H30" s="2508" t="s">
        <v>14504</v>
      </c>
      <c r="I30" s="2585" t="str">
        <f>IF(ISNA(VLOOKUP($D30,Справочник!DK:DM,3,0)),"-",VLOOKUP($D30,Справочник!DK:DM,3,0))</f>
        <v>Новик Екатерина Михайловна &lt;EMNovik@rosatom.ru&gt;  (499) 949-27-01</v>
      </c>
    </row>
    <row r="31" spans="2:9" ht="25">
      <c r="B31" s="2505">
        <v>24</v>
      </c>
      <c r="C31" s="2506">
        <v>44579</v>
      </c>
      <c r="D31" s="2746" t="s">
        <v>2088</v>
      </c>
      <c r="E31" s="3476" t="s">
        <v>14555</v>
      </c>
      <c r="F31" s="3457" t="s">
        <v>14556</v>
      </c>
      <c r="G31" s="2508" t="s">
        <v>8722</v>
      </c>
      <c r="H31" s="2508" t="s">
        <v>14504</v>
      </c>
      <c r="I31" s="2585" t="str">
        <f>IF(ISNA(VLOOKUP($D31,Справочник!DK:DM,3,0)),"-",VLOOKUP($D31,Справочник!DK:DM,3,0))</f>
        <v>Андреев Сергей Евгеньевич  SeEAndreev@rosatom.ru  (499) 949-44-84</v>
      </c>
    </row>
    <row r="32" spans="2:9" ht="88.5">
      <c r="B32" s="2505">
        <v>25</v>
      </c>
      <c r="C32" s="2506">
        <v>44580</v>
      </c>
      <c r="D32" s="2746" t="s">
        <v>3407</v>
      </c>
      <c r="E32" s="3149" t="s">
        <v>10036</v>
      </c>
      <c r="F32" s="2507" t="s">
        <v>14669</v>
      </c>
      <c r="G32" s="2508" t="s">
        <v>8722</v>
      </c>
      <c r="H32" s="2508" t="s">
        <v>14504</v>
      </c>
      <c r="I32" s="2585" t="str">
        <f>IF(ISNA(VLOOKUP($D32,Справочник!DK:DM,3,0)),"-",VLOOKUP($D32,Справочник!DK:DM,3,0))</f>
        <v>Новик Екатерина Михайловна &lt;EMNovik@rosatom.ru&gt;  (499) 949-27-01</v>
      </c>
    </row>
    <row r="33" spans="2:9" ht="52">
      <c r="B33" s="2505">
        <v>26</v>
      </c>
      <c r="C33" s="2506">
        <v>44582</v>
      </c>
      <c r="D33" s="2746" t="s">
        <v>220</v>
      </c>
      <c r="E33" s="2507" t="s">
        <v>14567</v>
      </c>
      <c r="F33" s="2507" t="s">
        <v>14569</v>
      </c>
      <c r="G33" s="2508" t="s">
        <v>8722</v>
      </c>
      <c r="H33" s="2508" t="s">
        <v>14568</v>
      </c>
      <c r="I33" s="2585" t="str">
        <f>IF(ISNA(VLOOKUP($D33,Справочник!DK:DM,3,0)),"-",VLOOKUP($D33,Справочник!DK:DM,3,0))</f>
        <v>Андреев Сергей Евгеньевич  SeEAndreev@rosatom.ru  (499) 949-44-84</v>
      </c>
    </row>
    <row r="34" spans="2:9" ht="55.4" customHeight="1">
      <c r="B34" s="2505">
        <v>27</v>
      </c>
      <c r="C34" s="2506">
        <v>44582</v>
      </c>
      <c r="D34" s="2746" t="s">
        <v>14570</v>
      </c>
      <c r="E34" s="3149" t="s">
        <v>10036</v>
      </c>
      <c r="F34" s="2507" t="s">
        <v>14571</v>
      </c>
      <c r="G34" s="2508" t="s">
        <v>8722</v>
      </c>
      <c r="H34" s="2508" t="s">
        <v>14504</v>
      </c>
      <c r="I34" s="2585" t="str">
        <f>IF(ISNA(VLOOKUP($D34,Справочник!DK:DM,3,0)),"-",VLOOKUP($D34,Справочник!DK:DM,3,0))</f>
        <v>-</v>
      </c>
    </row>
    <row r="35" spans="2:9" ht="53.15" customHeight="1">
      <c r="B35" s="2505">
        <v>28</v>
      </c>
      <c r="C35" s="2506">
        <v>44582</v>
      </c>
      <c r="D35" s="2746" t="s">
        <v>9877</v>
      </c>
      <c r="E35" s="3149" t="s">
        <v>10036</v>
      </c>
      <c r="F35" s="3480" t="s">
        <v>14573</v>
      </c>
      <c r="G35" s="2508" t="s">
        <v>8722</v>
      </c>
      <c r="H35" s="2508" t="s">
        <v>14504</v>
      </c>
      <c r="I35" s="2585">
        <f>IF(ISNA(VLOOKUP($D35,Справочник!DK:DM,3,0)),"-",VLOOKUP($D35,Справочник!DK:DM,3,0))</f>
        <v>0</v>
      </c>
    </row>
    <row r="36" spans="2:9" ht="26">
      <c r="B36" s="2505">
        <v>29</v>
      </c>
      <c r="C36" s="2506">
        <v>44582</v>
      </c>
      <c r="D36" s="2746" t="s">
        <v>14570</v>
      </c>
      <c r="E36" s="3149" t="s">
        <v>14576</v>
      </c>
      <c r="F36" s="2507" t="s">
        <v>14577</v>
      </c>
      <c r="G36" s="2508" t="s">
        <v>8722</v>
      </c>
      <c r="H36" s="2508" t="s">
        <v>14504</v>
      </c>
      <c r="I36" s="2585" t="str">
        <f>IF(ISNA(VLOOKUP($D36,Справочник!DK:DM,3,0)),"-",VLOOKUP($D36,Справочник!DK:DM,3,0))</f>
        <v>-</v>
      </c>
    </row>
    <row r="37" spans="2:9" ht="51.5">
      <c r="B37" s="2505">
        <v>30</v>
      </c>
      <c r="C37" s="2506">
        <v>44582</v>
      </c>
      <c r="D37" s="2746" t="s">
        <v>9877</v>
      </c>
      <c r="E37" s="2507" t="s">
        <v>14567</v>
      </c>
      <c r="F37" s="3480" t="s">
        <v>14580</v>
      </c>
      <c r="G37" s="2508" t="s">
        <v>8722</v>
      </c>
      <c r="H37" s="2508" t="s">
        <v>14504</v>
      </c>
      <c r="I37" s="2585">
        <f>IF(ISNA(VLOOKUP($D37,Справочник!DK:DM,3,0)),"-",VLOOKUP($D37,Справочник!DK:DM,3,0))</f>
        <v>0</v>
      </c>
    </row>
    <row r="38" spans="2:9" s="3477" customFormat="1">
      <c r="B38" s="2505">
        <v>31</v>
      </c>
      <c r="C38" s="2506">
        <v>44582</v>
      </c>
      <c r="D38" s="2746" t="s">
        <v>3407</v>
      </c>
      <c r="E38" s="2507" t="s">
        <v>14567</v>
      </c>
      <c r="F38" s="3480" t="s">
        <v>14581</v>
      </c>
      <c r="G38" s="2508" t="s">
        <v>8722</v>
      </c>
      <c r="H38" s="2508" t="s">
        <v>14504</v>
      </c>
      <c r="I38" s="2585" t="str">
        <f>IF(ISNA(VLOOKUP($D38,Справочник!DK:DM,3,0)),"-",VLOOKUP($D38,Справочник!DK:DM,3,0))</f>
        <v>Новик Екатерина Михайловна &lt;EMNovik@rosatom.ru&gt;  (499) 949-27-01</v>
      </c>
    </row>
    <row r="39" spans="2:9" s="3484" customFormat="1" ht="73.5" customHeight="1">
      <c r="B39" s="2505">
        <v>32</v>
      </c>
      <c r="C39" s="2506">
        <v>44582</v>
      </c>
      <c r="D39" s="2746" t="s">
        <v>5264</v>
      </c>
      <c r="E39" s="2507" t="s">
        <v>14567</v>
      </c>
      <c r="F39" s="2507" t="s">
        <v>14584</v>
      </c>
      <c r="G39" s="2508" t="s">
        <v>8722</v>
      </c>
      <c r="H39" s="2508" t="s">
        <v>14585</v>
      </c>
      <c r="I39" s="2585" t="str">
        <f>IF(ISNA(VLOOKUP($D39,Справочник!DK:DM,3,0)),"-",VLOOKUP($D39,Справочник!DK:DM,3,0))</f>
        <v>Гуров Александр Анатольевич AAGurov@rosatom.ru  (499) 949-41-27</v>
      </c>
    </row>
    <row r="40" spans="2:9" ht="37.5">
      <c r="B40" s="2505">
        <v>33</v>
      </c>
      <c r="C40" s="2506">
        <v>44585</v>
      </c>
      <c r="D40" s="2746" t="s">
        <v>223</v>
      </c>
      <c r="E40" s="3149" t="s">
        <v>10036</v>
      </c>
      <c r="F40" s="2507" t="s">
        <v>14587</v>
      </c>
      <c r="G40" s="2508" t="s">
        <v>8722</v>
      </c>
      <c r="H40" s="2508" t="s">
        <v>14588</v>
      </c>
      <c r="I40" s="2585" t="str">
        <f>IF(ISNA(VLOOKUP($D40,Справочник!DK:DM,3,0)),"-",VLOOKUP($D40,Справочник!DK:DM,3,0))</f>
        <v>Денисова Ольга Александровна  OAlDenisova@rosatom.ru  (499) 949-41-89</v>
      </c>
    </row>
    <row r="41" spans="2:9" s="3485" customFormat="1" ht="25">
      <c r="B41" s="2505">
        <v>34</v>
      </c>
      <c r="C41" s="2506">
        <v>44585</v>
      </c>
      <c r="D41" s="2746">
        <v>96</v>
      </c>
      <c r="E41" s="2507" t="s">
        <v>14567</v>
      </c>
      <c r="F41" s="2507" t="s">
        <v>14654</v>
      </c>
      <c r="G41" s="2508" t="s">
        <v>8722</v>
      </c>
      <c r="H41" s="2508" t="s">
        <v>14589</v>
      </c>
      <c r="I41" s="2585" t="str">
        <f>IF(ISNA(VLOOKUP($D41,Справочник!DK:DM,3,0)),"-",VLOOKUP($D41,Справочник!DK:DM,3,0))</f>
        <v>Гуров Александр Анатольевич AAGurov@rosatom.ru  (499) 949-41-27</v>
      </c>
    </row>
    <row r="42" spans="2:9" ht="37.5">
      <c r="B42" s="2505">
        <v>35</v>
      </c>
      <c r="C42" s="2506">
        <v>44586</v>
      </c>
      <c r="D42" s="2746">
        <v>96</v>
      </c>
      <c r="E42" s="2507" t="s">
        <v>14567</v>
      </c>
      <c r="F42" s="2507" t="s">
        <v>14591</v>
      </c>
      <c r="G42" s="2508" t="s">
        <v>8722</v>
      </c>
      <c r="H42" s="2508" t="s">
        <v>14585</v>
      </c>
      <c r="I42" s="2585" t="str">
        <f>IF(ISNA(VLOOKUP($D42,Справочник!DK:DM,3,0)),"-",VLOOKUP($D42,Справочник!DK:DM,3,0))</f>
        <v>Гуров Александр Анатольевич AAGurov@rosatom.ru  (499) 949-41-27</v>
      </c>
    </row>
    <row r="43" spans="2:9" ht="26.9" customHeight="1">
      <c r="B43" s="2505">
        <v>36</v>
      </c>
      <c r="C43" s="2506">
        <v>44587</v>
      </c>
      <c r="D43" s="2746" t="s">
        <v>5264</v>
      </c>
      <c r="E43" s="2507" t="s">
        <v>14592</v>
      </c>
      <c r="F43" s="2507" t="s">
        <v>14593</v>
      </c>
      <c r="G43" s="2508" t="s">
        <v>8722</v>
      </c>
      <c r="H43" s="2508" t="s">
        <v>14585</v>
      </c>
      <c r="I43" s="2585" t="str">
        <f>IF(ISNA(VLOOKUP($D43,Справочник!DK:DM,3,0)),"-",VLOOKUP($D43,Справочник!DK:DM,3,0))</f>
        <v>Гуров Александр Анатольевич AAGurov@rosatom.ru  (499) 949-41-27</v>
      </c>
    </row>
    <row r="44" spans="2:9" ht="88">
      <c r="B44" s="2505">
        <v>37</v>
      </c>
      <c r="C44" s="2506">
        <v>44587</v>
      </c>
      <c r="D44" s="2746" t="s">
        <v>3413</v>
      </c>
      <c r="E44" s="3149" t="s">
        <v>10036</v>
      </c>
      <c r="F44" s="2507" t="s">
        <v>14595</v>
      </c>
      <c r="G44" s="2508" t="s">
        <v>8722</v>
      </c>
      <c r="H44" s="2508" t="s">
        <v>14504</v>
      </c>
      <c r="I44" s="2585" t="str">
        <f>IF(ISNA(VLOOKUP($D44,Справочник!DK:DM,3,0)),"-",VLOOKUP($D44,Справочник!DK:DM,3,0))</f>
        <v>Новик Екатерина Михайловна &lt;EMNovik@rosatom.ru&gt;  (499) 949-27-01</v>
      </c>
    </row>
    <row r="45" spans="2:9" ht="37.4" customHeight="1">
      <c r="B45" s="2505">
        <v>38</v>
      </c>
      <c r="C45" s="2506">
        <v>44588</v>
      </c>
      <c r="D45" s="2746" t="s">
        <v>3526</v>
      </c>
      <c r="E45" s="2507" t="s">
        <v>14600</v>
      </c>
      <c r="F45" s="2507" t="s">
        <v>14610</v>
      </c>
      <c r="G45" s="2508" t="s">
        <v>8722</v>
      </c>
      <c r="H45" s="2508" t="s">
        <v>14599</v>
      </c>
      <c r="I45" s="2585" t="str">
        <f>IF(ISNA(VLOOKUP($D45,Справочник!DK:DM,3,0)),"-",VLOOKUP($D45,Справочник!DK:DM,3,0))</f>
        <v>Храмченко Светлана Игоревна SIKhramchenko@rosatom.ru  (499) 949-4193</v>
      </c>
    </row>
    <row r="46" spans="2:9" ht="37.4" customHeight="1">
      <c r="B46" s="2505">
        <v>39</v>
      </c>
      <c r="C46" s="2506">
        <v>44588</v>
      </c>
      <c r="D46" s="2746" t="s">
        <v>5437</v>
      </c>
      <c r="E46" s="2507" t="s">
        <v>14600</v>
      </c>
      <c r="F46" s="2507" t="s">
        <v>14609</v>
      </c>
      <c r="G46" s="2508" t="s">
        <v>8722</v>
      </c>
      <c r="H46" s="2508" t="s">
        <v>14599</v>
      </c>
      <c r="I46" s="2585" t="str">
        <f>IF(ISNA(VLOOKUP($D46,Справочник!DK:DM,3,0)),"-",VLOOKUP($D46,Справочник!DK:DM,3,0))</f>
        <v>Храмченко Светлана Игоревна SIKhramchenko@rosatom.ru  (499) 949-4193</v>
      </c>
    </row>
    <row r="47" spans="2:9" s="3493" customFormat="1" ht="37.4" customHeight="1">
      <c r="B47" s="2505">
        <v>40</v>
      </c>
      <c r="C47" s="2506">
        <v>44588</v>
      </c>
      <c r="D47" s="2746" t="s">
        <v>7888</v>
      </c>
      <c r="E47" s="2507" t="s">
        <v>14600</v>
      </c>
      <c r="F47" s="2507" t="s">
        <v>14625</v>
      </c>
      <c r="G47" s="2508" t="s">
        <v>8722</v>
      </c>
      <c r="H47" s="2508" t="s">
        <v>14611</v>
      </c>
      <c r="I47" s="2585" t="str">
        <f>IF(ISNA(VLOOKUP($D47,Справочник!DK:DM,3,0)),"-",VLOOKUP($D47,Справочник!DK:DM,3,0))</f>
        <v>Новик Екатерина Михайловна &lt;EMNovik@rosatom.ru&gt;  (499) 949-27-01</v>
      </c>
    </row>
    <row r="48" spans="2:9" s="3493" customFormat="1" ht="37.4" customHeight="1">
      <c r="B48" s="2505">
        <v>41</v>
      </c>
      <c r="C48" s="2506">
        <v>44588</v>
      </c>
      <c r="D48" s="2746" t="s">
        <v>3405</v>
      </c>
      <c r="E48" s="2507" t="s">
        <v>14626</v>
      </c>
      <c r="F48" s="2507" t="s">
        <v>14627</v>
      </c>
      <c r="G48" s="2508" t="s">
        <v>8722</v>
      </c>
      <c r="H48" s="2508" t="s">
        <v>14611</v>
      </c>
      <c r="I48" s="2585" t="str">
        <f>IF(ISNA(VLOOKUP($D48,Справочник!DK:DM,3,0)),"-",VLOOKUP($D48,Справочник!DK:DM,3,0))</f>
        <v>Новик Екатерина Михайловна &lt;EMNovik@rosatom.ru&gt;  (499) 949-27-01</v>
      </c>
    </row>
    <row r="49" spans="2:9" s="3493" customFormat="1" ht="37.4" customHeight="1">
      <c r="B49" s="2505">
        <v>42</v>
      </c>
      <c r="C49" s="2506">
        <v>44588</v>
      </c>
      <c r="D49" s="2746" t="s">
        <v>3413</v>
      </c>
      <c r="E49" s="2507" t="s">
        <v>14626</v>
      </c>
      <c r="F49" s="2746" t="s">
        <v>14628</v>
      </c>
      <c r="G49" s="2508" t="s">
        <v>8722</v>
      </c>
      <c r="H49" s="2508" t="s">
        <v>14611</v>
      </c>
      <c r="I49" s="2585" t="str">
        <f>IF(ISNA(VLOOKUP($D49,Справочник!DK:DM,3,0)),"-",VLOOKUP($D49,Справочник!DK:DM,3,0))</f>
        <v>Новик Екатерина Михайловна &lt;EMNovik@rosatom.ru&gt;  (499) 949-27-01</v>
      </c>
    </row>
    <row r="50" spans="2:9" s="3493" customFormat="1" ht="37.4" customHeight="1">
      <c r="B50" s="2505">
        <v>43</v>
      </c>
      <c r="C50" s="2506">
        <v>44589</v>
      </c>
      <c r="D50" s="2746" t="s">
        <v>9877</v>
      </c>
      <c r="E50" s="2507" t="s">
        <v>14567</v>
      </c>
      <c r="F50" s="2746" t="s">
        <v>14629</v>
      </c>
      <c r="G50" s="2508" t="s">
        <v>8722</v>
      </c>
      <c r="H50" s="2508" t="s">
        <v>14585</v>
      </c>
      <c r="I50" s="2585">
        <f>IF(ISNA(VLOOKUP($D50,Справочник!DK:DM,3,0)),"-",VLOOKUP($D50,Справочник!DK:DM,3,0))</f>
        <v>0</v>
      </c>
    </row>
    <row r="51" spans="2:9" s="3493" customFormat="1" ht="56.9" customHeight="1">
      <c r="B51" s="2505">
        <v>44</v>
      </c>
      <c r="C51" s="2506">
        <v>44589</v>
      </c>
      <c r="D51" s="2746" t="s">
        <v>7502</v>
      </c>
      <c r="E51" s="2507" t="s">
        <v>10033</v>
      </c>
      <c r="F51" s="2746" t="s">
        <v>14631</v>
      </c>
      <c r="G51" s="2508" t="s">
        <v>8722</v>
      </c>
      <c r="H51" s="2508" t="s">
        <v>14355</v>
      </c>
      <c r="I51" s="2585" t="str">
        <f>IF(ISNA(VLOOKUP($D51,Справочник!DK:DM,3,0)),"-",VLOOKUP($D51,Справочник!DK:DM,3,0))</f>
        <v>Козлов Николай Викторович  NiVKozlov@rosatom.ru  (499) 949-47-02</v>
      </c>
    </row>
    <row r="52" spans="2:9" ht="25">
      <c r="B52" s="2505">
        <v>45</v>
      </c>
      <c r="C52" s="2506">
        <v>44589</v>
      </c>
      <c r="D52" s="2746" t="s">
        <v>9877</v>
      </c>
      <c r="E52" s="2507" t="s">
        <v>14626</v>
      </c>
      <c r="F52" s="2746" t="s">
        <v>14633</v>
      </c>
      <c r="G52" s="2508" t="s">
        <v>8722</v>
      </c>
      <c r="H52" s="2508" t="s">
        <v>14634</v>
      </c>
      <c r="I52" s="2585">
        <f>IF(ISNA(VLOOKUP($D52,Справочник!DK:DM,3,0)),"-",VLOOKUP($D52,Справочник!DK:DM,3,0))</f>
        <v>0</v>
      </c>
    </row>
    <row r="53" spans="2:9" ht="25">
      <c r="B53" s="2505">
        <v>46</v>
      </c>
      <c r="C53" s="2506">
        <v>44589</v>
      </c>
      <c r="D53" s="2746" t="s">
        <v>5919</v>
      </c>
      <c r="E53" s="2507" t="s">
        <v>14567</v>
      </c>
      <c r="F53" s="2746" t="s">
        <v>14636</v>
      </c>
      <c r="G53" s="2508" t="s">
        <v>8722</v>
      </c>
      <c r="H53" s="2508" t="s">
        <v>14599</v>
      </c>
      <c r="I53" s="2585" t="str">
        <f>IF(ISNA(VLOOKUP($D53,Справочник!DK:DM,3,0)),"-",VLOOKUP($D53,Справочник!DK:DM,3,0))</f>
        <v>Андреев Сергей Евгеньевич  SeEAndreev@rosatom.ru  (499) 949-44-84</v>
      </c>
    </row>
    <row r="54" spans="2:9" ht="62.5">
      <c r="B54" s="2505">
        <v>47</v>
      </c>
      <c r="C54" s="2506">
        <v>44592</v>
      </c>
      <c r="D54" s="2746" t="s">
        <v>9877</v>
      </c>
      <c r="E54" s="2507" t="s">
        <v>14637</v>
      </c>
      <c r="F54" s="2746" t="s">
        <v>14638</v>
      </c>
      <c r="G54" s="2508" t="s">
        <v>8722</v>
      </c>
      <c r="H54" s="2508" t="s">
        <v>14585</v>
      </c>
      <c r="I54" s="2585">
        <f>IF(ISNA(VLOOKUP($D54,Справочник!DK:DM,3,0)),"-",VLOOKUP($D54,Справочник!DK:DM,3,0))</f>
        <v>0</v>
      </c>
    </row>
    <row r="55" spans="2:9" ht="37.5">
      <c r="B55" s="2505">
        <v>48</v>
      </c>
      <c r="C55" s="2506">
        <v>44591</v>
      </c>
      <c r="D55" s="2746" t="s">
        <v>5264</v>
      </c>
      <c r="E55" s="3149" t="s">
        <v>10036</v>
      </c>
      <c r="F55" s="2746" t="s">
        <v>14643</v>
      </c>
      <c r="G55" s="2508" t="s">
        <v>8722</v>
      </c>
      <c r="H55" s="2508" t="s">
        <v>14585</v>
      </c>
      <c r="I55" s="2585" t="str">
        <f>IF(ISNA(VLOOKUP($D55,Справочник!DK:DM,3,0)),"-",VLOOKUP($D55,Справочник!DK:DM,3,0))</f>
        <v>Гуров Александр Анатольевич AAGurov@rosatom.ru  (499) 949-41-27</v>
      </c>
    </row>
    <row r="56" spans="2:9" ht="37.5">
      <c r="B56" s="2505">
        <v>49</v>
      </c>
      <c r="C56" s="2506">
        <v>44592</v>
      </c>
      <c r="D56" s="2746" t="s">
        <v>5264</v>
      </c>
      <c r="E56" s="2507" t="s">
        <v>14626</v>
      </c>
      <c r="F56" s="2746" t="s">
        <v>14644</v>
      </c>
      <c r="G56" s="2508" t="s">
        <v>8722</v>
      </c>
      <c r="H56" s="2508" t="s">
        <v>14585</v>
      </c>
      <c r="I56" s="2585" t="str">
        <f>IF(ISNA(VLOOKUP($D56,Справочник!DK:DM,3,0)),"-",VLOOKUP($D56,Справочник!DK:DM,3,0))</f>
        <v>Гуров Александр Анатольевич AAGurov@rosatom.ru  (499) 949-41-27</v>
      </c>
    </row>
    <row r="57" spans="2:9" ht="62.5">
      <c r="B57" s="2505">
        <v>50</v>
      </c>
      <c r="C57" s="2506">
        <v>44593</v>
      </c>
      <c r="D57" s="2746" t="s">
        <v>5264</v>
      </c>
      <c r="E57" s="2507" t="s">
        <v>14626</v>
      </c>
      <c r="F57" s="2746" t="s">
        <v>14641</v>
      </c>
      <c r="G57" s="2508" t="s">
        <v>8722</v>
      </c>
      <c r="H57" s="2508" t="s">
        <v>14585</v>
      </c>
      <c r="I57" s="2585" t="str">
        <f>IF(ISNA(VLOOKUP($D57,Справочник!DK:DM,3,0)),"-",VLOOKUP($D57,Справочник!DK:DM,3,0))</f>
        <v>Гуров Александр Анатольевич AAGurov@rosatom.ru  (499) 949-41-27</v>
      </c>
    </row>
    <row r="58" spans="2:9" ht="50.5">
      <c r="B58" s="2505">
        <v>51</v>
      </c>
      <c r="C58" s="2506">
        <v>44594</v>
      </c>
      <c r="D58" s="2746">
        <v>96</v>
      </c>
      <c r="E58" s="2507" t="s">
        <v>14642</v>
      </c>
      <c r="F58" s="2746" t="s">
        <v>14652</v>
      </c>
      <c r="G58" s="2508" t="s">
        <v>8722</v>
      </c>
      <c r="H58" s="2508" t="s">
        <v>14585</v>
      </c>
      <c r="I58" s="2585" t="str">
        <f>IF(ISNA(VLOOKUP($D58,Справочник!DK:DM,3,0)),"-",VLOOKUP($D58,Справочник!DK:DM,3,0))</f>
        <v>Гуров Александр Анатольевич AAGurov@rosatom.ru  (499) 949-41-27</v>
      </c>
    </row>
    <row r="59" spans="2:9" ht="29.9" customHeight="1">
      <c r="B59" s="2505">
        <v>52</v>
      </c>
      <c r="C59" s="2506">
        <v>44594</v>
      </c>
      <c r="D59" s="2746" t="s">
        <v>9877</v>
      </c>
      <c r="E59" s="2507" t="s">
        <v>14626</v>
      </c>
      <c r="F59" s="2746" t="s">
        <v>14651</v>
      </c>
      <c r="G59" s="2508" t="s">
        <v>8722</v>
      </c>
      <c r="H59" s="2508" t="s">
        <v>14568</v>
      </c>
      <c r="I59" s="2585">
        <f>IF(ISNA(VLOOKUP($D59,Справочник!DK:DM,3,0)),"-",VLOOKUP($D59,Справочник!DK:DM,3,0))</f>
        <v>0</v>
      </c>
    </row>
    <row r="60" spans="2:9">
      <c r="B60" s="2505">
        <v>53</v>
      </c>
      <c r="C60" s="2506">
        <v>44595</v>
      </c>
      <c r="D60" s="2746" t="s">
        <v>2817</v>
      </c>
      <c r="E60" s="2507" t="s">
        <v>14626</v>
      </c>
      <c r="F60" s="2818" t="s">
        <v>14647</v>
      </c>
      <c r="G60" s="2508" t="s">
        <v>8722</v>
      </c>
      <c r="H60" s="2508" t="s">
        <v>14568</v>
      </c>
      <c r="I60" s="2585" t="str">
        <f>IF(ISNA(VLOOKUP($D60,Справочник!DK:DM,3,0)),"-",VLOOKUP($D60,Справочник!DK:DM,3,0))</f>
        <v>Малахай Виктория Николаевна  VNMalakhay@rosatom.ru  (499) 949-48-22</v>
      </c>
    </row>
    <row r="61" spans="2:9" ht="51">
      <c r="B61" s="2505">
        <v>54</v>
      </c>
      <c r="C61" s="2506">
        <v>44595</v>
      </c>
      <c r="D61" s="2746" t="s">
        <v>8379</v>
      </c>
      <c r="E61" s="2507" t="s">
        <v>14637</v>
      </c>
      <c r="F61" s="2746" t="s">
        <v>14653</v>
      </c>
      <c r="G61" s="2508" t="s">
        <v>8722</v>
      </c>
      <c r="H61" s="2508" t="s">
        <v>14585</v>
      </c>
      <c r="I61" s="2585" t="str">
        <f>IF(ISNA(VLOOKUP($D61,Справочник!DK:DM,3,0)),"-",VLOOKUP($D61,Справочник!DK:DM,3,0))</f>
        <v>Емельянова Наталия Валериевна  NVEmelyanova@rosatom.ru  (499) 949-47-82</v>
      </c>
    </row>
    <row r="62" spans="2:9" ht="138">
      <c r="B62" s="2505">
        <v>54</v>
      </c>
      <c r="C62" s="2506">
        <v>44595</v>
      </c>
      <c r="D62" s="2746" t="s">
        <v>7502</v>
      </c>
      <c r="E62" s="2507" t="s">
        <v>10033</v>
      </c>
      <c r="F62" s="2746" t="s">
        <v>14655</v>
      </c>
      <c r="G62" s="2508" t="s">
        <v>8722</v>
      </c>
      <c r="H62" s="2508" t="s">
        <v>14634</v>
      </c>
      <c r="I62" s="2585" t="str">
        <f>IF(ISNA(VLOOKUP($D62,Справочник!DK:DM,3,0)),"-",VLOOKUP($D62,Справочник!DK:DM,3,0))</f>
        <v>Козлов Николай Викторович  NiVKozlov@rosatom.ru  (499) 949-47-02</v>
      </c>
    </row>
    <row r="63" spans="2:9">
      <c r="B63" s="2505">
        <v>55</v>
      </c>
      <c r="C63" s="2506">
        <v>44600</v>
      </c>
      <c r="D63" s="2746" t="s">
        <v>2085</v>
      </c>
      <c r="E63" s="2507" t="s">
        <v>10033</v>
      </c>
      <c r="F63" s="2746" t="s">
        <v>14658</v>
      </c>
      <c r="G63" s="2508" t="s">
        <v>8722</v>
      </c>
      <c r="H63" s="2508" t="s">
        <v>14634</v>
      </c>
      <c r="I63" s="2585" t="str">
        <f>IF(ISNA(VLOOKUP($D63,Справочник!DK:DM,3,0)),"-",VLOOKUP($D63,Справочник!DK:DM,3,0))</f>
        <v>Козлов Николай Викторович  NiVKozlov@rosatom.ru  (499) 949-47-02</v>
      </c>
    </row>
    <row r="64" spans="2:9" ht="25">
      <c r="B64" s="2505">
        <v>56</v>
      </c>
      <c r="C64" s="2506">
        <v>44602</v>
      </c>
      <c r="D64" s="2746" t="s">
        <v>3525</v>
      </c>
      <c r="E64" s="2507" t="s">
        <v>14534</v>
      </c>
      <c r="F64" s="2746" t="s">
        <v>14671</v>
      </c>
      <c r="G64" s="2508" t="s">
        <v>8722</v>
      </c>
      <c r="H64" s="2508" t="s">
        <v>14670</v>
      </c>
      <c r="I64" s="2585" t="str">
        <f>IF(ISNA(VLOOKUP($D64,Справочник!DK:DM,3,0)),"-",VLOOKUP($D64,Справочник!DK:DM,3,0))</f>
        <v>Храмченко Светлана Игоревна SIKhramchenko@rosatom.ru  (499) 949-4193</v>
      </c>
    </row>
    <row r="65" spans="2:9" s="3497" customFormat="1">
      <c r="B65" s="2505">
        <v>56</v>
      </c>
      <c r="C65" s="2506">
        <v>44608</v>
      </c>
      <c r="D65" s="2746" t="s">
        <v>423</v>
      </c>
      <c r="E65" s="2507" t="s">
        <v>5308</v>
      </c>
      <c r="F65" s="2746" t="s">
        <v>14673</v>
      </c>
      <c r="G65" s="2508" t="s">
        <v>8722</v>
      </c>
      <c r="H65" s="2508" t="s">
        <v>14611</v>
      </c>
      <c r="I65" s="2585" t="str">
        <f>IF(ISNA(VLOOKUP($D65,Справочник!DK:DM,3,0)),"-",VLOOKUP($D65,Справочник!DK:DM,3,0))</f>
        <v>Малахай Виктория Николаевна  VNMalakhay@rosatom.ru  (499) 949-48-22</v>
      </c>
    </row>
    <row r="66" spans="2:9" ht="26">
      <c r="B66" s="2505">
        <v>57</v>
      </c>
      <c r="C66" s="2506">
        <v>44608</v>
      </c>
      <c r="D66" s="2746" t="s">
        <v>7502</v>
      </c>
      <c r="E66" s="3439" t="s">
        <v>10033</v>
      </c>
      <c r="F66" s="2507" t="s">
        <v>14476</v>
      </c>
      <c r="G66" s="2508" t="s">
        <v>8722</v>
      </c>
      <c r="H66" s="2508" t="s">
        <v>14355</v>
      </c>
      <c r="I66" s="2585" t="str">
        <f>IF(ISNA(VLOOKUP($D66,Справочник!DK:DM,3,0)),"-",VLOOKUP($D66,Справочник!DK:DM,3,0))</f>
        <v>Козлов Николай Викторович  NiVKozlov@rosatom.ru  (499) 949-47-02</v>
      </c>
    </row>
    <row r="67" spans="2:9" ht="125.15" customHeight="1">
      <c r="B67" s="2505">
        <v>58</v>
      </c>
      <c r="C67" s="2506">
        <v>44609</v>
      </c>
      <c r="D67" s="2746" t="s">
        <v>9877</v>
      </c>
      <c r="E67" s="3439" t="s">
        <v>14675</v>
      </c>
      <c r="F67" s="3499" t="s">
        <v>14676</v>
      </c>
      <c r="G67" s="2508" t="s">
        <v>8722</v>
      </c>
      <c r="H67" s="2508" t="s">
        <v>14585</v>
      </c>
      <c r="I67" s="2585">
        <f>IF(ISNA(VLOOKUP($D67,Справочник!DK:DM,3,0)),"-",VLOOKUP($D67,Справочник!DK:DM,3,0))</f>
        <v>0</v>
      </c>
    </row>
    <row r="68" spans="2:9">
      <c r="B68" s="2505">
        <v>59</v>
      </c>
      <c r="C68" s="2506">
        <v>44610</v>
      </c>
      <c r="D68" s="2746" t="s">
        <v>423</v>
      </c>
      <c r="E68" s="3439" t="s">
        <v>5308</v>
      </c>
      <c r="F68" s="2507" t="s">
        <v>14677</v>
      </c>
      <c r="G68" s="2508" t="s">
        <v>8722</v>
      </c>
      <c r="H68" s="2508" t="s">
        <v>14611</v>
      </c>
      <c r="I68" s="2585" t="str">
        <f>IF(ISNA(VLOOKUP($D68,Справочник!DK:DM,3,0)),"-",VLOOKUP($D68,Справочник!DK:DM,3,0))</f>
        <v>Малахай Виктория Николаевна  VNMalakhay@rosatom.ru  (499) 949-48-22</v>
      </c>
    </row>
    <row r="69" spans="2:9" ht="29">
      <c r="B69" s="2505">
        <v>60</v>
      </c>
      <c r="C69" s="2506">
        <v>44610</v>
      </c>
      <c r="D69" s="2746" t="s">
        <v>222</v>
      </c>
      <c r="E69" s="3439" t="s">
        <v>5308</v>
      </c>
      <c r="F69" s="2507" t="s">
        <v>14679</v>
      </c>
      <c r="G69" s="2508" t="s">
        <v>8722</v>
      </c>
      <c r="H69" s="2508" t="s">
        <v>14680</v>
      </c>
      <c r="I69" s="2585" t="str">
        <f>IF(ISNA(VLOOKUP($D69,Справочник!DK:DM,3,0)),"-",VLOOKUP($D69,Справочник!DK:DM,3,0))</f>
        <v>Бурцева Ольга Леонидовна  OlLBurtseva@rosatom.ru  (499) 949-20-37
Мишуров Александр Владимирович  AlVMishurov@rosatom.ru  (499) 949-46-63</v>
      </c>
    </row>
    <row r="70" spans="2:9">
      <c r="B70" s="2505">
        <v>61</v>
      </c>
      <c r="C70" s="2506">
        <v>44614</v>
      </c>
      <c r="D70" s="2746" t="s">
        <v>9877</v>
      </c>
      <c r="E70" s="3439" t="s">
        <v>5308</v>
      </c>
      <c r="F70" s="2507" t="s">
        <v>14681</v>
      </c>
      <c r="G70" s="2508" t="s">
        <v>8722</v>
      </c>
      <c r="H70" s="2508" t="s">
        <v>14585</v>
      </c>
      <c r="I70" s="2585">
        <f>IF(ISNA(VLOOKUP($D70,Справочник!DK:DM,3,0)),"-",VLOOKUP($D70,Справочник!DK:DM,3,0))</f>
        <v>0</v>
      </c>
    </row>
    <row r="71" spans="2:9">
      <c r="B71" s="2505">
        <v>62</v>
      </c>
      <c r="C71" s="2506">
        <v>44614</v>
      </c>
      <c r="D71" s="2746" t="s">
        <v>9877</v>
      </c>
      <c r="E71" s="3439" t="s">
        <v>5308</v>
      </c>
      <c r="F71" s="2507" t="s">
        <v>14682</v>
      </c>
      <c r="G71" s="2508" t="s">
        <v>8722</v>
      </c>
      <c r="H71" s="2508" t="s">
        <v>14585</v>
      </c>
      <c r="I71" s="2585">
        <f>IF(ISNA(VLOOKUP($D71,Справочник!DK:DM,3,0)),"-",VLOOKUP($D71,Справочник!DK:DM,3,0))</f>
        <v>0</v>
      </c>
    </row>
    <row r="72" spans="2:9">
      <c r="B72" s="2505">
        <v>63</v>
      </c>
      <c r="C72" s="2506">
        <v>44631</v>
      </c>
      <c r="D72" s="2746">
        <v>97</v>
      </c>
      <c r="E72" s="3439" t="s">
        <v>5308</v>
      </c>
      <c r="F72" s="2507" t="s">
        <v>14685</v>
      </c>
      <c r="G72" s="2508" t="s">
        <v>14686</v>
      </c>
      <c r="H72" s="2508" t="s">
        <v>14634</v>
      </c>
      <c r="I72" s="2585" t="str">
        <f>IF(ISNA(VLOOKUP($D72,Справочник!DK:DM,3,0)),"-",VLOOKUP($D72,Справочник!DK:DM,3,0))</f>
        <v>Новик Екатерина Михайловна &lt;EMNovik@rosatom.ru&gt;  (499) 949-27-01</v>
      </c>
    </row>
    <row r="73" spans="2:9" ht="155.9" customHeight="1">
      <c r="B73" s="2505">
        <v>64</v>
      </c>
      <c r="C73" s="2506">
        <v>44631</v>
      </c>
      <c r="D73" s="2746" t="s">
        <v>2085</v>
      </c>
      <c r="E73" s="2507" t="s">
        <v>10033</v>
      </c>
      <c r="F73" s="3503" t="s">
        <v>14724</v>
      </c>
      <c r="G73" s="2508" t="s">
        <v>14686</v>
      </c>
      <c r="H73" s="2508" t="s">
        <v>14351</v>
      </c>
      <c r="I73" s="2585" t="str">
        <f>IF(ISNA(VLOOKUP($D73,Справочник!DK:DM,3,0)),"-",VLOOKUP($D73,Справочник!DK:DM,3,0))</f>
        <v>Козлов Николай Викторович  NiVKozlov@rosatom.ru  (499) 949-47-02</v>
      </c>
    </row>
    <row r="74" spans="2:9">
      <c r="B74" s="2505">
        <v>65</v>
      </c>
      <c r="C74" s="2506">
        <v>44631</v>
      </c>
      <c r="D74" s="2746" t="s">
        <v>3405</v>
      </c>
      <c r="E74" s="3149" t="s">
        <v>10036</v>
      </c>
      <c r="F74" s="3503" t="s">
        <v>14706</v>
      </c>
      <c r="G74" s="2508" t="s">
        <v>14686</v>
      </c>
      <c r="H74" s="2508" t="s">
        <v>14710</v>
      </c>
      <c r="I74" s="2585" t="str">
        <f>IF(ISNA(VLOOKUP($D74,Справочник!DK:DM,3,0)),"-",VLOOKUP($D74,Справочник!DK:DM,3,0))</f>
        <v>Новик Екатерина Михайловна &lt;EMNovik@rosatom.ru&gt;  (499) 949-27-01</v>
      </c>
    </row>
    <row r="75" spans="2:9">
      <c r="B75" s="2505">
        <v>66</v>
      </c>
      <c r="C75" s="2506">
        <v>44631</v>
      </c>
      <c r="D75" s="2746" t="s">
        <v>3407</v>
      </c>
      <c r="E75" s="3149" t="s">
        <v>10036</v>
      </c>
      <c r="F75" s="3503" t="s">
        <v>14706</v>
      </c>
      <c r="G75" s="2508" t="s">
        <v>14686</v>
      </c>
      <c r="H75" s="2508" t="s">
        <v>14710</v>
      </c>
      <c r="I75" s="2585" t="str">
        <f>IF(ISNA(VLOOKUP($D75,Справочник!DK:DM,3,0)),"-",VLOOKUP($D75,Справочник!DK:DM,3,0))</f>
        <v>Новик Екатерина Михайловна &lt;EMNovik@rosatom.ru&gt;  (499) 949-27-01</v>
      </c>
    </row>
    <row r="76" spans="2:9">
      <c r="B76" s="2505">
        <v>67</v>
      </c>
      <c r="C76" s="2506">
        <v>44631</v>
      </c>
      <c r="D76" s="2746" t="s">
        <v>3413</v>
      </c>
      <c r="E76" s="3149" t="s">
        <v>10036</v>
      </c>
      <c r="F76" s="3503" t="s">
        <v>14706</v>
      </c>
      <c r="G76" s="2508" t="s">
        <v>14686</v>
      </c>
      <c r="H76" s="2508" t="s">
        <v>14710</v>
      </c>
      <c r="I76" s="2585" t="str">
        <f>IF(ISNA(VLOOKUP($D76,Справочник!DK:DM,3,0)),"-",VLOOKUP($D76,Справочник!DK:DM,3,0))</f>
        <v>Новик Екатерина Михайловна &lt;EMNovik@rosatom.ru&gt;  (499) 949-27-01</v>
      </c>
    </row>
    <row r="77" spans="2:9">
      <c r="B77" s="2505">
        <v>68</v>
      </c>
      <c r="C77" s="2506">
        <v>44631</v>
      </c>
      <c r="D77" s="2746" t="s">
        <v>9877</v>
      </c>
      <c r="E77" s="3439" t="s">
        <v>5308</v>
      </c>
      <c r="F77" s="2507" t="s">
        <v>14708</v>
      </c>
      <c r="G77" s="2508" t="s">
        <v>14686</v>
      </c>
      <c r="H77" s="2508" t="s">
        <v>14710</v>
      </c>
      <c r="I77" s="2585">
        <f>IF(ISNA(VLOOKUP($D77,Справочник!DK:DM,3,0)),"-",VLOOKUP($D77,Справочник!DK:DM,3,0))</f>
        <v>0</v>
      </c>
    </row>
    <row r="78" spans="2:9">
      <c r="B78" s="2505">
        <v>69</v>
      </c>
      <c r="C78" s="2506">
        <v>44631</v>
      </c>
      <c r="D78" s="2746" t="s">
        <v>9877</v>
      </c>
      <c r="E78" s="3439" t="s">
        <v>5308</v>
      </c>
      <c r="F78" s="2507" t="s">
        <v>14709</v>
      </c>
      <c r="G78" s="2508" t="s">
        <v>14686</v>
      </c>
      <c r="H78" s="2508" t="s">
        <v>14710</v>
      </c>
      <c r="I78" s="2585">
        <f>IF(ISNA(VLOOKUP($D78,Справочник!DK:DM,3,0)),"-",VLOOKUP($D78,Справочник!DK:DM,3,0))</f>
        <v>0</v>
      </c>
    </row>
    <row r="79" spans="2:9">
      <c r="B79" s="2505">
        <v>70</v>
      </c>
      <c r="C79" s="2506">
        <v>44631</v>
      </c>
      <c r="D79" s="2746" t="s">
        <v>9877</v>
      </c>
      <c r="E79" s="3439" t="s">
        <v>5308</v>
      </c>
      <c r="F79" s="2507" t="s">
        <v>14714</v>
      </c>
      <c r="G79" s="2508" t="s">
        <v>14686</v>
      </c>
      <c r="H79" s="2508" t="s">
        <v>14710</v>
      </c>
      <c r="I79" s="2585">
        <f>IF(ISNA(VLOOKUP($D79,Справочник!DK:DM,3,0)),"-",VLOOKUP($D79,Справочник!DK:DM,3,0))</f>
        <v>0</v>
      </c>
    </row>
    <row r="80" spans="2:9" ht="25">
      <c r="B80" s="2505">
        <v>71</v>
      </c>
      <c r="C80" s="2506">
        <v>44635</v>
      </c>
      <c r="D80" s="2746" t="s">
        <v>3525</v>
      </c>
      <c r="E80" s="2507" t="s">
        <v>14534</v>
      </c>
      <c r="F80" s="2507" t="s">
        <v>14715</v>
      </c>
      <c r="G80" s="2508" t="s">
        <v>14686</v>
      </c>
      <c r="H80" s="2508" t="s">
        <v>14504</v>
      </c>
      <c r="I80" s="2585" t="str">
        <f>IF(ISNA(VLOOKUP($D80,Справочник!DK:DM,3,0)),"-",VLOOKUP($D80,Справочник!DK:DM,3,0))</f>
        <v>Храмченко Светлана Игоревна SIKhramchenko@rosatom.ru  (499) 949-4193</v>
      </c>
    </row>
    <row r="81" spans="2:9">
      <c r="B81" s="2505">
        <v>72</v>
      </c>
      <c r="C81" s="2506">
        <v>44638</v>
      </c>
      <c r="D81" s="2746" t="s">
        <v>3405</v>
      </c>
      <c r="E81" s="2507" t="s">
        <v>14637</v>
      </c>
      <c r="F81" s="2507" t="s">
        <v>14727</v>
      </c>
      <c r="G81" s="2508" t="s">
        <v>14686</v>
      </c>
      <c r="H81" s="2508" t="s">
        <v>14728</v>
      </c>
      <c r="I81" s="2585" t="str">
        <f>IF(ISNA(VLOOKUP($D81,Справочник!DK:DM,3,0)),"-",VLOOKUP($D81,Справочник!DK:DM,3,0))</f>
        <v>Новик Екатерина Михайловна &lt;EMNovik@rosatom.ru&gt;  (499) 949-27-01</v>
      </c>
    </row>
    <row r="82" spans="2:9">
      <c r="B82" s="2505">
        <v>73</v>
      </c>
      <c r="C82" s="2506">
        <v>44638</v>
      </c>
      <c r="D82" s="2746" t="s">
        <v>3413</v>
      </c>
      <c r="E82" s="2507" t="s">
        <v>14637</v>
      </c>
      <c r="F82" s="2507" t="s">
        <v>14727</v>
      </c>
      <c r="G82" s="2508" t="s">
        <v>14686</v>
      </c>
      <c r="H82" s="2508" t="s">
        <v>14728</v>
      </c>
      <c r="I82" s="2585" t="str">
        <f>IF(ISNA(VLOOKUP($D82,Справочник!DK:DM,3,0)),"-",VLOOKUP($D82,Справочник!DK:DM,3,0))</f>
        <v>Новик Екатерина Михайловна &lt;EMNovik@rosatom.ru&gt;  (499) 949-27-01</v>
      </c>
    </row>
    <row r="83" spans="2:9" ht="113">
      <c r="B83" s="2505">
        <v>74</v>
      </c>
      <c r="C83" s="2506">
        <v>44641</v>
      </c>
      <c r="D83" s="2746" t="s">
        <v>223</v>
      </c>
      <c r="E83" s="3149" t="s">
        <v>10036</v>
      </c>
      <c r="F83" s="2507" t="s">
        <v>14777</v>
      </c>
      <c r="G83" s="2508" t="s">
        <v>14731</v>
      </c>
      <c r="H83" s="2508" t="s">
        <v>14588</v>
      </c>
      <c r="I83" s="2585" t="str">
        <f>IF(ISNA(VLOOKUP($D83,Справочник!DK:DM,3,0)),"-",VLOOKUP($D83,Справочник!DK:DM,3,0))</f>
        <v>Денисова Ольга Александровна  OAlDenisova@rosatom.ru  (499) 949-41-89</v>
      </c>
    </row>
    <row r="84" spans="2:9" ht="25">
      <c r="B84" s="2505">
        <v>75</v>
      </c>
      <c r="C84" s="2506">
        <v>44641</v>
      </c>
      <c r="D84" s="2746" t="s">
        <v>3525</v>
      </c>
      <c r="E84" s="2507" t="s">
        <v>14534</v>
      </c>
      <c r="F84" s="2507" t="s">
        <v>14738</v>
      </c>
      <c r="G84" s="2508" t="s">
        <v>14731</v>
      </c>
      <c r="H84" s="2508" t="s">
        <v>14504</v>
      </c>
      <c r="I84" s="2585" t="str">
        <f>IF(ISNA(VLOOKUP($D84,Справочник!DK:DM,3,0)),"-",VLOOKUP($D84,Справочник!DK:DM,3,0))</f>
        <v>Храмченко Светлана Игоревна SIKhramchenko@rosatom.ru  (499) 949-4193</v>
      </c>
    </row>
    <row r="85" spans="2:9" ht="62.5">
      <c r="B85" s="2505">
        <v>76</v>
      </c>
      <c r="C85" s="2506">
        <v>44642</v>
      </c>
      <c r="D85" s="2746" t="s">
        <v>5264</v>
      </c>
      <c r="E85" s="2507" t="s">
        <v>14739</v>
      </c>
      <c r="F85" s="2507" t="s">
        <v>14740</v>
      </c>
      <c r="G85" s="2508" t="s">
        <v>14731</v>
      </c>
      <c r="H85" s="2508" t="s">
        <v>14585</v>
      </c>
      <c r="I85" s="2585" t="str">
        <f>IF(ISNA(VLOOKUP($D85,Справочник!DK:DM,3,0)),"-",VLOOKUP($D85,Справочник!DK:DM,3,0))</f>
        <v>Гуров Александр Анатольевич AAGurov@rosatom.ru  (499) 949-41-27</v>
      </c>
    </row>
    <row r="86" spans="2:9">
      <c r="B86" s="2505">
        <v>77</v>
      </c>
      <c r="C86" s="2506">
        <v>44642</v>
      </c>
      <c r="D86" s="2746" t="s">
        <v>3526</v>
      </c>
      <c r="E86" s="2507" t="s">
        <v>14600</v>
      </c>
      <c r="F86" s="2507" t="s">
        <v>14743</v>
      </c>
      <c r="G86" s="2508" t="s">
        <v>14731</v>
      </c>
      <c r="H86" s="2508" t="s">
        <v>14599</v>
      </c>
      <c r="I86" s="2585" t="str">
        <f>IF(ISNA(VLOOKUP($D86,Справочник!DK:DM,3,0)),"-",VLOOKUP($D86,Справочник!DK:DM,3,0))</f>
        <v>Храмченко Светлана Игоревна SIKhramchenko@rosatom.ru  (499) 949-4193</v>
      </c>
    </row>
    <row r="87" spans="2:9">
      <c r="B87" s="2505">
        <v>78</v>
      </c>
      <c r="C87" s="2506">
        <v>44642</v>
      </c>
      <c r="D87" s="2746" t="s">
        <v>5437</v>
      </c>
      <c r="E87" s="2507" t="s">
        <v>14600</v>
      </c>
      <c r="F87" s="2507" t="s">
        <v>14744</v>
      </c>
      <c r="G87" s="2508" t="s">
        <v>14731</v>
      </c>
      <c r="H87" s="2508" t="s">
        <v>14599</v>
      </c>
      <c r="I87" s="2585" t="str">
        <f>IF(ISNA(VLOOKUP($D87,Справочник!DK:DM,3,0)),"-",VLOOKUP($D87,Справочник!DK:DM,3,0))</f>
        <v>Храмченко Светлана Игоревна SIKhramchenko@rosatom.ru  (499) 949-4193</v>
      </c>
    </row>
    <row r="88" spans="2:9" s="3515" customFormat="1">
      <c r="B88" s="2505">
        <v>79</v>
      </c>
      <c r="C88" s="2506">
        <v>44643</v>
      </c>
      <c r="D88" s="2746" t="s">
        <v>5269</v>
      </c>
      <c r="E88" s="2507" t="s">
        <v>14776</v>
      </c>
      <c r="F88" s="2507" t="s">
        <v>14776</v>
      </c>
      <c r="G88" s="2508" t="s">
        <v>14731</v>
      </c>
      <c r="H88" s="2508" t="s">
        <v>14611</v>
      </c>
      <c r="I88" s="2585" t="str">
        <f>IF(ISNA(VLOOKUP($D88,Справочник!DK:DM,3,0)),"-",VLOOKUP($D88,Справочник!DK:DM,3,0))</f>
        <v>Малахай Виктория Николаевна  VNMalakhay@rosatom.ru  (499) 949-48-22</v>
      </c>
    </row>
    <row r="89" spans="2:9">
      <c r="B89" s="2505">
        <v>80</v>
      </c>
      <c r="C89" s="2506">
        <v>44644</v>
      </c>
      <c r="D89" s="2746" t="s">
        <v>2088</v>
      </c>
      <c r="E89" s="2507" t="s">
        <v>14534</v>
      </c>
      <c r="F89" s="2507" t="s">
        <v>14786</v>
      </c>
      <c r="G89" s="2508" t="s">
        <v>14784</v>
      </c>
      <c r="H89" s="2508" t="s">
        <v>14728</v>
      </c>
      <c r="I89" s="2585" t="str">
        <f>IF(ISNA(VLOOKUP($D89,Справочник!DK:DM,3,0)),"-",VLOOKUP($D89,Справочник!DK:DM,3,0))</f>
        <v>Андреев Сергей Евгеньевич  SeEAndreev@rosatom.ru  (499) 949-44-84</v>
      </c>
    </row>
    <row r="90" spans="2:9" s="3516" customFormat="1">
      <c r="B90" s="2505">
        <v>81</v>
      </c>
      <c r="C90" s="2506">
        <v>44644</v>
      </c>
      <c r="D90" s="2746" t="s">
        <v>742</v>
      </c>
      <c r="E90" s="2507" t="s">
        <v>14534</v>
      </c>
      <c r="F90" s="2507" t="s">
        <v>14785</v>
      </c>
      <c r="G90" s="2508" t="s">
        <v>14784</v>
      </c>
      <c r="H90" s="2508" t="s">
        <v>14728</v>
      </c>
      <c r="I90" s="2585" t="str">
        <f>IF(ISNA(VLOOKUP($D90,Справочник!DK:DM,3,0)),"-",VLOOKUP($D90,Справочник!DK:DM,3,0))</f>
        <v>Андреев Сергей Евгеньевич  SeEAndreev@rosatom.ru  (499) 949-44-84</v>
      </c>
    </row>
    <row r="91" spans="2:9" ht="31.5">
      <c r="B91" s="2505">
        <v>82</v>
      </c>
      <c r="C91" s="2506">
        <v>44644</v>
      </c>
      <c r="D91" s="2746" t="s">
        <v>7502</v>
      </c>
      <c r="E91" s="2507" t="s">
        <v>10033</v>
      </c>
      <c r="F91" s="3521" t="s">
        <v>14790</v>
      </c>
      <c r="G91" s="2508" t="s">
        <v>14784</v>
      </c>
      <c r="H91" s="2508" t="s">
        <v>14710</v>
      </c>
      <c r="I91" s="2585" t="str">
        <f>IF(ISNA(VLOOKUP($D91,Справочник!DK:DM,3,0)),"-",VLOOKUP($D91,Справочник!DK:DM,3,0))</f>
        <v>Козлов Николай Викторович  NiVKozlov@rosatom.ru  (499) 949-47-02</v>
      </c>
    </row>
    <row r="92" spans="2:9" ht="72">
      <c r="B92" s="2505">
        <v>83</v>
      </c>
      <c r="C92" s="2506">
        <v>44644</v>
      </c>
      <c r="D92" s="2746" t="s">
        <v>7502</v>
      </c>
      <c r="E92" s="2507" t="s">
        <v>10033</v>
      </c>
      <c r="F92" s="3521" t="s">
        <v>14791</v>
      </c>
      <c r="G92" s="2508" t="s">
        <v>14784</v>
      </c>
      <c r="H92" s="2508" t="s">
        <v>14599</v>
      </c>
      <c r="I92" s="2585" t="str">
        <f>IF(ISNA(VLOOKUP($D92,Справочник!DK:DM,3,0)),"-",VLOOKUP($D92,Справочник!DK:DM,3,0))</f>
        <v>Козлов Николай Викторович  NiVKozlov@rosatom.ru  (499) 949-47-02</v>
      </c>
    </row>
    <row r="93" spans="2:9">
      <c r="B93" s="2505">
        <v>84</v>
      </c>
      <c r="C93" s="2506">
        <v>44644</v>
      </c>
      <c r="D93" s="2746" t="s">
        <v>3407</v>
      </c>
      <c r="E93" s="3439" t="s">
        <v>5308</v>
      </c>
      <c r="F93" s="2507" t="s">
        <v>14792</v>
      </c>
      <c r="G93" s="2508" t="s">
        <v>14784</v>
      </c>
      <c r="H93" s="2508" t="s">
        <v>14611</v>
      </c>
      <c r="I93" s="2585" t="str">
        <f>IF(ISNA(VLOOKUP($D93,Справочник!DK:DM,3,0)),"-",VLOOKUP($D93,Справочник!DK:DM,3,0))</f>
        <v>Новик Екатерина Михайловна &lt;EMNovik@rosatom.ru&gt;  (499) 949-27-01</v>
      </c>
    </row>
    <row r="94" spans="2:9" ht="25">
      <c r="B94" s="2505">
        <v>85</v>
      </c>
      <c r="C94" s="2506">
        <v>44645</v>
      </c>
      <c r="D94" s="2746" t="s">
        <v>3525</v>
      </c>
      <c r="E94" s="2507" t="s">
        <v>14534</v>
      </c>
      <c r="F94" s="2507" t="s">
        <v>14793</v>
      </c>
      <c r="G94" s="2508" t="s">
        <v>14784</v>
      </c>
      <c r="H94" s="2508" t="s">
        <v>14599</v>
      </c>
      <c r="I94" s="2585" t="str">
        <f>IF(ISNA(VLOOKUP($D94,Справочник!DK:DM,3,0)),"-",VLOOKUP($D94,Справочник!DK:DM,3,0))</f>
        <v>Храмченко Светлана Игоревна SIKhramchenko@rosatom.ru  (499) 949-4193</v>
      </c>
    </row>
    <row r="95" spans="2:9" ht="75">
      <c r="B95" s="2505">
        <v>86</v>
      </c>
      <c r="C95" s="2506">
        <v>44655</v>
      </c>
      <c r="D95" s="2746" t="s">
        <v>2085</v>
      </c>
      <c r="E95" s="2507" t="s">
        <v>10033</v>
      </c>
      <c r="F95" s="3521" t="s">
        <v>14794</v>
      </c>
      <c r="G95" s="2508" t="s">
        <v>14795</v>
      </c>
      <c r="H95" s="2508" t="s">
        <v>14351</v>
      </c>
      <c r="I95" s="2585" t="str">
        <f>IF(ISNA(VLOOKUP($D95,Справочник!DK:DM,3,0)),"-",VLOOKUP($D95,Справочник!DK:DM,3,0))</f>
        <v>Козлов Николай Викторович  NiVKozlov@rosatom.ru  (499) 949-47-02</v>
      </c>
    </row>
    <row r="96" spans="2:9" s="3522" customFormat="1" ht="25">
      <c r="B96" s="2505">
        <v>87</v>
      </c>
      <c r="C96" s="2506">
        <v>44655</v>
      </c>
      <c r="D96" s="2746" t="s">
        <v>3407</v>
      </c>
      <c r="E96" s="2507" t="s">
        <v>14797</v>
      </c>
      <c r="F96" s="2507" t="s">
        <v>14796</v>
      </c>
      <c r="G96" s="2508" t="s">
        <v>14795</v>
      </c>
      <c r="H96" s="2508" t="s">
        <v>14611</v>
      </c>
      <c r="I96" s="2585" t="str">
        <f>IF(ISNA(VLOOKUP($D96,Справочник!DK:DM,3,0)),"-",VLOOKUP($D96,Справочник!DK:DM,3,0))</f>
        <v>Новик Екатерина Михайловна &lt;EMNovik@rosatom.ru&gt;  (499) 949-27-01</v>
      </c>
    </row>
    <row r="97" spans="2:9" ht="50">
      <c r="B97" s="2505">
        <v>88</v>
      </c>
      <c r="C97" s="2506">
        <v>44657</v>
      </c>
      <c r="D97" s="2746" t="s">
        <v>9877</v>
      </c>
      <c r="E97" s="2507" t="s">
        <v>14797</v>
      </c>
      <c r="F97" s="2507" t="s">
        <v>14798</v>
      </c>
      <c r="G97" s="2508" t="s">
        <v>14828</v>
      </c>
      <c r="H97" s="2508" t="s">
        <v>14585</v>
      </c>
      <c r="I97" s="2585">
        <f>IF(ISNA(VLOOKUP($D97,Справочник!DK:DM,3,0)),"-",VLOOKUP($D97,Справочник!DK:DM,3,0))</f>
        <v>0</v>
      </c>
    </row>
    <row r="98" spans="2:9" ht="112.5">
      <c r="B98" s="2505">
        <v>89</v>
      </c>
      <c r="C98" s="2506">
        <v>44657</v>
      </c>
      <c r="D98" s="2746" t="s">
        <v>9877</v>
      </c>
      <c r="E98" s="2507" t="s">
        <v>14799</v>
      </c>
      <c r="F98" s="2507" t="s">
        <v>14800</v>
      </c>
      <c r="G98" s="2508" t="s">
        <v>14828</v>
      </c>
      <c r="H98" s="2508" t="s">
        <v>14585</v>
      </c>
      <c r="I98" s="2585">
        <f>IF(ISNA(VLOOKUP($D98,Справочник!DK:DM,3,0)),"-",VLOOKUP($D98,Справочник!DK:DM,3,0))</f>
        <v>0</v>
      </c>
    </row>
    <row r="99" spans="2:9">
      <c r="B99" s="2505">
        <v>90</v>
      </c>
      <c r="C99" s="2506">
        <v>44658</v>
      </c>
      <c r="D99" s="2746" t="s">
        <v>742</v>
      </c>
      <c r="E99" s="2507" t="s">
        <v>14801</v>
      </c>
      <c r="F99" s="2507" t="s">
        <v>14785</v>
      </c>
      <c r="G99" s="2508" t="s">
        <v>14828</v>
      </c>
      <c r="H99" s="2508" t="s">
        <v>14611</v>
      </c>
      <c r="I99" s="2585" t="str">
        <f>IF(ISNA(VLOOKUP($D99,Справочник!DK:DM,3,0)),"-",VLOOKUP($D99,Справочник!DK:DM,3,0))</f>
        <v>Андреев Сергей Евгеньевич  SeEAndreev@rosatom.ru  (499) 949-44-84</v>
      </c>
    </row>
    <row r="100" spans="2:9">
      <c r="B100" s="2505">
        <v>91</v>
      </c>
      <c r="C100" s="2506">
        <v>44658</v>
      </c>
      <c r="D100" s="2746" t="s">
        <v>2088</v>
      </c>
      <c r="E100" s="2507" t="s">
        <v>14801</v>
      </c>
      <c r="F100" s="2507" t="s">
        <v>14802</v>
      </c>
      <c r="G100" s="2508" t="s">
        <v>14828</v>
      </c>
      <c r="H100" s="2508" t="s">
        <v>14611</v>
      </c>
      <c r="I100" s="2585" t="str">
        <f>IF(ISNA(VLOOKUP($D100,Справочник!DK:DM,3,0)),"-",VLOOKUP($D100,Справочник!DK:DM,3,0))</f>
        <v>Андреев Сергей Евгеньевич  SeEAndreev@rosatom.ru  (499) 949-44-84</v>
      </c>
    </row>
    <row r="101" spans="2:9" ht="25">
      <c r="B101" s="2505">
        <v>92</v>
      </c>
      <c r="C101" s="2506">
        <v>44658</v>
      </c>
      <c r="D101" s="2746" t="s">
        <v>3407</v>
      </c>
      <c r="E101" s="2507" t="s">
        <v>14801</v>
      </c>
      <c r="F101" s="2507" t="s">
        <v>14803</v>
      </c>
      <c r="G101" s="2508" t="s">
        <v>14828</v>
      </c>
      <c r="H101" s="2508"/>
      <c r="I101" s="2585" t="str">
        <f>IF(ISNA(VLOOKUP($D101,Справочник!DK:DM,3,0)),"-",VLOOKUP($D101,Справочник!DK:DM,3,0))</f>
        <v>Новик Екатерина Михайловна &lt;EMNovik@rosatom.ru&gt;  (499) 949-27-01</v>
      </c>
    </row>
    <row r="102" spans="2:9">
      <c r="B102" s="2505">
        <v>93</v>
      </c>
      <c r="C102" s="2506">
        <v>44659</v>
      </c>
      <c r="D102" s="2746" t="s">
        <v>9877</v>
      </c>
      <c r="E102" s="2507" t="s">
        <v>14801</v>
      </c>
      <c r="F102" s="2507" t="s">
        <v>14805</v>
      </c>
      <c r="G102" s="2508" t="s">
        <v>14828</v>
      </c>
      <c r="H102" s="2508" t="s">
        <v>14728</v>
      </c>
      <c r="I102" s="2585">
        <f>IF(ISNA(VLOOKUP($D102,Справочник!DK:DM,3,0)),"-",VLOOKUP($D102,Справочник!DK:DM,3,0))</f>
        <v>0</v>
      </c>
    </row>
    <row r="103" spans="2:9" ht="37.5">
      <c r="B103" s="2505">
        <v>94</v>
      </c>
      <c r="C103" s="2506">
        <v>44659</v>
      </c>
      <c r="D103" s="2746" t="s">
        <v>3407</v>
      </c>
      <c r="E103" s="2507" t="s">
        <v>14801</v>
      </c>
      <c r="F103" s="2507" t="s">
        <v>14810</v>
      </c>
      <c r="G103" s="2508" t="s">
        <v>14828</v>
      </c>
      <c r="H103" s="2508" t="s">
        <v>14728</v>
      </c>
      <c r="I103" s="2585" t="str">
        <f>IF(ISNA(VLOOKUP($D103,Справочник!DK:DM,3,0)),"-",VLOOKUP($D103,Справочник!DK:DM,3,0))</f>
        <v>Новик Екатерина Михайловна &lt;EMNovik@rosatom.ru&gt;  (499) 949-27-01</v>
      </c>
    </row>
    <row r="104" spans="2:9" ht="25">
      <c r="B104" s="2505">
        <v>95</v>
      </c>
      <c r="C104" s="2506">
        <v>44659</v>
      </c>
      <c r="D104" s="2746" t="s">
        <v>5264</v>
      </c>
      <c r="E104" s="2507" t="s">
        <v>14806</v>
      </c>
      <c r="F104" s="2507" t="s">
        <v>14807</v>
      </c>
      <c r="G104" s="2508" t="s">
        <v>14828</v>
      </c>
      <c r="H104" s="2508" t="s">
        <v>14585</v>
      </c>
      <c r="I104" s="2585" t="str">
        <f>IF(ISNA(VLOOKUP($D104,Справочник!DK:DM,3,0)),"-",VLOOKUP($D104,Справочник!DK:DM,3,0))</f>
        <v>Гуров Александр Анатольевич AAGurov@rosatom.ru  (499) 949-41-27</v>
      </c>
    </row>
    <row r="105" spans="2:9" ht="37.5">
      <c r="B105" s="2505">
        <v>96</v>
      </c>
      <c r="C105" s="2506">
        <v>44659</v>
      </c>
      <c r="D105" s="2746" t="s">
        <v>9877</v>
      </c>
      <c r="E105" s="2507" t="s">
        <v>14808</v>
      </c>
      <c r="F105" s="2507" t="s">
        <v>14809</v>
      </c>
      <c r="G105" s="2508" t="s">
        <v>14828</v>
      </c>
      <c r="H105" s="2508" t="s">
        <v>14585</v>
      </c>
      <c r="I105" s="2585">
        <f>IF(ISNA(VLOOKUP($D105,Справочник!DK:DM,3,0)),"-",VLOOKUP($D105,Справочник!DK:DM,3,0))</f>
        <v>0</v>
      </c>
    </row>
    <row r="106" spans="2:9" ht="25">
      <c r="B106" s="2505">
        <v>97</v>
      </c>
      <c r="C106" s="2506">
        <v>44662</v>
      </c>
      <c r="D106" s="2746" t="s">
        <v>2843</v>
      </c>
      <c r="E106" s="2507" t="s">
        <v>14812</v>
      </c>
      <c r="F106" s="2507" t="s">
        <v>14811</v>
      </c>
      <c r="G106" s="2508" t="s">
        <v>14828</v>
      </c>
      <c r="H106" s="2508" t="s">
        <v>14599</v>
      </c>
      <c r="I106" s="2585" t="str">
        <f>IF(ISNA(VLOOKUP($D106,Справочник!DK:DM,3,0)),"-",VLOOKUP($D106,Справочник!DK:DM,3,0))</f>
        <v>Храмченко Светлана Игоревна SIKhramchenko@rosatom.ru  (499) 949-4193</v>
      </c>
    </row>
    <row r="107" spans="2:9" ht="25">
      <c r="B107" s="2505">
        <v>98</v>
      </c>
      <c r="C107" s="2506">
        <v>44662</v>
      </c>
      <c r="D107" s="2746" t="s">
        <v>3405</v>
      </c>
      <c r="E107" s="2507" t="s">
        <v>14812</v>
      </c>
      <c r="F107" s="2507" t="s">
        <v>14813</v>
      </c>
      <c r="G107" s="2508" t="s">
        <v>14828</v>
      </c>
      <c r="H107" s="2508" t="s">
        <v>14728</v>
      </c>
      <c r="I107" s="2585" t="str">
        <f>IF(ISNA(VLOOKUP($D107,Справочник!DK:DM,3,0)),"-",VLOOKUP($D107,Справочник!DK:DM,3,0))</f>
        <v>Новик Екатерина Михайловна &lt;EMNovik@rosatom.ru&gt;  (499) 949-27-01</v>
      </c>
    </row>
    <row r="108" spans="2:9" ht="25">
      <c r="B108" s="2505">
        <v>99</v>
      </c>
      <c r="C108" s="2506">
        <v>44662</v>
      </c>
      <c r="D108" s="2746" t="s">
        <v>3407</v>
      </c>
      <c r="E108" s="2507" t="s">
        <v>14812</v>
      </c>
      <c r="F108" s="2507" t="s">
        <v>14814</v>
      </c>
      <c r="G108" s="2508" t="s">
        <v>14828</v>
      </c>
      <c r="H108" s="2508" t="s">
        <v>14728</v>
      </c>
      <c r="I108" s="2585" t="str">
        <f>IF(ISNA(VLOOKUP($D108,Справочник!DK:DM,3,0)),"-",VLOOKUP($D108,Справочник!DK:DM,3,0))</f>
        <v>Новик Екатерина Михайловна &lt;EMNovik@rosatom.ru&gt;  (499) 949-27-01</v>
      </c>
    </row>
    <row r="109" spans="2:9" ht="25">
      <c r="B109" s="2505">
        <v>100</v>
      </c>
      <c r="C109" s="2506">
        <v>44662</v>
      </c>
      <c r="D109" s="2746" t="s">
        <v>919</v>
      </c>
      <c r="E109" s="2507" t="s">
        <v>14815</v>
      </c>
      <c r="F109" s="2507" t="s">
        <v>14816</v>
      </c>
      <c r="G109" s="2508" t="s">
        <v>14828</v>
      </c>
      <c r="H109" s="2508" t="s">
        <v>14585</v>
      </c>
      <c r="I109" s="2585" t="str">
        <f>IF(ISNA(VLOOKUP($D109,Справочник!DK:DM,3,0)),"-",VLOOKUP($D109,Справочник!DK:DM,3,0))</f>
        <v>Андреев Сергей Евгеньевич  SeEAndreev@rosatom.ru  (499) 949-44-84</v>
      </c>
    </row>
    <row r="110" spans="2:9" ht="37.5">
      <c r="B110" s="2505">
        <v>101</v>
      </c>
      <c r="C110" s="2506">
        <v>44662</v>
      </c>
      <c r="D110" s="2746" t="s">
        <v>5264</v>
      </c>
      <c r="E110" s="2507" t="s">
        <v>14817</v>
      </c>
      <c r="F110" s="2507" t="s">
        <v>14818</v>
      </c>
      <c r="G110" s="2508" t="s">
        <v>14828</v>
      </c>
      <c r="H110" s="2508" t="s">
        <v>14585</v>
      </c>
      <c r="I110" s="2585" t="str">
        <f>IF(ISNA(VLOOKUP($D110,Справочник!DK:DM,3,0)),"-",VLOOKUP($D110,Справочник!DK:DM,3,0))</f>
        <v>Гуров Александр Анатольевич AAGurov@rosatom.ru  (499) 949-41-27</v>
      </c>
    </row>
    <row r="111" spans="2:9" ht="25">
      <c r="B111" s="2505">
        <v>102</v>
      </c>
      <c r="C111" s="2506">
        <v>44662</v>
      </c>
      <c r="D111" s="2746" t="s">
        <v>3413</v>
      </c>
      <c r="E111" s="2507" t="s">
        <v>14815</v>
      </c>
      <c r="F111" s="2507" t="s">
        <v>14819</v>
      </c>
      <c r="G111" s="2508" t="s">
        <v>14828</v>
      </c>
      <c r="H111" s="2508" t="s">
        <v>14728</v>
      </c>
      <c r="I111" s="2585" t="str">
        <f>IF(ISNA(VLOOKUP($D111,Справочник!DK:DM,3,0)),"-",VLOOKUP($D111,Справочник!DK:DM,3,0))</f>
        <v>Новик Екатерина Михайловна &lt;EMNovik@rosatom.ru&gt;  (499) 949-27-01</v>
      </c>
    </row>
    <row r="112" spans="2:9" ht="50">
      <c r="B112" s="2505">
        <v>103</v>
      </c>
      <c r="C112" s="2506">
        <v>44662</v>
      </c>
      <c r="D112" s="2746">
        <v>96</v>
      </c>
      <c r="E112" s="2507" t="s">
        <v>14820</v>
      </c>
      <c r="F112" s="2507" t="s">
        <v>14821</v>
      </c>
      <c r="G112" s="2508" t="s">
        <v>14828</v>
      </c>
      <c r="H112" s="2508" t="s">
        <v>14585</v>
      </c>
      <c r="I112" s="2585" t="str">
        <f>IF(ISNA(VLOOKUP($D112,Справочник!DK:DM,3,0)),"-",VLOOKUP($D112,Справочник!DK:DM,3,0))</f>
        <v>Гуров Александр Анатольевич AAGurov@rosatom.ru  (499) 949-41-27</v>
      </c>
    </row>
    <row r="113" spans="2:9" ht="50">
      <c r="B113" s="2505">
        <v>104</v>
      </c>
      <c r="C113" s="2506">
        <v>44662</v>
      </c>
      <c r="D113" s="2746" t="s">
        <v>7914</v>
      </c>
      <c r="E113" s="2507" t="s">
        <v>14822</v>
      </c>
      <c r="F113" s="2507" t="s">
        <v>14823</v>
      </c>
      <c r="G113" s="2508" t="s">
        <v>14828</v>
      </c>
      <c r="H113" s="2508" t="s">
        <v>14585</v>
      </c>
      <c r="I113" s="2585" t="str">
        <f>IF(ISNA(VLOOKUP($D113,Справочник!DK:DM,3,0)),"-",VLOOKUP($D113,Справочник!DK:DM,3,0))</f>
        <v>Гуров Александр Анатольевич AAGurov@rosatom.ru  (499) 949-41-27</v>
      </c>
    </row>
    <row r="114" spans="2:9">
      <c r="B114" s="2505">
        <v>105</v>
      </c>
      <c r="C114" s="2506">
        <v>44663</v>
      </c>
      <c r="D114" s="2746" t="s">
        <v>742</v>
      </c>
      <c r="E114" s="2507" t="s">
        <v>14801</v>
      </c>
      <c r="F114" s="2507" t="s">
        <v>14785</v>
      </c>
      <c r="G114" s="2508" t="s">
        <v>14828</v>
      </c>
      <c r="H114" s="2508" t="s">
        <v>14728</v>
      </c>
      <c r="I114" s="2585" t="str">
        <f>IF(ISNA(VLOOKUP($D114,Справочник!DK:DM,3,0)),"-",VLOOKUP($D114,Справочник!DK:DM,3,0))</f>
        <v>Андреев Сергей Евгеньевич  SeEAndreev@rosatom.ru  (499) 949-44-84</v>
      </c>
    </row>
    <row r="115" spans="2:9" ht="25">
      <c r="B115" s="2505">
        <v>106</v>
      </c>
      <c r="C115" s="2506">
        <v>44663</v>
      </c>
      <c r="D115" s="2746" t="s">
        <v>9877</v>
      </c>
      <c r="E115" s="2507" t="s">
        <v>14815</v>
      </c>
      <c r="F115" s="2507" t="s">
        <v>14824</v>
      </c>
      <c r="G115" s="2508" t="s">
        <v>14828</v>
      </c>
      <c r="H115" s="2508" t="s">
        <v>14599</v>
      </c>
      <c r="I115" s="2585">
        <f>IF(ISNA(VLOOKUP($D115,Справочник!DK:DM,3,0)),"-",VLOOKUP($D115,Справочник!DK:DM,3,0))</f>
        <v>0</v>
      </c>
    </row>
    <row r="116" spans="2:9" ht="25">
      <c r="B116" s="2505">
        <v>107</v>
      </c>
      <c r="C116" s="2506">
        <v>44663</v>
      </c>
      <c r="D116" s="2746" t="s">
        <v>3430</v>
      </c>
      <c r="E116" s="2507" t="s">
        <v>14812</v>
      </c>
      <c r="F116" s="2507" t="s">
        <v>14813</v>
      </c>
      <c r="G116" s="2508" t="s">
        <v>14828</v>
      </c>
      <c r="H116" s="2508" t="s">
        <v>14728</v>
      </c>
      <c r="I116" s="2585" t="str">
        <f>IF(ISNA(VLOOKUP($D116,Справочник!DK:DM,3,0)),"-",VLOOKUP($D116,Справочник!DK:DM,3,0))</f>
        <v>Новик Екатерина Михайловна &lt;EMNovik@rosatom.ru&gt;  (499) 949-27-01</v>
      </c>
    </row>
    <row r="117" spans="2:9" ht="113.5">
      <c r="B117" s="2505">
        <v>108</v>
      </c>
      <c r="C117" s="2506">
        <v>44663</v>
      </c>
      <c r="D117" s="2746" t="s">
        <v>8379</v>
      </c>
      <c r="E117" s="2507" t="s">
        <v>14801</v>
      </c>
      <c r="F117" s="2507" t="s">
        <v>14826</v>
      </c>
      <c r="G117" s="2508" t="s">
        <v>14828</v>
      </c>
      <c r="H117" s="2508" t="s">
        <v>14825</v>
      </c>
      <c r="I117" s="2585" t="str">
        <f>IF(ISNA(VLOOKUP($D117,Справочник!DK:DM,3,0)),"-",VLOOKUP($D117,Справочник!DK:DM,3,0))</f>
        <v>Емельянова Наталия Валериевна  NVEmelyanova@rosatom.ru  (499) 949-47-82</v>
      </c>
    </row>
    <row r="118" spans="2:9" ht="64.400000000000006" customHeight="1">
      <c r="B118" s="2505">
        <v>109</v>
      </c>
      <c r="C118" s="2506">
        <v>44663</v>
      </c>
      <c r="D118" s="2746" t="s">
        <v>8379</v>
      </c>
      <c r="E118" s="2507" t="s">
        <v>14815</v>
      </c>
      <c r="F118" s="2507" t="s">
        <v>14827</v>
      </c>
      <c r="G118" s="2508" t="s">
        <v>14828</v>
      </c>
      <c r="H118" s="2508" t="s">
        <v>14825</v>
      </c>
      <c r="I118" s="2585" t="str">
        <f>IF(ISNA(VLOOKUP($D118,Справочник!DK:DM,3,0)),"-",VLOOKUP($D118,Справочник!DK:DM,3,0))</f>
        <v>Емельянова Наталия Валериевна  NVEmelyanova@rosatom.ru  (499) 949-47-82</v>
      </c>
    </row>
    <row r="119" spans="2:9" ht="75">
      <c r="B119" s="2505">
        <v>110</v>
      </c>
      <c r="C119" s="2506">
        <v>44665</v>
      </c>
      <c r="D119" s="2746" t="s">
        <v>7879</v>
      </c>
      <c r="E119" s="2507" t="s">
        <v>14801</v>
      </c>
      <c r="F119" s="2507" t="s">
        <v>14829</v>
      </c>
      <c r="G119" s="2508" t="s">
        <v>14828</v>
      </c>
      <c r="H119" s="2508" t="s">
        <v>14728</v>
      </c>
      <c r="I119" s="2585" t="str">
        <f>IF(ISNA(VLOOKUP($D119,Справочник!DK:DM,3,0)),"-",VLOOKUP($D119,Справочник!DK:DM,3,0))</f>
        <v>Гуров Александр Анатольевич AAGurov@rosatom.ru  (499) 949-41-27</v>
      </c>
    </row>
    <row r="120" spans="2:9" ht="25">
      <c r="B120" s="2505">
        <v>111</v>
      </c>
      <c r="C120" s="2506">
        <v>44671</v>
      </c>
      <c r="D120" s="2746" t="s">
        <v>5036</v>
      </c>
      <c r="E120" s="2507" t="s">
        <v>14855</v>
      </c>
      <c r="F120" s="2507" t="s">
        <v>14856</v>
      </c>
      <c r="G120" s="2508" t="s">
        <v>14828</v>
      </c>
      <c r="H120" s="2508" t="s">
        <v>14588</v>
      </c>
      <c r="I120" s="2585" t="str">
        <f>IF(ISNA(VLOOKUP($D120,Справочник!DK:DM,3,0)),"-",VLOOKUP($D120,Справочник!DK:DM,3,0))</f>
        <v>Денисова Ольга Александровна  OAlDenisova@rosatom.ru  (499) 949-41-89</v>
      </c>
    </row>
    <row r="121" spans="2:9" ht="31.5">
      <c r="B121" s="2505">
        <v>112</v>
      </c>
      <c r="C121" s="2506">
        <v>44692</v>
      </c>
      <c r="D121" s="2746" t="s">
        <v>7502</v>
      </c>
      <c r="E121" s="2507" t="s">
        <v>10033</v>
      </c>
      <c r="F121" s="3521" t="s">
        <v>14860</v>
      </c>
      <c r="G121" s="2508" t="s">
        <v>14859</v>
      </c>
      <c r="H121" s="2508" t="s">
        <v>14599</v>
      </c>
      <c r="I121" s="2585" t="str">
        <f>IF(ISNA(VLOOKUP($D121,Справочник!DK:DM,3,0)),"-",VLOOKUP($D121,Справочник!DK:DM,3,0))</f>
        <v>Козлов Николай Викторович  NiVKozlov@rosatom.ru  (499) 949-47-02</v>
      </c>
    </row>
    <row r="122" spans="2:9" ht="31.5">
      <c r="B122" s="2505">
        <v>113</v>
      </c>
      <c r="C122" s="2506">
        <v>44700</v>
      </c>
      <c r="D122" s="2746">
        <v>46</v>
      </c>
      <c r="E122" s="2507" t="s">
        <v>14626</v>
      </c>
      <c r="F122" s="3521" t="s">
        <v>14861</v>
      </c>
      <c r="G122" s="2508" t="s">
        <v>14859</v>
      </c>
      <c r="H122" s="2508" t="s">
        <v>14634</v>
      </c>
      <c r="I122" s="2585" t="str">
        <f>IF(ISNA(VLOOKUP($D122,Справочник!DK:DM,3,0)),"-",VLOOKUP($D122,Справочник!DK:DM,3,0))</f>
        <v>Емельянова Наталия Валериевна  NVEmelyanova@rosatom.ru  (499) 949-47-82</v>
      </c>
    </row>
    <row r="123" spans="2:9" ht="55.4" customHeight="1">
      <c r="B123" s="2505">
        <v>114</v>
      </c>
      <c r="C123" s="2506">
        <v>44700</v>
      </c>
      <c r="D123" s="2746" t="s">
        <v>9877</v>
      </c>
      <c r="E123" s="2507" t="s">
        <v>14815</v>
      </c>
      <c r="F123" s="3521" t="s">
        <v>10321</v>
      </c>
      <c r="G123" s="2508" t="s">
        <v>14859</v>
      </c>
      <c r="H123" s="2508" t="s">
        <v>14634</v>
      </c>
      <c r="I123" s="2585">
        <f>IF(ISNA(VLOOKUP($D123,Справочник!DK:DM,3,0)),"-",VLOOKUP($D123,Справочник!DK:DM,3,0))</f>
        <v>0</v>
      </c>
    </row>
    <row r="124" spans="2:9" ht="67.400000000000006" customHeight="1">
      <c r="B124" s="2505">
        <v>115</v>
      </c>
      <c r="C124" s="2506">
        <v>44705</v>
      </c>
      <c r="D124" s="2746" t="s">
        <v>9877</v>
      </c>
      <c r="E124" s="2507" t="s">
        <v>14626</v>
      </c>
      <c r="F124" s="2507" t="s">
        <v>14870</v>
      </c>
      <c r="G124" s="2508" t="s">
        <v>14859</v>
      </c>
      <c r="H124" s="2508" t="s">
        <v>14728</v>
      </c>
      <c r="I124" s="2585">
        <f>IF(ISNA(VLOOKUP($D124,Справочник!DK:DM,3,0)),"-",VLOOKUP($D124,Справочник!DK:DM,3,0))</f>
        <v>0</v>
      </c>
    </row>
    <row r="125" spans="2:9" ht="62.5">
      <c r="B125" s="2505">
        <v>116</v>
      </c>
      <c r="C125" s="2506">
        <v>44705</v>
      </c>
      <c r="D125" s="2746" t="s">
        <v>9877</v>
      </c>
      <c r="E125" s="2507" t="s">
        <v>14873</v>
      </c>
      <c r="F125" s="2507" t="s">
        <v>14874</v>
      </c>
      <c r="G125" s="2508" t="s">
        <v>14859</v>
      </c>
      <c r="H125" s="2508"/>
      <c r="I125" s="2585">
        <f>IF(ISNA(VLOOKUP($D125,Справочник!DK:DM,3,0)),"-",VLOOKUP($D125,Справочник!DK:DM,3,0))</f>
        <v>0</v>
      </c>
    </row>
    <row r="126" spans="2:9" ht="25">
      <c r="B126" s="2505">
        <v>117</v>
      </c>
      <c r="C126" s="2506">
        <v>44706</v>
      </c>
      <c r="D126" s="2746" t="s">
        <v>5036</v>
      </c>
      <c r="E126" s="2507" t="s">
        <v>14855</v>
      </c>
      <c r="F126" s="2507" t="s">
        <v>14875</v>
      </c>
      <c r="G126" s="2508" t="s">
        <v>14859</v>
      </c>
      <c r="H126" s="2508" t="s">
        <v>14588</v>
      </c>
      <c r="I126" s="2585" t="str">
        <f>IF(ISNA(VLOOKUP($D126,Справочник!DK:DM,3,0)),"-",VLOOKUP($D126,Справочник!DK:DM,3,0))</f>
        <v>Денисова Ольга Александровна  OAlDenisova@rosatom.ru  (499) 949-41-89</v>
      </c>
    </row>
    <row r="127" spans="2:9">
      <c r="B127" s="2505">
        <v>118</v>
      </c>
      <c r="C127" s="2506">
        <v>44706</v>
      </c>
      <c r="D127" s="2746" t="s">
        <v>2822</v>
      </c>
      <c r="E127" s="2507" t="s">
        <v>14626</v>
      </c>
      <c r="F127" s="2507" t="s">
        <v>14876</v>
      </c>
      <c r="G127" s="2508" t="s">
        <v>14859</v>
      </c>
      <c r="H127" s="2508" t="s">
        <v>14611</v>
      </c>
      <c r="I127" s="2585" t="str">
        <f>IF(ISNA(VLOOKUP($D127,Справочник!DK:DM,3,0)),"-",VLOOKUP($D127,Справочник!DK:DM,3,0))</f>
        <v>Малахай Виктория Николаевна  VNMalakhay@rosatom.ru  (499) 949-48-22</v>
      </c>
    </row>
    <row r="128" spans="2:9">
      <c r="B128" s="2505">
        <v>119</v>
      </c>
      <c r="C128" s="2506">
        <v>44706</v>
      </c>
      <c r="D128" s="2746" t="s">
        <v>7882</v>
      </c>
      <c r="E128" s="2507" t="s">
        <v>14877</v>
      </c>
      <c r="F128" s="2507" t="s">
        <v>14878</v>
      </c>
      <c r="G128" s="2508" t="s">
        <v>14859</v>
      </c>
      <c r="H128" s="2508" t="s">
        <v>14611</v>
      </c>
      <c r="I128" s="2585" t="str">
        <f>IF(ISNA(VLOOKUP($D128,Справочник!DK:DM,3,0)),"-",VLOOKUP($D128,Справочник!DK:DM,3,0))</f>
        <v>Малахай Виктория Николаевна  VNMalakhay@rosatom.ru  (499) 949-48-22</v>
      </c>
    </row>
    <row r="129" spans="2:9" ht="25">
      <c r="B129" s="2505">
        <v>120</v>
      </c>
      <c r="C129" s="2506">
        <v>44706</v>
      </c>
      <c r="D129" s="2746" t="s">
        <v>3407</v>
      </c>
      <c r="E129" s="2507" t="s">
        <v>14855</v>
      </c>
      <c r="F129" s="2507" t="s">
        <v>14879</v>
      </c>
      <c r="G129" s="2508" t="s">
        <v>14859</v>
      </c>
      <c r="H129" s="2508" t="s">
        <v>14568</v>
      </c>
      <c r="I129" s="2585" t="str">
        <f>IF(ISNA(VLOOKUP($D129,Справочник!DK:DM,3,0)),"-",VLOOKUP($D129,Справочник!DK:DM,3,0))</f>
        <v>Новик Екатерина Михайловна &lt;EMNovik@rosatom.ru&gt;  (499) 949-27-01</v>
      </c>
    </row>
    <row r="130" spans="2:9">
      <c r="B130" s="2505">
        <v>121</v>
      </c>
      <c r="C130" s="2506">
        <v>44708</v>
      </c>
      <c r="D130" s="2746" t="s">
        <v>3407</v>
      </c>
      <c r="E130" s="2507" t="s">
        <v>14626</v>
      </c>
      <c r="F130" s="2507" t="s">
        <v>14880</v>
      </c>
      <c r="G130" s="2508" t="s">
        <v>14859</v>
      </c>
      <c r="H130" s="2508" t="s">
        <v>14611</v>
      </c>
      <c r="I130" s="2585" t="str">
        <f>IF(ISNA(VLOOKUP($D130,Справочник!DK:DM,3,0)),"-",VLOOKUP($D130,Справочник!DK:DM,3,0))</f>
        <v>Новик Екатерина Михайловна &lt;EMNovik@rosatom.ru&gt;  (499) 949-27-01</v>
      </c>
    </row>
    <row r="131" spans="2:9">
      <c r="B131" s="2505">
        <v>122</v>
      </c>
      <c r="C131" s="2506">
        <v>44708</v>
      </c>
      <c r="D131" s="2746" t="s">
        <v>919</v>
      </c>
      <c r="E131" s="2507" t="s">
        <v>14855</v>
      </c>
      <c r="F131" s="2507" t="s">
        <v>14882</v>
      </c>
      <c r="G131" s="2508" t="s">
        <v>14859</v>
      </c>
      <c r="H131" s="2508" t="s">
        <v>14568</v>
      </c>
      <c r="I131" s="2585" t="str">
        <f>IF(ISNA(VLOOKUP($D131,Справочник!DK:DM,3,0)),"-",VLOOKUP($D131,Справочник!DK:DM,3,0))</f>
        <v>Андреев Сергей Евгеньевич  SeEAndreev@rosatom.ru  (499) 949-44-84</v>
      </c>
    </row>
    <row r="132" spans="2:9" ht="297" customHeight="1">
      <c r="B132" s="2505">
        <v>123</v>
      </c>
      <c r="C132" s="2506">
        <v>44711</v>
      </c>
      <c r="D132" s="2746">
        <v>76</v>
      </c>
      <c r="E132" s="3149" t="s">
        <v>10036</v>
      </c>
      <c r="F132" s="2507" t="s">
        <v>14893</v>
      </c>
      <c r="G132" s="2508" t="s">
        <v>14859</v>
      </c>
      <c r="H132" s="2508" t="s">
        <v>14825</v>
      </c>
      <c r="I132" s="2585" t="str">
        <f>IF(ISNA(VLOOKUP($D132,Справочник!DK:DM,3,0)),"-",VLOOKUP($D132,Справочник!DK:DM,3,0))</f>
        <v>Емельянова Наталия Валериевна  NVEmelyanova@rosatom.ru  (499) 949-47-82</v>
      </c>
    </row>
    <row r="133" spans="2:9">
      <c r="B133" s="2505">
        <v>124</v>
      </c>
      <c r="C133" s="2506">
        <v>44711</v>
      </c>
      <c r="D133" s="2746" t="s">
        <v>9877</v>
      </c>
      <c r="E133" s="2507" t="s">
        <v>14626</v>
      </c>
      <c r="F133" s="2507" t="s">
        <v>14894</v>
      </c>
      <c r="G133" s="2508" t="s">
        <v>14859</v>
      </c>
      <c r="H133" s="2508" t="s">
        <v>14825</v>
      </c>
      <c r="I133" s="2585">
        <f>IF(ISNA(VLOOKUP($D133,Справочник!DK:DM,3,0)),"-",VLOOKUP($D133,Справочник!DK:DM,3,0))</f>
        <v>0</v>
      </c>
    </row>
    <row r="134" spans="2:9">
      <c r="B134" s="2505">
        <v>125</v>
      </c>
      <c r="C134" s="2506">
        <v>44714</v>
      </c>
      <c r="D134" s="2746" t="s">
        <v>3407</v>
      </c>
      <c r="E134" s="2507" t="s">
        <v>14855</v>
      </c>
      <c r="F134" s="2507" t="s">
        <v>14896</v>
      </c>
      <c r="G134" s="2508" t="s">
        <v>14859</v>
      </c>
      <c r="H134" s="2508" t="s">
        <v>14611</v>
      </c>
      <c r="I134" s="2585" t="str">
        <f>IF(ISNA(VLOOKUP($D134,Справочник!DK:DM,3,0)),"-",VLOOKUP($D134,Справочник!DK:DM,3,0))</f>
        <v>Новик Екатерина Михайловна &lt;EMNovik@rosatom.ru&gt;  (499) 949-27-01</v>
      </c>
    </row>
    <row r="135" spans="2:9" ht="70.5">
      <c r="B135" s="2505">
        <v>126</v>
      </c>
      <c r="C135" s="2506">
        <v>44715</v>
      </c>
      <c r="D135" s="2746" t="s">
        <v>7502</v>
      </c>
      <c r="E135" s="2507" t="s">
        <v>10033</v>
      </c>
      <c r="F135" s="3521" t="s">
        <v>14902</v>
      </c>
      <c r="G135" s="2508" t="s">
        <v>14859</v>
      </c>
      <c r="H135" s="2508" t="s">
        <v>14355</v>
      </c>
      <c r="I135" s="2585" t="str">
        <f>IF(ISNA(VLOOKUP($D135,Справочник!DK:DM,3,0)),"-",VLOOKUP($D135,Справочник!DK:DM,3,0))</f>
        <v>Козлов Николай Викторович  NiVKozlov@rosatom.ru  (499) 949-47-02</v>
      </c>
    </row>
    <row r="136" spans="2:9" ht="31.5">
      <c r="B136" s="2505">
        <v>127</v>
      </c>
      <c r="C136" s="2506">
        <v>44715</v>
      </c>
      <c r="D136" s="2746" t="s">
        <v>7502</v>
      </c>
      <c r="E136" s="2507" t="s">
        <v>10033</v>
      </c>
      <c r="F136" s="3521" t="s">
        <v>14903</v>
      </c>
      <c r="G136" s="2508" t="s">
        <v>14859</v>
      </c>
      <c r="H136" s="2508" t="s">
        <v>14599</v>
      </c>
      <c r="I136" s="2585" t="str">
        <f>IF(ISNA(VLOOKUP($D136,Справочник!DK:DM,3,0)),"-",VLOOKUP($D136,Справочник!DK:DM,3,0))</f>
        <v>Козлов Николай Викторович  NiVKozlov@rosatom.ru  (499) 949-47-02</v>
      </c>
    </row>
    <row r="137" spans="2:9" ht="25">
      <c r="B137" s="2505">
        <v>128</v>
      </c>
      <c r="C137" s="2506">
        <v>44719</v>
      </c>
      <c r="D137" s="2746" t="s">
        <v>5266</v>
      </c>
      <c r="E137" s="2507" t="s">
        <v>14815</v>
      </c>
      <c r="F137" s="2507" t="s">
        <v>14904</v>
      </c>
      <c r="G137" s="2508" t="s">
        <v>14859</v>
      </c>
      <c r="H137" s="2508" t="s">
        <v>14634</v>
      </c>
      <c r="I137" s="2585" t="str">
        <f>IF(ISNA(VLOOKUP($D137,Справочник!DK:DM,3,0)),"-",VLOOKUP($D137,Справочник!DK:DM,3,0))</f>
        <v>Андреев Сергей Евгеньевич  SeEAndreev@rosatom.ru  (499) 949-44-84</v>
      </c>
    </row>
    <row r="138" spans="2:9" ht="71.150000000000006" customHeight="1">
      <c r="B138" s="2505">
        <v>129</v>
      </c>
      <c r="C138" s="2506">
        <v>44719</v>
      </c>
      <c r="D138" s="2746" t="s">
        <v>424</v>
      </c>
      <c r="E138" s="2507" t="s">
        <v>14906</v>
      </c>
      <c r="F138" s="2507" t="s">
        <v>14905</v>
      </c>
      <c r="G138" s="2508" t="s">
        <v>14859</v>
      </c>
      <c r="H138" s="2508" t="s">
        <v>14585</v>
      </c>
      <c r="I138" s="2585" t="str">
        <f>IF(ISNA(VLOOKUP($D138,Справочник!DK:DM,3,0)),"-",VLOOKUP($D138,Справочник!DK:DM,3,0))</f>
        <v xml:space="preserve">Емельянова Наталия Валериевна  NVEmelyanova@rosatom.ru  (499) 949-47-82
Гуров Александр Анатольевич AAGurov@rosatom.ru  (499) 949-41-27
</v>
      </c>
    </row>
    <row r="139" spans="2:9" ht="31.5">
      <c r="B139" s="2505">
        <f>B138+1</f>
        <v>130</v>
      </c>
      <c r="C139" s="2506">
        <v>44721</v>
      </c>
      <c r="D139" s="2746">
        <v>46</v>
      </c>
      <c r="E139" s="2507" t="s">
        <v>14637</v>
      </c>
      <c r="F139" s="3521" t="s">
        <v>14861</v>
      </c>
      <c r="G139" s="2508" t="s">
        <v>14917</v>
      </c>
      <c r="H139" s="2508" t="s">
        <v>14634</v>
      </c>
      <c r="I139" s="2585" t="str">
        <f>IF(ISNA(VLOOKUP($D139,Справочник!DK:DM,3,0)),"-",VLOOKUP($D139,Справочник!DK:DM,3,0))</f>
        <v>Емельянова Наталия Валериевна  NVEmelyanova@rosatom.ru  (499) 949-47-82</v>
      </c>
    </row>
    <row r="140" spans="2:9" ht="112.5">
      <c r="B140" s="2505">
        <f t="shared" ref="B140:B190" si="0">B139+1</f>
        <v>131</v>
      </c>
      <c r="C140" s="2506">
        <v>44729</v>
      </c>
      <c r="D140" s="2746" t="s">
        <v>5264</v>
      </c>
      <c r="E140" s="2507" t="s">
        <v>14911</v>
      </c>
      <c r="F140" s="2507" t="s">
        <v>14912</v>
      </c>
      <c r="G140" s="2508" t="str">
        <f>G139</f>
        <v>V8</v>
      </c>
      <c r="H140" s="2508" t="s">
        <v>14585</v>
      </c>
      <c r="I140" s="2585" t="str">
        <f>IF(ISNA(VLOOKUP($D140,Справочник!DK:DM,3,0)),"-",VLOOKUP($D140,Справочник!DK:DM,3,0))</f>
        <v>Гуров Александр Анатольевич AAGurov@rosatom.ru  (499) 949-41-27</v>
      </c>
    </row>
    <row r="141" spans="2:9" ht="25">
      <c r="B141" s="2505">
        <f t="shared" si="0"/>
        <v>132</v>
      </c>
      <c r="C141" s="2506">
        <v>44723</v>
      </c>
      <c r="D141" s="2746" t="s">
        <v>3405</v>
      </c>
      <c r="E141" s="2507" t="s">
        <v>14626</v>
      </c>
      <c r="F141" s="2507" t="s">
        <v>14914</v>
      </c>
      <c r="G141" s="2508" t="str">
        <f t="shared" ref="G141:G147" si="1">G140</f>
        <v>V8</v>
      </c>
      <c r="H141" s="2508" t="s">
        <v>14611</v>
      </c>
      <c r="I141" s="2585" t="str">
        <f>IF(ISNA(VLOOKUP($D141,Справочник!DK:DM,3,0)),"-",VLOOKUP($D141,Справочник!DK:DM,3,0))</f>
        <v>Новик Екатерина Михайловна &lt;EMNovik@rosatom.ru&gt;  (499) 949-27-01</v>
      </c>
    </row>
    <row r="142" spans="2:9" ht="25">
      <c r="B142" s="2505">
        <f t="shared" si="0"/>
        <v>133</v>
      </c>
      <c r="C142" s="2506">
        <v>44724</v>
      </c>
      <c r="D142" s="2746" t="s">
        <v>3407</v>
      </c>
      <c r="E142" s="2507" t="s">
        <v>14626</v>
      </c>
      <c r="F142" s="2507" t="s">
        <v>14915</v>
      </c>
      <c r="G142" s="2508" t="str">
        <f t="shared" si="1"/>
        <v>V8</v>
      </c>
      <c r="H142" s="2508" t="s">
        <v>14611</v>
      </c>
      <c r="I142" s="2585" t="str">
        <f>IF(ISNA(VLOOKUP($D142,Справочник!DK:DM,3,0)),"-",VLOOKUP($D142,Справочник!DK:DM,3,0))</f>
        <v>Новик Екатерина Михайловна &lt;EMNovik@rosatom.ru&gt;  (499) 949-27-01</v>
      </c>
    </row>
    <row r="143" spans="2:9" ht="25">
      <c r="B143" s="2505">
        <f t="shared" si="0"/>
        <v>134</v>
      </c>
      <c r="C143" s="2506">
        <v>44725</v>
      </c>
      <c r="D143" s="2746" t="s">
        <v>3413</v>
      </c>
      <c r="E143" s="2507" t="s">
        <v>14626</v>
      </c>
      <c r="F143" s="2507" t="s">
        <v>14916</v>
      </c>
      <c r="G143" s="2508" t="str">
        <f t="shared" si="1"/>
        <v>V8</v>
      </c>
      <c r="H143" s="2508"/>
      <c r="I143" s="2585" t="str">
        <f>IF(ISNA(VLOOKUP($D143,Справочник!DK:DM,3,0)),"-",VLOOKUP($D143,Справочник!DK:DM,3,0))</f>
        <v>Новик Екатерина Михайловна &lt;EMNovik@rosatom.ru&gt;  (499) 949-27-01</v>
      </c>
    </row>
    <row r="144" spans="2:9">
      <c r="B144" s="2505">
        <f t="shared" si="0"/>
        <v>135</v>
      </c>
      <c r="C144" s="2506">
        <v>44726</v>
      </c>
      <c r="D144" s="2746" t="s">
        <v>919</v>
      </c>
      <c r="E144" s="2507" t="s">
        <v>14919</v>
      </c>
      <c r="F144" s="2507" t="s">
        <v>14919</v>
      </c>
      <c r="G144" s="2508" t="s">
        <v>14918</v>
      </c>
      <c r="H144" s="2508" t="s">
        <v>14920</v>
      </c>
      <c r="I144" s="2585" t="str">
        <f>IF(ISNA(VLOOKUP($D144,Справочник!DK:DM,3,0)),"-",VLOOKUP($D144,Справочник!DK:DM,3,0))</f>
        <v>Андреев Сергей Евгеньевич  SeEAndreev@rosatom.ru  (499) 949-44-84</v>
      </c>
    </row>
    <row r="145" spans="2:9" ht="294" customHeight="1">
      <c r="B145" s="2505">
        <f t="shared" si="0"/>
        <v>136</v>
      </c>
      <c r="C145" s="2506">
        <v>44739</v>
      </c>
      <c r="D145" s="2746">
        <v>76</v>
      </c>
      <c r="E145" s="3149" t="s">
        <v>14939</v>
      </c>
      <c r="F145" s="2507" t="s">
        <v>14948</v>
      </c>
      <c r="G145" s="2508" t="s">
        <v>14940</v>
      </c>
      <c r="H145" s="2508" t="s">
        <v>14825</v>
      </c>
      <c r="I145" s="2585" t="str">
        <f>IF(ISNA(VLOOKUP($D145,Справочник!DK:DM,3,0)),"-",VLOOKUP($D145,Справочник!DK:DM,3,0))</f>
        <v>Емельянова Наталия Валериевна  NVEmelyanova@rosatom.ru  (499) 949-47-82</v>
      </c>
    </row>
    <row r="146" spans="2:9" ht="25">
      <c r="B146" s="2505">
        <f t="shared" si="0"/>
        <v>137</v>
      </c>
      <c r="C146" s="2506">
        <v>44739</v>
      </c>
      <c r="D146" s="2746" t="s">
        <v>5269</v>
      </c>
      <c r="E146" s="2507" t="s">
        <v>14946</v>
      </c>
      <c r="F146" s="2507" t="s">
        <v>14946</v>
      </c>
      <c r="G146" s="2508" t="str">
        <f t="shared" si="1"/>
        <v>V10</v>
      </c>
      <c r="H146" s="2508" t="s">
        <v>14611</v>
      </c>
      <c r="I146" s="2585" t="str">
        <f>IF(ISNA(VLOOKUP($D146,Справочник!DK:DM,3,0)),"-",VLOOKUP($D146,Справочник!DK:DM,3,0))</f>
        <v>Малахай Виктория Николаевна  VNMalakhay@rosatom.ru  (499) 949-48-22</v>
      </c>
    </row>
    <row r="147" spans="2:9" ht="25">
      <c r="B147" s="2505">
        <f t="shared" si="0"/>
        <v>138</v>
      </c>
      <c r="C147" s="2506">
        <v>44739</v>
      </c>
      <c r="D147" s="2746">
        <v>96</v>
      </c>
      <c r="E147" s="2507" t="s">
        <v>14947</v>
      </c>
      <c r="F147" s="2507" t="s">
        <v>14947</v>
      </c>
      <c r="G147" s="2508" t="str">
        <f t="shared" si="1"/>
        <v>V10</v>
      </c>
      <c r="H147" s="2508" t="s">
        <v>14585</v>
      </c>
      <c r="I147" s="2585" t="str">
        <f>IF(ISNA(VLOOKUP($D147,Справочник!DK:DM,3,0)),"-",VLOOKUP($D147,Справочник!DK:DM,3,0))</f>
        <v>Гуров Александр Анатольевич AAGurov@rosatom.ru  (499) 949-41-27</v>
      </c>
    </row>
    <row r="148" spans="2:9" ht="20.5">
      <c r="B148" s="2505">
        <f t="shared" si="0"/>
        <v>139</v>
      </c>
      <c r="C148" s="2506">
        <v>44740</v>
      </c>
      <c r="D148" s="2746" t="s">
        <v>5437</v>
      </c>
      <c r="E148" s="2507" t="s">
        <v>10033</v>
      </c>
      <c r="F148" s="3521" t="s">
        <v>14949</v>
      </c>
      <c r="G148" s="2508" t="s">
        <v>14940</v>
      </c>
      <c r="H148" s="2508" t="s">
        <v>14599</v>
      </c>
      <c r="I148" s="2585" t="str">
        <f>IF(ISNA(VLOOKUP($D148,Справочник!DK:DM,3,0)),"-",VLOOKUP($D148,Справочник!DK:DM,3,0))</f>
        <v>Храмченко Светлана Игоревна SIKhramchenko@rosatom.ru  (499) 949-4193</v>
      </c>
    </row>
    <row r="149" spans="2:9">
      <c r="B149" s="2505">
        <f t="shared" si="0"/>
        <v>140</v>
      </c>
      <c r="C149" s="2506">
        <v>44741</v>
      </c>
      <c r="D149" s="2746" t="s">
        <v>3405</v>
      </c>
      <c r="E149" s="2507" t="s">
        <v>14855</v>
      </c>
      <c r="F149" s="2507" t="s">
        <v>14952</v>
      </c>
      <c r="G149" s="2508" t="s">
        <v>14940</v>
      </c>
      <c r="H149" s="2508" t="s">
        <v>14611</v>
      </c>
      <c r="I149" s="2585" t="str">
        <f>IF(ISNA(VLOOKUP($D149,Справочник!DK:DM,3,0)),"-",VLOOKUP($D149,Справочник!DK:DM,3,0))</f>
        <v>Новик Екатерина Михайловна &lt;EMNovik@rosatom.ru&gt;  (499) 949-27-01</v>
      </c>
    </row>
    <row r="150" spans="2:9">
      <c r="B150" s="2505">
        <f t="shared" si="0"/>
        <v>141</v>
      </c>
      <c r="C150" s="2506">
        <v>44741</v>
      </c>
      <c r="D150" s="2746" t="s">
        <v>3413</v>
      </c>
      <c r="E150" s="2507" t="s">
        <v>14855</v>
      </c>
      <c r="F150" s="2507" t="s">
        <v>14953</v>
      </c>
      <c r="G150" s="2508" t="s">
        <v>14940</v>
      </c>
      <c r="H150" s="2508" t="s">
        <v>14611</v>
      </c>
      <c r="I150" s="2585" t="str">
        <f>IF(ISNA(VLOOKUP($D150,Справочник!DK:DM,3,0)),"-",VLOOKUP($D150,Справочник!DK:DM,3,0))</f>
        <v>Новик Екатерина Михайловна &lt;EMNovik@rosatom.ru&gt;  (499) 949-27-01</v>
      </c>
    </row>
    <row r="151" spans="2:9">
      <c r="B151" s="2505">
        <f t="shared" si="0"/>
        <v>142</v>
      </c>
      <c r="C151" s="2506">
        <v>44741</v>
      </c>
      <c r="D151" s="2746" t="s">
        <v>3407</v>
      </c>
      <c r="E151" s="2507" t="s">
        <v>14956</v>
      </c>
      <c r="F151" s="2507" t="s">
        <v>14955</v>
      </c>
      <c r="G151" s="2508" t="s">
        <v>14940</v>
      </c>
      <c r="H151" s="2508" t="s">
        <v>14611</v>
      </c>
      <c r="I151" s="2585" t="str">
        <f>IF(ISNA(VLOOKUP($D151,Справочник!DK:DM,3,0)),"-",VLOOKUP($D151,Справочник!DK:DM,3,0))</f>
        <v>Новик Екатерина Михайловна &lt;EMNovik@rosatom.ru&gt;  (499) 949-27-01</v>
      </c>
    </row>
    <row r="152" spans="2:9">
      <c r="B152" s="2505">
        <f t="shared" si="0"/>
        <v>143</v>
      </c>
      <c r="C152" s="2506">
        <v>44741</v>
      </c>
      <c r="D152" s="2746" t="s">
        <v>3407</v>
      </c>
      <c r="E152" s="2507" t="s">
        <v>14954</v>
      </c>
      <c r="F152" s="2507" t="s">
        <v>14957</v>
      </c>
      <c r="G152" s="2508" t="s">
        <v>14940</v>
      </c>
      <c r="H152" s="2508" t="s">
        <v>14611</v>
      </c>
      <c r="I152" s="2585" t="str">
        <f>IF(ISNA(VLOOKUP($D152,Справочник!DK:DM,3,0)),"-",VLOOKUP($D152,Справочник!DK:DM,3,0))</f>
        <v>Новик Екатерина Михайловна &lt;EMNovik@rosatom.ru&gt;  (499) 949-27-01</v>
      </c>
    </row>
    <row r="153" spans="2:9" ht="50.5">
      <c r="B153" s="2505">
        <f t="shared" si="0"/>
        <v>144</v>
      </c>
      <c r="C153" s="2506">
        <v>44742</v>
      </c>
      <c r="D153" s="2746">
        <v>76</v>
      </c>
      <c r="E153" s="2507" t="s">
        <v>14961</v>
      </c>
      <c r="F153" s="2507" t="s">
        <v>14958</v>
      </c>
      <c r="G153" s="2508" t="s">
        <v>14940</v>
      </c>
      <c r="H153" s="2508" t="s">
        <v>14825</v>
      </c>
      <c r="I153" s="2585" t="str">
        <f>IF(ISNA(VLOOKUP($D153,Справочник!DK:DM,3,0)),"-",VLOOKUP($D153,Справочник!DK:DM,3,0))</f>
        <v>Емельянова Наталия Валериевна  NVEmelyanova@rosatom.ru  (499) 949-47-82</v>
      </c>
    </row>
    <row r="154" spans="2:9" ht="65.900000000000006" customHeight="1">
      <c r="B154" s="2505">
        <f t="shared" si="0"/>
        <v>145</v>
      </c>
      <c r="C154" s="2506">
        <v>44742</v>
      </c>
      <c r="D154" s="2746">
        <v>76</v>
      </c>
      <c r="E154" s="2507" t="s">
        <v>14960</v>
      </c>
      <c r="F154" s="3521" t="s">
        <v>14959</v>
      </c>
      <c r="G154" s="2508" t="s">
        <v>14940</v>
      </c>
      <c r="H154" s="2508" t="s">
        <v>14825</v>
      </c>
      <c r="I154" s="2585" t="str">
        <f>IF(ISNA(VLOOKUP($D154,Справочник!DK:DM,3,0)),"-",VLOOKUP($D154,Справочник!DK:DM,3,0))</f>
        <v>Емельянова Наталия Валериевна  NVEmelyanova@rosatom.ru  (499) 949-47-82</v>
      </c>
    </row>
    <row r="155" spans="2:9" ht="30.5">
      <c r="B155" s="2505">
        <f t="shared" si="0"/>
        <v>146</v>
      </c>
      <c r="C155" s="2506">
        <v>44742</v>
      </c>
      <c r="D155" s="2746" t="s">
        <v>8379</v>
      </c>
      <c r="E155" s="2507" t="s">
        <v>14962</v>
      </c>
      <c r="F155" s="3521" t="s">
        <v>14959</v>
      </c>
      <c r="G155" s="2508" t="s">
        <v>14940</v>
      </c>
      <c r="H155" s="2508" t="s">
        <v>14825</v>
      </c>
      <c r="I155" s="2585" t="str">
        <f>IF(ISNA(VLOOKUP($D155,Справочник!DK:DM,3,0)),"-",VLOOKUP($D155,Справочник!DK:DM,3,0))</f>
        <v>Емельянова Наталия Валериевна  NVEmelyanova@rosatom.ru  (499) 949-47-82</v>
      </c>
    </row>
    <row r="156" spans="2:9" ht="50.5">
      <c r="B156" s="2505">
        <f t="shared" si="0"/>
        <v>147</v>
      </c>
      <c r="C156" s="2506">
        <v>44742</v>
      </c>
      <c r="D156" s="2746" t="s">
        <v>8379</v>
      </c>
      <c r="E156" s="2507" t="s">
        <v>14963</v>
      </c>
      <c r="F156" s="3457" t="s">
        <v>14964</v>
      </c>
      <c r="G156" s="2508" t="s">
        <v>14940</v>
      </c>
      <c r="H156" s="2508" t="s">
        <v>14825</v>
      </c>
      <c r="I156" s="2585" t="str">
        <f>IF(ISNA(VLOOKUP($D156,Справочник!DK:DM,3,0)),"-",VLOOKUP($D156,Справочник!DK:DM,3,0))</f>
        <v>Емельянова Наталия Валериевна  NVEmelyanova@rosatom.ru  (499) 949-47-82</v>
      </c>
    </row>
    <row r="157" spans="2:9" ht="30.5">
      <c r="B157" s="2505">
        <f t="shared" si="0"/>
        <v>148</v>
      </c>
      <c r="C157" s="2506">
        <v>44743</v>
      </c>
      <c r="D157" s="2746" t="s">
        <v>8379</v>
      </c>
      <c r="E157" s="2507" t="s">
        <v>14965</v>
      </c>
      <c r="F157" s="3521" t="s">
        <v>14959</v>
      </c>
      <c r="G157" s="2508" t="s">
        <v>14940</v>
      </c>
      <c r="H157" s="2508" t="s">
        <v>14825</v>
      </c>
      <c r="I157" s="2585" t="str">
        <f>IF(ISNA(VLOOKUP($D157,Справочник!DK:DM,3,0)),"-",VLOOKUP($D157,Справочник!DK:DM,3,0))</f>
        <v>Емельянова Наталия Валериевна  NVEmelyanova@rosatom.ru  (499) 949-47-82</v>
      </c>
    </row>
    <row r="158" spans="2:9" ht="62.5">
      <c r="B158" s="2505">
        <f t="shared" si="0"/>
        <v>149</v>
      </c>
      <c r="C158" s="2506">
        <v>44743</v>
      </c>
      <c r="D158" s="2746" t="s">
        <v>7888</v>
      </c>
      <c r="E158" s="2507" t="s">
        <v>14877</v>
      </c>
      <c r="F158" s="2507" t="s">
        <v>14966</v>
      </c>
      <c r="G158" s="2508" t="s">
        <v>14940</v>
      </c>
      <c r="H158" s="2508" t="s">
        <v>14825</v>
      </c>
      <c r="I158" s="2585" t="str">
        <f>IF(ISNA(VLOOKUP($D158,Справочник!DK:DM,3,0)),"-",VLOOKUP($D158,Справочник!DK:DM,3,0))</f>
        <v>Новик Екатерина Михайловна &lt;EMNovik@rosatom.ru&gt;  (499) 949-27-01</v>
      </c>
    </row>
    <row r="159" spans="2:9">
      <c r="B159" s="2505">
        <f t="shared" si="0"/>
        <v>150</v>
      </c>
      <c r="C159" s="2506">
        <v>44743</v>
      </c>
      <c r="D159" s="2746" t="s">
        <v>7883</v>
      </c>
      <c r="E159" s="2507" t="s">
        <v>14877</v>
      </c>
      <c r="F159" s="2507" t="s">
        <v>14966</v>
      </c>
      <c r="G159" s="2508" t="s">
        <v>14940</v>
      </c>
      <c r="H159" s="2508" t="s">
        <v>14825</v>
      </c>
      <c r="I159" s="2585" t="str">
        <f>IF(ISNA(VLOOKUP($D159,Справочник!DK:DM,3,0)),"-",VLOOKUP($D159,Справочник!DK:DM,3,0))</f>
        <v>Емельянова Наталия Валериевна  NVEmelyanova@rosatom.ru  (499) 949-47-82</v>
      </c>
    </row>
    <row r="160" spans="2:9" ht="50">
      <c r="B160" s="2505">
        <f t="shared" si="0"/>
        <v>151</v>
      </c>
      <c r="C160" s="2506">
        <v>44748</v>
      </c>
      <c r="D160" s="2746" t="s">
        <v>7883</v>
      </c>
      <c r="E160" s="2507" t="s">
        <v>14877</v>
      </c>
      <c r="F160" s="2507" t="s">
        <v>14967</v>
      </c>
      <c r="G160" s="2508" t="s">
        <v>14940</v>
      </c>
      <c r="H160" s="2508" t="s">
        <v>14585</v>
      </c>
      <c r="I160" s="2585" t="str">
        <f>IF(ISNA(VLOOKUP($D160,Справочник!DK:DM,3,0)),"-",VLOOKUP($D160,Справочник!DK:DM,3,0))</f>
        <v>Емельянова Наталия Валериевна  NVEmelyanova@rosatom.ru  (499) 949-47-82</v>
      </c>
    </row>
    <row r="161" spans="1:9" ht="50">
      <c r="B161" s="2505">
        <f t="shared" si="0"/>
        <v>152</v>
      </c>
      <c r="C161" s="2506">
        <v>44748</v>
      </c>
      <c r="D161" s="2746">
        <v>96</v>
      </c>
      <c r="E161" s="2507" t="s">
        <v>14968</v>
      </c>
      <c r="F161" s="2746" t="s">
        <v>14969</v>
      </c>
      <c r="G161" s="2508" t="s">
        <v>14940</v>
      </c>
      <c r="H161" s="2508" t="s">
        <v>14585</v>
      </c>
      <c r="I161" s="2585" t="str">
        <f>IF(ISNA(VLOOKUP($D161,Справочник!DK:DM,3,0)),"-",VLOOKUP($D161,Справочник!DK:DM,3,0))</f>
        <v>Гуров Александр Анатольевич AAGurov@rosatom.ru  (499) 949-41-27</v>
      </c>
    </row>
    <row r="162" spans="1:9">
      <c r="B162" s="2505">
        <f t="shared" si="0"/>
        <v>153</v>
      </c>
      <c r="C162" s="2506">
        <v>44748</v>
      </c>
      <c r="D162" s="2746" t="s">
        <v>5919</v>
      </c>
      <c r="E162" s="2507" t="s">
        <v>14797</v>
      </c>
      <c r="F162" s="2746" t="s">
        <v>14970</v>
      </c>
      <c r="G162" s="2508" t="str">
        <f>G161</f>
        <v>V10</v>
      </c>
      <c r="H162" s="2508" t="s">
        <v>14599</v>
      </c>
      <c r="I162" s="2585" t="str">
        <f>IF(ISNA(VLOOKUP($D162,Справочник!DK:DM,3,0)),"-",VLOOKUP($D162,Справочник!DK:DM,3,0))</f>
        <v>Андреев Сергей Евгеньевич  SeEAndreev@rosatom.ru  (499) 949-44-84</v>
      </c>
    </row>
    <row r="163" spans="1:9">
      <c r="B163" s="2505">
        <f t="shared" si="0"/>
        <v>154</v>
      </c>
      <c r="C163" s="2506">
        <v>44753</v>
      </c>
      <c r="D163" s="2746" t="s">
        <v>9877</v>
      </c>
      <c r="E163" s="2507" t="s">
        <v>14797</v>
      </c>
      <c r="F163" s="2746" t="s">
        <v>14971</v>
      </c>
      <c r="G163" s="2508" t="str">
        <f t="shared" ref="G163:G192" si="2">G162</f>
        <v>V10</v>
      </c>
      <c r="H163" s="2508" t="s">
        <v>14728</v>
      </c>
      <c r="I163" s="2585">
        <f>IF(ISNA(VLOOKUP($D163,Справочник!DK:DM,3,0)),"-",VLOOKUP($D163,Справочник!DK:DM,3,0))</f>
        <v>0</v>
      </c>
    </row>
    <row r="164" spans="1:9">
      <c r="B164" s="2505">
        <f t="shared" si="0"/>
        <v>155</v>
      </c>
      <c r="C164" s="2506">
        <v>44749</v>
      </c>
      <c r="D164" s="2746" t="s">
        <v>2085</v>
      </c>
      <c r="E164" s="2507" t="s">
        <v>14973</v>
      </c>
      <c r="F164" s="2746" t="s">
        <v>14972</v>
      </c>
      <c r="G164" s="2508" t="str">
        <f t="shared" si="2"/>
        <v>V10</v>
      </c>
      <c r="H164" s="2508" t="s">
        <v>14680</v>
      </c>
      <c r="I164" s="2585" t="str">
        <f>IF(ISNA(VLOOKUP($D164,Справочник!DK:DM,3,0)),"-",VLOOKUP($D164,Справочник!DK:DM,3,0))</f>
        <v>Козлов Николай Викторович  NiVKozlov@rosatom.ru  (499) 949-47-02</v>
      </c>
    </row>
    <row r="165" spans="1:9" ht="25">
      <c r="B165" s="2505">
        <f t="shared" si="0"/>
        <v>156</v>
      </c>
      <c r="C165" s="2506">
        <v>44753</v>
      </c>
      <c r="D165" s="2746" t="s">
        <v>5919</v>
      </c>
      <c r="E165" s="2507" t="s">
        <v>14975</v>
      </c>
      <c r="F165" s="2746" t="s">
        <v>14974</v>
      </c>
      <c r="G165" s="2508" t="str">
        <f t="shared" si="2"/>
        <v>V10</v>
      </c>
      <c r="H165" s="2508" t="s">
        <v>14599</v>
      </c>
      <c r="I165" s="2585" t="str">
        <f>IF(ISNA(VLOOKUP($D165,Справочник!DK:DM,3,0)),"-",VLOOKUP($D165,Справочник!DK:DM,3,0))</f>
        <v>Андреев Сергей Евгеньевич  SeEAndreev@rosatom.ru  (499) 949-44-84</v>
      </c>
    </row>
    <row r="166" spans="1:9" ht="25">
      <c r="B166" s="2505">
        <f t="shared" si="0"/>
        <v>157</v>
      </c>
      <c r="C166" s="2506">
        <v>44753</v>
      </c>
      <c r="D166" s="2746" t="s">
        <v>5036</v>
      </c>
      <c r="E166" s="2507" t="s">
        <v>14855</v>
      </c>
      <c r="F166" s="2507" t="s">
        <v>14976</v>
      </c>
      <c r="G166" s="2508" t="str">
        <f t="shared" si="2"/>
        <v>V10</v>
      </c>
      <c r="H166" s="2508" t="s">
        <v>14588</v>
      </c>
      <c r="I166" s="2585" t="str">
        <f>IF(ISNA(VLOOKUP($D166,Справочник!DK:DM,3,0)),"-",VLOOKUP($D166,Справочник!DK:DM,3,0))</f>
        <v>Денисова Ольга Александровна  OAlDenisova@rosatom.ru  (499) 949-41-89</v>
      </c>
    </row>
    <row r="167" spans="1:9" ht="25">
      <c r="B167" s="2505">
        <f t="shared" si="0"/>
        <v>158</v>
      </c>
      <c r="C167" s="2506">
        <v>44753</v>
      </c>
      <c r="D167" s="2746" t="s">
        <v>7883</v>
      </c>
      <c r="E167" s="2507" t="s">
        <v>14877</v>
      </c>
      <c r="F167" s="2507" t="s">
        <v>14977</v>
      </c>
      <c r="G167" s="2508" t="str">
        <f t="shared" si="2"/>
        <v>V10</v>
      </c>
      <c r="H167" s="2508" t="s">
        <v>14825</v>
      </c>
      <c r="I167" s="2585" t="str">
        <f>IF(ISNA(VLOOKUP($D167,Справочник!DK:DM,3,0)),"-",VLOOKUP($D167,Справочник!DK:DM,3,0))</f>
        <v>Емельянова Наталия Валериевна  NVEmelyanova@rosatom.ru  (499) 949-47-82</v>
      </c>
    </row>
    <row r="168" spans="1:9" ht="37.5">
      <c r="B168" s="2505">
        <f t="shared" si="0"/>
        <v>159</v>
      </c>
      <c r="C168" s="2506">
        <v>44753</v>
      </c>
      <c r="D168" s="2746" t="s">
        <v>7883</v>
      </c>
      <c r="E168" s="2507" t="s">
        <v>14877</v>
      </c>
      <c r="F168" s="2746" t="s">
        <v>14978</v>
      </c>
      <c r="G168" s="2508" t="str">
        <f t="shared" si="2"/>
        <v>V10</v>
      </c>
      <c r="H168" s="2508" t="s">
        <v>14825</v>
      </c>
      <c r="I168" s="2585" t="str">
        <f>IF(ISNA(VLOOKUP($D168,Справочник!DK:DM,3,0)),"-",VLOOKUP($D168,Справочник!DK:DM,3,0))</f>
        <v>Емельянова Наталия Валериевна  NVEmelyanova@rosatom.ru  (499) 949-47-82</v>
      </c>
    </row>
    <row r="169" spans="1:9" ht="62.5">
      <c r="B169" s="2505">
        <f t="shared" si="0"/>
        <v>160</v>
      </c>
      <c r="C169" s="2506">
        <v>44753</v>
      </c>
      <c r="D169" s="2746" t="s">
        <v>7888</v>
      </c>
      <c r="E169" s="2507" t="s">
        <v>14877</v>
      </c>
      <c r="F169" s="2507" t="s">
        <v>14979</v>
      </c>
      <c r="G169" s="2508" t="str">
        <f t="shared" si="2"/>
        <v>V10</v>
      </c>
      <c r="H169" s="2508" t="s">
        <v>14825</v>
      </c>
      <c r="I169" s="2585" t="str">
        <f>IF(ISNA(VLOOKUP($D169,Справочник!DK:DM,3,0)),"-",VLOOKUP($D169,Справочник!DK:DM,3,0))</f>
        <v>Новик Екатерина Михайловна &lt;EMNovik@rosatom.ru&gt;  (499) 949-27-01</v>
      </c>
    </row>
    <row r="170" spans="1:9" s="3588" customFormat="1">
      <c r="A170" s="3064" t="s">
        <v>14498</v>
      </c>
      <c r="B170" s="2505"/>
      <c r="C170" s="2506"/>
      <c r="D170" s="2746"/>
      <c r="E170" s="2507"/>
      <c r="F170" s="2507"/>
      <c r="G170" s="2508"/>
      <c r="H170" s="2508"/>
      <c r="I170" s="2585"/>
    </row>
    <row r="171" spans="1:9">
      <c r="B171" s="2505">
        <f>B169+1</f>
        <v>161</v>
      </c>
      <c r="C171" s="2506">
        <v>44754</v>
      </c>
      <c r="D171" s="2746" t="s">
        <v>2085</v>
      </c>
      <c r="E171" s="2507" t="s">
        <v>14980</v>
      </c>
      <c r="F171" s="2746" t="s">
        <v>14981</v>
      </c>
      <c r="G171" s="2508" t="s">
        <v>14982</v>
      </c>
      <c r="H171" s="2508" t="s">
        <v>14728</v>
      </c>
      <c r="I171" s="2585" t="str">
        <f>IF(ISNA(VLOOKUP($D171,Справочник!DK:DM,3,0)),"-",VLOOKUP($D171,Справочник!DK:DM,3,0))</f>
        <v>Козлов Николай Викторович  NiVKozlov@rosatom.ru  (499) 949-47-02</v>
      </c>
    </row>
    <row r="172" spans="1:9" ht="25">
      <c r="B172" s="2505">
        <f t="shared" si="0"/>
        <v>162</v>
      </c>
      <c r="C172" s="2506">
        <v>44755</v>
      </c>
      <c r="D172" s="2746" t="s">
        <v>2088</v>
      </c>
      <c r="E172" s="2746" t="s">
        <v>14983</v>
      </c>
      <c r="F172" s="2746" t="s">
        <v>14984</v>
      </c>
      <c r="G172" s="2508" t="str">
        <f t="shared" si="2"/>
        <v>V11</v>
      </c>
      <c r="H172" s="2508" t="s">
        <v>14634</v>
      </c>
      <c r="I172" s="2585" t="str">
        <f>IF(ISNA(VLOOKUP($D172,Справочник!DK:DM,3,0)),"-",VLOOKUP($D172,Справочник!DK:DM,3,0))</f>
        <v>Андреев Сергей Евгеньевич  SeEAndreev@rosatom.ru  (499) 949-44-84</v>
      </c>
    </row>
    <row r="173" spans="1:9" ht="50">
      <c r="B173" s="2505">
        <f t="shared" si="0"/>
        <v>163</v>
      </c>
      <c r="C173" s="2506">
        <v>44756</v>
      </c>
      <c r="D173" s="2746" t="s">
        <v>8379</v>
      </c>
      <c r="E173" s="2746" t="s">
        <v>14983</v>
      </c>
      <c r="F173" s="2746" t="s">
        <v>14987</v>
      </c>
      <c r="G173" s="2508" t="str">
        <f t="shared" si="2"/>
        <v>V11</v>
      </c>
      <c r="H173" s="2508" t="s">
        <v>14825</v>
      </c>
      <c r="I173" s="2585" t="str">
        <f>IF(ISNA(VLOOKUP($D173,Справочник!DK:DM,3,0)),"-",VLOOKUP($D173,Справочник!DK:DM,3,0))</f>
        <v>Емельянова Наталия Валериевна  NVEmelyanova@rosatom.ru  (499) 949-47-82</v>
      </c>
    </row>
    <row r="174" spans="1:9" ht="25">
      <c r="B174" s="2505">
        <f t="shared" si="0"/>
        <v>164</v>
      </c>
      <c r="C174" s="2506">
        <v>44756</v>
      </c>
      <c r="D174" s="2746" t="s">
        <v>7502</v>
      </c>
      <c r="E174" s="2507" t="s">
        <v>10033</v>
      </c>
      <c r="F174" s="2746" t="s">
        <v>14988</v>
      </c>
      <c r="G174" s="2508" t="str">
        <f t="shared" si="2"/>
        <v>V11</v>
      </c>
      <c r="H174" s="2508" t="s">
        <v>14355</v>
      </c>
      <c r="I174" s="2585" t="str">
        <f>IF(ISNA(VLOOKUP($D174,Справочник!DK:DM,3,0)),"-",VLOOKUP($D174,Справочник!DK:DM,3,0))</f>
        <v>Козлов Николай Викторович  NiVKozlov@rosatom.ru  (499) 949-47-02</v>
      </c>
    </row>
    <row r="175" spans="1:9" ht="25">
      <c r="B175" s="2505">
        <f t="shared" si="0"/>
        <v>165</v>
      </c>
      <c r="C175" s="2506">
        <v>44756</v>
      </c>
      <c r="D175" s="2746" t="s">
        <v>9877</v>
      </c>
      <c r="E175" s="2507" t="s">
        <v>14626</v>
      </c>
      <c r="F175" s="2746" t="s">
        <v>14991</v>
      </c>
      <c r="G175" s="2508" t="str">
        <f t="shared" si="2"/>
        <v>V11</v>
      </c>
      <c r="H175" s="2508" t="s">
        <v>14728</v>
      </c>
      <c r="I175" s="2585">
        <f>IF(ISNA(VLOOKUP($D175,Справочник!DK:DM,3,0)),"-",VLOOKUP($D175,Справочник!DK:DM,3,0))</f>
        <v>0</v>
      </c>
    </row>
    <row r="176" spans="1:9" ht="98">
      <c r="B176" s="2505">
        <f t="shared" si="0"/>
        <v>166</v>
      </c>
      <c r="C176" s="2506">
        <v>44760</v>
      </c>
      <c r="D176" s="2746" t="s">
        <v>9877</v>
      </c>
      <c r="E176" s="2507" t="s">
        <v>14992</v>
      </c>
      <c r="F176" s="3578" t="s">
        <v>15142</v>
      </c>
      <c r="G176" s="2508" t="str">
        <f t="shared" si="2"/>
        <v>V11</v>
      </c>
      <c r="H176" s="2508" t="s">
        <v>14585</v>
      </c>
      <c r="I176" s="2585">
        <f>IF(ISNA(VLOOKUP($D176,Справочник!DK:DM,3,0)),"-",VLOOKUP($D176,Справочник!DK:DM,3,0))</f>
        <v>0</v>
      </c>
    </row>
    <row r="177" spans="2:9" ht="37.5">
      <c r="B177" s="2505">
        <f t="shared" si="0"/>
        <v>167</v>
      </c>
      <c r="C177" s="2506">
        <v>44761</v>
      </c>
      <c r="D177" s="2746">
        <v>76</v>
      </c>
      <c r="E177" s="2507" t="s">
        <v>14992</v>
      </c>
      <c r="F177" s="2746" t="s">
        <v>14994</v>
      </c>
      <c r="G177" s="2508" t="str">
        <f t="shared" si="2"/>
        <v>V11</v>
      </c>
      <c r="H177" s="2508" t="s">
        <v>14825</v>
      </c>
      <c r="I177" s="2585" t="str">
        <f>IF(ISNA(VLOOKUP($D177,Справочник!DK:DM,3,0)),"-",VLOOKUP($D177,Справочник!DK:DM,3,0))</f>
        <v>Емельянова Наталия Валериевна  NVEmelyanova@rosatom.ru  (499) 949-47-82</v>
      </c>
    </row>
    <row r="178" spans="2:9" ht="25">
      <c r="B178" s="2505">
        <f t="shared" si="0"/>
        <v>168</v>
      </c>
      <c r="C178" s="2506">
        <v>44761</v>
      </c>
      <c r="D178" s="2746" t="s">
        <v>7502</v>
      </c>
      <c r="E178" s="2507" t="s">
        <v>10033</v>
      </c>
      <c r="F178" s="2746" t="s">
        <v>14997</v>
      </c>
      <c r="G178" s="2508" t="str">
        <f t="shared" si="2"/>
        <v>V11</v>
      </c>
      <c r="H178" s="2508" t="s">
        <v>14355</v>
      </c>
      <c r="I178" s="2585" t="str">
        <f>IF(ISNA(VLOOKUP($D178,Справочник!DK:DM,3,0)),"-",VLOOKUP($D178,Справочник!DK:DM,3,0))</f>
        <v>Козлов Николай Викторович  NiVKozlov@rosatom.ru  (499) 949-47-02</v>
      </c>
    </row>
    <row r="179" spans="2:9" ht="25">
      <c r="B179" s="2505">
        <f t="shared" si="0"/>
        <v>169</v>
      </c>
      <c r="C179" s="2506">
        <v>44764</v>
      </c>
      <c r="D179" s="2746" t="s">
        <v>14511</v>
      </c>
      <c r="E179" s="2507" t="s">
        <v>15003</v>
      </c>
      <c r="F179" s="2507" t="s">
        <v>15004</v>
      </c>
      <c r="G179" s="2508" t="str">
        <f t="shared" si="2"/>
        <v>V11</v>
      </c>
      <c r="H179" s="2508" t="s">
        <v>14611</v>
      </c>
      <c r="I179" s="2585" t="str">
        <f>IF(ISNA(VLOOKUP($D179,Справочник!DK:DM,3,0)),"-",VLOOKUP($D179,Справочник!DK:DM,3,0))</f>
        <v>Малахай Виктория Николаевна  VNMalakhay@rosatom.ru  (499) 949-48-22</v>
      </c>
    </row>
    <row r="180" spans="2:9" s="3587" customFormat="1" ht="25">
      <c r="B180" s="2505">
        <f t="shared" si="0"/>
        <v>170</v>
      </c>
      <c r="C180" s="2506">
        <v>44764</v>
      </c>
      <c r="D180" s="2746">
        <v>76</v>
      </c>
      <c r="E180" s="3149" t="s">
        <v>15007</v>
      </c>
      <c r="F180" s="3149" t="s">
        <v>15081</v>
      </c>
      <c r="G180" s="2508" t="str">
        <f t="shared" si="2"/>
        <v>V11</v>
      </c>
      <c r="H180" s="2508" t="s">
        <v>14611</v>
      </c>
      <c r="I180" s="2585" t="str">
        <f>IF(ISNA(VLOOKUP($D180,Справочник!DK:DM,3,0)),"-",VLOOKUP($D180,Справочник!DK:DM,3,0))</f>
        <v>Емельянова Наталия Валериевна  NVEmelyanova@rosatom.ru  (499) 949-47-82</v>
      </c>
    </row>
    <row r="181" spans="2:9" s="3587" customFormat="1" ht="37.5">
      <c r="B181" s="2505">
        <f t="shared" si="0"/>
        <v>171</v>
      </c>
      <c r="C181" s="2506">
        <v>44764</v>
      </c>
      <c r="D181" s="2746">
        <v>76</v>
      </c>
      <c r="E181" s="2507" t="s">
        <v>15082</v>
      </c>
      <c r="F181" s="2507" t="s">
        <v>15008</v>
      </c>
      <c r="G181" s="2508" t="str">
        <f t="shared" si="2"/>
        <v>V11</v>
      </c>
      <c r="H181" s="2508" t="s">
        <v>14611</v>
      </c>
      <c r="I181" s="2585" t="str">
        <f>IF(ISNA(VLOOKUP($D181,Справочник!DK:DM,3,0)),"-",VLOOKUP($D181,Справочник!DK:DM,3,0))</f>
        <v>Емельянова Наталия Валериевна  NVEmelyanova@rosatom.ru  (499) 949-47-82</v>
      </c>
    </row>
    <row r="182" spans="2:9" ht="43.5">
      <c r="B182" s="2505">
        <f t="shared" si="0"/>
        <v>172</v>
      </c>
      <c r="C182" s="2506">
        <v>44778</v>
      </c>
      <c r="D182" s="2746" t="s">
        <v>424</v>
      </c>
      <c r="E182" s="2507" t="s">
        <v>14626</v>
      </c>
      <c r="F182" s="2507" t="s">
        <v>15011</v>
      </c>
      <c r="G182" s="2508" t="str">
        <f t="shared" si="2"/>
        <v>V11</v>
      </c>
      <c r="H182" s="2508" t="s">
        <v>14825</v>
      </c>
      <c r="I182" s="2585" t="str">
        <f>IF(ISNA(VLOOKUP($D182,Справочник!DK:DM,3,0)),"-",VLOOKUP($D182,Справочник!DK:DM,3,0))</f>
        <v xml:space="preserve">Емельянова Наталия Валериевна  NVEmelyanova@rosatom.ru  (499) 949-47-82
Гуров Александр Анатольевич AAGurov@rosatom.ru  (499) 949-41-27
</v>
      </c>
    </row>
    <row r="183" spans="2:9" ht="31.5">
      <c r="B183" s="2505">
        <f t="shared" si="0"/>
        <v>173</v>
      </c>
      <c r="C183" s="2506">
        <v>44778</v>
      </c>
      <c r="D183" s="2746" t="s">
        <v>7502</v>
      </c>
      <c r="E183" s="3439" t="s">
        <v>10033</v>
      </c>
      <c r="F183" s="3521" t="s">
        <v>15028</v>
      </c>
      <c r="G183" s="2508" t="str">
        <f t="shared" si="2"/>
        <v>V11</v>
      </c>
      <c r="H183" s="2508" t="s">
        <v>14355</v>
      </c>
      <c r="I183" s="2585" t="str">
        <f>IF(ISNA(VLOOKUP($D183,Справочник!DK:DM,3,0)),"-",VLOOKUP($D183,Справочник!DK:DM,3,0))</f>
        <v>Козлов Николай Викторович  NiVKozlov@rosatom.ru  (499) 949-47-02</v>
      </c>
    </row>
    <row r="184" spans="2:9" ht="31.5">
      <c r="B184" s="2505">
        <f t="shared" si="0"/>
        <v>174</v>
      </c>
      <c r="C184" s="2506">
        <v>44778</v>
      </c>
      <c r="D184" s="2746" t="s">
        <v>7502</v>
      </c>
      <c r="E184" s="3439" t="s">
        <v>10033</v>
      </c>
      <c r="F184" s="3521" t="s">
        <v>15029</v>
      </c>
      <c r="G184" s="2508" t="str">
        <f t="shared" si="2"/>
        <v>V11</v>
      </c>
      <c r="H184" s="2508" t="s">
        <v>14355</v>
      </c>
      <c r="I184" s="2585" t="str">
        <f>IF(ISNA(VLOOKUP($D184,Справочник!DK:DM,3,0)),"-",VLOOKUP($D184,Справочник!DK:DM,3,0))</f>
        <v>Козлов Николай Викторович  NiVKozlov@rosatom.ru  (499) 949-47-02</v>
      </c>
    </row>
    <row r="185" spans="2:9" ht="26">
      <c r="B185" s="2505">
        <f t="shared" si="0"/>
        <v>175</v>
      </c>
      <c r="C185" s="2506">
        <v>44778</v>
      </c>
      <c r="D185" s="2746" t="s">
        <v>7502</v>
      </c>
      <c r="E185" s="3439" t="s">
        <v>10033</v>
      </c>
      <c r="F185" s="2507" t="s">
        <v>10085</v>
      </c>
      <c r="G185" s="2508" t="str">
        <f t="shared" si="2"/>
        <v>V11</v>
      </c>
      <c r="H185" s="2508" t="s">
        <v>14355</v>
      </c>
      <c r="I185" s="2585" t="str">
        <f>IF(ISNA(VLOOKUP($D185,Справочник!DK:DM,3,0)),"-",VLOOKUP($D185,Справочник!DK:DM,3,0))</f>
        <v>Козлов Николай Викторович  NiVKozlov@rosatom.ru  (499) 949-47-02</v>
      </c>
    </row>
    <row r="186" spans="2:9" s="3590" customFormat="1" ht="25">
      <c r="B186" s="2505">
        <f t="shared" si="0"/>
        <v>176</v>
      </c>
      <c r="C186" s="2506">
        <v>44778</v>
      </c>
      <c r="D186" s="2746" t="s">
        <v>8379</v>
      </c>
      <c r="E186" s="2507" t="s">
        <v>14797</v>
      </c>
      <c r="F186" s="2507" t="s">
        <v>15030</v>
      </c>
      <c r="G186" s="2508" t="str">
        <f t="shared" si="2"/>
        <v>V11</v>
      </c>
      <c r="H186" s="2508" t="s">
        <v>14825</v>
      </c>
      <c r="I186" s="2585" t="str">
        <f>IF(ISNA(VLOOKUP($D186,Справочник!DK:DM,3,0)),"-",VLOOKUP($D186,Справочник!DK:DM,3,0))</f>
        <v>Емельянова Наталия Валериевна  NVEmelyanova@rosatom.ru  (499) 949-47-82</v>
      </c>
    </row>
    <row r="187" spans="2:9" s="3593" customFormat="1">
      <c r="B187" s="2505">
        <f t="shared" si="0"/>
        <v>177</v>
      </c>
      <c r="C187" s="2506">
        <v>44778</v>
      </c>
      <c r="D187" s="2746" t="s">
        <v>5269</v>
      </c>
      <c r="E187" s="2507" t="s">
        <v>14776</v>
      </c>
      <c r="F187" s="2507" t="s">
        <v>14776</v>
      </c>
      <c r="G187" s="2508" t="str">
        <f t="shared" si="2"/>
        <v>V11</v>
      </c>
      <c r="H187" s="2508" t="s">
        <v>14355</v>
      </c>
      <c r="I187" s="2585" t="str">
        <f>IF(ISNA(VLOOKUP($D187,Справочник!DK:DM,3,0)),"-",VLOOKUP($D187,Справочник!DK:DM,3,0))</f>
        <v>Малахай Виктория Николаевна  VNMalakhay@rosatom.ru  (499) 949-48-22</v>
      </c>
    </row>
    <row r="188" spans="2:9">
      <c r="B188" s="2505">
        <f t="shared" si="0"/>
        <v>178</v>
      </c>
      <c r="C188" s="2506">
        <v>44782</v>
      </c>
      <c r="D188" s="2746" t="s">
        <v>3526</v>
      </c>
      <c r="E188" s="2507" t="s">
        <v>14626</v>
      </c>
      <c r="F188" s="2507" t="s">
        <v>15086</v>
      </c>
      <c r="G188" s="2508" t="str">
        <f t="shared" si="2"/>
        <v>V11</v>
      </c>
      <c r="H188" s="2508" t="s">
        <v>14599</v>
      </c>
      <c r="I188" s="2585" t="str">
        <f>IF(ISNA(VLOOKUP($D188,Справочник!DK:DM,3,0)),"-",VLOOKUP($D188,Справочник!DK:DM,3,0))</f>
        <v>Храмченко Светлана Игоревна SIKhramchenko@rosatom.ru  (499) 949-4193</v>
      </c>
    </row>
    <row r="189" spans="2:9">
      <c r="B189" s="2505">
        <f t="shared" si="0"/>
        <v>179</v>
      </c>
      <c r="C189" s="2506">
        <v>44782</v>
      </c>
      <c r="D189" s="2746" t="s">
        <v>5437</v>
      </c>
      <c r="E189" s="2507" t="s">
        <v>14626</v>
      </c>
      <c r="F189" s="2507" t="s">
        <v>15087</v>
      </c>
      <c r="G189" s="2508" t="str">
        <f t="shared" si="2"/>
        <v>V11</v>
      </c>
      <c r="H189" s="2508" t="s">
        <v>14599</v>
      </c>
      <c r="I189" s="2585" t="str">
        <f>IF(ISNA(VLOOKUP($D189,Справочник!DK:DM,3,0)),"-",VLOOKUP($D189,Справочник!DK:DM,3,0))</f>
        <v>Храмченко Светлана Игоревна SIKhramchenko@rosatom.ru  (499) 949-4193</v>
      </c>
    </row>
    <row r="190" spans="2:9" ht="25">
      <c r="B190" s="2505">
        <f t="shared" si="0"/>
        <v>180</v>
      </c>
      <c r="C190" s="2506">
        <v>44782</v>
      </c>
      <c r="D190" s="2746" t="s">
        <v>9877</v>
      </c>
      <c r="E190" s="2507" t="s">
        <v>15085</v>
      </c>
      <c r="F190" s="2507" t="s">
        <v>15088</v>
      </c>
      <c r="G190" s="2508" t="str">
        <f t="shared" si="2"/>
        <v>V11</v>
      </c>
      <c r="H190" s="2508" t="s">
        <v>14599</v>
      </c>
      <c r="I190" s="2585">
        <f>IF(ISNA(VLOOKUP($D190,Справочник!DK:DM,3,0)),"-",VLOOKUP($D190,Справочник!DK:DM,3,0))</f>
        <v>0</v>
      </c>
    </row>
    <row r="191" spans="2:9" s="3595" customFormat="1" ht="100">
      <c r="B191" s="2505">
        <v>181</v>
      </c>
      <c r="C191" s="2506">
        <v>44784</v>
      </c>
      <c r="D191" s="2746" t="s">
        <v>15092</v>
      </c>
      <c r="E191" s="2507" t="s">
        <v>15089</v>
      </c>
      <c r="F191" s="2507" t="s">
        <v>15090</v>
      </c>
      <c r="G191" s="2508" t="str">
        <f t="shared" si="2"/>
        <v>V11</v>
      </c>
      <c r="H191" s="2508" t="s">
        <v>15091</v>
      </c>
      <c r="I191" s="2585" t="str">
        <f>IF(ISNA(VLOOKUP($D191,Справочник!DK:DM,3,0)),"-",VLOOKUP($D191,Справочник!DK:DM,3,0))</f>
        <v>Мишуров Александр Владимирович  AlVMishurov@rosatom.ru  (499) 949-46-63</v>
      </c>
    </row>
    <row r="192" spans="2:9" s="3596" customFormat="1" ht="34">
      <c r="B192" s="2505">
        <v>182</v>
      </c>
      <c r="C192" s="2506">
        <v>44789</v>
      </c>
      <c r="D192" s="2746" t="s">
        <v>7502</v>
      </c>
      <c r="E192" s="2507" t="s">
        <v>10033</v>
      </c>
      <c r="F192" s="2507" t="s">
        <v>15094</v>
      </c>
      <c r="G192" s="2508" t="str">
        <f t="shared" si="2"/>
        <v>V11</v>
      </c>
      <c r="H192" s="2508" t="s">
        <v>14634</v>
      </c>
      <c r="I192" s="2585" t="str">
        <f>IF(ISNA(VLOOKUP($D192,Справочник!DK:DM,3,0)),"-",VLOOKUP($D192,Справочник!DK:DM,3,0))</f>
        <v>Козлов Николай Викторович  NiVKozlov@rosatom.ru  (499) 949-47-02</v>
      </c>
    </row>
    <row r="193" spans="1:9" ht="58" customHeight="1">
      <c r="B193" s="2505">
        <v>183</v>
      </c>
      <c r="C193" s="2506">
        <v>44789</v>
      </c>
      <c r="D193" s="2746" t="s">
        <v>9877</v>
      </c>
      <c r="E193" s="2507" t="s">
        <v>14567</v>
      </c>
      <c r="F193" s="2507" t="s">
        <v>15097</v>
      </c>
      <c r="G193" s="2508" t="s">
        <v>15101</v>
      </c>
      <c r="H193" s="2508" t="s">
        <v>15099</v>
      </c>
      <c r="I193" s="2585">
        <f>IF(ISNA(VLOOKUP($D193,Справочник!DK:DM,3,0)),"-",VLOOKUP($D193,Справочник!DK:DM,3,0))</f>
        <v>0</v>
      </c>
    </row>
    <row r="194" spans="1:9" ht="37.5">
      <c r="B194" s="2505">
        <v>184</v>
      </c>
      <c r="C194" s="2506">
        <v>44789</v>
      </c>
      <c r="D194" s="2746" t="s">
        <v>742</v>
      </c>
      <c r="E194" s="2507" t="s">
        <v>15095</v>
      </c>
      <c r="F194" s="2507" t="s">
        <v>15098</v>
      </c>
      <c r="G194" s="2508" t="s">
        <v>15101</v>
      </c>
      <c r="H194" s="2508" t="s">
        <v>5446</v>
      </c>
      <c r="I194" s="2585" t="str">
        <f>IF(ISNA(VLOOKUP($D194,Справочник!DK:DM,3,0)),"-",VLOOKUP($D194,Справочник!DK:DM,3,0))</f>
        <v>Андреев Сергей Евгеньевич  SeEAndreev@rosatom.ru  (499) 949-44-84</v>
      </c>
    </row>
    <row r="195" spans="1:9" ht="98">
      <c r="B195" s="2505">
        <v>185</v>
      </c>
      <c r="C195" s="2506">
        <v>44792</v>
      </c>
      <c r="D195" s="2746">
        <v>96</v>
      </c>
      <c r="E195" s="2507" t="s">
        <v>14992</v>
      </c>
      <c r="F195" s="2507" t="s">
        <v>15103</v>
      </c>
      <c r="G195" s="2508" t="s">
        <v>15101</v>
      </c>
      <c r="H195" s="2508" t="s">
        <v>14585</v>
      </c>
      <c r="I195" s="2585" t="str">
        <f>IF(ISNA(VLOOKUP($D195,Справочник!DK:DM,3,0)),"-",VLOOKUP($D195,Справочник!DK:DM,3,0))</f>
        <v>Гуров Александр Анатольевич AAGurov@rosatom.ru  (499) 949-41-27</v>
      </c>
    </row>
    <row r="196" spans="1:9" ht="37.5">
      <c r="B196" s="2505">
        <v>186</v>
      </c>
      <c r="C196" s="2506">
        <v>44798</v>
      </c>
      <c r="D196" s="2746" t="s">
        <v>5919</v>
      </c>
      <c r="E196" s="3149" t="s">
        <v>10036</v>
      </c>
      <c r="F196" s="2507" t="s">
        <v>15102</v>
      </c>
      <c r="G196" s="2508" t="str">
        <f t="shared" ref="G196:G248" si="3">G195</f>
        <v>V12</v>
      </c>
      <c r="H196" s="2508" t="s">
        <v>14634</v>
      </c>
      <c r="I196" s="2585" t="str">
        <f>IF(ISNA(VLOOKUP($D196,Справочник!DK:DM,3,0)),"-",VLOOKUP($D196,Справочник!DK:DM,3,0))</f>
        <v>Андреев Сергей Евгеньевич  SeEAndreev@rosatom.ru  (499) 949-44-84</v>
      </c>
    </row>
    <row r="197" spans="1:9" ht="192.5">
      <c r="B197" s="2505">
        <v>187</v>
      </c>
      <c r="C197" s="2506">
        <v>44804</v>
      </c>
      <c r="D197" s="2746" t="s">
        <v>2085</v>
      </c>
      <c r="E197" s="2507" t="s">
        <v>10033</v>
      </c>
      <c r="F197" s="3503" t="s">
        <v>15139</v>
      </c>
      <c r="G197" s="2508" t="str">
        <f t="shared" si="3"/>
        <v>V12</v>
      </c>
      <c r="H197" s="2508" t="s">
        <v>14351</v>
      </c>
      <c r="I197" s="2585" t="str">
        <f>IF(ISNA(VLOOKUP($D197,Справочник!DK:DM,3,0)),"-",VLOOKUP($D197,Справочник!DK:DM,3,0))</f>
        <v>Козлов Николай Викторович  NiVKozlov@rosatom.ru  (499) 949-47-02</v>
      </c>
    </row>
    <row r="198" spans="1:9" ht="202.5">
      <c r="B198" s="2505">
        <v>188</v>
      </c>
      <c r="C198" s="2506">
        <v>44804</v>
      </c>
      <c r="D198" s="2746" t="s">
        <v>2085</v>
      </c>
      <c r="E198" s="2507" t="s">
        <v>10033</v>
      </c>
      <c r="F198" s="3503" t="s">
        <v>15140</v>
      </c>
      <c r="G198" s="2508" t="str">
        <f t="shared" si="3"/>
        <v>V12</v>
      </c>
      <c r="H198" s="2508" t="s">
        <v>15141</v>
      </c>
      <c r="I198" s="2585" t="str">
        <f>IF(ISNA(VLOOKUP($D198,Справочник!DK:DM,3,0)),"-",VLOOKUP($D198,Справочник!DK:DM,3,0))</f>
        <v>Козлов Николай Викторович  NiVKozlov@rosatom.ru  (499) 949-47-02</v>
      </c>
    </row>
    <row r="199" spans="1:9" ht="52.5">
      <c r="B199" s="2505">
        <v>189</v>
      </c>
      <c r="C199" s="2506">
        <v>44810</v>
      </c>
      <c r="D199" s="2746">
        <v>57</v>
      </c>
      <c r="E199" s="3149" t="s">
        <v>10036</v>
      </c>
      <c r="F199" s="3503" t="s">
        <v>15144</v>
      </c>
      <c r="G199" s="2508" t="str">
        <f t="shared" si="3"/>
        <v>V12</v>
      </c>
      <c r="H199" s="2508" t="s">
        <v>15145</v>
      </c>
      <c r="I199" s="2585" t="str">
        <f>IF(ISNA(VLOOKUP($D199,Справочник!DK:DM,3,0)),"-",VLOOKUP($D199,Справочник!DK:DM,3,0))</f>
        <v>Кожевникова Светлана Игоревна  SIKozhevnikova@rosatom.ru  (499) 949-43-51</v>
      </c>
    </row>
    <row r="200" spans="1:9">
      <c r="B200" s="2505">
        <v>190</v>
      </c>
      <c r="C200" s="2506">
        <v>44810</v>
      </c>
      <c r="D200" s="2746" t="s">
        <v>9877</v>
      </c>
      <c r="E200" s="2507" t="s">
        <v>15085</v>
      </c>
      <c r="F200" s="2507" t="s">
        <v>15146</v>
      </c>
      <c r="G200" s="2508" t="str">
        <f t="shared" si="3"/>
        <v>V12</v>
      </c>
      <c r="H200" s="2508" t="s">
        <v>15145</v>
      </c>
      <c r="I200" s="2585">
        <f>IF(ISNA(VLOOKUP($D200,Справочник!DK:DM,3,0)),"-",VLOOKUP($D200,Справочник!DK:DM,3,0))</f>
        <v>0</v>
      </c>
    </row>
    <row r="201" spans="1:9" ht="43.5">
      <c r="B201" s="2505">
        <v>191</v>
      </c>
      <c r="C201" s="2506">
        <v>44812</v>
      </c>
      <c r="D201" s="2746" t="s">
        <v>424</v>
      </c>
      <c r="E201" s="2507" t="s">
        <v>14797</v>
      </c>
      <c r="F201" s="2507" t="s">
        <v>15011</v>
      </c>
      <c r="G201" s="2508" t="str">
        <f t="shared" si="3"/>
        <v>V12</v>
      </c>
      <c r="H201" s="2508" t="s">
        <v>14825</v>
      </c>
      <c r="I201" s="2585" t="str">
        <f>IF(ISNA(VLOOKUP($D201,Справочник!DK:DM,3,0)),"-",VLOOKUP($D201,Справочник!DK:DM,3,0))</f>
        <v xml:space="preserve">Емельянова Наталия Валериевна  NVEmelyanova@rosatom.ru  (499) 949-47-82
Гуров Александр Анатольевич AAGurov@rosatom.ru  (499) 949-41-27
</v>
      </c>
    </row>
    <row r="202" spans="1:9" ht="202.5">
      <c r="B202" s="2505">
        <v>192</v>
      </c>
      <c r="C202" s="2506">
        <v>44818</v>
      </c>
      <c r="D202" s="2746" t="s">
        <v>2085</v>
      </c>
      <c r="E202" s="2507" t="s">
        <v>10033</v>
      </c>
      <c r="F202" s="3503" t="s">
        <v>15149</v>
      </c>
      <c r="G202" s="2508" t="str">
        <f t="shared" si="3"/>
        <v>V12</v>
      </c>
      <c r="H202" s="2508" t="s">
        <v>15141</v>
      </c>
      <c r="I202" s="2585" t="str">
        <f>IF(ISNA(VLOOKUP($D202,Справочник!DK:DM,3,0)),"-",VLOOKUP($D202,Справочник!DK:DM,3,0))</f>
        <v>Козлов Николай Викторович  NiVKozlov@rosatom.ru  (499) 949-47-02</v>
      </c>
    </row>
    <row r="203" spans="1:9" ht="25">
      <c r="B203" s="2505">
        <v>193</v>
      </c>
      <c r="C203" s="2506">
        <v>44831</v>
      </c>
      <c r="D203" s="2746" t="s">
        <v>2088</v>
      </c>
      <c r="E203" s="2507" t="s">
        <v>14797</v>
      </c>
      <c r="F203" s="2507" t="s">
        <v>15152</v>
      </c>
      <c r="G203" s="2508" t="str">
        <f t="shared" si="3"/>
        <v>V12</v>
      </c>
      <c r="H203" s="2508" t="s">
        <v>15153</v>
      </c>
      <c r="I203" s="2585" t="str">
        <f>IF(ISNA(VLOOKUP($D203,Справочник!DK:DM,3,0)),"-",VLOOKUP($D203,Справочник!DK:DM,3,0))</f>
        <v>Андреев Сергей Евгеньевич  SeEAndreev@rosatom.ru  (499) 949-44-84</v>
      </c>
    </row>
    <row r="204" spans="1:9" ht="101">
      <c r="B204" s="2505">
        <v>194</v>
      </c>
      <c r="C204" s="2506">
        <v>44839</v>
      </c>
      <c r="D204" s="2746" t="s">
        <v>2085</v>
      </c>
      <c r="E204" s="2507" t="s">
        <v>10033</v>
      </c>
      <c r="F204" s="3503" t="s">
        <v>15171</v>
      </c>
      <c r="G204" s="2508" t="str">
        <f t="shared" si="3"/>
        <v>V12</v>
      </c>
      <c r="H204" s="2508" t="s">
        <v>15170</v>
      </c>
      <c r="I204" s="2585" t="str">
        <f>IF(ISNA(VLOOKUP($D204,Справочник!DK:DM,3,0)),"-",VLOOKUP($D204,Справочник!DK:DM,3,0))</f>
        <v>Козлов Николай Викторович  NiVKozlov@rosatom.ru  (499) 949-47-02</v>
      </c>
    </row>
    <row r="205" spans="1:9" ht="81">
      <c r="B205" s="2505">
        <v>195</v>
      </c>
      <c r="C205" s="2506">
        <v>44839</v>
      </c>
      <c r="D205" s="2746" t="s">
        <v>2085</v>
      </c>
      <c r="E205" s="2507" t="s">
        <v>10033</v>
      </c>
      <c r="F205" s="3604" t="s">
        <v>15172</v>
      </c>
      <c r="G205" s="2508" t="str">
        <f t="shared" si="3"/>
        <v>V12</v>
      </c>
      <c r="H205" s="2508" t="s">
        <v>15170</v>
      </c>
      <c r="I205" s="2585" t="str">
        <f>IF(ISNA(VLOOKUP($D205,Справочник!DK:DM,3,0)),"-",VLOOKUP($D205,Справочник!DK:DM,3,0))</f>
        <v>Козлов Николай Викторович  NiVKozlov@rosatom.ru  (499) 949-47-02</v>
      </c>
    </row>
    <row r="206" spans="1:9">
      <c r="B206" s="2505">
        <v>195</v>
      </c>
      <c r="C206" s="2506">
        <v>44844</v>
      </c>
      <c r="D206" s="2746" t="s">
        <v>2085</v>
      </c>
      <c r="E206" s="2507" t="s">
        <v>10033</v>
      </c>
      <c r="F206" s="3604" t="s">
        <v>15175</v>
      </c>
      <c r="G206" s="2508" t="str">
        <f t="shared" si="3"/>
        <v>V12</v>
      </c>
      <c r="H206" s="2508" t="s">
        <v>15174</v>
      </c>
      <c r="I206" s="2585" t="str">
        <f>IF(ISNA(VLOOKUP($D206,Справочник!DK:DM,3,0)),"-",VLOOKUP($D206,Справочник!DK:DM,3,0))</f>
        <v>Козлов Николай Викторович  NiVKozlov@rosatom.ru  (499) 949-47-02</v>
      </c>
    </row>
    <row r="207" spans="1:9" s="3616" customFormat="1">
      <c r="A207" s="3064" t="s">
        <v>15240</v>
      </c>
      <c r="B207" s="2505"/>
      <c r="C207" s="2506"/>
      <c r="D207" s="2746"/>
      <c r="E207" s="2507"/>
      <c r="F207" s="3604"/>
      <c r="G207" s="2508"/>
      <c r="H207" s="2508"/>
      <c r="I207" s="2585"/>
    </row>
    <row r="208" spans="1:9" s="3606" customFormat="1" ht="71">
      <c r="B208" s="2505"/>
      <c r="C208" s="2506">
        <v>44844</v>
      </c>
      <c r="D208" s="2746" t="s">
        <v>2085</v>
      </c>
      <c r="E208" s="2507" t="s">
        <v>10033</v>
      </c>
      <c r="F208" s="3604" t="s">
        <v>15182</v>
      </c>
      <c r="G208" s="2508" t="s">
        <v>15181</v>
      </c>
      <c r="H208" s="2508" t="s">
        <v>15183</v>
      </c>
      <c r="I208" s="2585"/>
    </row>
    <row r="209" spans="2:9">
      <c r="B209" s="2505">
        <v>197</v>
      </c>
      <c r="C209" s="2506">
        <v>44844</v>
      </c>
      <c r="D209" s="2746" t="s">
        <v>2088</v>
      </c>
      <c r="E209" s="2507" t="s">
        <v>14801</v>
      </c>
      <c r="F209" s="2507" t="s">
        <v>15176</v>
      </c>
      <c r="G209" s="2508" t="s">
        <v>15181</v>
      </c>
      <c r="H209" s="2508" t="s">
        <v>14825</v>
      </c>
      <c r="I209" s="2585" t="str">
        <f>IF(ISNA(VLOOKUP($D209,Справочник!DK:DM,3,0)),"-",VLOOKUP($D209,Справочник!DK:DM,3,0))</f>
        <v>Андреев Сергей Евгеньевич  SeEAndreev@rosatom.ru  (499) 949-44-84</v>
      </c>
    </row>
    <row r="210" spans="2:9" ht="25">
      <c r="B210" s="2505">
        <v>198</v>
      </c>
      <c r="C210" s="2506">
        <v>44846</v>
      </c>
      <c r="D210" s="2746" t="s">
        <v>14511</v>
      </c>
      <c r="E210" s="2507" t="s">
        <v>15177</v>
      </c>
      <c r="F210" s="2507" t="s">
        <v>15178</v>
      </c>
      <c r="G210" s="2508" t="str">
        <f t="shared" si="3"/>
        <v>V13</v>
      </c>
      <c r="H210" s="2508" t="s">
        <v>14611</v>
      </c>
      <c r="I210" s="2585" t="str">
        <f>IF(ISNA(VLOOKUP($D210,Справочник!DK:DM,3,0)),"-",VLOOKUP($D210,Справочник!DK:DM,3,0))</f>
        <v>Малахай Виктория Николаевна  VNMalakhay@rosatom.ru  (499) 949-48-22</v>
      </c>
    </row>
    <row r="211" spans="2:9" s="3606" customFormat="1">
      <c r="B211" s="2505"/>
      <c r="C211" s="2506">
        <v>44847</v>
      </c>
      <c r="D211" s="2746" t="s">
        <v>9877</v>
      </c>
      <c r="E211" s="2507" t="s">
        <v>15085</v>
      </c>
      <c r="F211" s="2507" t="s">
        <v>9676</v>
      </c>
      <c r="G211" s="2508" t="str">
        <f t="shared" si="3"/>
        <v>V13</v>
      </c>
      <c r="H211" s="2508" t="s">
        <v>15184</v>
      </c>
      <c r="I211" s="2585"/>
    </row>
    <row r="212" spans="2:9" ht="25.75" customHeight="1">
      <c r="B212" s="2505">
        <v>199</v>
      </c>
      <c r="C212" s="2506">
        <v>44847</v>
      </c>
      <c r="D212" s="2746" t="s">
        <v>5919</v>
      </c>
      <c r="E212" s="2507" t="s">
        <v>15179</v>
      </c>
      <c r="F212" s="2507" t="s">
        <v>15180</v>
      </c>
      <c r="G212" s="2508" t="str">
        <f>G210</f>
        <v>V13</v>
      </c>
      <c r="H212" s="2508" t="s">
        <v>14599</v>
      </c>
      <c r="I212" s="2585" t="str">
        <f>IF(ISNA(VLOOKUP($D212,Справочник!DK:DM,3,0)),"-",VLOOKUP($D212,Справочник!DK:DM,3,0))</f>
        <v>Андреев Сергей Евгеньевич  SeEAndreev@rosatom.ru  (499) 949-44-84</v>
      </c>
    </row>
    <row r="213" spans="2:9">
      <c r="B213" s="2505">
        <v>200</v>
      </c>
      <c r="C213" s="2506">
        <v>44847</v>
      </c>
      <c r="D213" s="2746" t="s">
        <v>2826</v>
      </c>
      <c r="E213" s="3149" t="s">
        <v>10036</v>
      </c>
      <c r="F213" s="2507" t="s">
        <v>15185</v>
      </c>
      <c r="G213" s="2508" t="str">
        <f t="shared" ref="G213:G217" si="4">G212</f>
        <v>V13</v>
      </c>
      <c r="H213" s="2508" t="s">
        <v>14634</v>
      </c>
      <c r="I213" s="2585" t="str">
        <f>IF(ISNA(VLOOKUP($D213,Справочник!DK:DM,3,0)),"-",VLOOKUP($D213,Справочник!DK:DM,3,0))</f>
        <v>Бурцева Ольга Леонидовна  OlLBurtseva@rosatom.ru  (499) 949-20-37</v>
      </c>
    </row>
    <row r="214" spans="2:9">
      <c r="B214" s="2505">
        <v>201</v>
      </c>
      <c r="C214" s="2506">
        <v>44847</v>
      </c>
      <c r="D214" s="2746" t="s">
        <v>2827</v>
      </c>
      <c r="E214" s="3149" t="s">
        <v>10036</v>
      </c>
      <c r="F214" s="2507" t="s">
        <v>15186</v>
      </c>
      <c r="G214" s="2508" t="str">
        <f t="shared" si="4"/>
        <v>V13</v>
      </c>
      <c r="H214" s="2508" t="s">
        <v>14634</v>
      </c>
      <c r="I214" s="2585" t="str">
        <f>IF(ISNA(VLOOKUP($D214,Справочник!DK:DM,3,0)),"-",VLOOKUP($D214,Справочник!DK:DM,3,0))</f>
        <v>Бурцева Ольга Леонидовна  OlLBurtseva@rosatom.ru  (499) 949-20-37</v>
      </c>
    </row>
    <row r="215" spans="2:9">
      <c r="B215" s="2505">
        <v>202</v>
      </c>
      <c r="C215" s="2506">
        <v>44847</v>
      </c>
      <c r="D215" s="2746" t="s">
        <v>2833</v>
      </c>
      <c r="E215" s="3149" t="s">
        <v>10036</v>
      </c>
      <c r="F215" s="2507" t="s">
        <v>15187</v>
      </c>
      <c r="G215" s="2508" t="str">
        <f t="shared" si="4"/>
        <v>V13</v>
      </c>
      <c r="H215" s="2508" t="s">
        <v>14634</v>
      </c>
      <c r="I215" s="2585" t="str">
        <f>IF(ISNA(VLOOKUP($D215,Справочник!DK:DM,3,0)),"-",VLOOKUP($D215,Справочник!DK:DM,3,0))</f>
        <v>Бурцева Ольга Леонидовна  OlLBurtseva@rosatom.ru  (499) 949-20-37</v>
      </c>
    </row>
    <row r="216" spans="2:9">
      <c r="B216" s="2505">
        <v>203</v>
      </c>
      <c r="C216" s="2506">
        <v>44847</v>
      </c>
      <c r="D216" s="2746" t="s">
        <v>2834</v>
      </c>
      <c r="E216" s="3149" t="s">
        <v>10036</v>
      </c>
      <c r="F216" s="2507" t="s">
        <v>15188</v>
      </c>
      <c r="G216" s="2508" t="str">
        <f t="shared" si="4"/>
        <v>V13</v>
      </c>
      <c r="H216" s="2508" t="s">
        <v>14634</v>
      </c>
      <c r="I216" s="2585" t="str">
        <f>IF(ISNA(VLOOKUP($D216,Справочник!DK:DM,3,0)),"-",VLOOKUP($D216,Справочник!DK:DM,3,0))</f>
        <v>Леванков Вячеслав Вячеславович  VVLevankov@rosatom.ru  (499) 949-25-45</v>
      </c>
    </row>
    <row r="217" spans="2:9">
      <c r="B217" s="2505">
        <v>204</v>
      </c>
      <c r="C217" s="2506">
        <v>44847</v>
      </c>
      <c r="D217" s="2746" t="s">
        <v>2835</v>
      </c>
      <c r="E217" s="3149" t="s">
        <v>10036</v>
      </c>
      <c r="F217" s="2507" t="s">
        <v>15189</v>
      </c>
      <c r="G217" s="2508" t="str">
        <f t="shared" si="4"/>
        <v>V13</v>
      </c>
      <c r="H217" s="2508" t="s">
        <v>14634</v>
      </c>
      <c r="I217" s="2585" t="str">
        <f>IF(ISNA(VLOOKUP($D217,Справочник!DK:DM,3,0)),"-",VLOOKUP($D217,Справочник!DK:DM,3,0))</f>
        <v>Леванков Вячеслав Вячеславович  VVLevankov@rosatom.ru  (499) 949-25-45</v>
      </c>
    </row>
    <row r="218" spans="2:9">
      <c r="B218" s="2505">
        <v>205</v>
      </c>
      <c r="C218" s="2506">
        <v>44847</v>
      </c>
      <c r="D218" s="2746" t="s">
        <v>9877</v>
      </c>
      <c r="E218" s="2507" t="s">
        <v>15085</v>
      </c>
      <c r="F218" s="2507" t="s">
        <v>9676</v>
      </c>
      <c r="G218" s="2508" t="str">
        <f t="shared" si="3"/>
        <v>V13</v>
      </c>
      <c r="H218" s="2508" t="s">
        <v>15184</v>
      </c>
      <c r="I218" s="2585">
        <f>IF(ISNA(VLOOKUP($D218,Справочник!DK:DM,3,0)),"-",VLOOKUP($D218,Справочник!DK:DM,3,0))</f>
        <v>0</v>
      </c>
    </row>
    <row r="219" spans="2:9" ht="25">
      <c r="B219" s="2505">
        <v>206</v>
      </c>
      <c r="C219" s="2506">
        <v>44847</v>
      </c>
      <c r="D219" s="2746" t="s">
        <v>9877</v>
      </c>
      <c r="E219" s="2507" t="s">
        <v>15085</v>
      </c>
      <c r="F219" s="2507" t="s">
        <v>10102</v>
      </c>
      <c r="G219" s="2508" t="str">
        <f t="shared" si="3"/>
        <v>V13</v>
      </c>
      <c r="H219" s="2508" t="s">
        <v>15190</v>
      </c>
      <c r="I219" s="2585">
        <f>IF(ISNA(VLOOKUP($D219,Справочник!DK:DM,3,0)),"-",VLOOKUP($D219,Справочник!DK:DM,3,0))</f>
        <v>0</v>
      </c>
    </row>
    <row r="220" spans="2:9">
      <c r="B220" s="2505">
        <v>207</v>
      </c>
      <c r="C220" s="2506">
        <v>44847</v>
      </c>
      <c r="D220" s="2746">
        <v>99</v>
      </c>
      <c r="E220" s="3149" t="s">
        <v>10036</v>
      </c>
      <c r="F220" s="2507" t="s">
        <v>15191</v>
      </c>
      <c r="G220" s="2508" t="str">
        <f t="shared" si="3"/>
        <v>V13</v>
      </c>
      <c r="H220" s="2508" t="s">
        <v>14710</v>
      </c>
      <c r="I220" s="2585" t="str">
        <f>IF(ISNA(VLOOKUP($D220,Справочник!DK:DM,3,0)),"-",VLOOKUP($D220,Справочник!DK:DM,3,0))</f>
        <v>Храмченко Светлана Игоревна SIKhramchenko@rosatom.ru  (499) 949-4193</v>
      </c>
    </row>
    <row r="221" spans="2:9" ht="31.5">
      <c r="B221" s="2505">
        <v>208</v>
      </c>
      <c r="C221" s="2506">
        <v>44851</v>
      </c>
      <c r="D221" s="2746" t="s">
        <v>7502</v>
      </c>
      <c r="E221" s="3439" t="s">
        <v>10033</v>
      </c>
      <c r="F221" s="3521" t="s">
        <v>15192</v>
      </c>
      <c r="G221" s="2508" t="str">
        <f t="shared" si="3"/>
        <v>V13</v>
      </c>
      <c r="H221" s="2508" t="s">
        <v>14599</v>
      </c>
      <c r="I221" s="2585" t="str">
        <f>IF(ISNA(VLOOKUP($D221,Справочник!DK:DM,3,0)),"-",VLOOKUP($D221,Справочник!DK:DM,3,0))</f>
        <v>Козлов Николай Викторович  NiVKozlov@rosatom.ru  (499) 949-47-02</v>
      </c>
    </row>
    <row r="222" spans="2:9">
      <c r="B222" s="2505">
        <v>209</v>
      </c>
      <c r="C222" s="2506">
        <v>44855</v>
      </c>
      <c r="D222" s="2746" t="s">
        <v>3405</v>
      </c>
      <c r="E222" s="2507" t="s">
        <v>14797</v>
      </c>
      <c r="F222" s="2507" t="s">
        <v>15193</v>
      </c>
      <c r="G222" s="2508" t="str">
        <f t="shared" si="3"/>
        <v>V13</v>
      </c>
      <c r="H222" s="2508" t="s">
        <v>14710</v>
      </c>
      <c r="I222" s="2585" t="str">
        <f>IF(ISNA(VLOOKUP($D222,Справочник!DK:DM,3,0)),"-",VLOOKUP($D222,Справочник!DK:DM,3,0))</f>
        <v>Новик Екатерина Михайловна &lt;EMNovik@rosatom.ru&gt;  (499) 949-27-01</v>
      </c>
    </row>
    <row r="223" spans="2:9">
      <c r="B223" s="2505">
        <v>210</v>
      </c>
      <c r="C223" s="2506">
        <v>44855</v>
      </c>
      <c r="D223" s="2746" t="s">
        <v>3407</v>
      </c>
      <c r="E223" s="2507" t="s">
        <v>14797</v>
      </c>
      <c r="F223" s="2507" t="s">
        <v>15193</v>
      </c>
      <c r="G223" s="2508" t="str">
        <f t="shared" si="3"/>
        <v>V13</v>
      </c>
      <c r="H223" s="2508" t="s">
        <v>14710</v>
      </c>
      <c r="I223" s="2585" t="str">
        <f>IF(ISNA(VLOOKUP($D223,Справочник!DK:DM,3,0)),"-",VLOOKUP($D223,Справочник!DK:DM,3,0))</f>
        <v>Новик Екатерина Михайловна &lt;EMNovik@rosatom.ru&gt;  (499) 949-27-01</v>
      </c>
    </row>
    <row r="224" spans="2:9">
      <c r="B224" s="2505">
        <v>211</v>
      </c>
      <c r="C224" s="2506">
        <v>44855</v>
      </c>
      <c r="D224" s="2746" t="s">
        <v>3413</v>
      </c>
      <c r="E224" s="2507" t="s">
        <v>14797</v>
      </c>
      <c r="F224" s="2507" t="s">
        <v>15193</v>
      </c>
      <c r="G224" s="2508" t="str">
        <f t="shared" si="3"/>
        <v>V13</v>
      </c>
      <c r="H224" s="2508" t="s">
        <v>14710</v>
      </c>
      <c r="I224" s="2585" t="str">
        <f>IF(ISNA(VLOOKUP($D224,Справочник!DK:DM,3,0)),"-",VLOOKUP($D224,Справочник!DK:DM,3,0))</f>
        <v>Новик Екатерина Михайловна &lt;EMNovik@rosatom.ru&gt;  (499) 949-27-01</v>
      </c>
    </row>
    <row r="225" spans="2:9">
      <c r="B225" s="2505">
        <v>212</v>
      </c>
      <c r="C225" s="2506">
        <v>44855</v>
      </c>
      <c r="D225" s="2746" t="s">
        <v>3415</v>
      </c>
      <c r="E225" s="2507" t="s">
        <v>14797</v>
      </c>
      <c r="F225" s="2507" t="s">
        <v>15193</v>
      </c>
      <c r="G225" s="2508" t="str">
        <f t="shared" si="3"/>
        <v>V13</v>
      </c>
      <c r="H225" s="2508" t="s">
        <v>14710</v>
      </c>
      <c r="I225" s="2585" t="str">
        <f>IF(ISNA(VLOOKUP($D225,Справочник!DK:DM,3,0)),"-",VLOOKUP($D225,Справочник!DK:DM,3,0))</f>
        <v>Новик Екатерина Михайловна &lt;EMNovik@rosatom.ru&gt;  (499) 949-27-01</v>
      </c>
    </row>
    <row r="226" spans="2:9">
      <c r="B226" s="2505">
        <v>213</v>
      </c>
      <c r="C226" s="2506">
        <v>44855</v>
      </c>
      <c r="D226" s="2746" t="s">
        <v>3422</v>
      </c>
      <c r="E226" s="2507" t="s">
        <v>14797</v>
      </c>
      <c r="F226" s="2507" t="s">
        <v>15193</v>
      </c>
      <c r="G226" s="2508" t="str">
        <f t="shared" si="3"/>
        <v>V13</v>
      </c>
      <c r="H226" s="2508" t="s">
        <v>14710</v>
      </c>
      <c r="I226" s="2585" t="str">
        <f>IF(ISNA(VLOOKUP($D226,Справочник!DK:DM,3,0)),"-",VLOOKUP($D226,Справочник!DK:DM,3,0))</f>
        <v>Новик Екатерина Михайловна &lt;EMNovik@rosatom.ru&gt;  (499) 949-27-01</v>
      </c>
    </row>
    <row r="227" spans="2:9">
      <c r="B227" s="2505">
        <v>214</v>
      </c>
      <c r="C227" s="2506">
        <v>44855</v>
      </c>
      <c r="D227" s="2746" t="s">
        <v>3428</v>
      </c>
      <c r="E227" s="2507" t="s">
        <v>14797</v>
      </c>
      <c r="F227" s="2507" t="s">
        <v>15193</v>
      </c>
      <c r="G227" s="2508" t="str">
        <f t="shared" si="3"/>
        <v>V13</v>
      </c>
      <c r="H227" s="2508" t="s">
        <v>14710</v>
      </c>
      <c r="I227" s="2585" t="str">
        <f>IF(ISNA(VLOOKUP($D227,Справочник!DK:DM,3,0)),"-",VLOOKUP($D227,Справочник!DK:DM,3,0))</f>
        <v>Новик Екатерина Михайловна &lt;EMNovik@rosatom.ru&gt;  (499) 949-27-01</v>
      </c>
    </row>
    <row r="228" spans="2:9">
      <c r="B228" s="2505">
        <v>215</v>
      </c>
      <c r="C228" s="2506">
        <v>44855</v>
      </c>
      <c r="D228" s="2746" t="s">
        <v>3430</v>
      </c>
      <c r="E228" s="2507" t="s">
        <v>14797</v>
      </c>
      <c r="F228" s="2507" t="s">
        <v>15193</v>
      </c>
      <c r="G228" s="2508" t="str">
        <f t="shared" si="3"/>
        <v>V13</v>
      </c>
      <c r="H228" s="2508" t="s">
        <v>14710</v>
      </c>
      <c r="I228" s="2585" t="str">
        <f>IF(ISNA(VLOOKUP($D228,Справочник!DK:DM,3,0)),"-",VLOOKUP($D228,Справочник!DK:DM,3,0))</f>
        <v>Новик Екатерина Михайловна &lt;EMNovik@rosatom.ru&gt;  (499) 949-27-01</v>
      </c>
    </row>
    <row r="229" spans="2:9" ht="41">
      <c r="B229" s="2505">
        <v>216</v>
      </c>
      <c r="C229" s="2506">
        <v>44859</v>
      </c>
      <c r="D229" s="2746" t="s">
        <v>7502</v>
      </c>
      <c r="E229" s="3439" t="s">
        <v>10033</v>
      </c>
      <c r="F229" s="3604" t="s">
        <v>15200</v>
      </c>
      <c r="G229" s="2508" t="str">
        <f t="shared" si="3"/>
        <v>V13</v>
      </c>
      <c r="H229" s="2508" t="s">
        <v>15183</v>
      </c>
      <c r="I229" s="2585" t="str">
        <f>IF(ISNA(VLOOKUP($D229,Справочник!DK:DM,3,0)),"-",VLOOKUP($D229,Справочник!DK:DM,3,0))</f>
        <v>Козлов Николай Викторович  NiVKozlov@rosatom.ru  (499) 949-47-02</v>
      </c>
    </row>
    <row r="230" spans="2:9" ht="25">
      <c r="B230" s="2505">
        <v>217</v>
      </c>
      <c r="C230" s="2506">
        <v>44861</v>
      </c>
      <c r="D230" s="2746" t="s">
        <v>2832</v>
      </c>
      <c r="E230" s="2507" t="s">
        <v>15085</v>
      </c>
      <c r="F230" s="2507" t="s">
        <v>15202</v>
      </c>
      <c r="G230" s="2508" t="str">
        <f t="shared" si="3"/>
        <v>V13</v>
      </c>
      <c r="H230" s="2508" t="s">
        <v>15203</v>
      </c>
      <c r="I230" s="2585" t="str">
        <f>IF(ISNA(VLOOKUP($D230,Справочник!DK:DM,3,0)),"-",VLOOKUP($D230,Справочник!DK:DM,3,0))</f>
        <v>Кожевникова Светлана Игоревна  SIKozhevnikova@rosatom.ru  (499) 949-43-51</v>
      </c>
    </row>
    <row r="231" spans="2:9" ht="25">
      <c r="B231" s="2505">
        <v>218</v>
      </c>
      <c r="C231" s="2506">
        <v>44861</v>
      </c>
      <c r="D231" s="2746" t="s">
        <v>9877</v>
      </c>
      <c r="E231" s="2507" t="s">
        <v>15085</v>
      </c>
      <c r="F231" s="2507" t="s">
        <v>15202</v>
      </c>
      <c r="G231" s="2508" t="str">
        <f t="shared" si="3"/>
        <v>V13</v>
      </c>
      <c r="H231" s="2508" t="s">
        <v>15203</v>
      </c>
      <c r="I231" s="2585">
        <f>IF(ISNA(VLOOKUP($D231,Справочник!DK:DM,3,0)),"-",VLOOKUP($D231,Справочник!DK:DM,3,0))</f>
        <v>0</v>
      </c>
    </row>
    <row r="232" spans="2:9">
      <c r="B232" s="2505">
        <v>219</v>
      </c>
      <c r="C232" s="2506">
        <v>44874</v>
      </c>
      <c r="D232" s="2746">
        <v>90</v>
      </c>
      <c r="E232" s="2507" t="s">
        <v>15085</v>
      </c>
      <c r="F232" s="2507" t="s">
        <v>15204</v>
      </c>
      <c r="G232" s="2508" t="str">
        <f t="shared" si="3"/>
        <v>V13</v>
      </c>
      <c r="H232" s="2508" t="s">
        <v>14599</v>
      </c>
      <c r="I232" s="2585" t="str">
        <f>IF(ISNA(VLOOKUP($D232,Справочник!DK:DM,3,0)),"-",VLOOKUP($D232,Справочник!DK:DM,3,0))</f>
        <v>Андреев Сергей Евгеньевич  SeEAndreev@rosatom.ru  (499) 949-44-84</v>
      </c>
    </row>
    <row r="233" spans="2:9">
      <c r="B233" s="2505">
        <v>220</v>
      </c>
      <c r="C233" s="2506">
        <v>44874</v>
      </c>
      <c r="D233" s="2746" t="s">
        <v>951</v>
      </c>
      <c r="E233" s="2507" t="s">
        <v>15085</v>
      </c>
      <c r="F233" s="2507" t="s">
        <v>15204</v>
      </c>
      <c r="G233" s="2508" t="str">
        <f t="shared" si="3"/>
        <v>V13</v>
      </c>
      <c r="H233" s="2508" t="s">
        <v>14599</v>
      </c>
      <c r="I233" s="2585" t="str">
        <f>IF(ISNA(VLOOKUP($D233,Справочник!DK:DM,3,0)),"-",VLOOKUP($D233,Справочник!DK:DM,3,0))</f>
        <v>Андреев Сергей Евгеньевич  SeEAndreev@rosatom.ru  (499) 949-44-84</v>
      </c>
    </row>
    <row r="234" spans="2:9">
      <c r="B234" s="2505">
        <v>221</v>
      </c>
      <c r="C234" s="2506">
        <v>44874</v>
      </c>
      <c r="D234" s="2746" t="s">
        <v>5266</v>
      </c>
      <c r="E234" s="2507" t="s">
        <v>15085</v>
      </c>
      <c r="F234" s="2507" t="s">
        <v>15205</v>
      </c>
      <c r="G234" s="2508" t="str">
        <f t="shared" si="3"/>
        <v>V13</v>
      </c>
      <c r="H234" s="2508" t="s">
        <v>14599</v>
      </c>
      <c r="I234" s="2585" t="str">
        <f>IF(ISNA(VLOOKUP($D234,Справочник!DK:DM,3,0)),"-",VLOOKUP($D234,Справочник!DK:DM,3,0))</f>
        <v>Андреев Сергей Евгеньевич  SeEAndreev@rosatom.ru  (499) 949-44-84</v>
      </c>
    </row>
    <row r="235" spans="2:9" ht="25">
      <c r="B235" s="2505">
        <v>222</v>
      </c>
      <c r="C235" s="2506">
        <v>44874</v>
      </c>
      <c r="D235" s="2746" t="s">
        <v>9877</v>
      </c>
      <c r="E235" s="2507" t="s">
        <v>15085</v>
      </c>
      <c r="F235" s="2507" t="s">
        <v>15214</v>
      </c>
      <c r="G235" s="2508" t="str">
        <f t="shared" si="3"/>
        <v>V13</v>
      </c>
      <c r="H235" s="2508" t="s">
        <v>14599</v>
      </c>
      <c r="I235" s="2585">
        <f>IF(ISNA(VLOOKUP($D235,Справочник!DK:DM,3,0)),"-",VLOOKUP($D235,Справочник!DK:DM,3,0))</f>
        <v>0</v>
      </c>
    </row>
    <row r="236" spans="2:9" ht="112.5">
      <c r="B236" s="2505">
        <v>223</v>
      </c>
      <c r="C236" s="2506">
        <v>44879</v>
      </c>
      <c r="D236" s="2746" t="s">
        <v>7883</v>
      </c>
      <c r="E236" s="2507" t="s">
        <v>15215</v>
      </c>
      <c r="F236" s="2507" t="s">
        <v>15216</v>
      </c>
      <c r="G236" s="2508" t="str">
        <f t="shared" si="3"/>
        <v>V13</v>
      </c>
      <c r="H236" s="2508" t="s">
        <v>14585</v>
      </c>
      <c r="I236" s="2585" t="str">
        <f>IF(ISNA(VLOOKUP($D236,Справочник!DK:DM,3,0)),"-",VLOOKUP($D236,Справочник!DK:DM,3,0))</f>
        <v>Емельянова Наталия Валериевна  NVEmelyanova@rosatom.ru  (499) 949-47-82</v>
      </c>
    </row>
    <row r="237" spans="2:9">
      <c r="B237" s="2505">
        <v>224</v>
      </c>
      <c r="C237" s="2506">
        <v>44881</v>
      </c>
      <c r="D237" s="2746" t="s">
        <v>9877</v>
      </c>
      <c r="E237" s="2507" t="s">
        <v>14626</v>
      </c>
      <c r="F237" s="2507" t="s">
        <v>15217</v>
      </c>
      <c r="G237" s="2508" t="str">
        <f t="shared" si="3"/>
        <v>V13</v>
      </c>
      <c r="H237" s="2508" t="s">
        <v>15184</v>
      </c>
      <c r="I237" s="2585">
        <f>IF(ISNA(VLOOKUP($D237,Справочник!DK:DM,3,0)),"-",VLOOKUP($D237,Справочник!DK:DM,3,0))</f>
        <v>0</v>
      </c>
    </row>
    <row r="238" spans="2:9">
      <c r="B238" s="2505">
        <v>225</v>
      </c>
      <c r="C238" s="2506">
        <v>44883</v>
      </c>
      <c r="D238" s="2746" t="s">
        <v>905</v>
      </c>
      <c r="E238" s="2507" t="s">
        <v>15218</v>
      </c>
      <c r="F238" s="2507" t="s">
        <v>15219</v>
      </c>
      <c r="G238" s="2508" t="str">
        <f t="shared" si="3"/>
        <v>V13</v>
      </c>
      <c r="H238" s="2508" t="s">
        <v>14588</v>
      </c>
      <c r="I238" s="2585" t="str">
        <f>IF(ISNA(VLOOKUP($D238,Справочник!DK:DM,3,0)),"-",VLOOKUP($D238,Справочник!DK:DM,3,0))</f>
        <v>Андреев Сергей Евгеньевич  SeEAndreev@rosatom.ru  (499) 949-44-84</v>
      </c>
    </row>
    <row r="239" spans="2:9">
      <c r="B239" s="2505">
        <v>226</v>
      </c>
      <c r="C239" s="2506">
        <v>44889</v>
      </c>
      <c r="D239" s="2746" t="s">
        <v>7502</v>
      </c>
      <c r="E239" s="3439" t="s">
        <v>10033</v>
      </c>
      <c r="F239" s="2507" t="s">
        <v>15223</v>
      </c>
      <c r="G239" s="2508" t="str">
        <f t="shared" si="3"/>
        <v>V13</v>
      </c>
      <c r="H239" s="2508" t="s">
        <v>14710</v>
      </c>
      <c r="I239" s="2585" t="str">
        <f>IF(ISNA(VLOOKUP($D239,Справочник!DK:DM,3,0)),"-",VLOOKUP($D239,Справочник!DK:DM,3,0))</f>
        <v>Козлов Николай Викторович  NiVKozlov@rosatom.ru  (499) 949-47-02</v>
      </c>
    </row>
    <row r="240" spans="2:9">
      <c r="B240" s="2505">
        <v>227</v>
      </c>
      <c r="C240" s="2506">
        <v>44889</v>
      </c>
      <c r="D240" s="2746" t="s">
        <v>9877</v>
      </c>
      <c r="E240" s="2507" t="s">
        <v>14626</v>
      </c>
      <c r="F240" s="2507" t="s">
        <v>15226</v>
      </c>
      <c r="G240" s="2508" t="str">
        <f t="shared" si="3"/>
        <v>V13</v>
      </c>
      <c r="H240" s="2508" t="s">
        <v>14588</v>
      </c>
      <c r="I240" s="2585">
        <f>IF(ISNA(VLOOKUP($D240,Справочник!DK:DM,3,0)),"-",VLOOKUP($D240,Справочник!DK:DM,3,0))</f>
        <v>0</v>
      </c>
    </row>
    <row r="241" spans="2:9" ht="25">
      <c r="B241" s="2505">
        <v>228</v>
      </c>
      <c r="C241" s="2506">
        <v>44889</v>
      </c>
      <c r="D241" s="2746" t="s">
        <v>223</v>
      </c>
      <c r="E241" s="2507" t="s">
        <v>14626</v>
      </c>
      <c r="F241" s="2507" t="s">
        <v>15226</v>
      </c>
      <c r="G241" s="2508" t="str">
        <f t="shared" si="3"/>
        <v>V13</v>
      </c>
      <c r="H241" s="2508" t="s">
        <v>14588</v>
      </c>
      <c r="I241" s="2585" t="str">
        <f>IF(ISNA(VLOOKUP($D241,Справочник!DK:DM,3,0)),"-",VLOOKUP($D241,Справочник!DK:DM,3,0))</f>
        <v>Денисова Ольга Александровна  OAlDenisova@rosatom.ru  (499) 949-41-89</v>
      </c>
    </row>
    <row r="242" spans="2:9" ht="31.5">
      <c r="B242" s="2505">
        <v>230</v>
      </c>
      <c r="C242" s="2506">
        <v>44890</v>
      </c>
      <c r="D242" s="2746" t="s">
        <v>7502</v>
      </c>
      <c r="E242" s="3439" t="s">
        <v>10033</v>
      </c>
      <c r="F242" s="3521" t="s">
        <v>15227</v>
      </c>
      <c r="G242" s="2508" t="str">
        <f t="shared" si="3"/>
        <v>V13</v>
      </c>
      <c r="H242" s="2508" t="s">
        <v>14588</v>
      </c>
      <c r="I242" s="2585" t="str">
        <f>IF(ISNA(VLOOKUP($D242,[6]Справочник!DL:DN,3,0)),"-",VLOOKUP($D242,[6]Справочник!DL:DN,3,0))</f>
        <v>Козлов Николай Викторович  NiVKozlov@rosatom.ru  (499) 949-47-02</v>
      </c>
    </row>
    <row r="243" spans="2:9" ht="20.5">
      <c r="B243" s="2505">
        <v>231</v>
      </c>
      <c r="C243" s="2506">
        <v>44894</v>
      </c>
      <c r="D243" s="2746" t="s">
        <v>3432</v>
      </c>
      <c r="E243" s="3149" t="s">
        <v>10036</v>
      </c>
      <c r="F243" s="3521" t="s">
        <v>15231</v>
      </c>
      <c r="G243" s="2508" t="str">
        <f t="shared" si="3"/>
        <v>V13</v>
      </c>
      <c r="H243" s="2508" t="s">
        <v>14355</v>
      </c>
      <c r="I243" s="2585" t="str">
        <f>IF(ISNA(VLOOKUP($D243,[6]Справочник!DL:DN,3,0)),"-",VLOOKUP($D243,[6]Справочник!DL:DN,3,0))</f>
        <v>Денисова Ольга Александровна  OAlDenisova@rosatom.ru  (499) 949-41-89</v>
      </c>
    </row>
    <row r="244" spans="2:9" ht="20.5">
      <c r="B244" s="2505">
        <v>232</v>
      </c>
      <c r="C244" s="2506">
        <v>44894</v>
      </c>
      <c r="D244" s="2746">
        <v>77</v>
      </c>
      <c r="E244" s="3149" t="s">
        <v>10036</v>
      </c>
      <c r="F244" s="3521" t="s">
        <v>15230</v>
      </c>
      <c r="G244" s="2508" t="str">
        <f t="shared" si="3"/>
        <v>V13</v>
      </c>
      <c r="H244" s="2508" t="s">
        <v>14355</v>
      </c>
      <c r="I244" s="2585" t="str">
        <f>IF(ISNA(VLOOKUP($D244,[6]Справочник!DL:DN,3,0)),"-",VLOOKUP($D244,[6]Справочник!DL:DN,3,0))</f>
        <v>Денисова Ольга Александровна  OAlDenisova@rosatom.ru  (499) 949-41-89</v>
      </c>
    </row>
    <row r="245" spans="2:9">
      <c r="B245" s="2505">
        <v>235</v>
      </c>
      <c r="C245" s="2506">
        <v>44894</v>
      </c>
      <c r="D245" s="2746" t="s">
        <v>9877</v>
      </c>
      <c r="E245" s="2507" t="s">
        <v>14626</v>
      </c>
      <c r="F245" s="3615" t="s">
        <v>15233</v>
      </c>
      <c r="G245" s="2508" t="str">
        <f t="shared" si="3"/>
        <v>V13</v>
      </c>
      <c r="H245" s="2508" t="s">
        <v>14825</v>
      </c>
      <c r="I245" s="2585">
        <f>IF(ISNA(VLOOKUP($D245,[6]Справочник!DL:DN,3,0)),"-",VLOOKUP($D245,[6]Справочник!DL:DN,3,0))</f>
        <v>0</v>
      </c>
    </row>
    <row r="246" spans="2:9" ht="21">
      <c r="B246" s="2505">
        <v>236</v>
      </c>
      <c r="C246" s="2506">
        <v>44871</v>
      </c>
      <c r="D246" s="2746" t="s">
        <v>7502</v>
      </c>
      <c r="E246" s="3439" t="s">
        <v>10033</v>
      </c>
      <c r="F246" s="3521" t="s">
        <v>15359</v>
      </c>
      <c r="G246" s="2508" t="str">
        <f t="shared" si="3"/>
        <v>V13</v>
      </c>
      <c r="H246" s="2508"/>
      <c r="I246" s="2585" t="str">
        <f>IF(ISNA(VLOOKUP($D246,[6]Справочник!DL:DN,3,0)),"-",VLOOKUP($D246,[6]Справочник!DL:DN,3,0))</f>
        <v>Козлов Николай Викторович  NiVKozlov@rosatom.ru  (499) 949-47-02</v>
      </c>
    </row>
    <row r="247" spans="2:9" ht="25">
      <c r="B247" s="2505">
        <v>237</v>
      </c>
      <c r="C247" s="2506">
        <v>44904</v>
      </c>
      <c r="D247" s="2746" t="s">
        <v>1850</v>
      </c>
      <c r="E247" s="2746" t="s">
        <v>1850</v>
      </c>
      <c r="F247" s="3627" t="s">
        <v>15373</v>
      </c>
      <c r="G247" s="2508" t="str">
        <f t="shared" si="3"/>
        <v>V13</v>
      </c>
      <c r="H247" s="3628" t="s">
        <v>14611</v>
      </c>
      <c r="I247" s="2585" t="str">
        <f>IF(ISNA(VLOOKUP($D247,[6]Справочник!DL:DN,3,0)),"-",VLOOKUP($D247,[6]Справочник!DL:DN,3,0))</f>
        <v>Малахай Виктория Николаевна  VNMalakhay@rosatom.ru  (499) 949-48-22</v>
      </c>
    </row>
    <row r="248" spans="2:9" ht="26">
      <c r="B248" s="2505">
        <v>238</v>
      </c>
      <c r="C248" s="2506">
        <v>44904</v>
      </c>
      <c r="D248" s="2746" t="s">
        <v>7502</v>
      </c>
      <c r="E248" s="3439" t="s">
        <v>10033</v>
      </c>
      <c r="F248" s="2507" t="s">
        <v>15374</v>
      </c>
      <c r="G248" s="2508" t="str">
        <f t="shared" si="3"/>
        <v>V13</v>
      </c>
      <c r="H248" s="2508" t="s">
        <v>14355</v>
      </c>
      <c r="I248" s="2585" t="str">
        <f>IF(ISNA(VLOOKUP($D248,[6]Справочник!DL:DN,3,0)),"-",VLOOKUP($D248,[6]Справочник!DL:DN,3,0))</f>
        <v>Козлов Николай Викторович  NiVKozlov@rosatom.ru  (499) 949-47-02</v>
      </c>
    </row>
    <row r="249" spans="2:9" ht="26">
      <c r="B249" s="2505">
        <v>239</v>
      </c>
      <c r="C249" s="2506">
        <v>44910</v>
      </c>
      <c r="D249" s="2746" t="s">
        <v>7502</v>
      </c>
      <c r="E249" s="3439" t="s">
        <v>10033</v>
      </c>
      <c r="F249" s="3629" t="s">
        <v>15375</v>
      </c>
      <c r="G249" s="3439"/>
      <c r="H249" s="2508" t="s">
        <v>14355</v>
      </c>
      <c r="I249" s="2585" t="str">
        <f>IF(ISNA(VLOOKUP($D249,[6]Справочник!DL:DN,3,0)),"-",VLOOKUP($D249,[6]Справочник!DL:DN,3,0))</f>
        <v>Козлов Николай Викторович  NiVKozlov@rosatom.ru  (499) 949-47-02</v>
      </c>
    </row>
    <row r="250" spans="2:9" ht="26">
      <c r="B250" s="2505">
        <v>240</v>
      </c>
      <c r="C250" s="2506">
        <v>44910</v>
      </c>
      <c r="D250" s="2746" t="s">
        <v>7502</v>
      </c>
      <c r="E250" s="3439" t="s">
        <v>10033</v>
      </c>
      <c r="F250" s="3629" t="s">
        <v>15376</v>
      </c>
      <c r="G250" s="3630" t="s">
        <v>15377</v>
      </c>
      <c r="H250" s="2508" t="s">
        <v>14355</v>
      </c>
      <c r="I250" s="2585" t="str">
        <f>IF(ISNA(VLOOKUP($D250,[6]Справочник!DL:DN,3,0)),"-",VLOOKUP($D250,[6]Справочник!DL:DN,3,0))</f>
        <v>Козлов Николай Викторович  NiVKozlov@rosatom.ru  (499) 949-47-02</v>
      </c>
    </row>
    <row r="251" spans="2:9" ht="39">
      <c r="B251" s="2505">
        <v>241</v>
      </c>
      <c r="C251" s="2506">
        <v>44910</v>
      </c>
      <c r="D251" s="2746" t="s">
        <v>7502</v>
      </c>
      <c r="E251" s="3439" t="s">
        <v>10033</v>
      </c>
      <c r="F251" s="3631" t="s">
        <v>15378</v>
      </c>
      <c r="G251" s="3632" t="s">
        <v>15379</v>
      </c>
      <c r="H251" s="2508" t="s">
        <v>14355</v>
      </c>
      <c r="I251" s="2585" t="str">
        <f>IF(ISNA(VLOOKUP($D251,[6]Справочник!DL:DN,3,0)),"-",VLOOKUP($D251,[6]Справочник!DL:DN,3,0))</f>
        <v>Козлов Николай Викторович  NiVKozlov@rosatom.ru  (499) 949-47-02</v>
      </c>
    </row>
    <row r="252" spans="2:9" ht="39">
      <c r="B252" s="2505">
        <v>242</v>
      </c>
      <c r="C252" s="2506">
        <v>44910</v>
      </c>
      <c r="D252" s="2746" t="s">
        <v>7502</v>
      </c>
      <c r="E252" s="3439" t="s">
        <v>10033</v>
      </c>
      <c r="F252" s="3631" t="s">
        <v>15380</v>
      </c>
      <c r="G252" s="3632" t="s">
        <v>15379</v>
      </c>
      <c r="H252" s="2508" t="s">
        <v>14355</v>
      </c>
      <c r="I252" s="2585" t="str">
        <f>IF(ISNA(VLOOKUP($D252,[6]Справочник!DL:DN,3,0)),"-",VLOOKUP($D252,[6]Справочник!DL:DN,3,0))</f>
        <v>Козлов Николай Викторович  NiVKozlov@rosatom.ru  (499) 949-47-02</v>
      </c>
    </row>
    <row r="253" spans="2:9" ht="39">
      <c r="B253" s="2505">
        <v>243</v>
      </c>
      <c r="C253" s="2506">
        <v>44910</v>
      </c>
      <c r="D253" s="2746" t="s">
        <v>7502</v>
      </c>
      <c r="E253" s="3439" t="s">
        <v>10033</v>
      </c>
      <c r="F253" s="3631" t="s">
        <v>15381</v>
      </c>
      <c r="G253" s="3632" t="s">
        <v>15382</v>
      </c>
      <c r="H253" s="2508" t="s">
        <v>14355</v>
      </c>
      <c r="I253" s="2585" t="str">
        <f>IF(ISNA(VLOOKUP($D253,[6]Справочник!DL:DN,3,0)),"-",VLOOKUP($D253,[6]Справочник!DL:DN,3,0))</f>
        <v>Козлов Николай Викторович  NiVKozlov@rosatom.ru  (499) 949-47-02</v>
      </c>
    </row>
    <row r="254" spans="2:9" ht="39">
      <c r="B254" s="2505">
        <v>244</v>
      </c>
      <c r="C254" s="2506">
        <v>44910</v>
      </c>
      <c r="D254" s="2746" t="s">
        <v>7502</v>
      </c>
      <c r="E254" s="3439" t="s">
        <v>10033</v>
      </c>
      <c r="F254" s="3631" t="s">
        <v>15383</v>
      </c>
      <c r="G254" s="3632" t="s">
        <v>15382</v>
      </c>
      <c r="H254" s="2508" t="s">
        <v>14355</v>
      </c>
      <c r="I254" s="2585" t="str">
        <f>IF(ISNA(VLOOKUP($D254,[6]Справочник!DL:DN,3,0)),"-",VLOOKUP($D254,[6]Справочник!DL:DN,3,0))</f>
        <v>Козлов Николай Викторович  NiVKozlov@rosatom.ru  (499) 949-47-02</v>
      </c>
    </row>
    <row r="255" spans="2:9" ht="39">
      <c r="B255" s="2505">
        <v>245</v>
      </c>
      <c r="C255" s="2506">
        <v>44910</v>
      </c>
      <c r="D255" s="2746" t="s">
        <v>7502</v>
      </c>
      <c r="E255" s="3439" t="s">
        <v>10033</v>
      </c>
      <c r="F255" s="3631" t="s">
        <v>15384</v>
      </c>
      <c r="G255" s="3632" t="s">
        <v>15379</v>
      </c>
      <c r="H255" s="2508" t="s">
        <v>14355</v>
      </c>
      <c r="I255" s="2585" t="str">
        <f>IF(ISNA(VLOOKUP($D255,[6]Справочник!DL:DN,3,0)),"-",VLOOKUP($D255,[6]Справочник!DL:DN,3,0))</f>
        <v>Козлов Николай Викторович  NiVKozlov@rosatom.ru  (499) 949-47-02</v>
      </c>
    </row>
    <row r="256" spans="2:9" ht="39">
      <c r="B256" s="2505">
        <v>246</v>
      </c>
      <c r="C256" s="2506">
        <v>44910</v>
      </c>
      <c r="D256" s="2746" t="s">
        <v>7502</v>
      </c>
      <c r="E256" s="3439" t="s">
        <v>10033</v>
      </c>
      <c r="F256" s="3631" t="s">
        <v>15385</v>
      </c>
      <c r="G256" s="3632" t="s">
        <v>15379</v>
      </c>
      <c r="H256" s="2508" t="s">
        <v>14355</v>
      </c>
      <c r="I256" s="2585" t="str">
        <f>IF(ISNA(VLOOKUP($D256,[6]Справочник!DL:DN,3,0)),"-",VLOOKUP($D256,[6]Справочник!DL:DN,3,0))</f>
        <v>Козлов Николай Викторович  NiVKozlov@rosatom.ru  (499) 949-47-02</v>
      </c>
    </row>
    <row r="257" spans="2:9" ht="39">
      <c r="B257" s="2505">
        <v>247</v>
      </c>
      <c r="C257" s="2506">
        <v>44910</v>
      </c>
      <c r="D257" s="2746" t="s">
        <v>7502</v>
      </c>
      <c r="E257" s="3439" t="s">
        <v>10033</v>
      </c>
      <c r="F257" s="3631" t="s">
        <v>15386</v>
      </c>
      <c r="G257" s="3632" t="s">
        <v>15379</v>
      </c>
      <c r="H257" s="2508" t="s">
        <v>14355</v>
      </c>
      <c r="I257" s="2585" t="str">
        <f>IF(ISNA(VLOOKUP($D257,[6]Справочник!DL:DN,3,0)),"-",VLOOKUP($D257,[6]Справочник!DL:DN,3,0))</f>
        <v>Козлов Николай Викторович  NiVKozlov@rosatom.ru  (499) 949-47-02</v>
      </c>
    </row>
    <row r="258" spans="2:9" ht="39">
      <c r="B258" s="2505">
        <v>248</v>
      </c>
      <c r="C258" s="2506">
        <v>44910</v>
      </c>
      <c r="D258" s="2746" t="s">
        <v>7502</v>
      </c>
      <c r="E258" s="3439" t="s">
        <v>10033</v>
      </c>
      <c r="F258" s="3631" t="s">
        <v>15387</v>
      </c>
      <c r="G258" s="3632" t="s">
        <v>15379</v>
      </c>
      <c r="H258" s="2508" t="s">
        <v>14355</v>
      </c>
      <c r="I258" s="2585" t="str">
        <f>IF(ISNA(VLOOKUP($D258,[6]Справочник!DL:DN,3,0)),"-",VLOOKUP($D258,[6]Справочник!DL:DN,3,0))</f>
        <v>Козлов Николай Викторович  NiVKozlov@rosatom.ru  (499) 949-47-02</v>
      </c>
    </row>
    <row r="259" spans="2:9" ht="39">
      <c r="B259" s="2505">
        <v>249</v>
      </c>
      <c r="C259" s="2506">
        <v>44910</v>
      </c>
      <c r="D259" s="2746" t="s">
        <v>7502</v>
      </c>
      <c r="E259" s="3439" t="s">
        <v>10033</v>
      </c>
      <c r="F259" s="3631" t="s">
        <v>15388</v>
      </c>
      <c r="G259" s="3632" t="s">
        <v>15379</v>
      </c>
      <c r="H259" s="2508" t="s">
        <v>14355</v>
      </c>
      <c r="I259" s="2585" t="str">
        <f>IF(ISNA(VLOOKUP($D259,[6]Справочник!DL:DN,3,0)),"-",VLOOKUP($D259,[6]Справочник!DL:DN,3,0))</f>
        <v>Козлов Николай Викторович  NiVKozlov@rosatom.ru  (499) 949-47-02</v>
      </c>
    </row>
    <row r="260" spans="2:9" ht="39">
      <c r="B260" s="2505">
        <v>250</v>
      </c>
      <c r="C260" s="2506">
        <v>44910</v>
      </c>
      <c r="D260" s="2746" t="s">
        <v>7502</v>
      </c>
      <c r="E260" s="3439" t="s">
        <v>10033</v>
      </c>
      <c r="F260" s="3631" t="s">
        <v>15389</v>
      </c>
      <c r="G260" s="3632" t="s">
        <v>15379</v>
      </c>
      <c r="H260" s="2508" t="s">
        <v>14355</v>
      </c>
      <c r="I260" s="2585" t="str">
        <f>IF(ISNA(VLOOKUP($D260,[6]Справочник!DL:DN,3,0)),"-",VLOOKUP($D260,[6]Справочник!DL:DN,3,0))</f>
        <v>Козлов Николай Викторович  NiVKozlov@rosatom.ru  (499) 949-47-02</v>
      </c>
    </row>
    <row r="261" spans="2:9" ht="39">
      <c r="B261" s="2505">
        <v>251</v>
      </c>
      <c r="C261" s="2506">
        <v>44910</v>
      </c>
      <c r="D261" s="2746" t="s">
        <v>7502</v>
      </c>
      <c r="E261" s="3439" t="s">
        <v>10033</v>
      </c>
      <c r="F261" s="3631" t="s">
        <v>15390</v>
      </c>
      <c r="G261" s="3632" t="s">
        <v>15379</v>
      </c>
      <c r="H261" s="2508" t="s">
        <v>14355</v>
      </c>
      <c r="I261" s="2585" t="str">
        <f>IF(ISNA(VLOOKUP($D261,[6]Справочник!DL:DN,3,0)),"-",VLOOKUP($D261,[6]Справочник!DL:DN,3,0))</f>
        <v>Козлов Николай Викторович  NiVKozlov@rosatom.ru  (499) 949-47-02</v>
      </c>
    </row>
    <row r="262" spans="2:9" ht="39">
      <c r="B262" s="2505">
        <v>252</v>
      </c>
      <c r="C262" s="2506">
        <v>44910</v>
      </c>
      <c r="D262" s="2746" t="s">
        <v>7502</v>
      </c>
      <c r="E262" s="3439" t="s">
        <v>10033</v>
      </c>
      <c r="F262" s="3631" t="s">
        <v>15391</v>
      </c>
      <c r="G262" s="3632" t="s">
        <v>15379</v>
      </c>
      <c r="H262" s="2508" t="s">
        <v>14355</v>
      </c>
      <c r="I262" s="2585" t="str">
        <f>IF(ISNA(VLOOKUP($D262,[6]Справочник!DL:DN,3,0)),"-",VLOOKUP($D262,[6]Справочник!DL:DN,3,0))</f>
        <v>Козлов Николай Викторович  NiVKozlov@rosatom.ru  (499) 949-47-02</v>
      </c>
    </row>
    <row r="263" spans="2:9" ht="39">
      <c r="B263" s="2505">
        <v>253</v>
      </c>
      <c r="C263" s="2506">
        <v>44910</v>
      </c>
      <c r="D263" s="2746" t="s">
        <v>7502</v>
      </c>
      <c r="E263" s="3439" t="s">
        <v>10033</v>
      </c>
      <c r="F263" s="3631" t="s">
        <v>15392</v>
      </c>
      <c r="G263" s="3632" t="s">
        <v>15379</v>
      </c>
      <c r="H263" s="2508" t="s">
        <v>14355</v>
      </c>
      <c r="I263" s="2585" t="str">
        <f>IF(ISNA(VLOOKUP($D263,[6]Справочник!DL:DN,3,0)),"-",VLOOKUP($D263,[6]Справочник!DL:DN,3,0))</f>
        <v>Козлов Николай Викторович  NiVKozlov@rosatom.ru  (499) 949-47-02</v>
      </c>
    </row>
    <row r="264" spans="2:9" ht="39">
      <c r="B264" s="2505">
        <v>254</v>
      </c>
      <c r="C264" s="2506">
        <v>44910</v>
      </c>
      <c r="D264" s="2746" t="s">
        <v>7502</v>
      </c>
      <c r="E264" s="3439" t="s">
        <v>10033</v>
      </c>
      <c r="F264" s="3631" t="s">
        <v>15393</v>
      </c>
      <c r="G264" s="3632" t="s">
        <v>15379</v>
      </c>
      <c r="H264" s="2508" t="s">
        <v>14355</v>
      </c>
      <c r="I264" s="2585" t="str">
        <f>IF(ISNA(VLOOKUP($D264,[6]Справочник!DL:DN,3,0)),"-",VLOOKUP($D264,[6]Справочник!DL:DN,3,0))</f>
        <v>Козлов Николай Викторович  NiVKozlov@rosatom.ru  (499) 949-47-02</v>
      </c>
    </row>
    <row r="265" spans="2:9" ht="39">
      <c r="B265" s="2505">
        <v>255</v>
      </c>
      <c r="C265" s="2506">
        <v>44910</v>
      </c>
      <c r="D265" s="2746" t="s">
        <v>7502</v>
      </c>
      <c r="E265" s="3439" t="s">
        <v>10033</v>
      </c>
      <c r="F265" s="3631" t="s">
        <v>15394</v>
      </c>
      <c r="G265" s="3632" t="s">
        <v>15379</v>
      </c>
      <c r="H265" s="2508" t="s">
        <v>14355</v>
      </c>
      <c r="I265" s="2585" t="str">
        <f>IF(ISNA(VLOOKUP($D265,[6]Справочник!DL:DN,3,0)),"-",VLOOKUP($D265,[6]Справочник!DL:DN,3,0))</f>
        <v>Козлов Николай Викторович  NiVKozlov@rosatom.ru  (499) 949-47-02</v>
      </c>
    </row>
    <row r="266" spans="2:9" ht="39">
      <c r="B266" s="2505">
        <v>256</v>
      </c>
      <c r="C266" s="2506">
        <v>44910</v>
      </c>
      <c r="D266" s="2746" t="s">
        <v>7502</v>
      </c>
      <c r="E266" s="3439" t="s">
        <v>10033</v>
      </c>
      <c r="F266" s="3631" t="s">
        <v>15395</v>
      </c>
      <c r="G266" s="3632" t="s">
        <v>15379</v>
      </c>
      <c r="H266" s="2508" t="s">
        <v>14355</v>
      </c>
      <c r="I266" s="2585" t="str">
        <f>IF(ISNA(VLOOKUP($D266,[6]Справочник!DL:DN,3,0)),"-",VLOOKUP($D266,[6]Справочник!DL:DN,3,0))</f>
        <v>Козлов Николай Викторович  NiVKozlov@rosatom.ru  (499) 949-47-02</v>
      </c>
    </row>
    <row r="267" spans="2:9" ht="39">
      <c r="B267" s="2505">
        <v>257</v>
      </c>
      <c r="C267" s="2506">
        <v>44910</v>
      </c>
      <c r="D267" s="2746" t="s">
        <v>7502</v>
      </c>
      <c r="E267" s="3439" t="s">
        <v>10033</v>
      </c>
      <c r="F267" s="3631" t="s">
        <v>15396</v>
      </c>
      <c r="G267" s="3632" t="s">
        <v>15379</v>
      </c>
      <c r="H267" s="2508" t="s">
        <v>14355</v>
      </c>
      <c r="I267" s="2585" t="str">
        <f>IF(ISNA(VLOOKUP($D267,[6]Справочник!DL:DN,3,0)),"-",VLOOKUP($D267,[6]Справочник!DL:DN,3,0))</f>
        <v>Козлов Николай Викторович  NiVKozlov@rosatom.ru  (499) 949-47-02</v>
      </c>
    </row>
    <row r="268" spans="2:9" ht="39">
      <c r="B268" s="2505">
        <v>258</v>
      </c>
      <c r="C268" s="2506">
        <v>44910</v>
      </c>
      <c r="D268" s="2746" t="s">
        <v>7502</v>
      </c>
      <c r="E268" s="3439" t="s">
        <v>10033</v>
      </c>
      <c r="F268" s="3631" t="s">
        <v>15397</v>
      </c>
      <c r="G268" s="3632" t="s">
        <v>15379</v>
      </c>
      <c r="H268" s="2508" t="s">
        <v>14355</v>
      </c>
      <c r="I268" s="2585" t="str">
        <f>IF(ISNA(VLOOKUP($D268,[6]Справочник!DL:DN,3,0)),"-",VLOOKUP($D268,[6]Справочник!DL:DN,3,0))</f>
        <v>Козлов Николай Викторович  NiVKozlov@rosatom.ru  (499) 949-47-02</v>
      </c>
    </row>
    <row r="269" spans="2:9" ht="39">
      <c r="B269" s="2505">
        <v>259</v>
      </c>
      <c r="C269" s="2506">
        <v>44910</v>
      </c>
      <c r="D269" s="2746" t="s">
        <v>7502</v>
      </c>
      <c r="E269" s="3439" t="s">
        <v>10033</v>
      </c>
      <c r="F269" s="3631" t="s">
        <v>15398</v>
      </c>
      <c r="G269" s="3632" t="s">
        <v>15379</v>
      </c>
      <c r="H269" s="2508" t="s">
        <v>14355</v>
      </c>
      <c r="I269" s="2585" t="str">
        <f>IF(ISNA(VLOOKUP($D269,[6]Справочник!DL:DN,3,0)),"-",VLOOKUP($D269,[6]Справочник!DL:DN,3,0))</f>
        <v>Козлов Николай Викторович  NiVKozlov@rosatom.ru  (499) 949-47-02</v>
      </c>
    </row>
    <row r="270" spans="2:9" ht="39">
      <c r="B270" s="2505">
        <v>260</v>
      </c>
      <c r="C270" s="2506">
        <v>44910</v>
      </c>
      <c r="D270" s="2746" t="s">
        <v>7502</v>
      </c>
      <c r="E270" s="3439" t="s">
        <v>10033</v>
      </c>
      <c r="F270" s="3631" t="s">
        <v>15399</v>
      </c>
      <c r="G270" s="3632" t="s">
        <v>15379</v>
      </c>
      <c r="H270" s="2508" t="s">
        <v>14355</v>
      </c>
      <c r="I270" s="2585" t="str">
        <f>IF(ISNA(VLOOKUP($D270,[6]Справочник!DL:DN,3,0)),"-",VLOOKUP($D270,[6]Справочник!DL:DN,3,0))</f>
        <v>Козлов Николай Викторович  NiVKozlov@rosatom.ru  (499) 949-47-02</v>
      </c>
    </row>
    <row r="271" spans="2:9" ht="39">
      <c r="B271" s="2505">
        <v>261</v>
      </c>
      <c r="C271" s="2506">
        <v>44910</v>
      </c>
      <c r="D271" s="2746" t="s">
        <v>7502</v>
      </c>
      <c r="E271" s="3439" t="s">
        <v>10033</v>
      </c>
      <c r="F271" s="3631" t="s">
        <v>15400</v>
      </c>
      <c r="G271" s="3632" t="s">
        <v>15379</v>
      </c>
      <c r="H271" s="2508" t="s">
        <v>14355</v>
      </c>
      <c r="I271" s="2585" t="str">
        <f>IF(ISNA(VLOOKUP($D271,[6]Справочник!DL:DN,3,0)),"-",VLOOKUP($D271,[6]Справочник!DL:DN,3,0))</f>
        <v>Козлов Николай Викторович  NiVKozlov@rosatom.ru  (499) 949-47-02</v>
      </c>
    </row>
    <row r="272" spans="2:9" ht="39">
      <c r="B272" s="2505">
        <v>262</v>
      </c>
      <c r="C272" s="2506">
        <v>44910</v>
      </c>
      <c r="D272" s="2746" t="s">
        <v>7502</v>
      </c>
      <c r="E272" s="3439" t="s">
        <v>10033</v>
      </c>
      <c r="F272" s="3631" t="s">
        <v>15401</v>
      </c>
      <c r="G272" s="3632" t="s">
        <v>15379</v>
      </c>
      <c r="H272" s="2508" t="s">
        <v>14355</v>
      </c>
      <c r="I272" s="2585" t="str">
        <f>IF(ISNA(VLOOKUP($D272,[6]Справочник!DL:DN,3,0)),"-",VLOOKUP($D272,[6]Справочник!DL:DN,3,0))</f>
        <v>Козлов Николай Викторович  NiVKozlov@rosatom.ru  (499) 949-47-02</v>
      </c>
    </row>
    <row r="273" spans="2:9" ht="39">
      <c r="B273" s="2505">
        <v>263</v>
      </c>
      <c r="C273" s="2506">
        <v>44910</v>
      </c>
      <c r="D273" s="2746" t="s">
        <v>7502</v>
      </c>
      <c r="E273" s="3439" t="s">
        <v>10033</v>
      </c>
      <c r="F273" s="3631" t="s">
        <v>15402</v>
      </c>
      <c r="G273" s="3632" t="s">
        <v>15403</v>
      </c>
      <c r="H273" s="2508" t="s">
        <v>14355</v>
      </c>
      <c r="I273" s="2585" t="str">
        <f>IF(ISNA(VLOOKUP($D273,[6]Справочник!DL:DN,3,0)),"-",VLOOKUP($D273,[6]Справочник!DL:DN,3,0))</f>
        <v>Козлов Николай Викторович  NiVKozlov@rosatom.ru  (499) 949-47-02</v>
      </c>
    </row>
    <row r="274" spans="2:9" ht="39">
      <c r="B274" s="2505">
        <v>264</v>
      </c>
      <c r="C274" s="2506">
        <v>44910</v>
      </c>
      <c r="D274" s="2746" t="s">
        <v>7502</v>
      </c>
      <c r="E274" s="3439" t="s">
        <v>10033</v>
      </c>
      <c r="F274" s="3631" t="s">
        <v>15404</v>
      </c>
      <c r="G274" s="3632" t="s">
        <v>15403</v>
      </c>
      <c r="H274" s="2508" t="s">
        <v>14355</v>
      </c>
      <c r="I274" s="2585" t="str">
        <f>IF(ISNA(VLOOKUP($D274,[6]Справочник!DL:DN,3,0)),"-",VLOOKUP($D274,[6]Справочник!DL:DN,3,0))</f>
        <v>Козлов Николай Викторович  NiVKozlov@rosatom.ru  (499) 949-47-02</v>
      </c>
    </row>
    <row r="275" spans="2:9" ht="39">
      <c r="B275" s="2505">
        <v>265</v>
      </c>
      <c r="C275" s="2506">
        <v>44910</v>
      </c>
      <c r="D275" s="2746" t="s">
        <v>7502</v>
      </c>
      <c r="E275" s="3439" t="s">
        <v>10033</v>
      </c>
      <c r="F275" s="3631" t="s">
        <v>15405</v>
      </c>
      <c r="G275" s="3632" t="s">
        <v>15406</v>
      </c>
      <c r="H275" s="2508" t="s">
        <v>14355</v>
      </c>
      <c r="I275" s="2585" t="str">
        <f>IF(ISNA(VLOOKUP($D275,[6]Справочник!DL:DN,3,0)),"-",VLOOKUP($D275,[6]Справочник!DL:DN,3,0))</f>
        <v>Козлов Николай Викторович  NiVKozlov@rosatom.ru  (499) 949-47-02</v>
      </c>
    </row>
    <row r="276" spans="2:9" ht="39">
      <c r="B276" s="2505">
        <v>266</v>
      </c>
      <c r="C276" s="2506">
        <v>44910</v>
      </c>
      <c r="D276" s="2746" t="s">
        <v>7502</v>
      </c>
      <c r="E276" s="3439" t="s">
        <v>10033</v>
      </c>
      <c r="F276" s="3631" t="s">
        <v>15407</v>
      </c>
      <c r="G276" s="3632" t="s">
        <v>15406</v>
      </c>
      <c r="H276" s="2508" t="s">
        <v>14355</v>
      </c>
      <c r="I276" s="2585" t="str">
        <f>IF(ISNA(VLOOKUP($D276,[6]Справочник!DL:DN,3,0)),"-",VLOOKUP($D276,[6]Справочник!DL:DN,3,0))</f>
        <v>Козлов Николай Викторович  NiVKozlov@rosatom.ru  (499) 949-47-02</v>
      </c>
    </row>
    <row r="277" spans="2:9" ht="39">
      <c r="B277" s="2505">
        <v>267</v>
      </c>
      <c r="C277" s="2506">
        <v>44910</v>
      </c>
      <c r="D277" s="2746" t="s">
        <v>7502</v>
      </c>
      <c r="E277" s="3439" t="s">
        <v>10033</v>
      </c>
      <c r="F277" s="3631" t="s">
        <v>15408</v>
      </c>
      <c r="G277" s="3632" t="s">
        <v>15406</v>
      </c>
      <c r="H277" s="2508" t="s">
        <v>14355</v>
      </c>
      <c r="I277" s="2585" t="str">
        <f>IF(ISNA(VLOOKUP($D277,[6]Справочник!DL:DN,3,0)),"-",VLOOKUP($D277,[6]Справочник!DL:DN,3,0))</f>
        <v>Козлов Николай Викторович  NiVKozlov@rosatom.ru  (499) 949-47-02</v>
      </c>
    </row>
    <row r="278" spans="2:9" ht="39">
      <c r="B278" s="2505">
        <v>268</v>
      </c>
      <c r="C278" s="2506">
        <v>44910</v>
      </c>
      <c r="D278" s="2746" t="s">
        <v>7502</v>
      </c>
      <c r="E278" s="3439" t="s">
        <v>10033</v>
      </c>
      <c r="F278" s="3631" t="s">
        <v>15409</v>
      </c>
      <c r="G278" s="3632" t="s">
        <v>15406</v>
      </c>
      <c r="H278" s="2508" t="s">
        <v>14355</v>
      </c>
      <c r="I278" s="2585" t="str">
        <f>IF(ISNA(VLOOKUP($D278,[6]Справочник!DL:DN,3,0)),"-",VLOOKUP($D278,[6]Справочник!DL:DN,3,0))</f>
        <v>Козлов Николай Викторович  NiVKozlov@rosatom.ru  (499) 949-47-02</v>
      </c>
    </row>
    <row r="279" spans="2:9" ht="39">
      <c r="B279" s="2505">
        <v>269</v>
      </c>
      <c r="C279" s="2506">
        <v>44910</v>
      </c>
      <c r="D279" s="2746" t="s">
        <v>7502</v>
      </c>
      <c r="E279" s="3439" t="s">
        <v>10033</v>
      </c>
      <c r="F279" s="3631" t="s">
        <v>15410</v>
      </c>
      <c r="G279" s="3632" t="s">
        <v>15406</v>
      </c>
      <c r="H279" s="2508" t="s">
        <v>14355</v>
      </c>
      <c r="I279" s="2585" t="str">
        <f>IF(ISNA(VLOOKUP($D279,[6]Справочник!DL:DN,3,0)),"-",VLOOKUP($D279,[6]Справочник!DL:DN,3,0))</f>
        <v>Козлов Николай Викторович  NiVKozlov@rosatom.ru  (499) 949-47-02</v>
      </c>
    </row>
    <row r="280" spans="2:9" ht="39">
      <c r="B280" s="2505">
        <v>270</v>
      </c>
      <c r="C280" s="2506">
        <v>44910</v>
      </c>
      <c r="D280" s="2746" t="s">
        <v>7502</v>
      </c>
      <c r="E280" s="3439" t="s">
        <v>10033</v>
      </c>
      <c r="F280" s="3631" t="s">
        <v>15411</v>
      </c>
      <c r="G280" s="3632" t="s">
        <v>15403</v>
      </c>
      <c r="H280" s="2508" t="s">
        <v>14355</v>
      </c>
      <c r="I280" s="2585" t="str">
        <f>IF(ISNA(VLOOKUP($D280,[6]Справочник!DL:DN,3,0)),"-",VLOOKUP($D280,[6]Справочник!DL:DN,3,0))</f>
        <v>Козлов Николай Викторович  NiVKozlov@rosatom.ru  (499) 949-47-02</v>
      </c>
    </row>
    <row r="281" spans="2:9" ht="39">
      <c r="B281" s="2505">
        <v>271</v>
      </c>
      <c r="C281" s="2506">
        <v>44910</v>
      </c>
      <c r="D281" s="2746" t="s">
        <v>7502</v>
      </c>
      <c r="E281" s="3439" t="s">
        <v>10033</v>
      </c>
      <c r="F281" s="3631" t="s">
        <v>15412</v>
      </c>
      <c r="G281" s="3632" t="s">
        <v>15403</v>
      </c>
      <c r="H281" s="2508" t="s">
        <v>14355</v>
      </c>
      <c r="I281" s="2585" t="str">
        <f>IF(ISNA(VLOOKUP($D281,[6]Справочник!DL:DN,3,0)),"-",VLOOKUP($D281,[6]Справочник!DL:DN,3,0))</f>
        <v>Козлов Николай Викторович  NiVKozlov@rosatom.ru  (499) 949-47-02</v>
      </c>
    </row>
    <row r="282" spans="2:9" ht="39">
      <c r="B282" s="2505">
        <v>272</v>
      </c>
      <c r="C282" s="2506">
        <v>44910</v>
      </c>
      <c r="D282" s="2746" t="s">
        <v>7502</v>
      </c>
      <c r="E282" s="3439" t="s">
        <v>10033</v>
      </c>
      <c r="F282" s="3631" t="s">
        <v>15413</v>
      </c>
      <c r="G282" s="3632" t="s">
        <v>15403</v>
      </c>
      <c r="H282" s="2508" t="s">
        <v>14355</v>
      </c>
      <c r="I282" s="2585" t="str">
        <f>IF(ISNA(VLOOKUP($D282,[6]Справочник!DL:DN,3,0)),"-",VLOOKUP($D282,[6]Справочник!DL:DN,3,0))</f>
        <v>Козлов Николай Викторович  NiVKozlov@rosatom.ru  (499) 949-47-02</v>
      </c>
    </row>
    <row r="283" spans="2:9" ht="39">
      <c r="B283" s="2505">
        <v>273</v>
      </c>
      <c r="C283" s="2506">
        <v>44910</v>
      </c>
      <c r="D283" s="2746" t="s">
        <v>7502</v>
      </c>
      <c r="E283" s="3439" t="s">
        <v>10033</v>
      </c>
      <c r="F283" s="3631" t="s">
        <v>15414</v>
      </c>
      <c r="G283" s="3632" t="s">
        <v>15403</v>
      </c>
      <c r="H283" s="2508" t="s">
        <v>14355</v>
      </c>
      <c r="I283" s="2585" t="str">
        <f>IF(ISNA(VLOOKUP($D283,[6]Справочник!DL:DN,3,0)),"-",VLOOKUP($D283,[6]Справочник!DL:DN,3,0))</f>
        <v>Козлов Николай Викторович  NiVKozlov@rosatom.ru  (499) 949-47-02</v>
      </c>
    </row>
    <row r="284" spans="2:9" ht="39">
      <c r="B284" s="2505">
        <v>274</v>
      </c>
      <c r="C284" s="2506">
        <v>44910</v>
      </c>
      <c r="D284" s="2746" t="s">
        <v>7502</v>
      </c>
      <c r="E284" s="3439" t="s">
        <v>10033</v>
      </c>
      <c r="F284" s="3631" t="s">
        <v>15415</v>
      </c>
      <c r="G284" s="3632" t="s">
        <v>15403</v>
      </c>
      <c r="H284" s="2508" t="s">
        <v>14355</v>
      </c>
      <c r="I284" s="2585" t="str">
        <f>IF(ISNA(VLOOKUP($D284,[6]Справочник!DL:DN,3,0)),"-",VLOOKUP($D284,[6]Справочник!DL:DN,3,0))</f>
        <v>Козлов Николай Викторович  NiVKozlov@rosatom.ru  (499) 949-47-02</v>
      </c>
    </row>
    <row r="285" spans="2:9" ht="39">
      <c r="B285" s="2505">
        <v>275</v>
      </c>
      <c r="C285" s="2506">
        <v>44910</v>
      </c>
      <c r="D285" s="2746" t="s">
        <v>7502</v>
      </c>
      <c r="E285" s="3439" t="s">
        <v>10033</v>
      </c>
      <c r="F285" s="3631" t="s">
        <v>15416</v>
      </c>
      <c r="G285" s="3632" t="s">
        <v>15403</v>
      </c>
      <c r="H285" s="2508" t="s">
        <v>14355</v>
      </c>
      <c r="I285" s="2585" t="str">
        <f>IF(ISNA(VLOOKUP($D285,[6]Справочник!DL:DN,3,0)),"-",VLOOKUP($D285,[6]Справочник!DL:DN,3,0))</f>
        <v>Козлов Николай Викторович  NiVKozlov@rosatom.ru  (499) 949-47-02</v>
      </c>
    </row>
    <row r="286" spans="2:9" ht="39">
      <c r="B286" s="2505">
        <v>276</v>
      </c>
      <c r="C286" s="2506">
        <v>44910</v>
      </c>
      <c r="D286" s="2746" t="s">
        <v>7502</v>
      </c>
      <c r="E286" s="3439" t="s">
        <v>10033</v>
      </c>
      <c r="F286" s="3631" t="s">
        <v>15417</v>
      </c>
      <c r="G286" s="3632" t="s">
        <v>15403</v>
      </c>
      <c r="H286" s="2508" t="s">
        <v>14355</v>
      </c>
      <c r="I286" s="2585" t="str">
        <f>IF(ISNA(VLOOKUP($D286,[6]Справочник!DL:DN,3,0)),"-",VLOOKUP($D286,[6]Справочник!DL:DN,3,0))</f>
        <v>Козлов Николай Викторович  NiVKozlov@rosatom.ru  (499) 949-47-02</v>
      </c>
    </row>
    <row r="287" spans="2:9" ht="39">
      <c r="B287" s="2505">
        <v>277</v>
      </c>
      <c r="C287" s="2506">
        <v>44910</v>
      </c>
      <c r="D287" s="2746" t="s">
        <v>7502</v>
      </c>
      <c r="E287" s="3439" t="s">
        <v>10033</v>
      </c>
      <c r="F287" s="3631" t="s">
        <v>15418</v>
      </c>
      <c r="G287" s="3632" t="s">
        <v>15403</v>
      </c>
      <c r="H287" s="2508" t="s">
        <v>14355</v>
      </c>
      <c r="I287" s="2585" t="str">
        <f>IF(ISNA(VLOOKUP($D287,[6]Справочник!DL:DN,3,0)),"-",VLOOKUP($D287,[6]Справочник!DL:DN,3,0))</f>
        <v>Козлов Николай Викторович  NiVKozlov@rosatom.ru  (499) 949-47-02</v>
      </c>
    </row>
    <row r="288" spans="2:9" ht="39">
      <c r="B288" s="2505">
        <v>278</v>
      </c>
      <c r="C288" s="2506">
        <v>44910</v>
      </c>
      <c r="D288" s="2746" t="s">
        <v>7502</v>
      </c>
      <c r="E288" s="3439" t="s">
        <v>10033</v>
      </c>
      <c r="F288" s="3631" t="s">
        <v>15419</v>
      </c>
      <c r="G288" s="3632" t="s">
        <v>15403</v>
      </c>
      <c r="H288" s="2508" t="s">
        <v>14355</v>
      </c>
      <c r="I288" s="2585" t="str">
        <f>IF(ISNA(VLOOKUP($D288,[6]Справочник!DL:DN,3,0)),"-",VLOOKUP($D288,[6]Справочник!DL:DN,3,0))</f>
        <v>Козлов Николай Викторович  NiVKozlov@rosatom.ru  (499) 949-47-02</v>
      </c>
    </row>
    <row r="289" spans="2:9" ht="39">
      <c r="B289" s="2505">
        <v>279</v>
      </c>
      <c r="C289" s="2506">
        <v>44910</v>
      </c>
      <c r="D289" s="2746" t="s">
        <v>7502</v>
      </c>
      <c r="E289" s="3439" t="s">
        <v>10033</v>
      </c>
      <c r="F289" s="3631" t="s">
        <v>15420</v>
      </c>
      <c r="G289" s="3632" t="s">
        <v>15403</v>
      </c>
      <c r="H289" s="2508" t="s">
        <v>14355</v>
      </c>
      <c r="I289" s="2585" t="str">
        <f>IF(ISNA(VLOOKUP($D289,[6]Справочник!DL:DN,3,0)),"-",VLOOKUP($D289,[6]Справочник!DL:DN,3,0))</f>
        <v>Козлов Николай Викторович  NiVKozlov@rosatom.ru  (499) 949-47-02</v>
      </c>
    </row>
    <row r="290" spans="2:9" ht="39">
      <c r="B290" s="2505">
        <v>280</v>
      </c>
      <c r="C290" s="2506">
        <v>44910</v>
      </c>
      <c r="D290" s="2746" t="s">
        <v>7502</v>
      </c>
      <c r="E290" s="3439" t="s">
        <v>10033</v>
      </c>
      <c r="F290" s="3631" t="s">
        <v>15421</v>
      </c>
      <c r="G290" s="3632" t="s">
        <v>15403</v>
      </c>
      <c r="H290" s="2508" t="s">
        <v>14355</v>
      </c>
      <c r="I290" s="2585" t="str">
        <f>IF(ISNA(VLOOKUP($D290,[6]Справочник!DL:DN,3,0)),"-",VLOOKUP($D290,[6]Справочник!DL:DN,3,0))</f>
        <v>Козлов Николай Викторович  NiVKozlov@rosatom.ru  (499) 949-47-02</v>
      </c>
    </row>
    <row r="291" spans="2:9" ht="39">
      <c r="B291" s="2505">
        <v>281</v>
      </c>
      <c r="C291" s="2506">
        <v>44910</v>
      </c>
      <c r="D291" s="2746" t="s">
        <v>7502</v>
      </c>
      <c r="E291" s="3439" t="s">
        <v>10033</v>
      </c>
      <c r="F291" s="3631" t="s">
        <v>15422</v>
      </c>
      <c r="G291" s="3632" t="s">
        <v>15403</v>
      </c>
      <c r="H291" s="2508" t="s">
        <v>14355</v>
      </c>
      <c r="I291" s="2585" t="str">
        <f>IF(ISNA(VLOOKUP($D291,[6]Справочник!DL:DN,3,0)),"-",VLOOKUP($D291,[6]Справочник!DL:DN,3,0))</f>
        <v>Козлов Николай Викторович  NiVKozlov@rosatom.ru  (499) 949-47-02</v>
      </c>
    </row>
    <row r="292" spans="2:9" ht="39">
      <c r="B292" s="2505">
        <v>282</v>
      </c>
      <c r="C292" s="2506">
        <v>44910</v>
      </c>
      <c r="D292" s="2746" t="s">
        <v>7502</v>
      </c>
      <c r="E292" s="3439" t="s">
        <v>10033</v>
      </c>
      <c r="F292" s="3631" t="s">
        <v>15423</v>
      </c>
      <c r="G292" s="3632" t="s">
        <v>15403</v>
      </c>
      <c r="H292" s="2508" t="s">
        <v>14355</v>
      </c>
      <c r="I292" s="2585" t="str">
        <f>IF(ISNA(VLOOKUP($D292,[6]Справочник!DL:DN,3,0)),"-",VLOOKUP($D292,[6]Справочник!DL:DN,3,0))</f>
        <v>Козлов Николай Викторович  NiVKozlov@rosatom.ru  (499) 949-47-02</v>
      </c>
    </row>
    <row r="293" spans="2:9" ht="39">
      <c r="B293" s="2505">
        <v>283</v>
      </c>
      <c r="C293" s="2506">
        <v>44910</v>
      </c>
      <c r="D293" s="2746" t="s">
        <v>7502</v>
      </c>
      <c r="E293" s="3439" t="s">
        <v>10033</v>
      </c>
      <c r="F293" s="3631" t="s">
        <v>15424</v>
      </c>
      <c r="G293" s="3632" t="s">
        <v>15403</v>
      </c>
      <c r="H293" s="2508" t="s">
        <v>14355</v>
      </c>
      <c r="I293" s="2585" t="str">
        <f>IF(ISNA(VLOOKUP($D293,[6]Справочник!DL:DN,3,0)),"-",VLOOKUP($D293,[6]Справочник!DL:DN,3,0))</f>
        <v>Козлов Николай Викторович  NiVKozlov@rosatom.ru  (499) 949-47-02</v>
      </c>
    </row>
    <row r="294" spans="2:9">
      <c r="B294" s="2505">
        <v>284</v>
      </c>
      <c r="C294" s="2506">
        <v>44914</v>
      </c>
      <c r="D294" s="2746" t="s">
        <v>7502</v>
      </c>
      <c r="E294" s="3439" t="s">
        <v>10033</v>
      </c>
      <c r="F294" s="3631" t="s">
        <v>5460</v>
      </c>
      <c r="G294" s="3632" t="s">
        <v>15425</v>
      </c>
      <c r="H294" s="2508" t="s">
        <v>14355</v>
      </c>
      <c r="I294" s="2585" t="str">
        <f>IF(ISNA(VLOOKUP($D294,[6]Справочник!DL:DN,3,0)),"-",VLOOKUP($D294,[6]Справочник!DL:DN,3,0))</f>
        <v>Козлов Николай Викторович  NiVKozlov@rosatom.ru  (499) 949-47-02</v>
      </c>
    </row>
    <row r="295" spans="2:9">
      <c r="B295" s="2505">
        <v>285</v>
      </c>
      <c r="C295" s="2506">
        <v>44914</v>
      </c>
      <c r="D295" s="2746" t="s">
        <v>7502</v>
      </c>
      <c r="E295" s="3439" t="s">
        <v>10033</v>
      </c>
      <c r="F295" s="3631" t="s">
        <v>1844</v>
      </c>
      <c r="G295" s="3632" t="s">
        <v>15425</v>
      </c>
      <c r="H295" s="2508" t="s">
        <v>14355</v>
      </c>
      <c r="I295" s="2585" t="str">
        <f>IF(ISNA(VLOOKUP($D295,[6]Справочник!DL:DN,3,0)),"-",VLOOKUP($D295,[6]Справочник!DL:DN,3,0))</f>
        <v>Козлов Николай Викторович  NiVKozlov@rosatom.ru  (499) 949-47-02</v>
      </c>
    </row>
    <row r="296" spans="2:9">
      <c r="B296" s="2505">
        <v>286</v>
      </c>
      <c r="C296" s="2506">
        <v>44914</v>
      </c>
      <c r="D296" s="2746" t="s">
        <v>7502</v>
      </c>
      <c r="E296" s="3439" t="s">
        <v>10033</v>
      </c>
      <c r="F296" s="3631" t="s">
        <v>14375</v>
      </c>
      <c r="G296" s="3632" t="s">
        <v>15425</v>
      </c>
      <c r="H296" s="2508" t="s">
        <v>14355</v>
      </c>
      <c r="I296" s="2585" t="str">
        <f>IF(ISNA(VLOOKUP($D296,[6]Справочник!DL:DN,3,0)),"-",VLOOKUP($D296,[6]Справочник!DL:DN,3,0))</f>
        <v>Козлов Николай Викторович  NiVKozlov@rosatom.ru  (499) 949-47-02</v>
      </c>
    </row>
    <row r="297" spans="2:9">
      <c r="B297" s="2505">
        <v>287</v>
      </c>
      <c r="C297" s="2506">
        <v>44914</v>
      </c>
      <c r="D297" s="2746" t="s">
        <v>7502</v>
      </c>
      <c r="E297" s="3439" t="s">
        <v>10033</v>
      </c>
      <c r="F297" s="3631" t="s">
        <v>5462</v>
      </c>
      <c r="G297" s="3632" t="s">
        <v>15425</v>
      </c>
      <c r="H297" s="2508" t="s">
        <v>14355</v>
      </c>
      <c r="I297" s="2585" t="str">
        <f>IF(ISNA(VLOOKUP($D297,[6]Справочник!DL:DN,3,0)),"-",VLOOKUP($D297,[6]Справочник!DL:DN,3,0))</f>
        <v>Козлов Николай Викторович  NiVKozlov@rosatom.ru  (499) 949-47-02</v>
      </c>
    </row>
    <row r="298" spans="2:9">
      <c r="B298" s="2505">
        <v>288</v>
      </c>
      <c r="C298" s="2506">
        <v>44914</v>
      </c>
      <c r="D298" s="2746" t="s">
        <v>7502</v>
      </c>
      <c r="E298" s="3439" t="s">
        <v>10033</v>
      </c>
      <c r="F298" s="3631" t="s">
        <v>3148</v>
      </c>
      <c r="G298" s="3632" t="s">
        <v>15425</v>
      </c>
      <c r="H298" s="2508" t="s">
        <v>14355</v>
      </c>
      <c r="I298" s="2585" t="str">
        <f>IF(ISNA(VLOOKUP($D298,[6]Справочник!DL:DN,3,0)),"-",VLOOKUP($D298,[6]Справочник!DL:DN,3,0))</f>
        <v>Козлов Николай Викторович  NiVKozlov@rosatom.ru  (499) 949-47-02</v>
      </c>
    </row>
    <row r="299" spans="2:9">
      <c r="B299" s="2505">
        <v>289</v>
      </c>
      <c r="C299" s="2506">
        <v>44914</v>
      </c>
      <c r="D299" s="2746" t="s">
        <v>7502</v>
      </c>
      <c r="E299" s="3439" t="s">
        <v>10033</v>
      </c>
      <c r="F299" s="3631" t="s">
        <v>14377</v>
      </c>
      <c r="G299" s="3632" t="s">
        <v>15425</v>
      </c>
      <c r="H299" s="2508" t="s">
        <v>14355</v>
      </c>
      <c r="I299" s="2585" t="str">
        <f>IF(ISNA(VLOOKUP($D299,[6]Справочник!DL:DN,3,0)),"-",VLOOKUP($D299,[6]Справочник!DL:DN,3,0))</f>
        <v>Козлов Николай Викторович  NiVKozlov@rosatom.ru  (499) 949-47-02</v>
      </c>
    </row>
    <row r="300" spans="2:9" ht="26">
      <c r="B300" s="2505">
        <v>290</v>
      </c>
      <c r="C300" s="2506">
        <v>44914</v>
      </c>
      <c r="D300" s="2746" t="s">
        <v>7502</v>
      </c>
      <c r="E300" s="3439" t="s">
        <v>10033</v>
      </c>
      <c r="F300" s="3631" t="s">
        <v>14236</v>
      </c>
      <c r="G300" s="3632" t="s">
        <v>15425</v>
      </c>
      <c r="H300" s="2508" t="s">
        <v>14355</v>
      </c>
      <c r="I300" s="2585" t="str">
        <f>IF(ISNA(VLOOKUP($D300,[6]Справочник!DL:DN,3,0)),"-",VLOOKUP($D300,[6]Справочник!DL:DN,3,0))</f>
        <v>Козлов Николай Викторович  NiVKozlov@rosatom.ru  (499) 949-47-02</v>
      </c>
    </row>
    <row r="301" spans="2:9">
      <c r="B301" s="2505">
        <v>291</v>
      </c>
      <c r="C301" s="2506">
        <v>44914</v>
      </c>
      <c r="D301" s="2746" t="s">
        <v>7502</v>
      </c>
      <c r="E301" s="3439" t="s">
        <v>10033</v>
      </c>
      <c r="F301" s="3631" t="s">
        <v>14379</v>
      </c>
      <c r="G301" s="3632" t="s">
        <v>15425</v>
      </c>
      <c r="H301" s="2508" t="s">
        <v>14355</v>
      </c>
      <c r="I301" s="2585" t="str">
        <f>IF(ISNA(VLOOKUP($D301,[6]Справочник!DL:DN,3,0)),"-",VLOOKUP($D301,[6]Справочник!DL:DN,3,0))</f>
        <v>Козлов Николай Викторович  NiVKozlov@rosatom.ru  (499) 949-47-02</v>
      </c>
    </row>
    <row r="302" spans="2:9" ht="26">
      <c r="B302" s="2505">
        <v>292</v>
      </c>
      <c r="C302" s="2506">
        <v>44914</v>
      </c>
      <c r="D302" s="2746" t="s">
        <v>7502</v>
      </c>
      <c r="E302" s="3439" t="s">
        <v>10033</v>
      </c>
      <c r="F302" s="3631" t="s">
        <v>14384</v>
      </c>
      <c r="G302" s="3632" t="s">
        <v>15425</v>
      </c>
      <c r="H302" s="2508" t="s">
        <v>14355</v>
      </c>
      <c r="I302" s="2585" t="str">
        <f>IF(ISNA(VLOOKUP($D302,[6]Справочник!DL:DN,3,0)),"-",VLOOKUP($D302,[6]Справочник!DL:DN,3,0))</f>
        <v>Козлов Николай Викторович  NiVKozlov@rosatom.ru  (499) 949-47-02</v>
      </c>
    </row>
    <row r="303" spans="2:9" ht="26">
      <c r="B303" s="2505">
        <v>293</v>
      </c>
      <c r="C303" s="2506">
        <v>44914</v>
      </c>
      <c r="D303" s="2746" t="s">
        <v>7502</v>
      </c>
      <c r="E303" s="3439" t="s">
        <v>10033</v>
      </c>
      <c r="F303" s="3631" t="s">
        <v>14385</v>
      </c>
      <c r="G303" s="3632" t="s">
        <v>15425</v>
      </c>
      <c r="H303" s="2508" t="s">
        <v>14355</v>
      </c>
      <c r="I303" s="2585" t="str">
        <f>IF(ISNA(VLOOKUP($D303,[6]Справочник!DL:DN,3,0)),"-",VLOOKUP($D303,[6]Справочник!DL:DN,3,0))</f>
        <v>Козлов Николай Викторович  NiVKozlov@rosatom.ru  (499) 949-47-02</v>
      </c>
    </row>
    <row r="304" spans="2:9" ht="26">
      <c r="B304" s="2505">
        <v>294</v>
      </c>
      <c r="C304" s="2506">
        <v>44914</v>
      </c>
      <c r="D304" s="2746" t="s">
        <v>7502</v>
      </c>
      <c r="E304" s="3439" t="s">
        <v>10033</v>
      </c>
      <c r="F304" s="3631" t="s">
        <v>14386</v>
      </c>
      <c r="G304" s="3632" t="s">
        <v>15425</v>
      </c>
      <c r="H304" s="2508" t="s">
        <v>14355</v>
      </c>
      <c r="I304" s="2585" t="str">
        <f>IF(ISNA(VLOOKUP($D304,[6]Справочник!DL:DN,3,0)),"-",VLOOKUP($D304,[6]Справочник!DL:DN,3,0))</f>
        <v>Козлов Николай Викторович  NiVKozlov@rosatom.ru  (499) 949-47-02</v>
      </c>
    </row>
    <row r="305" spans="2:10" ht="26">
      <c r="B305" s="2505">
        <v>295</v>
      </c>
      <c r="C305" s="2506">
        <v>44914</v>
      </c>
      <c r="D305" s="2746" t="s">
        <v>7502</v>
      </c>
      <c r="E305" s="3439" t="s">
        <v>10033</v>
      </c>
      <c r="F305" s="3631" t="s">
        <v>14387</v>
      </c>
      <c r="G305" s="3632" t="s">
        <v>15425</v>
      </c>
      <c r="H305" s="2508" t="s">
        <v>14355</v>
      </c>
      <c r="I305" s="2585" t="str">
        <f>IF(ISNA(VLOOKUP($D305,[6]Справочник!DL:DN,3,0)),"-",VLOOKUP($D305,[6]Справочник!DL:DN,3,0))</f>
        <v>Козлов Николай Викторович  NiVKozlov@rosatom.ru  (499) 949-47-02</v>
      </c>
    </row>
    <row r="306" spans="2:10" ht="26">
      <c r="B306" s="2505">
        <v>296</v>
      </c>
      <c r="C306" s="2506">
        <v>44914</v>
      </c>
      <c r="D306" s="2746" t="s">
        <v>7502</v>
      </c>
      <c r="E306" s="3439" t="s">
        <v>10033</v>
      </c>
      <c r="F306" s="3631" t="s">
        <v>14398</v>
      </c>
      <c r="G306" s="3632" t="s">
        <v>15425</v>
      </c>
      <c r="H306" s="2508" t="s">
        <v>14355</v>
      </c>
      <c r="I306" s="2585" t="str">
        <f>IF(ISNA(VLOOKUP($D306,[6]Справочник!DL:DN,3,0)),"-",VLOOKUP($D306,[6]Справочник!DL:DN,3,0))</f>
        <v>Козлов Николай Викторович  NiVKozlov@rosatom.ru  (499) 949-47-02</v>
      </c>
    </row>
    <row r="307" spans="2:10" ht="26">
      <c r="B307" s="2505">
        <v>297</v>
      </c>
      <c r="C307" s="2506">
        <v>44914</v>
      </c>
      <c r="D307" s="2746" t="s">
        <v>7502</v>
      </c>
      <c r="E307" s="3439" t="s">
        <v>10033</v>
      </c>
      <c r="F307" s="3631" t="s">
        <v>14399</v>
      </c>
      <c r="G307" s="3632" t="s">
        <v>15425</v>
      </c>
      <c r="H307" s="2508" t="s">
        <v>14355</v>
      </c>
      <c r="I307" s="2585" t="str">
        <f>IF(ISNA(VLOOKUP($D307,[6]Справочник!DL:DN,3,0)),"-",VLOOKUP($D307,[6]Справочник!DL:DN,3,0))</f>
        <v>Козлов Николай Викторович  NiVKozlov@rosatom.ru  (499) 949-47-02</v>
      </c>
    </row>
    <row r="308" spans="2:10" ht="26">
      <c r="B308" s="2505">
        <v>298</v>
      </c>
      <c r="C308" s="2506">
        <v>44914</v>
      </c>
      <c r="D308" s="2746" t="s">
        <v>7502</v>
      </c>
      <c r="E308" s="3439" t="s">
        <v>10033</v>
      </c>
      <c r="F308" s="3631" t="s">
        <v>14400</v>
      </c>
      <c r="G308" s="3632" t="s">
        <v>15425</v>
      </c>
      <c r="H308" s="2508" t="s">
        <v>14355</v>
      </c>
      <c r="I308" s="2585" t="str">
        <f>IF(ISNA(VLOOKUP($D308,[6]Справочник!DL:DN,3,0)),"-",VLOOKUP($D308,[6]Справочник!DL:DN,3,0))</f>
        <v>Козлов Николай Викторович  NiVKozlov@rosatom.ru  (499) 949-47-02</v>
      </c>
    </row>
    <row r="309" spans="2:10" ht="26">
      <c r="B309" s="2505">
        <v>299</v>
      </c>
      <c r="C309" s="2506">
        <v>44914</v>
      </c>
      <c r="D309" s="2746" t="s">
        <v>7502</v>
      </c>
      <c r="E309" s="3439" t="s">
        <v>10033</v>
      </c>
      <c r="F309" s="3631" t="s">
        <v>14401</v>
      </c>
      <c r="G309" s="3632" t="s">
        <v>15425</v>
      </c>
      <c r="H309" s="2508" t="s">
        <v>14355</v>
      </c>
      <c r="I309" s="2585" t="str">
        <f>IF(ISNA(VLOOKUP($D309,[6]Справочник!DL:DN,3,0)),"-",VLOOKUP($D309,[6]Справочник!DL:DN,3,0))</f>
        <v>Козлов Николай Викторович  NiVKozlov@rosatom.ru  (499) 949-47-02</v>
      </c>
    </row>
    <row r="310" spans="2:10" ht="26">
      <c r="B310" s="2505">
        <v>300</v>
      </c>
      <c r="C310" s="2506">
        <v>44914</v>
      </c>
      <c r="D310" s="2746" t="s">
        <v>7502</v>
      </c>
      <c r="E310" s="3439" t="s">
        <v>10033</v>
      </c>
      <c r="F310" s="3631" t="s">
        <v>3375</v>
      </c>
      <c r="G310" s="3632" t="s">
        <v>15425</v>
      </c>
      <c r="H310" s="2508" t="s">
        <v>14355</v>
      </c>
      <c r="I310" s="2585" t="str">
        <f>IF(ISNA(VLOOKUP($D310,[6]Справочник!DL:DN,3,0)),"-",VLOOKUP($D310,[6]Справочник!DL:DN,3,0))</f>
        <v>Козлов Николай Викторович  NiVKozlov@rosatom.ru  (499) 949-47-02</v>
      </c>
    </row>
    <row r="311" spans="2:10">
      <c r="B311" s="2505">
        <v>301</v>
      </c>
      <c r="C311" s="2506">
        <v>44914</v>
      </c>
      <c r="D311" s="2746" t="s">
        <v>7502</v>
      </c>
      <c r="E311" s="3439" t="s">
        <v>10033</v>
      </c>
      <c r="F311" s="3631" t="s">
        <v>5479</v>
      </c>
      <c r="G311" s="3632" t="s">
        <v>15425</v>
      </c>
      <c r="H311" s="2508" t="s">
        <v>14355</v>
      </c>
      <c r="I311" s="2585" t="str">
        <f>IF(ISNA(VLOOKUP($D311,[6]Справочник!DL:DN,3,0)),"-",VLOOKUP($D311,[6]Справочник!DL:DN,3,0))</f>
        <v>Козлов Николай Викторович  NiVKozlov@rosatom.ru  (499) 949-47-02</v>
      </c>
    </row>
    <row r="312" spans="2:10">
      <c r="B312" s="2505">
        <v>302</v>
      </c>
      <c r="C312" s="2506">
        <v>44914</v>
      </c>
      <c r="D312" s="2746" t="s">
        <v>7502</v>
      </c>
      <c r="E312" s="3439" t="s">
        <v>10033</v>
      </c>
      <c r="F312" s="3631" t="s">
        <v>4715</v>
      </c>
      <c r="G312" s="3632" t="s">
        <v>15425</v>
      </c>
      <c r="H312" s="2508" t="s">
        <v>14355</v>
      </c>
      <c r="I312" s="2585" t="str">
        <f>IF(ISNA(VLOOKUP($D312,[6]Справочник!DL:DN,3,0)),"-",VLOOKUP($D312,[6]Справочник!DL:DN,3,0))</f>
        <v>Козлов Николай Викторович  NiVKozlov@rosatom.ru  (499) 949-47-02</v>
      </c>
    </row>
    <row r="313" spans="2:10" ht="171">
      <c r="B313" s="2505">
        <v>303</v>
      </c>
      <c r="C313" s="2506">
        <v>44919</v>
      </c>
      <c r="D313" s="2746" t="s">
        <v>2085</v>
      </c>
      <c r="E313" s="2507" t="s">
        <v>10033</v>
      </c>
      <c r="F313" s="3503" t="s">
        <v>15501</v>
      </c>
      <c r="G313" s="2508" t="s">
        <v>15181</v>
      </c>
      <c r="H313" s="2508" t="s">
        <v>14351</v>
      </c>
      <c r="I313" s="2585" t="str">
        <f>IF(ISNA(VLOOKUP($D313,Справочник!DK:DM,3,0)),"-",VLOOKUP($D313,Справочник!DK:DM,3,0))</f>
        <v>Козлов Николай Викторович  NiVKozlov@rosatom.ru  (499) 949-47-02</v>
      </c>
    </row>
    <row r="314" spans="2:10" ht="82.5">
      <c r="B314" s="2505">
        <v>304</v>
      </c>
      <c r="C314" s="2506">
        <v>44919</v>
      </c>
      <c r="D314" s="2746" t="s">
        <v>2085</v>
      </c>
      <c r="E314" s="2507" t="s">
        <v>10033</v>
      </c>
      <c r="F314" s="3503" t="s">
        <v>15487</v>
      </c>
      <c r="G314" s="2508" t="s">
        <v>15181</v>
      </c>
      <c r="H314" s="2508" t="s">
        <v>14351</v>
      </c>
      <c r="I314" s="2585" t="str">
        <f>IF(ISNA(VLOOKUP($D314,Справочник!DK:DM,3,0)),"-",VLOOKUP($D314,Справочник!DK:DM,3,0))</f>
        <v>Козлов Николай Викторович  NiVKozlov@rosatom.ru  (499) 949-47-02</v>
      </c>
    </row>
    <row r="315" spans="2:10" ht="168">
      <c r="B315" s="2505">
        <v>304</v>
      </c>
      <c r="C315" s="2506">
        <v>44923</v>
      </c>
      <c r="D315" s="2746" t="s">
        <v>2085</v>
      </c>
      <c r="E315" s="2507" t="s">
        <v>10033</v>
      </c>
      <c r="F315" s="3503" t="s">
        <v>15512</v>
      </c>
      <c r="G315" s="2508" t="s">
        <v>15181</v>
      </c>
      <c r="H315" s="2508" t="s">
        <v>14351</v>
      </c>
      <c r="I315" s="2585" t="str">
        <f>IF(ISNA(VLOOKUP($D315,Справочник!DK:DM,3,0)),"-",VLOOKUP($D315,Справочник!DK:DM,3,0))</f>
        <v>Козлов Николай Викторович  NiVKozlov@rosatom.ru  (499) 949-47-02</v>
      </c>
    </row>
    <row r="316" spans="2:10" ht="26">
      <c r="B316" s="2505">
        <v>305</v>
      </c>
      <c r="C316" s="2506">
        <v>44924</v>
      </c>
      <c r="D316" s="2746" t="s">
        <v>7502</v>
      </c>
      <c r="E316" s="3439" t="s">
        <v>10033</v>
      </c>
      <c r="F316" s="3629" t="s">
        <v>15375</v>
      </c>
      <c r="G316" s="2508" t="s">
        <v>15514</v>
      </c>
      <c r="H316" s="2508" t="s">
        <v>14355</v>
      </c>
      <c r="I316" s="2585" t="str">
        <f>IF(ISNA(VLOOKUP($D316,Справочник!DK:DM,3,0)),"-",VLOOKUP($D316,Справочник!DK:DM,3,0))</f>
        <v>Козлов Николай Викторович  NiVKozlov@rosatom.ru  (499) 949-47-02</v>
      </c>
    </row>
    <row r="317" spans="2:10" ht="39">
      <c r="B317" s="2505">
        <v>306</v>
      </c>
      <c r="C317" s="2506">
        <v>44924</v>
      </c>
      <c r="D317" s="2746" t="s">
        <v>7502</v>
      </c>
      <c r="E317" s="3439" t="s">
        <v>10033</v>
      </c>
      <c r="F317" s="3631" t="s">
        <v>15515</v>
      </c>
      <c r="G317" s="3632" t="s">
        <v>15403</v>
      </c>
      <c r="H317" s="2508" t="s">
        <v>14355</v>
      </c>
      <c r="I317" s="2585" t="str">
        <f>IF(ISNA(VLOOKUP($D317,Справочник!DK:DM,3,0)),"-",VLOOKUP($D317,Справочник!DK:DM,3,0))</f>
        <v>Козлов Николай Викторович  NiVKozlov@rosatom.ru  (499) 949-47-02</v>
      </c>
      <c r="J317"/>
    </row>
    <row r="318" spans="2:10" s="3655" customFormat="1" ht="39">
      <c r="B318" s="2505">
        <v>307</v>
      </c>
      <c r="C318" s="2506">
        <v>44924</v>
      </c>
      <c r="D318" s="2746" t="s">
        <v>7502</v>
      </c>
      <c r="E318" s="3439" t="s">
        <v>10033</v>
      </c>
      <c r="F318" s="3631" t="s">
        <v>15516</v>
      </c>
      <c r="G318" s="3632" t="s">
        <v>15403</v>
      </c>
      <c r="H318" s="2508" t="s">
        <v>14355</v>
      </c>
      <c r="I318" s="2585" t="str">
        <f>IF(ISNA(VLOOKUP($D318,Справочник!DK:DM,3,0)),"-",VLOOKUP($D318,Справочник!DK:DM,3,0))</f>
        <v>Козлов Николай Викторович  NiVKozlov@rosatom.ru  (499) 949-47-02</v>
      </c>
    </row>
    <row r="319" spans="2:10" s="3655" customFormat="1" ht="39">
      <c r="B319" s="2505">
        <v>308</v>
      </c>
      <c r="C319" s="2506">
        <v>44924</v>
      </c>
      <c r="D319" s="2746" t="s">
        <v>7502</v>
      </c>
      <c r="E319" s="3439" t="s">
        <v>10033</v>
      </c>
      <c r="F319" s="3631" t="s">
        <v>15517</v>
      </c>
      <c r="G319" s="3632" t="s">
        <v>15403</v>
      </c>
      <c r="H319" s="2508" t="s">
        <v>14355</v>
      </c>
      <c r="I319" s="2585" t="str">
        <f>IF(ISNA(VLOOKUP($D319,Справочник!DK:DM,3,0)),"-",VLOOKUP($D319,Справочник!DK:DM,3,0))</f>
        <v>Козлов Николай Викторович  NiVKozlov@rosatom.ru  (499) 949-47-02</v>
      </c>
    </row>
    <row r="320" spans="2:10" s="3655" customFormat="1" ht="39">
      <c r="B320" s="2505">
        <v>309</v>
      </c>
      <c r="C320" s="2506">
        <v>44924</v>
      </c>
      <c r="D320" s="2746" t="s">
        <v>7502</v>
      </c>
      <c r="E320" s="3439" t="s">
        <v>10033</v>
      </c>
      <c r="F320" s="3631" t="s">
        <v>15518</v>
      </c>
      <c r="G320" s="3632" t="s">
        <v>15403</v>
      </c>
      <c r="H320" s="2508" t="s">
        <v>14355</v>
      </c>
      <c r="I320" s="2585" t="str">
        <f>IF(ISNA(VLOOKUP($D320,Справочник!DK:DM,3,0)),"-",VLOOKUP($D320,Справочник!DK:DM,3,0))</f>
        <v>Козлов Николай Викторович  NiVKozlov@rosatom.ru  (499) 949-47-02</v>
      </c>
    </row>
    <row r="321" spans="2:9" s="3655" customFormat="1" ht="39">
      <c r="B321" s="2505">
        <v>310</v>
      </c>
      <c r="C321" s="2506">
        <v>44924</v>
      </c>
      <c r="D321" s="2746" t="s">
        <v>7502</v>
      </c>
      <c r="E321" s="3439" t="s">
        <v>10033</v>
      </c>
      <c r="F321" s="3631" t="s">
        <v>15519</v>
      </c>
      <c r="G321" s="3632" t="s">
        <v>15403</v>
      </c>
      <c r="H321" s="2508" t="s">
        <v>14355</v>
      </c>
      <c r="I321" s="2585" t="str">
        <f>IF(ISNA(VLOOKUP($D321,Справочник!DK:DM,3,0)),"-",VLOOKUP($D321,Справочник!DK:DM,3,0))</f>
        <v>Козлов Николай Викторович  NiVKozlov@rosatom.ru  (499) 949-47-02</v>
      </c>
    </row>
    <row r="322" spans="2:9" s="3655" customFormat="1" ht="39">
      <c r="B322" s="2505">
        <v>311</v>
      </c>
      <c r="C322" s="2506">
        <v>44924</v>
      </c>
      <c r="D322" s="2746" t="s">
        <v>7502</v>
      </c>
      <c r="E322" s="3439" t="s">
        <v>10033</v>
      </c>
      <c r="F322" s="3631" t="s">
        <v>15520</v>
      </c>
      <c r="G322" s="3632" t="s">
        <v>15403</v>
      </c>
      <c r="H322" s="2508" t="s">
        <v>14355</v>
      </c>
      <c r="I322" s="2585" t="str">
        <f>IF(ISNA(VLOOKUP($D322,Справочник!DK:DM,3,0)),"-",VLOOKUP($D322,Справочник!DK:DM,3,0))</f>
        <v>Козлов Николай Викторович  NiVKozlov@rosatom.ru  (499) 949-47-02</v>
      </c>
    </row>
    <row r="323" spans="2:9" s="3655" customFormat="1" ht="39">
      <c r="B323" s="2505">
        <v>312</v>
      </c>
      <c r="C323" s="2506">
        <v>44924</v>
      </c>
      <c r="D323" s="2746" t="s">
        <v>7502</v>
      </c>
      <c r="E323" s="3439" t="s">
        <v>10033</v>
      </c>
      <c r="F323" s="3631" t="s">
        <v>15521</v>
      </c>
      <c r="G323" s="3632" t="s">
        <v>15403</v>
      </c>
      <c r="H323" s="2508" t="s">
        <v>14355</v>
      </c>
      <c r="I323" s="2585" t="str">
        <f>IF(ISNA(VLOOKUP($D323,Справочник!DK:DM,3,0)),"-",VLOOKUP($D323,Справочник!DK:DM,3,0))</f>
        <v>Козлов Николай Викторович  NiVKozlov@rosatom.ru  (499) 949-47-02</v>
      </c>
    </row>
    <row r="324" spans="2:9" s="3655" customFormat="1" ht="39">
      <c r="B324" s="2505">
        <v>313</v>
      </c>
      <c r="C324" s="2506">
        <v>44924</v>
      </c>
      <c r="D324" s="2746" t="s">
        <v>7502</v>
      </c>
      <c r="E324" s="3439" t="s">
        <v>10033</v>
      </c>
      <c r="F324" s="3631" t="s">
        <v>15522</v>
      </c>
      <c r="G324" s="3632" t="s">
        <v>15403</v>
      </c>
      <c r="H324" s="2508" t="s">
        <v>14355</v>
      </c>
      <c r="I324" s="2585" t="str">
        <f>IF(ISNA(VLOOKUP($D324,Справочник!DK:DM,3,0)),"-",VLOOKUP($D324,Справочник!DK:DM,3,0))</f>
        <v>Козлов Николай Викторович  NiVKozlov@rosatom.ru  (499) 949-47-02</v>
      </c>
    </row>
    <row r="325" spans="2:9" s="3655" customFormat="1" ht="39">
      <c r="B325" s="2505">
        <v>314</v>
      </c>
      <c r="C325" s="2506">
        <v>44924</v>
      </c>
      <c r="D325" s="2746" t="s">
        <v>7502</v>
      </c>
      <c r="E325" s="3439" t="s">
        <v>10033</v>
      </c>
      <c r="F325" s="3631" t="s">
        <v>15523</v>
      </c>
      <c r="G325" s="3632" t="s">
        <v>15403</v>
      </c>
      <c r="H325" s="2508" t="s">
        <v>14355</v>
      </c>
      <c r="I325" s="2585" t="str">
        <f>IF(ISNA(VLOOKUP($D325,Справочник!DK:DM,3,0)),"-",VLOOKUP($D325,Справочник!DK:DM,3,0))</f>
        <v>Козлов Николай Викторович  NiVKozlov@rosatom.ru  (499) 949-47-02</v>
      </c>
    </row>
    <row r="326" spans="2:9" s="3655" customFormat="1" ht="27.5" customHeight="1">
      <c r="B326" s="2505">
        <v>315</v>
      </c>
      <c r="C326" s="2506">
        <v>44924</v>
      </c>
      <c r="D326" s="2746" t="s">
        <v>2085</v>
      </c>
      <c r="E326" s="2507" t="s">
        <v>10033</v>
      </c>
      <c r="F326" s="2507" t="s">
        <v>15524</v>
      </c>
      <c r="G326" s="2508" t="s">
        <v>15514</v>
      </c>
      <c r="H326" s="2508" t="s">
        <v>14351</v>
      </c>
      <c r="I326" s="2585" t="str">
        <f>IF(ISNA(VLOOKUP($D326,Справочник!DK:DM,3,0)),"-",VLOOKUP($D326,Справочник!DK:DM,3,0))</f>
        <v>Козлов Николай Викторович  NiVKozlov@rosatom.ru  (499) 949-47-02</v>
      </c>
    </row>
    <row r="327" spans="2:9" ht="75">
      <c r="B327" s="2505">
        <v>316</v>
      </c>
      <c r="C327" s="2506">
        <v>44924</v>
      </c>
      <c r="D327" s="2746" t="s">
        <v>2085</v>
      </c>
      <c r="E327" s="2507" t="s">
        <v>10033</v>
      </c>
      <c r="F327" s="3503" t="s">
        <v>15526</v>
      </c>
      <c r="G327" s="2508" t="s">
        <v>15514</v>
      </c>
      <c r="H327" s="2508" t="s">
        <v>14351</v>
      </c>
      <c r="I327" s="2585" t="str">
        <f>IF(ISNA(VLOOKUP($D327,Справочник!DK:DM,3,0)),"-",VLOOKUP($D327,Справочник!DK:DM,3,0))</f>
        <v>Козлов Николай Викторович  NiVKozlov@rosatom.ru  (499) 949-47-02</v>
      </c>
    </row>
  </sheetData>
  <sheetProtection algorithmName="SHA-512" hashValue="YUQDVu1tx8Ek7oEv25TcSwyt+wZ7wIS6rurpHMFQR3ch5WqaKD/QhbL+y/VMYEr6RFkkXIy35GJelKHTPu01Qw==" saltValue="6mqCj0NuZmKxp7ZfgponQg==" spinCount="100000" sheet="1" objects="1" scenarios="1" formatColumns="0" formatRows="0" autoFilter="0"/>
  <autoFilter ref="A6:J245"/>
  <dataValidations count="1">
    <dataValidation type="list" allowBlank="1" showInputMessage="1" showErrorMessage="1" sqref="E247 D7:D327">
      <formula1>_списокЛ</formula1>
    </dataValidation>
  </dataValidations>
  <hyperlinks>
    <hyperlink ref="J1" display="Содержание"/>
    <hyperlink ref="B3" display="Содержание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114</vt:i4>
      </vt:variant>
      <vt:variant>
        <vt:lpstr>Именованные диапазоны</vt:lpstr>
      </vt:variant>
      <vt:variant>
        <vt:i4>284</vt:i4>
      </vt:variant>
    </vt:vector>
  </HeadingPairs>
  <TitlesOfParts>
    <vt:vector size="398" baseType="lpstr">
      <vt:lpstr>потоки</vt:lpstr>
      <vt:lpstr>Титул</vt:lpstr>
      <vt:lpstr>Технич_лист</vt:lpstr>
      <vt:lpstr>Содержание</vt:lpstr>
      <vt:lpstr>Параметры_загрузки</vt:lpstr>
      <vt:lpstr>Список_компаний</vt:lpstr>
      <vt:lpstr>Справочник</vt:lpstr>
      <vt:lpstr>Проверки</vt:lpstr>
      <vt:lpstr>Проверка_форматов_даты</vt:lpstr>
      <vt:lpstr>Проверка_ГИД</vt:lpstr>
      <vt:lpstr>Лист_ошибок</vt:lpstr>
      <vt:lpstr>mapping</vt:lpstr>
      <vt:lpstr>tech</vt:lpstr>
      <vt:lpstr>Баланс</vt:lpstr>
      <vt:lpstr>ОФР</vt:lpstr>
      <vt:lpstr>ДДС</vt:lpstr>
      <vt:lpstr>ДДС_приложение</vt:lpstr>
      <vt:lpstr>ОСВ_авт</vt:lpstr>
      <vt:lpstr>ОСВ_система</vt:lpstr>
      <vt:lpstr>Свод_по_счетам</vt:lpstr>
      <vt:lpstr>01</vt:lpstr>
      <vt:lpstr>02</vt:lpstr>
      <vt:lpstr>03</vt:lpstr>
      <vt:lpstr>04</vt:lpstr>
      <vt:lpstr>05</vt:lpstr>
      <vt:lpstr>07</vt:lpstr>
      <vt:lpstr>07_расш</vt:lpstr>
      <vt:lpstr>08</vt:lpstr>
      <vt:lpstr>08_расш</vt:lpstr>
      <vt:lpstr>08_НИОКР</vt:lpstr>
      <vt:lpstr>09</vt:lpstr>
      <vt:lpstr>10</vt:lpstr>
      <vt:lpstr>10_расш</vt:lpstr>
      <vt:lpstr>14</vt:lpstr>
      <vt:lpstr>15</vt:lpstr>
      <vt:lpstr>16</vt:lpstr>
      <vt:lpstr>19</vt:lpstr>
      <vt:lpstr>Затраты_Вход_1</vt:lpstr>
      <vt:lpstr>Затраты_Вход_2</vt:lpstr>
      <vt:lpstr>Затраты_Выход</vt:lpstr>
      <vt:lpstr>21</vt:lpstr>
      <vt:lpstr>40</vt:lpstr>
      <vt:lpstr>41_01</vt:lpstr>
      <vt:lpstr>41_02</vt:lpstr>
      <vt:lpstr>43</vt:lpstr>
      <vt:lpstr>45</vt:lpstr>
      <vt:lpstr>НЗП_ГП</vt:lpstr>
      <vt:lpstr>Долгосроч_договоры</vt:lpstr>
      <vt:lpstr>46</vt:lpstr>
      <vt:lpstr>50</vt:lpstr>
      <vt:lpstr>51</vt:lpstr>
      <vt:lpstr>52</vt:lpstr>
      <vt:lpstr>55</vt:lpstr>
      <vt:lpstr>57</vt:lpstr>
      <vt:lpstr>50_51_52_55_57_движ</vt:lpstr>
      <vt:lpstr>Фин_договоры</vt:lpstr>
      <vt:lpstr>58_01_1</vt:lpstr>
      <vt:lpstr>58_01_2</vt:lpstr>
      <vt:lpstr>58_02</vt:lpstr>
      <vt:lpstr>58_02_движ</vt:lpstr>
      <vt:lpstr>58_03_1</vt:lpstr>
      <vt:lpstr>58_03_2</vt:lpstr>
      <vt:lpstr>58_04</vt:lpstr>
      <vt:lpstr>59_01</vt:lpstr>
      <vt:lpstr>59_02</vt:lpstr>
      <vt:lpstr>59_03</vt:lpstr>
      <vt:lpstr>ДП_полученные</vt:lpstr>
      <vt:lpstr>ДП_выданные</vt:lpstr>
      <vt:lpstr>60_01</vt:lpstr>
      <vt:lpstr>60_02</vt:lpstr>
      <vt:lpstr>62_01</vt:lpstr>
      <vt:lpstr>62_02</vt:lpstr>
      <vt:lpstr>ОКХ</vt:lpstr>
      <vt:lpstr>60,62,63,76_контр</vt:lpstr>
      <vt:lpstr>66</vt:lpstr>
      <vt:lpstr>67</vt:lpstr>
      <vt:lpstr>68</vt:lpstr>
      <vt:lpstr>Налог_на_прибыль</vt:lpstr>
      <vt:lpstr>Налог_пров</vt:lpstr>
      <vt:lpstr>Налоговые_льготы_имущество</vt:lpstr>
      <vt:lpstr>Налоговые_льготы_прочие</vt:lpstr>
      <vt:lpstr>69</vt:lpstr>
      <vt:lpstr>73</vt:lpstr>
      <vt:lpstr>75_01</vt:lpstr>
      <vt:lpstr>75_01_Неденеж</vt:lpstr>
      <vt:lpstr>75_02</vt:lpstr>
      <vt:lpstr>76</vt:lpstr>
      <vt:lpstr>76_01_%</vt:lpstr>
      <vt:lpstr>77</vt:lpstr>
      <vt:lpstr>78</vt:lpstr>
      <vt:lpstr>80</vt:lpstr>
      <vt:lpstr>83</vt:lpstr>
      <vt:lpstr>83_расш</vt:lpstr>
      <vt:lpstr>84</vt:lpstr>
      <vt:lpstr>84_расш</vt:lpstr>
      <vt:lpstr>86</vt:lpstr>
      <vt:lpstr>90</vt:lpstr>
      <vt:lpstr>90_ОРВГ</vt:lpstr>
      <vt:lpstr>90_контр</vt:lpstr>
      <vt:lpstr>91_01</vt:lpstr>
      <vt:lpstr>91_01_ВГО</vt:lpstr>
      <vt:lpstr>91_02</vt:lpstr>
      <vt:lpstr>91_02_ВГО</vt:lpstr>
      <vt:lpstr>Прочие_расш</vt:lpstr>
      <vt:lpstr>ОСС</vt:lpstr>
      <vt:lpstr>96</vt:lpstr>
      <vt:lpstr>96_движ</vt:lpstr>
      <vt:lpstr>97</vt:lpstr>
      <vt:lpstr>98_01</vt:lpstr>
      <vt:lpstr>98_02</vt:lpstr>
      <vt:lpstr>98_04</vt:lpstr>
      <vt:lpstr>99</vt:lpstr>
      <vt:lpstr>Зарубежная_выручка</vt:lpstr>
      <vt:lpstr>Список изменений в ФСД(2022г) </vt:lpstr>
      <vt:lpstr>_10015_01</vt:lpstr>
      <vt:lpstr>_10015_02</vt:lpstr>
      <vt:lpstr>_10019_1_96</vt:lpstr>
      <vt:lpstr>_10019_1_96_движ</vt:lpstr>
      <vt:lpstr>_10019_1_96_движХ</vt:lpstr>
      <vt:lpstr>_10019_96_движ</vt:lpstr>
      <vt:lpstr>_10022_60_62_76</vt:lpstr>
      <vt:lpstr>_1003</vt:lpstr>
      <vt:lpstr>_1008</vt:lpstr>
      <vt:lpstr>_1008_Д</vt:lpstr>
      <vt:lpstr>_1008_К</vt:lpstr>
      <vt:lpstr>_1009</vt:lpstr>
      <vt:lpstr>_1010</vt:lpstr>
      <vt:lpstr>_1010_60_02</vt:lpstr>
      <vt:lpstr>_1014</vt:lpstr>
      <vt:lpstr>_1015</vt:lpstr>
      <vt:lpstr>_1015_10</vt:lpstr>
      <vt:lpstr>_1015_86</vt:lpstr>
      <vt:lpstr>_1015_86_ГК</vt:lpstr>
      <vt:lpstr>_1015_opex</vt:lpstr>
      <vt:lpstr>_1015_ГК</vt:lpstr>
      <vt:lpstr>_1015_общий</vt:lpstr>
      <vt:lpstr>_1100</vt:lpstr>
      <vt:lpstr>_2</vt:lpstr>
      <vt:lpstr>_20_23_25_29</vt:lpstr>
      <vt:lpstr>_2018</vt:lpstr>
      <vt:lpstr>_2018_14</vt:lpstr>
      <vt:lpstr>_2018_16</vt:lpstr>
      <vt:lpstr>_2018_45</vt:lpstr>
      <vt:lpstr>_2018_залоги</vt:lpstr>
      <vt:lpstr>_2040_</vt:lpstr>
      <vt:lpstr>_2080_2013</vt:lpstr>
      <vt:lpstr>_21</vt:lpstr>
      <vt:lpstr>_2101_</vt:lpstr>
      <vt:lpstr>_2111</vt:lpstr>
      <vt:lpstr>_2112</vt:lpstr>
      <vt:lpstr>_2113</vt:lpstr>
      <vt:lpstr>_2142</vt:lpstr>
      <vt:lpstr>_2145</vt:lpstr>
      <vt:lpstr>_2145_tmc</vt:lpstr>
      <vt:lpstr>_2240</vt:lpstr>
      <vt:lpstr>_2240_9220_Д</vt:lpstr>
      <vt:lpstr>_2240_9220_Р</vt:lpstr>
      <vt:lpstr>_2240_доп</vt:lpstr>
      <vt:lpstr>_2240_Доходы</vt:lpstr>
      <vt:lpstr>_2240_доходы_ВГО</vt:lpstr>
      <vt:lpstr>_2240_Расходы</vt:lpstr>
      <vt:lpstr>_2240_расходы_ВГО</vt:lpstr>
      <vt:lpstr>_2240_Расходы_проч</vt:lpstr>
      <vt:lpstr>_2241</vt:lpstr>
      <vt:lpstr>_2250</vt:lpstr>
      <vt:lpstr>_2310_</vt:lpstr>
      <vt:lpstr>_2310_товары</vt:lpstr>
      <vt:lpstr>_2310_услуги</vt:lpstr>
      <vt:lpstr>_2311</vt:lpstr>
      <vt:lpstr>_2330</vt:lpstr>
      <vt:lpstr>_2420</vt:lpstr>
      <vt:lpstr>_2420X</vt:lpstr>
      <vt:lpstr>_2420х</vt:lpstr>
      <vt:lpstr>_2422</vt:lpstr>
      <vt:lpstr>_2423</vt:lpstr>
      <vt:lpstr>_2425</vt:lpstr>
      <vt:lpstr>_2426</vt:lpstr>
      <vt:lpstr>_2427</vt:lpstr>
      <vt:lpstr>_2430</vt:lpstr>
      <vt:lpstr>_2450</vt:lpstr>
      <vt:lpstr>_2451</vt:lpstr>
      <vt:lpstr>_2454</vt:lpstr>
      <vt:lpstr>_2530</vt:lpstr>
      <vt:lpstr>_2540</vt:lpstr>
      <vt:lpstr>_2552</vt:lpstr>
      <vt:lpstr>_2561_</vt:lpstr>
      <vt:lpstr>_2610</vt:lpstr>
      <vt:lpstr>_2612</vt:lpstr>
      <vt:lpstr>_2613</vt:lpstr>
      <vt:lpstr>_2620_96</vt:lpstr>
      <vt:lpstr>_2630</vt:lpstr>
      <vt:lpstr>_2640</vt:lpstr>
      <vt:lpstr>_2720</vt:lpstr>
      <vt:lpstr>_2720_</vt:lpstr>
      <vt:lpstr>_2720_other</vt:lpstr>
      <vt:lpstr>_2730_124</vt:lpstr>
      <vt:lpstr>_2730_14</vt:lpstr>
      <vt:lpstr>_2730_24</vt:lpstr>
      <vt:lpstr>_2730_4</vt:lpstr>
      <vt:lpstr>_2751</vt:lpstr>
      <vt:lpstr>_2752</vt:lpstr>
      <vt:lpstr>_2755</vt:lpstr>
      <vt:lpstr>_2755_1</vt:lpstr>
      <vt:lpstr>_2755_5</vt:lpstr>
      <vt:lpstr>_2780</vt:lpstr>
      <vt:lpstr>_3</vt:lpstr>
      <vt:lpstr>_41</vt:lpstr>
      <vt:lpstr>_43</vt:lpstr>
      <vt:lpstr>_45</vt:lpstr>
      <vt:lpstr>_5100_fin</vt:lpstr>
      <vt:lpstr>_60_62</vt:lpstr>
      <vt:lpstr>_60_62_76</vt:lpstr>
      <vt:lpstr>_6001</vt:lpstr>
      <vt:lpstr>_6001_</vt:lpstr>
      <vt:lpstr>_6003</vt:lpstr>
      <vt:lpstr>_6003_СОД_</vt:lpstr>
      <vt:lpstr>_6018</vt:lpstr>
      <vt:lpstr>_606276_контр</vt:lpstr>
      <vt:lpstr>_606276_контр_</vt:lpstr>
      <vt:lpstr>_84_расш1</vt:lpstr>
      <vt:lpstr>_9018</vt:lpstr>
      <vt:lpstr>_9018_ДП_пол</vt:lpstr>
      <vt:lpstr>_9019</vt:lpstr>
      <vt:lpstr>_9019_1</vt:lpstr>
      <vt:lpstr>_9022</vt:lpstr>
      <vt:lpstr>_9022_60</vt:lpstr>
      <vt:lpstr>_9022_62</vt:lpstr>
      <vt:lpstr>_9022_other</vt:lpstr>
      <vt:lpstr>_9022_per</vt:lpstr>
      <vt:lpstr>_9023</vt:lpstr>
      <vt:lpstr>_9023_60</vt:lpstr>
      <vt:lpstr>_9023_62</vt:lpstr>
      <vt:lpstr>_9058</vt:lpstr>
      <vt:lpstr>_9069</vt:lpstr>
      <vt:lpstr>_9073</vt:lpstr>
      <vt:lpstr>_96_X</vt:lpstr>
      <vt:lpstr>_96_Кс</vt:lpstr>
      <vt:lpstr>_99_X</vt:lpstr>
      <vt:lpstr>_comp</vt:lpstr>
      <vt:lpstr>_comp_нзп</vt:lpstr>
      <vt:lpstr>_comp0102</vt:lpstr>
      <vt:lpstr>_country</vt:lpstr>
      <vt:lpstr>_grup_prod</vt:lpstr>
      <vt:lpstr>_icomp</vt:lpstr>
      <vt:lpstr>_icompindex</vt:lpstr>
      <vt:lpstr>_icompindex_</vt:lpstr>
      <vt:lpstr>_index</vt:lpstr>
      <vt:lpstr>_name</vt:lpstr>
      <vt:lpstr>_not_tara</vt:lpstr>
      <vt:lpstr>_nzp</vt:lpstr>
      <vt:lpstr>_op_pa</vt:lpstr>
      <vt:lpstr>_tara</vt:lpstr>
      <vt:lpstr>_tara_no</vt:lpstr>
      <vt:lpstr>_tc</vt:lpstr>
      <vt:lpstr>_X</vt:lpstr>
      <vt:lpstr>_yn</vt:lpstr>
      <vt:lpstr>_ддс</vt:lpstr>
      <vt:lpstr>_ДДС_</vt:lpstr>
      <vt:lpstr>_ИФ_НИОКР_ГОД</vt:lpstr>
      <vt:lpstr>_НДС</vt:lpstr>
      <vt:lpstr>_нерасш</vt:lpstr>
      <vt:lpstr>_орг_НИОКР</vt:lpstr>
      <vt:lpstr>_организации_ниокр</vt:lpstr>
      <vt:lpstr>_оценка_вер_</vt:lpstr>
      <vt:lpstr>_период</vt:lpstr>
      <vt:lpstr>_поручит</vt:lpstr>
      <vt:lpstr>_Проверка_</vt:lpstr>
      <vt:lpstr>_расш_корр</vt:lpstr>
      <vt:lpstr>_списокЛ</vt:lpstr>
      <vt:lpstr>_ставкаНдс</vt:lpstr>
      <vt:lpstr>_счет20_46</vt:lpstr>
      <vt:lpstr>_счета</vt:lpstr>
      <vt:lpstr>_Х76</vt:lpstr>
      <vt:lpstr>dogovor_fin</vt:lpstr>
      <vt:lpstr>dogovor_stroy</vt:lpstr>
      <vt:lpstr>icompindex</vt:lpstr>
      <vt:lpstr>'01'!Заголовки_для_печати</vt:lpstr>
      <vt:lpstr>'02'!Заголовки_для_печати</vt:lpstr>
      <vt:lpstr>'03'!Заголовки_для_печати</vt:lpstr>
      <vt:lpstr>'04'!Заголовки_для_печати</vt:lpstr>
      <vt:lpstr>'05'!Заголовки_для_печати</vt:lpstr>
      <vt:lpstr>'08'!Заголовки_для_печати</vt:lpstr>
      <vt:lpstr>'08_НИОКР'!Заголовки_для_печати</vt:lpstr>
      <vt:lpstr>'09'!Заголовки_для_печати</vt:lpstr>
      <vt:lpstr>'10'!Заголовки_для_печати</vt:lpstr>
      <vt:lpstr>'10_расш'!Заголовки_для_печати</vt:lpstr>
      <vt:lpstr>'14'!Заголовки_для_печати</vt:lpstr>
      <vt:lpstr>'15'!Заголовки_для_печати</vt:lpstr>
      <vt:lpstr>'16'!Заголовки_для_печати</vt:lpstr>
      <vt:lpstr>'19'!Заголовки_для_печати</vt:lpstr>
      <vt:lpstr>'41_01'!Заголовки_для_печати</vt:lpstr>
      <vt:lpstr>'41_02'!Заголовки_для_печати</vt:lpstr>
      <vt:lpstr>'43'!Заголовки_для_печати</vt:lpstr>
      <vt:lpstr>'45'!Заголовки_для_печати</vt:lpstr>
      <vt:lpstr>'46'!Заголовки_для_печати</vt:lpstr>
      <vt:lpstr>'50_51_52_55_57_движ'!Заголовки_для_печати</vt:lpstr>
      <vt:lpstr>'55'!Заголовки_для_печати</vt:lpstr>
      <vt:lpstr>'58_01_1'!Заголовки_для_печати</vt:lpstr>
      <vt:lpstr>'58_02'!Заголовки_для_печати</vt:lpstr>
      <vt:lpstr>'58_02_движ'!Заголовки_для_печати</vt:lpstr>
      <vt:lpstr>'58_03_1'!Заголовки_для_печати</vt:lpstr>
      <vt:lpstr>'58_03_2'!Заголовки_для_печати</vt:lpstr>
      <vt:lpstr>'58_04'!Заголовки_для_печати</vt:lpstr>
      <vt:lpstr>'59_01'!Заголовки_для_печати</vt:lpstr>
      <vt:lpstr>'59_02'!Заголовки_для_печати</vt:lpstr>
      <vt:lpstr>'59_03'!Заголовки_для_печати</vt:lpstr>
      <vt:lpstr>'60,62,63,76_контр'!Заголовки_для_печати</vt:lpstr>
      <vt:lpstr>'62_01'!Заголовки_для_печати</vt:lpstr>
      <vt:lpstr>'62_02'!Заголовки_для_печати</vt:lpstr>
      <vt:lpstr>'66'!Заголовки_для_печати</vt:lpstr>
      <vt:lpstr>'67'!Заголовки_для_печати</vt:lpstr>
      <vt:lpstr>'69'!Заголовки_для_печати</vt:lpstr>
      <vt:lpstr>'73'!Заголовки_для_печати</vt:lpstr>
      <vt:lpstr>'75_01'!Заголовки_для_печати</vt:lpstr>
      <vt:lpstr>'76'!Заголовки_для_печати</vt:lpstr>
      <vt:lpstr>'76_01_%'!Заголовки_для_печати</vt:lpstr>
      <vt:lpstr>'86'!Заголовки_для_печати</vt:lpstr>
      <vt:lpstr>'90'!Заголовки_для_печати</vt:lpstr>
      <vt:lpstr>'90_контр'!Заголовки_для_печати</vt:lpstr>
      <vt:lpstr>'90_ОРВГ'!Заголовки_для_печати</vt:lpstr>
      <vt:lpstr>'91_01'!Заголовки_для_печати</vt:lpstr>
      <vt:lpstr>'91_01_ВГО'!Заголовки_для_печати</vt:lpstr>
      <vt:lpstr>'91_02'!Заголовки_для_печати</vt:lpstr>
      <vt:lpstr>'91_02_ВГО'!Заголовки_для_печати</vt:lpstr>
      <vt:lpstr>'96'!Заголовки_для_печати</vt:lpstr>
      <vt:lpstr>'96_движ'!Заголовки_для_печати</vt:lpstr>
      <vt:lpstr>'97'!Заголовки_для_печати</vt:lpstr>
      <vt:lpstr>'98_01'!Заголовки_для_печати</vt:lpstr>
      <vt:lpstr>'98_02'!Заголовки_для_печати</vt:lpstr>
      <vt:lpstr>'98_04'!Заголовки_для_печати</vt:lpstr>
      <vt:lpstr>ДДС_приложение!Заголовки_для_печати</vt:lpstr>
      <vt:lpstr>Зарубежная_выручка!Заголовки_для_печати</vt:lpstr>
      <vt:lpstr>Затраты_Вход_1!Заголовки_для_печати</vt:lpstr>
      <vt:lpstr>Затраты_Вход_2!Заголовки_для_печати</vt:lpstr>
      <vt:lpstr>Налог_на_прибыль!Заголовки_для_печати</vt:lpstr>
      <vt:lpstr>Налог_пров!Заголовки_для_печати</vt:lpstr>
      <vt:lpstr>ОКХ!Заголовки_для_печати</vt:lpstr>
      <vt:lpstr>ОСВ_авт!Заголовки_для_печати</vt:lpstr>
      <vt:lpstr>ОСВ_система!Заголовки_для_печати</vt:lpstr>
      <vt:lpstr>ОСС!Заголовки_для_печати</vt:lpstr>
      <vt:lpstr>Проверки!Заголовки_для_печати</vt:lpstr>
      <vt:lpstr>Список_компаний!Заголовки_для_печати</vt:lpstr>
      <vt:lpstr>Фин_договоры!Заголовки_для_печати</vt:lpstr>
      <vt:lpstr>НДС</vt:lpstr>
      <vt:lpstr>не_требуется</vt:lpstr>
      <vt:lpstr>'01'!Область_печати</vt:lpstr>
      <vt:lpstr>'02'!Область_печати</vt:lpstr>
      <vt:lpstr>'05'!Область_печати</vt:lpstr>
      <vt:lpstr>'07'!Область_печати</vt:lpstr>
      <vt:lpstr>'08_расш'!Область_печати</vt:lpstr>
      <vt:lpstr>'10_расш'!Область_печати</vt:lpstr>
      <vt:lpstr>'43'!Область_печати</vt:lpstr>
      <vt:lpstr>'45'!Область_печати</vt:lpstr>
      <vt:lpstr>'46'!Область_печати</vt:lpstr>
      <vt:lpstr>'50_51_52_55_57_движ'!Область_печати</vt:lpstr>
      <vt:lpstr>'51'!Область_печати</vt:lpstr>
      <vt:lpstr>'52'!Область_печати</vt:lpstr>
      <vt:lpstr>'55'!Область_печати</vt:lpstr>
      <vt:lpstr>'58_02'!Область_печати</vt:lpstr>
      <vt:lpstr>'60,62,63,76_контр'!Область_печати</vt:lpstr>
      <vt:lpstr>'62_02'!Область_печати</vt:lpstr>
      <vt:lpstr>'66'!Область_печати</vt:lpstr>
      <vt:lpstr>'69'!Область_печати</vt:lpstr>
      <vt:lpstr>'73'!Область_печати</vt:lpstr>
      <vt:lpstr>'75_01'!Область_печати</vt:lpstr>
      <vt:lpstr>'75_01_Неденеж'!Область_печати</vt:lpstr>
      <vt:lpstr>'76'!Область_печати</vt:lpstr>
      <vt:lpstr>'83'!Область_печати</vt:lpstr>
      <vt:lpstr>'84_расш'!Область_печати</vt:lpstr>
      <vt:lpstr>'86'!Область_печати</vt:lpstr>
      <vt:lpstr>'90_контр'!Область_печати</vt:lpstr>
      <vt:lpstr>'90_ОРВГ'!Область_печати</vt:lpstr>
      <vt:lpstr>'91_01'!Область_печати</vt:lpstr>
      <vt:lpstr>'91_01_ВГО'!Область_печати</vt:lpstr>
      <vt:lpstr>'91_02'!Область_печати</vt:lpstr>
      <vt:lpstr>'91_02_ВГО'!Область_печати</vt:lpstr>
      <vt:lpstr>'96'!Область_печати</vt:lpstr>
      <vt:lpstr>'96_движ'!Область_печати</vt:lpstr>
      <vt:lpstr>'98_01'!Область_печати</vt:lpstr>
      <vt:lpstr>'98_02'!Область_печати</vt:lpstr>
      <vt:lpstr>'98_04'!Область_печати</vt:lpstr>
      <vt:lpstr>Баланс!Область_печати</vt:lpstr>
      <vt:lpstr>ДДС!Область_печати</vt:lpstr>
      <vt:lpstr>Долгосроч_договоры!Область_печати</vt:lpstr>
      <vt:lpstr>ДП_выданные!Область_печати</vt:lpstr>
      <vt:lpstr>ДП_полученные!Область_печати</vt:lpstr>
      <vt:lpstr>Зарубежная_выручка!Область_печати</vt:lpstr>
      <vt:lpstr>Затраты_Вход_1!Область_печати</vt:lpstr>
      <vt:lpstr>Затраты_Вход_2!Область_печати</vt:lpstr>
      <vt:lpstr>Затраты_Выход!Область_печати</vt:lpstr>
      <vt:lpstr>Налог_на_прибыль!Область_печати</vt:lpstr>
      <vt:lpstr>НЗП_ГП!Область_печати</vt:lpstr>
      <vt:lpstr>ОКХ!Область_печати</vt:lpstr>
      <vt:lpstr>ОСВ_система!Область_печати</vt:lpstr>
      <vt:lpstr>Проверки!Область_печати</vt:lpstr>
      <vt:lpstr>Свод_по_счетам!Область_печати</vt:lpstr>
      <vt:lpstr>Справочник!Область_печати</vt:lpstr>
      <vt:lpstr>Фин_договоры!Область_печати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Богословский Илья Алексеевич</dc:creator>
  <cp:lastModifiedBy>Козлов Николай Викторович</cp:lastModifiedBy>
  <cp:lastPrinted>2020-05-26T07:36:19Z</cp:lastPrinted>
  <dcterms:created xsi:type="dcterms:W3CDTF">2006-09-28T05:33:49Z</dcterms:created>
  <dcterms:modified xsi:type="dcterms:W3CDTF">2022-12-30T13:50:17Z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BExAnalyzer_OldName">
    <vt:lpwstr>ФСД_КодКомпании_ДДММГГГГ_V4_разметка.xlsm</vt:lpwstr>
  </property>
</Properties>
</file>